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CA"/>
  <workbookPr/>
  <bookViews>
    <workbookView windowWidth="28800" windowHeight="12015" tabRatio="923" firstSheet="1" activeTab="3"/>
  </bookViews>
  <sheets>
    <sheet name="名称" sheetId="48" state="hidden" r:id="rId1"/>
    <sheet name="总接单" sheetId="47" r:id="rId2"/>
    <sheet name="一二代排期" sheetId="45" r:id="rId3"/>
    <sheet name="三代排期" sheetId="57" r:id="rId4"/>
    <sheet name="蛋糕系列" sheetId="58" r:id="rId5"/>
    <sheet name="已走货" sheetId="51" r:id="rId6"/>
    <sheet name="MA" sheetId="59" r:id="rId7"/>
    <sheet name="2025MA" sheetId="54" state="hidden" r:id="rId8"/>
    <sheet name="取消单" sheetId="55" r:id="rId9"/>
    <sheet name="汇总" sheetId="56" r:id="rId10"/>
  </sheets>
  <externalReferences>
    <externalReference r:id="rId12"/>
    <externalReference r:id="rId13"/>
  </externalReferences>
  <definedNames>
    <definedName name="_xlnm._FilterDatabase" localSheetId="0" hidden="1">名称!$A$1:$E$196</definedName>
    <definedName name="_xlnm._FilterDatabase" localSheetId="1" hidden="1">总接单!$A$2:$BY$1309</definedName>
    <definedName name="_xlnm._FilterDatabase" localSheetId="2" hidden="1">一二代排期!$A$2:$BA$34</definedName>
    <definedName name="_xlnm._FilterDatabase" localSheetId="3" hidden="1">三代排期!$A$2:$BC$471</definedName>
    <definedName name="_xlnm._FilterDatabase" localSheetId="4" hidden="1">蛋糕系列!$A$2:$BC$64</definedName>
    <definedName name="_xlnm._FilterDatabase" localSheetId="5" hidden="1">已走货!$A$2:$BA$776</definedName>
    <definedName name="_xlnm._FilterDatabase" localSheetId="6" hidden="1">MA!$A$2:$BA$10</definedName>
    <definedName name="_xlnm._FilterDatabase" localSheetId="7" hidden="1">'2025MA'!$A$1:$AC$118</definedName>
    <definedName name="_xlnm._FilterDatabase" localSheetId="8" hidden="1">取消单!$A$2:$BA$67</definedName>
    <definedName name="_xlnm._FilterDatabase" localSheetId="9" hidden="1">汇总!$A$1:$M$176</definedName>
    <definedName name="_xlnm.Print_Area" localSheetId="2">一二代排期!$A$1:$BA$1</definedName>
    <definedName name="_xlnm.Print_Area" localSheetId="8">取消单!#REF!</definedName>
    <definedName name="_xlnm.Print_Area" localSheetId="3">三代排期!$A$1:$BA$1</definedName>
    <definedName name="_xlnm.Print_Area" localSheetId="4">蛋糕系列!$A$1:$BA$1</definedName>
    <definedName name="_xlnm.Print_Area" localSheetId="6">MA!$A$1:$BA$1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Unknown User</author>
  </authors>
  <commentList>
    <comment ref="F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转1500PCS到PO0000302</t>
        </r>
      </text>
    </comment>
    <comment ref="F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转1200PCS到PO0000123</t>
        </r>
      </text>
    </comment>
    <comment ref="F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转1500PCS到PO0000302
从PO0000302退回1500PCS</t>
        </r>
      </text>
    </comment>
    <comment ref="F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从CAJZ043转入</t>
        </r>
      </text>
    </comment>
    <comment ref="C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从JAZ254722转入</t>
        </r>
      </text>
    </comment>
    <comment ref="BW1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86折后价</t>
        </r>
      </text>
    </comment>
    <comment ref="F2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从CAJZ044转入
</t>
        </r>
      </text>
    </comment>
    <comment ref="F2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从CAJZ050转入</t>
        </r>
      </text>
    </comment>
    <comment ref="F3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从PO0000149转入4060PCS
从PO0000188转入15PCS</t>
        </r>
      </text>
    </comment>
    <comment ref="F3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从PO0000149转入2280PCS
从PO0000188转入220PCS
</t>
        </r>
      </text>
    </comment>
    <comment ref="F3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从PO0000149转入340PCS
从PO0000149转入2660PCS
</t>
        </r>
      </text>
    </comment>
    <comment ref="F3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从PO0000149转入340PCS
从PO0000149转入2660PCS</t>
        </r>
      </text>
    </comment>
    <comment ref="F3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从PO0000149转入570PCS
从PO0000149转入2430PCS</t>
        </r>
      </text>
    </comment>
    <comment ref="F3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从PO0000149转入1140PCS
从PO0000149转入1860PCS
</t>
        </r>
      </text>
    </comment>
    <comment ref="F3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从PO0000149转入1365PCS
从PO0000149转入925PCS
从PO0000188转入215PCS
</t>
        </r>
      </text>
    </comment>
    <comment ref="F3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F3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F3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F3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F3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F4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</t>
        </r>
      </text>
    </comment>
    <comment ref="F4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F4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F4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F4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F4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F4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F4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F4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F4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从PO0000177转入</t>
        </r>
      </text>
    </comment>
    <comment ref="F4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从PO0000177转入
</t>
        </r>
      </text>
    </comment>
    <comment ref="F4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从PO0000177转入
</t>
        </r>
      </text>
    </comment>
    <comment ref="F4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从PO0000177转入</t>
        </r>
      </text>
    </comment>
    <comment ref="F4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4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4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49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0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0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F5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从PO0000215转入</t>
        </r>
      </text>
    </comment>
    <comment ref="F5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从PO0000216转入</t>
        </r>
      </text>
    </comment>
    <comment ref="F5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从PO0000217转入</t>
        </r>
      </text>
    </comment>
    <comment ref="F5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转1200PCS到PO0000335-1</t>
        </r>
      </text>
    </comment>
    <comment ref="F573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转5000PCS到PO0000498</t>
        </r>
      </text>
    </comment>
    <comment ref="F5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从PO0000212转入</t>
        </r>
      </text>
    </comment>
    <comment ref="F5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从PO0000212转入
</t>
        </r>
      </text>
    </comment>
    <comment ref="F5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从PO0000212转入
</t>
        </r>
      </text>
    </comment>
    <comment ref="F5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从PO0000212转入
</t>
        </r>
      </text>
    </comment>
    <comment ref="F5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从PO0000212转入
</t>
        </r>
      </text>
    </comment>
    <comment ref="F59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4320PCS从PO0000212转入，新加5688PCS</t>
        </r>
      </text>
    </comment>
    <comment ref="F5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从CAJZ040转入1500PCS</t>
        </r>
      </text>
    </comment>
    <comment ref="F60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从PO0000214转入</t>
        </r>
      </text>
    </comment>
    <comment ref="F6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从PO0000214转入</t>
        </r>
      </text>
    </comment>
    <comment ref="F773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转5004PCS到PO0000498</t>
        </r>
      </text>
    </comment>
    <comment ref="F8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从PO0000295转入</t>
        </r>
      </text>
    </comment>
    <comment ref="D9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从CAJZ045转入</t>
        </r>
      </text>
    </comment>
    <comment ref="D9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从CAJZ043转入</t>
        </r>
      </text>
    </comment>
    <comment ref="F9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F9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从PO0000204转入1648PCS
从PO0000203转入4000PCS</t>
        </r>
      </text>
    </comment>
    <comment ref="D979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PO0000329改PO0000381</t>
        </r>
      </text>
    </comment>
    <comment ref="F9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从CAJZ044转入</t>
        </r>
      </text>
    </comment>
    <comment ref="F99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从CAJZ044转入
</t>
        </r>
      </text>
    </comment>
    <comment ref="D994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PO0000381改PO0000428</t>
        </r>
      </text>
    </comment>
    <comment ref="F10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从CAJZ044/CAJZ045/CAJZ046转入</t>
        </r>
      </text>
    </comment>
    <comment ref="F1126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从PO0000292转入</t>
        </r>
      </text>
    </comment>
    <comment ref="F1127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从PO0000292转入</t>
        </r>
      </text>
    </comment>
    <comment ref="F1128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从PO0000292转入</t>
        </r>
      </text>
    </comment>
    <comment ref="F1154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F1155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F1156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F1157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F1158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F1159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F1179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转3108PCS到PO0000462</t>
        </r>
      </text>
    </comment>
    <comment ref="F1184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从PO0000458转入</t>
        </r>
      </text>
    </comment>
    <comment ref="F1188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从PO0000408转入</t>
        </r>
      </text>
    </comment>
    <comment ref="F1189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从PO0000408转入</t>
        </r>
      </text>
    </comment>
    <comment ref="F1190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从PO0000408转入</t>
        </r>
      </text>
    </comment>
    <comment ref="F1203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从PO0000266转入4200PCS</t>
        </r>
        <r>
          <rPr>
            <b/>
            <sz val="9"/>
            <rFont val="宋体"/>
            <charset val="0"/>
          </rPr>
          <t xml:space="preserve">
sara:</t>
        </r>
        <r>
          <rPr>
            <sz val="9"/>
            <rFont val="宋体"/>
            <charset val="0"/>
          </rPr>
          <t xml:space="preserve">
从PO0000419转入3600PCS</t>
        </r>
      </text>
    </comment>
    <comment ref="F1249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从PO0000213转入</t>
        </r>
      </text>
    </comment>
    <comment ref="F1250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从PO0000213转入</t>
        </r>
      </text>
    </comment>
    <comment ref="F1277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从PO0000291转入5000PCS</t>
        </r>
      </text>
    </comment>
    <comment ref="F1278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从PO0000322转入5004PCS</t>
        </r>
      </text>
    </comment>
    <comment ref="F1279" authorId="1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从PO0000404转入4992PCS</t>
        </r>
      </text>
    </comment>
  </commentList>
</comments>
</file>

<file path=xl/comments2.xml><?xml version="1.0" encoding="utf-8"?>
<comments xmlns="http://schemas.openxmlformats.org/spreadsheetml/2006/main">
  <authors>
    <author>DELL</author>
    <author>Administrator</author>
    <author>Unknown User</author>
  </authors>
  <commentList>
    <comment ref="W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  <comment ref="J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转1500PCS到PO0000302</t>
        </r>
      </text>
    </comment>
    <comment ref="AU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1600649 8/8 300 PCS</t>
        </r>
      </text>
    </comment>
    <comment ref="AU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1600639 8/6 2004 PCS</t>
        </r>
      </text>
    </comment>
    <comment ref="AU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2801937 8/3 1200 pcs</t>
        </r>
      </text>
    </comment>
    <comment ref="AU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1001611 8/1 2000</t>
        </r>
      </text>
    </comment>
    <comment ref="AU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1001611 8/1 3600</t>
        </r>
      </text>
    </comment>
    <comment ref="AU1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1001611 8/1  1800 pcs</t>
        </r>
      </text>
    </comment>
    <comment ref="J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转1200PCS到PO0000123</t>
        </r>
      </text>
    </comment>
    <comment ref="AU1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1001611 8/1  600 pcs</t>
        </r>
      </text>
    </comment>
    <comment ref="AU1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1001611 8/1  2280 pcs</t>
        </r>
      </text>
    </comment>
    <comment ref="AU1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1001611 8/1  2400 pcs</t>
        </r>
      </text>
    </comment>
    <comment ref="J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转1500PCS到PO0000302
从PO0000302退回1500PCS</t>
        </r>
      </text>
    </comment>
    <comment ref="AU2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2801947 8/4 3360 PCS
2801948 8/5 24 pcs</t>
        </r>
      </text>
    </comment>
    <comment ref="J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从CAJZ044/CAJZ045/CAJZ046转入</t>
        </r>
      </text>
    </comment>
    <comment ref="AU2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1600649 8/8 24 pcs
1600642 8/8 384 pcs</t>
        </r>
      </text>
    </comment>
    <comment ref="AU2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</t>
        </r>
      </text>
    </comment>
    <comment ref="AW2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7/23 印尼客贴纸 816 pcs</t>
        </r>
      </text>
    </comment>
  </commentList>
</comments>
</file>

<file path=xl/comments3.xml><?xml version="1.0" encoding="utf-8"?>
<comments xmlns="http://schemas.openxmlformats.org/spreadsheetml/2006/main">
  <authors>
    <author>DELL</author>
    <author>Administrator</author>
    <author>Unknown User</author>
  </authors>
  <commentList>
    <comment ref="W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  <comment ref="AU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2500265 5/25 20976 pcs</t>
        </r>
      </text>
    </comment>
    <comment ref="AU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1405354 4/9 32 PCS 
1405395 4/6 2976</t>
        </r>
      </text>
    </comment>
    <comment ref="AU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1403560 5/22 6240 pcs</t>
        </r>
      </text>
    </comment>
    <comment ref="AU1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2200203 7/20 204 PCS</t>
        </r>
      </text>
    </comment>
    <comment ref="AU1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16320 pcs
2500389 6/5 3632 pcs
2500386 6/4 4320 pcs
2500382 6/3 11040 pcs
2500157 6/8 9120 pcs
2500175 6/11 4368 PCS
2500172 6/10 2400 pcs</t>
        </r>
      </text>
    </comment>
    <comment ref="AU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1403747 5/6 7488 PCS 
1403471 5/11 12 PCS </t>
        </r>
      </text>
    </comment>
    <comment ref="AU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2500153 5/29 4992 PCS</t>
        </r>
      </text>
    </comment>
    <comment ref="AU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1403388 5/4 5004 pcs</t>
        </r>
      </text>
    </comment>
    <comment ref="AU1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2500323 6/15 3864 pcs
2500197 6/18 84 pcs</t>
        </r>
      </text>
    </comment>
    <comment ref="J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从PO0000149转入1365PCS
从PO0000149转入925PCS
从PO0000188转入215PCS
</t>
        </r>
      </text>
    </comment>
    <comment ref="AU1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2200182 7/18 750 pcs
2200207 7/21 1755 pcs</t>
        </r>
      </text>
    </comment>
    <comment ref="AU2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2200182 7/18 995 pcs</t>
        </r>
      </text>
    </comment>
    <comment ref="J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AU2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2801918 7/30 1710 pcs</t>
        </r>
      </text>
    </comment>
    <comment ref="J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AU2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2801929 8/1 1710 pcs</t>
        </r>
      </text>
    </comment>
    <comment ref="J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J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J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</t>
        </r>
      </text>
    </comment>
    <comment ref="AU2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2200634 8/14 3192 pcs</t>
        </r>
      </text>
    </comment>
    <comment ref="AU2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2200633 8/14 2136 pcs</t>
        </r>
      </text>
    </comment>
    <comment ref="AU2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2200633 8/14 1856 pcs</t>
        </r>
      </text>
    </comment>
    <comment ref="AU3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2801936 8/3 1040 pcs</t>
        </r>
      </text>
    </comment>
    <comment ref="AU3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2200619 8/10 2664 pcs
2200631 8/14 24 PCS</t>
        </r>
      </text>
    </comment>
    <comment ref="AU3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2200619 8/10 2136 pcs
2200633 8/14 24 pcs</t>
        </r>
      </text>
    </comment>
    <comment ref="AU3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2200203 7/20 19992 PCS
2200233 7/23 24 pcs</t>
        </r>
      </text>
    </comment>
    <comment ref="AU3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2801937  8/3 16776 pcs
1801947 8/4 3240 PCS</t>
        </r>
      </text>
    </comment>
    <comment ref="AU3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2801909 7/28 19944 PCS
2801912 7/29 24 pcs</t>
        </r>
      </text>
    </comment>
    <comment ref="AU3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2801947 8/4 23208 PCS
2801948 8/5 16800 PCS</t>
        </r>
      </text>
    </comment>
    <comment ref="J3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AU3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2801903 7/27 1680 pcs</t>
        </r>
      </text>
    </comment>
    <comment ref="J3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AU3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2801905 7/28 1404 PCS
2801912 7/29 12 pcs</t>
        </r>
      </text>
    </comment>
    <comment ref="J4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AU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2200212 8/15 12 pcs
2200633 8/14 1788 PCS</t>
        </r>
      </text>
    </comment>
    <comment ref="J4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AU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2801918 7/30 2790 pcs</t>
        </r>
      </text>
    </comment>
    <comment ref="AU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2801929 8/1 6215 pcs</t>
        </r>
      </text>
    </comment>
    <comment ref="AU4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2801903 7/27 1800 pcs</t>
        </r>
      </text>
    </comment>
    <comment ref="AU4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2801916 7/30 1800 pcs</t>
        </r>
      </text>
    </comment>
    <comment ref="J5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5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2801903 7/27 2352 pcs
1600644 8/8 60 pcs</t>
        </r>
      </text>
    </comment>
    <comment ref="J5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5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2200623 8/11 2964 pcs</t>
        </r>
      </text>
    </comment>
    <comment ref="J5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J5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J5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J5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6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2200254 7/25 48 pcs
2200250 7/25 2352 pcs</t>
        </r>
      </text>
    </comment>
    <comment ref="AU6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2200203 7/20 3576 PCS
2200233 7/23 24 pcs</t>
        </r>
      </text>
    </comment>
    <comment ref="AU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2200233 7/23 1800 pcs</t>
        </r>
      </text>
    </comment>
    <comment ref="AU6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2200164 7/15 1404 pcs</t>
        </r>
      </text>
    </comment>
    <comment ref="AU6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2200254 7/25 8 pcs
2200250 7/25 472 pcs</t>
        </r>
      </text>
    </comment>
    <comment ref="AU6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2200254 7/25 1200 pcs</t>
        </r>
      </text>
    </comment>
    <comment ref="AU6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2200254 7/25 1800 pcs
2200250 7/25 17610 pcs
2801903 7/27 594 pcs</t>
        </r>
      </text>
    </comment>
    <comment ref="AU7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2200128 7/13 960 pcs</t>
        </r>
      </text>
    </comment>
    <comment ref="J73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转5000PCS到PO0000498</t>
        </r>
      </text>
    </comment>
    <comment ref="J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转1200PCS到PO0000335-1</t>
        </r>
      </text>
    </comment>
    <comment ref="AU7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2801947 8/4 2016 PCS</t>
        </r>
      </text>
    </comment>
    <comment ref="AU7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2200634 8/14 19968 pcs
2200215 8/15 48 PCS</t>
        </r>
      </text>
    </comment>
    <comment ref="AU8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1600631 8/6 30216 pcs
2200619 8/10 17304 PCS</t>
        </r>
      </text>
    </comment>
    <comment ref="AU8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2200026 6/29 2448 PCS</t>
        </r>
      </text>
    </comment>
    <comment ref="AW8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17 pcs</t>
        </r>
      </text>
    </comment>
    <comment ref="AU8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2200047 7/6 2448 PCS</t>
        </r>
      </text>
    </comment>
    <comment ref="AW8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17 pcs</t>
        </r>
      </text>
    </comment>
    <comment ref="AU8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2200099 7/9 2016 PCS</t>
        </r>
      </text>
    </comment>
    <comment ref="AW8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14 pcs</t>
        </r>
      </text>
    </comment>
    <comment ref="AU8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2200099 7/9 2016 PCS</t>
        </r>
      </text>
    </comment>
    <comment ref="AW8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14 pcs</t>
        </r>
      </text>
    </comment>
    <comment ref="AU8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2200099 7/9 2016 PCS</t>
        </r>
      </text>
    </comment>
    <comment ref="AW8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14 pcs</t>
        </r>
      </text>
    </comment>
    <comment ref="AU8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2200047 7/6 5760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2200115 7/11 12240 PCS</t>
        </r>
      </text>
    </comment>
    <comment ref="AW8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750 pcs</t>
        </r>
      </text>
    </comment>
    <comment ref="AU8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3000 pcs</t>
        </r>
      </text>
    </comment>
    <comment ref="AW8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50 pcs</t>
        </r>
      </text>
    </comment>
    <comment ref="AU8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2500228 7/8 2025 pcs</t>
        </r>
      </text>
    </comment>
    <comment ref="AW8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27 pcs</t>
        </r>
      </text>
    </comment>
    <comment ref="AU9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2025 pcs</t>
        </r>
      </text>
    </comment>
    <comment ref="AW9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27 pcs</t>
        </r>
      </text>
    </comment>
    <comment ref="AU9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2025 pcs</t>
        </r>
      </text>
    </comment>
    <comment ref="AW9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27 pcs</t>
        </r>
      </text>
    </comment>
    <comment ref="AU9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22000119 7/11 3000 pcs</t>
        </r>
      </text>
    </comment>
    <comment ref="AW9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40 pcs</t>
        </r>
      </text>
    </comment>
    <comment ref="AU9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2025 pcs</t>
        </r>
      </text>
    </comment>
    <comment ref="AW9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27 pcs</t>
        </r>
      </text>
    </comment>
    <comment ref="AU9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2200243 7/24 1248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2200249 7/25 288 pcs</t>
        </r>
      </text>
    </comment>
    <comment ref="AU9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2200228 7/22 1440 PCS
2200249 7/25 96 pcs</t>
        </r>
      </text>
    </comment>
    <comment ref="AU9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2200228 7/22 1440 PCS
2200233 7/23 96 pcs</t>
        </r>
      </text>
    </comment>
    <comment ref="AU10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2200047 7/6 2160 PCS</t>
        </r>
      </text>
    </comment>
    <comment ref="AU10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1152 pcs</t>
        </r>
      </text>
    </comment>
    <comment ref="AU10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7/11 720 pcs</t>
        </r>
      </text>
    </comment>
    <comment ref="AU11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1584 pcs</t>
        </r>
      </text>
    </comment>
    <comment ref="AU11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2200228 7/22 4620 PCS
2200233 7/23 60 pcs</t>
        </r>
      </text>
    </comment>
    <comment ref="AU11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2200250 7/25 384 pcs</t>
        </r>
      </text>
    </comment>
    <comment ref="AU11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2200243 7/24 384 pcs</t>
        </r>
      </text>
    </comment>
    <comment ref="AU11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2200243 7/24 672 pcs</t>
        </r>
      </text>
    </comment>
    <comment ref="AU11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2200243 7/24 672 pcs</t>
        </r>
      </text>
    </comment>
    <comment ref="AU11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2200250 7/25 288 pcs</t>
        </r>
      </text>
    </comment>
    <comment ref="AU11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2200233 7/23 768 pcs
2200243 7/24 192 PCS</t>
        </r>
      </text>
    </comment>
    <comment ref="AU12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7/9 576 PCS</t>
        </r>
      </text>
    </comment>
    <comment ref="AU12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7/11 576 pcs</t>
        </r>
      </text>
    </comment>
    <comment ref="AU12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7/11 576 pcs</t>
        </r>
      </text>
    </comment>
    <comment ref="AU12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2200229 7/22 560 pcs</t>
        </r>
      </text>
    </comment>
    <comment ref="AU12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2200229 7/22 560 pcs</t>
        </r>
      </text>
    </comment>
    <comment ref="AU12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2200228 7/22 1152 pcs</t>
        </r>
      </text>
    </comment>
    <comment ref="AU12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2200228 7/22 1056 PCS
2200233 7/23 96 pcs</t>
        </r>
      </text>
    </comment>
    <comment ref="AU12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2200228 7/22 960 PCS
22002337/23 96 pcs
2200249 7/25 96 pcs</t>
        </r>
      </text>
    </comment>
    <comment ref="AU13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7/9 720 PCS</t>
        </r>
      </text>
    </comment>
    <comment ref="AU13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7/9 720 PCS</t>
        </r>
      </text>
    </comment>
    <comment ref="AU13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7/9 720 PCS</t>
        </r>
      </text>
    </comment>
    <comment ref="AU13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2500239 7/7 720 pcs</t>
        </r>
      </text>
    </comment>
    <comment ref="AU13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2200096 7/9 384 PCS</t>
        </r>
      </text>
    </comment>
    <comment ref="AU13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2200096 7/9 384 PCS</t>
        </r>
      </text>
    </comment>
    <comment ref="AU13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2200096 7/9 384 PCS</t>
        </r>
      </text>
    </comment>
    <comment ref="AU1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2200047 7/6 11520 PCS</t>
        </r>
      </text>
    </comment>
    <comment ref="AU1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5904 pcs</t>
        </r>
      </text>
    </comment>
    <comment ref="AU1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3744 pcs</t>
        </r>
      </text>
    </comment>
    <comment ref="AU1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8640 pcs</t>
        </r>
      </text>
    </comment>
    <comment ref="AU14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2801912 7/29 26340 pcs</t>
        </r>
      </text>
    </comment>
    <comment ref="AU15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2801905 7/28 2304 PCS
2801912 7/29 96 PCS</t>
        </r>
      </text>
    </comment>
    <comment ref="AU15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2200254 7/25 96 pcs
2200250 7/25 2016 pcs</t>
        </r>
      </text>
    </comment>
    <comment ref="AU15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2801905 7/28 3552 PCS
2801912 7/29 192 PCS</t>
        </r>
      </text>
    </comment>
    <comment ref="AU15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2200254 7/25 192 pcs
2200250 7/25 3744 pcs</t>
        </r>
      </text>
    </comment>
    <comment ref="AU15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2801905 7/28 1728 PCS
2801912 7/29 96 pcs</t>
        </r>
      </text>
    </comment>
    <comment ref="AU15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2200233 7/23 5376 pcs</t>
        </r>
      </text>
    </comment>
    <comment ref="AU15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2801902 7/27 3264 pcs 补单</t>
        </r>
      </text>
    </comment>
    <comment ref="AU15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2801902 7/27 3264 pcs 补单</t>
        </r>
      </text>
    </comment>
    <comment ref="AU15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2801902 7/27 3264 pcs 补单</t>
        </r>
      </text>
    </comment>
    <comment ref="AU15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2700 pcs
2200152 7/14 3000 PCS</t>
        </r>
      </text>
    </comment>
    <comment ref="AW15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76 pcs</t>
        </r>
      </text>
    </comment>
    <comment ref="AU16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2200128 7/13 6975 pcs
2801903 7/27 75 pcs</t>
        </r>
      </text>
    </comment>
    <comment ref="AW16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94 pcs</t>
        </r>
      </text>
    </comment>
    <comment ref="AU16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2200158 7/15 3375 pcs
1001854 7/23 150 pcs
2200236 7/23 2025 pcs
2200242 7/24 150 pcs</t>
        </r>
      </text>
    </comment>
    <comment ref="AW16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76 pcs</t>
        </r>
      </text>
    </comment>
    <comment ref="AU16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2200127 7/13 2700 pcs
2200228 7/22 4050 PCS
1001854 7/23 2025 pcs
2200242 7/24 300 pcs</t>
        </r>
      </text>
    </comment>
    <comment ref="AW16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121 pcs</t>
        </r>
      </text>
    </comment>
    <comment ref="AU1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2200207 7/21 3150 pcs
1001854 7/22 1200 pcs
2200236 7/23 2700 pcs</t>
        </r>
      </text>
    </comment>
    <comment ref="AW1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94 pcs</t>
        </r>
      </text>
    </comment>
    <comment ref="AU16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2200229 7/22 3150 pcs
2200242 7/24 pcs</t>
        </r>
      </text>
    </comment>
    <comment ref="AU16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2200229 7/22 3150 pcs
2200242 7/24 pcs</t>
        </r>
      </text>
    </comment>
    <comment ref="AU16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2200228 7/22 6720 pcs
2200249 7/25 96 pcs</t>
        </r>
      </text>
    </comment>
    <comment ref="AU16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2200243 7/24 6528 pcs
2200249 7/25 288 pcs</t>
        </r>
      </text>
    </comment>
    <comment ref="AU16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2200243 7/24 6336 pcs
2200249 7/25 480 pcs</t>
        </r>
      </text>
    </comment>
    <comment ref="AU17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3888 PCS</t>
        </r>
      </text>
    </comment>
    <comment ref="AU17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2200127 7/13 3600 pcs
2200182 7/18 288 pcs</t>
        </r>
      </text>
    </comment>
    <comment ref="AU17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3888 PCS</t>
        </r>
      </text>
    </comment>
    <comment ref="AU17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2200127 7/13 4020 pcs</t>
        </r>
      </text>
    </comment>
    <comment ref="AU17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2200207 7/21 2016 PCS</t>
        </r>
      </text>
    </comment>
    <comment ref="AU17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2200207 7/21 2016 PCS</t>
        </r>
      </text>
    </comment>
    <comment ref="AU17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2200207 7/21 2016 PCS</t>
        </r>
      </text>
    </comment>
    <comment ref="J180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转5004PCS到PO0000498</t>
        </r>
      </text>
    </comment>
    <comment ref="J1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19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1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19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20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20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20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20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20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从PO0000204转入1648PCS
从PO0000203转入4000PCS</t>
        </r>
      </text>
    </comment>
    <comment ref="AU21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2200152 7/14 348 PCS
2200211 7/20 12 PCS</t>
        </r>
      </text>
    </comment>
    <comment ref="AU21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2200152 7/14 228 PCS
2200211 7/20 12 PCS</t>
        </r>
      </text>
    </comment>
    <comment ref="G212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PO0000381改PO0000428</t>
        </r>
      </text>
    </comment>
    <comment ref="AU22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2801916 7/30 1840 pcs
2801921 7/31 3648 PCS</t>
        </r>
      </text>
    </comment>
    <comment ref="AU23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2801947 8/4 4992 PCS
2801948 8/5 24 pcs</t>
        </r>
      </text>
    </comment>
    <comment ref="AU23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2801931 8/1 4464 PCS
2801934 8/3 36 pcs</t>
        </r>
      </text>
    </comment>
    <comment ref="AU23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2801948 8/5 6000 PCS</t>
        </r>
      </text>
    </comment>
    <comment ref="AW23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4800 pcs</t>
        </r>
      </text>
    </comment>
    <comment ref="AW2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1440 pcs</t>
        </r>
      </text>
    </comment>
    <comment ref="AU24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1600650 8/7 3840 pcs</t>
        </r>
      </text>
    </comment>
    <comment ref="AW24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3840 pcs</t>
        </r>
      </text>
    </comment>
    <comment ref="AU2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1600631 8/6 1440 pcs</t>
        </r>
      </text>
    </comment>
    <comment ref="AW2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1440 pcs</t>
        </r>
      </text>
    </comment>
    <comment ref="AU2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2200623 8/11 4704 pcs
2200212 8/15 96 pcs</t>
        </r>
      </text>
    </comment>
    <comment ref="AW2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4800 pcs</t>
        </r>
      </text>
    </comment>
    <comment ref="AU2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2801936 8/3 1332 pcs
2801942 8/4 588 pcs</t>
        </r>
      </text>
    </comment>
    <comment ref="AW2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1920 pcs</t>
        </r>
      </text>
    </comment>
    <comment ref="AU2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2801921 7/31 1440 PCS</t>
        </r>
      </text>
    </comment>
    <comment ref="AW2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1440 pcs</t>
        </r>
      </text>
    </comment>
    <comment ref="AU2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1600639 8/7 2400 PCS</t>
        </r>
      </text>
    </comment>
    <comment ref="AW2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2400 pcs</t>
        </r>
      </text>
    </comment>
    <comment ref="AU24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1600631 8/6 600 pcs</t>
        </r>
      </text>
    </comment>
    <comment ref="AU25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1600631 8/6 240 pcs</t>
        </r>
      </text>
    </comment>
    <comment ref="AU25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1600630 8/6 648 PCS</t>
        </r>
      </text>
    </comment>
    <comment ref="AU25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2801936 8/3 324 pcs</t>
        </r>
      </text>
    </comment>
    <comment ref="AU25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2801921 7/31 264 PCS</t>
        </r>
      </text>
    </comment>
    <comment ref="AU25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1600642 8/8 420 pcs</t>
        </r>
      </text>
    </comment>
    <comment ref="AU25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1600631 8/6 300 pcs</t>
        </r>
      </text>
    </comment>
    <comment ref="AU25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1600631 8/6 120 pcs</t>
        </r>
      </text>
    </comment>
    <comment ref="AU25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1600630 8/6 384 PCS</t>
        </r>
      </text>
    </comment>
    <comment ref="AU26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2801936 8/3 144 pcs</t>
        </r>
      </text>
    </comment>
    <comment ref="AU26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2801921 7/31 132 PCS</t>
        </r>
      </text>
    </comment>
    <comment ref="AU26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1600642 8/8 216 pcs</t>
        </r>
      </text>
    </comment>
    <comment ref="AU26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2801905 7/28 5976 PCS
2801912 7/29 24 pcs</t>
        </r>
      </text>
    </comment>
    <comment ref="AU26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2801936 8/3 3000 pcs</t>
        </r>
      </text>
    </comment>
    <comment ref="AU27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2801936 8/3 3000 pcs</t>
        </r>
      </text>
    </comment>
    <comment ref="AU28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2200624 8/12 11964 pcs
2200212 8/15 36 pcs</t>
        </r>
      </text>
    </comment>
    <comment ref="AU28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1600631 8/6 7728 pcs
1600638 8/7 1656 PCS
2200624 8/12 696 pcs</t>
        </r>
      </text>
    </comment>
    <comment ref="AU28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2200212 8/15 42 pcs
2200634 8/14 6006 pcs</t>
        </r>
      </text>
    </comment>
    <comment ref="AU28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2200627 8/12 6006 PCS
2200212 8/15 42 pcs</t>
        </r>
      </text>
    </comment>
    <comment ref="AU29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2200623 8/11 2952 pcs
2200631 8/14 48 PCS</t>
        </r>
      </text>
    </comment>
    <comment ref="J312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从PO0000292转入</t>
        </r>
      </text>
    </comment>
    <comment ref="J313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从PO0000292转入</t>
        </r>
      </text>
    </comment>
    <comment ref="J314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从PO0000292转入</t>
        </r>
      </text>
    </comment>
    <comment ref="J335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J336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AU33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2801905 7/28 18576 PCS</t>
        </r>
      </text>
    </comment>
    <comment ref="AW33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7/16 上外箱贴纸 799 pcs</t>
        </r>
      </text>
    </comment>
    <comment ref="J337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AU33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2801929 8/1 18048 pcs</t>
        </r>
      </text>
    </comment>
    <comment ref="AW33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7/16 上外箱贴纸 752 pcs</t>
        </r>
      </text>
    </comment>
    <comment ref="J338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AU33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2801921 7/31 11400 PCS
2801925 8/1 24 pcs</t>
        </r>
      </text>
    </comment>
    <comment ref="AW33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7/16 上外箱贴纸 476 pcs</t>
        </r>
      </text>
    </comment>
    <comment ref="J339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AU33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2801937 8/3 6024 pcs
2801947 8/4 6720 PCS
2801948 8/5 3480 pcs</t>
        </r>
      </text>
    </comment>
    <comment ref="AW33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7/16 上外箱贴纸 676 pcs</t>
        </r>
      </text>
    </comment>
    <comment ref="J340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从PO0000391转入</t>
        </r>
      </text>
    </comment>
    <comment ref="AU3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2801921 7/31 10608 PCS</t>
        </r>
      </text>
    </comment>
    <comment ref="AW3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7/16 上外箱贴纸 442 pcs</t>
        </r>
      </text>
    </comment>
    <comment ref="AW3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7/23 印尼客贴纸 1032 pcs</t>
        </r>
      </text>
    </comment>
    <comment ref="AW3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7/23 印尼客贴纸 816 pcs</t>
        </r>
      </text>
    </comment>
    <comment ref="AW3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7/23 印尼客贴纸 1440 pcs</t>
        </r>
      </text>
    </comment>
    <comment ref="AW3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7/23 印尼客贴纸 960 pcs</t>
        </r>
      </text>
    </comment>
    <comment ref="AW34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7/30 上 3000 pcs</t>
        </r>
      </text>
    </comment>
    <comment ref="AW35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7/30 上 1500 pcs</t>
        </r>
      </text>
    </comment>
    <comment ref="J359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转3108PCS到PO0000462</t>
        </r>
      </text>
    </comment>
    <comment ref="AW35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8/3 上条码贴纸 8400 pcs</t>
        </r>
      </text>
    </comment>
    <comment ref="AW3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8/10 比利时客贴纸 7008 pcs</t>
        </r>
      </text>
    </comment>
    <comment ref="AW36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8/10 比利时客贴纸 4416 pcs</t>
        </r>
      </text>
    </comment>
    <comment ref="AW36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8/10 比利时客贴纸 3000 pcs</t>
        </r>
      </text>
    </comment>
    <comment ref="AW36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8/10 比利时客贴纸 10008 pcs</t>
        </r>
      </text>
    </comment>
    <comment ref="J367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从PO0000458转入</t>
        </r>
      </text>
    </comment>
    <comment ref="AW36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8/3 上条码贴纸 8400 pcs</t>
        </r>
      </text>
    </comment>
    <comment ref="J368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从PO0000408转入</t>
        </r>
      </text>
    </comment>
    <comment ref="J369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从PO0000408转入</t>
        </r>
      </text>
    </comment>
    <comment ref="J370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从PO0000408转入</t>
        </r>
      </text>
    </comment>
    <comment ref="J382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从PO0000266转入4200PCS</t>
        </r>
        <r>
          <rPr>
            <b/>
            <sz val="9"/>
            <rFont val="宋体"/>
            <charset val="0"/>
          </rPr>
          <t xml:space="preserve">
sara:</t>
        </r>
        <r>
          <rPr>
            <sz val="9"/>
            <rFont val="宋体"/>
            <charset val="0"/>
          </rPr>
          <t xml:space="preserve">
从PO0000419转入3600PCS</t>
        </r>
      </text>
    </comment>
    <comment ref="AW38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8/6 客版贴纸 7800 pcs</t>
        </r>
      </text>
    </comment>
    <comment ref="J444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从PO0000291转入5000PCS</t>
        </r>
      </text>
    </comment>
    <comment ref="J445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从PO0000322转入5004PCS</t>
        </r>
      </text>
    </comment>
    <comment ref="J446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从PO0000404转入4992PCS</t>
        </r>
      </text>
    </comment>
  </commentList>
</comments>
</file>

<file path=xl/comments4.xml><?xml version="1.0" encoding="utf-8"?>
<comments xmlns="http://schemas.openxmlformats.org/spreadsheetml/2006/main">
  <authors>
    <author>DELL</author>
    <author>Administrator</author>
    <author>Unknown User</author>
  </authors>
  <commentList>
    <comment ref="W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  <comment ref="J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从PO0000205转入
</t>
        </r>
      </text>
    </comment>
    <comment ref="J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从PO0000205转入
</t>
        </r>
      </text>
    </comment>
    <comment ref="J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从PO0000205转入
</t>
        </r>
      </text>
    </comment>
    <comment ref="J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4320PCS从PO0000205转入，新加5688PCS</t>
        </r>
      </text>
    </comment>
    <comment ref="AW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33 pcs</t>
        </r>
      </text>
    </comment>
    <comment ref="AW1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33 pcs</t>
        </r>
      </text>
    </comment>
    <comment ref="AW1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8/15 外箱贴纸 33 pcs</t>
        </r>
      </text>
    </comment>
    <comment ref="AW1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7/8 送外箱贴纸 186 pcs</t>
        </r>
      </text>
    </comment>
    <comment ref="AW2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18400 pcs</t>
        </r>
      </text>
    </comment>
    <comment ref="AW2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18400 pcs</t>
        </r>
      </text>
    </comment>
    <comment ref="AW2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6/26 18400 pcs</t>
        </r>
      </text>
    </comment>
    <comment ref="AW2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7/23 泰国客贴纸 824 pcs</t>
        </r>
      </text>
    </comment>
    <comment ref="AW2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7/23 泰国客贴纸 4212 pcs</t>
        </r>
      </text>
    </comment>
    <comment ref="AW2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7/23 泰国客贴纸 2304 pcs</t>
        </r>
      </text>
    </comment>
    <comment ref="J41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从PO0000213转入</t>
        </r>
      </text>
    </comment>
    <comment ref="J42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从PO0000213转入</t>
        </r>
      </text>
    </comment>
  </commentList>
</comments>
</file>

<file path=xl/comments5.xml><?xml version="1.0" encoding="utf-8"?>
<comments xmlns="http://schemas.openxmlformats.org/spreadsheetml/2006/main">
  <authors>
    <author>DELL</author>
    <author>Administrator</author>
    <author>Unknown User</author>
  </authors>
  <commentList>
    <comment ref="W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  <comment ref="AU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1405354 4/9 32 PCS 
1405395 4/6 2976</t>
        </r>
      </text>
    </comment>
    <comment ref="AU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1405395 4/6 2000 PCS </t>
        </r>
      </text>
    </comment>
    <comment ref="AW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4/13 上Toysmith贴纸 9000 pcs</t>
        </r>
      </text>
    </comment>
    <comment ref="AU3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1405938 4/14 5000 pcs</t>
        </r>
      </text>
    </comment>
    <comment ref="F6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从JAZ254722转入</t>
        </r>
      </text>
    </comment>
    <comment ref="AU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1405938 4/14 1572 pcs</t>
        </r>
      </text>
    </comment>
    <comment ref="J1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从CAJZ043转入</t>
        </r>
      </text>
    </comment>
    <comment ref="J13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从CAJZ044转入
</t>
        </r>
      </text>
    </comment>
    <comment ref="AU14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1405336 4/9 4992 PCS 
1405938 4/14 12 pcs</t>
        </r>
      </text>
    </comment>
    <comment ref="AU14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1405369 4/7 24 PCS 
1405365 4/6 2976 PCS </t>
        </r>
      </text>
    </comment>
    <comment ref="AU14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1405336 4/9 10080 PCS 
1405354 4/9 9576 PCS </t>
        </r>
      </text>
    </comment>
    <comment ref="AU15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1405938 4/14 5000 pcs</t>
        </r>
      </text>
    </comment>
    <comment ref="AU16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1403804 4、21 31848 pcs
1403845 4/23 168 pcs</t>
        </r>
      </text>
    </comment>
    <comment ref="AU16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1405948 4/11 20163 pcs
</t>
        </r>
      </text>
    </comment>
    <comment ref="AU16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1403657/1403668 4/28 29544 pcs
1403709/1403686 4/29 20472 pcs</t>
        </r>
      </text>
    </comment>
    <comment ref="AU16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1405395 4/6 2000 PCS </t>
        </r>
      </text>
    </comment>
    <comment ref="AU16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1403893 4/23 8256 pcs
1403880 4/25 144 pcs</t>
        </r>
      </text>
    </comment>
    <comment ref="AU16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1403880 4/25 10056 pcs
1403649 4/26 10080 pcs
1403709/1403686 4/29 19872 pcs</t>
        </r>
      </text>
    </comment>
    <comment ref="AU17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1403731 5/4 78 pcs</t>
        </r>
      </text>
    </comment>
    <comment ref="AU1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1403731 5/4 76 pcs</t>
        </r>
      </text>
    </comment>
    <comment ref="AU18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1403761 5/5 10056 PCS </t>
        </r>
      </text>
    </comment>
    <comment ref="AU18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1403388 5/4 7488 pcs</t>
        </r>
      </text>
    </comment>
    <comment ref="AU1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1403734 5/3 4992 pcs
1403761 5/5 24 PCS </t>
        </r>
      </text>
    </comment>
    <comment ref="AU18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1403388 5/4 4992 pcs</t>
        </r>
      </text>
    </comment>
    <comment ref="AU18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1403747 5/6 9312 PCS 
1403769 5/5 6696 PCS </t>
        </r>
      </text>
    </comment>
    <comment ref="AU18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1403731 5/4 12480 pcs</t>
        </r>
      </text>
    </comment>
    <comment ref="AU18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1403642 4/25 10056 pcs
1403649 4/26 4320 pcs
1403731 5/4  24 pcs</t>
        </r>
      </text>
    </comment>
    <comment ref="J18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从CAJZ050转入</t>
        </r>
      </text>
    </comment>
    <comment ref="AU19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1403411 5/7 6000 PCS </t>
        </r>
      </text>
    </comment>
    <comment ref="AU19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1403388 5/4 600 pcs</t>
        </r>
      </text>
    </comment>
    <comment ref="AU19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1403409 5/7 2976 PCS </t>
        </r>
      </text>
    </comment>
    <comment ref="AU19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1403731 5/4 2400 pcs</t>
        </r>
      </text>
    </comment>
    <comment ref="AU19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1403409 5/7 1488 PCS </t>
        </r>
      </text>
    </comment>
    <comment ref="AU1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1403769 5/5 9000 PCS</t>
        </r>
      </text>
    </comment>
    <comment ref="AU19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1403731 5/4 3624 pcs
1403761 5/4 1374 PCS </t>
        </r>
      </text>
    </comment>
    <comment ref="AU20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1403731 5/4 2000 pcs</t>
        </r>
      </text>
    </comment>
    <comment ref="AU20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1403409 5/7 2988 PCS 
1403462 5/9 12 PCS </t>
        </r>
      </text>
    </comment>
    <comment ref="AU20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1403462 5/9 2160 PCS 
1403471 5/11 840 PCS </t>
        </r>
      </text>
    </comment>
    <comment ref="AU20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1403845 4/23 24000 pcs</t>
        </r>
      </text>
    </comment>
    <comment ref="AU20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1403864 4/24 19440 pcs
1403880 4/25 10566 pcs</t>
        </r>
      </text>
    </comment>
    <comment ref="AU20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1403778 4/18 11652 pcs
1403811 4/19 5748 pcs
1403804 4/21 5760 pcs
1403880 4/25 834 pcs
1403734 5/3 6 pcs</t>
        </r>
      </text>
    </comment>
    <comment ref="AU20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1405938 4/14 1572 pcs
1405926/1405927 4/15 3376 pcs
1405864 4/16 52 pcs</t>
        </r>
      </text>
    </comment>
    <comment ref="AU21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1403399 5/7 12000 PCS </t>
        </r>
      </text>
    </comment>
    <comment ref="AU21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1403411 5/7 11061 pcs
1403444 5/9 045 PCS 
</t>
        </r>
      </text>
    </comment>
    <comment ref="AU2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1403731 5/4 5250 pcs
1403698 4/30 6444 pcs
1403462 5/9 288 PCS 
1403471 5/11 18 PCS</t>
        </r>
      </text>
    </comment>
    <comment ref="AU2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1403741/1403734 5/2 7792 pcs
1403709 4/29 2207 pcs</t>
        </r>
      </text>
    </comment>
    <comment ref="AU21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1403462 5/9 6003 PCS </t>
        </r>
      </text>
    </comment>
    <comment ref="AU2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1403576 5/15 23976 PCS </t>
        </r>
      </text>
    </comment>
    <comment ref="AU2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1403388 5/4 1656 pcs
1403409 5/7 1016 PCS 
1403403 5/7 3312 PCS 
1403444 5/9 16 PCS </t>
        </r>
      </text>
    </comment>
    <comment ref="J2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SRMC103（A1 - J1，A2 - C2），13款散装手链各390pcs，手链+美文版收藏指南</t>
        </r>
      </text>
    </comment>
    <comment ref="AU2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1403558 5/22 42144 pcs</t>
        </r>
      </text>
    </comment>
    <comment ref="AU2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1403409 5/7 4320 PCS 
1403461/1403444 5/9 5202 PCS</t>
        </r>
      </text>
    </comment>
    <comment ref="AU2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1403461 5/9 3584 PCS </t>
        </r>
      </text>
    </comment>
    <comment ref="AU2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1403411 5/7 11061 PCS
1403444 5/9 945 PCS </t>
        </r>
      </text>
    </comment>
    <comment ref="AU23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1403731 5/4 5250 pcs
1403698 4/30 6444 pcs
1403462 5/9 288 PCS 
1403471 5/11 18 PCS</t>
        </r>
      </text>
    </comment>
    <comment ref="G23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从CAJZ045转入</t>
        </r>
      </text>
    </comment>
    <comment ref="G23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从CAJZ043转入</t>
        </r>
      </text>
    </comment>
    <comment ref="AU23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1403399 5/7 14376 PCS 
1403444 5/9 24 PCS </t>
        </r>
      </text>
    </comment>
    <comment ref="AV23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AU24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1403570 5/17 4040 pcs
1403560 5/22 460 pcs</t>
        </r>
      </text>
    </comment>
    <comment ref="AU24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1403570 5/17 16008 pcs</t>
        </r>
      </text>
    </comment>
    <comment ref="AU24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1405885 5/14 4188 PCS </t>
        </r>
      </text>
    </comment>
    <comment ref="AU24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1403558 5/22 15984 pcs
2500265 5/25 24 PCS</t>
        </r>
      </text>
    </comment>
    <comment ref="AU24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2500153 5/29 21000 PCS</t>
        </r>
      </text>
    </comment>
    <comment ref="AU24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1403554 5/21 7992 pcs
1403562 5/24 24 pcs</t>
        </r>
      </text>
    </comment>
    <comment ref="AU24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1403562 5/23 7176 pcs
2500265 5/25 24 pcs</t>
        </r>
      </text>
    </comment>
    <comment ref="J24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从PO0000215转入</t>
        </r>
      </text>
    </comment>
    <comment ref="AU25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2500295 6/2 3936 pcs</t>
        </r>
      </text>
    </comment>
    <comment ref="AU25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2500155 5/30 3480 pcs</t>
        </r>
      </text>
    </comment>
    <comment ref="AU25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2500295 6/2 1872 pcs</t>
        </r>
      </text>
    </comment>
    <comment ref="AU25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2500295 6/2 1052 pcs</t>
        </r>
      </text>
    </comment>
    <comment ref="AU25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1403568 5/16 1620 pcs</t>
        </r>
      </text>
    </comment>
    <comment ref="AU25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2500299 6/2 4800 pcs</t>
        </r>
      </text>
    </comment>
    <comment ref="AU25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2500290 6/1 12000 pcs</t>
        </r>
      </text>
    </comment>
    <comment ref="AU26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2500267 5/25 19431 pcs
2500145 5/26 4491 PCS5
2500290 6/1 81 pcs</t>
        </r>
      </text>
    </comment>
    <comment ref="AU26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2500145 5/26 6000 PCS</t>
        </r>
      </text>
    </comment>
    <comment ref="AU26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2500145 5/26 10800 PCS
2500149 5/28 1200 pcs</t>
        </r>
      </text>
    </comment>
    <comment ref="AU26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1403547 5/15 1104 PCS 
1403568 5/16 3314 pcs</t>
        </r>
      </text>
    </comment>
    <comment ref="AU26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2500145 5/26 5130 PCS
2500149 5/28 837 pcs</t>
        </r>
      </text>
    </comment>
    <comment ref="AU27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1403575 5/19 9504 pcs
2500267 5/25 2184 pcs
2500145 5/26 312 PCS</t>
        </r>
      </text>
    </comment>
    <comment ref="AU27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2500267 5/25 12000 pcs</t>
        </r>
      </text>
    </comment>
    <comment ref="AU27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2500267 5/25 6480 pcs
1403562 5/23 3600 pcs
 2500145 5/26 6048 pcs
2500149 5/28 7872 pcs</t>
        </r>
      </text>
    </comment>
    <comment ref="AU2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2500267 5/25 19431 pcs
2500145 5/26 4491 PCS5
2500290 6/1 81 pcs</t>
        </r>
      </text>
    </comment>
    <comment ref="J27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从PO0000149转入4060PCS
从PO0000188转入15PCS</t>
        </r>
      </text>
    </comment>
    <comment ref="AU27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1403409 5/7 500 PCS 
1405878 5/14 3575 PCS </t>
        </r>
      </text>
    </comment>
    <comment ref="J27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27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1403715 4/29 660 pcs
1403411 5/7 4248 pcs
</t>
        </r>
      </text>
    </comment>
    <comment ref="J27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</t>
        </r>
      </text>
    </comment>
    <comment ref="AU27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1403547 5/15 3552 PCS </t>
        </r>
      </text>
    </comment>
    <comment ref="J28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从PO0000177转入</t>
        </r>
      </text>
    </comment>
    <comment ref="AU28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1403715 4/29 4236 PCS </t>
        </r>
      </text>
    </comment>
    <comment ref="AU28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1403467 5/11 2880 PCS</t>
        </r>
      </text>
    </comment>
    <comment ref="AU28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1403570 5/17 4560 pcs</t>
        </r>
      </text>
    </comment>
    <comment ref="AU2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1403528 5/12 1980 PCS </t>
        </r>
      </text>
    </comment>
    <comment ref="AU28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1403547 5/15 760 PCS </t>
        </r>
      </text>
    </comment>
    <comment ref="AU28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1405885 5/14 2280 PCS </t>
        </r>
      </text>
    </comment>
    <comment ref="AU28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2500156 5/30 4800 pcs</t>
        </r>
      </text>
    </comment>
    <comment ref="AU28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2500157 6/8 24000 pcs</t>
        </r>
      </text>
    </comment>
    <comment ref="AU29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2500157 6/8 12000 pcs</t>
        </r>
      </text>
    </comment>
    <comment ref="AU29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5952 pcs
2500382 6/3 48 pcs</t>
        </r>
      </text>
    </comment>
    <comment ref="AU29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2500365 5/25 3600 pcs</t>
        </r>
      </text>
    </comment>
    <comment ref="AU29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2500299 6/2 3408 pcs</t>
        </r>
      </text>
    </comment>
    <comment ref="AU29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1403554 5/21 1104 pcs</t>
        </r>
      </text>
    </comment>
    <comment ref="AU2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1403551 5/20 1440 pcs</t>
        </r>
      </text>
    </comment>
    <comment ref="AU29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1403575 5/19 1104 pcs</t>
        </r>
      </text>
    </comment>
    <comment ref="AU2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1403461 5/9 3600 PCS</t>
        </r>
      </text>
    </comment>
    <comment ref="AU29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1403461 5/9 3600 PCS</t>
        </r>
      </text>
    </comment>
    <comment ref="AU30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1403467 5/11 840 PCS</t>
        </r>
      </text>
    </comment>
    <comment ref="AU30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1403575 5/19 1800 pcs</t>
        </r>
      </text>
    </comment>
    <comment ref="AU30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1403461 5/9 600 PCS</t>
        </r>
      </text>
    </comment>
    <comment ref="J3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从PO0000149转入2280PCS
从PO0000188转入220PCS
</t>
        </r>
      </text>
    </comment>
    <comment ref="AU3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1403568 5/16 2500 pcs</t>
        </r>
      </text>
    </comment>
    <comment ref="J30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30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1403628 5/19 4176 pcs
1403551 5/20 696 pcs</t>
        </r>
      </text>
    </comment>
    <comment ref="J30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AU30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2500156 5/30 3516 pcs</t>
        </r>
      </text>
    </comment>
    <comment ref="J30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从PO0000177转入
</t>
        </r>
      </text>
    </comment>
    <comment ref="AU30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2500262 5/23 4200 pcs</t>
        </r>
      </text>
    </comment>
    <comment ref="AU30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2801437 6/8 288 pcs
2801426 6/6 1728 pcs</t>
        </r>
      </text>
    </comment>
    <comment ref="AU3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2500149 5/28 12492 pcs
2500153 5/29 7008 pcs
2500155 5/30 504 pcs</t>
        </r>
      </text>
    </comment>
    <comment ref="AU31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1403763 5/5 30216 PCS 
1403411 5/7 12936 pcs
1403444 5/9 48 PCS </t>
        </r>
      </text>
    </comment>
    <comment ref="AU3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2500290 6/1 10512 pcs</t>
        </r>
      </text>
    </comment>
    <comment ref="AU3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2500295 6/2 4236 pcs
2500290 6/1 5760 pcs</t>
        </r>
      </text>
    </comment>
    <comment ref="AU3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2500290 6/1 6940 pcs
2500386 6/4 635 pcs
2500356 6/6 425 pcs</t>
        </r>
      </text>
    </comment>
    <comment ref="AU31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2500179 6/12  3000 pcs</t>
        </r>
      </text>
    </comment>
    <comment ref="AU3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2500356 6/6 9984 pcs
2500157 6/8 12 pcs</t>
        </r>
      </text>
    </comment>
    <comment ref="AU3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2988 pcs</t>
        </r>
      </text>
    </comment>
    <comment ref="AU3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2500172 6/10 552 pcs
2500169 6/10 2448 pcs</t>
        </r>
      </text>
    </comment>
    <comment ref="AU320" authorId="1">
      <text>
        <r>
          <rPr>
            <sz val="9"/>
            <rFont val="宋体"/>
            <charset val="0"/>
          </rPr>
          <t>Administrator:
2500177 6/11 1530 pcs
2500173 6/10 19548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2500179 6/12 9480 pcs</t>
        </r>
      </text>
    </comment>
    <comment ref="AU3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1403554 5/21 15192 pcs</t>
        </r>
      </text>
    </comment>
    <comment ref="AU3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1403575 5/19 3800 pcs</t>
        </r>
      </text>
    </comment>
    <comment ref="AU3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2500389 6/5 20160 pcs
2500356 6/6 2112 pcs
</t>
        </r>
      </text>
    </comment>
    <comment ref="AU3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2500155 5/30 2232 pcs
2500290 6/1 168 pcs</t>
        </r>
      </text>
    </comment>
    <comment ref="AU32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1194 pcs</t>
        </r>
      </text>
    </comment>
    <comment ref="AU32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2500155 5/30 400 pcs</t>
        </r>
      </text>
    </comment>
    <comment ref="AU33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2500175 6/11 12 PCS
2500172 6/10 1188 pcs</t>
        </r>
      </text>
    </comment>
    <comment ref="AU33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2500179 6/12  800 pcs</t>
        </r>
      </text>
    </comment>
    <comment ref="AU33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2500155 5/30 1080 pcs
2500290 6/1 120 pcs</t>
        </r>
      </text>
    </comment>
    <comment ref="AU33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2500356 6/6 600 pcs</t>
        </r>
      </text>
    </comment>
    <comment ref="J33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从CAJZ040转入1500PCS</t>
        </r>
      </text>
    </comment>
    <comment ref="AU34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2500172 6/10 1248 pcs</t>
        </r>
      </text>
    </comment>
    <comment ref="AU34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2500175 6/11 1104 PCS</t>
        </r>
      </text>
    </comment>
    <comment ref="AU34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2500389 6/5 1704 pcs</t>
        </r>
      </text>
    </comment>
    <comment ref="AU34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2500175 6/11 8 PCS
2500172 6/10 592 pcs</t>
        </r>
      </text>
    </comment>
    <comment ref="AU34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2500175 6/11 1116 PCS</t>
        </r>
      </text>
    </comment>
    <comment ref="AU3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2801462 6/13 2160 pcs</t>
        </r>
      </text>
    </comment>
    <comment ref="AU3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2500319 6/13 2400 pcs</t>
        </r>
      </text>
    </comment>
    <comment ref="AU34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2500356 6/6 1056 pcs
2500157 6/8 24 pcs</t>
        </r>
      </text>
    </comment>
    <comment ref="AU34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2500319 6/13 900 pcs</t>
        </r>
      </text>
    </comment>
    <comment ref="J35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从CAJZ044转入</t>
        </r>
      </text>
    </comment>
    <comment ref="J35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从CAJZ044转入
</t>
        </r>
      </text>
    </comment>
    <comment ref="AU35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9216 pcs
2500382 6/3 192 pcs</t>
        </r>
      </text>
    </comment>
    <comment ref="AU35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2500153 5/29 9168 PCS
2500288 5/30 240 pcs</t>
        </r>
      </text>
    </comment>
    <comment ref="AU35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1403560 5/22 1512 pcs</t>
        </r>
      </text>
    </comment>
    <comment ref="AU35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2500155 5/30 1212 pcs</t>
        </r>
      </text>
    </comment>
    <comment ref="AU35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1403554 5/21 2424 pcs</t>
        </r>
      </text>
    </comment>
    <comment ref="AU36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2801478 6/15  9408 pcs</t>
        </r>
      </text>
    </comment>
    <comment ref="AU36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2500145 5/26 2432 PCS</t>
        </r>
      </text>
    </comment>
    <comment ref="AU36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2500386 6/4 3528 pcs
2500356 6/6 120 pcs</t>
        </r>
      </text>
    </comment>
    <comment ref="AU36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2500356 6/6 808 pcs</t>
        </r>
      </text>
    </comment>
    <comment ref="AU36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2500172 6/10 1212 pcs
</t>
        </r>
      </text>
    </comment>
    <comment ref="AU36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2500172 6/10 1212 pcs
</t>
        </r>
      </text>
    </comment>
    <comment ref="AU36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1403709/1403715 4/29 16800 pcs</t>
        </r>
      </text>
    </comment>
    <comment ref="AU36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4272 pcs</t>
        </r>
      </text>
    </comment>
    <comment ref="AU36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2500179 6/12  2508 pcs</t>
        </r>
      </text>
    </comment>
    <comment ref="AU37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2500153 5/29 4992 pcs</t>
        </r>
      </text>
    </comment>
    <comment ref="AU37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2500356 6/6 29976 pcs
2500157 6/8 24 pcs</t>
        </r>
      </text>
    </comment>
    <comment ref="AU3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1403568 5/16 12480 pcs</t>
        </r>
      </text>
    </comment>
    <comment ref="AU37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1403551 5/20 13704 pcs</t>
        </r>
      </text>
    </comment>
    <comment ref="AU37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1403570 5/17 5496 pcs</t>
        </r>
      </text>
    </comment>
    <comment ref="AU37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1403547 5/15 1248 PCS </t>
        </r>
      </text>
    </comment>
    <comment ref="J38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从PO0000177转入
</t>
        </r>
      </text>
    </comment>
    <comment ref="AU38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1476 pcs</t>
        </r>
      </text>
    </comment>
    <comment ref="J38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从PO0000149转入340PCS
从PO0000149转入2660PCS
</t>
        </r>
      </text>
    </comment>
    <comment ref="AU38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2500175 6/11 3000 pcs</t>
        </r>
      </text>
    </comment>
    <comment ref="J3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3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2500290 6/1 600 pcs</t>
        </r>
      </text>
    </comment>
    <comment ref="J38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AU38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2500173 6/10 348 pcs</t>
        </r>
      </text>
    </comment>
    <comment ref="AU39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1403551 5/20 1440 pcs</t>
        </r>
      </text>
    </comment>
    <comment ref="AU39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2200015 6/26 1800 PCS</t>
        </r>
      </text>
    </comment>
    <comment ref="AU39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2200016 6/26 660 PCS</t>
        </r>
      </text>
    </comment>
    <comment ref="AU39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1405885 5/14 1248 PCS </t>
        </r>
      </text>
    </comment>
    <comment ref="AU39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1403551 5/20 2400 pcs</t>
        </r>
      </text>
    </comment>
    <comment ref="AU3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1403547 5/15 340 PCS </t>
        </r>
      </text>
    </comment>
    <comment ref="AU39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1403575 5/19 1776 pcs
1403562 5/23 24 pcs</t>
        </r>
      </text>
    </comment>
    <comment ref="AU3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1405885 5/14 660 PCS </t>
        </r>
      </text>
    </comment>
    <comment ref="AU40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2500351 6/17 13980 pcs
2500197 6/18 2010 pcs
2500211 6/20 744 pcs
2500203 6/20 3270 pcs</t>
        </r>
      </text>
    </comment>
    <comment ref="AW40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4/13 外箱贴纸 2168 pcs
     外箱黄色贴纸 </t>
        </r>
      </text>
    </comment>
    <comment ref="J40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从PO0000177转入</t>
        </r>
      </text>
    </comment>
    <comment ref="AU40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2500301 6/15 1068 pcs</t>
        </r>
      </text>
    </comment>
    <comment ref="AU40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2500301 6/15 732 pcs</t>
        </r>
      </text>
    </comment>
    <comment ref="J4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从PO0000149转入340PCS
从PO0000149转入2660PCS</t>
        </r>
      </text>
    </comment>
    <comment ref="AU40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2500323 6/15 3000 PCS</t>
        </r>
      </text>
    </comment>
    <comment ref="J40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40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2500323 6/15 600 pcs</t>
        </r>
      </text>
    </comment>
    <comment ref="J40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AU40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2500173 6/10 348 pcs</t>
        </r>
      </text>
    </comment>
    <comment ref="AU41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2500211 6/20 3360 pcs
2500203 6/20 8640 pcs</t>
        </r>
      </text>
    </comment>
    <comment ref="AU41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2500349 6/17  24003 pcs</t>
        </r>
      </text>
    </comment>
    <comment ref="AU41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2500216 6/22 5544 PCS
2200004 6/23 900 PCS
2500221 6/23 4176 PCS
2200009 6/24 7380 pcs</t>
        </r>
      </text>
    </comment>
    <comment ref="AU41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2200066 7/1 6000 pcs</t>
        </r>
      </text>
    </comment>
    <comment ref="AU41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2200017 6/27 2388 pcs
2500252 6/29 12 PCS</t>
        </r>
      </text>
    </comment>
    <comment ref="AU41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2200017 6/27 1200 pcs</t>
        </r>
      </text>
    </comment>
    <comment ref="AU41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2200066 7/1 144 pcs
2500257 6/30 2856 pcs</t>
        </r>
      </text>
    </comment>
    <comment ref="AU42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6/27 7200 pcs</t>
        </r>
      </text>
    </comment>
    <comment ref="J4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从PO0000295转入</t>
        </r>
      </text>
    </comment>
    <comment ref="AU42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2500301 6/15  1200  pcs</t>
        </r>
      </text>
    </comment>
    <comment ref="AU43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1405878 5/14 20976 PCS </t>
        </r>
      </text>
    </comment>
    <comment ref="AU43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2500319 6/13 14988 pcs
2500323 6/15 12 PCS</t>
        </r>
      </text>
    </comment>
    <comment ref="AU43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2500216 6/22 15000 PCS</t>
        </r>
      </text>
    </comment>
    <comment ref="AU43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2500211 6/20 4200 pcs</t>
        </r>
      </text>
    </comment>
    <comment ref="AU43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2500301 6/15 1380 pcs</t>
        </r>
      </text>
    </comment>
    <comment ref="AU43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2500323 6/15 3864 pcs</t>
        </r>
      </text>
    </comment>
    <comment ref="AU43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1405885 5/14 12480 PCS </t>
        </r>
      </text>
    </comment>
    <comment ref="AU44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16320 pcs
2500389 6/5 3632 pcs
2500386 6/4 4320 pcs
2500382 6/3 11040 pcs
2500157 6/8 9120 pcs
2500175 6/11 4368 PCS
2500172 6/10 2400 pcs</t>
        </r>
      </text>
    </comment>
    <comment ref="AU44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2500349 6/17  6720 pcs
2500197 6/18 2016 pcs
2500216 6/22 11280 PCS</t>
        </r>
      </text>
    </comment>
    <comment ref="AU4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2200073 7/2 5004 pcs</t>
        </r>
      </text>
    </comment>
    <comment ref="AU4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2200086 7/3 4884 pcs
2200047 7/6 120 PCS</t>
        </r>
      </text>
    </comment>
    <comment ref="AU4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2500197 6/18 1656 pcs
2500203 6/20 1104 pcs
2500216 6/22 2240 PCS</t>
        </r>
      </text>
    </comment>
    <comment ref="AU4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2200009 6/24  12006 pcs</t>
        </r>
      </text>
    </comment>
    <comment ref="AU4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2200086 7/3 7560 pcs
2200077 7/3 7560 pcs
2200047 7/6 2880 PCS</t>
        </r>
      </text>
    </comment>
    <comment ref="AU44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2200054 6/30 8064 pcs
2200077 7/3 3024 pcs
2200091 7/6 912 PCS</t>
        </r>
      </text>
    </comment>
    <comment ref="AU44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2200073 7/2 11976 pcs
2200091 7/6 24 PCS</t>
        </r>
      </text>
    </comment>
    <comment ref="AU44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2200088 7/4 12096 pcs
2200091 7/6 23904 PCS</t>
        </r>
      </text>
    </comment>
    <comment ref="AU45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2500254 6/29 780 PCS</t>
        </r>
      </text>
    </comment>
    <comment ref="AU45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2500254 6/29 720 PCS</t>
        </r>
      </text>
    </comment>
    <comment ref="AU45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1894 PCS</t>
        </r>
      </text>
    </comment>
    <comment ref="AU45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2200017 6/27 600 pcs</t>
        </r>
      </text>
    </comment>
    <comment ref="AU45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2200017 6/27 960 pcs</t>
        </r>
      </text>
    </comment>
    <comment ref="AU45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6/27 400 pcs</t>
        </r>
      </text>
    </comment>
    <comment ref="AU46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2200020 6/27 480 pcs</t>
        </r>
      </text>
    </comment>
    <comment ref="AU46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2200017 6/27 960 pcs</t>
        </r>
      </text>
    </comment>
    <comment ref="AU46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6/27 600 pcs</t>
        </r>
      </text>
    </comment>
    <comment ref="AU4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2200066 7/1 228 pcs</t>
        </r>
      </text>
    </comment>
    <comment ref="AU46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2500389 6/5 20160 pcs
2500356 6/6 2112 pcs
</t>
        </r>
      </text>
    </comment>
    <comment ref="AU46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6828 pcs
2200051 7/8 576 pcs</t>
        </r>
      </text>
    </comment>
    <comment ref="AU47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2200009 6/24  8640 pcs
2200011 6/25 3360 pcs</t>
        </r>
      </text>
    </comment>
    <comment ref="AU47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2200030 6/25 4500 pcs
2200016 6/26 3300 PCS
2200035 6/26 2820 pcs
2200019 6/27 1380 pcs</t>
        </r>
      </text>
    </comment>
    <comment ref="AU47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2200020 6/27 12000 pcs</t>
        </r>
      </text>
    </comment>
    <comment ref="AU47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2500294 6/2 4272 pcs</t>
        </r>
      </text>
    </comment>
    <comment ref="AU47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2200009 6/24 19992 pcs
2500252 6/29 24 PCS</t>
        </r>
      </text>
    </comment>
    <comment ref="AU47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2200066 7/1 10512 pcs</t>
        </r>
      </text>
    </comment>
    <comment ref="AU47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2200073 7/2 23028 pcs
2200086 7/3 11520 pcs
2200088 7/4 28800 pcs</t>
        </r>
      </text>
    </comment>
    <comment ref="J47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从PO0000216转入</t>
        </r>
      </text>
    </comment>
    <comment ref="AU48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6/27 604 pcs</t>
        </r>
      </text>
    </comment>
    <comment ref="AU48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6/29 480 PCS</t>
        </r>
      </text>
    </comment>
    <comment ref="AU48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2200019 6/27 792 pcs</t>
        </r>
      </text>
    </comment>
    <comment ref="AU48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2200009 6/24 4464 pcs
2200011 6/25 48 pcs</t>
        </r>
      </text>
    </comment>
    <comment ref="AU48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2200023 6/27 4392 pcs</t>
        </r>
      </text>
    </comment>
    <comment ref="AU48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2200017 6/27 1980 pcs
2500252 6/29 6 PCS</t>
        </r>
      </text>
    </comment>
    <comment ref="AU48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2200011 6/25 2688 pcs
2200016 6/26 48 PCS</t>
        </r>
      </text>
    </comment>
    <comment ref="AU48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6/27 1600 pcs</t>
        </r>
      </text>
    </comment>
    <comment ref="AU49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6/27 2016 pcs</t>
        </r>
      </text>
    </comment>
    <comment ref="AU49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2500177 6/11 12012 pcs</t>
        </r>
      </text>
    </comment>
    <comment ref="AU49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2200035 6/26 22992 pcs</t>
        </r>
      </text>
    </comment>
    <comment ref="AU4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2500157 6/8 7920 pcs
2500172 6/10 2088 pcs</t>
        </r>
      </text>
    </comment>
    <comment ref="AU49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2500216 6/22 3312 PCS
2200008 6/24 1104 pcs
2200011 6/25 2084 pcs</t>
        </r>
      </text>
    </comment>
    <comment ref="AU50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2200019 6/27 9984 pcs</t>
        </r>
      </text>
    </comment>
    <comment ref="AU50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2200020 6/27 2016 pcs</t>
        </r>
      </text>
    </comment>
    <comment ref="AU50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2500216 6/22 1008 PCS</t>
        </r>
      </text>
    </comment>
    <comment ref="AW50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2500 PCS</t>
        </r>
      </text>
    </comment>
    <comment ref="AU50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2200088 7/4 720 pcs</t>
        </r>
      </text>
    </comment>
    <comment ref="AW50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W50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0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2200019 6/27 1080 pcs</t>
        </r>
      </text>
    </comment>
    <comment ref="AW50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2500257 6/30 936 pcs
2500237 7/7 24 pcs</t>
        </r>
      </text>
    </comment>
    <comment ref="AW51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6/29 960 PCS</t>
        </r>
      </text>
    </comment>
    <comment ref="AW51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2200019 6/27 720 pcs</t>
        </r>
      </text>
    </comment>
    <comment ref="AW51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6/29 900 PCS</t>
        </r>
      </text>
    </comment>
    <comment ref="AW51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6/29 500 PCS</t>
        </r>
      </text>
    </comment>
    <comment ref="AW51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W51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2200019 6/27 720 pcs</t>
        </r>
      </text>
    </comment>
    <comment ref="AW51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2500252 6/29 600 PCS</t>
        </r>
      </text>
    </comment>
    <comment ref="AW51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2200017 6/27 936 pcs</t>
        </r>
      </text>
    </comment>
    <comment ref="AW51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1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6/29 696 PCS</t>
        </r>
      </text>
    </comment>
    <comment ref="AW51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2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6/27 480 pcs</t>
        </r>
      </text>
    </comment>
    <comment ref="AW52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2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6/26 720 pcs</t>
        </r>
      </text>
    </comment>
    <comment ref="AW52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2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2500254 6/29 360 PCS</t>
        </r>
      </text>
    </comment>
    <comment ref="AW52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2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2200017 6/27 480 pcs</t>
        </r>
      </text>
    </comment>
    <comment ref="AW52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2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6/29 360 PCS</t>
        </r>
      </text>
    </comment>
    <comment ref="AW52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W52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W52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W52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 SR手链贴纸 16250 pcs</t>
        </r>
      </text>
    </comment>
    <comment ref="AU52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12048 pcs
2200051 7/8 24 pcs</t>
        </r>
      </text>
    </comment>
    <comment ref="AU53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5430 PCS</t>
        </r>
      </text>
    </comment>
    <comment ref="AU53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4020 PCS</t>
        </r>
      </text>
    </comment>
    <comment ref="AU53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2500228 7/8  9600 pcs
2200102 7/10 2464 pcs</t>
        </r>
      </text>
    </comment>
    <comment ref="AU53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4824 pcs</t>
        </r>
      </text>
    </comment>
    <comment ref="AU53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2200088 7/4 12096 pcs
2200091 7/6 23904 PCS</t>
        </r>
      </text>
    </comment>
    <comment ref="AU53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2200152 7/14 6000 PCS</t>
        </r>
      </text>
    </comment>
    <comment ref="AU5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2200125 7/11 4320 PCS
2200127 7/13 3684 pcs</t>
        </r>
      </text>
    </comment>
    <comment ref="AU54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2200099 7/9 252 PCS</t>
        </r>
      </text>
    </comment>
    <comment ref="AU5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2200151 7/14 1536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2200158 7/15 1536 pcs</t>
        </r>
      </text>
    </comment>
    <comment ref="AU5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2200151 7/14 1764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2200159 7/15 24 pcs</t>
        </r>
      </text>
    </comment>
    <comment ref="AU5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2200151 7/14 1704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2200159 7/15 12 pcs</t>
        </r>
      </text>
    </comment>
    <comment ref="AU5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2200151 7/14 1500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2200159 7/15 36 pcs</t>
        </r>
      </text>
    </comment>
    <comment ref="AU5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2200151 7/14 264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2200159 7/15 12 pcs</t>
        </r>
      </text>
    </comment>
    <comment ref="AU54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2200151 7/14 1668 pcs</t>
        </r>
      </text>
    </comment>
    <comment ref="AU54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2200151 7/14 1572 pcs</t>
        </r>
      </text>
    </comment>
    <comment ref="AU54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2200020 6/27 3000 pcs</t>
        </r>
      </text>
    </comment>
    <comment ref="AU55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2200153 7/14 1836 pcs</t>
        </r>
      </text>
    </comment>
    <comment ref="AU55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2200153 7/14 564 pcs</t>
        </r>
      </text>
    </comment>
    <comment ref="AU55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2200153 7/14 1254 pcs
2200164 7/15 102 pcs</t>
        </r>
      </text>
    </comment>
    <comment ref="AU55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2200153 7/14 300 pcs</t>
        </r>
      </text>
    </comment>
    <comment ref="AU55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2200153 7/14 1032 pcs</t>
        </r>
      </text>
    </comment>
    <comment ref="AU55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2200153 7/14 1038 PCS
2200164 7/15 210 pcs</t>
        </r>
      </text>
    </comment>
    <comment ref="AU55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2200127 7/13 4700 pcs
2200153 7/14 100 pcs</t>
        </r>
      </text>
    </comment>
    <comment ref="AU55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2500237 7/7 1920 pcs</t>
        </r>
      </text>
    </comment>
    <comment ref="AU5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14928 pcs
2200107 7/11 72 pcs</t>
        </r>
      </text>
    </comment>
    <comment ref="AU56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1403576 5/15 20976 PCS </t>
        </r>
      </text>
    </comment>
    <comment ref="AU56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1403551 5/20 12480 pcs</t>
        </r>
      </text>
    </comment>
    <comment ref="AU56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2200169 7/16 9156 pcs
2200167 7/16 3240 pcs
2200178 7/17 3864 pcs
2200174 7/17 8640 pcs
2200182 7/18 96 pcs</t>
        </r>
      </text>
    </comment>
    <comment ref="AU56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2200023 6/27 1992 pcs</t>
        </r>
      </text>
    </comment>
    <comment ref="AU56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2200125 7/11 2592 PCS
2200127 7/13 5184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2200169 7/16 216 pcs</t>
        </r>
      </text>
    </comment>
    <comment ref="AU56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1680 pcs</t>
        </r>
      </text>
    </comment>
    <comment ref="AW56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6/18 送3600 pcs</t>
        </r>
      </text>
    </comment>
    <comment ref="AU57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1200 pcs</t>
        </r>
      </text>
    </comment>
    <comment ref="AW57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6/18 送3600 pcs</t>
        </r>
      </text>
    </comment>
    <comment ref="AU57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2200096 7/9 720 PCS</t>
        </r>
      </text>
    </comment>
    <comment ref="AW57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6/18 送3600 pcs</t>
        </r>
      </text>
    </comment>
    <comment ref="J5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从PO0000149转入570PCS
从PO0000149转入2430PCS</t>
        </r>
      </text>
    </comment>
    <comment ref="AU57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2200088 7/4 3000 pcs</t>
        </r>
      </text>
    </comment>
    <comment ref="J57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57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1008 PCS</t>
        </r>
      </text>
    </comment>
    <comment ref="AU57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2500301 6/15 1800 pcs</t>
        </r>
      </text>
    </comment>
    <comment ref="AW58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7/13 外箱贴纸  46 pcs</t>
        </r>
      </text>
    </comment>
    <comment ref="AU58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7/9 288 PCS</t>
        </r>
      </text>
    </comment>
    <comment ref="AW58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7/13  4</t>
        </r>
      </text>
    </comment>
    <comment ref="AU58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7/9 288 PCS</t>
        </r>
      </text>
    </comment>
    <comment ref="AW58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7/13  4</t>
        </r>
      </text>
    </comment>
    <comment ref="AU58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2200095 7/9 288 PCS</t>
        </r>
      </text>
    </comment>
    <comment ref="AW58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7/13  4</t>
        </r>
      </text>
    </comment>
    <comment ref="AU58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2500239 7/7 240 pcs</t>
        </r>
      </text>
    </comment>
    <comment ref="AU58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2200026 6/29 576 PCS</t>
        </r>
      </text>
    </comment>
    <comment ref="AU58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2200026 6/29 720 PCS</t>
        </r>
      </text>
    </comment>
    <comment ref="AU59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2200026 6/29 432 PCS</t>
        </r>
      </text>
    </comment>
    <comment ref="AU59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2200026 6/29 288 PCS</t>
        </r>
      </text>
    </comment>
    <comment ref="AU59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2200026 6/29 432 PCS</t>
        </r>
      </text>
    </comment>
    <comment ref="AU59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2200073 7/2 3648 pcs</t>
        </r>
      </text>
    </comment>
    <comment ref="AW59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7/8送外箱贴纸 44 pcs</t>
        </r>
      </text>
    </comment>
    <comment ref="AW59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7/8送外箱贴纸 44 pcs</t>
        </r>
      </text>
    </comment>
    <comment ref="AW59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7/8送外箱贴纸 35 pcs</t>
        </r>
      </text>
    </comment>
    <comment ref="AU59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2500228 7/8 1125 pcs</t>
        </r>
      </text>
    </comment>
    <comment ref="AW59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15 pcs</t>
        </r>
      </text>
    </comment>
    <comment ref="AU59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1350 pcs</t>
        </r>
      </text>
    </comment>
    <comment ref="AW59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15 pcs</t>
        </r>
      </text>
    </comment>
    <comment ref="AU60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1125 pcs</t>
        </r>
      </text>
    </comment>
    <comment ref="AW60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15 pcs</t>
        </r>
      </text>
    </comment>
    <comment ref="AU60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1650 pcs</t>
        </r>
      </text>
    </comment>
    <comment ref="AW60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22 pcs</t>
        </r>
      </text>
    </comment>
    <comment ref="AU60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1350 pcs</t>
        </r>
      </text>
    </comment>
    <comment ref="AW60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15 pcs</t>
        </r>
      </text>
    </comment>
    <comment ref="AW60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544 pcs</t>
        </r>
      </text>
    </comment>
    <comment ref="AW60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544 pcs</t>
        </r>
      </text>
    </comment>
    <comment ref="AW60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544 pcs</t>
        </r>
      </text>
    </comment>
    <comment ref="AU60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2200026 6/29 9504 PCS</t>
        </r>
      </text>
    </comment>
    <comment ref="AW60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13 pcs</t>
        </r>
      </text>
    </comment>
    <comment ref="AU60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2200129 7/13 1440 pcs</t>
        </r>
      </text>
    </comment>
    <comment ref="AW60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10 pcs</t>
        </r>
      </text>
    </comment>
    <comment ref="AU60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2200127 7/13 7080 pcs
2200164 7/15 3888 pcs</t>
        </r>
      </text>
    </comment>
    <comment ref="AW60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457 pcs</t>
        </r>
      </text>
    </comment>
    <comment ref="J60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从PO0000205转入</t>
        </r>
      </text>
    </comment>
    <comment ref="AU61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2200086 7/3 10800 pcs
2200091 7/6 4800 PCS</t>
        </r>
      </text>
    </comment>
    <comment ref="AU61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2500197 6/18 5100 pcs</t>
        </r>
      </text>
    </comment>
    <comment ref="AU61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2200018 6/27 1700 pcs</t>
        </r>
      </text>
    </comment>
    <comment ref="AU61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2200182 7/18 1302 pcs</t>
        </r>
      </text>
    </comment>
    <comment ref="AU61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2200233 7/23 2976 pcs</t>
        </r>
      </text>
    </comment>
    <comment ref="AU61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2200115 7/11 9984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2200159 7/15 24 pcs</t>
        </r>
      </text>
    </comment>
    <comment ref="AU62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2200128 7/13 3006 pcs</t>
        </r>
      </text>
    </comment>
    <comment ref="AU62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2200169 7/16 5004 pcs</t>
        </r>
      </text>
    </comment>
    <comment ref="AU62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2200169 7/16 1500 pcs</t>
        </r>
      </text>
    </comment>
    <comment ref="AU62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2200169 7/16 2994 pcs
2200178 7/17 6 pcs</t>
        </r>
      </text>
    </comment>
    <comment ref="AU62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2200169 7/16 3420 pcs
2200178 7/17 84 pcs</t>
        </r>
      </text>
    </comment>
    <comment ref="AU62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2200246 7/24 5488 pcs</t>
        </r>
      </text>
    </comment>
    <comment ref="AU62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2200207 7/21 4398 pcs</t>
        </r>
      </text>
    </comment>
    <comment ref="AU63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2200203 7/20 5496 PCS</t>
        </r>
      </text>
    </comment>
    <comment ref="G631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PO0000329改PO0000381</t>
        </r>
      </text>
    </comment>
    <comment ref="AW63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14 pcs</t>
        </r>
      </text>
    </comment>
    <comment ref="AW63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14 pcs</t>
        </r>
      </text>
    </comment>
    <comment ref="AW63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12 pcs</t>
        </r>
      </text>
    </comment>
    <comment ref="AU6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7/6 375 pcs</t>
        </r>
      </text>
    </comment>
    <comment ref="AW6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5 pcs</t>
        </r>
      </text>
    </comment>
    <comment ref="AU64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7/6 525 pcs</t>
        </r>
      </text>
    </comment>
    <comment ref="AW64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7 pcs</t>
        </r>
      </text>
    </comment>
    <comment ref="AU6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7/6 375 pcs</t>
        </r>
      </text>
    </comment>
    <comment ref="AW6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5 pcs</t>
        </r>
      </text>
    </comment>
    <comment ref="AU6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7/6 525 pcs</t>
        </r>
      </text>
    </comment>
    <comment ref="AW6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7 pcs</t>
        </r>
      </text>
    </comment>
    <comment ref="AU6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2200049 7/6 525 pcs</t>
        </r>
      </text>
    </comment>
    <comment ref="AW6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7 pcs</t>
        </r>
      </text>
    </comment>
    <comment ref="J64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从PO0000149转入1140PCS
从PO0000149转入1860PCS
</t>
        </r>
      </text>
    </comment>
    <comment ref="AU6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2200182 7/18 3000 pcs</t>
        </r>
      </text>
    </comment>
    <comment ref="J64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从PO0000151转入
</t>
        </r>
      </text>
    </comment>
    <comment ref="AU6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2200203 7/20 1140 PCS</t>
        </r>
      </text>
    </comment>
    <comment ref="J64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从PO0000154-1转入</t>
        </r>
      </text>
    </comment>
    <comment ref="AU64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2200115 7/11 2004 PCS</t>
        </r>
      </text>
    </comment>
    <comment ref="AU64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2200124 7/11 1800 PCS</t>
        </r>
      </text>
    </comment>
    <comment ref="AU65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2200124 7/11 3120 PCS</t>
        </r>
      </text>
    </comment>
    <comment ref="AU65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2200152 7/14 2742 PCS</t>
        </r>
        <r>
          <rPr>
            <b/>
            <sz val="9"/>
            <rFont val="宋体"/>
            <charset val="0"/>
          </rPr>
          <t xml:space="preserve">
严新荟:</t>
        </r>
        <r>
          <rPr>
            <sz val="9"/>
            <rFont val="宋体"/>
            <charset val="0"/>
          </rPr>
          <t xml:space="preserve">
2200169 7/16 36 pcs</t>
        </r>
      </text>
    </comment>
    <comment ref="AU65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3096 PCS
2500257 6/30 24 pcs</t>
        </r>
      </text>
    </comment>
    <comment ref="AU65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2040 PCS</t>
        </r>
      </text>
    </comment>
    <comment ref="AW65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6/16 上产品贴纸 2040 pcs</t>
        </r>
      </text>
    </comment>
    <comment ref="AU65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2500252 6/29 1536 PCS
2500258 6/30 24 pcs</t>
        </r>
      </text>
    </comment>
    <comment ref="AU65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1440 PCS</t>
        </r>
      </text>
    </comment>
    <comment ref="AU65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22000054 6/30 552 pcs
2200047 7/6  552 pcs
2200096 7/9  96 pcs</t>
        </r>
      </text>
    </comment>
    <comment ref="AU66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2200124 7/11 1512 PCS</t>
        </r>
      </text>
    </comment>
    <comment ref="AU66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2200115 7/11 4080 PCS</t>
        </r>
      </text>
    </comment>
    <comment ref="AU66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1560 pcs</t>
        </r>
      </text>
    </comment>
    <comment ref="AU6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1536 PCS
2200077 7/3 24 pcs</t>
        </r>
      </text>
    </comment>
    <comment ref="AU66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2200158 7/15 944 pcs
2200168 7/16 16 pcs</t>
        </r>
      </text>
    </comment>
    <comment ref="AU66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3120 PCS</t>
        </r>
      </text>
    </comment>
    <comment ref="AU66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2500252 6/29 720 PCS</t>
        </r>
      </text>
    </comment>
    <comment ref="AU66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2200124 7/11 1560 PCS</t>
        </r>
      </text>
    </comment>
    <comment ref="AU66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1200 PCS</t>
        </r>
      </text>
    </comment>
    <comment ref="AU66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1560 pcs</t>
        </r>
      </text>
    </comment>
    <comment ref="AW66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6/16 上产品贴纸 1560 pcs</t>
        </r>
      </text>
    </comment>
    <comment ref="J67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从PO0000217转入</t>
        </r>
      </text>
    </comment>
    <comment ref="AU67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2200254 7/25 72 pcs
2200250 7/25 3432 pcs</t>
        </r>
      </text>
    </comment>
    <comment ref="AU67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2801916 7/30 2016 pcs
2801923 7/31 24 pcs</t>
        </r>
      </text>
    </comment>
    <comment ref="AW67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6/15 2400  pcs</t>
        </r>
      </text>
    </comment>
    <comment ref="AU67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2760 PCS</t>
        </r>
      </text>
    </comment>
    <comment ref="AU67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2200124 7/11 2760 pcs</t>
        </r>
      </text>
    </comment>
    <comment ref="AU67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2200073 7/2 1800 pcs</t>
        </r>
      </text>
    </comment>
    <comment ref="AW67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6/16 上产品贴纸 1800 pcs</t>
        </r>
      </text>
    </comment>
    <comment ref="AU68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2500252 6/29 600 PCS</t>
        </r>
      </text>
    </comment>
    <comment ref="AU68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2500248 6/29 1404 PCS</t>
        </r>
      </text>
    </comment>
    <comment ref="AU68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2200054 6/30 1200 pcs</t>
        </r>
      </text>
    </comment>
    <comment ref="AU68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2200124 7/11 1800 pcs</t>
        </r>
      </text>
    </comment>
    <comment ref="AU68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1440 pcs</t>
        </r>
      </text>
    </comment>
    <comment ref="AW68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6/16 上产品贴纸 1440 pcs</t>
        </r>
      </text>
    </comment>
    <comment ref="AU68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4896 pcs
2200107 7/11 24 pcs</t>
        </r>
      </text>
    </comment>
    <comment ref="AU68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2500228 7/8 1440 pcs</t>
        </r>
      </text>
    </comment>
    <comment ref="AU68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2200073 7/2 2040 pcs</t>
        </r>
      </text>
    </comment>
    <comment ref="AU68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2200152 7/14 1184 PCS
2200168 7/16 16 pcs</t>
        </r>
      </text>
    </comment>
    <comment ref="AU69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2200124 7/11 1440 pcs</t>
        </r>
      </text>
    </comment>
    <comment ref="AU69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2500252 6/29 960 PCS</t>
        </r>
      </text>
    </comment>
    <comment ref="AU69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2200025 6/29 1200 PCS</t>
        </r>
      </text>
    </comment>
    <comment ref="AU69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2200117 7/11 1200 pcs</t>
        </r>
      </text>
    </comment>
    <comment ref="AU69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2200124 7/11 1560 pcs</t>
        </r>
      </text>
    </comment>
    <comment ref="J6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69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70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70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从PO0000205转入
</t>
        </r>
      </text>
    </comment>
    <comment ref="AW70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7/8 送外箱贴纸 234 pcs</t>
        </r>
      </text>
    </comment>
    <comment ref="AW70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7/8 送外箱贴纸 234 pcs</t>
        </r>
      </text>
    </comment>
    <comment ref="AW70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7/8 送外箱贴纸 186 pcs</t>
        </r>
      </text>
    </comment>
    <comment ref="AU70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2200102 7/10 2700 pcs
2200152 7/14 3000 PCS</t>
        </r>
      </text>
    </comment>
    <comment ref="AW70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76 pcs</t>
        </r>
      </text>
    </comment>
    <comment ref="AU70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2200128 7/13 6975 pcs
2801903 7/27 75 pcs</t>
        </r>
      </text>
    </comment>
    <comment ref="AW70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94 pcs</t>
        </r>
      </text>
    </comment>
    <comment ref="AU70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2200158 7/15 3375 pcs
1001854 7/23 150 pcs
2200236 7/23 2025 pcs
2200242 7/24 150 pcs</t>
        </r>
      </text>
    </comment>
    <comment ref="AW70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76 pcs</t>
        </r>
      </text>
    </comment>
    <comment ref="AU71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2200207 7/21 3150 pcs
1001854 7/22 1200 pcs
2200236 7/23 2700 pcs</t>
        </r>
      </text>
    </comment>
    <comment ref="AW71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7/7 外箱贴纸  94 pcs</t>
        </r>
      </text>
    </comment>
    <comment ref="J71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AW71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7/9 1600 pcs</t>
        </r>
      </text>
    </comment>
    <comment ref="AW71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7/9 1600 pcs</t>
        </r>
      </text>
    </comment>
    <comment ref="AU71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2500237 7/7 4296 pcs</t>
        </r>
      </text>
    </comment>
    <comment ref="AU71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2200099 7/9 19992 PCS
2200107 7/11 24 pcs</t>
        </r>
      </text>
    </comment>
    <comment ref="AU71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2200016 6/26 20016 PCS</t>
        </r>
      </text>
    </comment>
    <comment ref="AU71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2500323 6/15 3864 pcs
2500197 6/18 84 pcs</t>
        </r>
      </text>
    </comment>
    <comment ref="J7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从PO0000214转入</t>
        </r>
      </text>
    </comment>
    <comment ref="J7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从PO0000214转入</t>
        </r>
      </text>
    </comment>
    <comment ref="J7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7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AW72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7/13 外箱贴纸2944 pcs</t>
        </r>
      </text>
    </comment>
    <comment ref="AW72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7/11 外箱贴纸 2944 pcs</t>
        </r>
      </text>
    </comment>
    <comment ref="AW72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7/13 外箱贴纸 1675 pcs
7/21 外箱贴纸 1269 pcs</t>
        </r>
      </text>
    </comment>
    <comment ref="AU72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2500228 7/8 36816 pcs
2200096 7/9 8640 PCS
2200127 7/13 5232 pcs
2200169 7/16 2564 pcs
2200174 7/17 3456 pcs
2200182 7/18 1800 pcs</t>
        </r>
      </text>
    </comment>
    <comment ref="AW72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7/13 2437 PCS5</t>
        </r>
      </text>
    </comment>
    <comment ref="AU72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2200026 6/29 9504 PCS
2200073 7/2 288 pcs</t>
        </r>
      </text>
    </comment>
    <comment ref="AW72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7/21 外箱贴纸 68 pcs</t>
        </r>
      </text>
    </comment>
    <comment ref="AU72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2200178 7/17 7056 pcs
2200182 7/18 432 pcs</t>
        </r>
      </text>
    </comment>
    <comment ref="AW72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7/21 外箱贴纸 52 pcs</t>
        </r>
      </text>
    </comment>
    <comment ref="AU73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1600630 8/6 1200 PCS</t>
        </r>
      </text>
    </comment>
    <comment ref="J73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73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AP73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86折后价</t>
        </r>
      </text>
    </comment>
    <comment ref="AW73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6/29 1416 pcs</t>
        </r>
      </text>
    </comment>
    <comment ref="AU73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2801929 8/1 2808 pcs</t>
        </r>
      </text>
    </comment>
    <comment ref="AW73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11436 pcs</t>
        </r>
      </text>
    </comment>
    <comment ref="AU73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2801912 7/29 2112 pcs
2801923 7/31 48 pcs</t>
        </r>
      </text>
    </comment>
    <comment ref="AW73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15408 PCS</t>
        </r>
      </text>
    </comment>
    <comment ref="AU73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2801929 8/1 1920 pcs</t>
        </r>
      </text>
    </comment>
    <comment ref="AU73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2801929 8/1 1872 pcs</t>
        </r>
      </text>
    </comment>
    <comment ref="AW73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15408 PCS</t>
        </r>
      </text>
    </comment>
    <comment ref="AU7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2801929 8/1 1704 pcs
2801934 8/3 36 pcs</t>
        </r>
      </text>
    </comment>
    <comment ref="AW74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11436 pcs</t>
        </r>
      </text>
    </comment>
    <comment ref="AU74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2801921 7/31 600 PCS</t>
        </r>
      </text>
    </comment>
    <comment ref="AW74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11436 pcs</t>
        </r>
      </text>
    </comment>
    <comment ref="AU7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2801937 8/3 960 pcs</t>
        </r>
      </text>
    </comment>
    <comment ref="AW74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11436 pcs</t>
        </r>
      </text>
    </comment>
    <comment ref="AU74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2801926 8/3 900 pcs</t>
        </r>
      </text>
    </comment>
    <comment ref="AU7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2801912 7/29 48 pcs
2801918 7/30 48 pcs</t>
        </r>
      </text>
    </comment>
    <comment ref="AW74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15408 PCS</t>
        </r>
      </text>
    </comment>
    <comment ref="AU7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2801916 7/30 2400 pcs</t>
        </r>
      </text>
    </comment>
    <comment ref="AW74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15408 PCS</t>
        </r>
      </text>
    </comment>
    <comment ref="AU7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2801947 8/4 1440 PCS</t>
        </r>
      </text>
    </comment>
    <comment ref="AW74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15408 PCS</t>
        </r>
      </text>
    </comment>
    <comment ref="AU74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2801909 7/28 3120 PCS</t>
        </r>
      </text>
    </comment>
    <comment ref="AW74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11436 pcs</t>
        </r>
      </text>
    </comment>
    <comment ref="AU74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280193·1 8/1 2856 pcs
2801942 8/4 24 PCS</t>
        </r>
      </text>
    </comment>
    <comment ref="AW74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15408 PCS</t>
        </r>
      </text>
    </comment>
    <comment ref="AU74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2801936 8/3 1008 pcs</t>
        </r>
      </text>
    </comment>
    <comment ref="AW74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11436 pcs</t>
        </r>
      </text>
    </comment>
    <comment ref="AU75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2801931 8/1 1512 pcs
2801948 8/5 24 pcs</t>
        </r>
      </text>
    </comment>
    <comment ref="AW75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15408 PCS</t>
        </r>
      </text>
    </comment>
    <comment ref="AU75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2801929 8/1 1200 pcs</t>
        </r>
      </text>
    </comment>
    <comment ref="AW75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11436 pcs</t>
        </r>
      </text>
    </comment>
    <comment ref="AU75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2801931 8/1 2400 PCS</t>
        </r>
      </text>
    </comment>
    <comment ref="AW75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7/17 15408 PCS</t>
        </r>
      </text>
    </comment>
    <comment ref="AU75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2200096 7/9 192 PCS</t>
        </r>
      </text>
    </comment>
    <comment ref="AW755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4 pcs</t>
        </r>
      </text>
    </comment>
    <comment ref="AU75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7/11 192 pcs</t>
        </r>
      </text>
    </comment>
    <comment ref="AW756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4 pcs</t>
        </r>
      </text>
    </comment>
    <comment ref="AU75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2200119 7/11 192 pcs</t>
        </r>
      </text>
    </comment>
    <comment ref="AW757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4 pcs</t>
        </r>
      </text>
    </comment>
    <comment ref="AU75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2200229 7/22 140 pcs
2200242 7/24 70 pcs</t>
        </r>
      </text>
    </comment>
    <comment ref="AW75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6 pcs</t>
        </r>
      </text>
    </comment>
    <comment ref="AU75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2200229 7/22 140 pcs
2200242 7/24 70 pcs</t>
        </r>
      </text>
    </comment>
    <comment ref="AW759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6 pcs</t>
        </r>
      </text>
    </comment>
    <comment ref="AW760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8/11 外箱贴纸 42 pcs</t>
        </r>
      </text>
    </comment>
    <comment ref="AW761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752 PCS</t>
        </r>
      </text>
    </comment>
    <comment ref="AU76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2500228 7/8 96 pcs</t>
        </r>
      </text>
    </comment>
    <comment ref="AW762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2 pcs</t>
        </r>
      </text>
    </comment>
    <comment ref="AU7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2500228 7/8 96 pcs</t>
        </r>
      </text>
    </comment>
    <comment ref="AW763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2 pcs</t>
        </r>
      </text>
    </comment>
    <comment ref="AU76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2500228 7/8 96 pcs</t>
        </r>
      </text>
    </comment>
    <comment ref="AW764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8/8 外箱贴纸 2 pcs</t>
        </r>
      </text>
    </comment>
    <comment ref="J76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76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  <comment ref="J76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从PO0000289转入</t>
        </r>
      </text>
    </comment>
  </commentList>
</comments>
</file>

<file path=xl/comments6.xml><?xml version="1.0" encoding="utf-8"?>
<comments xmlns="http://schemas.openxmlformats.org/spreadsheetml/2006/main">
  <authors>
    <author>DELL</author>
  </authors>
  <commentList>
    <comment ref="W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J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7/3更改数量减少60PCS</t>
        </r>
      </text>
    </comment>
  </commentList>
</comments>
</file>

<file path=xl/comments8.xml><?xml version="1.0" encoding="utf-8"?>
<comments xmlns="http://schemas.openxmlformats.org/spreadsheetml/2006/main">
  <authors>
    <author>DELL</author>
    <author>Administrator</author>
    <author>Unknown User</author>
  </authors>
  <commentList>
    <comment ref="W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  <comment ref="G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从PO0000149转入
</t>
        </r>
      </text>
    </comment>
    <comment ref="J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1/16转1104PCS到PO0000120-CAJZ
5/9转1896PCS到PO0000335-1</t>
        </r>
      </text>
    </comment>
    <comment ref="J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转5016PCS到PO0000335-1</t>
        </r>
      </text>
    </comment>
    <comment ref="J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转24984PCS到PO0000320</t>
        </r>
      </text>
    </comment>
    <comment ref="J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转1992PCS到PO0000320</t>
        </r>
      </text>
    </comment>
    <comment ref="J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转1344PCS到CAJZ056
转1800PCS到PO0000212-1
转288PCS到PO0000335-1</t>
        </r>
      </text>
    </comment>
    <comment ref="J2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从CAJZ045转入</t>
        </r>
      </text>
    </comment>
    <comment ref="J2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从CAJZ046转入</t>
        </r>
      </text>
    </comment>
    <comment ref="J3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从CAJZ044转入</t>
        </r>
      </text>
    </comment>
    <comment ref="J3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5/21转到PO0000367</t>
        </r>
      </text>
    </comment>
    <comment ref="J3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5/21转到PO0000367</t>
        </r>
      </text>
    </comment>
    <comment ref="J4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从PO0000335-1转入
转288PCS到PO0000383</t>
        </r>
      </text>
    </comment>
    <comment ref="J4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从PO0000335-1转入
转5016PCS到PO0000383
</t>
        </r>
      </text>
    </comment>
    <comment ref="J4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从PO0000335-1转入
转984PCS到PO0000371
转624PCS到PO0000372
转288PCS到PO0000383
</t>
        </r>
      </text>
    </comment>
    <comment ref="J4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转1200PCS到PO0000335-1</t>
        </r>
      </text>
    </comment>
    <comment ref="J51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从PO0000324转入</t>
        </r>
      </text>
    </comment>
    <comment ref="J52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从PO0000154-1转入</t>
        </r>
      </text>
    </comment>
    <comment ref="J53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从PO0000324转入</t>
        </r>
      </text>
    </comment>
    <comment ref="J54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从PO0000154-1转入</t>
        </r>
      </text>
    </comment>
    <comment ref="J55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转18696PCS到PO0000447</t>
        </r>
        <r>
          <rPr>
            <b/>
            <sz val="9"/>
            <rFont val="宋体"/>
            <charset val="0"/>
          </rPr>
          <t xml:space="preserve">
sara:</t>
        </r>
        <r>
          <rPr>
            <sz val="9"/>
            <rFont val="宋体"/>
            <charset val="0"/>
          </rPr>
          <t xml:space="preserve">
转18048PCS到PO0000448</t>
        </r>
        <r>
          <rPr>
            <b/>
            <sz val="9"/>
            <rFont val="宋体"/>
            <charset val="0"/>
          </rPr>
          <t xml:space="preserve">
sara:</t>
        </r>
        <r>
          <rPr>
            <sz val="9"/>
            <rFont val="宋体"/>
            <charset val="0"/>
          </rPr>
          <t xml:space="preserve">
转11424PCS到PO0000449</t>
        </r>
        <r>
          <rPr>
            <b/>
            <sz val="9"/>
            <rFont val="宋体"/>
            <charset val="0"/>
          </rPr>
          <t xml:space="preserve">
sara:</t>
        </r>
        <r>
          <rPr>
            <sz val="9"/>
            <rFont val="宋体"/>
            <charset val="0"/>
          </rPr>
          <t xml:space="preserve">
转16224PCS到PO0000450</t>
        </r>
        <r>
          <rPr>
            <b/>
            <sz val="9"/>
            <rFont val="宋体"/>
            <charset val="0"/>
          </rPr>
          <t xml:space="preserve">
sara:</t>
        </r>
        <r>
          <rPr>
            <sz val="9"/>
            <rFont val="宋体"/>
            <charset val="0"/>
          </rPr>
          <t xml:space="preserve">
转10608PCS到PO0000451</t>
        </r>
      </text>
    </comment>
    <comment ref="J56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转24PCS到PO0000447</t>
        </r>
      </text>
    </comment>
    <comment ref="AU58" authorId="2">
      <text>
        <r>
          <rPr>
            <b/>
            <sz val="9"/>
            <rFont val="宋体"/>
            <charset val="0"/>
          </rPr>
          <t>严新荟:</t>
        </r>
        <r>
          <rPr>
            <sz val="9"/>
            <rFont val="宋体"/>
            <charset val="0"/>
          </rPr>
          <t xml:space="preserve">
2200207 7/21 4200 pcs</t>
        </r>
      </text>
    </comment>
    <comment ref="J60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转50004PCS到PO0000484</t>
        </r>
        <r>
          <rPr>
            <b/>
            <sz val="9"/>
            <rFont val="宋体"/>
            <charset val="0"/>
          </rPr>
          <t xml:space="preserve">
sara:</t>
        </r>
        <r>
          <rPr>
            <sz val="9"/>
            <rFont val="宋体"/>
            <charset val="0"/>
          </rPr>
          <t xml:space="preserve">
转50004PCS到PO0000485</t>
        </r>
      </text>
    </comment>
    <comment ref="J61" authorId="2">
      <text>
        <r>
          <rPr>
            <b/>
            <sz val="9"/>
            <rFont val="宋体"/>
            <charset val="0"/>
          </rPr>
          <t>sara:</t>
        </r>
        <r>
          <rPr>
            <sz val="9"/>
            <rFont val="宋体"/>
            <charset val="0"/>
          </rPr>
          <t xml:space="preserve">
转4992PCS到PO0000498</t>
        </r>
      </text>
    </comment>
  </commentList>
</comments>
</file>

<file path=xl/sharedStrings.xml><?xml version="1.0" encoding="utf-8"?>
<sst xmlns="http://schemas.openxmlformats.org/spreadsheetml/2006/main" count="35835" uniqueCount="2067">
  <si>
    <t>货号</t>
  </si>
  <si>
    <t>贴纸用量</t>
  </si>
  <si>
    <t>装箱数</t>
  </si>
  <si>
    <t>系列</t>
  </si>
  <si>
    <t>名称</t>
  </si>
  <si>
    <t>车间</t>
  </si>
  <si>
    <t>SR000</t>
  </si>
  <si>
    <t>二代</t>
  </si>
  <si>
    <t>SR100</t>
  </si>
  <si>
    <t>湖南</t>
  </si>
  <si>
    <t>SR100CDU-16</t>
  </si>
  <si>
    <t>SR100CDU-24</t>
  </si>
  <si>
    <t>SR101CDU</t>
  </si>
  <si>
    <t>SR160</t>
  </si>
  <si>
    <t>SR200</t>
  </si>
  <si>
    <t>SR200CO</t>
  </si>
  <si>
    <t>SR300</t>
  </si>
  <si>
    <t>SR460</t>
  </si>
  <si>
    <t>SR600</t>
  </si>
  <si>
    <t>SR100CDU-9</t>
  </si>
  <si>
    <t>SR100-</t>
  </si>
  <si>
    <t>密封盒</t>
  </si>
  <si>
    <t>SR200-</t>
  </si>
  <si>
    <t>SR001</t>
  </si>
  <si>
    <t>SR102C</t>
  </si>
  <si>
    <t>SR102CDU-16</t>
  </si>
  <si>
    <t>SR201C</t>
  </si>
  <si>
    <t>SR301C</t>
  </si>
  <si>
    <t>JS300</t>
  </si>
  <si>
    <t>东莞</t>
  </si>
  <si>
    <t>SR103</t>
  </si>
  <si>
    <t>SR103CDU-12</t>
  </si>
  <si>
    <t>JS100</t>
  </si>
  <si>
    <t>SR130</t>
  </si>
  <si>
    <t>SR430</t>
  </si>
  <si>
    <t>SR102CDU-24</t>
  </si>
  <si>
    <t>SR102CDU-9</t>
  </si>
  <si>
    <t>SR201</t>
  </si>
  <si>
    <t>SR301</t>
  </si>
  <si>
    <t>SR400CDU-6</t>
  </si>
  <si>
    <t>SR102</t>
  </si>
  <si>
    <t>SR400</t>
  </si>
  <si>
    <t>SR320</t>
  </si>
  <si>
    <t>SR130CDU-24</t>
  </si>
  <si>
    <t>SR103CDU-24</t>
  </si>
  <si>
    <t>SR020</t>
  </si>
  <si>
    <t>SR160CDU-12</t>
  </si>
  <si>
    <t>SR201C-CDU-5</t>
  </si>
  <si>
    <t>SR130CDU-12</t>
  </si>
  <si>
    <t>SR370</t>
  </si>
  <si>
    <t>JC120CDU-18</t>
  </si>
  <si>
    <t>蛋糕</t>
  </si>
  <si>
    <t>JC140</t>
  </si>
  <si>
    <t>JS100CDU-24</t>
  </si>
  <si>
    <t>JS100CDU-9</t>
  </si>
  <si>
    <t>SR1023CDU-16</t>
  </si>
  <si>
    <t>三代</t>
  </si>
  <si>
    <t>SR102C-CDU-16</t>
  </si>
  <si>
    <t>SR102-F-EC</t>
  </si>
  <si>
    <t>SR1033CDU-24</t>
  </si>
  <si>
    <t>SR1602CDU-12</t>
  </si>
  <si>
    <t>SR1602CDU-24</t>
  </si>
  <si>
    <t>SR160CDU-24</t>
  </si>
  <si>
    <t>SR1802CDU-24</t>
  </si>
  <si>
    <t>SR180CDU-24</t>
  </si>
  <si>
    <t>SR181CDU-24</t>
  </si>
  <si>
    <t>SR2013</t>
  </si>
  <si>
    <t>SR2013BULK-6</t>
  </si>
  <si>
    <t>SR3013</t>
  </si>
  <si>
    <t>SR320（蓝绿版）</t>
  </si>
  <si>
    <t>SR3203BULK-2</t>
  </si>
  <si>
    <t>SR3703</t>
  </si>
  <si>
    <t>SR4003CDU-12</t>
  </si>
  <si>
    <t>SR400CDU-12</t>
  </si>
  <si>
    <t>SR430CDU-12</t>
  </si>
  <si>
    <t>SR430CDU-6</t>
  </si>
  <si>
    <t>SR430-ECOMM-C1</t>
  </si>
  <si>
    <t>SR430-ECOMM-C2</t>
  </si>
  <si>
    <t>SR430-ECOMM-C3</t>
  </si>
  <si>
    <t>SR460CDU-12</t>
  </si>
  <si>
    <t>SR460CDU-6</t>
  </si>
  <si>
    <t>SR460-EC</t>
  </si>
  <si>
    <t>SR600CDU-6</t>
  </si>
  <si>
    <t>SR8003CDU-12</t>
  </si>
  <si>
    <t>SR8003CDU-18</t>
  </si>
  <si>
    <t>SR8003CDU-24</t>
  </si>
  <si>
    <t>SRAP131CDU-24</t>
  </si>
  <si>
    <t>SRAP431CDU-12</t>
  </si>
  <si>
    <t>SRMC103CDU-24</t>
  </si>
  <si>
    <t>SRMC201</t>
  </si>
  <si>
    <t>SRMC400CDU-6</t>
  </si>
  <si>
    <t>SRSM102</t>
  </si>
  <si>
    <t>SRSM102CDU-16</t>
  </si>
  <si>
    <t>SRSM103CDU-12</t>
  </si>
  <si>
    <t>SRSM103CDU-24</t>
  </si>
  <si>
    <t>SRSM301</t>
  </si>
  <si>
    <t>SRTD103CDU-12</t>
  </si>
  <si>
    <t>SRTD103CDU-24</t>
  </si>
  <si>
    <t>SRTD400CDU-12</t>
  </si>
  <si>
    <t>SR1023CDU-24</t>
  </si>
  <si>
    <t>JS3003CDU-12</t>
  </si>
  <si>
    <t>SR3203</t>
  </si>
  <si>
    <t>SR1033CDU-12</t>
  </si>
  <si>
    <t>SR1023CDU-9</t>
  </si>
  <si>
    <t>SRAP4302CDU-6</t>
  </si>
  <si>
    <t>SR1802CDU-12</t>
  </si>
  <si>
    <t>JC120CDU-9</t>
  </si>
  <si>
    <t>SR2013CDU-5</t>
  </si>
  <si>
    <t>SRBFF3703</t>
  </si>
  <si>
    <t>JS1003CDU-24</t>
  </si>
  <si>
    <t>JSSM100CDU-24</t>
  </si>
  <si>
    <t>SR3203BULK-2（浅蓝色）</t>
  </si>
  <si>
    <t>SR3203（浅蓝色）</t>
  </si>
  <si>
    <t>SR4602CDU-6</t>
  </si>
  <si>
    <t>JS1003CDU-9</t>
  </si>
  <si>
    <t>SRSM102CDU-9</t>
  </si>
  <si>
    <t>SR4602CDU-12</t>
  </si>
  <si>
    <t>SRAP3202</t>
  </si>
  <si>
    <t>SRMC302</t>
  </si>
  <si>
    <t>SRAP1302CDU-24</t>
  </si>
  <si>
    <t>SRAP8002SC-72</t>
  </si>
  <si>
    <t>SR1023</t>
  </si>
  <si>
    <t>SRMC400CDU-12</t>
  </si>
  <si>
    <t>JC100CDU-24</t>
  </si>
  <si>
    <t>SRAE101CDU-12</t>
  </si>
  <si>
    <t>SRAP4302CDU-12</t>
  </si>
  <si>
    <t>SR3203-COFP</t>
  </si>
  <si>
    <t>SR3703QP-12</t>
  </si>
  <si>
    <t>SRSM400CDU-12</t>
  </si>
  <si>
    <t>JC120-ECOMM-2PK-A</t>
  </si>
  <si>
    <t>JC120-ECOMM-2PK-B</t>
  </si>
  <si>
    <t>JC120-ECOMM-2PK-C</t>
  </si>
  <si>
    <t>JS6003-ECOMM-A</t>
  </si>
  <si>
    <t>JS6003-ECOMM-B</t>
  </si>
  <si>
    <t>JS6003-ECOMM-C</t>
  </si>
  <si>
    <t>JS6003-ECOMM-D</t>
  </si>
  <si>
    <t>SR1023-ECOMM-A</t>
  </si>
  <si>
    <t>SR1023-ECOMM-B</t>
  </si>
  <si>
    <t>SR1023-ECOMM-C</t>
  </si>
  <si>
    <t>SR1023-ECOMM-D</t>
  </si>
  <si>
    <t>SR1023-ECOMM-E</t>
  </si>
  <si>
    <t>SR1023-ECOMM-F</t>
  </si>
  <si>
    <t>SR2013-ECOMM</t>
  </si>
  <si>
    <t>SR3013-ECOMM</t>
  </si>
  <si>
    <t>SR3203-ECOMM-B（蓝色）</t>
  </si>
  <si>
    <t>SR3203-ECOMM-P（粉色）</t>
  </si>
  <si>
    <t>SR4003-ECOMM-A</t>
  </si>
  <si>
    <t>SR4003-ECOMM-B</t>
  </si>
  <si>
    <t>SR4003-ECOMM-C</t>
  </si>
  <si>
    <t>SR4003-ECOMM-D</t>
  </si>
  <si>
    <t>SR4003-ECOMM-E</t>
  </si>
  <si>
    <t>SR4003-ECOMM-F</t>
  </si>
  <si>
    <t>SR4602-ECOMM-A</t>
  </si>
  <si>
    <t>SR4602-ECOMM-B</t>
  </si>
  <si>
    <t>SR4602-ECOMM-C</t>
  </si>
  <si>
    <t>SR8003-ECOMM-2PK-A</t>
  </si>
  <si>
    <t>SR8003-ECOMM-2PK-B</t>
  </si>
  <si>
    <t>SR8003-ECOMM-2PK-C</t>
  </si>
  <si>
    <t>SR8003-ECOMM-2PK-D</t>
  </si>
  <si>
    <t>SR8003-ECOMM-2PK-E</t>
  </si>
  <si>
    <t>SRAE101-ECOMM-A</t>
  </si>
  <si>
    <t>SRAP3202-ECOMM</t>
  </si>
  <si>
    <t>SRAP4302-ECOMM-A</t>
  </si>
  <si>
    <t>SRAP4302-ECOMM-B</t>
  </si>
  <si>
    <t>SRAP4302-ECOMM-C</t>
  </si>
  <si>
    <t>SRCRP400-ECOMM</t>
  </si>
  <si>
    <t>SRMC103-ECOMM-2PK</t>
  </si>
  <si>
    <t>SRMC201-ECOMM</t>
  </si>
  <si>
    <t>SRMC400-ECOMM-A</t>
  </si>
  <si>
    <t>SRMC400-ECOMM-B</t>
  </si>
  <si>
    <t>SRMC400-ECOMM-C</t>
  </si>
  <si>
    <t>SRSM102-ECOMM-A</t>
  </si>
  <si>
    <t>SRSM102-ECOMM-B</t>
  </si>
  <si>
    <t>SRSM102-ECOMM-C</t>
  </si>
  <si>
    <t>SRSM301-ECOMM</t>
  </si>
  <si>
    <t>SRTD400-ECOMM-A</t>
  </si>
  <si>
    <t>SRTD400-ECOMM-B</t>
  </si>
  <si>
    <t>SRTD400-ECOMM-C</t>
  </si>
  <si>
    <t>SRAE101-ECOMM-B</t>
  </si>
  <si>
    <t>SRAE101CDU-24</t>
  </si>
  <si>
    <t>SRAP8003CDU-18</t>
  </si>
  <si>
    <t>SR8003</t>
  </si>
  <si>
    <t>SR1602</t>
  </si>
  <si>
    <t>SR4003</t>
  </si>
  <si>
    <t>SRBFF1812CDU-12</t>
  </si>
  <si>
    <t>SR4003-A</t>
  </si>
  <si>
    <t>SR4003-B</t>
  </si>
  <si>
    <t>SR4003-C</t>
  </si>
  <si>
    <t>SR4003-D</t>
  </si>
  <si>
    <t>SR4003-E</t>
  </si>
  <si>
    <t>SR4003-F</t>
  </si>
  <si>
    <t>SR1023-A</t>
  </si>
  <si>
    <t>SR1023-B</t>
  </si>
  <si>
    <t>SR1023-C</t>
  </si>
  <si>
    <t>SR1023-D</t>
  </si>
  <si>
    <t>SR1023-E</t>
  </si>
  <si>
    <t>SR1023-F</t>
  </si>
  <si>
    <t>SRSM103SK-72</t>
  </si>
  <si>
    <t>SRMC103CDU-12</t>
  </si>
  <si>
    <t>SRAP8002CDU-24</t>
  </si>
  <si>
    <t>SRAP8002CDU-12</t>
  </si>
  <si>
    <t>SRCRP4202-ECOMM</t>
  </si>
  <si>
    <t>SRSC101CDU-24</t>
  </si>
  <si>
    <t>SRAP4302</t>
  </si>
  <si>
    <t>SRMC103</t>
  </si>
  <si>
    <t>SR5163-ECOMM</t>
  </si>
  <si>
    <t>JCV120CDU-18
（JC120CDU-18）</t>
  </si>
  <si>
    <t>产品名称</t>
  </si>
  <si>
    <t>接单期</t>
  </si>
  <si>
    <t>出货期</t>
  </si>
  <si>
    <t>CUSTOMER PO</t>
  </si>
  <si>
    <t>PO号</t>
  </si>
  <si>
    <t>数量</t>
  </si>
  <si>
    <t>包装版</t>
  </si>
  <si>
    <t>SR102/SR102CDU-9/SR102CDU-16/SR102CDU-24/SR102-F-EC</t>
  </si>
  <si>
    <t>SR102C/SR102C-CDU-16</t>
  </si>
  <si>
    <t>SR103CDU-12/SR103CDU-24</t>
  </si>
  <si>
    <t>SR130CDU-12/SR130CDU-24</t>
  </si>
  <si>
    <t>SR201C/SR201C-CDU-5</t>
  </si>
  <si>
    <t>SR400/SR400CDU-6/SR400CDU-12</t>
  </si>
  <si>
    <t>SR430/SR430CDU-6/SR430CDU-12/SR430-ECOMM-C1/SR430-ECOMM-C2/SR430-ECOMM-C3</t>
  </si>
  <si>
    <t>SR460/SR460CDU-6/SR460CDU-12/SR460-EC</t>
  </si>
  <si>
    <t>SR600/SR600CDU-6</t>
  </si>
  <si>
    <t>JS100CDU-9/JS100CDU-24</t>
  </si>
  <si>
    <t>SR1023/SR1023CDU-9/SR1023CDU-16/SR1023CDU-24</t>
  </si>
  <si>
    <t>SR1033CDU-12/SR1033CDU-24</t>
  </si>
  <si>
    <t>SR1602CDU-12/SR1602CDU-24</t>
  </si>
  <si>
    <t>SR1802CDU-12/SR1802CDU-24</t>
  </si>
  <si>
    <t>SR2013/SR2013BULK-6/SR2013CDU-5</t>
  </si>
  <si>
    <t>SR3203/SR3203BULK-2/SR3203-COFP</t>
  </si>
  <si>
    <t>SR4602CDU-6/SR4602CDU-12</t>
  </si>
  <si>
    <t>SR8003CDU-12/SR8003CDU-18/SR8003CDU-24</t>
  </si>
  <si>
    <t>SRAP4302CDU-6/SRAP4302CDU-12</t>
  </si>
  <si>
    <t>SRMC400CDU-6/SRMC400CDU-12</t>
  </si>
  <si>
    <t>SRSM102CDU-9/SRSM102CDU-16</t>
  </si>
  <si>
    <t>SRSM103CDU-12/SRSM103CDU-24</t>
  </si>
  <si>
    <t>SRTD103CDU-12/SRTD103CDU-24</t>
  </si>
  <si>
    <t>JS1003CDU-9/JS1003CDU-24</t>
  </si>
  <si>
    <t>JC120CDU-9/JC120CDU-18</t>
  </si>
  <si>
    <t>SRAP3203-ECOMM</t>
  </si>
  <si>
    <t>SRAP8003CDU-18/CDU-24</t>
  </si>
  <si>
    <t>JS6003-ECOMM</t>
  </si>
  <si>
    <t>散装手链</t>
  </si>
  <si>
    <t>单价USD</t>
  </si>
  <si>
    <t>金额USD</t>
  </si>
  <si>
    <t>金额HKD</t>
  </si>
  <si>
    <t>BO#0001/2025</t>
  </si>
  <si>
    <t>客版</t>
  </si>
  <si>
    <t>OC00004813</t>
  </si>
  <si>
    <t>MXFM002</t>
  </si>
  <si>
    <t>美文版</t>
  </si>
  <si>
    <t>JAZ254714</t>
  </si>
  <si>
    <t>CAJZ039</t>
  </si>
  <si>
    <t>Jazwares客版（2L）</t>
  </si>
  <si>
    <t>JAZ254715</t>
  </si>
  <si>
    <t>CAJZ040</t>
  </si>
  <si>
    <t>JAZ254716</t>
  </si>
  <si>
    <t>CAJZ041</t>
  </si>
  <si>
    <t>JAZ254717</t>
  </si>
  <si>
    <t>CAJZ042</t>
  </si>
  <si>
    <t>JAZ254723</t>
  </si>
  <si>
    <t>CAJZ048</t>
  </si>
  <si>
    <t>JAZ254724</t>
  </si>
  <si>
    <t>CAJZ049</t>
  </si>
  <si>
    <t>JAZ254725</t>
  </si>
  <si>
    <t>CAJZ050</t>
  </si>
  <si>
    <t>JAZ254726</t>
  </si>
  <si>
    <t>CAJZ051</t>
  </si>
  <si>
    <t>JAZ270135</t>
  </si>
  <si>
    <t>USJZ141</t>
  </si>
  <si>
    <t>Jazwares客版（美文）</t>
  </si>
  <si>
    <t>JAZ270140</t>
  </si>
  <si>
    <t>USJZ140</t>
  </si>
  <si>
    <t>JAZ270141</t>
  </si>
  <si>
    <t>USJZ139</t>
  </si>
  <si>
    <t>JAZ270136</t>
  </si>
  <si>
    <t>USJZ138</t>
  </si>
  <si>
    <t>JAZ270142</t>
  </si>
  <si>
    <t>USJZ137</t>
  </si>
  <si>
    <t>JAZ270137</t>
  </si>
  <si>
    <t>USJZ136</t>
  </si>
  <si>
    <t>JAZ270143</t>
  </si>
  <si>
    <t>USJZ135</t>
  </si>
  <si>
    <t>JAZ270138</t>
  </si>
  <si>
    <t>USJZ134</t>
  </si>
  <si>
    <t>JAZ270139</t>
  </si>
  <si>
    <t>USJZ133</t>
  </si>
  <si>
    <t>JAZ270144</t>
  </si>
  <si>
    <t>USJZ132</t>
  </si>
  <si>
    <t>JAZ271193</t>
  </si>
  <si>
    <t>USJZ142</t>
  </si>
  <si>
    <t>JAZ274021</t>
  </si>
  <si>
    <t>USJZ157</t>
  </si>
  <si>
    <t>JAZ274020</t>
  </si>
  <si>
    <t>USJZ158</t>
  </si>
  <si>
    <t>JAZ275402</t>
  </si>
  <si>
    <t>PO0000015-USJZ</t>
  </si>
  <si>
    <t>JAZ275397</t>
  </si>
  <si>
    <t>PO0000016-USJZ</t>
  </si>
  <si>
    <t>JAZ275388</t>
  </si>
  <si>
    <t>PO0000017-USJZ</t>
  </si>
  <si>
    <t>JAZ275407</t>
  </si>
  <si>
    <t>PO0000018-USJZ</t>
  </si>
  <si>
    <t>JAZ275403</t>
  </si>
  <si>
    <t>PO0000019-USJZ</t>
  </si>
  <si>
    <t>JAZ275398</t>
  </si>
  <si>
    <t>PO0000020-USJZ</t>
  </si>
  <si>
    <t>JAZ275404</t>
  </si>
  <si>
    <t>PO0000021-USJZ</t>
  </si>
  <si>
    <t>JAZ275399</t>
  </si>
  <si>
    <t>PO0000022-USJZ</t>
  </si>
  <si>
    <t>JAZ275408</t>
  </si>
  <si>
    <t>PO0000023-USJZ</t>
  </si>
  <si>
    <t>JAZ275400</t>
  </si>
  <si>
    <t>PO0000024-USJZ</t>
  </si>
  <si>
    <t>JAZ275405</t>
  </si>
  <si>
    <t>PO0000025-USJZ</t>
  </si>
  <si>
    <t>JAZ275409</t>
  </si>
  <si>
    <t>PO0000026-USJZ</t>
  </si>
  <si>
    <t>JAZ275401</t>
  </si>
  <si>
    <t>PO0000027-USJZ</t>
  </si>
  <si>
    <t>JAZ275406</t>
  </si>
  <si>
    <t>PO0000028-USJZ</t>
  </si>
  <si>
    <t>JAZ275410</t>
  </si>
  <si>
    <t>PO0000029-USJZ</t>
  </si>
  <si>
    <t>PO0000037-CAJZ</t>
  </si>
  <si>
    <t>PO0000038-POOC</t>
  </si>
  <si>
    <t>第二代美文版</t>
  </si>
  <si>
    <t>CANADIAN TIRE PO 01336126</t>
  </si>
  <si>
    <t>PO00000041-CAJZ</t>
  </si>
  <si>
    <t>GGPL/09/25-26</t>
  </si>
  <si>
    <t>PO00000040-INGG</t>
  </si>
  <si>
    <t>PL252362-01</t>
  </si>
  <si>
    <t>PO00000043-UKCO</t>
  </si>
  <si>
    <t>TOY客版</t>
  </si>
  <si>
    <t>LOBLAWS POCA000212</t>
  </si>
  <si>
    <t>PO00000044-CAJZ</t>
  </si>
  <si>
    <t>PO0000047-MGBS</t>
  </si>
  <si>
    <t>PL252474-01</t>
  </si>
  <si>
    <t>PO0000049-UKCO</t>
  </si>
  <si>
    <t>PO-USSC045</t>
  </si>
  <si>
    <t>密封盒彩盒包装</t>
  </si>
  <si>
    <t>PO0000045-CAJZ</t>
  </si>
  <si>
    <t>PO0000052-CAJZ</t>
  </si>
  <si>
    <t>PK2025-3591R1</t>
  </si>
  <si>
    <t>PO0000051-PHPP</t>
  </si>
  <si>
    <t>PK2025-3599</t>
  </si>
  <si>
    <t>PO0000050-PHPP</t>
  </si>
  <si>
    <t>PO0000053-AUBA</t>
  </si>
  <si>
    <t>PO0000054-VNVT</t>
  </si>
  <si>
    <t>PR250252-01 (KO-3629)</t>
  </si>
  <si>
    <t>PO0000064-NOPR</t>
  </si>
  <si>
    <t>PO-FK-DXB-211125</t>
  </si>
  <si>
    <t>PO0000044-GCKL</t>
  </si>
  <si>
    <t>PO-AUBA014</t>
  </si>
  <si>
    <t>JAZ281815</t>
  </si>
  <si>
    <t>PO0000066-USJZ</t>
  </si>
  <si>
    <t>JAZ281223</t>
  </si>
  <si>
    <t>PO0000061-USJZ</t>
  </si>
  <si>
    <t>JAZ281226</t>
  </si>
  <si>
    <t>PO0000055-USJZ</t>
  </si>
  <si>
    <t>JAZ281227</t>
  </si>
  <si>
    <t>PO0000056-USJZ</t>
  </si>
  <si>
    <t>JAZ281228</t>
  </si>
  <si>
    <t>PO0000057-USJZ</t>
  </si>
  <si>
    <t>JAZ281225</t>
  </si>
  <si>
    <t>PO0000063-USJZ</t>
  </si>
  <si>
    <t>JAZ281224</t>
  </si>
  <si>
    <t>PO0000062-USJZ</t>
  </si>
  <si>
    <t>JAZ281229</t>
  </si>
  <si>
    <t>PO0000059-USJZ</t>
  </si>
  <si>
    <t>JAZ281230</t>
  </si>
  <si>
    <t>PO0000060-USJZ</t>
  </si>
  <si>
    <t>JAZ281231</t>
  </si>
  <si>
    <t>PO0000058-USJZ</t>
  </si>
  <si>
    <t>PL252597-01</t>
  </si>
  <si>
    <t>PO0000067-UKCO</t>
  </si>
  <si>
    <t>COUK客版</t>
  </si>
  <si>
    <t>PO0000065-GCKL</t>
  </si>
  <si>
    <t>PO-FK-DXB-051225</t>
  </si>
  <si>
    <t>PO0000068-GCKL</t>
  </si>
  <si>
    <t>PO-FK-DXB-061225</t>
  </si>
  <si>
    <t>PO0000069-GCKL</t>
  </si>
  <si>
    <t>PO0000069-USSC</t>
  </si>
  <si>
    <t>JAZ284865</t>
  </si>
  <si>
    <t>PO0000096-USJZ</t>
  </si>
  <si>
    <t>JAZ284866</t>
  </si>
  <si>
    <t>PO0000097-USJZ</t>
  </si>
  <si>
    <t>JAZ284867</t>
  </si>
  <si>
    <t>PO0000098-USJZ</t>
  </si>
  <si>
    <t>JAZ278173</t>
  </si>
  <si>
    <t>PO0000074-USJZ</t>
  </si>
  <si>
    <t>JAZ279853</t>
  </si>
  <si>
    <t>PO0000076-USJZ</t>
  </si>
  <si>
    <t>JAZ283836</t>
  </si>
  <si>
    <t>PO0000095-USJZ</t>
  </si>
  <si>
    <t>JAZ283825</t>
  </si>
  <si>
    <t>PO0000083-USJZ</t>
  </si>
  <si>
    <t>JAZ283826</t>
  </si>
  <si>
    <t>PO0000084-USJZ</t>
  </si>
  <si>
    <t>JAZ283827</t>
  </si>
  <si>
    <t>PO0000085-USJZ</t>
  </si>
  <si>
    <t>JAZ283828</t>
  </si>
  <si>
    <t>PO0000086-USJZ</t>
  </si>
  <si>
    <t>JAZ283829</t>
  </si>
  <si>
    <t>PO0000087-USJZ</t>
  </si>
  <si>
    <t>JAZ283830</t>
  </si>
  <si>
    <t>PO0000088-USJZ</t>
  </si>
  <si>
    <t>JAZ283831</t>
  </si>
  <si>
    <t>PO0000089-USJZ</t>
  </si>
  <si>
    <t>JAZ283832</t>
  </si>
  <si>
    <t>PO0000090-USJZ</t>
  </si>
  <si>
    <t>JAZ283833</t>
  </si>
  <si>
    <t>PO0000092-USJZ</t>
  </si>
  <si>
    <t>JAZ283834</t>
  </si>
  <si>
    <t>PO0000093-USJZ</t>
  </si>
  <si>
    <t>JAZ283835</t>
  </si>
  <si>
    <t>PO0000094-USJZ</t>
  </si>
  <si>
    <t>JAZ279887</t>
  </si>
  <si>
    <t>PO0000100-USJZ</t>
  </si>
  <si>
    <t>JAZ279888</t>
  </si>
  <si>
    <t>PO0000101-USJZ</t>
  </si>
  <si>
    <t>JAZ281813</t>
  </si>
  <si>
    <t>PO0000099-USJZ</t>
  </si>
  <si>
    <t>JAZ281839</t>
  </si>
  <si>
    <t>PO0000091-USJZ</t>
  </si>
  <si>
    <t>PO0000081-GRAS</t>
  </si>
  <si>
    <t>JAZ279972</t>
  </si>
  <si>
    <t>PO0000080-USJZ</t>
  </si>
  <si>
    <t>JAZ279970</t>
  </si>
  <si>
    <t>PO0000079-USJZ</t>
  </si>
  <si>
    <t>JAZ286015</t>
  </si>
  <si>
    <t>PO0000113-USJZ</t>
  </si>
  <si>
    <t>JAZ286016</t>
  </si>
  <si>
    <t>PO0000114-USJZ</t>
  </si>
  <si>
    <t>JAZ283822</t>
  </si>
  <si>
    <t>PO0000115-USJZ</t>
  </si>
  <si>
    <t>JAZ283823</t>
  </si>
  <si>
    <t>PO0000116-USJZ</t>
  </si>
  <si>
    <t>JAZ283824</t>
  </si>
  <si>
    <t>PO0000117-USJZ</t>
  </si>
  <si>
    <t>JAZ278167</t>
  </si>
  <si>
    <t>PO0000118-USJZ</t>
  </si>
  <si>
    <t>JAZ286017</t>
  </si>
  <si>
    <t>PO0000104-USJZ</t>
  </si>
  <si>
    <t>JAZ286036</t>
  </si>
  <si>
    <t>PO0000107-USJZ</t>
  </si>
  <si>
    <t>JAZ286035</t>
  </si>
  <si>
    <t>PO0000109-USJZ</t>
  </si>
  <si>
    <t>JAZ286034</t>
  </si>
  <si>
    <t>PO0000108-USJZ</t>
  </si>
  <si>
    <t>JAZ286020</t>
  </si>
  <si>
    <t>PO0000106-USJZ</t>
  </si>
  <si>
    <t>JAZ286019</t>
  </si>
  <si>
    <t>PO0000103-USJZ</t>
  </si>
  <si>
    <t>JAZ286018</t>
  </si>
  <si>
    <t>PO0000105-USJZ</t>
  </si>
  <si>
    <t>PL252595-01</t>
  </si>
  <si>
    <t>PO0000071-UKCO</t>
  </si>
  <si>
    <t>JAZ286665</t>
  </si>
  <si>
    <t>PO0000119-USJZ</t>
  </si>
  <si>
    <t>0968132889</t>
  </si>
  <si>
    <t>PO0000120-CAJZ</t>
  </si>
  <si>
    <t>PL252596-01</t>
  </si>
  <si>
    <t>PO0000072-UKCO</t>
  </si>
  <si>
    <t>PO0000121-UKCO</t>
  </si>
  <si>
    <t>PO0000122-UKCO</t>
  </si>
  <si>
    <t>0973997296</t>
  </si>
  <si>
    <t>PO0000123</t>
  </si>
  <si>
    <t>JAZ288216</t>
  </si>
  <si>
    <t>PO0000124</t>
  </si>
  <si>
    <t>JAZ288595</t>
  </si>
  <si>
    <t>PO0000131</t>
  </si>
  <si>
    <t>JAZ288594</t>
  </si>
  <si>
    <t>PO0000130</t>
  </si>
  <si>
    <t>JAZ288593</t>
  </si>
  <si>
    <t>PO0000129</t>
  </si>
  <si>
    <t>JAZ288592</t>
  </si>
  <si>
    <t>PO0000128</t>
  </si>
  <si>
    <t>JAZ288591</t>
  </si>
  <si>
    <t>PO0000127</t>
  </si>
  <si>
    <t>JAZ288590</t>
  </si>
  <si>
    <t>PO0000126</t>
  </si>
  <si>
    <t>JAZ288589</t>
  </si>
  <si>
    <t>PO0000125</t>
  </si>
  <si>
    <t>PO0000112-MALT</t>
  </si>
  <si>
    <t>PO0000132-INGG</t>
  </si>
  <si>
    <t>JAZ289246</t>
  </si>
  <si>
    <t>PO0000133</t>
  </si>
  <si>
    <t>JAZ289247</t>
  </si>
  <si>
    <t>PO0000134</t>
  </si>
  <si>
    <t>JAZ289253</t>
  </si>
  <si>
    <t>PO0000136</t>
  </si>
  <si>
    <t>JAZ289248</t>
  </si>
  <si>
    <t>PO0000137</t>
  </si>
  <si>
    <t>JAZ289249</t>
  </si>
  <si>
    <t>PO0000138</t>
  </si>
  <si>
    <t>JAZ289250</t>
  </si>
  <si>
    <t>PO0000139</t>
  </si>
  <si>
    <t>JAZ289251</t>
  </si>
  <si>
    <t>PO0000140</t>
  </si>
  <si>
    <t>JAZ289252</t>
  </si>
  <si>
    <t>PO0000141</t>
  </si>
  <si>
    <t>JAZ289254</t>
  </si>
  <si>
    <t>PO0000142</t>
  </si>
  <si>
    <t>JAZ289255</t>
  </si>
  <si>
    <t>PO0000143</t>
  </si>
  <si>
    <t>JAZ288223</t>
  </si>
  <si>
    <t>PO0000135-1</t>
  </si>
  <si>
    <t>PO0000144-MALT</t>
  </si>
  <si>
    <t>第三代美文版</t>
  </si>
  <si>
    <t>PO0000147</t>
  </si>
  <si>
    <t>PO0000148</t>
  </si>
  <si>
    <t>PL260186-01</t>
  </si>
  <si>
    <t>PO0000155</t>
  </si>
  <si>
    <t>JAZ290020</t>
  </si>
  <si>
    <t>PO0000154-1</t>
  </si>
  <si>
    <t>PO0000150</t>
  </si>
  <si>
    <t>DOM287914</t>
  </si>
  <si>
    <t>PO0000169</t>
  </si>
  <si>
    <t>JAZ291147</t>
  </si>
  <si>
    <t>PO0000166</t>
  </si>
  <si>
    <t>JAZ291649</t>
  </si>
  <si>
    <t>PO0000167</t>
  </si>
  <si>
    <t>PO0000170</t>
  </si>
  <si>
    <t>PO0000168</t>
  </si>
  <si>
    <t>PO0000146</t>
  </si>
  <si>
    <t>PO0000157</t>
  </si>
  <si>
    <t>10001740150-3891</t>
  </si>
  <si>
    <t>PO0000158</t>
  </si>
  <si>
    <t>10001729890-3891</t>
  </si>
  <si>
    <t>PO0000159</t>
  </si>
  <si>
    <t>10001720200-3891</t>
  </si>
  <si>
    <t>PO0000160</t>
  </si>
  <si>
    <t>10001717840-3890</t>
  </si>
  <si>
    <t>PO0000161</t>
  </si>
  <si>
    <t>10001717841-3891</t>
  </si>
  <si>
    <t>PO0000162</t>
  </si>
  <si>
    <t>10001717842-0581</t>
  </si>
  <si>
    <t>PO0000163</t>
  </si>
  <si>
    <t>PO0000172</t>
  </si>
  <si>
    <t>PO0000184</t>
  </si>
  <si>
    <t>PO0000178</t>
  </si>
  <si>
    <t>JAZ293427</t>
  </si>
  <si>
    <t>PO0000185</t>
  </si>
  <si>
    <t>PO0000176</t>
  </si>
  <si>
    <t>PO0000200</t>
  </si>
  <si>
    <t>PO203088</t>
  </si>
  <si>
    <t>PO0000186</t>
  </si>
  <si>
    <t>INT293506 (WMCA PO 7000991794)</t>
  </si>
  <si>
    <t>PO0000187</t>
  </si>
  <si>
    <t>INT293508 (WMCA PO 8150979047)</t>
  </si>
  <si>
    <t>PO0000189</t>
  </si>
  <si>
    <t>INT293509 (WMCA PO 8150979048)</t>
  </si>
  <si>
    <t>PO0000190</t>
  </si>
  <si>
    <t>INT293510 (WMCA PO 8150979049)</t>
  </si>
  <si>
    <t>PO0000191</t>
  </si>
  <si>
    <t>INT293511 (WMCA PO 8150979050)</t>
  </si>
  <si>
    <t>PO0000192</t>
  </si>
  <si>
    <t>INT293512 (WMCA PO 8150979051)</t>
  </si>
  <si>
    <t>PO0000193</t>
  </si>
  <si>
    <t>INT293513 (WMCA PO 8150979052)</t>
  </si>
  <si>
    <t>PO0000194</t>
  </si>
  <si>
    <t>PO0000195</t>
  </si>
  <si>
    <t>PO0000196</t>
  </si>
  <si>
    <t>PO0000197</t>
  </si>
  <si>
    <t>PO0000198</t>
  </si>
  <si>
    <t>PO0000199</t>
  </si>
  <si>
    <t>PO0000179</t>
  </si>
  <si>
    <t>PO0000171</t>
  </si>
  <si>
    <t>PO0000156</t>
  </si>
  <si>
    <t>PO0000181</t>
  </si>
  <si>
    <t>PO0000180</t>
  </si>
  <si>
    <t>PO0000204</t>
  </si>
  <si>
    <t>PO0000203</t>
  </si>
  <si>
    <t>PO0000206</t>
  </si>
  <si>
    <t>PO0000202</t>
  </si>
  <si>
    <t>JAZ283142</t>
  </si>
  <si>
    <t>PO0000082-USJZ</t>
  </si>
  <si>
    <t>PO0000207</t>
  </si>
  <si>
    <t>PO0000201</t>
  </si>
  <si>
    <t>PO00000205</t>
  </si>
  <si>
    <t>BOTI PO 141441</t>
  </si>
  <si>
    <t>PO0000229</t>
  </si>
  <si>
    <t>3L客版</t>
  </si>
  <si>
    <t>JAZ296126</t>
  </si>
  <si>
    <t>PO0000218</t>
  </si>
  <si>
    <t>JAZ296127</t>
  </si>
  <si>
    <t>PO0000219</t>
  </si>
  <si>
    <t>JAZ296128</t>
  </si>
  <si>
    <t>PO0000220</t>
  </si>
  <si>
    <t>JAZ296129</t>
  </si>
  <si>
    <t>PO0000221</t>
  </si>
  <si>
    <t>JAZ296130</t>
  </si>
  <si>
    <t>PO0000222</t>
  </si>
  <si>
    <t>JAZ296131</t>
  </si>
  <si>
    <t>PO0000224</t>
  </si>
  <si>
    <t>JAZ296132</t>
  </si>
  <si>
    <t>PO0000225</t>
  </si>
  <si>
    <t>JAZ296133</t>
  </si>
  <si>
    <t>PO0000226</t>
  </si>
  <si>
    <t>JAZ296134</t>
  </si>
  <si>
    <t>PO0000228</t>
  </si>
  <si>
    <t>JAZ296135</t>
  </si>
  <si>
    <t>PO0000230</t>
  </si>
  <si>
    <t>JAZ296136</t>
  </si>
  <si>
    <t>PO0000231</t>
  </si>
  <si>
    <t>JAZ296137</t>
  </si>
  <si>
    <t>PO0000232</t>
  </si>
  <si>
    <t>PTOI260079-01</t>
  </si>
  <si>
    <t>PO00000214</t>
  </si>
  <si>
    <t>PTOD260104-01</t>
  </si>
  <si>
    <t>PO00000215</t>
  </si>
  <si>
    <t>PPXD260016-01 (KO-3673)</t>
  </si>
  <si>
    <t>PO0000182</t>
  </si>
  <si>
    <t>PPXD260030-01 (KO-3750)</t>
  </si>
  <si>
    <t>PO00000216</t>
  </si>
  <si>
    <t>PTOI260133-01 (4400556906)</t>
  </si>
  <si>
    <t>PO00000211</t>
  </si>
  <si>
    <t>PTOI260132-01 (4400556908)</t>
  </si>
  <si>
    <t>PO00000210</t>
  </si>
  <si>
    <t>PO0000145</t>
  </si>
  <si>
    <t>JAZ297155</t>
  </si>
  <si>
    <t>PO0000223</t>
  </si>
  <si>
    <t>RED APPLE INT296264 / 2943301</t>
  </si>
  <si>
    <t>PO0000212-1</t>
  </si>
  <si>
    <t>INT297099 (WMCA PO 7000994982)</t>
  </si>
  <si>
    <t>PO0000235</t>
  </si>
  <si>
    <t>INT297112 (WMCA PO 7000995759)</t>
  </si>
  <si>
    <t>PO0000236</t>
  </si>
  <si>
    <t>INT297126 (WMCA PO 7000995760)</t>
  </si>
  <si>
    <t>PO0000237</t>
  </si>
  <si>
    <t>INT297113 (WMCA PO 7000995761)</t>
  </si>
  <si>
    <t>PO0000238</t>
  </si>
  <si>
    <t>INT297114 (WMCA PO 7000995762)</t>
  </si>
  <si>
    <t>PO0000239</t>
  </si>
  <si>
    <t>INT297115 (WMCA PO 7000995763)</t>
  </si>
  <si>
    <t>PO0000240</t>
  </si>
  <si>
    <t>INT297116 (WMCA PO 7000995764)</t>
  </si>
  <si>
    <t>PO0000241</t>
  </si>
  <si>
    <t>INT297117 (WMCA PO 7000995765)</t>
  </si>
  <si>
    <t>PO0000242</t>
  </si>
  <si>
    <t>INT297118 (WMCA PO 7000995766)</t>
  </si>
  <si>
    <t>PO0000243</t>
  </si>
  <si>
    <t>INT297100 (WMCA PO 7000994984)</t>
  </si>
  <si>
    <t>PO0000227</t>
  </si>
  <si>
    <t>INT297119 (WMCA PO 7000995778)</t>
  </si>
  <si>
    <t>PO0000233</t>
  </si>
  <si>
    <t>INT297120 (WMCA PO 7000995779)</t>
  </si>
  <si>
    <t>PO0000234</t>
  </si>
  <si>
    <t>INT293514 (WMCA PO 8150979053)</t>
  </si>
  <si>
    <t>INT293515 (WMCA PO 8150979054)</t>
  </si>
  <si>
    <t>INT293516 (WMCA PO 8150979055)</t>
  </si>
  <si>
    <t>INT293517 (WMCA PO 8150979056)</t>
  </si>
  <si>
    <t>INT293518 (WMCA PO 8150979057)</t>
  </si>
  <si>
    <t>INT297187 (WMCA PO 7000995780)</t>
  </si>
  <si>
    <t>PO0000244</t>
  </si>
  <si>
    <t>INT297188 (WMCA PO 7000995781)</t>
  </si>
  <si>
    <t>PO0000245</t>
  </si>
  <si>
    <t>INT297189 (WMCA PO 7000995782)</t>
  </si>
  <si>
    <t>PO0000246</t>
  </si>
  <si>
    <t>INT297190 (WMCA PO 7000995783)</t>
  </si>
  <si>
    <t>PO0000247</t>
  </si>
  <si>
    <t>INT297191 (WMCA PO 7000995784)</t>
  </si>
  <si>
    <t>PO0000248</t>
  </si>
  <si>
    <t>INT297192 (WMCA PO 7000995785)</t>
  </si>
  <si>
    <t>PO0000249</t>
  </si>
  <si>
    <t>INT297193 (WMCA PO 7000995786)</t>
  </si>
  <si>
    <t>PO0000250</t>
  </si>
  <si>
    <t>INT297194 (WMCA PO 7000995787)</t>
  </si>
  <si>
    <t>PO0000251</t>
  </si>
  <si>
    <t>INT297195 (WMCA PO 7000995788)</t>
  </si>
  <si>
    <t>PO0000252</t>
  </si>
  <si>
    <t>INT297196 (WMCA PO 7000995789)</t>
  </si>
  <si>
    <t>PO0000253</t>
  </si>
  <si>
    <t>INT297098 (WMCA PO 7000994981)</t>
  </si>
  <si>
    <t>PO0000254</t>
  </si>
  <si>
    <t>INT297101 (WM PO 7000995748)</t>
  </si>
  <si>
    <t>PO0000255</t>
  </si>
  <si>
    <t>INT297102 (WM PO 7000995749)</t>
  </si>
  <si>
    <t>PO0000256</t>
  </si>
  <si>
    <t>INT297103 (WM PO 7000995750)</t>
  </si>
  <si>
    <t>PO0000257</t>
  </si>
  <si>
    <t>INT297104 (WM PO 7000995751)</t>
  </si>
  <si>
    <t>PO0000258</t>
  </si>
  <si>
    <t>INT297105 (WM PO 7000995752)</t>
  </si>
  <si>
    <t>PO0000259</t>
  </si>
  <si>
    <t>INT297106 (WM PO 7000995753)</t>
  </si>
  <si>
    <t>PO0000260</t>
  </si>
  <si>
    <t>INT297107 (WM PO 7000995754)</t>
  </si>
  <si>
    <t>PO0000261</t>
  </si>
  <si>
    <t>INT297108 (WM PO 7000995755)</t>
  </si>
  <si>
    <t>PO0000262</t>
  </si>
  <si>
    <t>INT297109 (WM PO 7000995756)</t>
  </si>
  <si>
    <t>PO0000263</t>
  </si>
  <si>
    <t>INT297110 (WM PO 7000995757)</t>
  </si>
  <si>
    <t>PO0000264</t>
  </si>
  <si>
    <t>INT297111 (WM PO 7000995758)</t>
  </si>
  <si>
    <t>PO0000265</t>
  </si>
  <si>
    <t>PTOD260111-01</t>
  </si>
  <si>
    <t>PO0000280</t>
  </si>
  <si>
    <t>PTOD260112-01</t>
  </si>
  <si>
    <t>PO0000281</t>
  </si>
  <si>
    <t>TH-525</t>
  </si>
  <si>
    <t>PO0000266</t>
  </si>
  <si>
    <t>JAZ297661</t>
  </si>
  <si>
    <t>PO0000278</t>
  </si>
  <si>
    <t>JAZ297662</t>
  </si>
  <si>
    <t>PO0000279</t>
  </si>
  <si>
    <t>WALMART US PO JAZ297663</t>
  </si>
  <si>
    <t>PO0000275</t>
  </si>
  <si>
    <t>WALMART US PO JAZ297664</t>
  </si>
  <si>
    <t>PO0000276</t>
  </si>
  <si>
    <t>WALMART US PO JAZ297665</t>
  </si>
  <si>
    <t>PO0000277</t>
  </si>
  <si>
    <t>DOM297563 (104198)</t>
  </si>
  <si>
    <t>PO0000270</t>
  </si>
  <si>
    <t>DOM297564 (104199)</t>
  </si>
  <si>
    <t>PO0000271</t>
  </si>
  <si>
    <t>DOM297565 (104200)</t>
  </si>
  <si>
    <t>PO0000272</t>
  </si>
  <si>
    <t>DOM297566 (104202)</t>
  </si>
  <si>
    <t>PO0000273</t>
  </si>
  <si>
    <t>DOM297567 (104203)</t>
  </si>
  <si>
    <t>PO0000274</t>
  </si>
  <si>
    <t>DOM298406(104240)</t>
  </si>
  <si>
    <t>PO0000282</t>
  </si>
  <si>
    <t>DOM298407(104241)</t>
  </si>
  <si>
    <t>PO0000283</t>
  </si>
  <si>
    <t>PO203194</t>
  </si>
  <si>
    <t>PO0000284</t>
  </si>
  <si>
    <t>DOM297560(4564638490)</t>
  </si>
  <si>
    <t>PO0000286</t>
  </si>
  <si>
    <t>DOM297568 (104204)</t>
  </si>
  <si>
    <t>PO0000290</t>
  </si>
  <si>
    <t>DOM297562 (104197)</t>
  </si>
  <si>
    <t>PO0000269</t>
  </si>
  <si>
    <t>JAZ299132</t>
  </si>
  <si>
    <t>PO0000294</t>
  </si>
  <si>
    <t>Box Lunch DOM298727(7120346)</t>
  </si>
  <si>
    <t>PO0000296</t>
  </si>
  <si>
    <t>PO0000287</t>
  </si>
  <si>
    <t>MOJO客版</t>
  </si>
  <si>
    <t>PO0000293</t>
  </si>
  <si>
    <t>JAZ298730</t>
  </si>
  <si>
    <t>PO0000295</t>
  </si>
  <si>
    <t>JAZ298559</t>
  </si>
  <si>
    <t>PO0000291</t>
  </si>
  <si>
    <t>JAZ298560</t>
  </si>
  <si>
    <t>PO0000292</t>
  </si>
  <si>
    <t>31KD03469</t>
  </si>
  <si>
    <t>PO0000285</t>
  </si>
  <si>
    <t>PO for SRMC103 loose bracelet</t>
  </si>
  <si>
    <t>PO0000302-1</t>
  </si>
  <si>
    <t>SRMC103
A1 - J1，A2 - C2，13款散装手链各390pcs</t>
  </si>
  <si>
    <t>JAZ299452</t>
  </si>
  <si>
    <t>PO0000299</t>
  </si>
  <si>
    <t>JAZ299453</t>
  </si>
  <si>
    <t>PO0000300</t>
  </si>
  <si>
    <t>JAZ299454</t>
  </si>
  <si>
    <t>PO0000301</t>
  </si>
  <si>
    <t>10001839312-3890</t>
  </si>
  <si>
    <t>PO0000303</t>
  </si>
  <si>
    <t>10001846641-0581</t>
  </si>
  <si>
    <t>PO0000304</t>
  </si>
  <si>
    <t>10001846644-3890</t>
  </si>
  <si>
    <t>PO0000305</t>
  </si>
  <si>
    <t>PO0000306</t>
  </si>
  <si>
    <t>10001846646-3890</t>
  </si>
  <si>
    <t>PO0000307</t>
  </si>
  <si>
    <t>10001846647-3890</t>
  </si>
  <si>
    <t>PO0000308</t>
  </si>
  <si>
    <t>INT298652/PO26000279</t>
  </si>
  <si>
    <t>PO0000302</t>
  </si>
  <si>
    <t>10001850918-3890</t>
  </si>
  <si>
    <t>PO0000319</t>
  </si>
  <si>
    <t>JAZ300303</t>
  </si>
  <si>
    <t>PO0000314</t>
  </si>
  <si>
    <t>JAZ300304</t>
  </si>
  <si>
    <t>PO0000315</t>
  </si>
  <si>
    <t>JAZ300305</t>
  </si>
  <si>
    <t>PO0000316</t>
  </si>
  <si>
    <t>PO0000309</t>
  </si>
  <si>
    <t>Claire's PO 804371 &amp; 804372</t>
  </si>
  <si>
    <t>PO0000320</t>
  </si>
  <si>
    <t>PO for AMZ CA FBA</t>
  </si>
  <si>
    <t>PO0000303-1</t>
  </si>
  <si>
    <t>PO for AMZ US - AIR</t>
  </si>
  <si>
    <t>PO0000303-2</t>
  </si>
  <si>
    <t>PO for AMZ US - FBA</t>
  </si>
  <si>
    <t>PO0000303-3</t>
  </si>
  <si>
    <t>PO for AMZ US - AWD</t>
  </si>
  <si>
    <t>PO0000303-4</t>
  </si>
  <si>
    <t>PTOI260207-01</t>
  </si>
  <si>
    <t>PO0000312</t>
  </si>
  <si>
    <t>TOY客版本</t>
  </si>
  <si>
    <t>PTOI260208-01</t>
  </si>
  <si>
    <t>PO0000313</t>
  </si>
  <si>
    <t>JAZ300655</t>
  </si>
  <si>
    <t>PO0000323</t>
  </si>
  <si>
    <t>JAZ300657</t>
  </si>
  <si>
    <t>PO0000324</t>
  </si>
  <si>
    <t>JAZ300656</t>
  </si>
  <si>
    <t>PO0000322</t>
  </si>
  <si>
    <t>PO0000268</t>
  </si>
  <si>
    <t>PO0000267</t>
  </si>
  <si>
    <t>JAZ300306</t>
  </si>
  <si>
    <t>PO0000317</t>
  </si>
  <si>
    <t>JAZ300307</t>
  </si>
  <si>
    <t>PO0000318</t>
  </si>
  <si>
    <t>PTOD260140-01</t>
  </si>
  <si>
    <t>PO0000325</t>
  </si>
  <si>
    <t>TOY客版彩盒/美文版CDU</t>
  </si>
  <si>
    <t>10001862111-3890</t>
  </si>
  <si>
    <t>PO0000328</t>
  </si>
  <si>
    <t>PO-EG 14026 (Egypt)</t>
  </si>
  <si>
    <t>PO0000310</t>
  </si>
  <si>
    <t>PO-FK-DXB-070426</t>
  </si>
  <si>
    <t>PO0000311</t>
  </si>
  <si>
    <t>PO-FK-DXB-230226-UAE</t>
  </si>
  <si>
    <t>PO0000164</t>
  </si>
  <si>
    <t>PO-FK-KSA 140426</t>
  </si>
  <si>
    <t>PO0000165</t>
  </si>
  <si>
    <t>HOBBY LOBBY DOM301374(769729)</t>
  </si>
  <si>
    <t>PO0000334</t>
  </si>
  <si>
    <t>PTOD260151-01</t>
  </si>
  <si>
    <t>PO0000336</t>
  </si>
  <si>
    <t>PO#21011827</t>
  </si>
  <si>
    <t>PO0000333</t>
  </si>
  <si>
    <t>PO0000340</t>
  </si>
  <si>
    <t>SHOWCASE INT300549 (42936)</t>
  </si>
  <si>
    <t>PO0000335-1</t>
  </si>
  <si>
    <t>PO0000339</t>
  </si>
  <si>
    <t>PO#P134717</t>
  </si>
  <si>
    <t>PO0000321</t>
  </si>
  <si>
    <t>PTOD260125-01</t>
  </si>
  <si>
    <t>PO0000297</t>
  </si>
  <si>
    <t>MG SM PO StickiRolls(04.05.26)</t>
  </si>
  <si>
    <t>PO0000332</t>
  </si>
  <si>
    <t>样板单</t>
  </si>
  <si>
    <t>XTY20260512</t>
  </si>
  <si>
    <t>PO0000330</t>
  </si>
  <si>
    <t>希腊客版</t>
  </si>
  <si>
    <t>PO0000331</t>
  </si>
  <si>
    <t>CLAIRE'S PO DOM302037 (104201)</t>
  </si>
  <si>
    <t>PO0000341</t>
  </si>
  <si>
    <t>LOBLAWS POCA000389</t>
  </si>
  <si>
    <t>PO0000326</t>
  </si>
  <si>
    <t>LOBLAWS POCA000390</t>
  </si>
  <si>
    <t>PO0000327</t>
  </si>
  <si>
    <t>KELLYTOY PO JAZ301562</t>
  </si>
  <si>
    <t>PO0000338</t>
  </si>
  <si>
    <t>PTOD260164-01</t>
  </si>
  <si>
    <t>PO0000344</t>
  </si>
  <si>
    <t>PO#FT11031</t>
  </si>
  <si>
    <t>PO0000342</t>
  </si>
  <si>
    <t>PO 31KD03478</t>
  </si>
  <si>
    <t>PO0000345</t>
  </si>
  <si>
    <t>PO0000351</t>
  </si>
  <si>
    <t>PO0000352</t>
  </si>
  <si>
    <t>PO0000353</t>
  </si>
  <si>
    <t>PO0000354</t>
  </si>
  <si>
    <t>PO0000355</t>
  </si>
  <si>
    <t>PO0000356</t>
  </si>
  <si>
    <t>PO0000357</t>
  </si>
  <si>
    <t>PO0000358</t>
  </si>
  <si>
    <t>PO0000359</t>
  </si>
  <si>
    <t>PO0000360</t>
  </si>
  <si>
    <t>PO0000361</t>
  </si>
  <si>
    <t>PO0000362</t>
  </si>
  <si>
    <t>PO0000363</t>
  </si>
  <si>
    <t>PO0000364</t>
  </si>
  <si>
    <t>PO0000346</t>
  </si>
  <si>
    <t>PO0000347</t>
  </si>
  <si>
    <t>PO0000348</t>
  </si>
  <si>
    <t>PO0000349</t>
  </si>
  <si>
    <t>PO0000350</t>
  </si>
  <si>
    <t>JAZ304130</t>
  </si>
  <si>
    <t>PO0000337</t>
  </si>
  <si>
    <t>PTOI260258-01 (4400572144)</t>
  </si>
  <si>
    <t>PO0000367</t>
  </si>
  <si>
    <t>10001897591-3890</t>
  </si>
  <si>
    <t>PO0000368</t>
  </si>
  <si>
    <t>PO0000365</t>
  </si>
  <si>
    <t>PO0000329</t>
  </si>
  <si>
    <t>PO0000381</t>
  </si>
  <si>
    <t>PO0000366</t>
  </si>
  <si>
    <t>PO0000298</t>
  </si>
  <si>
    <t>PO0000369</t>
  </si>
  <si>
    <t>PO21011928</t>
  </si>
  <si>
    <t>PO0000370</t>
  </si>
  <si>
    <t>WMCA PO 7000998835</t>
  </si>
  <si>
    <t>PO0000374</t>
  </si>
  <si>
    <t>LOBLAWS POCA000422</t>
  </si>
  <si>
    <t>PO0000371</t>
  </si>
  <si>
    <t>LOBLAWS POCA000423</t>
  </si>
  <si>
    <t>PO0000372</t>
  </si>
  <si>
    <t>JAZ302160</t>
  </si>
  <si>
    <t>PO0000376</t>
  </si>
  <si>
    <t>PO0000428</t>
  </si>
  <si>
    <t>7139881(DOM304163)</t>
  </si>
  <si>
    <t>PO0000379</t>
  </si>
  <si>
    <t>7139883(DOM304164)</t>
  </si>
  <si>
    <t>PO0000380</t>
  </si>
  <si>
    <t>XTY20260602</t>
  </si>
  <si>
    <t>SRMC400-A</t>
  </si>
  <si>
    <t>SRMC400-B</t>
  </si>
  <si>
    <t>SRMC400-C</t>
  </si>
  <si>
    <t>PO#FT11039</t>
  </si>
  <si>
    <t>PO0000375</t>
  </si>
  <si>
    <t>LOBLAWS POCA000427</t>
  </si>
  <si>
    <t>PO0000383</t>
  </si>
  <si>
    <t>LOBLAWS POCA000428</t>
  </si>
  <si>
    <t>PO0000384</t>
  </si>
  <si>
    <t>PTOI260263-01 (4400573263)</t>
  </si>
  <si>
    <t>PO0000386</t>
  </si>
  <si>
    <t>PTOI260262-01 (4400573262)</t>
  </si>
  <si>
    <t>PO0000385</t>
  </si>
  <si>
    <t>PO-FK-DXB-300526-UAE</t>
  </si>
  <si>
    <t>PO0000382</t>
  </si>
  <si>
    <t>PO0000389</t>
  </si>
  <si>
    <t>PO#141481</t>
  </si>
  <si>
    <t>PO0000378</t>
  </si>
  <si>
    <t>JAZ306011</t>
  </si>
  <si>
    <t>PO0000392</t>
  </si>
  <si>
    <t>JAZ306012</t>
  </si>
  <si>
    <t>PO0000393</t>
  </si>
  <si>
    <t>JAZ306013</t>
  </si>
  <si>
    <t>PO0000394</t>
  </si>
  <si>
    <t>JAZ306014</t>
  </si>
  <si>
    <t>PO0000395</t>
  </si>
  <si>
    <t>JAZ306015</t>
  </si>
  <si>
    <t>PO0000396</t>
  </si>
  <si>
    <t>JAZ306016</t>
  </si>
  <si>
    <t>PO0000397</t>
  </si>
  <si>
    <t>PTOD260178-01</t>
  </si>
  <si>
    <t>PO0000398</t>
  </si>
  <si>
    <t>PTOI260296-01 (4400576317)</t>
  </si>
  <si>
    <t>PO0000399</t>
  </si>
  <si>
    <t>PO#12576</t>
  </si>
  <si>
    <t>PO0000387</t>
  </si>
  <si>
    <t>PO#12584</t>
  </si>
  <si>
    <t>PO0000388</t>
  </si>
  <si>
    <t>PO#PK2026-3727</t>
  </si>
  <si>
    <t>PO0000390</t>
  </si>
  <si>
    <t>26-1075221JEC</t>
  </si>
  <si>
    <t>PO0000173</t>
  </si>
  <si>
    <t>26-1075222JDO</t>
  </si>
  <si>
    <t>PO0000174</t>
  </si>
  <si>
    <t>26-1075223JUS</t>
  </si>
  <si>
    <t>PO0000175</t>
  </si>
  <si>
    <t>JAZ306256</t>
  </si>
  <si>
    <t>PO0000401</t>
  </si>
  <si>
    <t>JAZ306257</t>
  </si>
  <si>
    <t>PO0000402</t>
  </si>
  <si>
    <t>JAZ306258</t>
  </si>
  <si>
    <t>PO0000403</t>
  </si>
  <si>
    <t>JAZ306266</t>
  </si>
  <si>
    <t>PO0000404</t>
  </si>
  <si>
    <t>XTY20260612</t>
  </si>
  <si>
    <t>我的世界散装手链MC400+MC201+MC103共18款</t>
  </si>
  <si>
    <t>用尺寸合适的大纸箱打包，装箱数尽量少，这批货走国际快递，为省快递费用，箱内不要留空隙，箱体外部再整体包裹一层泡棉防护。</t>
  </si>
  <si>
    <t>APHMAU散装手链A1-C1,A2-H2共11款</t>
  </si>
  <si>
    <t>SRMC103-B1/C1/D1/G1/H1/I1/J1七款+SRMC400 A2/B2/C2三款</t>
  </si>
  <si>
    <t>JAZ306442</t>
  </si>
  <si>
    <t>PO0000405</t>
  </si>
  <si>
    <t>JAZ306443</t>
  </si>
  <si>
    <t>PO0000406</t>
  </si>
  <si>
    <t>JAZ306444</t>
  </si>
  <si>
    <t>PO0000407</t>
  </si>
  <si>
    <t>JAZ306445</t>
  </si>
  <si>
    <t>PO0000408</t>
  </si>
  <si>
    <t>JAZ306488</t>
  </si>
  <si>
    <t>PO0000409</t>
  </si>
  <si>
    <t>JAZ306489</t>
  </si>
  <si>
    <t>PO0000410</t>
  </si>
  <si>
    <t>JAZ306490</t>
  </si>
  <si>
    <t>PO0000411</t>
  </si>
  <si>
    <t>JAZ306491</t>
  </si>
  <si>
    <t>PO0000412</t>
  </si>
  <si>
    <t>PO0000414</t>
  </si>
  <si>
    <t>PO#21011976</t>
  </si>
  <si>
    <t>PO0000413</t>
  </si>
  <si>
    <t>PTOD260190-01</t>
  </si>
  <si>
    <t>PO0000416</t>
  </si>
  <si>
    <t>JAZ307262</t>
  </si>
  <si>
    <t>PO0000420</t>
  </si>
  <si>
    <t>Sticki Rolls order 5 2026</t>
  </si>
  <si>
    <t>PO0000418</t>
  </si>
  <si>
    <t>PO0000421</t>
  </si>
  <si>
    <t>PO0000425</t>
  </si>
  <si>
    <t>PO0000426</t>
  </si>
  <si>
    <t>PO0000427</t>
  </si>
  <si>
    <t>PTOD260206-01</t>
  </si>
  <si>
    <t>PO0000429</t>
  </si>
  <si>
    <t>PO#21012003</t>
  </si>
  <si>
    <t>PO0000430</t>
  </si>
  <si>
    <t>欧盟版</t>
  </si>
  <si>
    <t>PO#21012030</t>
  </si>
  <si>
    <t>PO0000438</t>
  </si>
  <si>
    <t>JAZ307595</t>
  </si>
  <si>
    <t>PO0000433</t>
  </si>
  <si>
    <t>JAZ307596</t>
  </si>
  <si>
    <t>PO0000434</t>
  </si>
  <si>
    <t>JAZ307597</t>
  </si>
  <si>
    <t>PO0000435</t>
  </si>
  <si>
    <t>JAZ307598</t>
  </si>
  <si>
    <t>PO0000436</t>
  </si>
  <si>
    <t>JAZ307599</t>
  </si>
  <si>
    <t>PO0000437</t>
  </si>
  <si>
    <t>JAZ307593</t>
  </si>
  <si>
    <t>PO0000431</t>
  </si>
  <si>
    <t>JAZ307594</t>
  </si>
  <si>
    <t>PO0000432</t>
  </si>
  <si>
    <t>PO203464</t>
  </si>
  <si>
    <t>PO0000439</t>
  </si>
  <si>
    <t>PO203474</t>
  </si>
  <si>
    <t>PO0000440</t>
  </si>
  <si>
    <t>JAZ308389</t>
  </si>
  <si>
    <t>PO0000443</t>
  </si>
  <si>
    <t>JAZ308673</t>
  </si>
  <si>
    <t>PO0000444</t>
  </si>
  <si>
    <t>PTOD260222-01</t>
  </si>
  <si>
    <t>PO0000445</t>
  </si>
  <si>
    <t>SR1033散装手链</t>
  </si>
  <si>
    <t>JS1003散装大贴纸</t>
  </si>
  <si>
    <t>散装大贴纸</t>
  </si>
  <si>
    <t>XTY20260704</t>
  </si>
  <si>
    <t>A-F款 胶囊成品每款各30PCS</t>
  </si>
  <si>
    <t>SR1802</t>
  </si>
  <si>
    <t>PO0000447</t>
  </si>
  <si>
    <t>PO0000448</t>
  </si>
  <si>
    <t>PO0000449</t>
  </si>
  <si>
    <t>PO0000450</t>
  </si>
  <si>
    <t>PO0000451</t>
  </si>
  <si>
    <t>JAZ309077</t>
  </si>
  <si>
    <t>PO0000452</t>
  </si>
  <si>
    <t>SKY9</t>
  </si>
  <si>
    <t>PO0000453</t>
  </si>
  <si>
    <t>PTOD260233-01</t>
  </si>
  <si>
    <t>PO0000455</t>
  </si>
  <si>
    <t>PPXD260067-01 (KO-3805)</t>
  </si>
  <si>
    <t>PO0000456</t>
  </si>
  <si>
    <t>PO#21012086</t>
  </si>
  <si>
    <t>PO0000457</t>
  </si>
  <si>
    <t>PO0000458</t>
  </si>
  <si>
    <t>PO0000461</t>
  </si>
  <si>
    <t>PO0000462</t>
  </si>
  <si>
    <t>PO#SKY10</t>
  </si>
  <si>
    <t>PO0000454-1</t>
  </si>
  <si>
    <t>JAZ310380</t>
  </si>
  <si>
    <t>PO0000463</t>
  </si>
  <si>
    <t>JAZ310381</t>
  </si>
  <si>
    <t>PO0000464</t>
  </si>
  <si>
    <t>JAZ310382</t>
  </si>
  <si>
    <t>PO0000465</t>
  </si>
  <si>
    <t>PTOD260250-01</t>
  </si>
  <si>
    <t>PO0000466</t>
  </si>
  <si>
    <t>PTOD260255-01</t>
  </si>
  <si>
    <t>PO0000467-2</t>
  </si>
  <si>
    <t>JAZ293426</t>
  </si>
  <si>
    <t>PO0000183</t>
  </si>
  <si>
    <t>JAZ309769</t>
  </si>
  <si>
    <t>PO0000459</t>
  </si>
  <si>
    <t>JAZ309770</t>
  </si>
  <si>
    <t>PO0000460</t>
  </si>
  <si>
    <t>A-C 每款彩盒成品各67PCS</t>
  </si>
  <si>
    <t>A-H 每款胶囊成品各25PCS</t>
  </si>
  <si>
    <t>彩盒成品</t>
  </si>
  <si>
    <t>A-N 每款胶囊成品各15PCS</t>
  </si>
  <si>
    <t>PTOD260269-01</t>
  </si>
  <si>
    <t>PO0000469</t>
  </si>
  <si>
    <t>PTOD260265-01</t>
  </si>
  <si>
    <t>PO0000472</t>
  </si>
  <si>
    <t>10001993445-0581</t>
  </si>
  <si>
    <t>PO0000470</t>
  </si>
  <si>
    <t>10001993450-0581</t>
  </si>
  <si>
    <t>PO0000471</t>
  </si>
  <si>
    <t>PO203582</t>
  </si>
  <si>
    <t>PO0000477</t>
  </si>
  <si>
    <t>PO0000303-5</t>
  </si>
  <si>
    <t>PO#12672</t>
  </si>
  <si>
    <t>PO0000479</t>
  </si>
  <si>
    <t>A-N 每款各20PCS</t>
  </si>
  <si>
    <t>A-N 每款各8PCS</t>
  </si>
  <si>
    <t>SR1033</t>
  </si>
  <si>
    <t>成品5PCS</t>
  </si>
  <si>
    <t>A-F 每款各5PCS</t>
  </si>
  <si>
    <t>A-I 每款各6PCS</t>
  </si>
  <si>
    <t>SRSM103</t>
  </si>
  <si>
    <t>A-F 每款各9PCS</t>
  </si>
  <si>
    <t>A-N 每款各4PCS</t>
  </si>
  <si>
    <t>成品50PCS</t>
  </si>
  <si>
    <t>C1-C6每款各8PCS</t>
  </si>
  <si>
    <t>JC120</t>
  </si>
  <si>
    <t>SRAP8002</t>
  </si>
  <si>
    <t>PO0000468</t>
  </si>
  <si>
    <t>PO-FK-DXB-300726-LEB</t>
  </si>
  <si>
    <t>PO0000480</t>
  </si>
  <si>
    <t>JAZ311279</t>
  </si>
  <si>
    <t>PO0000473</t>
  </si>
  <si>
    <t>JAZ311280</t>
  </si>
  <si>
    <t>PO0000474</t>
  </si>
  <si>
    <t>JAZ311281</t>
  </si>
  <si>
    <t>PO0000475</t>
  </si>
  <si>
    <t>JAZ311282</t>
  </si>
  <si>
    <t>PO0000476</t>
  </si>
  <si>
    <t>JAZ311790</t>
  </si>
  <si>
    <t>PO0000487</t>
  </si>
  <si>
    <t>JAZ311791</t>
  </si>
  <si>
    <t>PO0000488</t>
  </si>
  <si>
    <t>10002015925-0581</t>
  </si>
  <si>
    <t>PO0000484</t>
  </si>
  <si>
    <t>10002015926-0581</t>
  </si>
  <si>
    <t>PO0000485</t>
  </si>
  <si>
    <t>10002015927-0581</t>
  </si>
  <si>
    <t>PO0000486</t>
  </si>
  <si>
    <t>PO203611</t>
  </si>
  <si>
    <t>PO0000489</t>
  </si>
  <si>
    <t>JAZ311804</t>
  </si>
  <si>
    <t>PO0000490</t>
  </si>
  <si>
    <t>JAZ311805</t>
  </si>
  <si>
    <t>PO0000491</t>
  </si>
  <si>
    <t>JAZ311806</t>
  </si>
  <si>
    <t>PO0000492</t>
  </si>
  <si>
    <t>JAZ311807</t>
  </si>
  <si>
    <t>PO0000493</t>
  </si>
  <si>
    <t>JAZ311808</t>
  </si>
  <si>
    <t>PO0000494</t>
  </si>
  <si>
    <t>满大货配比2套满CDU+2个胶囊成品</t>
  </si>
  <si>
    <t>满大货配比2套满CDU+2个彩盒成品</t>
  </si>
  <si>
    <t>2个成品</t>
  </si>
  <si>
    <t>散装手链C2-G2各 100PCS</t>
  </si>
  <si>
    <t>/</t>
  </si>
  <si>
    <t>C1-C6 每款成品34PCS</t>
  </si>
  <si>
    <t>成品40PCS</t>
  </si>
  <si>
    <t>A1-E1款每款8PCS</t>
  </si>
  <si>
    <t>31KD03496</t>
  </si>
  <si>
    <t>PO0000478</t>
  </si>
  <si>
    <t>JAZ311853</t>
  </si>
  <si>
    <t>PO0000495</t>
  </si>
  <si>
    <t>JAZ311854</t>
  </si>
  <si>
    <t>PO0000496</t>
  </si>
  <si>
    <t>POCA000573</t>
  </si>
  <si>
    <t>PO0000498</t>
  </si>
  <si>
    <t>合计：</t>
  </si>
  <si>
    <r>
      <rPr>
        <b/>
        <sz val="9"/>
        <color rgb="FF1B1BFB"/>
        <rFont val="Times New Roman"/>
        <charset val="134"/>
      </rPr>
      <t>2025</t>
    </r>
    <r>
      <rPr>
        <b/>
        <sz val="9"/>
        <color rgb="FF1B1BFB"/>
        <rFont val="宋体"/>
        <charset val="134"/>
      </rPr>
      <t>年存：</t>
    </r>
  </si>
  <si>
    <r>
      <rPr>
        <b/>
        <sz val="9"/>
        <color rgb="FFFF0000"/>
        <rFont val="宋体"/>
        <charset val="134"/>
      </rPr>
      <t>美国</t>
    </r>
  </si>
  <si>
    <r>
      <rPr>
        <b/>
        <sz val="9"/>
        <color rgb="FFFF0000"/>
        <rFont val="宋体"/>
        <charset val="134"/>
      </rPr>
      <t>总接单：</t>
    </r>
  </si>
  <si>
    <t>一二代排期：</t>
  </si>
  <si>
    <t>总排期：</t>
  </si>
  <si>
    <t>三代排期：</t>
  </si>
  <si>
    <t>已出货：</t>
  </si>
  <si>
    <t>蛋糕系列：</t>
  </si>
  <si>
    <t>已走货：</t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</si>
  <si>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</si>
  <si>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</si>
  <si>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</si>
  <si>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</si>
  <si>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</si>
  <si>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</si>
  <si>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</si>
  <si>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</si>
  <si>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已经完成订单</t>
  </si>
  <si>
    <t>粉色字体</t>
  </si>
  <si>
    <t>已经出货</t>
  </si>
  <si>
    <t>红色字体</t>
  </si>
  <si>
    <t>取消单</t>
  </si>
  <si>
    <t>提醒追客箱唛</t>
  </si>
  <si>
    <t>客名</t>
  </si>
  <si>
    <t>国家</t>
  </si>
  <si>
    <t>总贴纸用量</t>
  </si>
  <si>
    <t>外箱</t>
  </si>
  <si>
    <t>总箱数</t>
  </si>
  <si>
    <t>客PO期（订单）</t>
  </si>
  <si>
    <t>RR回复出货期</t>
  </si>
  <si>
    <t>TMAX验货期</t>
  </si>
  <si>
    <t>TMAX验货结果</t>
  </si>
  <si>
    <t>第三方QC验货期</t>
  </si>
  <si>
    <t>第三方验货结果</t>
  </si>
  <si>
    <t>湖南回复 完成期</t>
  </si>
  <si>
    <t>船期SO</t>
  </si>
  <si>
    <t>生产车间</t>
  </si>
  <si>
    <t>彩盒/外箱贴纸</t>
  </si>
  <si>
    <t>箱唛/时间</t>
  </si>
  <si>
    <t>吸塑</t>
  </si>
  <si>
    <t>收藏指南/说明书</t>
  </si>
  <si>
    <t>彩盒/CDU/底纸</t>
  </si>
  <si>
    <t>笔记本</t>
  </si>
  <si>
    <t>收缩膜/胶袋</t>
  </si>
  <si>
    <t>是否签板</t>
  </si>
  <si>
    <t>日期码</t>
  </si>
  <si>
    <t>备注</t>
  </si>
  <si>
    <t>发票号</t>
  </si>
  <si>
    <t>发票日期</t>
  </si>
  <si>
    <t>是否入系统</t>
  </si>
  <si>
    <t>送货情况</t>
  </si>
  <si>
    <t>欠数</t>
  </si>
  <si>
    <t>贴纸</t>
  </si>
  <si>
    <t>出单情况</t>
  </si>
  <si>
    <t>客跟单</t>
  </si>
  <si>
    <t>RR跟单</t>
  </si>
  <si>
    <t>内部PO</t>
  </si>
  <si>
    <t>做货是否需要</t>
  </si>
  <si>
    <t>是否收到</t>
  </si>
  <si>
    <t>客提供档案时间</t>
  </si>
  <si>
    <t>提供给客确认时间</t>
  </si>
  <si>
    <t>确认时间</t>
  </si>
  <si>
    <t>做货要求</t>
  </si>
  <si>
    <t>做货版本</t>
  </si>
  <si>
    <t>彩盒/CDU(版本）</t>
  </si>
  <si>
    <t>彩盒底纸</t>
  </si>
  <si>
    <t>Jazwares – Costco</t>
  </si>
  <si>
    <t>美国Costco</t>
  </si>
  <si>
    <t>（客供）欠</t>
  </si>
  <si>
    <t>Jazwares Costco收藏指南</t>
  </si>
  <si>
    <t>6/5确认</t>
  </si>
  <si>
    <t>Jazwares美国Costco客版</t>
  </si>
  <si>
    <t>5/29收到</t>
  </si>
  <si>
    <t>I176RRDG</t>
  </si>
  <si>
    <t>已入系统</t>
  </si>
  <si>
    <t>Liz</t>
  </si>
  <si>
    <t>Lily</t>
  </si>
  <si>
    <t>JAZWARES INTERNATIONAL</t>
  </si>
  <si>
    <t>美国</t>
  </si>
  <si>
    <t>TBD</t>
  </si>
  <si>
    <t>客人原因需要返工加法语贴纸</t>
  </si>
  <si>
    <t>J勾吸塑</t>
  </si>
  <si>
    <t>OK</t>
  </si>
  <si>
    <t>Jazwares 2L底纸烫金</t>
  </si>
  <si>
    <t>I199RRDG</t>
  </si>
  <si>
    <t>Jazwares客2L笔记本，双面吊牌</t>
  </si>
  <si>
    <t>Matt</t>
  </si>
  <si>
    <t>欠</t>
  </si>
  <si>
    <t>Jazwares客2L小卡片，双面吊牌</t>
  </si>
  <si>
    <t>Fotorama Mexico</t>
  </si>
  <si>
    <t>墨西哥</t>
  </si>
  <si>
    <t>SR101手链10款配比（A2-B2-C2-D2-E2-F2-G2-H2-I2-J2）各五条/（50条装一个胶带里/5个胶袋装一箱）</t>
  </si>
  <si>
    <t>样板</t>
  </si>
  <si>
    <t>Celia</t>
  </si>
  <si>
    <t>JAZWARES - TARGET US DOM</t>
  </si>
  <si>
    <t>PASS</t>
  </si>
  <si>
    <t>Jazwares客版（美文）V2</t>
  </si>
  <si>
    <t>J058RRDG</t>
  </si>
  <si>
    <t>飞机孔吸塑（RPET吸塑）</t>
  </si>
  <si>
    <t>Jazwares客版（美文）底纸烫金</t>
  </si>
  <si>
    <t>Nichi World Co., Ltd</t>
  </si>
  <si>
    <t>泰国</t>
  </si>
  <si>
    <t>需要(产品贴纸）</t>
  </si>
  <si>
    <t>翻单纸箱部自行确认印刷</t>
  </si>
  <si>
    <t>J212RRDG</t>
  </si>
  <si>
    <t>贴纸$0.02一张</t>
  </si>
  <si>
    <t>JAZWARES CA - LOBLAWS INC. DOM</t>
  </si>
  <si>
    <t>PKG MOQ Cost:$390,CM Rework Cost:$96</t>
  </si>
  <si>
    <t>转单</t>
  </si>
  <si>
    <t>Carlee</t>
  </si>
  <si>
    <t>Niko</t>
  </si>
  <si>
    <t>Character Options</t>
  </si>
  <si>
    <t>英国</t>
  </si>
  <si>
    <t>Slip Sheet cost:$0.08一箱</t>
  </si>
  <si>
    <t xml:space="preserve">SR600CDU-6 424 C 6 229
</t>
  </si>
  <si>
    <t>胶件需要移印TOY UK地址</t>
  </si>
  <si>
    <t>Winnie</t>
  </si>
  <si>
    <t xml:space="preserve">Yuki </t>
  </si>
  <si>
    <t>PT MAP</t>
  </si>
  <si>
    <t>抽办 8PCS</t>
  </si>
  <si>
    <t>第二代美文板</t>
  </si>
  <si>
    <t>J229RRDG</t>
  </si>
  <si>
    <t>mporter label cost:$0.02一张</t>
  </si>
  <si>
    <t xml:space="preserve">Arya </t>
  </si>
  <si>
    <t>TOY客版彩盒/通用美文版CDU</t>
  </si>
  <si>
    <t xml:space="preserve">SR600CDU-6 424 C 6 261
</t>
  </si>
  <si>
    <t>Slip sheet cost ($0.08/carton)</t>
  </si>
  <si>
    <t xml:space="preserve">Winnie </t>
  </si>
  <si>
    <t xml:space="preserve">Yuki  </t>
  </si>
  <si>
    <t>订购时间</t>
  </si>
  <si>
    <t>Jazwares- TARGET US DOM</t>
  </si>
  <si>
    <t>LG</t>
  </si>
  <si>
    <t>SI:8/18</t>
  </si>
  <si>
    <t>J131RRDG</t>
  </si>
  <si>
    <t>系统出单</t>
  </si>
  <si>
    <t>Jazwares, LLC</t>
  </si>
  <si>
    <t>Pending</t>
  </si>
  <si>
    <t>Package MOQ:$390</t>
  </si>
  <si>
    <t>J勾吸塑新(新款）</t>
  </si>
  <si>
    <t>Jazwares美文底纸烫金</t>
  </si>
  <si>
    <t>J079RRDG</t>
  </si>
  <si>
    <t>WALGREEN</t>
  </si>
  <si>
    <t>6/26 MTS</t>
  </si>
  <si>
    <t>J142RRDG</t>
  </si>
  <si>
    <t>J169RRDG</t>
  </si>
  <si>
    <t>需要验货</t>
  </si>
  <si>
    <t>J182RRDG</t>
  </si>
  <si>
    <t>J201RRDG</t>
  </si>
  <si>
    <t>J188RRDG</t>
  </si>
  <si>
    <t>公仔取消吸塑，用胶袋装，胶带不需印警告语</t>
  </si>
  <si>
    <t>J110RRDG</t>
  </si>
  <si>
    <t>Jazwares Canada</t>
  </si>
  <si>
    <t>PKG Rework Cost:$210.82</t>
  </si>
  <si>
    <t>9/8 DPI 5%</t>
  </si>
  <si>
    <t>JAZWARES - WALMART CANADA (IMPORT)</t>
  </si>
  <si>
    <t>MTS 8/11 BV 8/12</t>
  </si>
  <si>
    <t>无需挂钩</t>
  </si>
  <si>
    <t>J149RRDG</t>
  </si>
  <si>
    <t>AOD</t>
  </si>
  <si>
    <t>MTS FRI (8/20) + BV FRI (8/21)</t>
  </si>
  <si>
    <t>J215RRDG</t>
  </si>
  <si>
    <t>第三代彩盒底纸烫金</t>
  </si>
  <si>
    <t>新吸塑</t>
  </si>
  <si>
    <t>Jazwares美文底纸</t>
  </si>
  <si>
    <t>未有BOM</t>
  </si>
  <si>
    <t>JAZWARES - WALMART CA</t>
  </si>
  <si>
    <t>Jazwares客2L小卡片，公仔取消吸塑，用胶袋装，胶带不需印警告语</t>
  </si>
  <si>
    <t>未有客版BOM</t>
  </si>
  <si>
    <t>MOQ COST:$150</t>
  </si>
  <si>
    <t>New Laceys Promotions (Pty) Ltd</t>
  </si>
  <si>
    <t>南非</t>
  </si>
  <si>
    <t>Arya</t>
  </si>
  <si>
    <t>飞机孔吸塑新（RPET吸塑）</t>
  </si>
  <si>
    <t>JAZ297664</t>
  </si>
  <si>
    <t>PHAT MOJO</t>
  </si>
  <si>
    <t>RFID贴纸</t>
  </si>
  <si>
    <t>JAZWARES - HOT Topic/Box Lunch</t>
  </si>
  <si>
    <t>J187RRDG</t>
  </si>
  <si>
    <t>JAZWARES - INTL (WALMART CA FOB)</t>
  </si>
  <si>
    <t>加拿大</t>
  </si>
  <si>
    <t>Jazwares2L底纸烫金</t>
  </si>
  <si>
    <t>7/2恢复生产</t>
  </si>
  <si>
    <t>JAZWARES - KROGER DOM</t>
  </si>
  <si>
    <t>MTS 9/1</t>
  </si>
  <si>
    <t>Amazon</t>
  </si>
  <si>
    <t>待验外箱贴纸</t>
  </si>
  <si>
    <t>需要（外箱贴纸）</t>
  </si>
  <si>
    <t>密封盒吸塑</t>
  </si>
  <si>
    <t>J171RRDG</t>
  </si>
  <si>
    <t>第十四票外箱贴纸</t>
  </si>
  <si>
    <t>美国(空运)</t>
  </si>
  <si>
    <t>Sam</t>
  </si>
  <si>
    <t>美国FBA</t>
  </si>
  <si>
    <t>亚马逊美文版</t>
  </si>
  <si>
    <t>美国(FBA)</t>
  </si>
  <si>
    <t>美国AWD</t>
  </si>
  <si>
    <t>需要（外箱贴纸一张，正唛一张）</t>
  </si>
  <si>
    <t>贴纸文件号#UFY3DTYPXYYFX（第七票）</t>
  </si>
  <si>
    <t>美国(AWD)</t>
  </si>
  <si>
    <t>JAZWARES - TARGET</t>
  </si>
  <si>
    <t>PKG Rework Cost:$576</t>
  </si>
  <si>
    <t>Roller Fee:$150</t>
  </si>
  <si>
    <t>SRAP8003CDU-18 424 C 6 244</t>
  </si>
  <si>
    <t>公仔取消吸塑，用胶袋装</t>
  </si>
  <si>
    <t>SR3203 424 C 6 215</t>
  </si>
  <si>
    <t>胶件需要移印TOYUK地址</t>
  </si>
  <si>
    <t>Sky Castle Toys, LLC</t>
  </si>
  <si>
    <t>JS1003CDU-9 424 C 6 146</t>
  </si>
  <si>
    <t>大货配比满CDU2套</t>
  </si>
  <si>
    <t>JS3003CDU-12 424 C 6 117</t>
  </si>
  <si>
    <t>透明热缩膜</t>
  </si>
  <si>
    <t>SR3203 424 C 6 117</t>
  </si>
  <si>
    <t>3个彩盒成品</t>
  </si>
  <si>
    <t>J120RRDG</t>
  </si>
  <si>
    <t>SRAP1302-CDU24 424 C 6 128</t>
  </si>
  <si>
    <t>TOY客版底纸烫金</t>
  </si>
  <si>
    <t>SRAP4302CDU-6 424 C 6 117</t>
  </si>
  <si>
    <t>SRSM102CDU-9 424 C 6 128</t>
  </si>
  <si>
    <t>SRSM103CDU-24 424 C 6 128</t>
  </si>
  <si>
    <t>SRSM301 424 C 6 128</t>
  </si>
  <si>
    <t>JAZWARES - COSTCO</t>
  </si>
  <si>
    <t>J184RRDG</t>
  </si>
  <si>
    <t>一卡板装40pcs其中分24pcs粉 + 16pcs蓝</t>
  </si>
  <si>
    <t xml:space="preserve">PASS </t>
  </si>
  <si>
    <t>SRMC302 424 C 6 253</t>
  </si>
  <si>
    <t>需要移印TOYUK地址</t>
  </si>
  <si>
    <t>Yuki</t>
  </si>
  <si>
    <t>双面吊牌，展示架按500pcs订购，需要做ISTA 3E运输测试</t>
  </si>
  <si>
    <t>Jazwares- TARGET US FOB</t>
  </si>
  <si>
    <t>CDU MOQ COST:$150</t>
  </si>
  <si>
    <t>Package MOQ:$390,SI:8/18</t>
  </si>
  <si>
    <t>J191RRDG</t>
  </si>
  <si>
    <t xml:space="preserve"> JAZWARES - GAMESTOP</t>
  </si>
  <si>
    <t>DPI 5% 8/11</t>
  </si>
  <si>
    <t>PKG MOQ COST:$150,SI:8/18</t>
  </si>
  <si>
    <t>GAMESTOP客版</t>
  </si>
  <si>
    <t>14款包装好胶囊成品各10PCS</t>
  </si>
  <si>
    <t>A1-N1款包装好狡囊成品各10PCS</t>
  </si>
  <si>
    <t>20个包装好成品</t>
  </si>
  <si>
    <t>A款</t>
  </si>
  <si>
    <t>B款</t>
  </si>
  <si>
    <t>Sheng Tai_Camtec</t>
  </si>
  <si>
    <t>新加坡</t>
  </si>
  <si>
    <t>爱尔兰</t>
  </si>
  <si>
    <t>SRAP3202 424 C 6 219</t>
  </si>
  <si>
    <t>SRAP3202 424 C 6 233</t>
  </si>
  <si>
    <t>JAZWARES - FIVE BELOW FOB</t>
  </si>
  <si>
    <t>BOTI</t>
  </si>
  <si>
    <t>比利时</t>
  </si>
  <si>
    <t>贴纸$0.02一张，公仔取消吸塑，用胶袋装</t>
  </si>
  <si>
    <t>Package MOQ:$150</t>
  </si>
  <si>
    <t>WRT World Enterprises, Inc</t>
  </si>
  <si>
    <t>厄瓜多尔</t>
  </si>
  <si>
    <t>Label cost:$0.02一张</t>
  </si>
  <si>
    <t>多米尼加共和国</t>
  </si>
  <si>
    <t>萨尔瓦多</t>
  </si>
  <si>
    <t>Planet Fun</t>
  </si>
  <si>
    <t>新西兰</t>
  </si>
  <si>
    <t>8/14  Slip Sheet cost:$0.08一箱</t>
  </si>
  <si>
    <t>SR3203 424 C 6 224</t>
  </si>
  <si>
    <t>SRAP3202 424 C 6 254</t>
  </si>
  <si>
    <t>JAZWARES - FRED MEYER INC DOM</t>
  </si>
  <si>
    <t>JAZWARES - Kroger DOM</t>
  </si>
  <si>
    <t>JAZWARES - DOLLAR TREE INC.</t>
  </si>
  <si>
    <t>PKG Rework Cost：＄2598.12</t>
  </si>
  <si>
    <t>SKY Castle Toys, LLC</t>
  </si>
  <si>
    <t>纽约</t>
  </si>
  <si>
    <t>APHMAU散装手链SRAP4302:A1-C1,A2-H2共11款</t>
  </si>
  <si>
    <t>SRAP4302:A1-C1，SRAP1302:A2-H2共11款，连接扣全扣好，10个11款入一袋，每款910条，装91袋。</t>
  </si>
  <si>
    <t>圣迭戈</t>
  </si>
  <si>
    <t>5000份SRMC103第三代美文版收藏指南</t>
  </si>
  <si>
    <t>SRMC103-B1/C1/D1/G1/H1/I1/J1七款，SRMC400 A2/B2/C2三款，连接扣全扣好，10个10款入一袋，每款1000条，共100袋。加5000份SRMC103第三代美文版收藏指南。</t>
  </si>
  <si>
    <t>SRMC系列随机200条</t>
  </si>
  <si>
    <t>MC400+MC201+MC103共18款每款，连接扣全扣好，5个18款入一袋，装111袋或112袋都可以，每款556条。</t>
  </si>
  <si>
    <t>Banter Toys</t>
  </si>
  <si>
    <t>澳大利亚</t>
  </si>
  <si>
    <t>TOY客版封面封底内页美文</t>
  </si>
  <si>
    <t xml:space="preserve">SR2013 424 C 6 229
</t>
  </si>
  <si>
    <t xml:space="preserve">SR3013 424 C 6 229
</t>
  </si>
  <si>
    <t>REJ</t>
  </si>
  <si>
    <t xml:space="preserve">SR4602CDU-6 424 C 6 229
</t>
  </si>
  <si>
    <t xml:space="preserve">SRAP4302CDU-6 424 C 6 229
</t>
  </si>
  <si>
    <t xml:space="preserve">SRMC201 424 C 6 229
</t>
  </si>
  <si>
    <t>JAZWARES - MEIJER INC. DOM</t>
  </si>
  <si>
    <t>Grasper Global Private Limited</t>
  </si>
  <si>
    <t>佛山市</t>
  </si>
  <si>
    <t>A款单独装箱</t>
  </si>
  <si>
    <t>空白箱+外箱贴纸</t>
  </si>
  <si>
    <t>贴纸$0.02一张，Shipping label cost:$0.02一箱</t>
  </si>
  <si>
    <t>B款单独装箱</t>
  </si>
  <si>
    <t>C款单独装箱</t>
  </si>
  <si>
    <t>D款单独装箱</t>
  </si>
  <si>
    <t>E款单独装箱</t>
  </si>
  <si>
    <t>F款单独装箱</t>
  </si>
  <si>
    <t>Green bag cost:$541</t>
  </si>
  <si>
    <t>A-N每款各300pcs单独装箱</t>
  </si>
  <si>
    <t>不需要CDU，胶囊散装</t>
  </si>
  <si>
    <t>贴纸$0.02一张，Shipping label cost:$0.02一箱，取消吸塑改用纸袋装</t>
  </si>
  <si>
    <t>Toysmith</t>
  </si>
  <si>
    <t>JAZWARES - WALGREEN</t>
  </si>
  <si>
    <t>只需要大贴纸，36款大贴纸尽量平分</t>
  </si>
  <si>
    <t xml:space="preserve">SR8003CDU-18 424 C 6 232
</t>
  </si>
  <si>
    <t>胶件需印COUK地址，Slip sheet cost ($0.08/carton)</t>
  </si>
  <si>
    <t xml:space="preserve">SR8003CDU-18 424 C 6 250
</t>
  </si>
  <si>
    <t xml:space="preserve">SRAP8003CDU-18 424 C 6 334
</t>
  </si>
  <si>
    <t xml:space="preserve">SRSM103CDU-24 424 C 6 232
</t>
  </si>
  <si>
    <t xml:space="preserve">SRSM103CDU-24 424 C 6 250
</t>
  </si>
  <si>
    <t>A-M款手链各200条，N款150条(只需手链)</t>
  </si>
  <si>
    <t>A-J款成品各65pcs,K-N款成品各50pcs</t>
  </si>
  <si>
    <t>8/4 8/5 DPI5%</t>
  </si>
  <si>
    <t>7/27抽办 100pcs</t>
  </si>
  <si>
    <t>SR8003CDU-18 424 C 6 252</t>
  </si>
  <si>
    <t>胶件需要印COUK 地址</t>
  </si>
  <si>
    <t>Proxy (Far East) Limited</t>
  </si>
  <si>
    <t>瑞典</t>
  </si>
  <si>
    <t xml:space="preserve">SR1023 424 C 6 253
</t>
  </si>
  <si>
    <t>label charge:$0.02一张</t>
  </si>
  <si>
    <t>第三代美文版（瘦身版）</t>
  </si>
  <si>
    <t>Proxy客版</t>
  </si>
  <si>
    <t xml:space="preserve">SR1033 424 C 6 253
</t>
  </si>
  <si>
    <t xml:space="preserve">SR2013 424 C 6 253
</t>
  </si>
  <si>
    <t>胶件需要印COUK地址。</t>
  </si>
  <si>
    <t xml:space="preserve">SR3013 424 C 6 253
</t>
  </si>
  <si>
    <t>欠CDU</t>
  </si>
  <si>
    <t xml:space="preserve">SRAP1302 424 C 6 253
</t>
  </si>
  <si>
    <t>大货配比满2套CDU</t>
  </si>
  <si>
    <t>3个成品</t>
  </si>
  <si>
    <t>JAZWARES - Shopper Drug Mart</t>
  </si>
  <si>
    <t>GAMESTOP客版（2L）</t>
  </si>
  <si>
    <t>Jazwares客2L小卡片</t>
  </si>
  <si>
    <t>印尼</t>
  </si>
  <si>
    <t>CDU MOQ COST:$510.36</t>
  </si>
  <si>
    <t xml:space="preserve">SR1023 424 C 6 261
</t>
  </si>
  <si>
    <t>胶件需要印COUK地址，Slip sheet cost ($0.08/carton)</t>
  </si>
  <si>
    <t xml:space="preserve">SR8003CDU-18 424 C 6 261
</t>
  </si>
  <si>
    <t xml:space="preserve">SRAP1302CDU-24 424 C 6 261
</t>
  </si>
  <si>
    <t xml:space="preserve">SRSC101CDU-24 424 C 6 293
</t>
  </si>
  <si>
    <t xml:space="preserve">Carlee </t>
  </si>
  <si>
    <t xml:space="preserve">SR8003CDU-18 424 C 6 268
</t>
  </si>
  <si>
    <t>胶件需要移印COUK地址</t>
  </si>
  <si>
    <t xml:space="preserve">Sam  </t>
  </si>
  <si>
    <t>不要CDU</t>
  </si>
  <si>
    <t>26字母A-J款10款 每款各20pcs</t>
  </si>
  <si>
    <t>Kidland</t>
  </si>
  <si>
    <t>黎巴嫩</t>
  </si>
  <si>
    <t>Importer Label Cost:$0.02一张</t>
  </si>
  <si>
    <t xml:space="preserve">Niko </t>
  </si>
  <si>
    <t xml:space="preserve"> JAZWARES - TARGET</t>
  </si>
  <si>
    <t>CDU MOQ:$150</t>
  </si>
  <si>
    <t>JAZWARES - FRED MEYER INC</t>
  </si>
  <si>
    <t>Kade Ltd.</t>
  </si>
  <si>
    <t>香港</t>
  </si>
  <si>
    <t>SK27326</t>
  </si>
  <si>
    <t xml:space="preserve"> JAZWARES CA - LOBLAWS INC. DOM</t>
  </si>
  <si>
    <t>J303RRDG</t>
  </si>
  <si>
    <t>PKG Rework Cost:$711</t>
  </si>
  <si>
    <t>Target Corporation</t>
  </si>
  <si>
    <t>空白箱唛+外箱贴纸，可直接订购</t>
  </si>
  <si>
    <t>软陶片跟戒指放进泥里面</t>
  </si>
  <si>
    <t>需要（产品贴纸）</t>
  </si>
  <si>
    <t>J161RRDG</t>
  </si>
  <si>
    <t>此单跟EU测试标准，生产请按UK标准（即软陶片和戒指用纸袋包装，不是混在蛋糕内）。贴纸费用$0.02</t>
  </si>
  <si>
    <t>软陶片跟戒指放进泥里面（第十四票外箱贴纸）</t>
  </si>
  <si>
    <t>需要（外箱贴纸，正唛一张）</t>
  </si>
  <si>
    <t>软陶片跟戒指放进泥里面贴纸文件编号#UFY3DTYPXYYFX（第七票）</t>
  </si>
  <si>
    <t>Skycastle</t>
  </si>
  <si>
    <t>JC140 424 C 6 161</t>
  </si>
  <si>
    <t>大货配比满CDU5套</t>
  </si>
  <si>
    <t>200个半成品不用CDU</t>
  </si>
  <si>
    <t>200pcs蛋糕成品，6款配色平均分配</t>
  </si>
  <si>
    <t>JC120 424 C 6 105</t>
  </si>
  <si>
    <t>JC120 424 C 6 161</t>
  </si>
  <si>
    <t>300个半成品不用CDU</t>
  </si>
  <si>
    <t>300pcs蛋糕成品，6款配色平均分配</t>
  </si>
  <si>
    <t>JC140 424 C 6 105</t>
  </si>
  <si>
    <t>3个蛋糕成品</t>
  </si>
  <si>
    <t>大货配比满彩盒5套</t>
  </si>
  <si>
    <t>欧盟版本</t>
  </si>
  <si>
    <t>此单跟EU测试标准，生产请按UK标准（即软陶片和戒指用纸袋包装，不是混在蛋糕内）</t>
  </si>
  <si>
    <t>8、14  Slip Sheet cost ($0.08/ctn x 2000) = $160</t>
  </si>
  <si>
    <t>需要( UK地址贴纸）</t>
  </si>
  <si>
    <t>TOY贴纸膜+三代美文CDU</t>
  </si>
  <si>
    <t>JC120 424 C 6 224</t>
  </si>
  <si>
    <t>贴纸$0.02一张。此单跟EU测试标准，生产请按UK标准（即软陶片和戒指用纸袋包装，不是混在蛋糕内）</t>
  </si>
  <si>
    <t>Playkit Phils Inc</t>
  </si>
  <si>
    <t>菲律宾</t>
  </si>
  <si>
    <t>贴纸$0.02一张，（软陶片和戒指用纸袋装，不是混在蛋糕内）</t>
  </si>
  <si>
    <t>TOY版</t>
  </si>
  <si>
    <t xml:space="preserve">JC120 424 C 6 223
</t>
  </si>
  <si>
    <t>软陶片和戒指用纸袋包装，不是混在蛋糕内。胶件需要印TOY UK地址，TSD Label cost:$0.02一张，Slip Sheet Cost:$0.08一箱</t>
  </si>
  <si>
    <t xml:space="preserve">JC140 424 C 6 223
</t>
  </si>
  <si>
    <t>贴纸$0.02一张，软陶片和戒指用纸袋装</t>
  </si>
  <si>
    <t xml:space="preserve">JC120 424 C 6 268
</t>
  </si>
  <si>
    <t>TSD marking label for JC120：0.02一张</t>
  </si>
  <si>
    <t>需要（外箱贴纸×2）</t>
  </si>
  <si>
    <t>Target客专用CDU</t>
  </si>
  <si>
    <t>新款情人节系列， 软陶片和戒指放泥里，Avery Dennison Carton Label:$0.01一张，Event Label:$0.02一张</t>
  </si>
  <si>
    <t>按欧洲标准做货（软陶片和戒指用纸袋装，不是放在蛋糕内）</t>
  </si>
  <si>
    <t>Diamant Toys</t>
  </si>
  <si>
    <t>以色列</t>
  </si>
  <si>
    <t>J250RRDG</t>
  </si>
  <si>
    <t>label cost:$0.02一张</t>
  </si>
  <si>
    <t>客供外箱贴纸</t>
  </si>
  <si>
    <t>（旧版本包装）软陶片和戒指放泥里，贴纸＄0.01一张</t>
  </si>
  <si>
    <t>软陶片和戒指放泥里，贴纸＄0.01一张</t>
  </si>
  <si>
    <t>软陶片和戒指放泥里</t>
  </si>
  <si>
    <t>合计</t>
  </si>
  <si>
    <t>TMAX跟单</t>
  </si>
  <si>
    <t>做货版</t>
  </si>
  <si>
    <t>彩盒/CDU(版）</t>
  </si>
  <si>
    <t>Orbico Sp. z o.o.</t>
  </si>
  <si>
    <t>波兰</t>
  </si>
  <si>
    <t>HOLD</t>
  </si>
  <si>
    <t>SI:1/4</t>
  </si>
  <si>
    <t>J勾吸塑(新款）</t>
  </si>
  <si>
    <t>波兰客版</t>
  </si>
  <si>
    <t>第二代彩盒底纸烫金</t>
  </si>
  <si>
    <t>I345RRDG</t>
  </si>
  <si>
    <t>多加了一张说明书
共两张说明书,SI:1/4</t>
  </si>
  <si>
    <t>贴纸$0.02+0.02一张</t>
  </si>
  <si>
    <t>彩盒+纸箱需要贴纸</t>
  </si>
  <si>
    <t>SR103 424 C 5 353</t>
  </si>
  <si>
    <t>1.胶囊需用带气孔款（2个气孔)
2.贴纸30072PCS/$0.06一张+CUD贴纸1253PCS/$0.03一张</t>
  </si>
  <si>
    <t>MOQ:$150,SI:1/13</t>
  </si>
  <si>
    <t>I363RRDG</t>
  </si>
  <si>
    <t>印度</t>
  </si>
  <si>
    <t>第二代美文版V2</t>
  </si>
  <si>
    <t>J008RRDG</t>
  </si>
  <si>
    <t>AMAZON</t>
  </si>
  <si>
    <t>密封盒开机费$150</t>
  </si>
  <si>
    <t>需要(外箱贴纸）</t>
  </si>
  <si>
    <t>J010RRDG</t>
  </si>
  <si>
    <t>CDU开机费$150</t>
  </si>
  <si>
    <t>JS100CDU-9 424 C 6 016</t>
  </si>
  <si>
    <t>贴纸$0.01一张，CDU premium：150</t>
  </si>
  <si>
    <t>竖版吸塑+飞机孔挂钩</t>
  </si>
  <si>
    <t>SR102 424 C 6 016</t>
  </si>
  <si>
    <t>封面封底TOY客版，内页美文版(内页档案有更新V2）</t>
  </si>
  <si>
    <t>SR201 424 C 6 016</t>
  </si>
  <si>
    <t>SR301 424 C 6 016</t>
  </si>
  <si>
    <t>TOY客版新V3</t>
  </si>
  <si>
    <t>SR460CDU-6 424 C 6 016</t>
  </si>
  <si>
    <t>SR600CDU-6 424 C 6 016</t>
  </si>
  <si>
    <t>Blue Strawberry</t>
  </si>
  <si>
    <t>蒙古</t>
  </si>
  <si>
    <t>SI：1/30</t>
  </si>
  <si>
    <t>J015RRDG</t>
  </si>
  <si>
    <t>不收取贴纸费用</t>
  </si>
  <si>
    <t>Importer label：$12</t>
  </si>
  <si>
    <t>SI：2/3</t>
  </si>
  <si>
    <t>Jazwares美文客版V2</t>
  </si>
  <si>
    <t>Jazwares美文客版</t>
  </si>
  <si>
    <t>Jazwares客美文包装</t>
  </si>
  <si>
    <t>J013RRDG</t>
  </si>
  <si>
    <t>I353RRDG</t>
  </si>
  <si>
    <t>Jazwares美文客版底纸烫金</t>
  </si>
  <si>
    <t>I325RRDG</t>
  </si>
  <si>
    <t>HD</t>
  </si>
  <si>
    <t>Jazwares2L包装</t>
  </si>
  <si>
    <t>Jazwares客2L包装</t>
  </si>
  <si>
    <t>SR301 424 C 6 023</t>
  </si>
  <si>
    <t>SR201 424 C 6 023</t>
  </si>
  <si>
    <t>MOQ:$150</t>
  </si>
  <si>
    <t>SR160 424 C 6 023</t>
  </si>
  <si>
    <t>PROXY客版</t>
  </si>
  <si>
    <t>SR103 424 C 6 023</t>
  </si>
  <si>
    <t>SR102 424 C 6 023</t>
  </si>
  <si>
    <t>WALMART CANADA</t>
  </si>
  <si>
    <t>JAZ：1/29
BV:1/30</t>
  </si>
  <si>
    <t>MOQ:$390</t>
  </si>
  <si>
    <t>J020RRDG</t>
  </si>
  <si>
    <t>澳洲</t>
  </si>
  <si>
    <t>SI：2/10</t>
  </si>
  <si>
    <t>J018RRDG</t>
  </si>
  <si>
    <t>J019RRDG</t>
  </si>
  <si>
    <t>中东</t>
  </si>
  <si>
    <t>加贴一张“Made in China”贴纸</t>
  </si>
  <si>
    <t>Additional cost：$117.7</t>
  </si>
  <si>
    <t>Viet Tinh Anh</t>
  </si>
  <si>
    <t>越南</t>
  </si>
  <si>
    <t>SR102 424 C 6 050</t>
  </si>
  <si>
    <t>SR201 424 C 6 050</t>
  </si>
  <si>
    <t>HY</t>
  </si>
  <si>
    <t>JAZWARES -WALMART CANADA (IMPORT)</t>
  </si>
  <si>
    <t>Rework cost：$638</t>
  </si>
  <si>
    <t>转单已录</t>
  </si>
  <si>
    <t>J077RRDG</t>
  </si>
  <si>
    <t>先挪用印度单PO：PO0000132-INGG</t>
  </si>
  <si>
    <t>AS Company</t>
  </si>
  <si>
    <t>希腊</t>
  </si>
  <si>
    <t>CDU贴纸</t>
  </si>
  <si>
    <t>CDU美文加客贴纸</t>
  </si>
  <si>
    <t>希腊客版底纸烫金</t>
  </si>
  <si>
    <t>J091RRDG</t>
  </si>
  <si>
    <t>SR3013 424 C 6 103</t>
  </si>
  <si>
    <t>61094REV1</t>
  </si>
  <si>
    <t>SI：4/29</t>
  </si>
  <si>
    <t>SR8003CDU-18 424 C 6 105</t>
  </si>
  <si>
    <t>SR430CDU 424 C 6 103</t>
  </si>
  <si>
    <t>SR130CDU-24 424 C 6 103</t>
  </si>
  <si>
    <t>采用带气孔胶囊</t>
  </si>
  <si>
    <t>QIA：4/30</t>
  </si>
  <si>
    <t>SI: 5/5</t>
  </si>
  <si>
    <t>J096RRDG</t>
  </si>
  <si>
    <t>SI：5/5</t>
  </si>
  <si>
    <t>HN</t>
  </si>
  <si>
    <t>Litt Tak SDN. BHD.</t>
  </si>
  <si>
    <t>马来西亚</t>
  </si>
  <si>
    <t>空白箱唛+外箱贴纸×2，可直接订购</t>
  </si>
  <si>
    <t>J124RRDG</t>
  </si>
  <si>
    <t>空白外箱+打印A4纸两张，正唛侧唛各一张</t>
  </si>
  <si>
    <t>61111REV1</t>
  </si>
  <si>
    <t>SI: 5/11</t>
  </si>
  <si>
    <t>Jazwares/美文客版</t>
  </si>
  <si>
    <t>欠1665箱</t>
  </si>
  <si>
    <t>CDU MOQ COST：$150
SI:5/11</t>
  </si>
  <si>
    <t>欠388箱</t>
  </si>
  <si>
    <t>WALMART CANADA (IMPORT)</t>
  </si>
  <si>
    <t>Rework cost：$667</t>
  </si>
  <si>
    <t>61123REV1</t>
  </si>
  <si>
    <t>61124REV2</t>
  </si>
  <si>
    <t>Online：4/27</t>
  </si>
  <si>
    <t>此单跟EU测试标准，生产请按UK标准（即软陶片和戒指用纸袋包装，不是混在蛋糕内）。</t>
  </si>
  <si>
    <t>online: 4/29
TOFE:2026/4/30</t>
  </si>
  <si>
    <t>SR1023 424 C 6 117</t>
  </si>
  <si>
    <t>4/30 Online</t>
  </si>
  <si>
    <t>SR2013 424 C 6 117</t>
  </si>
  <si>
    <t>SR3013 424 C 6 117</t>
  </si>
  <si>
    <t>61127REV1</t>
  </si>
  <si>
    <t>SR600CDU-6 424 C 6 117</t>
  </si>
  <si>
    <t>Online：5/7</t>
  </si>
  <si>
    <t>SR1023 424 C 6 128</t>
  </si>
  <si>
    <t>欠105箱</t>
  </si>
  <si>
    <t>SR2013 424 C 6 128</t>
  </si>
  <si>
    <t>欠51箱</t>
  </si>
  <si>
    <t>SR3013 424 C 6 128</t>
  </si>
  <si>
    <t>61128REV2</t>
  </si>
  <si>
    <t>SR600CDU-6 424 C 6 128</t>
  </si>
  <si>
    <t>要气孔胶囊</t>
  </si>
  <si>
    <t>空白箱+水贴纸</t>
  </si>
  <si>
    <t>无需包装</t>
  </si>
  <si>
    <t>SRMC103（A1 - J1)，SRMC400(A2 - C2），13款×各30条手链混装390条手链入一个胶带，出货时需扣上手链，5070pcs美文版收藏指南单独装箱,共两箱</t>
  </si>
  <si>
    <t>SI：5/25</t>
  </si>
  <si>
    <t>5/19~5/25</t>
  </si>
  <si>
    <t>4/18确认</t>
  </si>
  <si>
    <t>TOY客版，跟3代共用</t>
  </si>
  <si>
    <t>TOY客版底纸</t>
  </si>
  <si>
    <t>SR3703 424 C 6 128</t>
  </si>
  <si>
    <t>贴纸$0.01一张</t>
  </si>
  <si>
    <t>61135REV1</t>
  </si>
  <si>
    <t>欠867箱</t>
  </si>
  <si>
    <t>61136REV2</t>
  </si>
  <si>
    <t>2026/5/26验：12096pcs
2026/6/17验：23904pcs</t>
  </si>
  <si>
    <t>2026/5/22:12096pcs</t>
  </si>
  <si>
    <t>SRMC201 424 C 6 161</t>
  </si>
  <si>
    <t>61138REV2</t>
  </si>
  <si>
    <t>2026/5/26验:37896pcs
2026/6/17验:70104pcs</t>
  </si>
  <si>
    <t>2026/5/22:37896pcs</t>
  </si>
  <si>
    <t>SRMC103CDU-24 424 C 6 161</t>
  </si>
  <si>
    <t>2026/5/26:3042pcs
2026/6/10:14958pcs</t>
  </si>
  <si>
    <t>2026/5/26:3042pcs
2026/6/12:14958pcs</t>
  </si>
  <si>
    <t>2026/5/22:3042pcs</t>
  </si>
  <si>
    <t>SRMC400CDU-6 424 C 6 161</t>
  </si>
  <si>
    <t>SR181CDU-24 424 C 6 133</t>
  </si>
  <si>
    <t>SR8003CDU-18 424 C 6 128</t>
  </si>
  <si>
    <t>JAZWARES - INTL (LOBLAWS DOM)</t>
  </si>
  <si>
    <t>J140RRDG</t>
  </si>
  <si>
    <t>SI：6/1</t>
  </si>
  <si>
    <t>SI：6/1,CDU MOQ COST：$150</t>
  </si>
  <si>
    <t>JAZ292141</t>
  </si>
  <si>
    <t>Basel</t>
  </si>
  <si>
    <t>土耳其</t>
  </si>
  <si>
    <t>客贴纸</t>
  </si>
  <si>
    <t>J134RRDG</t>
  </si>
  <si>
    <t>61156REV3</t>
  </si>
  <si>
    <t>online 5/27,TOFE 5/29</t>
  </si>
  <si>
    <t>5/28~6/2</t>
  </si>
  <si>
    <t>SR3703 424 C 6 148</t>
  </si>
  <si>
    <t>61160REV2</t>
  </si>
  <si>
    <t>SR1023 424 C 6 146</t>
  </si>
  <si>
    <t>中国</t>
  </si>
  <si>
    <t>SK14926</t>
  </si>
  <si>
    <t>TOY客版信封袋/美文版CDU</t>
  </si>
  <si>
    <t>Online：5/25</t>
  </si>
  <si>
    <t>SR4602CDU-6 424 C 6 128</t>
  </si>
  <si>
    <t>SR1023 424 C 6 133</t>
  </si>
  <si>
    <t>61165REV1</t>
  </si>
  <si>
    <t>SR3013 424 C 6 146</t>
  </si>
  <si>
    <t>SRSM102CDU-9 424 C 6 146</t>
  </si>
  <si>
    <t>SR2013 424 C 6 133</t>
  </si>
  <si>
    <t>SR600CDU-6 424 C 6 146</t>
  </si>
  <si>
    <t>SR8003CDU-18 424 C 6 146</t>
  </si>
  <si>
    <t>SR2013 424 C 6 146</t>
  </si>
  <si>
    <t>C120 424 C 6 146</t>
  </si>
  <si>
    <t>61166REV1</t>
  </si>
  <si>
    <t>QIA:5/15
BV :5/18</t>
  </si>
  <si>
    <t>欠715箱</t>
  </si>
  <si>
    <t>QIA:5/18
BV :5/19</t>
  </si>
  <si>
    <t>61171REV1</t>
  </si>
  <si>
    <t>Online：6/2</t>
  </si>
  <si>
    <t>JS1003CDU-9 424 C 6 128</t>
  </si>
  <si>
    <t>Online：6/26</t>
  </si>
  <si>
    <t>SRAP1302CDU-24 424 C 6 146</t>
  </si>
  <si>
    <t>61174REV1</t>
  </si>
  <si>
    <t>Peak Toys Distribution SRL</t>
  </si>
  <si>
    <t>罗马尼亚</t>
  </si>
  <si>
    <t>J138RRDG</t>
  </si>
  <si>
    <t>多备8pcs供抽办</t>
  </si>
  <si>
    <t>Anvol</t>
  </si>
  <si>
    <t>爱沙尼亚</t>
  </si>
  <si>
    <t>61177REV1</t>
  </si>
  <si>
    <t>MTS FRI (6/1) + BV FRI (6/2)</t>
  </si>
  <si>
    <t>JAZ297663</t>
  </si>
  <si>
    <t>6/1抽办 6pcs</t>
  </si>
  <si>
    <t>Tmax DPI 4/23
JAZ UL DPI 4/24</t>
  </si>
  <si>
    <t>Jazwares- CLAIRE'S DOM</t>
  </si>
  <si>
    <t>MOQ COST：$150</t>
  </si>
  <si>
    <t>JAZWARES - CLAIRE'S DOM</t>
  </si>
  <si>
    <t>MOQ COST：$390</t>
  </si>
  <si>
    <t>Jazwares- WALGREEN'S DOM</t>
  </si>
  <si>
    <t>61194REV1</t>
  </si>
  <si>
    <t>61195REV1</t>
  </si>
  <si>
    <t>JAZWARES - INCREDIBLES NOVELTIES INC.</t>
  </si>
  <si>
    <t>Rework cost：$1350</t>
  </si>
  <si>
    <t>61199REV1</t>
  </si>
  <si>
    <t>湖南验</t>
  </si>
  <si>
    <t>61352REV1</t>
  </si>
  <si>
    <t>SI 6/20</t>
  </si>
  <si>
    <t>DPI：4/28</t>
  </si>
  <si>
    <t>FRI UL:4/30</t>
  </si>
  <si>
    <t>从取消单转入</t>
  </si>
  <si>
    <t>2026/6/18验:70104pcs</t>
  </si>
  <si>
    <t>2026/6/18验：23904pcs</t>
  </si>
  <si>
    <t>2026/5/22:3042pcs
2026/6/12:14958pcs</t>
  </si>
  <si>
    <t>2026/6/18:14958pcs</t>
  </si>
  <si>
    <t>Dexy Co</t>
  </si>
  <si>
    <t>塞尔维亚</t>
  </si>
  <si>
    <t>61360REV1</t>
  </si>
  <si>
    <t>MTS FRI (6/16)+BV FRI (6/17)</t>
  </si>
  <si>
    <t>MTS FRI (6/16)BV FRI (6/17)</t>
  </si>
  <si>
    <t>SR3703 424 C 6 169</t>
  </si>
  <si>
    <t>61365REV1</t>
  </si>
  <si>
    <t>SRBFF3703 424 C 6 135</t>
  </si>
  <si>
    <t>61366REV1</t>
  </si>
  <si>
    <t>此单跟EU测试标准，生产请按UK标准（即软陶片和戒指用纸袋包装，不是混在蛋糕内）。贴纸$0.02一张</t>
  </si>
  <si>
    <t>JAZ297665</t>
  </si>
  <si>
    <t>SRAP3202 424 C 6 142</t>
  </si>
  <si>
    <t>6/29 MTS 6/30 BV</t>
  </si>
  <si>
    <t>SRMC201 424 C 6 168</t>
  </si>
  <si>
    <t>SRMC400CDU-6 424 C 6 168</t>
  </si>
  <si>
    <t>JS1003CDU-9 424 C 6 175</t>
  </si>
  <si>
    <t>SR1023 424 C 6 175</t>
  </si>
  <si>
    <t>SR2013 424 C 6 175</t>
  </si>
  <si>
    <t>SRMC201 424 C 6 175</t>
  </si>
  <si>
    <t>SR3703 424 C 6 194</t>
  </si>
  <si>
    <t>61378REV1</t>
  </si>
  <si>
    <t>Happy Kids</t>
  </si>
  <si>
    <t>此单更改使用加大内径的金属环</t>
  </si>
  <si>
    <t>需要(产品贴纸+年龄贴纸）</t>
  </si>
  <si>
    <t>贴纸$0.05一张+$0.02一张</t>
  </si>
  <si>
    <t>61379REV1</t>
  </si>
  <si>
    <t>JAZWARES - OSIRIS INC. O/A SHOWCASE</t>
  </si>
  <si>
    <t>Rework cost:$258</t>
  </si>
  <si>
    <t>美国（空运）</t>
  </si>
  <si>
    <t>J162RRDG</t>
  </si>
  <si>
    <t>Importer label cost：$436.4</t>
  </si>
  <si>
    <t>7个满CDU+110个胶囊成品装一箱，一箱110个，4个满CDU正确配比，剩下14个随机装</t>
  </si>
  <si>
    <t>REJ7/1重验</t>
  </si>
  <si>
    <t>7个满CDU+110个蛋糕成品分两箱装（2个满CDU正确配+7个成品随机装，2组一起装1箱，一共2箱）</t>
  </si>
  <si>
    <t>SI 6/20，MOQ:$150</t>
  </si>
  <si>
    <t>SRAP4302CDU-6 424 C 6 128</t>
  </si>
  <si>
    <t>SR3013 424 C 6 180</t>
  </si>
  <si>
    <t>61395REV1</t>
  </si>
  <si>
    <t>SR1023 424 C 6 180</t>
  </si>
  <si>
    <t>SR1023 424 C 6 181</t>
  </si>
  <si>
    <t>SR2013 424 C 6 181</t>
  </si>
  <si>
    <t>SRAP1302CDU-24 424 C 6 181</t>
  </si>
  <si>
    <t>胶囊带气孔</t>
  </si>
  <si>
    <t>SR8003CDU-18 424 C 6 181</t>
  </si>
  <si>
    <t>61398REV1</t>
  </si>
  <si>
    <t>7/8 17:00截仓</t>
  </si>
  <si>
    <t>SR2013 424 C 6 180</t>
  </si>
  <si>
    <t>SRAP1302CDU-24 424 C 6 180</t>
  </si>
  <si>
    <t>SRAP3202 424 C 6 140</t>
  </si>
  <si>
    <t>7/10 重验</t>
  </si>
  <si>
    <t>JAZWARES - HOBBY LOBBY</t>
  </si>
  <si>
    <t>61409REV1</t>
  </si>
  <si>
    <t>BOTI版本，OK</t>
  </si>
  <si>
    <t>J166RRDG</t>
  </si>
  <si>
    <t>丹麦</t>
  </si>
  <si>
    <t>ok</t>
  </si>
  <si>
    <t>CDU TOY客版</t>
  </si>
  <si>
    <t>此单跟EU测试标准，生产请按UK标准（即软陶片和戒指用纸袋包装，不是混在蛋糕内）。贴纸$0.02一张*2</t>
  </si>
  <si>
    <t>JS1003 424 C 6 161</t>
  </si>
  <si>
    <t>SR1023 424 C 6 161</t>
  </si>
  <si>
    <t>Roller cost：$560,Package MOQ:$150</t>
  </si>
  <si>
    <t>SR1033 424 C 6 161</t>
  </si>
  <si>
    <t>SR2013 424 C 6 161</t>
  </si>
  <si>
    <t>Proxy客版底纸烫金</t>
  </si>
  <si>
    <t>SR3013 424 C 6 161</t>
  </si>
  <si>
    <t>61411REV1</t>
  </si>
  <si>
    <t>SR3203 424 C 6 161</t>
  </si>
  <si>
    <t>Roller cost：$560</t>
  </si>
  <si>
    <t>SR8003 424 C 6 161</t>
  </si>
  <si>
    <t>SRAP1302 424 C 6 161</t>
  </si>
  <si>
    <t>SRMC103 424 C 6 161</t>
  </si>
  <si>
    <t>美文版CDU/Proxy客版彩盒</t>
  </si>
  <si>
    <t>SRMC400 424 C 6 161</t>
  </si>
  <si>
    <t>SRTD103 424 C 6 161</t>
  </si>
  <si>
    <t>SRTD400 424 C 6 161</t>
  </si>
  <si>
    <t>SR3703 424 C 6 161</t>
  </si>
  <si>
    <t>61412REV1</t>
  </si>
  <si>
    <t>埃及</t>
  </si>
  <si>
    <t>61418REV1</t>
  </si>
  <si>
    <t>确认每个产品多加一份波兰客板收藏指南</t>
  </si>
  <si>
    <t>Reworkcost-correctcartonbarcodeofSR3203,SR2013,SR3013:$208</t>
  </si>
  <si>
    <t>AdditionalEnglishCollectorManual:$1067.8</t>
  </si>
  <si>
    <t>61419REV2</t>
  </si>
  <si>
    <t>IM MOQ COST：$90</t>
  </si>
  <si>
    <t>波兰客版彩盒美文版CDU</t>
  </si>
  <si>
    <t>波兰客版底纸烫金</t>
  </si>
  <si>
    <t>SRAP4302CDU-6 424 C 6 191</t>
  </si>
  <si>
    <t>SRAP4302CDU-6 424 C 6 146</t>
  </si>
  <si>
    <t>空白箱+外箱贴纸+编织袋45*75</t>
  </si>
  <si>
    <t>Cost of delivery to customer specified warehouse：$560</t>
  </si>
  <si>
    <t>贴纸$0.02一张，Shipping label cost:$0.02*一箱</t>
  </si>
  <si>
    <t>61424REV2</t>
  </si>
  <si>
    <t>空白箱+外箱贴纸+编织袋80*100</t>
  </si>
  <si>
    <t>每款单独装箱</t>
  </si>
  <si>
    <t>空白箱+外箱贴纸+编织袋40*60</t>
  </si>
  <si>
    <t>Green bag cost:$430</t>
  </si>
  <si>
    <t>空白箱+外箱贴纸+编织袋50*80</t>
  </si>
  <si>
    <t>每款公仔单独装箱</t>
  </si>
  <si>
    <t>不需要CDU，胶囊散装,每款单独装箱，100pc/箱。装箱配比如下： 常规款 400pc/款 x 10款，共4000pc 稀有款（银色）200pc/款 x 3款，共600pc 超稀有款（金色）200pc x 1款，共200pc</t>
  </si>
  <si>
    <t>贴纸$0.02一张，Shipping label cost:$0.02*一箱，公仔取消吸塑，用胶袋装</t>
  </si>
  <si>
    <t xml:space="preserve">Planet Fun Limited
</t>
  </si>
  <si>
    <t>SK18126</t>
  </si>
  <si>
    <t>JAZWARES - KELLYTOY DOM</t>
  </si>
  <si>
    <t>此单过后公仔取消吸塑，用胶袋装，胶带不需印警告语</t>
  </si>
  <si>
    <t>7/17 DPI 5%</t>
  </si>
  <si>
    <t>7/13 DPI5%</t>
  </si>
  <si>
    <t>J181RRDG</t>
  </si>
  <si>
    <t>61436REV1</t>
  </si>
  <si>
    <t xml:space="preserve">7/7 MTS     7/9BV </t>
  </si>
  <si>
    <t>SRAP3202 424 C 6 173</t>
  </si>
  <si>
    <t>Target</t>
  </si>
  <si>
    <t>需要（外箱贴纸）正唛一张，侧唛一张</t>
  </si>
  <si>
    <t>第八票外箱贴纸</t>
  </si>
  <si>
    <t>需要（外箱贴纸两张，一张正唛，一张侧唛）</t>
  </si>
  <si>
    <t>贴纸文件号#FBA19HL1S1JV（第四票）</t>
  </si>
  <si>
    <t>需要（外箱贴纸2张，正唛一张，侧唛一张）</t>
  </si>
  <si>
    <t>贴纸文件号#FBA19HFD87FF（第二票）</t>
  </si>
  <si>
    <t>贴纸文件号#FBA19HFFSQGB（第一票）</t>
  </si>
  <si>
    <t>美国(空运）</t>
  </si>
  <si>
    <t>美国-海运FBA</t>
  </si>
  <si>
    <t>软陶片跟戒指放进泥里面贴纸文件编号#FBA19HFL0CZ4（第三票）</t>
  </si>
  <si>
    <t>需要（外箱贴纸Y一张正唛）</t>
  </si>
  <si>
    <t>贴纸文件号#FBA19HFL0CZ4（第三票）</t>
  </si>
  <si>
    <t>美国（FBA）</t>
  </si>
  <si>
    <t>需要（外箱贴纸,一张正唛）</t>
  </si>
  <si>
    <t>需要（外箱贴纸，一张正唛）</t>
  </si>
  <si>
    <t>61445REV1</t>
  </si>
  <si>
    <t>SR1033 424 C 6 195</t>
  </si>
  <si>
    <t>SRMC201 424 C 6 195</t>
  </si>
  <si>
    <t>SR8003 424 C 6 195</t>
  </si>
  <si>
    <t>SR1023 424 C 6 195</t>
  </si>
  <si>
    <t>SRAP4302 424 C 6 195</t>
  </si>
  <si>
    <t>SR2013 424 C 6 195</t>
  </si>
  <si>
    <t>SRMC103 424 C 6 195</t>
  </si>
  <si>
    <t>是</t>
  </si>
  <si>
    <t>JC120 424 C 6 195</t>
  </si>
  <si>
    <t>7/27 Package MOQ:$150</t>
  </si>
  <si>
    <t>SRAP4302 424 C 6 161</t>
  </si>
  <si>
    <t>CORPORACION EL ROSADO S.A</t>
  </si>
  <si>
    <t>2026-07</t>
  </si>
  <si>
    <t>贴纸$0.02一张 (软陶片和戒指用纸袋装，不是混在蛋糕内）</t>
  </si>
  <si>
    <t>SRAP3202 424 C 6 201</t>
  </si>
  <si>
    <t>美国-空运</t>
  </si>
  <si>
    <t>需要（外箱贴纸两张，正唛一张，侧唛一张）</t>
  </si>
  <si>
    <t>软陶片跟戒指放进泥里面 贴纸文件编号#分5个表，看共享总表（第五票）</t>
  </si>
  <si>
    <t>软陶片跟戒指放进泥里面 贴纸文件编号#分5个表，看共享总表（第六票）</t>
  </si>
  <si>
    <t>第五票，贴纸文件编号#分5个表，看共享总表（第五票）</t>
  </si>
  <si>
    <t>MTS FRI (7/22) + BV FRI (7/23)</t>
  </si>
  <si>
    <t>沙特阿拉伯</t>
  </si>
  <si>
    <t>贴纸$0.02一张，Rework importer label:$0.01一张</t>
  </si>
  <si>
    <t>61467REV1</t>
  </si>
  <si>
    <t>贴纸$0.02一张，Rework importer label:$0.01一张，公仔取消吸塑，用胶带装</t>
  </si>
  <si>
    <t>Planet Fun Limited</t>
  </si>
  <si>
    <t>阿拉伯</t>
  </si>
  <si>
    <t>61470REV1</t>
  </si>
  <si>
    <t>SRAP3202 424 C 6 177</t>
  </si>
  <si>
    <t>6/26 抽办 200pcs 5个展示架</t>
  </si>
  <si>
    <t>SRAP3202 424 C 6 197</t>
  </si>
  <si>
    <t>61482REV1</t>
  </si>
  <si>
    <t>Claire's Essentials</t>
  </si>
  <si>
    <t>需要重验</t>
  </si>
  <si>
    <t>封箱需用定制3英寸胶带</t>
  </si>
  <si>
    <t>第九票外箱贴纸2563箱，第十票外箱贴纸381箱</t>
  </si>
  <si>
    <t>第十票外箱贴纸</t>
  </si>
  <si>
    <t>第十票外箱贴纸，第十一票外箱箱1269箱</t>
  </si>
  <si>
    <t>第九票外箱贴纸</t>
  </si>
  <si>
    <t>第十一票外箱贴纸</t>
  </si>
  <si>
    <t>空白箱</t>
  </si>
  <si>
    <t>透明胶袋</t>
  </si>
  <si>
    <t>1代贴纸，贴纸分配比例按业务表格包装订胶袋、入箱</t>
  </si>
  <si>
    <t>阿拉伯联合酋长国</t>
  </si>
  <si>
    <t>贴纸$0.02一张，Rework importer label cost:$0.01一张</t>
  </si>
  <si>
    <t>第十二票外箱贴纸</t>
  </si>
  <si>
    <t>第十三票外箱贴纸</t>
  </si>
  <si>
    <t>空运，Delivery cost (From Shenzhen to Ningbo):$380</t>
  </si>
  <si>
    <t>空运</t>
  </si>
  <si>
    <t>备注：SR103&amp;160&amp;130&amp;180CDU-24 (COUK) 版和标准版不同单价</t>
  </si>
  <si>
    <t>MA</t>
  </si>
  <si>
    <t>SRMC400</t>
  </si>
  <si>
    <t>只备料半成品，不含包装</t>
  </si>
  <si>
    <t>客PO期</t>
  </si>
  <si>
    <t>验货期</t>
  </si>
  <si>
    <t>验货/抽板
地点</t>
  </si>
  <si>
    <t>验货结果</t>
  </si>
  <si>
    <t>收藏指南</t>
  </si>
  <si>
    <t>Banter Toys (AUS)</t>
  </si>
  <si>
    <t>8月</t>
  </si>
  <si>
    <t>Options (UK)</t>
  </si>
  <si>
    <t>Imports Dragon (Canada)</t>
  </si>
  <si>
    <t>UCC (USA)</t>
  </si>
  <si>
    <t>SR101</t>
  </si>
  <si>
    <t>Proxy (Nordics)</t>
  </si>
  <si>
    <t>9月</t>
  </si>
  <si>
    <t>Famosa (Spain)</t>
  </si>
  <si>
    <t>10月</t>
  </si>
  <si>
    <t>Anvol (Baltics)</t>
  </si>
  <si>
    <t>Felyx (Bulgaria)</t>
  </si>
  <si>
    <t>Ri Happy (Brazil)</t>
  </si>
  <si>
    <t>KidLand/ First Kid (GCC)</t>
  </si>
  <si>
    <t>Walmart MOD Flow 3k stores</t>
  </si>
  <si>
    <t>11月</t>
  </si>
  <si>
    <t>Walmart REPL Flow 1 3k stores</t>
  </si>
  <si>
    <t>Indonesia Dist TBD</t>
  </si>
  <si>
    <t>Camtec/ Sheng Tai (Singapore)</t>
  </si>
  <si>
    <t>COBI (Poland)</t>
  </si>
  <si>
    <t>Benelux (dist TBD)</t>
  </si>
  <si>
    <t>France (Giochi Presziosi)</t>
  </si>
  <si>
    <t>GAS (Dist TBD)</t>
  </si>
  <si>
    <t>Greece (Giochi Presziosi)</t>
  </si>
  <si>
    <t>Italy (Giochi Presziosi)</t>
  </si>
  <si>
    <t>12月</t>
  </si>
  <si>
    <t>Elite Global (LATAM)</t>
  </si>
  <si>
    <t>Walmart REPL Flow 2 3k stores</t>
  </si>
  <si>
    <t>JAZ279858</t>
  </si>
  <si>
    <t>PO0000075-USJZ</t>
  </si>
  <si>
    <t>JAZ279857</t>
  </si>
  <si>
    <t>PO0000077-USJZ</t>
  </si>
  <si>
    <t>JAZ286039</t>
  </si>
  <si>
    <t>PO0000110-USJZ</t>
  </si>
  <si>
    <t>PO0000188</t>
  </si>
  <si>
    <t>JAZ290021</t>
  </si>
  <si>
    <t>PO0000149</t>
  </si>
  <si>
    <t>2L</t>
  </si>
  <si>
    <t>JAZ290022</t>
  </si>
  <si>
    <t>PO0000151</t>
  </si>
  <si>
    <t>JAZ292280</t>
  </si>
  <si>
    <t>PO0000177</t>
  </si>
  <si>
    <t>CDU MOQ COST：150</t>
  </si>
  <si>
    <t>Placeholder PO1 for PHAT MOJO</t>
  </si>
  <si>
    <t>PO0000215</t>
  </si>
  <si>
    <t>Placeholder PO2 for PHAT MOJO</t>
  </si>
  <si>
    <t>PO0000216</t>
  </si>
  <si>
    <t>Placeholder PO3 for PHAT MOJO</t>
  </si>
  <si>
    <t>PO0000217</t>
  </si>
  <si>
    <t>PO0000213-1</t>
  </si>
  <si>
    <t>JAZ254719</t>
  </si>
  <si>
    <t>CAJZ044</t>
  </si>
  <si>
    <t>JAZ254721</t>
  </si>
  <si>
    <t>CAJZ046</t>
  </si>
  <si>
    <t>PO0000205</t>
  </si>
  <si>
    <t>JAZWARES - WALGREEN COMPANY US DOM</t>
  </si>
  <si>
    <t>JAZ297036</t>
  </si>
  <si>
    <t>PO0000217-1</t>
  </si>
  <si>
    <t>客人通知取消订单</t>
  </si>
  <si>
    <t>Placeholder PO for Claires</t>
  </si>
  <si>
    <t>PO0000214</t>
  </si>
  <si>
    <t>JAZ254718</t>
  </si>
  <si>
    <t>CAJZ043</t>
  </si>
  <si>
    <t>JAZ254720</t>
  </si>
  <si>
    <t>CAJZ045</t>
  </si>
  <si>
    <t>5/19转回原PO</t>
  </si>
  <si>
    <t>JAZ297225</t>
  </si>
  <si>
    <t>PO0000289</t>
  </si>
  <si>
    <t>Bomnamu Co Ltd</t>
  </si>
  <si>
    <t>韩国</t>
  </si>
  <si>
    <t>TBA</t>
  </si>
  <si>
    <t>KRBN001</t>
  </si>
  <si>
    <t>KC贴纸</t>
  </si>
  <si>
    <t>韩国客版</t>
  </si>
  <si>
    <t>二代美文小卡片</t>
  </si>
  <si>
    <t>改新吸塑</t>
  </si>
  <si>
    <t>美文小卡</t>
  </si>
  <si>
    <t>SRMC302 424 C 6 140</t>
  </si>
  <si>
    <t>SRMC302 424 C 6 142</t>
  </si>
  <si>
    <t>Placeholder PO for Sky Castle</t>
  </si>
  <si>
    <t>PO0000212</t>
  </si>
  <si>
    <t>先不安排备料</t>
  </si>
  <si>
    <t>PO0000422</t>
  </si>
  <si>
    <t>PO0000424</t>
  </si>
  <si>
    <t>PO0000423</t>
  </si>
  <si>
    <t>FIVE BELOW PO 6953930</t>
  </si>
  <si>
    <t>PO0000391</t>
  </si>
  <si>
    <t>JAZ302771</t>
  </si>
  <si>
    <t>PO0000343</t>
  </si>
  <si>
    <t>Happy Kids &amp; Toys</t>
  </si>
  <si>
    <t>上海</t>
  </si>
  <si>
    <t>HKT20260622-2</t>
  </si>
  <si>
    <t>PO0000419</t>
  </si>
  <si>
    <t>CCC label cost:$0.02一张，年龄label cost：＄0.02一张，公仔取消吸塑，用胶带装</t>
  </si>
  <si>
    <t>PO0000213</t>
  </si>
  <si>
    <t>接单</t>
  </si>
  <si>
    <t>一二代排期</t>
  </si>
  <si>
    <t>三代排期</t>
  </si>
  <si>
    <t>蛋糕系列</t>
  </si>
  <si>
    <t>走货</t>
  </si>
  <si>
    <t>相差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</si>
</sst>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_ ;[Red]\-0\ "/>
    <numFmt numFmtId="178" formatCode="0.00_ ;[Red]\-0.00\ "/>
    <numFmt numFmtId="179" formatCode="yyyy/m/d&quot;周&quot;aaa"/>
    <numFmt numFmtId="180" formatCode="yyyy/m/d;@"/>
    <numFmt numFmtId="181" formatCode="0.000_ ;[Red]\-0.000\ "/>
    <numFmt numFmtId="182" formatCode="m&quot;月&quot;d&quot;日&quot;;@"/>
    <numFmt numFmtId="183" formatCode="m&quot;月&quot;d&quot;日&quot;\(aaa\)"/>
    <numFmt numFmtId="184" formatCode="0_ "/>
  </numFmts>
  <fonts count="94">
    <font>
      <sz val="12"/>
      <name val="宋体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0"/>
      <color rgb="FFFF0000"/>
      <name val="Times New Roman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sz val="9"/>
      <name val="宋体"/>
      <charset val="134"/>
      <scheme val="major"/>
    </font>
    <font>
      <sz val="9"/>
      <color rgb="FFFF0000"/>
      <name val="宋体"/>
      <charset val="134"/>
      <scheme val="major"/>
    </font>
    <font>
      <sz val="9"/>
      <color rgb="FFFF0000"/>
      <name val="宋体"/>
      <charset val="134"/>
      <scheme val="minor"/>
    </font>
    <font>
      <strike/>
      <sz val="9"/>
      <color rgb="FFFF0000"/>
      <name val="宋体"/>
      <charset val="134"/>
      <scheme val="major"/>
    </font>
    <font>
      <sz val="9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  <scheme val="minor"/>
    </font>
    <font>
      <sz val="9"/>
      <color rgb="FF1B1BFB"/>
      <name val="宋体"/>
      <charset val="134"/>
    </font>
    <font>
      <b/>
      <sz val="9"/>
      <color rgb="FFFF0000"/>
      <name val="宋体"/>
      <charset val="134"/>
      <scheme val="major"/>
    </font>
    <font>
      <b/>
      <sz val="9"/>
      <color rgb="FF7030A0"/>
      <name val="宋体"/>
      <charset val="0"/>
    </font>
    <font>
      <b/>
      <sz val="9"/>
      <color rgb="FFFF0000"/>
      <name val="宋体"/>
      <charset val="134"/>
    </font>
    <font>
      <b/>
      <sz val="9"/>
      <color rgb="FFFF0000"/>
      <name val="宋体"/>
      <charset val="134"/>
      <scheme val="minor"/>
    </font>
    <font>
      <b/>
      <strike/>
      <sz val="10"/>
      <color rgb="FFFF0000"/>
      <name val="Times New Roman"/>
      <charset val="134"/>
    </font>
    <font>
      <b/>
      <sz val="9"/>
      <name val="宋体"/>
      <charset val="134"/>
      <scheme val="major"/>
    </font>
    <font>
      <sz val="9"/>
      <color theme="1"/>
      <name val="宋体"/>
      <charset val="134"/>
      <scheme val="major"/>
    </font>
    <font>
      <b/>
      <sz val="9"/>
      <name val="宋体"/>
      <charset val="134"/>
      <scheme val="minor"/>
    </font>
    <font>
      <b/>
      <sz val="9"/>
      <name val="宋体"/>
      <charset val="0"/>
      <scheme val="minor"/>
    </font>
    <font>
      <sz val="9"/>
      <color rgb="FF0000FF"/>
      <name val="宋体"/>
      <charset val="134"/>
      <scheme val="minor"/>
    </font>
    <font>
      <sz val="9"/>
      <color rgb="FFFF00FF"/>
      <name val="宋体"/>
      <charset val="134"/>
      <scheme val="major"/>
    </font>
    <font>
      <sz val="9"/>
      <color rgb="FFFF00FF"/>
      <name val="宋体"/>
      <charset val="134"/>
      <scheme val="minor"/>
    </font>
    <font>
      <sz val="9"/>
      <color rgb="FFFF00FF"/>
      <name val="宋体"/>
      <charset val="134"/>
    </font>
    <font>
      <b/>
      <sz val="9"/>
      <color theme="1"/>
      <name val="宋体"/>
      <charset val="134"/>
      <scheme val="minor"/>
    </font>
    <font>
      <b/>
      <sz val="9"/>
      <color rgb="FF0000FF"/>
      <name val="宋体"/>
      <charset val="134"/>
    </font>
    <font>
      <b/>
      <sz val="9"/>
      <color rgb="FFFF00FF"/>
      <name val="宋体"/>
      <charset val="134"/>
      <scheme val="minor"/>
    </font>
    <font>
      <b/>
      <sz val="9"/>
      <color rgb="FFFF00FF"/>
      <name val="宋体"/>
      <charset val="134"/>
    </font>
    <font>
      <sz val="9"/>
      <color rgb="FFFF00FF"/>
      <name val="Arial"/>
      <charset val="134"/>
    </font>
    <font>
      <sz val="10"/>
      <color rgb="FFFF00FF"/>
      <name val="宋体"/>
      <charset val="134"/>
    </font>
    <font>
      <b/>
      <sz val="9"/>
      <color rgb="FFFF00FF"/>
      <name val="宋体"/>
      <charset val="134"/>
      <scheme val="major"/>
    </font>
    <font>
      <b/>
      <sz val="10"/>
      <color rgb="FF000000"/>
      <name val="Times New Roman"/>
      <charset val="134"/>
    </font>
    <font>
      <sz val="9"/>
      <color rgb="FF0000FF"/>
      <name val="宋体"/>
      <charset val="134"/>
      <scheme val="major"/>
    </font>
    <font>
      <sz val="9"/>
      <color rgb="FF0000FF"/>
      <name val="宋体"/>
      <charset val="134"/>
    </font>
    <font>
      <sz val="9"/>
      <color rgb="FF417FF9"/>
      <name val="宋体"/>
      <charset val="134"/>
    </font>
    <font>
      <b/>
      <sz val="9"/>
      <name val="宋体"/>
      <charset val="134"/>
    </font>
    <font>
      <sz val="9"/>
      <color rgb="FF7030A0"/>
      <name val="宋体"/>
      <charset val="0"/>
    </font>
    <font>
      <sz val="9"/>
      <color rgb="FF000000"/>
      <name val="宋体"/>
      <charset val="134"/>
    </font>
    <font>
      <b/>
      <sz val="9"/>
      <color rgb="FF417FF9"/>
      <name val="宋体"/>
      <charset val="134"/>
    </font>
    <font>
      <sz val="9"/>
      <color theme="1"/>
      <name val="宋体"/>
      <charset val="134"/>
    </font>
    <font>
      <b/>
      <sz val="9"/>
      <color rgb="FF000000"/>
      <name val="宋体"/>
      <charset val="134"/>
    </font>
    <font>
      <sz val="9"/>
      <color rgb="FF0004FA"/>
      <name val="宋体"/>
      <charset val="134"/>
    </font>
    <font>
      <sz val="9"/>
      <color rgb="FF000000"/>
      <name val="宋体"/>
      <charset val="134"/>
      <scheme val="major"/>
    </font>
    <font>
      <sz val="9"/>
      <color rgb="FF417FF9"/>
      <name val="宋体"/>
      <charset val="134"/>
      <scheme val="major"/>
    </font>
    <font>
      <b/>
      <sz val="9"/>
      <color rgb="FF000000"/>
      <name val="宋体"/>
      <charset val="134"/>
      <scheme val="major"/>
    </font>
    <font>
      <b/>
      <sz val="9"/>
      <color rgb="FF000000"/>
      <name val="宋体"/>
      <charset val="0"/>
      <scheme val="major"/>
    </font>
    <font>
      <b/>
      <sz val="9"/>
      <color rgb="FF0000FF"/>
      <name val="宋体"/>
      <charset val="134"/>
      <scheme val="major"/>
    </font>
    <font>
      <b/>
      <sz val="9"/>
      <color rgb="FF417FF9"/>
      <name val="宋体"/>
      <charset val="134"/>
      <scheme val="major"/>
    </font>
    <font>
      <sz val="9"/>
      <color rgb="FF000000"/>
      <name val="宋体"/>
      <charset val="134"/>
      <scheme val="minor"/>
    </font>
    <font>
      <b/>
      <sz val="9"/>
      <color rgb="FF0000FF"/>
      <name val="宋体"/>
      <charset val="134"/>
      <scheme val="minor"/>
    </font>
    <font>
      <sz val="9"/>
      <color rgb="FF417FF9"/>
      <name val="宋体"/>
      <charset val="134"/>
      <scheme val="minor"/>
    </font>
    <font>
      <b/>
      <sz val="9"/>
      <color rgb="FF417FF9"/>
      <name val="宋体"/>
      <charset val="134"/>
      <scheme val="minor"/>
    </font>
    <font>
      <sz val="12"/>
      <color rgb="FFFF0000"/>
      <name val="宋体"/>
      <charset val="134"/>
    </font>
    <font>
      <sz val="9"/>
      <color theme="1"/>
      <name val="宋体"/>
      <charset val="134"/>
      <scheme val="minor"/>
    </font>
    <font>
      <b/>
      <sz val="9"/>
      <color rgb="FFFF0000"/>
      <name val="Times New Roman"/>
      <charset val="134"/>
    </font>
    <font>
      <b/>
      <sz val="9"/>
      <color rgb="FF1B1BFB"/>
      <name val="Times New Roman"/>
      <charset val="134"/>
    </font>
    <font>
      <sz val="9"/>
      <name val="Times New Roman"/>
      <charset val="134"/>
    </font>
    <font>
      <sz val="12"/>
      <color rgb="FFFF00FF"/>
      <name val="宋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0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b/>
      <sz val="9"/>
      <color rgb="FF1B1BFB"/>
      <name val="宋体"/>
      <charset val="134"/>
    </font>
    <font>
      <sz val="9"/>
      <name val="宋体"/>
      <charset val="0"/>
    </font>
    <font>
      <b/>
      <sz val="9"/>
      <name val="宋体"/>
      <charset val="0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6">
    <xf numFmtId="0" fontId="0" fillId="0" borderId="0"/>
    <xf numFmtId="43" fontId="65" fillId="0" borderId="0" applyFont="0" applyFill="0" applyBorder="0" applyAlignment="0" applyProtection="0">
      <alignment vertical="center"/>
    </xf>
    <xf numFmtId="44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65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5" borderId="8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9" applyNumberFormat="0" applyFill="0" applyAlignment="0" applyProtection="0">
      <alignment vertical="center"/>
    </xf>
    <xf numFmtId="0" fontId="72" fillId="0" borderId="9" applyNumberFormat="0" applyFill="0" applyAlignment="0" applyProtection="0">
      <alignment vertical="center"/>
    </xf>
    <xf numFmtId="0" fontId="73" fillId="0" borderId="10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6" borderId="11" applyNumberFormat="0" applyAlignment="0" applyProtection="0">
      <alignment vertical="center"/>
    </xf>
    <xf numFmtId="0" fontId="75" fillId="7" borderId="12" applyNumberFormat="0" applyAlignment="0" applyProtection="0">
      <alignment vertical="center"/>
    </xf>
    <xf numFmtId="0" fontId="76" fillId="7" borderId="11" applyNumberFormat="0" applyAlignment="0" applyProtection="0">
      <alignment vertical="center"/>
    </xf>
    <xf numFmtId="0" fontId="77" fillId="8" borderId="13" applyNumberFormat="0" applyAlignment="0" applyProtection="0">
      <alignment vertical="center"/>
    </xf>
    <xf numFmtId="0" fontId="78" fillId="0" borderId="14" applyNumberFormat="0" applyFill="0" applyAlignment="0" applyProtection="0">
      <alignment vertical="center"/>
    </xf>
    <xf numFmtId="0" fontId="79" fillId="0" borderId="15" applyNumberFormat="0" applyFill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85" fillId="0" borderId="0"/>
    <xf numFmtId="0" fontId="65" fillId="0" borderId="0">
      <alignment vertical="center"/>
    </xf>
    <xf numFmtId="0" fontId="86" fillId="0" borderId="0"/>
    <xf numFmtId="0" fontId="65" fillId="0" borderId="0">
      <alignment vertical="center"/>
    </xf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87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8" fillId="0" borderId="0">
      <alignment vertical="top"/>
    </xf>
    <xf numFmtId="0" fontId="0" fillId="0" borderId="0"/>
  </cellStyleXfs>
  <cellXfs count="79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79" fontId="7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180" fontId="7" fillId="0" borderId="0" xfId="0" applyNumberFormat="1" applyFont="1" applyFill="1" applyBorder="1" applyAlignment="1" applyProtection="1">
      <alignment horizontal="center" vertical="center" wrapText="1"/>
    </xf>
    <xf numFmtId="181" fontId="7" fillId="0" borderId="0" xfId="0" applyNumberFormat="1" applyFont="1" applyFill="1" applyBorder="1" applyAlignment="1" applyProtection="1">
      <alignment horizontal="center" vertical="center" wrapText="1"/>
    </xf>
    <xf numFmtId="178" fontId="7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 shrinkToFit="1"/>
    </xf>
    <xf numFmtId="18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 applyProtection="1">
      <alignment horizontal="center" vertical="center" wrapText="1" shrinkToFit="1"/>
    </xf>
    <xf numFmtId="179" fontId="12" fillId="0" borderId="1" xfId="0" applyNumberFormat="1" applyFont="1" applyFill="1" applyBorder="1" applyAlignment="1" applyProtection="1">
      <alignment horizontal="center" vertical="center" wrapText="1" shrinkToFit="1"/>
    </xf>
    <xf numFmtId="0" fontId="13" fillId="0" borderId="2" xfId="0" applyFont="1" applyFill="1" applyBorder="1" applyAlignment="1" applyProtection="1">
      <alignment horizontal="center" vertical="center" wrapText="1"/>
    </xf>
    <xf numFmtId="179" fontId="14" fillId="0" borderId="1" xfId="0" applyNumberFormat="1" applyFont="1" applyFill="1" applyBorder="1" applyAlignment="1" applyProtection="1">
      <alignment horizontal="center" vertical="center" wrapText="1" shrinkToFit="1"/>
    </xf>
    <xf numFmtId="179" fontId="7" fillId="0" borderId="1" xfId="0" applyNumberFormat="1" applyFont="1" applyFill="1" applyBorder="1" applyAlignment="1" applyProtection="1">
      <alignment horizontal="center" vertical="center" wrapText="1" shrinkToFit="1"/>
    </xf>
    <xf numFmtId="179" fontId="13" fillId="0" borderId="2" xfId="0" applyNumberFormat="1" applyFont="1" applyFill="1" applyBorder="1" applyAlignment="1" applyProtection="1">
      <alignment horizontal="center" vertical="center" wrapText="1" shrinkToFit="1"/>
    </xf>
    <xf numFmtId="182" fontId="7" fillId="0" borderId="1" xfId="0" applyNumberFormat="1" applyFont="1" applyFill="1" applyBorder="1" applyAlignment="1" applyProtection="1">
      <alignment horizontal="center" vertical="center" wrapText="1" shrinkToFi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0" fontId="16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16" fillId="0" borderId="2" xfId="0" applyFont="1" applyFill="1" applyBorder="1" applyAlignment="1" applyProtection="1">
      <alignment horizontal="center" vertical="center" wrapText="1" shrinkToFit="1"/>
      <protection locked="0"/>
    </xf>
    <xf numFmtId="0" fontId="13" fillId="0" borderId="3" xfId="0" applyFont="1" applyFill="1" applyBorder="1" applyAlignment="1" applyProtection="1">
      <alignment horizontal="center" vertical="center" wrapText="1"/>
    </xf>
    <xf numFmtId="179" fontId="13" fillId="0" borderId="3" xfId="0" applyNumberFormat="1" applyFont="1" applyFill="1" applyBorder="1" applyAlignment="1" applyProtection="1">
      <alignment horizontal="center" vertical="center" wrapText="1" shrinkToFit="1"/>
    </xf>
    <xf numFmtId="0" fontId="16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16" fillId="0" borderId="3" xfId="0" applyFont="1" applyFill="1" applyBorder="1" applyAlignment="1" applyProtection="1">
      <alignment horizontal="center" vertical="center" wrapText="1" shrinkToFit="1"/>
      <protection locked="0"/>
    </xf>
    <xf numFmtId="179" fontId="8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183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58" fontId="8" fillId="0" borderId="1" xfId="0" applyNumberFormat="1" applyFont="1" applyFill="1" applyBorder="1" applyAlignment="1" applyProtection="1">
      <alignment horizontal="center" vertical="center" wrapText="1"/>
    </xf>
    <xf numFmtId="182" fontId="8" fillId="0" borderId="1" xfId="0" applyNumberFormat="1" applyFont="1" applyFill="1" applyBorder="1" applyAlignment="1" applyProtection="1">
      <alignment horizontal="center" vertical="center" wrapText="1"/>
    </xf>
    <xf numFmtId="181" fontId="8" fillId="0" borderId="1" xfId="0" applyNumberFormat="1" applyFont="1" applyFill="1" applyBorder="1" applyAlignment="1" applyProtection="1">
      <alignment horizontal="center" vertical="center" wrapText="1"/>
    </xf>
    <xf numFmtId="178" fontId="8" fillId="0" borderId="1" xfId="0" applyNumberFormat="1" applyFont="1" applyFill="1" applyBorder="1" applyAlignment="1" applyProtection="1">
      <alignment horizontal="center" vertical="center" wrapText="1"/>
    </xf>
    <xf numFmtId="58" fontId="15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Fill="1" applyBorder="1" applyAlignment="1" applyProtection="1">
      <alignment horizontal="center" vertical="center" wrapText="1"/>
    </xf>
    <xf numFmtId="179" fontId="9" fillId="0" borderId="1" xfId="0" applyNumberFormat="1" applyFont="1" applyFill="1" applyBorder="1" applyAlignment="1" applyProtection="1">
      <alignment horizontal="center" vertical="center" wrapText="1"/>
    </xf>
    <xf numFmtId="183" fontId="9" fillId="0" borderId="1" xfId="0" applyNumberFormat="1" applyFont="1" applyFill="1" applyBorder="1" applyAlignment="1" applyProtection="1">
      <alignment horizontal="center" vertical="center" wrapText="1"/>
    </xf>
    <xf numFmtId="184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 shrinkToFi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58" fontId="9" fillId="0" borderId="1" xfId="0" applyNumberFormat="1" applyFont="1" applyFill="1" applyBorder="1" applyAlignment="1" applyProtection="1">
      <alignment horizontal="center" vertical="center" wrapText="1"/>
    </xf>
    <xf numFmtId="182" fontId="9" fillId="0" borderId="1" xfId="0" applyNumberFormat="1" applyFont="1" applyFill="1" applyBorder="1" applyAlignment="1" applyProtection="1">
      <alignment horizontal="center" vertical="center" wrapText="1"/>
    </xf>
    <xf numFmtId="181" fontId="9" fillId="0" borderId="1" xfId="0" applyNumberFormat="1" applyFont="1" applyFill="1" applyBorder="1" applyAlignment="1" applyProtection="1">
      <alignment horizontal="center" vertical="center" wrapText="1"/>
    </xf>
    <xf numFmtId="178" fontId="9" fillId="0" borderId="1" xfId="0" applyNumberFormat="1" applyFont="1" applyFill="1" applyBorder="1" applyAlignment="1" applyProtection="1">
      <alignment horizontal="center" vertical="center" wrapText="1"/>
    </xf>
    <xf numFmtId="0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NumberFormat="1" applyFont="1" applyFill="1" applyBorder="1" applyAlignment="1" applyProtection="1">
      <alignment horizontal="center" vertical="center" wrapText="1" shrinkToFit="1"/>
    </xf>
    <xf numFmtId="0" fontId="1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84" fontId="9" fillId="0" borderId="1" xfId="0" applyNumberFormat="1" applyFont="1" applyFill="1" applyBorder="1" applyAlignment="1">
      <alignment horizontal="center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58" fontId="1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179" fontId="12" fillId="0" borderId="1" xfId="0" applyNumberFormat="1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179" fontId="15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 shrinkToFit="1"/>
    </xf>
    <xf numFmtId="58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79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10" fillId="0" borderId="1" xfId="0" applyNumberFormat="1" applyFont="1" applyFill="1" applyBorder="1" applyAlignment="1" applyProtection="1">
      <alignment horizontal="center" vertical="center" wrapText="1"/>
    </xf>
    <xf numFmtId="183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1" xfId="0" applyNumberFormat="1" applyFont="1" applyFill="1" applyBorder="1" applyAlignment="1" applyProtection="1">
      <alignment horizontal="center" vertical="center" wrapText="1" shrinkToFit="1"/>
    </xf>
    <xf numFmtId="0" fontId="10" fillId="0" borderId="1" xfId="0" applyNumberFormat="1" applyFont="1" applyFill="1" applyBorder="1" applyAlignment="1">
      <alignment horizontal="center" vertical="center" wrapText="1" shrinkToFit="1"/>
    </xf>
    <xf numFmtId="0" fontId="10" fillId="0" borderId="1" xfId="0" applyNumberFormat="1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 applyProtection="1">
      <alignment horizontal="center" vertical="center" wrapText="1" shrinkToFit="1"/>
    </xf>
    <xf numFmtId="18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181" fontId="10" fillId="0" borderId="1" xfId="0" applyNumberFormat="1" applyFont="1" applyFill="1" applyBorder="1" applyAlignment="1" applyProtection="1">
      <alignment horizontal="center" vertical="center" wrapText="1"/>
    </xf>
    <xf numFmtId="178" fontId="10" fillId="0" borderId="1" xfId="0" applyNumberFormat="1" applyFont="1" applyFill="1" applyBorder="1" applyAlignment="1" applyProtection="1">
      <alignment horizontal="center" vertical="center" wrapText="1"/>
    </xf>
    <xf numFmtId="58" fontId="19" fillId="0" borderId="1" xfId="0" applyNumberFormat="1" applyFont="1" applyFill="1" applyBorder="1" applyAlignment="1" applyProtection="1">
      <alignment horizontal="center" vertical="center" wrapText="1"/>
    </xf>
    <xf numFmtId="179" fontId="19" fillId="0" borderId="1" xfId="0" applyNumberFormat="1" applyFont="1" applyFill="1" applyBorder="1" applyAlignment="1">
      <alignment horizontal="center" vertical="center" shrinkToFit="1"/>
    </xf>
    <xf numFmtId="180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7" fillId="0" borderId="1" xfId="0" applyNumberFormat="1" applyFont="1" applyFill="1" applyBorder="1" applyAlignment="1" applyProtection="1">
      <alignment horizontal="center" vertical="center" wrapText="1"/>
    </xf>
    <xf numFmtId="183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 shrinkToFit="1"/>
    </xf>
    <xf numFmtId="0" fontId="7" fillId="0" borderId="1" xfId="0" applyNumberFormat="1" applyFont="1" applyFill="1" applyBorder="1" applyAlignment="1">
      <alignment horizontal="center" vertical="center" wrapText="1" shrinkToFit="1"/>
    </xf>
    <xf numFmtId="0" fontId="7" fillId="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81" fontId="7" fillId="0" borderId="1" xfId="0" applyNumberFormat="1" applyFont="1" applyFill="1" applyBorder="1" applyAlignment="1" applyProtection="1">
      <alignment horizontal="center" vertical="center" wrapText="1"/>
    </xf>
    <xf numFmtId="178" fontId="7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shrinkToFit="1"/>
    </xf>
    <xf numFmtId="18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9" fontId="7" fillId="0" borderId="0" xfId="0" applyNumberFormat="1" applyFont="1" applyFill="1" applyBorder="1" applyAlignment="1">
      <alignment horizontal="center" vertical="center" shrinkToFit="1"/>
    </xf>
    <xf numFmtId="0" fontId="7" fillId="0" borderId="0" xfId="0" applyNumberFormat="1" applyFont="1" applyFill="1" applyBorder="1" applyAlignment="1">
      <alignment horizontal="center" vertical="center" wrapText="1"/>
    </xf>
    <xf numFmtId="179" fontId="7" fillId="0" borderId="0" xfId="0" applyNumberFormat="1" applyFont="1" applyFill="1" applyBorder="1" applyAlignment="1">
      <alignment horizontal="center" vertical="center" wrapText="1"/>
    </xf>
    <xf numFmtId="181" fontId="7" fillId="0" borderId="0" xfId="0" applyNumberFormat="1" applyFont="1" applyFill="1" applyBorder="1" applyAlignment="1">
      <alignment horizontal="center" vertical="center" wrapText="1"/>
    </xf>
    <xf numFmtId="178" fontId="7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 wrapText="1" shrinkToFit="1"/>
    </xf>
    <xf numFmtId="179" fontId="7" fillId="0" borderId="1" xfId="0" applyNumberFormat="1" applyFont="1" applyFill="1" applyBorder="1" applyAlignment="1">
      <alignment horizontal="center" vertical="center" shrinkToFit="1"/>
    </xf>
    <xf numFmtId="179" fontId="7" fillId="0" borderId="1" xfId="0" applyNumberFormat="1" applyFont="1" applyFill="1" applyBorder="1" applyAlignment="1">
      <alignment horizontal="center" vertical="center" wrapText="1" shrinkToFit="1"/>
    </xf>
    <xf numFmtId="179" fontId="7" fillId="0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Fill="1" applyBorder="1" applyAlignment="1">
      <alignment horizontal="center" vertical="center" wrapText="1" shrinkToFit="1"/>
    </xf>
    <xf numFmtId="0" fontId="7" fillId="0" borderId="1" xfId="0" applyNumberFormat="1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/>
    </xf>
    <xf numFmtId="183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shrinkToFit="1"/>
    </xf>
    <xf numFmtId="178" fontId="7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179" fontId="7" fillId="0" borderId="1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 applyProtection="1">
      <alignment horizontal="center" vertical="center" wrapText="1"/>
    </xf>
    <xf numFmtId="0" fontId="13" fillId="0" borderId="0" xfId="0" applyFont="1" applyFill="1" applyBorder="1" applyAlignment="1" applyProtection="1">
      <alignment wrapText="1"/>
    </xf>
    <xf numFmtId="179" fontId="13" fillId="0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182" fontId="13" fillId="0" borderId="0" xfId="0" applyNumberFormat="1" applyFont="1" applyFill="1" applyBorder="1" applyAlignment="1" applyProtection="1">
      <alignment horizontal="center" vertical="center" wrapText="1"/>
    </xf>
    <xf numFmtId="181" fontId="13" fillId="0" borderId="0" xfId="0" applyNumberFormat="1" applyFont="1" applyFill="1" applyBorder="1" applyAlignment="1" applyProtection="1">
      <alignment horizontal="center" vertical="center" wrapText="1"/>
    </xf>
    <xf numFmtId="178" fontId="13" fillId="0" borderId="0" xfId="0" applyNumberFormat="1" applyFont="1" applyFill="1" applyBorder="1" applyAlignment="1" applyProtection="1">
      <alignment horizontal="center" vertical="center" wrapText="1"/>
    </xf>
    <xf numFmtId="0" fontId="18" fillId="0" borderId="0" xfId="0" applyNumberFormat="1" applyFont="1" applyFill="1" applyBorder="1" applyAlignment="1" applyProtection="1">
      <alignment horizontal="center" vertical="center" wrapText="1" shrinkToFit="1"/>
    </xf>
    <xf numFmtId="0" fontId="22" fillId="0" borderId="0" xfId="0" applyNumberFormat="1" applyFont="1" applyFill="1" applyBorder="1" applyAlignment="1" applyProtection="1">
      <alignment horizontal="center" vertical="center" wrapText="1"/>
    </xf>
    <xf numFmtId="180" fontId="13" fillId="0" borderId="0" xfId="0" applyNumberFormat="1" applyFont="1" applyFill="1" applyBorder="1" applyAlignment="1" applyProtection="1">
      <alignment horizontal="center" vertical="center" wrapText="1"/>
    </xf>
    <xf numFmtId="179" fontId="13" fillId="0" borderId="1" xfId="0" applyNumberFormat="1" applyFont="1" applyFill="1" applyBorder="1" applyAlignment="1" applyProtection="1">
      <alignment horizontal="center" vertical="center" wrapText="1" shrinkToFit="1"/>
    </xf>
    <xf numFmtId="179" fontId="7" fillId="0" borderId="2" xfId="0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 shrinkToFit="1"/>
    </xf>
    <xf numFmtId="182" fontId="13" fillId="0" borderId="1" xfId="0" applyNumberFormat="1" applyFont="1" applyFill="1" applyBorder="1" applyAlignment="1" applyProtection="1">
      <alignment horizontal="center" vertical="center" wrapText="1" shrinkToFi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2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23" fillId="0" borderId="2" xfId="0" applyFont="1" applyFill="1" applyBorder="1" applyAlignment="1" applyProtection="1">
      <alignment horizontal="center" vertical="center" wrapText="1" shrinkToFit="1"/>
      <protection locked="0"/>
    </xf>
    <xf numFmtId="179" fontId="7" fillId="0" borderId="3" xfId="0" applyNumberFormat="1" applyFont="1" applyFill="1" applyBorder="1" applyAlignment="1" applyProtection="1">
      <alignment horizontal="center" vertical="center" wrapText="1"/>
    </xf>
    <xf numFmtId="0" fontId="23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23" fillId="0" borderId="3" xfId="0" applyFont="1" applyFill="1" applyBorder="1" applyAlignment="1" applyProtection="1">
      <alignment horizontal="center" vertical="center" wrapText="1" shrinkToFit="1"/>
      <protection locked="0"/>
    </xf>
    <xf numFmtId="179" fontId="13" fillId="0" borderId="1" xfId="0" applyNumberFormat="1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Fill="1" applyBorder="1" applyAlignment="1">
      <alignment horizontal="center" vertical="center" wrapText="1"/>
    </xf>
    <xf numFmtId="182" fontId="13" fillId="0" borderId="1" xfId="0" applyNumberFormat="1" applyFont="1" applyFill="1" applyBorder="1" applyAlignment="1" applyProtection="1">
      <alignment horizontal="center" vertical="center" wrapText="1"/>
    </xf>
    <xf numFmtId="181" fontId="13" fillId="0" borderId="1" xfId="0" applyNumberFormat="1" applyFont="1" applyFill="1" applyBorder="1" applyAlignment="1" applyProtection="1">
      <alignment horizontal="center" vertical="center" wrapText="1"/>
    </xf>
    <xf numFmtId="178" fontId="13" fillId="0" borderId="1" xfId="0" applyNumberFormat="1" applyFont="1" applyFill="1" applyBorder="1" applyAlignment="1" applyProtection="1">
      <alignment horizontal="center" vertical="center" wrapText="1"/>
    </xf>
    <xf numFmtId="0" fontId="22" fillId="0" borderId="1" xfId="0" applyFont="1" applyFill="1" applyBorder="1" applyAlignment="1" applyProtection="1">
      <alignment horizontal="center" vertical="center" wrapText="1"/>
    </xf>
    <xf numFmtId="0" fontId="22" fillId="0" borderId="1" xfId="0" applyNumberFormat="1" applyFont="1" applyFill="1" applyBorder="1" applyAlignment="1" applyProtection="1">
      <alignment horizontal="center" vertical="center" wrapText="1"/>
    </xf>
    <xf numFmtId="0" fontId="22" fillId="0" borderId="1" xfId="0" applyNumberFormat="1" applyFont="1" applyFill="1" applyBorder="1" applyAlignment="1" applyProtection="1">
      <alignment horizontal="center" vertical="center" wrapText="1" shrinkToFit="1"/>
    </xf>
    <xf numFmtId="180" fontId="13" fillId="0" borderId="1" xfId="0" applyNumberFormat="1" applyFont="1" applyFill="1" applyBorder="1" applyAlignment="1" applyProtection="1">
      <alignment horizontal="center" vertical="center" wrapText="1"/>
    </xf>
    <xf numFmtId="181" fontId="13" fillId="0" borderId="0" xfId="0" applyNumberFormat="1" applyFont="1" applyFill="1" applyAlignment="1" applyProtection="1">
      <alignment horizontal="center" vertical="center" wrapText="1"/>
    </xf>
    <xf numFmtId="0" fontId="13" fillId="0" borderId="0" xfId="0" applyFont="1" applyFill="1" applyBorder="1"/>
    <xf numFmtId="0" fontId="13" fillId="0" borderId="0" xfId="0" applyNumberFormat="1" applyFont="1" applyFill="1" applyBorder="1"/>
    <xf numFmtId="0" fontId="13" fillId="0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22" fillId="0" borderId="0" xfId="0" applyNumberFormat="1" applyFont="1" applyFill="1" applyBorder="1"/>
    <xf numFmtId="0" fontId="24" fillId="0" borderId="0" xfId="0" applyFont="1" applyFill="1" applyBorder="1" applyAlignment="1" applyProtection="1">
      <alignment horizontal="center" vertical="center" wrapText="1"/>
    </xf>
    <xf numFmtId="0" fontId="25" fillId="0" borderId="0" xfId="0" applyFont="1" applyFill="1" applyBorder="1" applyAlignment="1" applyProtection="1">
      <alignment horizontal="center" vertical="center" wrapText="1"/>
    </xf>
    <xf numFmtId="0" fontId="26" fillId="0" borderId="0" xfId="0" applyFont="1" applyFill="1" applyBorder="1" applyAlignment="1" applyProtection="1">
      <alignment horizontal="center" vertical="center" wrapText="1"/>
    </xf>
    <xf numFmtId="0" fontId="25" fillId="0" borderId="0" xfId="0" applyFont="1" applyFill="1" applyBorder="1" applyAlignment="1" applyProtection="1">
      <alignment horizontal="center" vertical="center" wrapText="1"/>
      <protection locked="0"/>
    </xf>
    <xf numFmtId="0" fontId="25" fillId="0" borderId="0" xfId="0" applyFont="1" applyFill="1" applyAlignment="1"/>
    <xf numFmtId="0" fontId="25" fillId="0" borderId="4" xfId="0" applyFont="1" applyFill="1" applyBorder="1" applyAlignment="1"/>
    <xf numFmtId="0" fontId="25" fillId="0" borderId="0" xfId="0" applyFont="1" applyFill="1" applyAlignment="1" applyProtection="1">
      <alignment horizontal="center" vertical="center" wrapText="1"/>
    </xf>
    <xf numFmtId="0" fontId="27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/>
    </xf>
    <xf numFmtId="181" fontId="7" fillId="0" borderId="0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 applyProtection="1">
      <alignment horizontal="center" vertical="center" wrapText="1" shrinkToFit="1"/>
    </xf>
    <xf numFmtId="179" fontId="8" fillId="0" borderId="2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 shrinkToFit="1"/>
    </xf>
    <xf numFmtId="181" fontId="7" fillId="0" borderId="1" xfId="0" applyNumberFormat="1" applyFont="1" applyFill="1" applyBorder="1" applyAlignment="1" applyProtection="1">
      <alignment horizontal="center" vertical="center"/>
    </xf>
    <xf numFmtId="179" fontId="8" fillId="0" borderId="3" xfId="0" applyNumberFormat="1" applyFont="1" applyFill="1" applyBorder="1" applyAlignment="1" applyProtection="1">
      <alignment horizontal="center" vertical="center" wrapText="1"/>
    </xf>
    <xf numFmtId="179" fontId="25" fillId="0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vertical="center" wrapText="1"/>
    </xf>
    <xf numFmtId="183" fontId="25" fillId="0" borderId="1" xfId="0" applyNumberFormat="1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center" vertical="center" wrapText="1"/>
    </xf>
    <xf numFmtId="0" fontId="25" fillId="0" borderId="1" xfId="0" applyNumberFormat="1" applyFont="1" applyFill="1" applyBorder="1" applyAlignment="1" applyProtection="1">
      <alignment horizontal="center" vertical="center" wrapText="1"/>
    </xf>
    <xf numFmtId="58" fontId="25" fillId="0" borderId="1" xfId="0" applyNumberFormat="1" applyFont="1" applyFill="1" applyBorder="1" applyAlignment="1" applyProtection="1">
      <alignment horizontal="center" vertical="center" wrapText="1"/>
    </xf>
    <xf numFmtId="182" fontId="25" fillId="0" borderId="1" xfId="0" applyNumberFormat="1" applyFont="1" applyFill="1" applyBorder="1" applyAlignment="1" applyProtection="1">
      <alignment horizontal="center" vertical="center" wrapText="1"/>
    </xf>
    <xf numFmtId="181" fontId="25" fillId="0" borderId="1" xfId="0" applyNumberFormat="1" applyFont="1" applyFill="1" applyBorder="1" applyAlignment="1" applyProtection="1">
      <alignment horizontal="center" vertical="center"/>
    </xf>
    <xf numFmtId="178" fontId="25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NumberFormat="1" applyFont="1" applyFill="1" applyBorder="1" applyAlignment="1" applyProtection="1">
      <alignment horizontal="center" vertical="center" wrapText="1" shrinkToFit="1"/>
    </xf>
    <xf numFmtId="0" fontId="3" fillId="0" borderId="4" xfId="0" applyFont="1" applyBorder="1" applyAlignment="1">
      <alignment horizontal="center" vertical="center"/>
    </xf>
    <xf numFmtId="179" fontId="32" fillId="0" borderId="1" xfId="0" applyNumberFormat="1" applyFont="1" applyFill="1" applyBorder="1" applyAlignment="1" applyProtection="1">
      <alignment horizontal="center" vertical="center" wrapText="1"/>
    </xf>
    <xf numFmtId="180" fontId="25" fillId="0" borderId="1" xfId="0" applyNumberFormat="1" applyFont="1" applyFill="1" applyBorder="1" applyAlignment="1" applyProtection="1">
      <alignment horizontal="center" vertical="center" wrapText="1"/>
    </xf>
    <xf numFmtId="179" fontId="26" fillId="0" borderId="1" xfId="0" applyNumberFormat="1" applyFont="1" applyFill="1" applyBorder="1" applyAlignment="1" applyProtection="1">
      <alignment horizontal="center" vertical="center" wrapText="1"/>
    </xf>
    <xf numFmtId="183" fontId="26" fillId="0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NumberFormat="1" applyFont="1" applyFill="1" applyBorder="1" applyAlignment="1" applyProtection="1">
      <alignment horizontal="center" vertical="center" wrapText="1" shrinkToFit="1"/>
    </xf>
    <xf numFmtId="0" fontId="26" fillId="0" borderId="1" xfId="0" applyNumberFormat="1" applyFont="1" applyFill="1" applyBorder="1" applyAlignment="1">
      <alignment horizontal="center" vertical="center"/>
    </xf>
    <xf numFmtId="58" fontId="26" fillId="0" borderId="1" xfId="0" applyNumberFormat="1" applyFont="1" applyFill="1" applyBorder="1" applyAlignment="1" applyProtection="1">
      <alignment horizontal="center" vertical="center" wrapText="1"/>
    </xf>
    <xf numFmtId="182" fontId="26" fillId="0" borderId="1" xfId="0" applyNumberFormat="1" applyFont="1" applyFill="1" applyBorder="1" applyAlignment="1" applyProtection="1">
      <alignment horizontal="center" vertical="center" wrapText="1"/>
    </xf>
    <xf numFmtId="181" fontId="26" fillId="0" borderId="1" xfId="0" applyNumberFormat="1" applyFont="1" applyFill="1" applyBorder="1" applyAlignment="1" applyProtection="1">
      <alignment horizontal="center" vertical="center"/>
    </xf>
    <xf numFmtId="178" fontId="26" fillId="0" borderId="1" xfId="0" applyNumberFormat="1" applyFont="1" applyFill="1" applyBorder="1" applyAlignment="1" applyProtection="1">
      <alignment horizontal="center" vertical="center" wrapText="1"/>
    </xf>
    <xf numFmtId="0" fontId="3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/>
    <xf numFmtId="0" fontId="33" fillId="0" borderId="1" xfId="0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 wrapText="1"/>
    </xf>
    <xf numFmtId="179" fontId="26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 applyProtection="1">
      <alignment horizontal="center" vertical="center" wrapText="1"/>
    </xf>
    <xf numFmtId="58" fontId="26" fillId="0" borderId="1" xfId="0" applyNumberFormat="1" applyFont="1" applyFill="1" applyBorder="1" applyAlignment="1">
      <alignment horizontal="center" vertical="center"/>
    </xf>
    <xf numFmtId="181" fontId="25" fillId="0" borderId="1" xfId="0" applyNumberFormat="1" applyFont="1" applyFill="1" applyBorder="1" applyAlignment="1" applyProtection="1">
      <alignment horizontal="center" vertical="center" wrapText="1"/>
    </xf>
    <xf numFmtId="179" fontId="27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/>
    </xf>
    <xf numFmtId="0" fontId="26" fillId="2" borderId="1" xfId="0" applyNumberFormat="1" applyFont="1" applyFill="1" applyBorder="1" applyAlignment="1" applyProtection="1">
      <alignment horizontal="center" vertical="center" wrapText="1"/>
    </xf>
    <xf numFmtId="0" fontId="34" fillId="0" borderId="1" xfId="0" applyNumberFormat="1" applyFont="1" applyFill="1" applyBorder="1" applyAlignment="1">
      <alignment horizontal="center" vertical="center"/>
    </xf>
    <xf numFmtId="0" fontId="3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0" applyNumberFormat="1" applyFont="1" applyFill="1" applyBorder="1" applyAlignment="1" applyProtection="1">
      <alignment horizontal="center" vertical="center" wrapText="1"/>
    </xf>
    <xf numFmtId="179" fontId="35" fillId="0" borderId="4" xfId="0" applyNumberFormat="1" applyFont="1" applyFill="1" applyBorder="1" applyAlignment="1" applyProtection="1">
      <alignment horizontal="center" vertical="center" shrinkToFit="1"/>
      <protection locked="0"/>
    </xf>
    <xf numFmtId="179" fontId="35" fillId="0" borderId="4" xfId="0" applyNumberFormat="1" applyFont="1" applyFill="1" applyBorder="1" applyAlignment="1">
      <alignment horizontal="center" vertical="center" shrinkToFit="1"/>
    </xf>
    <xf numFmtId="179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Fill="1" applyBorder="1" applyAlignment="1" applyProtection="1">
      <alignment horizontal="center" vertical="center" wrapText="1"/>
      <protection locked="0"/>
    </xf>
    <xf numFmtId="183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25" fillId="0" borderId="1" xfId="0" applyFont="1" applyFill="1" applyBorder="1" applyAlignment="1" applyProtection="1">
      <alignment horizontal="center" vertical="center"/>
      <protection locked="0"/>
    </xf>
    <xf numFmtId="58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0" applyNumberFormat="1" applyFont="1" applyFill="1" applyBorder="1" applyAlignment="1" applyProtection="1">
      <alignment horizontal="center" vertical="center"/>
      <protection locked="0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0" fontId="27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 wrapText="1"/>
    </xf>
    <xf numFmtId="179" fontId="25" fillId="0" borderId="1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179" fontId="27" fillId="0" borderId="1" xfId="0" applyNumberFormat="1" applyFont="1" applyFill="1" applyBorder="1" applyAlignment="1" applyProtection="1">
      <alignment horizontal="center" vertical="center" wrapText="1"/>
    </xf>
    <xf numFmtId="179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25" fillId="0" borderId="5" xfId="0" applyNumberFormat="1" applyFont="1" applyFill="1" applyBorder="1" applyAlignment="1" applyProtection="1">
      <alignment horizontal="center" vertical="center" wrapText="1"/>
    </xf>
    <xf numFmtId="179" fontId="35" fillId="0" borderId="6" xfId="0" applyNumberFormat="1" applyFont="1" applyFill="1" applyBorder="1" applyAlignment="1">
      <alignment horizontal="center" vertical="center" shrinkToFit="1"/>
    </xf>
    <xf numFmtId="0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0" applyNumberFormat="1" applyFont="1" applyFill="1" applyBorder="1" applyAlignment="1" applyProtection="1">
      <alignment horizontal="center" vertical="center"/>
    </xf>
    <xf numFmtId="183" fontId="27" fillId="0" borderId="1" xfId="0" applyNumberFormat="1" applyFont="1" applyFill="1" applyBorder="1" applyAlignment="1" applyProtection="1">
      <alignment horizontal="center" vertical="center" wrapText="1"/>
    </xf>
    <xf numFmtId="183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3" xfId="0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 applyProtection="1">
      <alignment horizontal="center" vertical="center" wrapText="1"/>
    </xf>
    <xf numFmtId="179" fontId="35" fillId="0" borderId="1" xfId="0" applyNumberFormat="1" applyFont="1" applyFill="1" applyBorder="1" applyAlignment="1">
      <alignment horizontal="center" vertical="center" shrinkToFit="1"/>
    </xf>
    <xf numFmtId="58" fontId="25" fillId="0" borderId="1" xfId="0" applyNumberFormat="1" applyFont="1" applyFill="1" applyBorder="1" applyAlignment="1">
      <alignment horizontal="center" vertical="center" wrapText="1"/>
    </xf>
    <xf numFmtId="179" fontId="25" fillId="0" borderId="2" xfId="0" applyNumberFormat="1" applyFont="1" applyFill="1" applyBorder="1" applyAlignment="1">
      <alignment horizontal="center" vertical="center" wrapText="1"/>
    </xf>
    <xf numFmtId="179" fontId="25" fillId="0" borderId="2" xfId="0" applyNumberFormat="1" applyFont="1" applyFill="1" applyBorder="1" applyAlignment="1" applyProtection="1">
      <alignment horizontal="center" vertical="center" wrapText="1"/>
    </xf>
    <xf numFmtId="0" fontId="25" fillId="0" borderId="2" xfId="0" applyFont="1" applyFill="1" applyBorder="1" applyAlignment="1" applyProtection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5" fillId="0" borderId="2" xfId="0" applyNumberFormat="1" applyFont="1" applyFill="1" applyBorder="1" applyAlignment="1">
      <alignment horizontal="center" vertical="center" wrapText="1"/>
    </xf>
    <xf numFmtId="0" fontId="25" fillId="0" borderId="2" xfId="0" applyNumberFormat="1" applyFont="1" applyFill="1" applyBorder="1" applyAlignment="1" applyProtection="1">
      <alignment horizontal="center" vertical="center" wrapText="1"/>
    </xf>
    <xf numFmtId="179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2" xfId="0" applyFont="1" applyFill="1" applyBorder="1" applyAlignment="1" applyProtection="1">
      <alignment horizontal="center" vertical="center" wrapText="1"/>
      <protection locked="0"/>
    </xf>
    <xf numFmtId="58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58" fontId="25" fillId="0" borderId="2" xfId="0" applyNumberFormat="1" applyFont="1" applyFill="1" applyBorder="1" applyAlignment="1">
      <alignment horizontal="center" vertical="center" wrapText="1"/>
    </xf>
    <xf numFmtId="0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178" fontId="25" fillId="0" borderId="2" xfId="0" applyNumberFormat="1" applyFont="1" applyFill="1" applyBorder="1" applyAlignment="1" applyProtection="1">
      <alignment horizontal="center" vertical="center" wrapText="1"/>
    </xf>
    <xf numFmtId="0" fontId="34" fillId="0" borderId="2" xfId="0" applyNumberFormat="1" applyFont="1" applyFill="1" applyBorder="1" applyAlignment="1" applyProtection="1">
      <alignment horizontal="center" vertical="center" wrapText="1"/>
    </xf>
    <xf numFmtId="0" fontId="3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2" xfId="0" applyFont="1" applyFill="1" applyBorder="1" applyAlignment="1" applyProtection="1">
      <alignment horizontal="center" vertical="center" wrapText="1"/>
      <protection locked="0"/>
    </xf>
    <xf numFmtId="179" fontId="25" fillId="0" borderId="4" xfId="0" applyNumberFormat="1" applyFont="1" applyFill="1" applyBorder="1" applyAlignment="1">
      <alignment horizontal="center" vertical="center" wrapText="1"/>
    </xf>
    <xf numFmtId="179" fontId="25" fillId="0" borderId="4" xfId="0" applyNumberFormat="1" applyFont="1" applyFill="1" applyBorder="1" applyAlignment="1" applyProtection="1">
      <alignment horizontal="center" vertical="center" wrapText="1"/>
    </xf>
    <xf numFmtId="0" fontId="25" fillId="0" borderId="4" xfId="0" applyFont="1" applyFill="1" applyBorder="1" applyAlignment="1" applyProtection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5" fillId="0" borderId="4" xfId="0" applyNumberFormat="1" applyFont="1" applyFill="1" applyBorder="1" applyAlignment="1">
      <alignment horizontal="center" vertical="center" wrapText="1"/>
    </xf>
    <xf numFmtId="0" fontId="25" fillId="0" borderId="7" xfId="0" applyNumberFormat="1" applyFont="1" applyFill="1" applyBorder="1" applyAlignment="1" applyProtection="1">
      <alignment horizontal="center" vertical="center" wrapText="1" shrinkToFit="1"/>
    </xf>
    <xf numFmtId="0" fontId="25" fillId="0" borderId="5" xfId="0" applyNumberFormat="1" applyFont="1" applyFill="1" applyBorder="1" applyAlignment="1" applyProtection="1">
      <alignment horizontal="center" vertical="center" wrapText="1"/>
    </xf>
    <xf numFmtId="0" fontId="25" fillId="0" borderId="4" xfId="0" applyNumberFormat="1" applyFont="1" applyFill="1" applyBorder="1" applyAlignment="1" applyProtection="1">
      <alignment horizontal="center" vertical="center" wrapText="1"/>
    </xf>
    <xf numFmtId="179" fontId="2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58" fontId="25" fillId="0" borderId="4" xfId="0" applyNumberFormat="1" applyFont="1" applyFill="1" applyBorder="1" applyAlignment="1" applyProtection="1">
      <alignment horizontal="center" vertical="center" wrapText="1"/>
      <protection locked="0"/>
    </xf>
    <xf numFmtId="58" fontId="25" fillId="0" borderId="4" xfId="0" applyNumberFormat="1" applyFont="1" applyFill="1" applyBorder="1" applyAlignment="1">
      <alignment horizontal="center" vertical="center" wrapText="1"/>
    </xf>
    <xf numFmtId="178" fontId="25" fillId="0" borderId="4" xfId="0" applyNumberFormat="1" applyFont="1" applyFill="1" applyBorder="1" applyAlignment="1" applyProtection="1">
      <alignment horizontal="center" vertical="center" wrapText="1"/>
    </xf>
    <xf numFmtId="0" fontId="34" fillId="0" borderId="4" xfId="0" applyNumberFormat="1" applyFont="1" applyFill="1" applyBorder="1" applyAlignment="1" applyProtection="1">
      <alignment horizontal="center" vertical="center" wrapText="1"/>
    </xf>
    <xf numFmtId="0" fontId="34" fillId="0" borderId="4" xfId="0" applyNumberFormat="1" applyFont="1" applyFill="1" applyBorder="1" applyAlignment="1" applyProtection="1">
      <alignment horizontal="center" vertical="center" wrapText="1"/>
      <protection locked="0"/>
    </xf>
    <xf numFmtId="179" fontId="25" fillId="0" borderId="3" xfId="0" applyNumberFormat="1" applyFont="1" applyFill="1" applyBorder="1" applyAlignment="1">
      <alignment horizontal="center" vertical="center" wrapText="1"/>
    </xf>
    <xf numFmtId="179" fontId="25" fillId="0" borderId="3" xfId="0" applyNumberFormat="1" applyFont="1" applyFill="1" applyBorder="1" applyAlignment="1" applyProtection="1">
      <alignment horizontal="center" vertical="center" wrapText="1"/>
    </xf>
    <xf numFmtId="0" fontId="25" fillId="0" borderId="3" xfId="0" applyFont="1" applyFill="1" applyBorder="1" applyAlignment="1" applyProtection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/>
    </xf>
    <xf numFmtId="0" fontId="25" fillId="0" borderId="3" xfId="0" applyNumberFormat="1" applyFont="1" applyFill="1" applyBorder="1" applyAlignment="1">
      <alignment horizontal="center" vertical="center" wrapText="1"/>
    </xf>
    <xf numFmtId="0" fontId="25" fillId="0" borderId="3" xfId="0" applyNumberFormat="1" applyFont="1" applyFill="1" applyBorder="1" applyAlignment="1" applyProtection="1">
      <alignment horizontal="center" vertical="center" wrapText="1"/>
    </xf>
    <xf numFmtId="179" fontId="2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3" xfId="0" applyFont="1" applyFill="1" applyBorder="1" applyAlignment="1">
      <alignment horizontal="center" vertical="center" wrapText="1"/>
    </xf>
    <xf numFmtId="58" fontId="25" fillId="0" borderId="3" xfId="0" applyNumberFormat="1" applyFont="1" applyFill="1" applyBorder="1" applyAlignment="1" applyProtection="1">
      <alignment horizontal="center" vertical="center" wrapText="1"/>
      <protection locked="0"/>
    </xf>
    <xf numFmtId="58" fontId="25" fillId="0" borderId="3" xfId="0" applyNumberFormat="1" applyFont="1" applyFill="1" applyBorder="1" applyAlignment="1">
      <alignment horizontal="center" vertical="center" wrapText="1"/>
    </xf>
    <xf numFmtId="178" fontId="25" fillId="0" borderId="3" xfId="0" applyNumberFormat="1" applyFont="1" applyFill="1" applyBorder="1" applyAlignment="1" applyProtection="1">
      <alignment horizontal="center" vertical="center" wrapText="1"/>
    </xf>
    <xf numFmtId="0" fontId="34" fillId="0" borderId="3" xfId="0" applyNumberFormat="1" applyFont="1" applyFill="1" applyBorder="1" applyAlignment="1" applyProtection="1">
      <alignment horizontal="center" vertical="center" wrapText="1"/>
    </xf>
    <xf numFmtId="0" fontId="3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3" xfId="0" applyFont="1" applyFill="1" applyBorder="1" applyAlignment="1" applyProtection="1">
      <alignment horizontal="center" vertical="center" wrapText="1"/>
      <protection locked="0"/>
    </xf>
    <xf numFmtId="179" fontId="35" fillId="0" borderId="4" xfId="0" applyNumberFormat="1" applyFont="1" applyBorder="1" applyAlignment="1">
      <alignment horizontal="center" vertical="center" shrinkToFit="1"/>
    </xf>
    <xf numFmtId="179" fontId="34" fillId="0" borderId="1" xfId="0" applyNumberFormat="1" applyFont="1" applyFill="1" applyBorder="1" applyAlignment="1" applyProtection="1">
      <alignment horizontal="center" vertical="center" wrapText="1"/>
    </xf>
    <xf numFmtId="58" fontId="27" fillId="0" borderId="1" xfId="0" applyNumberFormat="1" applyFont="1" applyFill="1" applyBorder="1" applyAlignment="1" applyProtection="1">
      <alignment horizontal="center" vertical="center" wrapText="1"/>
    </xf>
    <xf numFmtId="179" fontId="31" fillId="0" borderId="1" xfId="0" applyNumberFormat="1" applyFont="1" applyFill="1" applyBorder="1" applyAlignment="1" applyProtection="1">
      <alignment horizontal="center" vertical="center" wrapText="1"/>
    </xf>
    <xf numFmtId="0" fontId="27" fillId="2" borderId="1" xfId="0" applyFont="1" applyFill="1" applyBorder="1" applyAlignment="1" applyProtection="1">
      <alignment horizontal="center" vertical="center" wrapText="1"/>
    </xf>
    <xf numFmtId="58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1" xfId="0" applyNumberFormat="1" applyFont="1" applyFill="1" applyBorder="1" applyAlignment="1" applyProtection="1">
      <alignment horizontal="center" vertical="center" wrapText="1"/>
    </xf>
    <xf numFmtId="0" fontId="25" fillId="0" borderId="1" xfId="0" applyFont="1" applyFill="1" applyBorder="1"/>
    <xf numFmtId="49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58" fontId="27" fillId="0" borderId="1" xfId="0" applyNumberFormat="1" applyFont="1" applyFill="1" applyBorder="1" applyAlignment="1">
      <alignment horizontal="center" vertical="center" wrapText="1"/>
    </xf>
    <xf numFmtId="179" fontId="27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>
      <alignment horizontal="center" vertical="center"/>
    </xf>
    <xf numFmtId="179" fontId="2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 applyProtection="1">
      <alignment horizontal="center" vertical="center" wrapText="1"/>
    </xf>
    <xf numFmtId="0" fontId="36" fillId="0" borderId="1" xfId="0" applyNumberFormat="1" applyFont="1" applyFill="1" applyBorder="1" applyAlignment="1" applyProtection="1">
      <alignment horizontal="center" vertical="center" wrapText="1" shrinkToFit="1"/>
    </xf>
    <xf numFmtId="0" fontId="36" fillId="0" borderId="1" xfId="0" applyNumberFormat="1" applyFont="1" applyFill="1" applyBorder="1" applyAlignment="1" applyProtection="1">
      <alignment horizontal="center" vertical="center" wrapText="1"/>
    </xf>
    <xf numFmtId="0" fontId="27" fillId="0" borderId="1" xfId="0" applyNumberFormat="1" applyFont="1" applyFill="1" applyBorder="1" applyAlignment="1" applyProtection="1">
      <alignment horizontal="center" vertical="center" wrapText="1" shrinkToFit="1"/>
    </xf>
    <xf numFmtId="182" fontId="27" fillId="0" borderId="1" xfId="0" applyNumberFormat="1" applyFont="1" applyFill="1" applyBorder="1" applyAlignment="1" applyProtection="1">
      <alignment horizontal="center" vertical="center" wrapText="1"/>
    </xf>
    <xf numFmtId="181" fontId="27" fillId="0" borderId="1" xfId="0" applyNumberFormat="1" applyFont="1" applyFill="1" applyBorder="1" applyAlignment="1" applyProtection="1">
      <alignment horizontal="center" vertical="center" wrapText="1"/>
    </xf>
    <xf numFmtId="178" fontId="27" fillId="0" borderId="1" xfId="0" applyNumberFormat="1" applyFont="1" applyFill="1" applyBorder="1" applyAlignment="1" applyProtection="1">
      <alignment horizontal="center" vertical="center" wrapText="1"/>
    </xf>
    <xf numFmtId="181" fontId="26" fillId="0" borderId="1" xfId="0" applyNumberFormat="1" applyFont="1" applyFill="1" applyBorder="1" applyAlignment="1" applyProtection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center" vertical="center" wrapText="1" shrinkToFit="1"/>
      <protection locked="0"/>
    </xf>
    <xf numFmtId="179" fontId="2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0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25" fillId="0" borderId="1" xfId="0" applyNumberFormat="1" applyFont="1" applyFill="1" applyBorder="1" applyAlignment="1" applyProtection="1">
      <alignment horizontal="center" vertical="center"/>
      <protection locked="0"/>
    </xf>
    <xf numFmtId="178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1" xfId="0" applyFont="1" applyFill="1" applyBorder="1" applyAlignment="1" applyProtection="1">
      <alignment horizontal="center" vertical="center"/>
      <protection locked="0"/>
    </xf>
    <xf numFmtId="17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83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 shrinkToFit="1"/>
      <protection locked="0"/>
    </xf>
    <xf numFmtId="179" fontId="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28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179" fontId="15" fillId="0" borderId="0" xfId="0" applyNumberFormat="1" applyFont="1" applyFill="1" applyBorder="1" applyAlignment="1" applyProtection="1">
      <alignment horizontal="left" vertical="center"/>
    </xf>
    <xf numFmtId="179" fontId="20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179" fontId="7" fillId="0" borderId="0" xfId="0" applyNumberFormat="1" applyFont="1" applyFill="1" applyBorder="1" applyAlignment="1" applyProtection="1">
      <alignment horizontal="center" vertical="center"/>
    </xf>
    <xf numFmtId="180" fontId="7" fillId="0" borderId="0" xfId="0" applyNumberFormat="1" applyFont="1" applyFill="1" applyBorder="1" applyAlignment="1" applyProtection="1">
      <alignment horizontal="center" vertical="center"/>
    </xf>
    <xf numFmtId="178" fontId="7" fillId="0" borderId="0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 applyProtection="1">
      <alignment horizontal="center" vertical="center" shrinkToFit="1"/>
    </xf>
    <xf numFmtId="0" fontId="11" fillId="0" borderId="0" xfId="0" applyFont="1" applyFill="1" applyBorder="1" applyAlignment="1" applyProtection="1">
      <alignment horizontal="center" vertical="center" wrapText="1"/>
    </xf>
    <xf numFmtId="0" fontId="37" fillId="0" borderId="0" xfId="0" applyFont="1" applyFill="1" applyBorder="1" applyAlignment="1" applyProtection="1">
      <alignment horizontal="center" vertical="center" wrapText="1"/>
    </xf>
    <xf numFmtId="0" fontId="38" fillId="0" borderId="0" xfId="0" applyFont="1" applyFill="1" applyBorder="1" applyAlignment="1" applyProtection="1">
      <alignment horizontal="center" vertical="center" wrapText="1"/>
    </xf>
    <xf numFmtId="0" fontId="11" fillId="0" borderId="0" xfId="0" applyFont="1" applyFill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wrapText="1"/>
    </xf>
    <xf numFmtId="179" fontId="11" fillId="0" borderId="0" xfId="0" applyNumberFormat="1" applyFont="1" applyFill="1" applyBorder="1" applyAlignment="1" applyProtection="1">
      <alignment horizontal="center" vertical="center" wrapText="1"/>
    </xf>
    <xf numFmtId="179" fontId="1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182" fontId="11" fillId="0" borderId="0" xfId="0" applyNumberFormat="1" applyFont="1" applyFill="1" applyBorder="1" applyAlignment="1" applyProtection="1">
      <alignment horizontal="center" vertical="center" wrapText="1"/>
    </xf>
    <xf numFmtId="181" fontId="11" fillId="0" borderId="0" xfId="0" applyNumberFormat="1" applyFont="1" applyFill="1" applyBorder="1" applyAlignment="1" applyProtection="1">
      <alignment horizontal="center" vertical="center" wrapText="1"/>
    </xf>
    <xf numFmtId="178" fontId="11" fillId="0" borderId="0" xfId="0" applyNumberFormat="1" applyFont="1" applyFill="1" applyBorder="1" applyAlignment="1" applyProtection="1">
      <alignment horizontal="center" vertical="center" wrapText="1"/>
    </xf>
    <xf numFmtId="0" fontId="17" fillId="0" borderId="0" xfId="0" applyNumberFormat="1" applyFont="1" applyFill="1" applyBorder="1" applyAlignment="1" applyProtection="1">
      <alignment horizontal="center" vertical="center" wrapText="1" shrinkToFit="1"/>
    </xf>
    <xf numFmtId="179" fontId="39" fillId="0" borderId="0" xfId="0" applyNumberFormat="1" applyFont="1" applyFill="1" applyBorder="1" applyAlignment="1" applyProtection="1">
      <alignment horizontal="center" vertical="center" wrapText="1"/>
    </xf>
    <xf numFmtId="179" fontId="12" fillId="0" borderId="2" xfId="0" applyNumberFormat="1" applyFont="1" applyFill="1" applyBorder="1" applyAlignment="1" applyProtection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 wrapText="1"/>
    </xf>
    <xf numFmtId="179" fontId="11" fillId="0" borderId="2" xfId="0" applyNumberFormat="1" applyFont="1" applyFill="1" applyBorder="1" applyAlignment="1" applyProtection="1">
      <alignment horizontal="center" vertical="center" wrapText="1" shrinkToFit="1"/>
    </xf>
    <xf numFmtId="182" fontId="11" fillId="0" borderId="1" xfId="0" applyNumberFormat="1" applyFont="1" applyFill="1" applyBorder="1" applyAlignment="1" applyProtection="1">
      <alignment horizontal="center" vertical="center" wrapText="1" shrinkToFi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 wrapText="1"/>
    </xf>
    <xf numFmtId="0" fontId="40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40" fillId="0" borderId="2" xfId="0" applyFont="1" applyFill="1" applyBorder="1" applyAlignment="1" applyProtection="1">
      <alignment horizontal="center" vertical="center" wrapText="1" shrinkToFit="1"/>
      <protection locked="0"/>
    </xf>
    <xf numFmtId="179" fontId="12" fillId="0" borderId="3" xfId="0" applyNumberFormat="1" applyFont="1" applyFill="1" applyBorder="1" applyAlignment="1" applyProtection="1">
      <alignment horizontal="center" vertical="center" wrapText="1"/>
    </xf>
    <xf numFmtId="0" fontId="11" fillId="0" borderId="3" xfId="0" applyFont="1" applyFill="1" applyBorder="1" applyAlignment="1" applyProtection="1">
      <alignment horizontal="center" vertical="center" wrapText="1"/>
    </xf>
    <xf numFmtId="179" fontId="11" fillId="0" borderId="3" xfId="0" applyNumberFormat="1" applyFont="1" applyFill="1" applyBorder="1" applyAlignment="1" applyProtection="1">
      <alignment horizontal="center" vertical="center" wrapText="1" shrinkToFit="1"/>
    </xf>
    <xf numFmtId="0" fontId="40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40" fillId="0" borderId="3" xfId="0" applyFont="1" applyFill="1" applyBorder="1" applyAlignment="1" applyProtection="1">
      <alignment horizontal="center" vertical="center" wrapText="1" shrinkToFit="1"/>
      <protection locked="0"/>
    </xf>
    <xf numFmtId="179" fontId="37" fillId="0" borderId="1" xfId="0" applyNumberFormat="1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center" vertical="center" wrapText="1"/>
    </xf>
    <xf numFmtId="183" fontId="37" fillId="0" borderId="1" xfId="0" applyNumberFormat="1" applyFont="1" applyFill="1" applyBorder="1" applyAlignment="1" applyProtection="1">
      <alignment horizontal="center" vertical="center" wrapText="1"/>
    </xf>
    <xf numFmtId="0" fontId="37" fillId="0" borderId="1" xfId="0" applyNumberFormat="1" applyFont="1" applyFill="1" applyBorder="1" applyAlignment="1" applyProtection="1">
      <alignment horizontal="center" vertical="center" wrapText="1"/>
    </xf>
    <xf numFmtId="0" fontId="37" fillId="0" borderId="1" xfId="0" applyNumberFormat="1" applyFont="1" applyFill="1" applyBorder="1" applyAlignment="1" applyProtection="1">
      <alignment horizontal="center" vertical="center" wrapText="1" shrinkToFit="1"/>
    </xf>
    <xf numFmtId="0" fontId="37" fillId="0" borderId="1" xfId="0" applyFont="1" applyFill="1" applyBorder="1" applyAlignment="1">
      <alignment horizontal="center" vertical="center" wrapText="1"/>
    </xf>
    <xf numFmtId="58" fontId="37" fillId="0" borderId="1" xfId="0" applyNumberFormat="1" applyFont="1" applyFill="1" applyBorder="1" applyAlignment="1" applyProtection="1">
      <alignment horizontal="center" vertical="center" wrapText="1"/>
    </xf>
    <xf numFmtId="181" fontId="37" fillId="0" borderId="1" xfId="0" applyNumberFormat="1" applyFont="1" applyFill="1" applyBorder="1" applyAlignment="1" applyProtection="1">
      <alignment horizontal="center" vertical="center" wrapText="1"/>
    </xf>
    <xf numFmtId="178" fontId="37" fillId="0" borderId="1" xfId="0" applyNumberFormat="1" applyFont="1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 applyProtection="1">
      <alignment horizontal="center" vertical="center" wrapText="1"/>
    </xf>
    <xf numFmtId="179" fontId="37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37" fillId="0" borderId="1" xfId="0" applyNumberFormat="1" applyFont="1" applyFill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79" fontId="41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11" fillId="0" borderId="1" xfId="0" applyNumberFormat="1" applyFont="1" applyFill="1" applyBorder="1" applyAlignment="1" applyProtection="1">
      <alignment horizontal="center" vertical="center" wrapText="1"/>
    </xf>
    <xf numFmtId="0" fontId="41" fillId="2" borderId="1" xfId="0" applyFont="1" applyFill="1" applyBorder="1" applyAlignment="1" applyProtection="1">
      <alignment horizontal="center" vertical="center" wrapText="1"/>
      <protection locked="0"/>
    </xf>
    <xf numFmtId="181" fontId="11" fillId="0" borderId="1" xfId="0" applyNumberFormat="1" applyFont="1" applyFill="1" applyBorder="1" applyAlignment="1" applyProtection="1">
      <alignment horizontal="center" vertical="center" wrapText="1"/>
    </xf>
    <xf numFmtId="178" fontId="11" fillId="0" borderId="1" xfId="0" applyNumberFormat="1" applyFont="1" applyFill="1" applyBorder="1" applyAlignment="1" applyProtection="1">
      <alignment horizontal="center" vertical="center" wrapText="1"/>
    </xf>
    <xf numFmtId="0" fontId="39" fillId="0" borderId="1" xfId="0" applyFont="1" applyFill="1" applyBorder="1" applyAlignment="1" applyProtection="1">
      <alignment horizontal="center" vertical="center" wrapText="1"/>
    </xf>
    <xf numFmtId="0" fontId="37" fillId="0" borderId="1" xfId="0" applyNumberFormat="1" applyFont="1" applyFill="1" applyBorder="1" applyAlignment="1">
      <alignment horizontal="center" vertical="center" wrapText="1"/>
    </xf>
    <xf numFmtId="179" fontId="37" fillId="0" borderId="1" xfId="0" applyNumberFormat="1" applyFont="1" applyFill="1" applyBorder="1" applyAlignment="1">
      <alignment horizontal="center" vertical="center" wrapText="1"/>
    </xf>
    <xf numFmtId="183" fontId="11" fillId="0" borderId="1" xfId="0" applyNumberFormat="1" applyFont="1" applyFill="1" applyBorder="1" applyAlignment="1" applyProtection="1">
      <alignment horizontal="center" vertical="center" wrapText="1"/>
    </xf>
    <xf numFmtId="58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41" fillId="0" borderId="1" xfId="0" applyFont="1" applyFill="1" applyBorder="1" applyAlignment="1" applyProtection="1">
      <alignment horizontal="center" vertical="center" wrapText="1"/>
      <protection locked="0"/>
    </xf>
    <xf numFmtId="58" fontId="3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1" xfId="0" applyNumberFormat="1" applyFont="1" applyFill="1" applyBorder="1" applyAlignment="1" applyProtection="1">
      <alignment horizontal="center" vertical="center" wrapText="1"/>
    </xf>
    <xf numFmtId="179" fontId="38" fillId="0" borderId="1" xfId="0" applyNumberFormat="1" applyFont="1" applyFill="1" applyBorder="1" applyAlignment="1" applyProtection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8" fillId="0" borderId="1" xfId="0" applyNumberFormat="1" applyFont="1" applyFill="1" applyBorder="1" applyAlignment="1">
      <alignment horizontal="center" vertical="center" wrapText="1"/>
    </xf>
    <xf numFmtId="0" fontId="38" fillId="0" borderId="1" xfId="0" applyNumberFormat="1" applyFont="1" applyFill="1" applyBorder="1" applyAlignment="1" applyProtection="1">
      <alignment horizontal="center" vertical="center" wrapText="1"/>
    </xf>
    <xf numFmtId="179" fontId="38" fillId="0" borderId="1" xfId="0" applyNumberFormat="1" applyFont="1" applyFill="1" applyBorder="1" applyAlignment="1">
      <alignment horizontal="center" vertical="center" wrapText="1"/>
    </xf>
    <xf numFmtId="179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38" fillId="0" borderId="1" xfId="0" applyNumberFormat="1" applyFont="1" applyFill="1" applyBorder="1" applyAlignment="1" applyProtection="1">
      <alignment horizontal="center" vertical="center" wrapText="1"/>
    </xf>
    <xf numFmtId="58" fontId="38" fillId="0" borderId="1" xfId="0" applyNumberFormat="1" applyFont="1" applyFill="1" applyBorder="1" applyAlignment="1">
      <alignment horizontal="center" vertical="center" wrapText="1"/>
    </xf>
    <xf numFmtId="182" fontId="38" fillId="0" borderId="1" xfId="0" applyNumberFormat="1" applyFont="1" applyFill="1" applyBorder="1" applyAlignment="1" applyProtection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 wrapText="1"/>
      <protection locked="0"/>
    </xf>
    <xf numFmtId="181" fontId="38" fillId="0" borderId="1" xfId="0" applyNumberFormat="1" applyFont="1" applyFill="1" applyBorder="1" applyAlignment="1" applyProtection="1">
      <alignment horizontal="center" vertical="center" wrapText="1"/>
    </xf>
    <xf numFmtId="178" fontId="38" fillId="0" borderId="1" xfId="0" applyNumberFormat="1" applyFont="1" applyFill="1" applyBorder="1" applyAlignment="1" applyProtection="1">
      <alignment horizontal="center" vertical="center" wrapText="1"/>
    </xf>
    <xf numFmtId="0" fontId="42" fillId="0" borderId="1" xfId="0" applyFont="1" applyFill="1" applyBorder="1" applyAlignment="1" applyProtection="1">
      <alignment horizontal="center" vertical="center" wrapText="1"/>
    </xf>
    <xf numFmtId="0" fontId="42" fillId="0" borderId="1" xfId="0" applyNumberFormat="1" applyFont="1" applyFill="1" applyBorder="1" applyAlignment="1" applyProtection="1">
      <alignment horizontal="center" vertical="center" wrapText="1"/>
    </xf>
    <xf numFmtId="179" fontId="43" fillId="0" borderId="1" xfId="0" applyNumberFormat="1" applyFont="1" applyFill="1" applyBorder="1" applyAlignment="1" applyProtection="1">
      <alignment horizontal="center" vertical="center" wrapText="1"/>
    </xf>
    <xf numFmtId="0" fontId="43" fillId="0" borderId="1" xfId="0" applyFont="1" applyFill="1" applyBorder="1" applyAlignment="1" applyProtection="1">
      <alignment horizontal="center" vertical="center" wrapText="1"/>
    </xf>
    <xf numFmtId="0" fontId="43" fillId="0" borderId="1" xfId="0" applyNumberFormat="1" applyFont="1" applyFill="1" applyBorder="1" applyAlignment="1" applyProtection="1">
      <alignment horizontal="center" vertical="center" wrapText="1"/>
    </xf>
    <xf numFmtId="179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1" xfId="0" applyNumberFormat="1" applyFont="1" applyFill="1" applyBorder="1" applyAlignment="1" applyProtection="1">
      <alignment horizontal="center" vertical="center" wrapText="1"/>
    </xf>
    <xf numFmtId="179" fontId="41" fillId="0" borderId="1" xfId="0" applyNumberFormat="1" applyFont="1" applyFill="1" applyBorder="1" applyAlignment="1" applyProtection="1">
      <alignment horizontal="center" vertical="center" wrapText="1"/>
    </xf>
    <xf numFmtId="58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11" fillId="0" borderId="1" xfId="0" applyNumberFormat="1" applyFont="1" applyFill="1" applyBorder="1" applyAlignment="1">
      <alignment horizontal="center" vertical="center" wrapText="1"/>
    </xf>
    <xf numFmtId="179" fontId="44" fillId="0" borderId="1" xfId="0" applyNumberFormat="1" applyFont="1" applyFill="1" applyBorder="1" applyAlignment="1" applyProtection="1">
      <alignment horizontal="center" vertical="center" wrapText="1"/>
    </xf>
    <xf numFmtId="182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38" fillId="2" borderId="1" xfId="0" applyNumberFormat="1" applyFont="1" applyFill="1" applyBorder="1" applyAlignment="1" applyProtection="1">
      <alignment horizontal="center" vertical="center" wrapText="1"/>
      <protection locked="0"/>
    </xf>
    <xf numFmtId="182" fontId="3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1" xfId="0" applyFont="1" applyFill="1" applyBorder="1" applyAlignment="1" applyProtection="1">
      <alignment horizontal="center" vertical="center" wrapText="1"/>
    </xf>
    <xf numFmtId="58" fontId="41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179" fontId="4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3" fillId="0" borderId="1" xfId="0" applyFont="1" applyFill="1" applyBorder="1" applyAlignment="1" applyProtection="1">
      <alignment horizontal="center" vertical="center" wrapText="1"/>
      <protection locked="0"/>
    </xf>
    <xf numFmtId="183" fontId="4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3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39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41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41" fillId="0" borderId="1" xfId="0" applyNumberFormat="1" applyFont="1" applyFill="1" applyBorder="1" applyAlignment="1" applyProtection="1">
      <alignment horizontal="center" vertical="center" wrapText="1"/>
      <protection locked="0"/>
    </xf>
    <xf numFmtId="183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11" fillId="0" borderId="0" xfId="0" applyNumberFormat="1" applyFont="1" applyFill="1" applyAlignment="1" applyProtection="1">
      <alignment horizontal="center" vertical="center" wrapText="1"/>
    </xf>
    <xf numFmtId="179" fontId="12" fillId="0" borderId="0" xfId="0" applyNumberFormat="1" applyFont="1" applyFill="1" applyAlignment="1" applyProtection="1">
      <alignment horizontal="center" vertical="center" wrapText="1"/>
    </xf>
    <xf numFmtId="0" fontId="11" fillId="0" borderId="0" xfId="0" applyNumberFormat="1" applyFont="1" applyFill="1" applyAlignment="1" applyProtection="1">
      <alignment horizontal="center" vertical="center" wrapText="1"/>
    </xf>
    <xf numFmtId="182" fontId="11" fillId="0" borderId="0" xfId="0" applyNumberFormat="1" applyFont="1" applyFill="1" applyAlignment="1" applyProtection="1">
      <alignment horizontal="center" vertical="center" wrapText="1"/>
    </xf>
    <xf numFmtId="181" fontId="11" fillId="0" borderId="0" xfId="0" applyNumberFormat="1" applyFont="1" applyFill="1" applyAlignment="1" applyProtection="1">
      <alignment horizontal="center" vertical="center" wrapText="1"/>
    </xf>
    <xf numFmtId="178" fontId="11" fillId="0" borderId="0" xfId="0" applyNumberFormat="1" applyFont="1" applyFill="1" applyAlignment="1" applyProtection="1">
      <alignment horizontal="center" vertical="center" wrapText="1"/>
    </xf>
    <xf numFmtId="0" fontId="17" fillId="0" borderId="0" xfId="0" applyNumberFormat="1" applyFont="1" applyFill="1" applyAlignment="1" applyProtection="1">
      <alignment horizontal="center" vertical="center" wrapText="1" shrinkToFit="1"/>
    </xf>
    <xf numFmtId="179" fontId="39" fillId="0" borderId="0" xfId="0" applyNumberFormat="1" applyFont="1" applyFill="1" applyAlignment="1" applyProtection="1">
      <alignment horizontal="center" vertical="center" wrapText="1"/>
    </xf>
    <xf numFmtId="0" fontId="11" fillId="0" borderId="0" xfId="0" applyFont="1" applyFill="1" applyBorder="1"/>
    <xf numFmtId="0" fontId="12" fillId="0" borderId="0" xfId="0" applyFont="1" applyFill="1" applyBorder="1"/>
    <xf numFmtId="0" fontId="11" fillId="0" borderId="0" xfId="0" applyNumberFormat="1" applyFont="1" applyFill="1" applyBorder="1"/>
    <xf numFmtId="0" fontId="39" fillId="0" borderId="0" xfId="0" applyFont="1" applyFill="1" applyBorder="1"/>
    <xf numFmtId="0" fontId="11" fillId="0" borderId="0" xfId="0" applyFont="1" applyFill="1" applyBorder="1" applyProtection="1"/>
    <xf numFmtId="179" fontId="45" fillId="0" borderId="0" xfId="0" applyNumberFormat="1" applyFont="1" applyFill="1" applyBorder="1" applyAlignment="1" applyProtection="1">
      <alignment horizontal="center" vertical="center" wrapText="1"/>
    </xf>
    <xf numFmtId="0" fontId="46" fillId="0" borderId="0" xfId="0" applyFont="1" applyFill="1" applyBorder="1" applyAlignment="1" applyProtection="1">
      <alignment horizontal="center" vertical="center" wrapText="1"/>
    </xf>
    <xf numFmtId="0" fontId="36" fillId="0" borderId="0" xfId="0" applyFont="1" applyFill="1" applyBorder="1" applyAlignment="1" applyProtection="1">
      <alignment horizontal="center" vertical="center" wrapText="1"/>
    </xf>
    <xf numFmtId="0" fontId="47" fillId="0" borderId="0" xfId="0" applyFont="1" applyFill="1" applyBorder="1" applyAlignment="1" applyProtection="1">
      <alignment horizontal="center" vertical="center" wrapText="1"/>
    </xf>
    <xf numFmtId="0" fontId="46" fillId="0" borderId="0" xfId="0" applyFont="1" applyFill="1" applyBorder="1" applyAlignment="1" applyProtection="1">
      <alignment horizontal="center" vertical="center" wrapText="1"/>
      <protection locked="0"/>
    </xf>
    <xf numFmtId="0" fontId="46" fillId="2" borderId="0" xfId="0" applyFont="1" applyFill="1" applyBorder="1" applyAlignment="1" applyProtection="1">
      <alignment horizontal="center" vertical="center" wrapText="1"/>
      <protection locked="0"/>
    </xf>
    <xf numFmtId="0" fontId="46" fillId="3" borderId="0" xfId="0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Fill="1" applyBorder="1" applyAlignment="1" applyProtection="1">
      <alignment wrapText="1"/>
    </xf>
    <xf numFmtId="179" fontId="46" fillId="0" borderId="0" xfId="0" applyNumberFormat="1" applyFont="1" applyFill="1" applyBorder="1" applyAlignment="1" applyProtection="1">
      <alignment horizontal="center" vertical="center" wrapText="1"/>
    </xf>
    <xf numFmtId="0" fontId="46" fillId="0" borderId="0" xfId="0" applyNumberFormat="1" applyFont="1" applyFill="1" applyBorder="1" applyAlignment="1" applyProtection="1">
      <alignment horizontal="center" vertical="center" wrapText="1"/>
    </xf>
    <xf numFmtId="182" fontId="46" fillId="0" borderId="0" xfId="0" applyNumberFormat="1" applyFont="1" applyFill="1" applyBorder="1" applyAlignment="1" applyProtection="1">
      <alignment horizontal="center" vertical="center" wrapText="1"/>
    </xf>
    <xf numFmtId="181" fontId="46" fillId="0" borderId="0" xfId="0" applyNumberFormat="1" applyFont="1" applyFill="1" applyBorder="1" applyAlignment="1" applyProtection="1">
      <alignment horizontal="center" vertical="center" wrapText="1"/>
    </xf>
    <xf numFmtId="178" fontId="46" fillId="0" borderId="0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 shrinkToFit="1"/>
    </xf>
    <xf numFmtId="0" fontId="48" fillId="0" borderId="0" xfId="0" applyNumberFormat="1" applyFont="1" applyFill="1" applyBorder="1" applyAlignment="1" applyProtection="1">
      <alignment horizontal="center" vertical="center" wrapText="1"/>
    </xf>
    <xf numFmtId="179" fontId="48" fillId="0" borderId="0" xfId="0" applyNumberFormat="1" applyFont="1" applyFill="1" applyBorder="1" applyAlignment="1" applyProtection="1">
      <alignment horizontal="center" vertical="center" wrapText="1"/>
    </xf>
    <xf numFmtId="180" fontId="46" fillId="0" borderId="0" xfId="0" applyNumberFormat="1" applyFont="1" applyFill="1" applyBorder="1" applyAlignment="1" applyProtection="1">
      <alignment horizontal="center" vertical="center" wrapText="1"/>
    </xf>
    <xf numFmtId="179" fontId="46" fillId="0" borderId="1" xfId="0" applyNumberFormat="1" applyFont="1" applyFill="1" applyBorder="1" applyAlignment="1" applyProtection="1">
      <alignment horizontal="center" vertical="center" wrapText="1" shrinkToFit="1"/>
    </xf>
    <xf numFmtId="179" fontId="46" fillId="0" borderId="2" xfId="0" applyNumberFormat="1" applyFont="1" applyFill="1" applyBorder="1" applyAlignment="1" applyProtection="1">
      <alignment horizontal="center" vertical="center" wrapText="1"/>
    </xf>
    <xf numFmtId="0" fontId="46" fillId="0" borderId="2" xfId="0" applyFont="1" applyFill="1" applyBorder="1" applyAlignment="1" applyProtection="1">
      <alignment horizontal="center" vertical="center" wrapText="1"/>
    </xf>
    <xf numFmtId="0" fontId="46" fillId="0" borderId="1" xfId="0" applyNumberFormat="1" applyFont="1" applyFill="1" applyBorder="1" applyAlignment="1" applyProtection="1">
      <alignment horizontal="center" vertical="center" wrapText="1" shrinkToFit="1"/>
    </xf>
    <xf numFmtId="179" fontId="46" fillId="0" borderId="2" xfId="0" applyNumberFormat="1" applyFont="1" applyFill="1" applyBorder="1" applyAlignment="1" applyProtection="1">
      <alignment horizontal="center" vertical="center" wrapText="1" shrinkToFit="1"/>
    </xf>
    <xf numFmtId="0" fontId="46" fillId="0" borderId="2" xfId="0" applyNumberFormat="1" applyFont="1" applyFill="1" applyBorder="1" applyAlignment="1" applyProtection="1">
      <alignment horizontal="center" vertical="center" wrapText="1"/>
    </xf>
    <xf numFmtId="182" fontId="46" fillId="0" borderId="1" xfId="0" applyNumberFormat="1" applyFont="1" applyFill="1" applyBorder="1" applyAlignment="1" applyProtection="1">
      <alignment horizontal="center" vertical="center" wrapText="1" shrinkToFit="1"/>
    </xf>
    <xf numFmtId="0" fontId="46" fillId="0" borderId="1" xfId="0" applyNumberFormat="1" applyFont="1" applyFill="1" applyBorder="1" applyAlignment="1" applyProtection="1">
      <alignment horizontal="center" vertical="center" wrapText="1"/>
    </xf>
    <xf numFmtId="0" fontId="49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49" fillId="0" borderId="2" xfId="0" applyFont="1" applyFill="1" applyBorder="1" applyAlignment="1" applyProtection="1">
      <alignment horizontal="center" vertical="center" wrapText="1" shrinkToFit="1"/>
      <protection locked="0"/>
    </xf>
    <xf numFmtId="179" fontId="46" fillId="0" borderId="3" xfId="0" applyNumberFormat="1" applyFont="1" applyFill="1" applyBorder="1" applyAlignment="1" applyProtection="1">
      <alignment horizontal="center" vertical="center" wrapText="1"/>
    </xf>
    <xf numFmtId="0" fontId="46" fillId="0" borderId="3" xfId="0" applyFont="1" applyFill="1" applyBorder="1" applyAlignment="1" applyProtection="1">
      <alignment horizontal="center" vertical="center" wrapText="1"/>
    </xf>
    <xf numFmtId="179" fontId="46" fillId="0" borderId="3" xfId="0" applyNumberFormat="1" applyFont="1" applyFill="1" applyBorder="1" applyAlignment="1" applyProtection="1">
      <alignment horizontal="center" vertical="center" wrapText="1" shrinkToFit="1"/>
    </xf>
    <xf numFmtId="0" fontId="46" fillId="0" borderId="3" xfId="0" applyNumberFormat="1" applyFont="1" applyFill="1" applyBorder="1" applyAlignment="1" applyProtection="1">
      <alignment horizontal="center" vertical="center" wrapText="1"/>
    </xf>
    <xf numFmtId="0" fontId="49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49" fillId="0" borderId="3" xfId="0" applyFont="1" applyFill="1" applyBorder="1" applyAlignment="1" applyProtection="1">
      <alignment horizontal="center" vertical="center" wrapText="1" shrinkToFit="1"/>
      <protection locked="0"/>
    </xf>
    <xf numFmtId="179" fontId="36" fillId="0" borderId="1" xfId="0" applyNumberFormat="1" applyFont="1" applyFill="1" applyBorder="1" applyAlignment="1" applyProtection="1">
      <alignment horizontal="center" vertical="center" wrapText="1"/>
    </xf>
    <xf numFmtId="183" fontId="36" fillId="0" borderId="1" xfId="0" applyNumberFormat="1" applyFont="1" applyFill="1" applyBorder="1" applyAlignment="1" applyProtection="1">
      <alignment horizontal="center" vertical="center" wrapText="1"/>
    </xf>
    <xf numFmtId="58" fontId="36" fillId="0" borderId="1" xfId="0" applyNumberFormat="1" applyFont="1" applyFill="1" applyBorder="1" applyAlignment="1" applyProtection="1">
      <alignment horizontal="center" vertical="center" wrapText="1"/>
    </xf>
    <xf numFmtId="182" fontId="36" fillId="0" borderId="1" xfId="0" applyNumberFormat="1" applyFont="1" applyFill="1" applyBorder="1" applyAlignment="1" applyProtection="1">
      <alignment horizontal="center" vertical="center" wrapText="1"/>
    </xf>
    <xf numFmtId="181" fontId="36" fillId="0" borderId="1" xfId="0" applyNumberFormat="1" applyFont="1" applyFill="1" applyBorder="1" applyAlignment="1" applyProtection="1">
      <alignment horizontal="center" vertical="center" wrapText="1"/>
    </xf>
    <xf numFmtId="178" fontId="36" fillId="0" borderId="1" xfId="0" applyNumberFormat="1" applyFont="1" applyFill="1" applyBorder="1" applyAlignment="1" applyProtection="1">
      <alignment horizontal="center" vertical="center" wrapText="1"/>
    </xf>
    <xf numFmtId="0" fontId="50" fillId="0" borderId="1" xfId="0" applyFont="1" applyFill="1" applyBorder="1" applyAlignment="1" applyProtection="1">
      <alignment horizontal="center" vertical="center" wrapText="1"/>
    </xf>
    <xf numFmtId="0" fontId="50" fillId="0" borderId="1" xfId="0" applyNumberFormat="1" applyFont="1" applyFill="1" applyBorder="1" applyAlignment="1">
      <alignment horizontal="center" vertical="center"/>
    </xf>
    <xf numFmtId="0" fontId="50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1" xfId="0" applyNumberFormat="1" applyFont="1" applyFill="1" applyBorder="1" applyAlignment="1" applyProtection="1">
      <alignment horizontal="center" vertical="center" wrapText="1"/>
    </xf>
    <xf numFmtId="179" fontId="46" fillId="0" borderId="1" xfId="0" applyNumberFormat="1" applyFont="1" applyFill="1" applyBorder="1" applyAlignment="1" applyProtection="1">
      <alignment horizontal="center" vertical="center" wrapText="1"/>
    </xf>
    <xf numFmtId="0" fontId="46" fillId="0" borderId="1" xfId="0" applyFont="1" applyFill="1" applyBorder="1" applyAlignment="1" applyProtection="1">
      <alignment horizontal="center" vertical="center" wrapText="1"/>
    </xf>
    <xf numFmtId="183" fontId="46" fillId="0" borderId="1" xfId="0" applyNumberFormat="1" applyFont="1" applyFill="1" applyBorder="1" applyAlignment="1" applyProtection="1">
      <alignment horizontal="center" vertical="center" wrapText="1"/>
    </xf>
    <xf numFmtId="0" fontId="46" fillId="0" borderId="1" xfId="0" applyFont="1" applyFill="1" applyBorder="1" applyAlignment="1" applyProtection="1">
      <alignment horizontal="center" vertical="center" wrapText="1"/>
      <protection locked="0"/>
    </xf>
    <xf numFmtId="58" fontId="46" fillId="0" borderId="1" xfId="0" applyNumberFormat="1" applyFont="1" applyFill="1" applyBorder="1" applyAlignment="1" applyProtection="1">
      <alignment horizontal="center" vertical="center" wrapText="1"/>
    </xf>
    <xf numFmtId="182" fontId="46" fillId="0" borderId="1" xfId="0" applyNumberFormat="1" applyFont="1" applyFill="1" applyBorder="1" applyAlignment="1" applyProtection="1">
      <alignment horizontal="center" vertical="center" wrapText="1"/>
    </xf>
    <xf numFmtId="181" fontId="46" fillId="0" borderId="1" xfId="0" applyNumberFormat="1" applyFont="1" applyFill="1" applyBorder="1" applyAlignment="1" applyProtection="1">
      <alignment horizontal="center" vertical="center" wrapText="1"/>
    </xf>
    <xf numFmtId="178" fontId="46" fillId="0" borderId="1" xfId="0" applyNumberFormat="1" applyFont="1" applyFill="1" applyBorder="1" applyAlignment="1" applyProtection="1">
      <alignment horizontal="center" vertical="center" wrapText="1"/>
    </xf>
    <xf numFmtId="0" fontId="48" fillId="0" borderId="1" xfId="0" applyFont="1" applyFill="1" applyBorder="1" applyAlignment="1" applyProtection="1">
      <alignment horizontal="center" vertical="center" wrapText="1"/>
    </xf>
    <xf numFmtId="0" fontId="48" fillId="0" borderId="1" xfId="0" applyNumberFormat="1" applyFont="1" applyFill="1" applyBorder="1" applyAlignment="1">
      <alignment horizontal="center" vertical="center"/>
    </xf>
    <xf numFmtId="0" fontId="48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4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0" borderId="1" xfId="0" applyFont="1" applyFill="1" applyBorder="1"/>
    <xf numFmtId="0" fontId="46" fillId="0" borderId="1" xfId="0" applyFont="1" applyFill="1" applyBorder="1" applyAlignment="1" applyProtection="1">
      <alignment horizontal="center" vertical="center"/>
      <protection locked="0"/>
    </xf>
    <xf numFmtId="182" fontId="46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47" fillId="0" borderId="1" xfId="0" applyNumberFormat="1" applyFont="1" applyFill="1" applyBorder="1" applyAlignment="1" applyProtection="1">
      <alignment horizontal="center" vertical="center" wrapText="1"/>
    </xf>
    <xf numFmtId="0" fontId="47" fillId="0" borderId="1" xfId="0" applyFont="1" applyFill="1" applyBorder="1" applyAlignment="1" applyProtection="1">
      <alignment horizontal="center" vertical="center" wrapText="1"/>
    </xf>
    <xf numFmtId="183" fontId="47" fillId="0" borderId="1" xfId="0" applyNumberFormat="1" applyFont="1" applyFill="1" applyBorder="1" applyAlignment="1" applyProtection="1">
      <alignment horizontal="center" vertical="center" wrapText="1"/>
    </xf>
    <xf numFmtId="0" fontId="47" fillId="0" borderId="1" xfId="0" applyNumberFormat="1" applyFont="1" applyFill="1" applyBorder="1" applyAlignment="1" applyProtection="1">
      <alignment horizontal="center" vertical="center" wrapText="1"/>
    </xf>
    <xf numFmtId="0" fontId="47" fillId="0" borderId="1" xfId="0" applyFont="1" applyFill="1" applyBorder="1" applyAlignment="1" applyProtection="1">
      <alignment horizontal="center" vertical="center" wrapText="1"/>
      <protection locked="0"/>
    </xf>
    <xf numFmtId="58" fontId="47" fillId="0" borderId="1" xfId="0" applyNumberFormat="1" applyFont="1" applyFill="1" applyBorder="1" applyAlignment="1" applyProtection="1">
      <alignment horizontal="center" vertical="center" wrapText="1"/>
    </xf>
    <xf numFmtId="182" fontId="47" fillId="0" borderId="1" xfId="0" applyNumberFormat="1" applyFont="1" applyFill="1" applyBorder="1" applyAlignment="1" applyProtection="1">
      <alignment horizontal="center" vertical="center" wrapText="1"/>
    </xf>
    <xf numFmtId="181" fontId="47" fillId="0" borderId="1" xfId="0" applyNumberFormat="1" applyFont="1" applyFill="1" applyBorder="1" applyAlignment="1" applyProtection="1">
      <alignment horizontal="center" vertical="center" wrapText="1"/>
    </xf>
    <xf numFmtId="178" fontId="47" fillId="0" borderId="1" xfId="0" applyNumberFormat="1" applyFont="1" applyFill="1" applyBorder="1" applyAlignment="1" applyProtection="1">
      <alignment horizontal="center" vertical="center" wrapText="1"/>
    </xf>
    <xf numFmtId="0" fontId="51" fillId="0" borderId="1" xfId="0" applyFont="1" applyFill="1" applyBorder="1" applyAlignment="1" applyProtection="1">
      <alignment horizontal="center" vertical="center" wrapText="1"/>
    </xf>
    <xf numFmtId="0" fontId="51" fillId="0" borderId="1" xfId="0" applyNumberFormat="1" applyFont="1" applyFill="1" applyBorder="1" applyAlignment="1">
      <alignment horizontal="center" vertical="center"/>
    </xf>
    <xf numFmtId="0" fontId="51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46" fillId="2" borderId="1" xfId="0" applyNumberFormat="1" applyFont="1" applyFill="1" applyBorder="1" applyAlignment="1" applyProtection="1">
      <alignment horizontal="center" vertical="center" wrapText="1"/>
    </xf>
    <xf numFmtId="179" fontId="46" fillId="2" borderId="1" xfId="0" applyNumberFormat="1" applyFont="1" applyFill="1" applyBorder="1" applyAlignment="1" applyProtection="1">
      <alignment horizontal="center" vertical="center" wrapText="1"/>
      <protection locked="0"/>
    </xf>
    <xf numFmtId="58" fontId="4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Font="1" applyFill="1" applyBorder="1" applyAlignment="1" applyProtection="1">
      <alignment horizontal="center" vertical="center" wrapText="1"/>
      <protection locked="0"/>
    </xf>
    <xf numFmtId="58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1" xfId="0" applyNumberFormat="1" applyFont="1" applyFill="1" applyBorder="1" applyAlignment="1" applyProtection="1">
      <alignment horizontal="center" vertical="center"/>
    </xf>
    <xf numFmtId="0" fontId="41" fillId="2" borderId="1" xfId="0" applyFont="1" applyFill="1" applyBorder="1" applyAlignment="1" applyProtection="1">
      <alignment horizontal="center" vertical="center" wrapText="1"/>
    </xf>
    <xf numFmtId="0" fontId="46" fillId="2" borderId="1" xfId="0" applyNumberFormat="1" applyFont="1" applyFill="1" applyBorder="1" applyAlignment="1" applyProtection="1">
      <alignment horizontal="center" vertical="center" wrapText="1"/>
    </xf>
    <xf numFmtId="0" fontId="46" fillId="2" borderId="1" xfId="0" applyFont="1" applyFill="1" applyBorder="1" applyAlignment="1" applyProtection="1">
      <alignment horizontal="center" vertical="center" wrapText="1"/>
    </xf>
    <xf numFmtId="0" fontId="48" fillId="0" borderId="4" xfId="0" applyFont="1" applyFill="1" applyBorder="1" applyAlignment="1" applyProtection="1">
      <alignment horizontal="center" vertical="center" wrapText="1"/>
    </xf>
    <xf numFmtId="179" fontId="46" fillId="0" borderId="4" xfId="0" applyNumberFormat="1" applyFont="1" applyFill="1" applyBorder="1" applyAlignment="1" applyProtection="1">
      <alignment horizontal="center" vertical="center" wrapText="1"/>
    </xf>
    <xf numFmtId="179" fontId="46" fillId="4" borderId="1" xfId="0" applyNumberFormat="1" applyFont="1" applyFill="1" applyBorder="1" applyAlignment="1" applyProtection="1">
      <alignment horizontal="center" vertical="center" wrapText="1"/>
    </xf>
    <xf numFmtId="179" fontId="47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47" fillId="2" borderId="1" xfId="0" applyNumberFormat="1" applyFont="1" applyFill="1" applyBorder="1" applyAlignment="1" applyProtection="1">
      <alignment horizontal="center" vertical="center" wrapText="1"/>
      <protection locked="0"/>
    </xf>
    <xf numFmtId="58" fontId="47" fillId="0" borderId="1" xfId="0" applyNumberFormat="1" applyFont="1" applyFill="1" applyBorder="1" applyAlignment="1" applyProtection="1">
      <alignment horizontal="center" vertical="center" wrapText="1"/>
      <protection locked="0"/>
    </xf>
    <xf numFmtId="182" fontId="4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1" fillId="0" borderId="1" xfId="0" applyNumberFormat="1" applyFont="1" applyFill="1" applyBorder="1" applyAlignment="1" applyProtection="1">
      <alignment horizontal="center" vertical="center" wrapText="1"/>
    </xf>
    <xf numFmtId="0" fontId="38" fillId="0" borderId="0" xfId="0" applyFont="1" applyFill="1" applyBorder="1" applyAlignment="1" applyProtection="1">
      <alignment horizontal="center" vertical="center" wrapText="1"/>
      <protection locked="0"/>
    </xf>
    <xf numFmtId="0" fontId="48" fillId="0" borderId="1" xfId="0" applyNumberFormat="1" applyFont="1" applyFill="1" applyBorder="1" applyAlignment="1" applyProtection="1">
      <alignment horizontal="center" vertical="center" wrapText="1"/>
    </xf>
    <xf numFmtId="0" fontId="41" fillId="0" borderId="1" xfId="0" applyNumberFormat="1" applyFont="1" applyFill="1" applyBorder="1" applyAlignment="1" applyProtection="1">
      <alignment horizontal="center" vertical="center" wrapText="1"/>
    </xf>
    <xf numFmtId="0" fontId="46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36" fillId="0" borderId="1" xfId="0" applyNumberFormat="1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179" fontId="46" fillId="0" borderId="1" xfId="0" applyNumberFormat="1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 wrapText="1"/>
    </xf>
    <xf numFmtId="0" fontId="46" fillId="0" borderId="1" xfId="0" applyNumberFormat="1" applyFont="1" applyFill="1" applyBorder="1" applyAlignment="1">
      <alignment horizontal="center" vertical="center" wrapText="1"/>
    </xf>
    <xf numFmtId="0" fontId="46" fillId="2" borderId="1" xfId="0" applyNumberFormat="1" applyFont="1" applyFill="1" applyBorder="1" applyAlignment="1">
      <alignment horizontal="center" vertical="center" wrapText="1"/>
    </xf>
    <xf numFmtId="179" fontId="4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7" fillId="0" borderId="1" xfId="0" applyFont="1" applyFill="1" applyBorder="1" applyAlignment="1">
      <alignment horizontal="center" vertical="center" wrapText="1"/>
    </xf>
    <xf numFmtId="0" fontId="47" fillId="0" borderId="1" xfId="0" applyNumberFormat="1" applyFont="1" applyFill="1" applyBorder="1" applyAlignment="1">
      <alignment horizontal="center" vertical="center" wrapText="1"/>
    </xf>
    <xf numFmtId="179" fontId="47" fillId="0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4" xfId="0" applyFont="1" applyFill="1" applyBorder="1" applyAlignment="1" applyProtection="1">
      <alignment horizontal="center" vertical="center" wrapText="1"/>
    </xf>
    <xf numFmtId="0" fontId="37" fillId="0" borderId="4" xfId="0" applyFont="1" applyFill="1" applyBorder="1" applyAlignment="1" applyProtection="1">
      <alignment horizontal="center" vertical="center" wrapText="1"/>
    </xf>
    <xf numFmtId="0" fontId="37" fillId="0" borderId="4" xfId="0" applyFont="1" applyFill="1" applyBorder="1" applyAlignment="1">
      <alignment horizontal="center" vertical="center" wrapText="1"/>
    </xf>
    <xf numFmtId="0" fontId="4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2" borderId="1" xfId="0" applyFont="1" applyFill="1" applyBorder="1" applyAlignment="1" applyProtection="1">
      <alignment horizontal="center" vertical="center" wrapText="1"/>
      <protection locked="0"/>
    </xf>
    <xf numFmtId="179" fontId="50" fillId="0" borderId="1" xfId="0" applyNumberFormat="1" applyFont="1" applyFill="1" applyBorder="1" applyAlignment="1" applyProtection="1">
      <alignment horizontal="center" vertical="center" wrapText="1"/>
    </xf>
    <xf numFmtId="179" fontId="48" fillId="0" borderId="1" xfId="0" applyNumberFormat="1" applyFont="1" applyFill="1" applyBorder="1" applyAlignment="1" applyProtection="1">
      <alignment horizontal="center" vertical="center" wrapText="1"/>
    </xf>
    <xf numFmtId="0" fontId="36" fillId="2" borderId="1" xfId="0" applyFont="1" applyFill="1" applyBorder="1" applyAlignment="1" applyProtection="1">
      <alignment horizontal="center" vertical="center" wrapText="1"/>
      <protection locked="0"/>
    </xf>
    <xf numFmtId="179" fontId="29" fillId="0" borderId="1" xfId="0" applyNumberFormat="1" applyFont="1" applyFill="1" applyBorder="1" applyAlignment="1" applyProtection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79" fontId="46" fillId="2" borderId="1" xfId="0" applyNumberFormat="1" applyFont="1" applyFill="1" applyBorder="1" applyAlignment="1">
      <alignment horizontal="center" vertical="center" wrapText="1"/>
    </xf>
    <xf numFmtId="0" fontId="36" fillId="0" borderId="3" xfId="0" applyFont="1" applyFill="1" applyBorder="1" applyAlignment="1" applyProtection="1">
      <alignment horizontal="center" vertical="center" wrapText="1"/>
      <protection locked="0"/>
    </xf>
    <xf numFmtId="0" fontId="37" fillId="0" borderId="3" xfId="0" applyFont="1" applyFill="1" applyBorder="1" applyAlignment="1" applyProtection="1">
      <alignment horizontal="center" vertical="center" wrapText="1"/>
      <protection locked="0"/>
    </xf>
    <xf numFmtId="0" fontId="52" fillId="0" borderId="1" xfId="0" applyFont="1" applyFill="1" applyBorder="1" applyAlignment="1" applyProtection="1">
      <alignment horizontal="center" vertical="center" wrapText="1"/>
    </xf>
    <xf numFmtId="0" fontId="52" fillId="0" borderId="1" xfId="0" applyFont="1" applyFill="1" applyBorder="1" applyAlignment="1" applyProtection="1">
      <alignment horizontal="center" vertical="center" wrapText="1"/>
      <protection locked="0"/>
    </xf>
    <xf numFmtId="0" fontId="46" fillId="0" borderId="3" xfId="0" applyFont="1" applyFill="1" applyBorder="1" applyAlignment="1" applyProtection="1">
      <alignment horizontal="center" vertical="center" wrapText="1"/>
      <protection locked="0"/>
    </xf>
    <xf numFmtId="0" fontId="47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51" fillId="0" borderId="1" xfId="0" applyNumberFormat="1" applyFont="1" applyFill="1" applyBorder="1" applyAlignment="1" applyProtection="1">
      <alignment horizontal="center" vertical="center" wrapText="1"/>
    </xf>
    <xf numFmtId="0" fontId="41" fillId="0" borderId="3" xfId="0" applyFont="1" applyFill="1" applyBorder="1" applyAlignment="1" applyProtection="1">
      <alignment horizontal="center" vertical="center" wrapText="1"/>
      <protection locked="0"/>
    </xf>
    <xf numFmtId="0" fontId="41" fillId="0" borderId="1" xfId="0" applyFont="1" applyFill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center" vertical="center" wrapText="1"/>
    </xf>
    <xf numFmtId="179" fontId="41" fillId="0" borderId="1" xfId="0" applyNumberFormat="1" applyFont="1" applyFill="1" applyBorder="1" applyAlignment="1">
      <alignment horizontal="center" vertical="center" wrapText="1"/>
    </xf>
    <xf numFmtId="179" fontId="42" fillId="0" borderId="1" xfId="0" applyNumberFormat="1" applyFont="1" applyFill="1" applyBorder="1" applyAlignment="1" applyProtection="1">
      <alignment horizontal="center" vertical="center" wrapText="1"/>
    </xf>
    <xf numFmtId="0" fontId="46" fillId="2" borderId="1" xfId="0" applyNumberFormat="1" applyFont="1" applyFill="1" applyBorder="1" applyAlignment="1" applyProtection="1">
      <alignment horizontal="center" vertical="center" wrapText="1"/>
      <protection locked="0"/>
    </xf>
    <xf numFmtId="181" fontId="46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4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8" fillId="0" borderId="1" xfId="0" applyFont="1" applyFill="1" applyBorder="1" applyAlignment="1" applyProtection="1">
      <alignment horizontal="center" vertical="center" wrapText="1"/>
      <protection locked="0"/>
    </xf>
    <xf numFmtId="179" fontId="4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41" fillId="0" borderId="2" xfId="0" applyFont="1" applyFill="1" applyBorder="1" applyAlignment="1" applyProtection="1">
      <alignment horizontal="center" vertical="center" wrapText="1"/>
      <protection locked="0"/>
    </xf>
    <xf numFmtId="0" fontId="41" fillId="0" borderId="5" xfId="0" applyFont="1" applyFill="1" applyBorder="1" applyAlignment="1" applyProtection="1">
      <alignment horizontal="center" vertical="center" wrapText="1"/>
      <protection locked="0"/>
    </xf>
    <xf numFmtId="0" fontId="41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Fill="1" applyBorder="1" applyAlignment="1" applyProtection="1">
      <alignment horizontal="center" vertical="center" wrapText="1"/>
      <protection locked="0"/>
    </xf>
    <xf numFmtId="181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 applyProtection="1">
      <alignment horizontal="center" vertical="center" wrapText="1"/>
      <protection locked="0"/>
    </xf>
    <xf numFmtId="179" fontId="50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9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4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0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81" fontId="46" fillId="2" borderId="1" xfId="0" applyNumberFormat="1" applyFont="1" applyFill="1" applyBorder="1" applyAlignment="1" applyProtection="1">
      <alignment horizontal="center" vertical="center" wrapText="1"/>
      <protection locked="0"/>
    </xf>
    <xf numFmtId="178" fontId="4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8" fillId="2" borderId="1" xfId="0" applyFont="1" applyFill="1" applyBorder="1" applyAlignment="1" applyProtection="1">
      <alignment horizontal="center" vertical="center" wrapText="1"/>
      <protection locked="0"/>
    </xf>
    <xf numFmtId="0" fontId="48" fillId="2" borderId="1" xfId="0" applyNumberFormat="1" applyFont="1" applyFill="1" applyBorder="1" applyAlignment="1" applyProtection="1">
      <alignment horizontal="center" vertical="center" wrapText="1"/>
      <protection locked="0"/>
    </xf>
    <xf numFmtId="179" fontId="48" fillId="2" borderId="1" xfId="0" applyNumberFormat="1" applyFont="1" applyFill="1" applyBorder="1" applyAlignment="1" applyProtection="1">
      <alignment horizontal="center" vertical="center" wrapText="1"/>
      <protection locked="0"/>
    </xf>
    <xf numFmtId="182" fontId="46" fillId="2" borderId="1" xfId="0" applyNumberFormat="1" applyFont="1" applyFill="1" applyBorder="1" applyAlignment="1" applyProtection="1">
      <alignment horizontal="center" vertical="center" wrapText="1"/>
      <protection locked="0"/>
    </xf>
    <xf numFmtId="179" fontId="4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3" borderId="1" xfId="0" applyFont="1" applyFill="1" applyBorder="1" applyAlignment="1" applyProtection="1">
      <alignment horizontal="center" vertical="center" wrapText="1"/>
      <protection locked="0"/>
    </xf>
    <xf numFmtId="0" fontId="41" fillId="3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4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182" fontId="46" fillId="3" borderId="1" xfId="0" applyNumberFormat="1" applyFont="1" applyFill="1" applyBorder="1" applyAlignment="1" applyProtection="1">
      <alignment horizontal="center" vertical="center" wrapText="1"/>
      <protection locked="0"/>
    </xf>
    <xf numFmtId="181" fontId="46" fillId="3" borderId="1" xfId="0" applyNumberFormat="1" applyFont="1" applyFill="1" applyBorder="1" applyAlignment="1" applyProtection="1">
      <alignment horizontal="center" vertical="center" wrapText="1"/>
      <protection locked="0"/>
    </xf>
    <xf numFmtId="178" fontId="4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8" fillId="3" borderId="1" xfId="0" applyFont="1" applyFill="1" applyBorder="1" applyAlignment="1" applyProtection="1">
      <alignment horizontal="center" vertical="center" wrapText="1"/>
      <protection locked="0"/>
    </xf>
    <xf numFmtId="179" fontId="4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8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48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48" fillId="0" borderId="1" xfId="0" applyNumberFormat="1" applyFont="1" applyFill="1" applyBorder="1" applyAlignment="1" applyProtection="1">
      <alignment horizontal="center" vertical="center" wrapText="1" shrinkToFit="1"/>
    </xf>
    <xf numFmtId="180" fontId="46" fillId="0" borderId="1" xfId="0" applyNumberFormat="1" applyFont="1" applyFill="1" applyBorder="1" applyAlignment="1" applyProtection="1">
      <alignment horizontal="center" vertical="center" wrapText="1"/>
    </xf>
    <xf numFmtId="0" fontId="48" fillId="0" borderId="0" xfId="0" applyNumberFormat="1" applyFont="1" applyFill="1" applyBorder="1" applyAlignment="1" applyProtection="1">
      <alignment horizontal="center" vertical="center" wrapText="1" shrinkToFit="1"/>
    </xf>
    <xf numFmtId="179" fontId="41" fillId="0" borderId="0" xfId="0" applyNumberFormat="1" applyFont="1" applyFill="1" applyBorder="1" applyAlignment="1" applyProtection="1">
      <alignment horizontal="center" vertical="center" wrapText="1"/>
    </xf>
    <xf numFmtId="179" fontId="4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center" vertical="center" wrapText="1"/>
    </xf>
    <xf numFmtId="179" fontId="8" fillId="0" borderId="0" xfId="0" applyNumberFormat="1" applyFont="1" applyFill="1" applyBorder="1" applyAlignment="1" applyProtection="1">
      <alignment horizontal="center" vertical="center" wrapText="1"/>
    </xf>
    <xf numFmtId="182" fontId="7" fillId="0" borderId="0" xfId="0" applyNumberFormat="1" applyFont="1" applyFill="1" applyBorder="1" applyAlignment="1" applyProtection="1">
      <alignment horizontal="center" vertical="center" wrapText="1"/>
    </xf>
    <xf numFmtId="182" fontId="7" fillId="0" borderId="1" xfId="0" applyNumberFormat="1" applyFont="1" applyFill="1" applyBorder="1" applyAlignment="1" applyProtection="1">
      <alignment horizontal="center" vertical="center" wrapText="1"/>
    </xf>
    <xf numFmtId="58" fontId="7" fillId="0" borderId="1" xfId="0" applyNumberFormat="1" applyFont="1" applyFill="1" applyBorder="1" applyAlignment="1" applyProtection="1">
      <alignment horizontal="center" vertical="center" wrapText="1"/>
    </xf>
    <xf numFmtId="0" fontId="36" fillId="0" borderId="1" xfId="0" applyFont="1" applyFill="1" applyBorder="1" applyAlignment="1" applyProtection="1">
      <alignment horizontal="center" vertical="center" wrapText="1" shrinkToFit="1"/>
    </xf>
    <xf numFmtId="179" fontId="36" fillId="0" borderId="1" xfId="0" applyNumberFormat="1" applyFont="1" applyFill="1" applyBorder="1" applyAlignment="1" applyProtection="1">
      <alignment horizontal="center" vertical="center" wrapText="1" shrinkToFit="1"/>
    </xf>
    <xf numFmtId="0" fontId="53" fillId="0" borderId="1" xfId="0" applyFont="1" applyFill="1" applyBorder="1" applyAlignment="1">
      <alignment horizontal="center" vertical="center"/>
    </xf>
    <xf numFmtId="0" fontId="54" fillId="0" borderId="1" xfId="0" applyFont="1" applyFill="1" applyBorder="1" applyAlignment="1" applyProtection="1">
      <alignment horizontal="center" vertical="center" wrapText="1"/>
    </xf>
    <xf numFmtId="0" fontId="55" fillId="0" borderId="1" xfId="0" applyFont="1" applyFill="1" applyBorder="1" applyAlignment="1">
      <alignment horizontal="center" vertical="center"/>
    </xf>
    <xf numFmtId="179" fontId="24" fillId="0" borderId="1" xfId="0" applyNumberFormat="1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 shrinkToFit="1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 applyProtection="1">
      <alignment horizontal="center" vertical="center" wrapText="1"/>
    </xf>
    <xf numFmtId="179" fontId="2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 wrapText="1"/>
      <protection locked="0"/>
    </xf>
    <xf numFmtId="182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41" fillId="0" borderId="0" xfId="0" applyFont="1" applyFill="1" applyAlignment="1">
      <alignment horizontal="center" vertical="center"/>
    </xf>
    <xf numFmtId="0" fontId="4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56" fillId="0" borderId="0" xfId="0" applyFont="1"/>
    <xf numFmtId="0" fontId="0" fillId="0" borderId="0" xfId="0" applyFont="1"/>
    <xf numFmtId="179" fontId="25" fillId="0" borderId="0" xfId="0" applyNumberFormat="1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 vertical="center" wrapText="1"/>
    </xf>
    <xf numFmtId="0" fontId="27" fillId="0" borderId="0" xfId="0" applyNumberFormat="1" applyFont="1" applyFill="1" applyAlignment="1">
      <alignment horizontal="center" vertical="center"/>
    </xf>
    <xf numFmtId="181" fontId="41" fillId="0" borderId="0" xfId="0" applyNumberFormat="1" applyFont="1" applyFill="1" applyAlignment="1">
      <alignment horizontal="center" vertical="center" wrapText="1"/>
    </xf>
    <xf numFmtId="178" fontId="27" fillId="0" borderId="0" xfId="0" applyNumberFormat="1" applyFont="1" applyFill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center" vertical="center"/>
    </xf>
    <xf numFmtId="181" fontId="41" fillId="0" borderId="1" xfId="0" applyNumberFormat="1" applyFont="1" applyFill="1" applyBorder="1" applyAlignment="1">
      <alignment horizontal="center" vertical="center" wrapText="1"/>
    </xf>
    <xf numFmtId="178" fontId="41" fillId="0" borderId="1" xfId="0" applyNumberFormat="1" applyFont="1" applyFill="1" applyBorder="1" applyAlignment="1">
      <alignment horizontal="center" vertical="center" wrapText="1"/>
    </xf>
    <xf numFmtId="178" fontId="41" fillId="0" borderId="5" xfId="0" applyNumberFormat="1" applyFont="1" applyFill="1" applyBorder="1" applyAlignment="1">
      <alignment horizontal="center" vertical="center" wrapText="1"/>
    </xf>
    <xf numFmtId="0" fontId="41" fillId="0" borderId="4" xfId="0" applyFont="1" applyFill="1" applyBorder="1" applyAlignment="1">
      <alignment horizontal="center" vertical="center"/>
    </xf>
    <xf numFmtId="179" fontId="46" fillId="0" borderId="1" xfId="0" applyNumberFormat="1" applyFont="1" applyFill="1" applyBorder="1" applyAlignment="1">
      <alignment horizontal="center" vertical="center" shrinkToFit="1"/>
    </xf>
    <xf numFmtId="179" fontId="41" fillId="0" borderId="1" xfId="0" applyNumberFormat="1" applyFont="1" applyFill="1" applyBorder="1" applyAlignment="1">
      <alignment horizontal="center" vertical="center" wrapText="1" shrinkToFit="1"/>
    </xf>
    <xf numFmtId="179" fontId="46" fillId="0" borderId="1" xfId="0" applyNumberFormat="1" applyFont="1" applyFill="1" applyBorder="1" applyAlignment="1">
      <alignment horizontal="center" vertical="center" wrapText="1" shrinkToFit="1"/>
    </xf>
    <xf numFmtId="0" fontId="46" fillId="0" borderId="1" xfId="0" applyNumberFormat="1" applyFont="1" applyFill="1" applyBorder="1" applyAlignment="1">
      <alignment horizontal="center" vertical="center"/>
    </xf>
    <xf numFmtId="3" fontId="46" fillId="0" borderId="1" xfId="0" applyNumberFormat="1" applyFont="1" applyFill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 vertical="center" wrapText="1"/>
    </xf>
    <xf numFmtId="181" fontId="46" fillId="0" borderId="1" xfId="0" applyNumberFormat="1" applyFont="1" applyFill="1" applyBorder="1" applyAlignment="1">
      <alignment horizontal="center" vertical="center" wrapText="1"/>
    </xf>
    <xf numFmtId="0" fontId="41" fillId="0" borderId="4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shrinkToFit="1"/>
    </xf>
    <xf numFmtId="178" fontId="11" fillId="0" borderId="1" xfId="0" applyNumberFormat="1" applyFont="1" applyFill="1" applyBorder="1" applyAlignment="1">
      <alignment horizontal="center" vertical="center" wrapText="1"/>
    </xf>
    <xf numFmtId="178" fontId="11" fillId="0" borderId="5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181" fontId="25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27" fillId="0" borderId="1" xfId="0" applyNumberFormat="1" applyFont="1" applyFill="1" applyBorder="1" applyAlignment="1">
      <alignment horizontal="center" vertical="center" wrapText="1"/>
    </xf>
    <xf numFmtId="178" fontId="27" fillId="0" borderId="5" xfId="0" applyNumberFormat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 applyProtection="1">
      <alignment horizontal="center" vertical="center"/>
    </xf>
    <xf numFmtId="0" fontId="26" fillId="0" borderId="1" xfId="0" applyNumberFormat="1" applyFont="1" applyFill="1" applyBorder="1" applyAlignment="1" applyProtection="1">
      <alignment horizontal="center" vertical="center"/>
    </xf>
    <xf numFmtId="178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27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4" xfId="0" applyFont="1" applyFill="1" applyBorder="1" applyAlignment="1" applyProtection="1">
      <alignment horizontal="center" vertical="center"/>
      <protection locked="0"/>
    </xf>
    <xf numFmtId="0" fontId="11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1" xfId="0" applyNumberFormat="1" applyFont="1" applyFill="1" applyBorder="1" applyAlignment="1">
      <alignment horizontal="center" vertical="center"/>
    </xf>
    <xf numFmtId="181" fontId="52" fillId="0" borderId="1" xfId="0" applyNumberFormat="1" applyFont="1" applyFill="1" applyBorder="1" applyAlignment="1" applyProtection="1">
      <alignment horizontal="center" vertical="center" wrapText="1"/>
    </xf>
    <xf numFmtId="179" fontId="57" fillId="0" borderId="1" xfId="0" applyNumberFormat="1" applyFont="1" applyFill="1" applyBorder="1" applyAlignment="1">
      <alignment horizontal="center" vertical="center" wrapText="1"/>
    </xf>
    <xf numFmtId="0" fontId="25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81" fontId="46" fillId="2" borderId="1" xfId="0" applyNumberFormat="1" applyFont="1" applyFill="1" applyBorder="1" applyAlignment="1" applyProtection="1">
      <alignment horizontal="center" vertical="center" wrapText="1"/>
    </xf>
    <xf numFmtId="178" fontId="11" fillId="2" borderId="1" xfId="0" applyNumberFormat="1" applyFont="1" applyFill="1" applyBorder="1" applyAlignment="1">
      <alignment horizontal="center" vertical="center" wrapText="1"/>
    </xf>
    <xf numFmtId="178" fontId="11" fillId="2" borderId="5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179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79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81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178" fontId="11" fillId="3" borderId="1" xfId="0" applyNumberFormat="1" applyFont="1" applyFill="1" applyBorder="1" applyAlignment="1">
      <alignment horizontal="center" vertical="center" wrapText="1"/>
    </xf>
    <xf numFmtId="178" fontId="11" fillId="3" borderId="5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179" fontId="17" fillId="0" borderId="1" xfId="0" applyNumberFormat="1" applyFont="1" applyFill="1" applyBorder="1" applyAlignment="1">
      <alignment horizontal="center" vertical="center" shrinkToFi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/>
    </xf>
    <xf numFmtId="181" fontId="11" fillId="0" borderId="0" xfId="0" applyNumberFormat="1" applyFont="1" applyFill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178" fontId="58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Alignment="1">
      <alignment horizontal="center" vertical="center"/>
    </xf>
    <xf numFmtId="179" fontId="59" fillId="0" borderId="0" xfId="0" applyNumberFormat="1" applyFont="1" applyFill="1" applyBorder="1" applyAlignment="1">
      <alignment horizontal="right" vertical="center" wrapText="1"/>
    </xf>
    <xf numFmtId="178" fontId="59" fillId="0" borderId="0" xfId="0" applyNumberFormat="1" applyFont="1" applyFill="1" applyBorder="1" applyAlignment="1">
      <alignment horizontal="center" vertical="center" wrapText="1"/>
    </xf>
    <xf numFmtId="0" fontId="60" fillId="0" borderId="0" xfId="0" applyFont="1" applyFill="1" applyAlignment="1">
      <alignment horizontal="center" vertical="center" wrapText="1"/>
    </xf>
    <xf numFmtId="179" fontId="58" fillId="0" borderId="0" xfId="0" applyNumberFormat="1" applyFont="1" applyFill="1" applyBorder="1" applyAlignment="1">
      <alignment horizontal="right" vertical="center" wrapText="1"/>
    </xf>
    <xf numFmtId="179" fontId="17" fillId="0" borderId="0" xfId="0" applyNumberFormat="1" applyFont="1" applyFill="1" applyBorder="1" applyAlignment="1">
      <alignment horizontal="right" vertical="center" wrapText="1"/>
    </xf>
    <xf numFmtId="0" fontId="12" fillId="0" borderId="0" xfId="0" applyFont="1" applyFill="1" applyAlignment="1">
      <alignment horizontal="center" vertical="center" wrapText="1"/>
    </xf>
    <xf numFmtId="0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81" fontId="12" fillId="0" borderId="0" xfId="0" applyNumberFormat="1" applyFont="1" applyFill="1" applyAlignment="1">
      <alignment horizontal="center" vertical="center" wrapText="1"/>
    </xf>
    <xf numFmtId="178" fontId="12" fillId="0" borderId="0" xfId="0" applyNumberFormat="1" applyFont="1" applyFill="1" applyAlignment="1">
      <alignment horizontal="center" vertical="center" wrapText="1"/>
    </xf>
    <xf numFmtId="0" fontId="11" fillId="0" borderId="0" xfId="0" applyNumberFormat="1" applyFont="1" applyFill="1" applyAlignment="1">
      <alignment horizontal="center" vertical="center"/>
    </xf>
    <xf numFmtId="179" fontId="39" fillId="0" borderId="0" xfId="0" applyNumberFormat="1" applyFont="1" applyFill="1" applyBorder="1" applyAlignment="1">
      <alignment horizontal="right" vertical="center" wrapText="1"/>
    </xf>
    <xf numFmtId="178" fontId="39" fillId="0" borderId="0" xfId="0" applyNumberFormat="1" applyFont="1" applyFill="1" applyBorder="1" applyAlignment="1">
      <alignment horizontal="center" vertical="center" wrapText="1"/>
    </xf>
    <xf numFmtId="179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center" vertical="center" wrapText="1"/>
    </xf>
    <xf numFmtId="17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/>
    </xf>
    <xf numFmtId="179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</xf>
    <xf numFmtId="0" fontId="61" fillId="0" borderId="0" xfId="0" applyFont="1"/>
    <xf numFmtId="0" fontId="62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0" fontId="25" fillId="0" borderId="1" xfId="0" applyFont="1" applyFill="1" applyBorder="1" applyAlignment="1" applyProtection="1" quotePrefix="1">
      <alignment horizontal="center" vertical="center" wrapText="1"/>
    </xf>
  </cellXfs>
  <cellStyles count="9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Normal_Book1_INVOICE (Tray 2+ 3) 2003070091&amp;031212" xfId="51"/>
    <cellStyle name="常规 6" xfId="52"/>
    <cellStyle name="_ET_STYLE_NoName_00_" xfId="53"/>
    <cellStyle name="常规 5 2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 2 2" xfId="61"/>
    <cellStyle name="常规 2 3" xfId="62"/>
    <cellStyle name="常规 2 3 2" xfId="63"/>
    <cellStyle name="常规 2" xfId="64"/>
    <cellStyle name="常规 2 3 2 2" xfId="65"/>
    <cellStyle name="常规 2 4" xfId="66"/>
    <cellStyle name="常规 2 4 2" xfId="67"/>
    <cellStyle name="常规 3" xfId="68"/>
    <cellStyle name="常规 3 2" xfId="69"/>
    <cellStyle name="常规 3 2 2" xfId="70"/>
    <cellStyle name="常规 3 3" xfId="71"/>
    <cellStyle name="常规 4" xfId="72"/>
    <cellStyle name="常规 4 2" xfId="73"/>
    <cellStyle name="常规 4 2 2" xfId="74"/>
    <cellStyle name="常规 4 3" xfId="75"/>
    <cellStyle name="常规 5" xfId="76"/>
    <cellStyle name="常规_2014年Basic Concepts合同评审表(3)" xfId="77"/>
    <cellStyle name="常规_Sheet3" xfId="78"/>
    <cellStyle name="常规_排期" xfId="79"/>
    <cellStyle name="千位分隔 2" xfId="80"/>
    <cellStyle name="千位分隔 2 2" xfId="81"/>
    <cellStyle name="千位分隔 2 4" xfId="82"/>
    <cellStyle name="千位分隔 2 2 2" xfId="83"/>
    <cellStyle name="千位分隔 2 2 2 2" xfId="84"/>
    <cellStyle name="千位分隔 2 2 3" xfId="85"/>
    <cellStyle name="千位分隔 2 3" xfId="86"/>
    <cellStyle name="千位分隔 2 3 2" xfId="87"/>
    <cellStyle name="样式 1" xfId="88"/>
    <cellStyle name="样式 1 2" xfId="89"/>
    <cellStyle name="样式 1 2 2 2" xfId="90"/>
    <cellStyle name="样式 1 3" xfId="91"/>
    <cellStyle name="样式 1 3 2" xfId="92"/>
    <cellStyle name="样式 1 4" xfId="93"/>
    <cellStyle name="常规_内部明细" xfId="94"/>
    <cellStyle name="常规_成品库存总表_成品库存表1" xfId="95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ill>
        <patternFill patternType="solid">
          <bgColor theme="5" tint="0.6"/>
        </patternFill>
      </fill>
    </dxf>
    <dxf>
      <fill>
        <patternFill patternType="solid">
          <bgColor theme="9" tint="0.4"/>
        </patternFill>
      </fill>
    </dxf>
  </dxfs>
  <tableStyles count="0" defaultTableStyle="TableStyleMedium2" defaultPivotStyle="PivotStyleLight16"/>
  <colors>
    <mruColors>
      <color rgb="001B1BFB"/>
      <color rgb="000101FA"/>
      <color rgb="00FFFFFF"/>
      <color rgb="0092D050"/>
      <color rgb="00ECA7E6"/>
      <color rgb="00FF0000"/>
      <color rgb="00FF00FF"/>
      <color rgb="00000000"/>
      <color rgb="0000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0565" dbFileVersion="0" changeLogVersion="0">
    <open main="599" threadCnt="1"/>
    <sheetInfos>
      <sheetInfo cellCmpFml="0" sheetStid="48">
        <open main="1" threadCnt="1"/>
      </sheetInfo>
      <sheetInfo cellCmpFml="3658" sheetStid="47">
        <open main="248" threadCnt="1"/>
      </sheetInfo>
      <sheetInfo cellCmpFml="117" sheetStid="45">
        <open main="6" threadCnt="1"/>
      </sheetInfo>
      <sheetInfo cellCmpFml="1912" sheetStid="57">
        <open main="83" threadCnt="1"/>
      </sheetInfo>
      <sheetInfo cellCmpFml="178" sheetStid="58">
        <open main="7" threadCnt="1"/>
      </sheetInfo>
      <sheetInfo cellCmpFml="2653" sheetStid="51">
        <open main="145" threadCnt="1"/>
      </sheetInfo>
      <sheetInfo cellCmpFml="12" sheetStid="59">
        <open main="2" threadCnt="1"/>
      </sheetInfo>
      <sheetInfo cellCmpFml="38" sheetStid="54">
        <open main="3" threadCnt="1"/>
      </sheetInfo>
      <sheetInfo cellCmpFml="248" sheetStid="55">
        <open main="12" threadCnt="1"/>
      </sheetInfo>
      <sheetInfo cellCmpFml="1749" sheetStid="56">
        <open main="1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www.wps.cn/officeDocument/2023/relationships/woinfos" Target="woinfo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5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2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Administrator/Documents/xwechat_files/wxid_ki8qbukgnt9021_3d78/msg/file/2026-04/2026&#24180;Sky&#160;Castle&#25490;&#26399;4-1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/Users/Administrator/Desktop/2026&#24180;Sky&#160;Castle&#25490;&#26399;5-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名称"/>
      <sheetName val="总接单"/>
      <sheetName val="一二代排期"/>
      <sheetName val="三代排期"/>
      <sheetName val="蛋糕系列"/>
      <sheetName val="已走货"/>
      <sheetName val="MA"/>
      <sheetName val="取消单"/>
      <sheetName val="Sheet1"/>
    </sheetNames>
    <sheetDataSet>
      <sheetData sheetId="0">
        <row r="1">
          <cell r="A1" t="str">
            <v>货号</v>
          </cell>
          <cell r="B1" t="str">
            <v>贴纸用量</v>
          </cell>
          <cell r="C1" t="str">
            <v>装箱数</v>
          </cell>
          <cell r="D1" t="str">
            <v>系列</v>
          </cell>
          <cell r="E1" t="str">
            <v>名称</v>
          </cell>
        </row>
        <row r="2">
          <cell r="A2" t="str">
            <v>SR000</v>
          </cell>
          <cell r="B2">
            <v>3</v>
          </cell>
          <cell r="C2">
            <v>360</v>
          </cell>
          <cell r="D2" t="str">
            <v>二代</v>
          </cell>
        </row>
        <row r="3">
          <cell r="A3" t="str">
            <v>SR100</v>
          </cell>
          <cell r="B3">
            <v>7</v>
          </cell>
          <cell r="C3">
            <v>12</v>
          </cell>
          <cell r="D3" t="str">
            <v>二代</v>
          </cell>
        </row>
        <row r="4">
          <cell r="A4" t="str">
            <v>SR100CDU-16</v>
          </cell>
          <cell r="B4">
            <v>7</v>
          </cell>
          <cell r="C4">
            <v>16</v>
          </cell>
          <cell r="D4" t="str">
            <v>二代</v>
          </cell>
        </row>
        <row r="5">
          <cell r="A5" t="str">
            <v>SR100CDU-24</v>
          </cell>
          <cell r="B5">
            <v>7</v>
          </cell>
          <cell r="C5">
            <v>24</v>
          </cell>
          <cell r="D5" t="str">
            <v>二代</v>
          </cell>
        </row>
        <row r="6">
          <cell r="A6" t="str">
            <v>SR101CDU</v>
          </cell>
          <cell r="B6">
            <v>5</v>
          </cell>
          <cell r="C6">
            <v>24</v>
          </cell>
          <cell r="D6" t="str">
            <v>二代</v>
          </cell>
        </row>
        <row r="7">
          <cell r="A7" t="str">
            <v>SR160</v>
          </cell>
          <cell r="B7">
            <v>5</v>
          </cell>
          <cell r="C7">
            <v>24</v>
          </cell>
          <cell r="D7" t="str">
            <v>二代</v>
          </cell>
        </row>
        <row r="8">
          <cell r="A8" t="str">
            <v>SR200</v>
          </cell>
          <cell r="B8">
            <v>12</v>
          </cell>
          <cell r="C8">
            <v>6</v>
          </cell>
          <cell r="D8" t="str">
            <v>二代</v>
          </cell>
        </row>
        <row r="9">
          <cell r="A9" t="str">
            <v>SR200CO</v>
          </cell>
          <cell r="B9">
            <v>12</v>
          </cell>
          <cell r="C9">
            <v>6</v>
          </cell>
          <cell r="D9" t="str">
            <v>二代</v>
          </cell>
        </row>
        <row r="10">
          <cell r="A10" t="str">
            <v>SR300</v>
          </cell>
          <cell r="B10">
            <v>32</v>
          </cell>
          <cell r="C10">
            <v>4</v>
          </cell>
          <cell r="D10" t="str">
            <v>二代</v>
          </cell>
        </row>
        <row r="11">
          <cell r="A11" t="str">
            <v>SR460</v>
          </cell>
          <cell r="B11">
            <v>12</v>
          </cell>
          <cell r="C11">
            <v>6</v>
          </cell>
          <cell r="D11" t="str">
            <v>二代</v>
          </cell>
        </row>
        <row r="12">
          <cell r="A12" t="str">
            <v>SR600</v>
          </cell>
          <cell r="B12">
            <v>18</v>
          </cell>
          <cell r="C12">
            <v>6</v>
          </cell>
          <cell r="D12" t="str">
            <v>二代</v>
          </cell>
        </row>
        <row r="13">
          <cell r="A13" t="str">
            <v>SR100CDU-9</v>
          </cell>
          <cell r="B13">
            <v>7</v>
          </cell>
          <cell r="C13">
            <v>9</v>
          </cell>
          <cell r="D13" t="str">
            <v>二代</v>
          </cell>
        </row>
        <row r="14">
          <cell r="A14" t="str">
            <v>SR100-</v>
          </cell>
          <cell r="B14">
            <v>7</v>
          </cell>
          <cell r="C14">
            <v>144</v>
          </cell>
          <cell r="D14" t="str">
            <v>二代</v>
          </cell>
          <cell r="E14" t="str">
            <v>密封盒</v>
          </cell>
        </row>
        <row r="15">
          <cell r="A15" t="str">
            <v>SR200-</v>
          </cell>
          <cell r="B15">
            <v>12</v>
          </cell>
          <cell r="C15">
            <v>24</v>
          </cell>
          <cell r="D15" t="str">
            <v>二代</v>
          </cell>
          <cell r="E15" t="str">
            <v>密封盒</v>
          </cell>
        </row>
        <row r="16">
          <cell r="A16" t="str">
            <v>SR001</v>
          </cell>
          <cell r="B16">
            <v>5</v>
          </cell>
          <cell r="C16">
            <v>250</v>
          </cell>
          <cell r="D16" t="str">
            <v>二代</v>
          </cell>
        </row>
        <row r="17">
          <cell r="A17" t="str">
            <v>SR102C</v>
          </cell>
          <cell r="B17">
            <v>10</v>
          </cell>
          <cell r="C17">
            <v>16</v>
          </cell>
          <cell r="D17" t="str">
            <v>二代</v>
          </cell>
        </row>
        <row r="18">
          <cell r="A18" t="str">
            <v>SR102CDU-16</v>
          </cell>
          <cell r="B18">
            <v>7</v>
          </cell>
          <cell r="C18">
            <v>16</v>
          </cell>
          <cell r="D18" t="str">
            <v>二代</v>
          </cell>
        </row>
        <row r="19">
          <cell r="A19" t="str">
            <v>SR201C</v>
          </cell>
          <cell r="B19">
            <v>15</v>
          </cell>
          <cell r="C19">
            <v>6</v>
          </cell>
          <cell r="D19" t="str">
            <v>二代</v>
          </cell>
        </row>
        <row r="20">
          <cell r="A20" t="str">
            <v>SR301C</v>
          </cell>
          <cell r="B20">
            <v>35</v>
          </cell>
          <cell r="C20">
            <v>4</v>
          </cell>
          <cell r="D20" t="str">
            <v>二代</v>
          </cell>
        </row>
        <row r="21">
          <cell r="A21" t="str">
            <v>JS300</v>
          </cell>
          <cell r="B21">
            <v>3</v>
          </cell>
          <cell r="C21">
            <v>12</v>
          </cell>
          <cell r="D21" t="str">
            <v>二代</v>
          </cell>
        </row>
        <row r="22">
          <cell r="A22" t="str">
            <v>SR103</v>
          </cell>
          <cell r="B22">
            <v>5</v>
          </cell>
          <cell r="C22">
            <v>24</v>
          </cell>
          <cell r="D22" t="str">
            <v>二代</v>
          </cell>
        </row>
        <row r="23">
          <cell r="A23" t="str">
            <v>SR103CDU-12</v>
          </cell>
          <cell r="B23">
            <v>5</v>
          </cell>
          <cell r="C23">
            <v>12</v>
          </cell>
          <cell r="D23" t="str">
            <v>二代</v>
          </cell>
        </row>
        <row r="24">
          <cell r="A24" t="str">
            <v>JS100</v>
          </cell>
          <cell r="B24">
            <v>24</v>
          </cell>
          <cell r="C24">
            <v>24</v>
          </cell>
          <cell r="D24" t="str">
            <v>二代</v>
          </cell>
        </row>
        <row r="25">
          <cell r="A25" t="str">
            <v>SR130</v>
          </cell>
          <cell r="B25">
            <v>5</v>
          </cell>
          <cell r="C25">
            <v>24</v>
          </cell>
          <cell r="D25" t="str">
            <v>二代</v>
          </cell>
        </row>
        <row r="26">
          <cell r="A26" t="str">
            <v>SR430</v>
          </cell>
          <cell r="B26">
            <v>12</v>
          </cell>
          <cell r="C26">
            <v>6</v>
          </cell>
          <cell r="D26" t="str">
            <v>二代</v>
          </cell>
        </row>
        <row r="27">
          <cell r="A27" t="str">
            <v>SR102CDU-24</v>
          </cell>
          <cell r="B27">
            <v>7</v>
          </cell>
          <cell r="C27">
            <v>24</v>
          </cell>
          <cell r="D27" t="str">
            <v>二代</v>
          </cell>
        </row>
        <row r="28">
          <cell r="A28" t="str">
            <v>SR102CDU-9</v>
          </cell>
          <cell r="B28">
            <v>7</v>
          </cell>
          <cell r="C28">
            <v>9</v>
          </cell>
          <cell r="D28" t="str">
            <v>二代</v>
          </cell>
        </row>
        <row r="29">
          <cell r="A29" t="str">
            <v>SR201</v>
          </cell>
          <cell r="B29">
            <v>12</v>
          </cell>
          <cell r="C29">
            <v>6</v>
          </cell>
          <cell r="D29" t="str">
            <v>二代</v>
          </cell>
        </row>
        <row r="30">
          <cell r="A30" t="str">
            <v>SR301</v>
          </cell>
          <cell r="B30">
            <v>32</v>
          </cell>
          <cell r="C30">
            <v>4</v>
          </cell>
          <cell r="D30" t="str">
            <v>二代</v>
          </cell>
        </row>
        <row r="31">
          <cell r="A31" t="str">
            <v>SR400CDU-6</v>
          </cell>
          <cell r="B31">
            <v>12</v>
          </cell>
          <cell r="C31">
            <v>6</v>
          </cell>
          <cell r="D31" t="str">
            <v>二代</v>
          </cell>
        </row>
        <row r="32">
          <cell r="A32" t="str">
            <v>SR102</v>
          </cell>
          <cell r="B32">
            <v>5</v>
          </cell>
          <cell r="C32">
            <v>12</v>
          </cell>
          <cell r="D32" t="str">
            <v>二代</v>
          </cell>
        </row>
        <row r="33">
          <cell r="A33" t="str">
            <v>SR400</v>
          </cell>
          <cell r="B33">
            <v>12</v>
          </cell>
          <cell r="C33">
            <v>6</v>
          </cell>
          <cell r="D33" t="str">
            <v>二代</v>
          </cell>
        </row>
        <row r="34">
          <cell r="A34" t="str">
            <v>SR320</v>
          </cell>
        </row>
        <row r="34">
          <cell r="C34">
            <v>2</v>
          </cell>
          <cell r="D34" t="str">
            <v>二代</v>
          </cell>
        </row>
        <row r="35">
          <cell r="A35" t="str">
            <v>SR130CDU-24</v>
          </cell>
          <cell r="B35">
            <v>5</v>
          </cell>
          <cell r="C35">
            <v>24</v>
          </cell>
          <cell r="D35" t="str">
            <v>二代</v>
          </cell>
        </row>
        <row r="36">
          <cell r="A36" t="str">
            <v>SR103CDU-24</v>
          </cell>
          <cell r="B36">
            <v>5</v>
          </cell>
          <cell r="C36">
            <v>24</v>
          </cell>
          <cell r="D36" t="str">
            <v>二代</v>
          </cell>
        </row>
        <row r="37">
          <cell r="A37" t="str">
            <v>SR020</v>
          </cell>
          <cell r="B37">
            <v>5</v>
          </cell>
          <cell r="C37">
            <v>360</v>
          </cell>
          <cell r="D37" t="str">
            <v>二代</v>
          </cell>
        </row>
        <row r="38">
          <cell r="A38" t="str">
            <v>SR160CDU-12</v>
          </cell>
          <cell r="B38">
            <v>5</v>
          </cell>
          <cell r="C38">
            <v>12</v>
          </cell>
          <cell r="D38" t="str">
            <v>二代</v>
          </cell>
        </row>
        <row r="39">
          <cell r="A39" t="str">
            <v>SR201C-CDU-5</v>
          </cell>
          <cell r="B39">
            <v>15</v>
          </cell>
          <cell r="C39">
            <v>5</v>
          </cell>
          <cell r="D39" t="str">
            <v>二代</v>
          </cell>
        </row>
        <row r="40">
          <cell r="A40" t="str">
            <v>SR130CDU-12</v>
          </cell>
          <cell r="B40">
            <v>5</v>
          </cell>
          <cell r="C40">
            <v>12</v>
          </cell>
          <cell r="D40" t="str">
            <v>二代</v>
          </cell>
        </row>
        <row r="41">
          <cell r="A41" t="str">
            <v>SR370</v>
          </cell>
        </row>
        <row r="41">
          <cell r="C41">
            <v>4</v>
          </cell>
          <cell r="D41" t="str">
            <v>二代</v>
          </cell>
        </row>
        <row r="42">
          <cell r="A42" t="str">
            <v>JC120CDU-18</v>
          </cell>
        </row>
        <row r="42">
          <cell r="C42">
            <v>18</v>
          </cell>
          <cell r="D42" t="str">
            <v>蛋糕</v>
          </cell>
          <cell r="E42" t="str">
            <v>蛋糕系列</v>
          </cell>
        </row>
        <row r="43">
          <cell r="A43" t="str">
            <v>JC140</v>
          </cell>
        </row>
        <row r="43">
          <cell r="C43">
            <v>4</v>
          </cell>
          <cell r="D43" t="str">
            <v>蛋糕</v>
          </cell>
          <cell r="E43" t="str">
            <v>蛋糕系列</v>
          </cell>
        </row>
        <row r="44">
          <cell r="A44" t="str">
            <v>JS100CDU-24</v>
          </cell>
        </row>
        <row r="44">
          <cell r="C44">
            <v>24</v>
          </cell>
          <cell r="D44" t="str">
            <v>二代</v>
          </cell>
        </row>
        <row r="45">
          <cell r="A45" t="str">
            <v>JS100CDU-9</v>
          </cell>
        </row>
        <row r="45">
          <cell r="C45">
            <v>9</v>
          </cell>
          <cell r="D45" t="str">
            <v>二代</v>
          </cell>
        </row>
        <row r="46">
          <cell r="A46" t="str">
            <v>SR1023CDU-16</v>
          </cell>
        </row>
        <row r="46">
          <cell r="C46">
            <v>16</v>
          </cell>
          <cell r="D46" t="str">
            <v>三代</v>
          </cell>
        </row>
        <row r="47">
          <cell r="A47" t="str">
            <v>SR102C-CDU-16</v>
          </cell>
        </row>
        <row r="47">
          <cell r="C47">
            <v>16</v>
          </cell>
          <cell r="D47" t="str">
            <v>二代</v>
          </cell>
        </row>
        <row r="48">
          <cell r="A48" t="str">
            <v>SR102-F-EC</v>
          </cell>
        </row>
        <row r="48">
          <cell r="C48">
            <v>144</v>
          </cell>
          <cell r="D48" t="str">
            <v>二代</v>
          </cell>
        </row>
        <row r="49">
          <cell r="A49" t="str">
            <v>SR1033CDU-24</v>
          </cell>
        </row>
        <row r="49">
          <cell r="C49">
            <v>24</v>
          </cell>
          <cell r="D49" t="str">
            <v>三代</v>
          </cell>
        </row>
        <row r="50">
          <cell r="A50" t="str">
            <v>SR1602CDU-12</v>
          </cell>
        </row>
        <row r="50">
          <cell r="C50">
            <v>12</v>
          </cell>
          <cell r="D50" t="str">
            <v>三代</v>
          </cell>
        </row>
        <row r="51">
          <cell r="A51" t="str">
            <v>SR1602CDU-24</v>
          </cell>
        </row>
        <row r="51">
          <cell r="C51">
            <v>24</v>
          </cell>
          <cell r="D51" t="str">
            <v>三代</v>
          </cell>
        </row>
        <row r="52">
          <cell r="A52" t="str">
            <v>SR160CDU-24</v>
          </cell>
        </row>
        <row r="52">
          <cell r="C52">
            <v>24</v>
          </cell>
          <cell r="D52" t="str">
            <v>二代</v>
          </cell>
        </row>
        <row r="53">
          <cell r="A53" t="str">
            <v>SR1802CDU-24</v>
          </cell>
        </row>
        <row r="53">
          <cell r="C53">
            <v>24</v>
          </cell>
          <cell r="D53" t="str">
            <v>三代</v>
          </cell>
        </row>
        <row r="54">
          <cell r="A54" t="str">
            <v>SR180CDU-24</v>
          </cell>
        </row>
        <row r="54">
          <cell r="C54">
            <v>24</v>
          </cell>
          <cell r="D54" t="str">
            <v>二代</v>
          </cell>
        </row>
        <row r="55">
          <cell r="A55" t="str">
            <v>SR181CDU-24</v>
          </cell>
        </row>
        <row r="55">
          <cell r="C55">
            <v>24</v>
          </cell>
          <cell r="D55" t="str">
            <v>二代</v>
          </cell>
        </row>
        <row r="56">
          <cell r="A56" t="str">
            <v>SR2013</v>
          </cell>
        </row>
        <row r="56">
          <cell r="C56">
            <v>6</v>
          </cell>
          <cell r="D56" t="str">
            <v>三代</v>
          </cell>
        </row>
        <row r="57">
          <cell r="A57" t="str">
            <v>SR2013BULK-6</v>
          </cell>
        </row>
        <row r="57">
          <cell r="C57">
            <v>6</v>
          </cell>
          <cell r="D57" t="str">
            <v>三代</v>
          </cell>
        </row>
        <row r="58">
          <cell r="A58" t="str">
            <v>SR3013</v>
          </cell>
        </row>
        <row r="58">
          <cell r="C58">
            <v>4</v>
          </cell>
          <cell r="D58" t="str">
            <v>三代</v>
          </cell>
        </row>
        <row r="59">
          <cell r="A59" t="str">
            <v>SR320（蓝绿版）</v>
          </cell>
        </row>
        <row r="59">
          <cell r="C59">
            <v>2</v>
          </cell>
          <cell r="D59" t="str">
            <v>二代</v>
          </cell>
        </row>
        <row r="60">
          <cell r="A60" t="str">
            <v>SR3203BULK-2</v>
          </cell>
        </row>
        <row r="60">
          <cell r="C60">
            <v>2</v>
          </cell>
          <cell r="D60" t="str">
            <v>三代</v>
          </cell>
        </row>
        <row r="61">
          <cell r="A61" t="str">
            <v>SR3703</v>
          </cell>
        </row>
        <row r="61">
          <cell r="C61">
            <v>4</v>
          </cell>
          <cell r="D61" t="str">
            <v>三代</v>
          </cell>
        </row>
        <row r="62">
          <cell r="A62" t="str">
            <v>SR4003CDU-12</v>
          </cell>
        </row>
        <row r="62">
          <cell r="C62">
            <v>12</v>
          </cell>
          <cell r="D62" t="str">
            <v>三代</v>
          </cell>
        </row>
        <row r="63">
          <cell r="A63" t="str">
            <v>SR400CDU-12</v>
          </cell>
        </row>
        <row r="63">
          <cell r="C63">
            <v>12</v>
          </cell>
          <cell r="D63" t="str">
            <v>二代</v>
          </cell>
        </row>
        <row r="64">
          <cell r="A64" t="str">
            <v>SR430CDU-12</v>
          </cell>
        </row>
        <row r="64">
          <cell r="C64">
            <v>12</v>
          </cell>
          <cell r="D64" t="str">
            <v>二代</v>
          </cell>
        </row>
        <row r="65">
          <cell r="A65" t="str">
            <v>SR430CDU-6</v>
          </cell>
        </row>
        <row r="65">
          <cell r="C65">
            <v>6</v>
          </cell>
          <cell r="D65" t="str">
            <v>二代</v>
          </cell>
        </row>
        <row r="66">
          <cell r="A66" t="str">
            <v>SR430-ECOMM-C1</v>
          </cell>
        </row>
        <row r="66">
          <cell r="C66">
            <v>96</v>
          </cell>
          <cell r="D66" t="str">
            <v>二代</v>
          </cell>
        </row>
        <row r="67">
          <cell r="A67" t="str">
            <v>SR430-ECOMM-C2</v>
          </cell>
        </row>
        <row r="67">
          <cell r="C67">
            <v>96</v>
          </cell>
          <cell r="D67" t="str">
            <v>二代</v>
          </cell>
        </row>
        <row r="68">
          <cell r="A68" t="str">
            <v>SR430-ECOMM-C3</v>
          </cell>
        </row>
        <row r="68">
          <cell r="C68">
            <v>96</v>
          </cell>
          <cell r="D68" t="str">
            <v>二代</v>
          </cell>
        </row>
        <row r="69">
          <cell r="A69" t="str">
            <v>SR460CDU-12</v>
          </cell>
        </row>
        <row r="69">
          <cell r="C69">
            <v>12</v>
          </cell>
          <cell r="D69" t="str">
            <v>二代</v>
          </cell>
        </row>
        <row r="70">
          <cell r="A70" t="str">
            <v>SR460CDU-6</v>
          </cell>
        </row>
        <row r="70">
          <cell r="C70">
            <v>6</v>
          </cell>
          <cell r="D70" t="str">
            <v>二代</v>
          </cell>
        </row>
        <row r="71">
          <cell r="A71" t="str">
            <v>SR460-EC</v>
          </cell>
        </row>
        <row r="71">
          <cell r="C71">
            <v>96</v>
          </cell>
          <cell r="D71" t="str">
            <v>二代</v>
          </cell>
        </row>
        <row r="72">
          <cell r="A72" t="str">
            <v>SR600CDU-6</v>
          </cell>
        </row>
        <row r="72">
          <cell r="C72">
            <v>6</v>
          </cell>
          <cell r="D72" t="str">
            <v>二代</v>
          </cell>
        </row>
        <row r="73">
          <cell r="A73" t="str">
            <v>SR8003CDU-12</v>
          </cell>
        </row>
        <row r="73">
          <cell r="C73">
            <v>12</v>
          </cell>
          <cell r="D73" t="str">
            <v>三代</v>
          </cell>
        </row>
        <row r="74">
          <cell r="A74" t="str">
            <v>SR8003CDU-18</v>
          </cell>
        </row>
        <row r="74">
          <cell r="C74">
            <v>18</v>
          </cell>
          <cell r="D74" t="str">
            <v>三代</v>
          </cell>
        </row>
        <row r="75">
          <cell r="A75" t="str">
            <v>SR8003CDU-24</v>
          </cell>
        </row>
        <row r="75">
          <cell r="C75">
            <v>24</v>
          </cell>
          <cell r="D75" t="str">
            <v>三代</v>
          </cell>
        </row>
        <row r="76">
          <cell r="A76" t="str">
            <v>SRAP131-CDU24</v>
          </cell>
        </row>
        <row r="76">
          <cell r="C76">
            <v>24</v>
          </cell>
          <cell r="D76" t="str">
            <v>三代</v>
          </cell>
        </row>
        <row r="77">
          <cell r="A77" t="str">
            <v>SRAP431-CDU12</v>
          </cell>
        </row>
        <row r="77">
          <cell r="C77">
            <v>12</v>
          </cell>
          <cell r="D77" t="str">
            <v>三代</v>
          </cell>
        </row>
        <row r="78">
          <cell r="A78" t="str">
            <v>SRMC103CDU-24</v>
          </cell>
        </row>
        <row r="78">
          <cell r="C78">
            <v>24</v>
          </cell>
          <cell r="D78" t="str">
            <v>三代</v>
          </cell>
        </row>
        <row r="79">
          <cell r="A79" t="str">
            <v>SRMC201</v>
          </cell>
        </row>
        <row r="79">
          <cell r="C79">
            <v>6</v>
          </cell>
          <cell r="D79" t="str">
            <v>三代</v>
          </cell>
        </row>
        <row r="80">
          <cell r="A80" t="str">
            <v>SRMC400CDU-6</v>
          </cell>
        </row>
        <row r="80">
          <cell r="C80">
            <v>6</v>
          </cell>
          <cell r="D80" t="str">
            <v>三代</v>
          </cell>
        </row>
        <row r="81">
          <cell r="A81" t="str">
            <v>SRSM102</v>
          </cell>
        </row>
        <row r="81">
          <cell r="C81">
            <v>16</v>
          </cell>
          <cell r="D81" t="str">
            <v>三代</v>
          </cell>
        </row>
        <row r="82">
          <cell r="A82" t="str">
            <v>SRSM102CDU-16</v>
          </cell>
        </row>
        <row r="82">
          <cell r="C82">
            <v>16</v>
          </cell>
          <cell r="D82" t="str">
            <v>三代</v>
          </cell>
        </row>
        <row r="83">
          <cell r="A83" t="str">
            <v>SRSM103CDU-12</v>
          </cell>
        </row>
        <row r="83">
          <cell r="C83">
            <v>12</v>
          </cell>
          <cell r="D83" t="str">
            <v>三代</v>
          </cell>
        </row>
        <row r="84">
          <cell r="A84" t="str">
            <v>SRSM103CDU-24</v>
          </cell>
        </row>
        <row r="84">
          <cell r="C84">
            <v>24</v>
          </cell>
          <cell r="D84" t="str">
            <v>三代</v>
          </cell>
        </row>
        <row r="85">
          <cell r="A85" t="str">
            <v>SRSM301</v>
          </cell>
        </row>
        <row r="85">
          <cell r="C85">
            <v>4</v>
          </cell>
          <cell r="D85" t="str">
            <v>三代</v>
          </cell>
        </row>
        <row r="86">
          <cell r="A86" t="str">
            <v>SRTD103CDU-12</v>
          </cell>
        </row>
        <row r="86">
          <cell r="C86">
            <v>12</v>
          </cell>
          <cell r="D86" t="str">
            <v>三代</v>
          </cell>
        </row>
        <row r="87">
          <cell r="A87" t="str">
            <v>SRTD103CDU-24</v>
          </cell>
        </row>
        <row r="87">
          <cell r="C87">
            <v>24</v>
          </cell>
          <cell r="D87" t="str">
            <v>三代</v>
          </cell>
        </row>
        <row r="88">
          <cell r="A88" t="str">
            <v>SRTD400CDU-12</v>
          </cell>
        </row>
        <row r="88">
          <cell r="C88">
            <v>12</v>
          </cell>
          <cell r="D88" t="str">
            <v>三代</v>
          </cell>
        </row>
        <row r="89">
          <cell r="A89" t="str">
            <v>SR1023CDU-24</v>
          </cell>
        </row>
        <row r="89">
          <cell r="C89">
            <v>24</v>
          </cell>
          <cell r="D89" t="str">
            <v>三代</v>
          </cell>
        </row>
        <row r="90">
          <cell r="A90" t="str">
            <v>JS3003CDU-12</v>
          </cell>
        </row>
        <row r="90">
          <cell r="C90">
            <v>12</v>
          </cell>
          <cell r="D90" t="str">
            <v>三代</v>
          </cell>
        </row>
        <row r="91">
          <cell r="A91" t="str">
            <v>SR3203</v>
          </cell>
        </row>
        <row r="91">
          <cell r="C91">
            <v>2</v>
          </cell>
          <cell r="D91" t="str">
            <v>三代</v>
          </cell>
        </row>
        <row r="92">
          <cell r="A92" t="str">
            <v>SR1033CDU-12</v>
          </cell>
        </row>
        <row r="92">
          <cell r="C92">
            <v>12</v>
          </cell>
          <cell r="D92" t="str">
            <v>三代</v>
          </cell>
        </row>
        <row r="93">
          <cell r="A93" t="str">
            <v>SR1023CDU-9</v>
          </cell>
        </row>
        <row r="93">
          <cell r="C93">
            <v>9</v>
          </cell>
          <cell r="D93" t="str">
            <v>三代</v>
          </cell>
        </row>
        <row r="94">
          <cell r="A94" t="str">
            <v>SRAP4302CDU-6</v>
          </cell>
        </row>
        <row r="94">
          <cell r="C94">
            <v>6</v>
          </cell>
          <cell r="D94" t="str">
            <v>三代</v>
          </cell>
        </row>
        <row r="95">
          <cell r="A95" t="str">
            <v>SR1802CDU-12</v>
          </cell>
        </row>
        <row r="95">
          <cell r="C95">
            <v>12</v>
          </cell>
          <cell r="D95" t="str">
            <v>三代</v>
          </cell>
        </row>
        <row r="96">
          <cell r="A96" t="str">
            <v>JC120CDU-9</v>
          </cell>
        </row>
        <row r="96">
          <cell r="C96">
            <v>9</v>
          </cell>
          <cell r="D96" t="str">
            <v>蛋糕</v>
          </cell>
          <cell r="E96" t="str">
            <v>蛋糕系列</v>
          </cell>
        </row>
        <row r="97">
          <cell r="A97" t="str">
            <v>SR2013CDU-5</v>
          </cell>
        </row>
        <row r="97">
          <cell r="C97">
            <v>5</v>
          </cell>
          <cell r="D97" t="str">
            <v>三代</v>
          </cell>
        </row>
        <row r="98">
          <cell r="A98" t="str">
            <v>SRBFF3703</v>
          </cell>
        </row>
        <row r="98">
          <cell r="C98">
            <v>4</v>
          </cell>
          <cell r="D98" t="str">
            <v>三代</v>
          </cell>
        </row>
        <row r="99">
          <cell r="A99" t="str">
            <v>JS1003CDU-24</v>
          </cell>
        </row>
        <row r="99">
          <cell r="C99">
            <v>24</v>
          </cell>
          <cell r="D99" t="str">
            <v>三代</v>
          </cell>
        </row>
        <row r="100">
          <cell r="A100" t="str">
            <v>JSSM100CDU-24</v>
          </cell>
        </row>
        <row r="100">
          <cell r="C100">
            <v>24</v>
          </cell>
          <cell r="D100" t="str">
            <v>三代</v>
          </cell>
        </row>
        <row r="101">
          <cell r="A101" t="str">
            <v>SR3203BULK-2（浅蓝色）</v>
          </cell>
        </row>
        <row r="101">
          <cell r="C101">
            <v>2</v>
          </cell>
          <cell r="D101" t="str">
            <v>三代</v>
          </cell>
        </row>
        <row r="102">
          <cell r="A102" t="str">
            <v>SR3203（浅蓝色）</v>
          </cell>
        </row>
        <row r="102">
          <cell r="C102">
            <v>2</v>
          </cell>
          <cell r="D102" t="str">
            <v>三代</v>
          </cell>
        </row>
        <row r="103">
          <cell r="A103" t="str">
            <v>SR4602CDU-6</v>
          </cell>
        </row>
        <row r="103">
          <cell r="C103">
            <v>6</v>
          </cell>
          <cell r="D103" t="str">
            <v>三代</v>
          </cell>
        </row>
        <row r="104">
          <cell r="A104" t="str">
            <v>JS1003CDU-9</v>
          </cell>
        </row>
        <row r="104">
          <cell r="C104">
            <v>9</v>
          </cell>
          <cell r="D104" t="str">
            <v>三代</v>
          </cell>
        </row>
        <row r="105">
          <cell r="A105" t="str">
            <v>SRAP1302-CDU24</v>
          </cell>
        </row>
        <row r="105">
          <cell r="C105">
            <v>24</v>
          </cell>
          <cell r="D105" t="str">
            <v>三代</v>
          </cell>
        </row>
        <row r="106">
          <cell r="A106" t="str">
            <v>SRSM102CDU-9</v>
          </cell>
        </row>
        <row r="106">
          <cell r="C106">
            <v>9</v>
          </cell>
          <cell r="D106" t="str">
            <v>三代</v>
          </cell>
        </row>
        <row r="107">
          <cell r="A107" t="str">
            <v>SR4602CDU-12</v>
          </cell>
        </row>
        <row r="107">
          <cell r="C107">
            <v>12</v>
          </cell>
          <cell r="D107" t="str">
            <v>三代</v>
          </cell>
        </row>
        <row r="108">
          <cell r="A108" t="str">
            <v>SRAP4302CDU-12</v>
          </cell>
        </row>
        <row r="108">
          <cell r="C108">
            <v>12</v>
          </cell>
          <cell r="D108" t="str">
            <v>三代</v>
          </cell>
        </row>
        <row r="109">
          <cell r="A109" t="str">
            <v>SRAP3202</v>
          </cell>
        </row>
        <row r="109">
          <cell r="C109">
            <v>2</v>
          </cell>
          <cell r="D109" t="str">
            <v>三代</v>
          </cell>
        </row>
        <row r="110">
          <cell r="A110" t="str">
            <v>SRMC302</v>
          </cell>
        </row>
        <row r="110">
          <cell r="C110">
            <v>4</v>
          </cell>
          <cell r="D110" t="str">
            <v>三代</v>
          </cell>
        </row>
        <row r="111">
          <cell r="A111" t="str">
            <v>SRAP1302CDU-24</v>
          </cell>
        </row>
        <row r="111">
          <cell r="C111">
            <v>24</v>
          </cell>
          <cell r="D111" t="str">
            <v>三代</v>
          </cell>
        </row>
        <row r="112">
          <cell r="A112" t="str">
            <v>SRAP8002SC-72</v>
          </cell>
        </row>
        <row r="112">
          <cell r="C112">
            <v>72</v>
          </cell>
          <cell r="D112" t="str">
            <v>三代</v>
          </cell>
        </row>
        <row r="113">
          <cell r="A113" t="str">
            <v>SR1023</v>
          </cell>
        </row>
        <row r="113">
          <cell r="C113">
            <v>12</v>
          </cell>
          <cell r="D113" t="str">
            <v>三代</v>
          </cell>
        </row>
        <row r="114">
          <cell r="A114" t="str">
            <v>SRMC400CDU-12</v>
          </cell>
        </row>
        <row r="114">
          <cell r="C114">
            <v>12</v>
          </cell>
          <cell r="D114" t="str">
            <v>三代</v>
          </cell>
        </row>
        <row r="115">
          <cell r="A115" t="str">
            <v>JC100CDU-24</v>
          </cell>
        </row>
        <row r="115">
          <cell r="C115">
            <v>24</v>
          </cell>
          <cell r="D115" t="str">
            <v>蛋糕</v>
          </cell>
          <cell r="E115" t="str">
            <v>蛋糕系列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名称"/>
      <sheetName val="总接单"/>
      <sheetName val="一二代排期"/>
      <sheetName val="三代排期"/>
      <sheetName val="蛋糕系列"/>
      <sheetName val="已走货"/>
      <sheetName val="MA"/>
      <sheetName val="取消单"/>
      <sheetName val="汇总"/>
    </sheetNames>
    <sheetDataSet>
      <sheetData sheetId="0">
        <row r="1">
          <cell r="A1" t="str">
            <v>货号</v>
          </cell>
          <cell r="B1" t="str">
            <v>贴纸用量</v>
          </cell>
          <cell r="C1" t="str">
            <v>装箱数</v>
          </cell>
          <cell r="D1" t="str">
            <v>系列</v>
          </cell>
          <cell r="E1" t="str">
            <v>名称</v>
          </cell>
        </row>
        <row r="2">
          <cell r="A2" t="str">
            <v>SR000</v>
          </cell>
          <cell r="B2">
            <v>3</v>
          </cell>
          <cell r="C2">
            <v>360</v>
          </cell>
          <cell r="D2" t="str">
            <v>二代</v>
          </cell>
        </row>
        <row r="3">
          <cell r="A3" t="str">
            <v>SR100</v>
          </cell>
          <cell r="B3">
            <v>7</v>
          </cell>
          <cell r="C3">
            <v>12</v>
          </cell>
          <cell r="D3" t="str">
            <v>二代</v>
          </cell>
        </row>
        <row r="4">
          <cell r="A4" t="str">
            <v>SR100CDU-16</v>
          </cell>
          <cell r="B4">
            <v>7</v>
          </cell>
          <cell r="C4">
            <v>16</v>
          </cell>
          <cell r="D4" t="str">
            <v>二代</v>
          </cell>
        </row>
        <row r="5">
          <cell r="A5" t="str">
            <v>SR100CDU-24</v>
          </cell>
          <cell r="B5">
            <v>7</v>
          </cell>
          <cell r="C5">
            <v>24</v>
          </cell>
          <cell r="D5" t="str">
            <v>二代</v>
          </cell>
        </row>
        <row r="6">
          <cell r="A6" t="str">
            <v>SR101CDU</v>
          </cell>
          <cell r="B6">
            <v>5</v>
          </cell>
          <cell r="C6">
            <v>24</v>
          </cell>
          <cell r="D6" t="str">
            <v>二代</v>
          </cell>
        </row>
        <row r="7">
          <cell r="A7" t="str">
            <v>SR160</v>
          </cell>
          <cell r="B7">
            <v>5</v>
          </cell>
          <cell r="C7">
            <v>24</v>
          </cell>
          <cell r="D7" t="str">
            <v>二代</v>
          </cell>
        </row>
        <row r="8">
          <cell r="A8" t="str">
            <v>SR200</v>
          </cell>
          <cell r="B8">
            <v>12</v>
          </cell>
          <cell r="C8">
            <v>6</v>
          </cell>
          <cell r="D8" t="str">
            <v>二代</v>
          </cell>
        </row>
        <row r="9">
          <cell r="A9" t="str">
            <v>SR200CO</v>
          </cell>
          <cell r="B9">
            <v>12</v>
          </cell>
          <cell r="C9">
            <v>6</v>
          </cell>
          <cell r="D9" t="str">
            <v>二代</v>
          </cell>
        </row>
        <row r="10">
          <cell r="A10" t="str">
            <v>SR300</v>
          </cell>
          <cell r="B10">
            <v>32</v>
          </cell>
          <cell r="C10">
            <v>4</v>
          </cell>
          <cell r="D10" t="str">
            <v>二代</v>
          </cell>
        </row>
        <row r="11">
          <cell r="A11" t="str">
            <v>SR460</v>
          </cell>
          <cell r="B11">
            <v>12</v>
          </cell>
          <cell r="C11">
            <v>6</v>
          </cell>
          <cell r="D11" t="str">
            <v>二代</v>
          </cell>
        </row>
        <row r="12">
          <cell r="A12" t="str">
            <v>SR600</v>
          </cell>
          <cell r="B12">
            <v>16</v>
          </cell>
          <cell r="C12">
            <v>6</v>
          </cell>
          <cell r="D12" t="str">
            <v>二代</v>
          </cell>
        </row>
        <row r="13">
          <cell r="A13" t="str">
            <v>SR100CDU-9</v>
          </cell>
          <cell r="B13">
            <v>7</v>
          </cell>
          <cell r="C13">
            <v>9</v>
          </cell>
          <cell r="D13" t="str">
            <v>二代</v>
          </cell>
        </row>
        <row r="14">
          <cell r="A14" t="str">
            <v>SR100-</v>
          </cell>
          <cell r="B14">
            <v>7</v>
          </cell>
          <cell r="C14">
            <v>144</v>
          </cell>
          <cell r="D14" t="str">
            <v>二代</v>
          </cell>
          <cell r="E14" t="str">
            <v>密封盒</v>
          </cell>
        </row>
        <row r="15">
          <cell r="A15" t="str">
            <v>SR200-</v>
          </cell>
          <cell r="B15">
            <v>12</v>
          </cell>
          <cell r="C15">
            <v>24</v>
          </cell>
          <cell r="D15" t="str">
            <v>二代</v>
          </cell>
          <cell r="E15" t="str">
            <v>密封盒</v>
          </cell>
        </row>
        <row r="16">
          <cell r="A16" t="str">
            <v>SR001</v>
          </cell>
          <cell r="B16">
            <v>3</v>
          </cell>
          <cell r="C16">
            <v>250</v>
          </cell>
          <cell r="D16" t="str">
            <v>二代</v>
          </cell>
        </row>
        <row r="17">
          <cell r="A17" t="str">
            <v>SR102C</v>
          </cell>
          <cell r="B17">
            <v>10</v>
          </cell>
          <cell r="C17">
            <v>16</v>
          </cell>
          <cell r="D17" t="str">
            <v>二代</v>
          </cell>
        </row>
        <row r="18">
          <cell r="A18" t="str">
            <v>SR102CDU-16</v>
          </cell>
          <cell r="B18">
            <v>7</v>
          </cell>
          <cell r="C18">
            <v>16</v>
          </cell>
          <cell r="D18" t="str">
            <v>二代</v>
          </cell>
        </row>
        <row r="19">
          <cell r="A19" t="str">
            <v>SR201C</v>
          </cell>
          <cell r="B19">
            <v>15</v>
          </cell>
          <cell r="C19">
            <v>6</v>
          </cell>
          <cell r="D19" t="str">
            <v>二代</v>
          </cell>
        </row>
        <row r="20">
          <cell r="A20" t="str">
            <v>SR301C</v>
          </cell>
          <cell r="B20">
            <v>35</v>
          </cell>
          <cell r="C20">
            <v>4</v>
          </cell>
          <cell r="D20" t="str">
            <v>二代</v>
          </cell>
        </row>
        <row r="21">
          <cell r="A21" t="str">
            <v>JS300</v>
          </cell>
          <cell r="B21">
            <v>3</v>
          </cell>
          <cell r="C21">
            <v>12</v>
          </cell>
          <cell r="D21" t="str">
            <v>二代</v>
          </cell>
        </row>
        <row r="22">
          <cell r="A22" t="str">
            <v>SR103</v>
          </cell>
          <cell r="B22">
            <v>5</v>
          </cell>
          <cell r="C22">
            <v>24</v>
          </cell>
          <cell r="D22" t="str">
            <v>二代</v>
          </cell>
        </row>
        <row r="23">
          <cell r="A23" t="str">
            <v>SR103CDU-12</v>
          </cell>
          <cell r="B23">
            <v>5</v>
          </cell>
          <cell r="C23">
            <v>12</v>
          </cell>
          <cell r="D23" t="str">
            <v>二代</v>
          </cell>
        </row>
        <row r="24">
          <cell r="A24" t="str">
            <v>JS100</v>
          </cell>
          <cell r="B24">
            <v>24</v>
          </cell>
          <cell r="C24">
            <v>24</v>
          </cell>
          <cell r="D24" t="str">
            <v>二代</v>
          </cell>
        </row>
        <row r="25">
          <cell r="A25" t="str">
            <v>SR130</v>
          </cell>
          <cell r="B25">
            <v>5</v>
          </cell>
          <cell r="C25">
            <v>24</v>
          </cell>
          <cell r="D25" t="str">
            <v>二代</v>
          </cell>
        </row>
        <row r="26">
          <cell r="A26" t="str">
            <v>SR430</v>
          </cell>
          <cell r="B26">
            <v>12</v>
          </cell>
          <cell r="C26">
            <v>6</v>
          </cell>
          <cell r="D26" t="str">
            <v>二代</v>
          </cell>
        </row>
        <row r="27">
          <cell r="A27" t="str">
            <v>SR102CDU-24</v>
          </cell>
          <cell r="B27">
            <v>7</v>
          </cell>
          <cell r="C27">
            <v>24</v>
          </cell>
          <cell r="D27" t="str">
            <v>二代</v>
          </cell>
        </row>
        <row r="28">
          <cell r="A28" t="str">
            <v>SR102CDU-9</v>
          </cell>
          <cell r="B28">
            <v>7</v>
          </cell>
          <cell r="C28">
            <v>9</v>
          </cell>
          <cell r="D28" t="str">
            <v>二代</v>
          </cell>
        </row>
        <row r="29">
          <cell r="A29" t="str">
            <v>SR201</v>
          </cell>
          <cell r="B29">
            <v>12</v>
          </cell>
          <cell r="C29">
            <v>6</v>
          </cell>
          <cell r="D29" t="str">
            <v>二代</v>
          </cell>
        </row>
        <row r="30">
          <cell r="A30" t="str">
            <v>SR301</v>
          </cell>
          <cell r="B30">
            <v>32</v>
          </cell>
          <cell r="C30">
            <v>4</v>
          </cell>
          <cell r="D30" t="str">
            <v>二代</v>
          </cell>
        </row>
        <row r="31">
          <cell r="A31" t="str">
            <v>SR400CDU-6</v>
          </cell>
          <cell r="B31">
            <v>12</v>
          </cell>
          <cell r="C31">
            <v>6</v>
          </cell>
          <cell r="D31" t="str">
            <v>二代</v>
          </cell>
        </row>
        <row r="32">
          <cell r="A32" t="str">
            <v>SR102</v>
          </cell>
          <cell r="B32">
            <v>7</v>
          </cell>
          <cell r="C32">
            <v>12</v>
          </cell>
          <cell r="D32" t="str">
            <v>二代</v>
          </cell>
        </row>
        <row r="33">
          <cell r="A33" t="str">
            <v>SR400</v>
          </cell>
          <cell r="B33">
            <v>12</v>
          </cell>
          <cell r="C33">
            <v>6</v>
          </cell>
          <cell r="D33" t="str">
            <v>二代</v>
          </cell>
        </row>
        <row r="34">
          <cell r="A34" t="str">
            <v>SR320</v>
          </cell>
          <cell r="B34">
            <v>50</v>
          </cell>
          <cell r="C34">
            <v>2</v>
          </cell>
          <cell r="D34" t="str">
            <v>二代</v>
          </cell>
        </row>
        <row r="35">
          <cell r="A35" t="str">
            <v>SR130CDU-24</v>
          </cell>
          <cell r="B35">
            <v>5</v>
          </cell>
          <cell r="C35">
            <v>24</v>
          </cell>
          <cell r="D35" t="str">
            <v>二代</v>
          </cell>
        </row>
        <row r="36">
          <cell r="A36" t="str">
            <v>SR103CDU-24</v>
          </cell>
          <cell r="B36">
            <v>5</v>
          </cell>
          <cell r="C36">
            <v>24</v>
          </cell>
          <cell r="D36" t="str">
            <v>二代</v>
          </cell>
        </row>
        <row r="37">
          <cell r="A37" t="str">
            <v>SR020</v>
          </cell>
          <cell r="B37">
            <v>5</v>
          </cell>
          <cell r="C37">
            <v>360</v>
          </cell>
          <cell r="D37" t="str">
            <v>二代</v>
          </cell>
        </row>
        <row r="38">
          <cell r="A38" t="str">
            <v>SR160CDU-12</v>
          </cell>
          <cell r="B38">
            <v>5</v>
          </cell>
          <cell r="C38">
            <v>12</v>
          </cell>
          <cell r="D38" t="str">
            <v>二代</v>
          </cell>
        </row>
        <row r="39">
          <cell r="A39" t="str">
            <v>SR201C-CDU-5</v>
          </cell>
          <cell r="B39">
            <v>15</v>
          </cell>
          <cell r="C39">
            <v>5</v>
          </cell>
          <cell r="D39" t="str">
            <v>二代</v>
          </cell>
        </row>
        <row r="40">
          <cell r="A40" t="str">
            <v>SR130CDU-12</v>
          </cell>
          <cell r="B40">
            <v>5</v>
          </cell>
          <cell r="C40">
            <v>12</v>
          </cell>
          <cell r="D40" t="str">
            <v>二代</v>
          </cell>
        </row>
        <row r="41">
          <cell r="A41" t="str">
            <v>SR370</v>
          </cell>
          <cell r="B41">
            <v>50</v>
          </cell>
          <cell r="C41">
            <v>4</v>
          </cell>
          <cell r="D41" t="str">
            <v>二代</v>
          </cell>
        </row>
        <row r="42">
          <cell r="A42" t="str">
            <v>JC120CDU-18</v>
          </cell>
          <cell r="B42">
            <v>0</v>
          </cell>
          <cell r="C42">
            <v>18</v>
          </cell>
          <cell r="D42" t="str">
            <v>蛋糕</v>
          </cell>
        </row>
        <row r="43">
          <cell r="A43" t="str">
            <v>JC140</v>
          </cell>
          <cell r="B43">
            <v>0</v>
          </cell>
          <cell r="C43">
            <v>4</v>
          </cell>
          <cell r="D43" t="str">
            <v>蛋糕</v>
          </cell>
        </row>
        <row r="44">
          <cell r="A44" t="str">
            <v>JS100CDU-24</v>
          </cell>
        </row>
        <row r="44">
          <cell r="C44">
            <v>24</v>
          </cell>
          <cell r="D44" t="str">
            <v>二代</v>
          </cell>
        </row>
        <row r="45">
          <cell r="A45" t="str">
            <v>JS100CDU-9</v>
          </cell>
        </row>
        <row r="45">
          <cell r="C45">
            <v>9</v>
          </cell>
          <cell r="D45" t="str">
            <v>二代</v>
          </cell>
        </row>
        <row r="46">
          <cell r="A46" t="str">
            <v>SR1023CDU-16</v>
          </cell>
          <cell r="B46">
            <v>7</v>
          </cell>
          <cell r="C46">
            <v>16</v>
          </cell>
          <cell r="D46" t="str">
            <v>三代</v>
          </cell>
        </row>
        <row r="47">
          <cell r="A47" t="str">
            <v>SR102C-CDU-16</v>
          </cell>
          <cell r="B47">
            <v>10</v>
          </cell>
          <cell r="C47">
            <v>16</v>
          </cell>
          <cell r="D47" t="str">
            <v>二代</v>
          </cell>
        </row>
        <row r="48">
          <cell r="A48" t="str">
            <v>SR102-F-EC</v>
          </cell>
          <cell r="B48">
            <v>7</v>
          </cell>
          <cell r="C48">
            <v>144</v>
          </cell>
          <cell r="D48" t="str">
            <v>二代</v>
          </cell>
        </row>
        <row r="49">
          <cell r="A49" t="str">
            <v>SR1033CDU-24</v>
          </cell>
          <cell r="B49">
            <v>5</v>
          </cell>
          <cell r="C49">
            <v>24</v>
          </cell>
          <cell r="D49" t="str">
            <v>三代</v>
          </cell>
        </row>
        <row r="50">
          <cell r="A50" t="str">
            <v>SR1602CDU-12</v>
          </cell>
          <cell r="B50">
            <v>5</v>
          </cell>
          <cell r="C50">
            <v>12</v>
          </cell>
          <cell r="D50" t="str">
            <v>三代</v>
          </cell>
        </row>
        <row r="51">
          <cell r="A51" t="str">
            <v>SR1602CDU-24</v>
          </cell>
          <cell r="B51">
            <v>5</v>
          </cell>
          <cell r="C51">
            <v>24</v>
          </cell>
          <cell r="D51" t="str">
            <v>三代</v>
          </cell>
        </row>
        <row r="52">
          <cell r="A52" t="str">
            <v>SR160CDU-24</v>
          </cell>
          <cell r="B52">
            <v>5</v>
          </cell>
          <cell r="C52">
            <v>24</v>
          </cell>
          <cell r="D52" t="str">
            <v>二代</v>
          </cell>
        </row>
        <row r="53">
          <cell r="A53" t="str">
            <v>SR1802CDU-24</v>
          </cell>
          <cell r="B53">
            <v>5</v>
          </cell>
          <cell r="C53">
            <v>24</v>
          </cell>
          <cell r="D53" t="str">
            <v>三代</v>
          </cell>
        </row>
        <row r="54">
          <cell r="A54" t="str">
            <v>SR180CDU-24</v>
          </cell>
          <cell r="B54">
            <v>5</v>
          </cell>
          <cell r="C54">
            <v>24</v>
          </cell>
          <cell r="D54" t="str">
            <v>二代</v>
          </cell>
        </row>
        <row r="55">
          <cell r="A55" t="str">
            <v>SR181CDU-24</v>
          </cell>
          <cell r="B55">
            <v>5</v>
          </cell>
          <cell r="C55">
            <v>24</v>
          </cell>
          <cell r="D55" t="str">
            <v>二代</v>
          </cell>
        </row>
        <row r="56">
          <cell r="A56" t="str">
            <v>SR2013</v>
          </cell>
          <cell r="B56">
            <v>12</v>
          </cell>
          <cell r="C56">
            <v>6</v>
          </cell>
          <cell r="D56" t="str">
            <v>三代</v>
          </cell>
        </row>
        <row r="57">
          <cell r="A57" t="str">
            <v>SR2013BULK-6</v>
          </cell>
          <cell r="B57">
            <v>12</v>
          </cell>
          <cell r="C57">
            <v>6</v>
          </cell>
          <cell r="D57" t="str">
            <v>三代</v>
          </cell>
        </row>
        <row r="58">
          <cell r="A58" t="str">
            <v>SR3013</v>
          </cell>
          <cell r="B58">
            <v>32</v>
          </cell>
          <cell r="C58">
            <v>4</v>
          </cell>
          <cell r="D58" t="str">
            <v>三代</v>
          </cell>
        </row>
        <row r="59">
          <cell r="A59" t="str">
            <v>SR320（蓝绿版）</v>
          </cell>
          <cell r="B59">
            <v>50</v>
          </cell>
          <cell r="C59">
            <v>2</v>
          </cell>
          <cell r="D59" t="str">
            <v>二代</v>
          </cell>
        </row>
        <row r="60">
          <cell r="A60" t="str">
            <v>SR3203BULK-2</v>
          </cell>
          <cell r="B60">
            <v>50</v>
          </cell>
          <cell r="C60">
            <v>2</v>
          </cell>
          <cell r="D60" t="str">
            <v>三代</v>
          </cell>
        </row>
        <row r="61">
          <cell r="A61" t="str">
            <v>SR3703</v>
          </cell>
          <cell r="B61">
            <v>50</v>
          </cell>
          <cell r="C61">
            <v>4</v>
          </cell>
          <cell r="D61" t="str">
            <v>三代</v>
          </cell>
        </row>
        <row r="62">
          <cell r="A62" t="str">
            <v>SR4003CDU-12</v>
          </cell>
          <cell r="B62">
            <v>12</v>
          </cell>
          <cell r="C62">
            <v>12</v>
          </cell>
          <cell r="D62" t="str">
            <v>三代</v>
          </cell>
        </row>
        <row r="63">
          <cell r="A63" t="str">
            <v>SR400CDU-12</v>
          </cell>
          <cell r="B63">
            <v>12</v>
          </cell>
          <cell r="C63">
            <v>12</v>
          </cell>
          <cell r="D63" t="str">
            <v>二代</v>
          </cell>
        </row>
        <row r="64">
          <cell r="A64" t="str">
            <v>SR430CDU-12</v>
          </cell>
          <cell r="B64">
            <v>12</v>
          </cell>
          <cell r="C64">
            <v>12</v>
          </cell>
          <cell r="D64" t="str">
            <v>二代</v>
          </cell>
        </row>
        <row r="65">
          <cell r="A65" t="str">
            <v>SR430CDU-6</v>
          </cell>
          <cell r="B65">
            <v>12</v>
          </cell>
          <cell r="C65">
            <v>6</v>
          </cell>
          <cell r="D65" t="str">
            <v>二代</v>
          </cell>
        </row>
        <row r="66">
          <cell r="A66" t="str">
            <v>SR430-ECOMM-C1</v>
          </cell>
          <cell r="B66">
            <v>12</v>
          </cell>
          <cell r="C66">
            <v>96</v>
          </cell>
          <cell r="D66" t="str">
            <v>二代</v>
          </cell>
        </row>
        <row r="67">
          <cell r="A67" t="str">
            <v>SR430-ECOMM-C2</v>
          </cell>
          <cell r="B67">
            <v>12</v>
          </cell>
          <cell r="C67">
            <v>96</v>
          </cell>
          <cell r="D67" t="str">
            <v>二代</v>
          </cell>
        </row>
        <row r="68">
          <cell r="A68" t="str">
            <v>SR430-ECOMM-C3</v>
          </cell>
          <cell r="B68">
            <v>12</v>
          </cell>
          <cell r="C68">
            <v>96</v>
          </cell>
          <cell r="D68" t="str">
            <v>二代</v>
          </cell>
        </row>
        <row r="69">
          <cell r="A69" t="str">
            <v>SR460CDU-12</v>
          </cell>
          <cell r="B69">
            <v>12</v>
          </cell>
          <cell r="C69">
            <v>12</v>
          </cell>
          <cell r="D69" t="str">
            <v>二代</v>
          </cell>
        </row>
        <row r="70">
          <cell r="A70" t="str">
            <v>SR460CDU-6</v>
          </cell>
          <cell r="B70">
            <v>12</v>
          </cell>
          <cell r="C70">
            <v>6</v>
          </cell>
          <cell r="D70" t="str">
            <v>二代</v>
          </cell>
        </row>
        <row r="71">
          <cell r="A71" t="str">
            <v>SR460-EC</v>
          </cell>
          <cell r="B71">
            <v>12</v>
          </cell>
          <cell r="C71">
            <v>96</v>
          </cell>
          <cell r="D71" t="str">
            <v>二代</v>
          </cell>
        </row>
        <row r="72">
          <cell r="A72" t="str">
            <v>SR600CDU-6</v>
          </cell>
          <cell r="B72">
            <v>16</v>
          </cell>
          <cell r="C72">
            <v>6</v>
          </cell>
          <cell r="D72" t="str">
            <v>二代</v>
          </cell>
        </row>
        <row r="73">
          <cell r="A73" t="str">
            <v>SR8003CDU-12</v>
          </cell>
          <cell r="B73">
            <v>5</v>
          </cell>
          <cell r="C73">
            <v>12</v>
          </cell>
          <cell r="D73" t="str">
            <v>三代</v>
          </cell>
        </row>
        <row r="74">
          <cell r="A74" t="str">
            <v>SR8003CDU-18</v>
          </cell>
          <cell r="B74">
            <v>5</v>
          </cell>
          <cell r="C74">
            <v>18</v>
          </cell>
          <cell r="D74" t="str">
            <v>三代</v>
          </cell>
        </row>
        <row r="75">
          <cell r="A75" t="str">
            <v>SR8003CDU-24</v>
          </cell>
          <cell r="B75">
            <v>5</v>
          </cell>
          <cell r="C75">
            <v>24</v>
          </cell>
          <cell r="D75" t="str">
            <v>三代</v>
          </cell>
        </row>
        <row r="76">
          <cell r="A76" t="str">
            <v>SRAP131CDU-24</v>
          </cell>
          <cell r="B76">
            <v>5</v>
          </cell>
          <cell r="C76">
            <v>24</v>
          </cell>
          <cell r="D76" t="str">
            <v>三代</v>
          </cell>
        </row>
        <row r="77">
          <cell r="A77" t="str">
            <v>SRAP431CDU-12</v>
          </cell>
          <cell r="B77">
            <v>12</v>
          </cell>
          <cell r="C77">
            <v>12</v>
          </cell>
          <cell r="D77" t="str">
            <v>三代</v>
          </cell>
        </row>
        <row r="78">
          <cell r="A78" t="str">
            <v>SRMC103CDU-24</v>
          </cell>
          <cell r="B78">
            <v>5</v>
          </cell>
          <cell r="C78">
            <v>24</v>
          </cell>
          <cell r="D78" t="str">
            <v>三代</v>
          </cell>
        </row>
        <row r="79">
          <cell r="A79" t="str">
            <v>SRMC201</v>
          </cell>
          <cell r="B79">
            <v>12</v>
          </cell>
          <cell r="C79">
            <v>6</v>
          </cell>
          <cell r="D79" t="str">
            <v>三代</v>
          </cell>
        </row>
        <row r="80">
          <cell r="A80" t="str">
            <v>SRMC400CDU-6</v>
          </cell>
          <cell r="B80">
            <v>12</v>
          </cell>
          <cell r="C80">
            <v>6</v>
          </cell>
          <cell r="D80" t="str">
            <v>三代</v>
          </cell>
        </row>
        <row r="81">
          <cell r="A81" t="str">
            <v>SRSM102</v>
          </cell>
          <cell r="B81">
            <v>7</v>
          </cell>
          <cell r="C81">
            <v>16</v>
          </cell>
          <cell r="D81" t="str">
            <v>三代</v>
          </cell>
        </row>
        <row r="82">
          <cell r="A82" t="str">
            <v>SRSM102CDU-16</v>
          </cell>
          <cell r="B82">
            <v>7</v>
          </cell>
          <cell r="C82">
            <v>16</v>
          </cell>
          <cell r="D82" t="str">
            <v>三代</v>
          </cell>
        </row>
        <row r="83">
          <cell r="A83" t="str">
            <v>SRSM103CDU-12</v>
          </cell>
          <cell r="B83">
            <v>5</v>
          </cell>
          <cell r="C83">
            <v>12</v>
          </cell>
          <cell r="D83" t="str">
            <v>三代</v>
          </cell>
        </row>
        <row r="84">
          <cell r="A84" t="str">
            <v>SRSM103CDU-24</v>
          </cell>
          <cell r="B84">
            <v>5</v>
          </cell>
          <cell r="C84">
            <v>24</v>
          </cell>
          <cell r="D84" t="str">
            <v>三代</v>
          </cell>
        </row>
        <row r="85">
          <cell r="A85" t="str">
            <v>SRSM301</v>
          </cell>
          <cell r="B85">
            <v>32</v>
          </cell>
          <cell r="C85">
            <v>4</v>
          </cell>
          <cell r="D85" t="str">
            <v>三代</v>
          </cell>
        </row>
        <row r="86">
          <cell r="A86" t="str">
            <v>SRTD103CDU-12</v>
          </cell>
          <cell r="B86">
            <v>5</v>
          </cell>
          <cell r="C86">
            <v>12</v>
          </cell>
          <cell r="D86" t="str">
            <v>三代</v>
          </cell>
        </row>
        <row r="87">
          <cell r="A87" t="str">
            <v>SRTD103CDU-24</v>
          </cell>
          <cell r="B87">
            <v>5</v>
          </cell>
          <cell r="C87">
            <v>24</v>
          </cell>
          <cell r="D87" t="str">
            <v>三代</v>
          </cell>
        </row>
        <row r="88">
          <cell r="A88" t="str">
            <v>SRTD400CDU-12</v>
          </cell>
          <cell r="B88">
            <v>12</v>
          </cell>
          <cell r="C88">
            <v>12</v>
          </cell>
          <cell r="D88" t="str">
            <v>三代</v>
          </cell>
        </row>
        <row r="89">
          <cell r="A89" t="str">
            <v>SR1023CDU-24</v>
          </cell>
          <cell r="B89">
            <v>7</v>
          </cell>
          <cell r="C89">
            <v>24</v>
          </cell>
          <cell r="D89" t="str">
            <v>三代</v>
          </cell>
        </row>
        <row r="90">
          <cell r="A90" t="str">
            <v>JS3003CDU-12</v>
          </cell>
        </row>
        <row r="90">
          <cell r="C90">
            <v>12</v>
          </cell>
          <cell r="D90" t="str">
            <v>三代</v>
          </cell>
        </row>
        <row r="91">
          <cell r="A91" t="str">
            <v>SR3203</v>
          </cell>
          <cell r="B91">
            <v>50</v>
          </cell>
          <cell r="C91">
            <v>2</v>
          </cell>
          <cell r="D91" t="str">
            <v>三代</v>
          </cell>
        </row>
        <row r="92">
          <cell r="A92" t="str">
            <v>SR1033CDU-12</v>
          </cell>
          <cell r="B92">
            <v>5</v>
          </cell>
          <cell r="C92">
            <v>12</v>
          </cell>
          <cell r="D92" t="str">
            <v>三代</v>
          </cell>
        </row>
        <row r="93">
          <cell r="A93" t="str">
            <v>SR1023CDU-9</v>
          </cell>
          <cell r="B93">
            <v>7</v>
          </cell>
          <cell r="C93">
            <v>9</v>
          </cell>
          <cell r="D93" t="str">
            <v>三代</v>
          </cell>
        </row>
        <row r="94">
          <cell r="A94" t="str">
            <v>SRAP4302CDU-6</v>
          </cell>
          <cell r="B94">
            <v>12</v>
          </cell>
          <cell r="C94">
            <v>6</v>
          </cell>
          <cell r="D94" t="str">
            <v>三代</v>
          </cell>
        </row>
        <row r="95">
          <cell r="A95" t="str">
            <v>SR1802CDU-12</v>
          </cell>
          <cell r="B95">
            <v>5</v>
          </cell>
          <cell r="C95">
            <v>12</v>
          </cell>
          <cell r="D95" t="str">
            <v>三代</v>
          </cell>
        </row>
        <row r="96">
          <cell r="A96" t="str">
            <v>JC120CDU-9</v>
          </cell>
        </row>
        <row r="96">
          <cell r="C96">
            <v>9</v>
          </cell>
          <cell r="D96" t="str">
            <v>蛋糕</v>
          </cell>
        </row>
        <row r="97">
          <cell r="A97" t="str">
            <v>SR2013CDU-5</v>
          </cell>
          <cell r="B97">
            <v>12</v>
          </cell>
          <cell r="C97">
            <v>5</v>
          </cell>
          <cell r="D97" t="str">
            <v>三代</v>
          </cell>
        </row>
        <row r="98">
          <cell r="A98" t="str">
            <v>SRBFF3703</v>
          </cell>
          <cell r="B98">
            <v>50</v>
          </cell>
          <cell r="C98">
            <v>4</v>
          </cell>
          <cell r="D98" t="str">
            <v>三代</v>
          </cell>
        </row>
        <row r="99">
          <cell r="A99" t="str">
            <v>JS1003CDU-24</v>
          </cell>
        </row>
        <row r="99">
          <cell r="C99">
            <v>24</v>
          </cell>
          <cell r="D99" t="str">
            <v>三代</v>
          </cell>
        </row>
        <row r="100">
          <cell r="A100" t="str">
            <v>JSSM100CDU-24</v>
          </cell>
        </row>
        <row r="100">
          <cell r="C100">
            <v>24</v>
          </cell>
          <cell r="D100" t="str">
            <v>三代</v>
          </cell>
        </row>
        <row r="101">
          <cell r="A101" t="str">
            <v>SR3203BULK-2（浅蓝色）</v>
          </cell>
          <cell r="B101">
            <v>50</v>
          </cell>
          <cell r="C101">
            <v>2</v>
          </cell>
          <cell r="D101" t="str">
            <v>三代</v>
          </cell>
        </row>
        <row r="102">
          <cell r="A102" t="str">
            <v>SR3203（浅蓝色）</v>
          </cell>
          <cell r="B102">
            <v>50</v>
          </cell>
          <cell r="C102">
            <v>2</v>
          </cell>
          <cell r="D102" t="str">
            <v>三代</v>
          </cell>
        </row>
        <row r="103">
          <cell r="A103" t="str">
            <v>SR4602CDU-6</v>
          </cell>
          <cell r="B103">
            <v>12</v>
          </cell>
          <cell r="C103">
            <v>6</v>
          </cell>
          <cell r="D103" t="str">
            <v>三代</v>
          </cell>
        </row>
        <row r="104">
          <cell r="A104" t="str">
            <v>JS1003CDU-9</v>
          </cell>
        </row>
        <row r="104">
          <cell r="C104">
            <v>9</v>
          </cell>
          <cell r="D104" t="str">
            <v>三代</v>
          </cell>
        </row>
        <row r="105">
          <cell r="A105" t="str">
            <v>SRSM102CDU-9</v>
          </cell>
          <cell r="B105">
            <v>7</v>
          </cell>
          <cell r="C105">
            <v>9</v>
          </cell>
          <cell r="D105" t="str">
            <v>三代</v>
          </cell>
        </row>
        <row r="106">
          <cell r="A106" t="str">
            <v>SR4602CDU-12</v>
          </cell>
          <cell r="B106">
            <v>12</v>
          </cell>
          <cell r="C106">
            <v>12</v>
          </cell>
          <cell r="D106" t="str">
            <v>三代</v>
          </cell>
        </row>
        <row r="107">
          <cell r="A107" t="str">
            <v>SRAP3202</v>
          </cell>
          <cell r="B107">
            <v>50</v>
          </cell>
          <cell r="C107">
            <v>2</v>
          </cell>
          <cell r="D107" t="str">
            <v>三代</v>
          </cell>
        </row>
        <row r="108">
          <cell r="A108" t="str">
            <v>SRMC302</v>
          </cell>
        </row>
        <row r="108">
          <cell r="C108">
            <v>4</v>
          </cell>
          <cell r="D108" t="str">
            <v>三代</v>
          </cell>
        </row>
        <row r="109">
          <cell r="A109" t="str">
            <v>SRAP1302CDU-24</v>
          </cell>
          <cell r="B109">
            <v>5</v>
          </cell>
          <cell r="C109">
            <v>24</v>
          </cell>
          <cell r="D109" t="str">
            <v>三代</v>
          </cell>
        </row>
        <row r="110">
          <cell r="A110" t="str">
            <v>SRAP8002SC-72</v>
          </cell>
          <cell r="B110">
            <v>5</v>
          </cell>
          <cell r="C110">
            <v>72</v>
          </cell>
          <cell r="D110" t="str">
            <v>三代</v>
          </cell>
        </row>
        <row r="111">
          <cell r="A111" t="str">
            <v>SR1023</v>
          </cell>
          <cell r="B111">
            <v>7</v>
          </cell>
          <cell r="C111">
            <v>12</v>
          </cell>
          <cell r="D111" t="str">
            <v>三代</v>
          </cell>
        </row>
        <row r="112">
          <cell r="A112" t="str">
            <v>SRMC400CDU-12</v>
          </cell>
          <cell r="B112">
            <v>12</v>
          </cell>
          <cell r="C112">
            <v>12</v>
          </cell>
          <cell r="D112" t="str">
            <v>三代</v>
          </cell>
        </row>
        <row r="113">
          <cell r="A113" t="str">
            <v>JC100CDU-24</v>
          </cell>
        </row>
        <row r="113">
          <cell r="C113">
            <v>24</v>
          </cell>
          <cell r="D113" t="str">
            <v>蛋糕</v>
          </cell>
        </row>
        <row r="114">
          <cell r="A114" t="str">
            <v>SRAE101CDU-12</v>
          </cell>
        </row>
        <row r="114">
          <cell r="C114">
            <v>12</v>
          </cell>
          <cell r="D114" t="str">
            <v>三代</v>
          </cell>
        </row>
        <row r="115">
          <cell r="A115" t="str">
            <v>SRAP4302CDU-12</v>
          </cell>
          <cell r="B115">
            <v>12</v>
          </cell>
          <cell r="C115">
            <v>12</v>
          </cell>
          <cell r="D115" t="str">
            <v>三代</v>
          </cell>
        </row>
        <row r="116">
          <cell r="A116" t="str">
            <v>SR3203-COFP</v>
          </cell>
          <cell r="B116">
            <v>50</v>
          </cell>
          <cell r="C116">
            <v>40</v>
          </cell>
          <cell r="D116" t="str">
            <v>三代</v>
          </cell>
        </row>
        <row r="117">
          <cell r="A117" t="str">
            <v>SR3703QP-12</v>
          </cell>
          <cell r="B117">
            <v>50</v>
          </cell>
          <cell r="C117">
            <v>12</v>
          </cell>
          <cell r="D117" t="str">
            <v>三代</v>
          </cell>
        </row>
        <row r="118">
          <cell r="A118" t="str">
            <v>SRSM400CDU-12</v>
          </cell>
        </row>
        <row r="118">
          <cell r="C118">
            <v>12</v>
          </cell>
          <cell r="D118" t="str">
            <v>三代</v>
          </cell>
        </row>
        <row r="119">
          <cell r="A119" t="str">
            <v>JC120-ECOMM-2PK-A</v>
          </cell>
        </row>
        <row r="119">
          <cell r="C119">
            <v>36</v>
          </cell>
          <cell r="D119" t="str">
            <v>蛋糕</v>
          </cell>
        </row>
        <row r="120">
          <cell r="A120" t="str">
            <v>JC120-ECOMM-2PK-B</v>
          </cell>
        </row>
        <row r="120">
          <cell r="C120">
            <v>36</v>
          </cell>
          <cell r="D120" t="str">
            <v>蛋糕</v>
          </cell>
        </row>
        <row r="121">
          <cell r="A121" t="str">
            <v>JC120-ECOMM-2PK-C</v>
          </cell>
        </row>
        <row r="121">
          <cell r="C121">
            <v>36</v>
          </cell>
          <cell r="D121" t="str">
            <v>蛋糕</v>
          </cell>
        </row>
        <row r="122">
          <cell r="A122" t="str">
            <v>JS6003-ECOMM-A</v>
          </cell>
        </row>
        <row r="122">
          <cell r="C122">
            <v>12</v>
          </cell>
          <cell r="D122" t="str">
            <v>三代</v>
          </cell>
        </row>
        <row r="123">
          <cell r="A123" t="str">
            <v>JS6003-ECOMM-B</v>
          </cell>
        </row>
        <row r="123">
          <cell r="C123">
            <v>12</v>
          </cell>
          <cell r="D123" t="str">
            <v>三代</v>
          </cell>
        </row>
        <row r="124">
          <cell r="A124" t="str">
            <v>JS6003-ECOMM-C</v>
          </cell>
        </row>
        <row r="124">
          <cell r="C124">
            <v>12</v>
          </cell>
          <cell r="D124" t="str">
            <v>三代</v>
          </cell>
        </row>
        <row r="125">
          <cell r="A125" t="str">
            <v>JS6003-ECOMM-D</v>
          </cell>
        </row>
        <row r="125">
          <cell r="C125">
            <v>12</v>
          </cell>
          <cell r="D125" t="str">
            <v>三代</v>
          </cell>
        </row>
        <row r="126">
          <cell r="A126" t="str">
            <v>SR1023-ECOMM-A</v>
          </cell>
          <cell r="B126">
            <v>5</v>
          </cell>
          <cell r="C126">
            <v>144</v>
          </cell>
          <cell r="D126" t="str">
            <v>三代</v>
          </cell>
        </row>
        <row r="127">
          <cell r="A127" t="str">
            <v>SR1023-ECOMM-B</v>
          </cell>
          <cell r="B127">
            <v>5</v>
          </cell>
          <cell r="C127">
            <v>144</v>
          </cell>
          <cell r="D127" t="str">
            <v>三代</v>
          </cell>
        </row>
        <row r="128">
          <cell r="A128" t="str">
            <v>SR1023-ECOMM-C</v>
          </cell>
          <cell r="B128">
            <v>5</v>
          </cell>
          <cell r="C128">
            <v>144</v>
          </cell>
          <cell r="D128" t="str">
            <v>三代</v>
          </cell>
        </row>
        <row r="129">
          <cell r="A129" t="str">
            <v>SR1023-ECOMM-D</v>
          </cell>
          <cell r="B129">
            <v>5</v>
          </cell>
          <cell r="C129">
            <v>144</v>
          </cell>
          <cell r="D129" t="str">
            <v>三代</v>
          </cell>
        </row>
        <row r="130">
          <cell r="A130" t="str">
            <v>SR1023-ECOMM-E</v>
          </cell>
          <cell r="B130">
            <v>5</v>
          </cell>
          <cell r="C130">
            <v>144</v>
          </cell>
          <cell r="D130" t="str">
            <v>三代</v>
          </cell>
        </row>
        <row r="131">
          <cell r="A131" t="str">
            <v>SR1023-ECOMM-F</v>
          </cell>
          <cell r="B131">
            <v>5</v>
          </cell>
          <cell r="C131">
            <v>144</v>
          </cell>
          <cell r="D131" t="str">
            <v>三代</v>
          </cell>
        </row>
        <row r="132">
          <cell r="A132" t="str">
            <v>SR2013-ECOMM</v>
          </cell>
          <cell r="B132">
            <v>12</v>
          </cell>
          <cell r="C132">
            <v>24</v>
          </cell>
          <cell r="D132" t="str">
            <v>三代</v>
          </cell>
        </row>
        <row r="133">
          <cell r="A133" t="str">
            <v>SR3013-ECOMM</v>
          </cell>
          <cell r="B133">
            <v>32</v>
          </cell>
          <cell r="C133">
            <v>60</v>
          </cell>
          <cell r="D133" t="str">
            <v>三代</v>
          </cell>
        </row>
        <row r="134">
          <cell r="A134" t="str">
            <v>SR3203-ECOMM-B</v>
          </cell>
          <cell r="B134">
            <v>50</v>
          </cell>
          <cell r="C134">
            <v>6</v>
          </cell>
          <cell r="D134" t="str">
            <v>三代</v>
          </cell>
        </row>
        <row r="135">
          <cell r="A135" t="str">
            <v>SR3203-ECOMM-P</v>
          </cell>
          <cell r="B135">
            <v>50</v>
          </cell>
          <cell r="C135">
            <v>6</v>
          </cell>
          <cell r="D135" t="str">
            <v>三代</v>
          </cell>
        </row>
        <row r="136">
          <cell r="A136" t="str">
            <v>SR4003-ECOMM-A</v>
          </cell>
          <cell r="B136">
            <v>12</v>
          </cell>
          <cell r="C136">
            <v>96</v>
          </cell>
          <cell r="D136" t="str">
            <v>三代</v>
          </cell>
        </row>
        <row r="137">
          <cell r="A137" t="str">
            <v>SR4003-ECOMM-B</v>
          </cell>
          <cell r="B137">
            <v>12</v>
          </cell>
          <cell r="C137">
            <v>96</v>
          </cell>
          <cell r="D137" t="str">
            <v>三代</v>
          </cell>
        </row>
        <row r="138">
          <cell r="A138" t="str">
            <v>SR4003-ECOMM-C</v>
          </cell>
          <cell r="B138">
            <v>12</v>
          </cell>
          <cell r="C138">
            <v>96</v>
          </cell>
          <cell r="D138" t="str">
            <v>三代</v>
          </cell>
        </row>
        <row r="139">
          <cell r="A139" t="str">
            <v>SR4003-ECOMM-D</v>
          </cell>
          <cell r="B139">
            <v>12</v>
          </cell>
          <cell r="C139">
            <v>96</v>
          </cell>
          <cell r="D139" t="str">
            <v>三代</v>
          </cell>
        </row>
        <row r="140">
          <cell r="A140" t="str">
            <v>SR4003-ECOMM-E</v>
          </cell>
          <cell r="B140">
            <v>12</v>
          </cell>
          <cell r="C140">
            <v>96</v>
          </cell>
          <cell r="D140" t="str">
            <v>三代</v>
          </cell>
        </row>
        <row r="141">
          <cell r="A141" t="str">
            <v>SR4003-ECOMM-F</v>
          </cell>
          <cell r="B141">
            <v>12</v>
          </cell>
          <cell r="C141">
            <v>96</v>
          </cell>
          <cell r="D141" t="str">
            <v>三代</v>
          </cell>
        </row>
        <row r="142">
          <cell r="A142" t="str">
            <v>SR4602-ECOMM-A</v>
          </cell>
          <cell r="B142">
            <v>12</v>
          </cell>
          <cell r="C142">
            <v>96</v>
          </cell>
          <cell r="D142" t="str">
            <v>三代</v>
          </cell>
        </row>
        <row r="143">
          <cell r="A143" t="str">
            <v>SR4602-ECOMM-B</v>
          </cell>
          <cell r="B143">
            <v>12</v>
          </cell>
          <cell r="C143">
            <v>96</v>
          </cell>
          <cell r="D143" t="str">
            <v>三代</v>
          </cell>
        </row>
        <row r="144">
          <cell r="A144" t="str">
            <v>SR4602-ECOMM-C</v>
          </cell>
          <cell r="B144">
            <v>12</v>
          </cell>
          <cell r="C144">
            <v>96</v>
          </cell>
          <cell r="D144" t="str">
            <v>三代</v>
          </cell>
        </row>
        <row r="145">
          <cell r="A145" t="str">
            <v>SR8003-ECOMM-2PK-A</v>
          </cell>
          <cell r="B145">
            <v>5</v>
          </cell>
          <cell r="C145">
            <v>126</v>
          </cell>
          <cell r="D145" t="str">
            <v>三代</v>
          </cell>
        </row>
        <row r="146">
          <cell r="A146" t="str">
            <v>SR8003-ECOMM-2PK-B</v>
          </cell>
          <cell r="B146">
            <v>5</v>
          </cell>
          <cell r="C146">
            <v>126</v>
          </cell>
          <cell r="D146" t="str">
            <v>三代</v>
          </cell>
        </row>
        <row r="147">
          <cell r="A147" t="str">
            <v>SR8003-ECOMM-2PK-C</v>
          </cell>
          <cell r="B147">
            <v>5</v>
          </cell>
          <cell r="C147">
            <v>126</v>
          </cell>
          <cell r="D147" t="str">
            <v>三代</v>
          </cell>
        </row>
        <row r="148">
          <cell r="A148" t="str">
            <v>SR8003-ECOMM-2PK-D</v>
          </cell>
          <cell r="B148">
            <v>5</v>
          </cell>
          <cell r="C148">
            <v>126</v>
          </cell>
          <cell r="D148" t="str">
            <v>三代</v>
          </cell>
        </row>
        <row r="149">
          <cell r="A149" t="str">
            <v>SR8003-ECOMM-2PK-E</v>
          </cell>
          <cell r="B149">
            <v>5</v>
          </cell>
          <cell r="C149">
            <v>126</v>
          </cell>
          <cell r="D149" t="str">
            <v>三代</v>
          </cell>
        </row>
        <row r="150">
          <cell r="A150" t="str">
            <v>SRAE101-ECOMM-A</v>
          </cell>
          <cell r="B150">
            <v>5</v>
          </cell>
          <cell r="C150">
            <v>96</v>
          </cell>
          <cell r="D150" t="str">
            <v>三代</v>
          </cell>
        </row>
        <row r="151">
          <cell r="A151" t="str">
            <v>SRAP3203-ECOMM</v>
          </cell>
        </row>
        <row r="151">
          <cell r="C151">
            <v>6</v>
          </cell>
          <cell r="D151" t="str">
            <v>三代</v>
          </cell>
        </row>
        <row r="152">
          <cell r="A152" t="str">
            <v>SRAP4302-ECOMM-A</v>
          </cell>
          <cell r="B152">
            <v>12</v>
          </cell>
          <cell r="C152">
            <v>96</v>
          </cell>
          <cell r="D152" t="str">
            <v>三代</v>
          </cell>
        </row>
        <row r="153">
          <cell r="A153" t="str">
            <v>SRAP4302-ECOMM-B</v>
          </cell>
          <cell r="B153">
            <v>12</v>
          </cell>
          <cell r="C153">
            <v>96</v>
          </cell>
          <cell r="D153" t="str">
            <v>三代</v>
          </cell>
        </row>
        <row r="154">
          <cell r="A154" t="str">
            <v>SRAP4302-ECOMM-C</v>
          </cell>
          <cell r="B154">
            <v>12</v>
          </cell>
          <cell r="C154">
            <v>96</v>
          </cell>
          <cell r="D154" t="str">
            <v>三代</v>
          </cell>
        </row>
        <row r="155">
          <cell r="A155" t="str">
            <v>SRCRP400-ECOMM</v>
          </cell>
        </row>
        <row r="155">
          <cell r="C155">
            <v>96</v>
          </cell>
          <cell r="D155" t="str">
            <v>三代</v>
          </cell>
        </row>
        <row r="156">
          <cell r="A156" t="str">
            <v>SRMC103-ECOMM-2PK</v>
          </cell>
          <cell r="B156">
            <v>5</v>
          </cell>
          <cell r="C156">
            <v>108</v>
          </cell>
          <cell r="D156" t="str">
            <v>三代</v>
          </cell>
        </row>
        <row r="157">
          <cell r="A157" t="str">
            <v>SRMC201-ECOMM</v>
          </cell>
          <cell r="B157">
            <v>12</v>
          </cell>
          <cell r="C157">
            <v>24</v>
          </cell>
          <cell r="D157" t="str">
            <v>三代</v>
          </cell>
        </row>
        <row r="158">
          <cell r="A158" t="str">
            <v>SRMC400-ECOMM-A</v>
          </cell>
          <cell r="B158">
            <v>12</v>
          </cell>
          <cell r="C158">
            <v>96</v>
          </cell>
          <cell r="D158" t="str">
            <v>三代</v>
          </cell>
        </row>
        <row r="159">
          <cell r="A159" t="str">
            <v>SRMC400-ECOMM-B</v>
          </cell>
          <cell r="B159">
            <v>12</v>
          </cell>
          <cell r="C159">
            <v>96</v>
          </cell>
          <cell r="D159" t="str">
            <v>三代</v>
          </cell>
        </row>
        <row r="160">
          <cell r="A160" t="str">
            <v>SRMC400-ECOMM-C</v>
          </cell>
          <cell r="B160">
            <v>12</v>
          </cell>
          <cell r="C160">
            <v>96</v>
          </cell>
          <cell r="D160" t="str">
            <v>三代</v>
          </cell>
        </row>
        <row r="161">
          <cell r="A161" t="str">
            <v>SRSM102-ECOMM-A</v>
          </cell>
          <cell r="B161">
            <v>7</v>
          </cell>
          <cell r="C161">
            <v>144</v>
          </cell>
          <cell r="D161" t="str">
            <v>三代</v>
          </cell>
        </row>
        <row r="162">
          <cell r="A162" t="str">
            <v>SRSM102-ECOMM-B</v>
          </cell>
          <cell r="B162">
            <v>7</v>
          </cell>
          <cell r="C162">
            <v>144</v>
          </cell>
          <cell r="D162" t="str">
            <v>三代</v>
          </cell>
        </row>
        <row r="163">
          <cell r="A163" t="str">
            <v>SRSM102-ECOMM-C</v>
          </cell>
          <cell r="B163">
            <v>7</v>
          </cell>
          <cell r="C163">
            <v>144</v>
          </cell>
          <cell r="D163" t="str">
            <v>三代</v>
          </cell>
        </row>
        <row r="164">
          <cell r="A164" t="str">
            <v>SRSM301-ECOMM</v>
          </cell>
          <cell r="B164">
            <v>32</v>
          </cell>
          <cell r="C164">
            <v>60</v>
          </cell>
          <cell r="D164" t="str">
            <v>三代</v>
          </cell>
        </row>
        <row r="165">
          <cell r="A165" t="str">
            <v>SRTD400-ECOMM-A</v>
          </cell>
          <cell r="B165">
            <v>12</v>
          </cell>
          <cell r="C165">
            <v>96</v>
          </cell>
          <cell r="D165" t="str">
            <v>三代</v>
          </cell>
        </row>
        <row r="166">
          <cell r="A166" t="str">
            <v>SRTD400-ECOMM-B</v>
          </cell>
          <cell r="B166">
            <v>12</v>
          </cell>
          <cell r="C166">
            <v>96</v>
          </cell>
          <cell r="D166" t="str">
            <v>三代</v>
          </cell>
        </row>
        <row r="167">
          <cell r="A167" t="str">
            <v>SRTD400-ECOMM-C</v>
          </cell>
          <cell r="B167">
            <v>12</v>
          </cell>
          <cell r="C167">
            <v>96</v>
          </cell>
          <cell r="D167" t="str">
            <v>三代</v>
          </cell>
        </row>
        <row r="168">
          <cell r="A168" t="str">
            <v>SRAE101-ECOMM-B</v>
          </cell>
          <cell r="B168">
            <v>5</v>
          </cell>
          <cell r="C168">
            <v>96</v>
          </cell>
          <cell r="D168" t="str">
            <v>三代</v>
          </cell>
        </row>
        <row r="169">
          <cell r="A169" t="str">
            <v>SRAE101CDU-24</v>
          </cell>
        </row>
        <row r="169">
          <cell r="C169">
            <v>24</v>
          </cell>
          <cell r="D169" t="str">
            <v>三代</v>
          </cell>
        </row>
        <row r="170">
          <cell r="A170" t="str">
            <v>SRAP8003CDU-18</v>
          </cell>
          <cell r="B170">
            <v>5</v>
          </cell>
          <cell r="C170">
            <v>18</v>
          </cell>
          <cell r="D170" t="str">
            <v>三代</v>
          </cell>
        </row>
        <row r="171">
          <cell r="A171" t="str">
            <v>SR8003</v>
          </cell>
          <cell r="B171">
            <v>5</v>
          </cell>
          <cell r="C171">
            <v>100</v>
          </cell>
          <cell r="D171" t="str">
            <v>三代</v>
          </cell>
        </row>
        <row r="172">
          <cell r="A172" t="str">
            <v>SR1602</v>
          </cell>
          <cell r="B172">
            <v>5</v>
          </cell>
          <cell r="C172">
            <v>384</v>
          </cell>
          <cell r="D172" t="str">
            <v>三代</v>
          </cell>
        </row>
        <row r="173">
          <cell r="A173" t="str">
            <v>SR4003</v>
          </cell>
        </row>
        <row r="173">
          <cell r="C173">
            <v>6</v>
          </cell>
          <cell r="D173" t="str">
            <v>三代</v>
          </cell>
        </row>
        <row r="174">
          <cell r="A174" t="str">
            <v>SRBFF1812CDU-12</v>
          </cell>
        </row>
        <row r="174">
          <cell r="C174">
            <v>12</v>
          </cell>
          <cell r="D174" t="str">
            <v>三代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6"/>
  <sheetViews>
    <sheetView workbookViewId="0">
      <pane ySplit="1" topLeftCell="A174" activePane="bottomLeft" state="frozen"/>
      <selection/>
      <selection pane="bottomLeft" activeCell="F108" sqref="F21:F196"/>
    </sheetView>
  </sheetViews>
  <sheetFormatPr defaultColWidth="9" defaultRowHeight="20.1" customHeight="1" outlineLevelCol="6"/>
  <cols>
    <col min="1" max="1" width="21" style="789" customWidth="1"/>
    <col min="2" max="5" width="9" style="789"/>
    <col min="8" max="16384" width="9" style="789"/>
  </cols>
  <sheetData>
    <row r="1" customHeight="1" spans="1:7">
      <c r="A1" s="789" t="s">
        <v>0</v>
      </c>
      <c r="B1" s="789" t="s">
        <v>1</v>
      </c>
      <c r="C1" s="790" t="s">
        <v>2</v>
      </c>
      <c r="D1" s="790" t="s">
        <v>3</v>
      </c>
      <c r="E1" s="790" t="s">
        <v>4</v>
      </c>
      <c r="F1" s="791" t="s">
        <v>5</v>
      </c>
      <c r="G1" s="789"/>
    </row>
    <row r="2" customHeight="1" spans="1:7">
      <c r="A2" s="789" t="s">
        <v>6</v>
      </c>
      <c r="B2" s="789">
        <v>3</v>
      </c>
      <c r="C2" s="789">
        <v>360</v>
      </c>
      <c r="D2" s="790" t="s">
        <v>7</v>
      </c>
    </row>
    <row r="3" customHeight="1" spans="1:7">
      <c r="A3" s="789" t="s">
        <v>8</v>
      </c>
      <c r="B3" s="789">
        <v>7</v>
      </c>
      <c r="C3" s="789">
        <v>12</v>
      </c>
      <c r="D3" s="790" t="s">
        <v>7</v>
      </c>
      <c r="F3" s="789" t="s">
        <v>9</v>
      </c>
    </row>
    <row r="4" customHeight="1" spans="1:7">
      <c r="A4" s="789" t="s">
        <v>10</v>
      </c>
      <c r="B4" s="789">
        <v>7</v>
      </c>
      <c r="C4" s="789">
        <v>16</v>
      </c>
      <c r="D4" s="790" t="s">
        <v>7</v>
      </c>
      <c r="F4" s="789" t="s">
        <v>9</v>
      </c>
    </row>
    <row r="5" customHeight="1" spans="1:7">
      <c r="A5" s="789" t="s">
        <v>11</v>
      </c>
      <c r="B5" s="789">
        <v>7</v>
      </c>
      <c r="C5" s="789">
        <v>24</v>
      </c>
      <c r="D5" s="790" t="s">
        <v>7</v>
      </c>
      <c r="F5" s="789" t="s">
        <v>9</v>
      </c>
    </row>
    <row r="6" customHeight="1" spans="1:7">
      <c r="A6" s="789" t="s">
        <v>12</v>
      </c>
      <c r="B6" s="789">
        <v>5</v>
      </c>
      <c r="C6" s="789">
        <v>24</v>
      </c>
      <c r="D6" s="790" t="s">
        <v>7</v>
      </c>
      <c r="F6" s="789" t="s">
        <v>9</v>
      </c>
    </row>
    <row r="7" customHeight="1" spans="1:7">
      <c r="A7" s="789" t="s">
        <v>13</v>
      </c>
      <c r="B7" s="789">
        <v>5</v>
      </c>
      <c r="C7" s="789">
        <v>24</v>
      </c>
      <c r="D7" s="790" t="s">
        <v>7</v>
      </c>
      <c r="F7" s="789" t="s">
        <v>9</v>
      </c>
    </row>
    <row r="8" customHeight="1" spans="1:7">
      <c r="A8" s="789" t="s">
        <v>14</v>
      </c>
      <c r="B8" s="789">
        <v>12</v>
      </c>
      <c r="C8" s="789">
        <v>6</v>
      </c>
      <c r="D8" s="790" t="s">
        <v>7</v>
      </c>
      <c r="F8" s="789" t="s">
        <v>9</v>
      </c>
    </row>
    <row r="9" customHeight="1" spans="1:7">
      <c r="A9" s="792" t="s">
        <v>15</v>
      </c>
      <c r="B9" s="789">
        <v>12</v>
      </c>
      <c r="C9" s="789">
        <v>6</v>
      </c>
      <c r="D9" s="790" t="s">
        <v>7</v>
      </c>
      <c r="F9" s="789" t="s">
        <v>9</v>
      </c>
    </row>
    <row r="10" customHeight="1" spans="1:7">
      <c r="A10" s="789" t="s">
        <v>16</v>
      </c>
      <c r="B10" s="789">
        <v>32</v>
      </c>
      <c r="C10" s="789">
        <v>4</v>
      </c>
      <c r="D10" s="790" t="s">
        <v>7</v>
      </c>
      <c r="F10" s="789" t="s">
        <v>9</v>
      </c>
    </row>
    <row r="11" customHeight="1" spans="1:7">
      <c r="A11" s="789" t="s">
        <v>17</v>
      </c>
      <c r="B11" s="789">
        <v>12</v>
      </c>
      <c r="C11" s="789">
        <v>6</v>
      </c>
      <c r="D11" s="790" t="s">
        <v>7</v>
      </c>
      <c r="F11" s="789" t="s">
        <v>9</v>
      </c>
    </row>
    <row r="12" customHeight="1" spans="1:7">
      <c r="A12" s="789" t="s">
        <v>18</v>
      </c>
      <c r="B12" s="789">
        <v>16</v>
      </c>
      <c r="C12" s="789">
        <v>6</v>
      </c>
      <c r="D12" s="790" t="s">
        <v>7</v>
      </c>
      <c r="F12" s="789" t="s">
        <v>9</v>
      </c>
    </row>
    <row r="13" customHeight="1" spans="1:7">
      <c r="A13" s="789" t="s">
        <v>19</v>
      </c>
      <c r="B13" s="789">
        <v>7</v>
      </c>
      <c r="C13" s="789">
        <v>9</v>
      </c>
      <c r="D13" s="790" t="s">
        <v>7</v>
      </c>
      <c r="F13" s="789" t="s">
        <v>9</v>
      </c>
    </row>
    <row r="14" customHeight="1" spans="1:7">
      <c r="A14" s="789" t="s">
        <v>20</v>
      </c>
      <c r="B14" s="789">
        <v>7</v>
      </c>
      <c r="C14" s="789">
        <v>144</v>
      </c>
      <c r="D14" s="790" t="s">
        <v>7</v>
      </c>
      <c r="E14" s="790" t="s">
        <v>21</v>
      </c>
      <c r="F14" s="789" t="s">
        <v>9</v>
      </c>
    </row>
    <row r="15" customHeight="1" spans="1:7">
      <c r="A15" s="789" t="s">
        <v>22</v>
      </c>
      <c r="B15" s="789">
        <v>12</v>
      </c>
      <c r="C15" s="789">
        <v>24</v>
      </c>
      <c r="D15" s="790" t="s">
        <v>7</v>
      </c>
      <c r="E15" s="790" t="s">
        <v>21</v>
      </c>
      <c r="F15" s="789" t="s">
        <v>9</v>
      </c>
    </row>
    <row r="16" customHeight="1" spans="1:7">
      <c r="A16" s="789" t="s">
        <v>23</v>
      </c>
      <c r="B16" s="789">
        <v>3</v>
      </c>
      <c r="C16" s="789">
        <v>250</v>
      </c>
      <c r="D16" s="790" t="s">
        <v>7</v>
      </c>
      <c r="F16" s="789" t="s">
        <v>9</v>
      </c>
    </row>
    <row r="17" customHeight="1" spans="1:6">
      <c r="A17" s="789" t="s">
        <v>24</v>
      </c>
      <c r="B17" s="789">
        <v>10</v>
      </c>
      <c r="C17" s="789">
        <v>16</v>
      </c>
      <c r="D17" s="790" t="s">
        <v>7</v>
      </c>
      <c r="F17" s="789" t="s">
        <v>9</v>
      </c>
    </row>
    <row r="18" customHeight="1" spans="1:6">
      <c r="A18" s="789" t="s">
        <v>25</v>
      </c>
      <c r="B18" s="789">
        <v>7</v>
      </c>
      <c r="C18" s="789">
        <v>16</v>
      </c>
      <c r="D18" s="790" t="s">
        <v>7</v>
      </c>
      <c r="F18" s="789" t="s">
        <v>9</v>
      </c>
    </row>
    <row r="19" customHeight="1" spans="1:6">
      <c r="A19" s="789" t="s">
        <v>26</v>
      </c>
      <c r="B19" s="789">
        <v>15</v>
      </c>
      <c r="C19" s="789">
        <v>6</v>
      </c>
      <c r="D19" s="790" t="s">
        <v>7</v>
      </c>
      <c r="F19" s="789" t="s">
        <v>9</v>
      </c>
    </row>
    <row r="20" customHeight="1" spans="1:6">
      <c r="A20" s="789" t="s">
        <v>27</v>
      </c>
      <c r="B20" s="789">
        <v>35</v>
      </c>
      <c r="C20" s="789">
        <v>4</v>
      </c>
      <c r="D20" s="790" t="s">
        <v>7</v>
      </c>
      <c r="F20" s="789" t="s">
        <v>9</v>
      </c>
    </row>
    <row r="21" customHeight="1" spans="1:6">
      <c r="A21" s="789" t="s">
        <v>28</v>
      </c>
      <c r="B21" s="789">
        <v>3</v>
      </c>
      <c r="C21" s="789">
        <v>12</v>
      </c>
      <c r="D21" s="790" t="s">
        <v>7</v>
      </c>
      <c r="F21" s="789" t="s">
        <v>29</v>
      </c>
    </row>
    <row r="22" customHeight="1" spans="1:6">
      <c r="A22" s="789" t="s">
        <v>30</v>
      </c>
      <c r="B22" s="789">
        <v>5</v>
      </c>
      <c r="C22" s="789">
        <v>24</v>
      </c>
      <c r="D22" s="790" t="s">
        <v>7</v>
      </c>
      <c r="F22" s="789" t="s">
        <v>9</v>
      </c>
    </row>
    <row r="23" customHeight="1" spans="1:6">
      <c r="A23" s="789" t="s">
        <v>31</v>
      </c>
      <c r="B23" s="789">
        <v>5</v>
      </c>
      <c r="C23" s="789">
        <v>12</v>
      </c>
      <c r="D23" s="790" t="s">
        <v>7</v>
      </c>
      <c r="F23" s="789" t="s">
        <v>9</v>
      </c>
    </row>
    <row r="24" customHeight="1" spans="1:6">
      <c r="A24" s="789" t="s">
        <v>32</v>
      </c>
      <c r="B24" s="789">
        <v>24</v>
      </c>
      <c r="C24" s="789">
        <v>24</v>
      </c>
      <c r="D24" s="790" t="s">
        <v>7</v>
      </c>
      <c r="F24" s="789" t="s">
        <v>29</v>
      </c>
    </row>
    <row r="25" customHeight="1" spans="1:6">
      <c r="A25" s="789" t="s">
        <v>33</v>
      </c>
      <c r="B25" s="789">
        <v>5</v>
      </c>
      <c r="C25" s="789">
        <v>24</v>
      </c>
      <c r="D25" s="790" t="s">
        <v>7</v>
      </c>
      <c r="F25" s="789" t="s">
        <v>9</v>
      </c>
    </row>
    <row r="26" customHeight="1" spans="1:6">
      <c r="A26" s="789" t="s">
        <v>34</v>
      </c>
      <c r="B26" s="789">
        <v>12</v>
      </c>
      <c r="C26" s="789">
        <v>6</v>
      </c>
      <c r="D26" s="790" t="s">
        <v>7</v>
      </c>
      <c r="F26" s="791" t="s">
        <v>9</v>
      </c>
    </row>
    <row r="27" customHeight="1" spans="1:6">
      <c r="A27" s="789" t="s">
        <v>35</v>
      </c>
      <c r="B27" s="789">
        <v>7</v>
      </c>
      <c r="C27" s="789">
        <v>24</v>
      </c>
      <c r="D27" s="790" t="s">
        <v>7</v>
      </c>
      <c r="F27" s="789" t="s">
        <v>9</v>
      </c>
    </row>
    <row r="28" customHeight="1" spans="1:6">
      <c r="A28" s="789" t="s">
        <v>36</v>
      </c>
      <c r="B28" s="789">
        <v>7</v>
      </c>
      <c r="C28" s="789">
        <v>9</v>
      </c>
      <c r="D28" s="790" t="s">
        <v>7</v>
      </c>
      <c r="F28" s="789" t="s">
        <v>9</v>
      </c>
    </row>
    <row r="29" customHeight="1" spans="1:6">
      <c r="A29" s="789" t="s">
        <v>37</v>
      </c>
      <c r="B29" s="789">
        <v>12</v>
      </c>
      <c r="C29" s="789">
        <v>6</v>
      </c>
      <c r="D29" s="790" t="s">
        <v>7</v>
      </c>
      <c r="F29" s="789" t="s">
        <v>9</v>
      </c>
    </row>
    <row r="30" customHeight="1" spans="1:6">
      <c r="A30" s="789" t="s">
        <v>38</v>
      </c>
      <c r="B30" s="789">
        <v>32</v>
      </c>
      <c r="C30" s="789">
        <v>4</v>
      </c>
      <c r="D30" s="790" t="s">
        <v>7</v>
      </c>
      <c r="F30" s="789" t="s">
        <v>9</v>
      </c>
    </row>
    <row r="31" customHeight="1" spans="1:6">
      <c r="A31" s="789" t="s">
        <v>39</v>
      </c>
      <c r="B31" s="789">
        <v>12</v>
      </c>
      <c r="C31" s="789">
        <v>6</v>
      </c>
      <c r="D31" s="790" t="s">
        <v>7</v>
      </c>
      <c r="F31" s="789" t="s">
        <v>9</v>
      </c>
    </row>
    <row r="32" customHeight="1" spans="1:6">
      <c r="A32" s="789" t="s">
        <v>40</v>
      </c>
      <c r="B32" s="789">
        <v>7</v>
      </c>
      <c r="C32" s="789">
        <v>12</v>
      </c>
      <c r="D32" s="790" t="s">
        <v>7</v>
      </c>
      <c r="F32" s="789" t="s">
        <v>9</v>
      </c>
    </row>
    <row r="33" customHeight="1" spans="1:6">
      <c r="A33" s="789" t="s">
        <v>41</v>
      </c>
      <c r="B33" s="789">
        <v>12</v>
      </c>
      <c r="C33" s="789">
        <v>6</v>
      </c>
      <c r="D33" s="790" t="s">
        <v>7</v>
      </c>
      <c r="F33" s="789" t="s">
        <v>9</v>
      </c>
    </row>
    <row r="34" customHeight="1" spans="1:6">
      <c r="A34" s="789" t="s">
        <v>42</v>
      </c>
      <c r="B34" s="789">
        <v>50</v>
      </c>
      <c r="C34" s="789">
        <v>2</v>
      </c>
      <c r="D34" s="790" t="s">
        <v>7</v>
      </c>
      <c r="F34" s="789" t="s">
        <v>9</v>
      </c>
    </row>
    <row r="35" customHeight="1" spans="1:6">
      <c r="A35" s="789" t="s">
        <v>43</v>
      </c>
      <c r="B35" s="789">
        <v>5</v>
      </c>
      <c r="C35" s="789">
        <v>24</v>
      </c>
      <c r="D35" s="790" t="s">
        <v>7</v>
      </c>
      <c r="F35" s="789" t="s">
        <v>9</v>
      </c>
    </row>
    <row r="36" customHeight="1" spans="1:6">
      <c r="A36" s="789" t="s">
        <v>44</v>
      </c>
      <c r="B36" s="789">
        <v>5</v>
      </c>
      <c r="C36" s="789">
        <v>24</v>
      </c>
      <c r="D36" s="790" t="s">
        <v>7</v>
      </c>
      <c r="F36" s="789" t="s">
        <v>9</v>
      </c>
    </row>
    <row r="37" customHeight="1" spans="1:6">
      <c r="A37" s="789" t="s">
        <v>45</v>
      </c>
      <c r="B37" s="789">
        <v>5</v>
      </c>
      <c r="C37" s="789">
        <v>360</v>
      </c>
      <c r="D37" s="790" t="s">
        <v>7</v>
      </c>
      <c r="F37" s="789" t="s">
        <v>9</v>
      </c>
    </row>
    <row r="38" customHeight="1" spans="1:6">
      <c r="A38" s="789" t="s">
        <v>46</v>
      </c>
      <c r="B38" s="789">
        <v>5</v>
      </c>
      <c r="C38" s="789">
        <v>12</v>
      </c>
      <c r="D38" s="790" t="s">
        <v>7</v>
      </c>
      <c r="F38" s="789" t="s">
        <v>9</v>
      </c>
    </row>
    <row r="39" customHeight="1" spans="1:6">
      <c r="A39" s="789" t="s">
        <v>47</v>
      </c>
      <c r="B39" s="789">
        <v>15</v>
      </c>
      <c r="C39" s="789">
        <v>5</v>
      </c>
      <c r="D39" s="790" t="s">
        <v>7</v>
      </c>
      <c r="F39" s="789" t="s">
        <v>9</v>
      </c>
    </row>
    <row r="40" customHeight="1" spans="1:6">
      <c r="A40" s="789" t="s">
        <v>48</v>
      </c>
      <c r="B40" s="789">
        <v>5</v>
      </c>
      <c r="C40" s="789">
        <v>12</v>
      </c>
      <c r="D40" s="790" t="s">
        <v>7</v>
      </c>
      <c r="F40" s="789" t="s">
        <v>9</v>
      </c>
    </row>
    <row r="41" customHeight="1" spans="1:6">
      <c r="A41" s="789" t="s">
        <v>49</v>
      </c>
      <c r="B41" s="789">
        <v>50</v>
      </c>
      <c r="C41" s="789">
        <v>4</v>
      </c>
      <c r="D41" s="790" t="s">
        <v>7</v>
      </c>
      <c r="F41" s="791" t="s">
        <v>29</v>
      </c>
    </row>
    <row r="42" customHeight="1" spans="1:6">
      <c r="A42" s="789" t="s">
        <v>50</v>
      </c>
      <c r="B42" s="789">
        <v>0</v>
      </c>
      <c r="C42" s="789">
        <v>18</v>
      </c>
      <c r="D42" s="790" t="s">
        <v>51</v>
      </c>
      <c r="E42" s="790"/>
      <c r="F42" s="791" t="s">
        <v>29</v>
      </c>
    </row>
    <row r="43" customHeight="1" spans="1:6">
      <c r="A43" s="789" t="s">
        <v>52</v>
      </c>
      <c r="B43" s="789">
        <v>0</v>
      </c>
      <c r="C43" s="789">
        <v>4</v>
      </c>
      <c r="D43" s="790" t="s">
        <v>51</v>
      </c>
      <c r="E43" s="790"/>
      <c r="F43" s="791" t="s">
        <v>29</v>
      </c>
    </row>
    <row r="44" customHeight="1" spans="1:6">
      <c r="A44" s="789" t="s">
        <v>53</v>
      </c>
      <c r="C44" s="789">
        <v>24</v>
      </c>
      <c r="D44" s="790" t="s">
        <v>7</v>
      </c>
      <c r="F44" s="791" t="s">
        <v>29</v>
      </c>
    </row>
    <row r="45" customHeight="1" spans="1:6">
      <c r="A45" s="789" t="s">
        <v>54</v>
      </c>
      <c r="C45" s="789">
        <v>9</v>
      </c>
      <c r="D45" s="790" t="s">
        <v>7</v>
      </c>
      <c r="F45" s="791" t="s">
        <v>29</v>
      </c>
    </row>
    <row r="46" customHeight="1" spans="1:6">
      <c r="A46" s="789" t="s">
        <v>55</v>
      </c>
      <c r="B46" s="789">
        <v>7</v>
      </c>
      <c r="C46" s="789">
        <v>16</v>
      </c>
      <c r="D46" s="790" t="s">
        <v>56</v>
      </c>
      <c r="F46" s="789" t="s">
        <v>9</v>
      </c>
    </row>
    <row r="47" customHeight="1" spans="1:6">
      <c r="A47" s="789" t="s">
        <v>57</v>
      </c>
      <c r="B47" s="789">
        <v>10</v>
      </c>
      <c r="C47" s="789">
        <v>16</v>
      </c>
      <c r="D47" s="790" t="s">
        <v>7</v>
      </c>
      <c r="F47" s="789" t="s">
        <v>9</v>
      </c>
    </row>
    <row r="48" customHeight="1" spans="1:6">
      <c r="A48" s="789" t="s">
        <v>58</v>
      </c>
      <c r="B48" s="789">
        <v>7</v>
      </c>
      <c r="C48" s="789">
        <v>144</v>
      </c>
      <c r="D48" s="790" t="s">
        <v>7</v>
      </c>
      <c r="F48" s="789" t="s">
        <v>9</v>
      </c>
    </row>
    <row r="49" customHeight="1" spans="1:6">
      <c r="A49" s="789" t="s">
        <v>59</v>
      </c>
      <c r="B49" s="789">
        <v>5</v>
      </c>
      <c r="C49" s="789">
        <v>24</v>
      </c>
      <c r="D49" s="790" t="s">
        <v>56</v>
      </c>
      <c r="F49" s="789" t="s">
        <v>9</v>
      </c>
    </row>
    <row r="50" customHeight="1" spans="1:6">
      <c r="A50" s="789" t="s">
        <v>60</v>
      </c>
      <c r="B50" s="789">
        <v>5</v>
      </c>
      <c r="C50" s="789">
        <v>12</v>
      </c>
      <c r="D50" s="790" t="s">
        <v>56</v>
      </c>
      <c r="F50" s="789" t="s">
        <v>9</v>
      </c>
    </row>
    <row r="51" customHeight="1" spans="1:6">
      <c r="A51" s="789" t="s">
        <v>61</v>
      </c>
      <c r="B51" s="789">
        <v>5</v>
      </c>
      <c r="C51" s="789">
        <v>24</v>
      </c>
      <c r="D51" s="790" t="s">
        <v>56</v>
      </c>
      <c r="F51" s="789" t="s">
        <v>9</v>
      </c>
    </row>
    <row r="52" customHeight="1" spans="1:6">
      <c r="A52" s="789" t="s">
        <v>62</v>
      </c>
      <c r="B52" s="789">
        <v>5</v>
      </c>
      <c r="C52" s="789">
        <v>24</v>
      </c>
      <c r="D52" s="790" t="s">
        <v>7</v>
      </c>
      <c r="F52" s="789" t="s">
        <v>9</v>
      </c>
    </row>
    <row r="53" customHeight="1" spans="1:6">
      <c r="A53" s="789" t="s">
        <v>63</v>
      </c>
      <c r="B53" s="789">
        <v>5</v>
      </c>
      <c r="C53" s="789">
        <v>24</v>
      </c>
      <c r="D53" s="790" t="s">
        <v>56</v>
      </c>
      <c r="F53" s="789" t="s">
        <v>9</v>
      </c>
    </row>
    <row r="54" customHeight="1" spans="1:6">
      <c r="A54" s="789" t="s">
        <v>64</v>
      </c>
      <c r="B54" s="789">
        <v>5</v>
      </c>
      <c r="C54" s="789">
        <v>24</v>
      </c>
      <c r="D54" s="790" t="s">
        <v>7</v>
      </c>
      <c r="F54" s="789" t="s">
        <v>9</v>
      </c>
    </row>
    <row r="55" customHeight="1" spans="1:6">
      <c r="A55" s="789" t="s">
        <v>65</v>
      </c>
      <c r="B55" s="789">
        <v>5</v>
      </c>
      <c r="C55" s="789">
        <v>24</v>
      </c>
      <c r="D55" s="790" t="s">
        <v>7</v>
      </c>
      <c r="F55" s="789" t="s">
        <v>9</v>
      </c>
    </row>
    <row r="56" customHeight="1" spans="1:6">
      <c r="A56" s="789" t="s">
        <v>66</v>
      </c>
      <c r="B56" s="789">
        <v>12</v>
      </c>
      <c r="C56" s="789">
        <v>6</v>
      </c>
      <c r="D56" s="790" t="s">
        <v>56</v>
      </c>
      <c r="F56" s="789" t="s">
        <v>9</v>
      </c>
    </row>
    <row r="57" customHeight="1" spans="1:6">
      <c r="A57" s="789" t="s">
        <v>67</v>
      </c>
      <c r="B57" s="789">
        <v>12</v>
      </c>
      <c r="C57" s="789">
        <v>6</v>
      </c>
      <c r="D57" s="790" t="s">
        <v>56</v>
      </c>
      <c r="F57" s="789" t="s">
        <v>9</v>
      </c>
    </row>
    <row r="58" customHeight="1" spans="1:6">
      <c r="A58" s="789" t="s">
        <v>68</v>
      </c>
      <c r="B58" s="789">
        <v>32</v>
      </c>
      <c r="C58" s="789">
        <v>4</v>
      </c>
      <c r="D58" s="790" t="s">
        <v>56</v>
      </c>
      <c r="F58" s="789" t="s">
        <v>9</v>
      </c>
    </row>
    <row r="59" customHeight="1" spans="1:6">
      <c r="A59" s="789" t="s">
        <v>69</v>
      </c>
      <c r="B59" s="789">
        <v>50</v>
      </c>
      <c r="C59" s="789">
        <v>2</v>
      </c>
      <c r="D59" s="790" t="s">
        <v>7</v>
      </c>
      <c r="F59" s="791" t="s">
        <v>9</v>
      </c>
    </row>
    <row r="60" customHeight="1" spans="1:6">
      <c r="A60" s="789" t="s">
        <v>70</v>
      </c>
      <c r="B60" s="789">
        <v>50</v>
      </c>
      <c r="C60" s="789">
        <v>2</v>
      </c>
      <c r="D60" s="790" t="s">
        <v>56</v>
      </c>
      <c r="F60" s="791" t="s">
        <v>9</v>
      </c>
    </row>
    <row r="61" customHeight="1" spans="1:6">
      <c r="A61" s="789" t="s">
        <v>71</v>
      </c>
      <c r="B61" s="789">
        <v>50</v>
      </c>
      <c r="C61" s="789">
        <v>4</v>
      </c>
      <c r="D61" s="790" t="s">
        <v>56</v>
      </c>
      <c r="F61" s="791" t="s">
        <v>29</v>
      </c>
    </row>
    <row r="62" customHeight="1" spans="1:6">
      <c r="A62" s="789" t="s">
        <v>72</v>
      </c>
      <c r="B62" s="789">
        <v>12</v>
      </c>
      <c r="C62" s="789">
        <v>12</v>
      </c>
      <c r="D62" s="790" t="s">
        <v>56</v>
      </c>
      <c r="F62" s="791" t="s">
        <v>9</v>
      </c>
    </row>
    <row r="63" customHeight="1" spans="1:6">
      <c r="A63" s="789" t="s">
        <v>73</v>
      </c>
      <c r="B63" s="789">
        <v>12</v>
      </c>
      <c r="C63" s="789">
        <v>12</v>
      </c>
      <c r="D63" s="790" t="s">
        <v>7</v>
      </c>
      <c r="F63" s="791" t="s">
        <v>9</v>
      </c>
    </row>
    <row r="64" customHeight="1" spans="1:6">
      <c r="A64" s="789" t="s">
        <v>74</v>
      </c>
      <c r="B64" s="789">
        <v>12</v>
      </c>
      <c r="C64" s="789">
        <v>12</v>
      </c>
      <c r="D64" s="790" t="s">
        <v>7</v>
      </c>
      <c r="F64" s="791" t="s">
        <v>9</v>
      </c>
    </row>
    <row r="65" customHeight="1" spans="1:6">
      <c r="A65" s="789" t="s">
        <v>75</v>
      </c>
      <c r="B65" s="789">
        <v>12</v>
      </c>
      <c r="C65" s="789">
        <v>6</v>
      </c>
      <c r="D65" s="790" t="s">
        <v>7</v>
      </c>
      <c r="F65" s="791" t="s">
        <v>9</v>
      </c>
    </row>
    <row r="66" customHeight="1" spans="1:6">
      <c r="A66" s="789" t="s">
        <v>76</v>
      </c>
      <c r="B66" s="789">
        <v>12</v>
      </c>
      <c r="C66" s="789">
        <v>96</v>
      </c>
      <c r="D66" s="790" t="s">
        <v>7</v>
      </c>
      <c r="F66" s="791" t="s">
        <v>9</v>
      </c>
    </row>
    <row r="67" customHeight="1" spans="1:6">
      <c r="A67" s="789" t="s">
        <v>77</v>
      </c>
      <c r="B67" s="789">
        <v>12</v>
      </c>
      <c r="C67" s="789">
        <v>96</v>
      </c>
      <c r="D67" s="790" t="s">
        <v>7</v>
      </c>
      <c r="F67" s="791" t="s">
        <v>9</v>
      </c>
    </row>
    <row r="68" customHeight="1" spans="1:6">
      <c r="A68" s="789" t="s">
        <v>78</v>
      </c>
      <c r="B68" s="789">
        <v>12</v>
      </c>
      <c r="C68" s="789">
        <v>96</v>
      </c>
      <c r="D68" s="790" t="s">
        <v>7</v>
      </c>
      <c r="F68" s="791" t="s">
        <v>9</v>
      </c>
    </row>
    <row r="69" customHeight="1" spans="1:6">
      <c r="A69" s="789" t="s">
        <v>79</v>
      </c>
      <c r="B69" s="789">
        <v>12</v>
      </c>
      <c r="C69" s="789">
        <v>12</v>
      </c>
      <c r="D69" s="790" t="s">
        <v>7</v>
      </c>
      <c r="F69" s="791" t="s">
        <v>9</v>
      </c>
    </row>
    <row r="70" customHeight="1" spans="1:6">
      <c r="A70" s="789" t="s">
        <v>80</v>
      </c>
      <c r="B70" s="789">
        <v>12</v>
      </c>
      <c r="C70" s="789">
        <v>6</v>
      </c>
      <c r="D70" s="790" t="s">
        <v>7</v>
      </c>
      <c r="F70" s="791" t="s">
        <v>9</v>
      </c>
    </row>
    <row r="71" customHeight="1" spans="1:6">
      <c r="A71" s="789" t="s">
        <v>81</v>
      </c>
      <c r="B71" s="789">
        <v>12</v>
      </c>
      <c r="C71" s="789">
        <v>96</v>
      </c>
      <c r="D71" s="790" t="s">
        <v>7</v>
      </c>
      <c r="F71" s="791" t="s">
        <v>9</v>
      </c>
    </row>
    <row r="72" customHeight="1" spans="1:6">
      <c r="A72" s="789" t="s">
        <v>82</v>
      </c>
      <c r="B72" s="789">
        <v>16</v>
      </c>
      <c r="C72" s="789">
        <v>6</v>
      </c>
      <c r="D72" s="790" t="s">
        <v>7</v>
      </c>
      <c r="F72" s="791" t="s">
        <v>9</v>
      </c>
    </row>
    <row r="73" customHeight="1" spans="1:6">
      <c r="A73" s="789" t="s">
        <v>83</v>
      </c>
      <c r="B73" s="789">
        <v>5</v>
      </c>
      <c r="C73" s="789">
        <v>12</v>
      </c>
      <c r="D73" s="790" t="s">
        <v>56</v>
      </c>
      <c r="F73" s="791" t="s">
        <v>9</v>
      </c>
    </row>
    <row r="74" customHeight="1" spans="1:6">
      <c r="A74" s="789" t="s">
        <v>84</v>
      </c>
      <c r="B74" s="789">
        <v>5</v>
      </c>
      <c r="C74" s="789">
        <v>18</v>
      </c>
      <c r="D74" s="790" t="s">
        <v>56</v>
      </c>
      <c r="F74" s="791" t="s">
        <v>9</v>
      </c>
    </row>
    <row r="75" customHeight="1" spans="1:6">
      <c r="A75" s="789" t="s">
        <v>85</v>
      </c>
      <c r="B75" s="789">
        <v>5</v>
      </c>
      <c r="C75" s="789">
        <v>24</v>
      </c>
      <c r="D75" s="790" t="s">
        <v>56</v>
      </c>
      <c r="F75" s="791" t="s">
        <v>9</v>
      </c>
    </row>
    <row r="76" customHeight="1" spans="1:6">
      <c r="A76" s="789" t="s">
        <v>86</v>
      </c>
      <c r="B76" s="789">
        <v>5</v>
      </c>
      <c r="C76" s="789">
        <v>24</v>
      </c>
      <c r="D76" s="790" t="s">
        <v>56</v>
      </c>
      <c r="F76" s="791" t="s">
        <v>9</v>
      </c>
    </row>
    <row r="77" customHeight="1" spans="1:6">
      <c r="A77" s="789" t="s">
        <v>87</v>
      </c>
      <c r="B77" s="789">
        <v>12</v>
      </c>
      <c r="C77" s="789">
        <v>12</v>
      </c>
      <c r="D77" s="790" t="s">
        <v>56</v>
      </c>
      <c r="F77" s="791" t="s">
        <v>9</v>
      </c>
    </row>
    <row r="78" customHeight="1" spans="1:6">
      <c r="A78" s="789" t="s">
        <v>88</v>
      </c>
      <c r="B78" s="789">
        <v>5</v>
      </c>
      <c r="C78" s="789">
        <v>24</v>
      </c>
      <c r="D78" s="790" t="s">
        <v>56</v>
      </c>
      <c r="F78" s="791" t="s">
        <v>9</v>
      </c>
    </row>
    <row r="79" customHeight="1" spans="1:6">
      <c r="A79" s="789" t="s">
        <v>89</v>
      </c>
      <c r="B79" s="789">
        <v>12</v>
      </c>
      <c r="C79" s="789">
        <v>6</v>
      </c>
      <c r="D79" s="790" t="s">
        <v>56</v>
      </c>
      <c r="F79" s="791" t="s">
        <v>29</v>
      </c>
    </row>
    <row r="80" customHeight="1" spans="1:6">
      <c r="A80" s="789" t="s">
        <v>90</v>
      </c>
      <c r="B80" s="789">
        <v>12</v>
      </c>
      <c r="C80" s="789">
        <v>6</v>
      </c>
      <c r="D80" s="790" t="s">
        <v>56</v>
      </c>
      <c r="F80" s="791" t="s">
        <v>29</v>
      </c>
    </row>
    <row r="81" customHeight="1" spans="1:7">
      <c r="A81" s="789" t="s">
        <v>91</v>
      </c>
      <c r="B81" s="789">
        <v>7</v>
      </c>
      <c r="C81" s="789">
        <v>16</v>
      </c>
      <c r="D81" s="790" t="s">
        <v>56</v>
      </c>
      <c r="F81" s="791" t="s">
        <v>9</v>
      </c>
    </row>
    <row r="82" customHeight="1" spans="1:7">
      <c r="A82" s="789" t="s">
        <v>92</v>
      </c>
      <c r="B82" s="789">
        <v>7</v>
      </c>
      <c r="C82" s="789">
        <v>16</v>
      </c>
      <c r="D82" s="790" t="s">
        <v>56</v>
      </c>
      <c r="F82" s="791" t="s">
        <v>9</v>
      </c>
    </row>
    <row r="83" customHeight="1" spans="1:7">
      <c r="A83" s="789" t="s">
        <v>93</v>
      </c>
      <c r="B83" s="789">
        <v>5</v>
      </c>
      <c r="C83" s="789">
        <v>12</v>
      </c>
      <c r="D83" s="790" t="s">
        <v>56</v>
      </c>
      <c r="F83" s="791" t="s">
        <v>9</v>
      </c>
    </row>
    <row r="84" customHeight="1" spans="1:7">
      <c r="A84" s="789" t="s">
        <v>94</v>
      </c>
      <c r="B84" s="789">
        <v>5</v>
      </c>
      <c r="C84" s="789">
        <v>24</v>
      </c>
      <c r="D84" s="790" t="s">
        <v>56</v>
      </c>
      <c r="F84" s="791" t="s">
        <v>9</v>
      </c>
    </row>
    <row r="85" customHeight="1" spans="1:7">
      <c r="A85" s="789" t="s">
        <v>95</v>
      </c>
      <c r="B85" s="789">
        <v>32</v>
      </c>
      <c r="C85" s="789">
        <v>4</v>
      </c>
      <c r="D85" s="790" t="s">
        <v>56</v>
      </c>
      <c r="F85" s="791" t="s">
        <v>9</v>
      </c>
    </row>
    <row r="86" customHeight="1" spans="1:7">
      <c r="A86" s="789" t="s">
        <v>96</v>
      </c>
      <c r="B86" s="789">
        <v>5</v>
      </c>
      <c r="C86" s="789">
        <v>12</v>
      </c>
      <c r="D86" s="790" t="s">
        <v>56</v>
      </c>
      <c r="F86" s="791" t="s">
        <v>9</v>
      </c>
    </row>
    <row r="87" customHeight="1" spans="1:7">
      <c r="A87" s="789" t="s">
        <v>97</v>
      </c>
      <c r="B87" s="789">
        <v>5</v>
      </c>
      <c r="C87" s="789">
        <v>24</v>
      </c>
      <c r="D87" s="790" t="s">
        <v>56</v>
      </c>
      <c r="F87" s="791" t="s">
        <v>9</v>
      </c>
    </row>
    <row r="88" customHeight="1" spans="1:7">
      <c r="A88" s="789" t="s">
        <v>98</v>
      </c>
      <c r="B88" s="789">
        <v>12</v>
      </c>
      <c r="C88" s="789">
        <v>12</v>
      </c>
      <c r="D88" s="790" t="s">
        <v>56</v>
      </c>
      <c r="F88" s="791" t="s">
        <v>9</v>
      </c>
    </row>
    <row r="89" customHeight="1" spans="1:7">
      <c r="A89" s="789" t="s">
        <v>99</v>
      </c>
      <c r="B89" s="789">
        <v>7</v>
      </c>
      <c r="C89" s="789">
        <v>24</v>
      </c>
      <c r="D89" s="790" t="s">
        <v>56</v>
      </c>
      <c r="F89" s="791" t="s">
        <v>9</v>
      </c>
    </row>
    <row r="90" customHeight="1" spans="1:7">
      <c r="A90" s="789" t="s">
        <v>100</v>
      </c>
      <c r="C90" s="789">
        <v>12</v>
      </c>
      <c r="D90" s="790" t="s">
        <v>56</v>
      </c>
      <c r="F90" s="791" t="s">
        <v>29</v>
      </c>
    </row>
    <row r="91" customHeight="1" spans="1:7">
      <c r="A91" s="789" t="s">
        <v>101</v>
      </c>
      <c r="B91" s="789">
        <v>50</v>
      </c>
      <c r="C91" s="789">
        <v>2</v>
      </c>
      <c r="D91" s="790" t="s">
        <v>56</v>
      </c>
      <c r="F91" s="791" t="s">
        <v>9</v>
      </c>
    </row>
    <row r="92" customHeight="1" spans="1:7">
      <c r="A92" s="789" t="s">
        <v>102</v>
      </c>
      <c r="B92" s="789">
        <v>5</v>
      </c>
      <c r="C92" s="789">
        <v>12</v>
      </c>
      <c r="D92" s="790" t="s">
        <v>56</v>
      </c>
      <c r="F92" s="791" t="s">
        <v>9</v>
      </c>
    </row>
    <row r="93" customHeight="1" spans="1:7">
      <c r="A93" s="789" t="s">
        <v>103</v>
      </c>
      <c r="B93" s="789">
        <v>7</v>
      </c>
      <c r="C93" s="789">
        <v>9</v>
      </c>
      <c r="D93" s="790" t="s">
        <v>56</v>
      </c>
      <c r="F93" s="791" t="s">
        <v>9</v>
      </c>
    </row>
    <row r="94" customHeight="1" spans="1:7">
      <c r="A94" s="789" t="s">
        <v>104</v>
      </c>
      <c r="B94" s="789">
        <v>12</v>
      </c>
      <c r="C94" s="789">
        <v>6</v>
      </c>
      <c r="D94" s="790" t="s">
        <v>56</v>
      </c>
      <c r="F94" s="791" t="s">
        <v>9</v>
      </c>
    </row>
    <row r="95" s="789" customFormat="1" customHeight="1" spans="1:7">
      <c r="A95" s="789" t="s">
        <v>105</v>
      </c>
      <c r="B95" s="789">
        <v>5</v>
      </c>
      <c r="C95" s="789">
        <v>12</v>
      </c>
      <c r="D95" s="790" t="s">
        <v>56</v>
      </c>
      <c r="F95" s="791" t="s">
        <v>9</v>
      </c>
      <c r="G95"/>
    </row>
    <row r="96" customHeight="1" spans="1:7">
      <c r="A96" s="789" t="s">
        <v>106</v>
      </c>
      <c r="C96" s="789">
        <v>9</v>
      </c>
      <c r="D96" s="790" t="s">
        <v>51</v>
      </c>
      <c r="E96" s="790"/>
      <c r="F96" s="791" t="s">
        <v>29</v>
      </c>
    </row>
    <row r="97" customHeight="1" spans="1:6">
      <c r="A97" s="789" t="s">
        <v>107</v>
      </c>
      <c r="B97" s="789">
        <v>12</v>
      </c>
      <c r="C97" s="789">
        <v>5</v>
      </c>
      <c r="D97" s="790" t="s">
        <v>56</v>
      </c>
      <c r="F97" s="791" t="s">
        <v>9</v>
      </c>
    </row>
    <row r="98" customHeight="1" spans="1:6">
      <c r="A98" s="789" t="s">
        <v>108</v>
      </c>
      <c r="B98" s="789">
        <v>50</v>
      </c>
      <c r="C98" s="789">
        <v>4</v>
      </c>
      <c r="D98" s="790" t="s">
        <v>56</v>
      </c>
      <c r="F98" s="791" t="s">
        <v>29</v>
      </c>
    </row>
    <row r="99" customHeight="1" spans="1:6">
      <c r="A99" s="789" t="s">
        <v>109</v>
      </c>
      <c r="C99" s="789">
        <v>24</v>
      </c>
      <c r="D99" s="790" t="s">
        <v>56</v>
      </c>
      <c r="F99" s="791" t="s">
        <v>29</v>
      </c>
    </row>
    <row r="100" customHeight="1" spans="1:6">
      <c r="A100" s="789" t="s">
        <v>110</v>
      </c>
      <c r="C100" s="789">
        <v>24</v>
      </c>
      <c r="D100" s="790" t="s">
        <v>56</v>
      </c>
      <c r="F100" s="791" t="s">
        <v>29</v>
      </c>
    </row>
    <row r="101" customHeight="1" spans="1:6">
      <c r="A101" s="789" t="s">
        <v>111</v>
      </c>
      <c r="B101" s="789">
        <v>50</v>
      </c>
      <c r="C101" s="789">
        <v>2</v>
      </c>
      <c r="D101" s="790" t="s">
        <v>56</v>
      </c>
      <c r="F101" s="789" t="s">
        <v>9</v>
      </c>
    </row>
    <row r="102" customHeight="1" spans="1:6">
      <c r="A102" s="789" t="s">
        <v>112</v>
      </c>
      <c r="B102" s="789">
        <v>50</v>
      </c>
      <c r="C102" s="789">
        <v>2</v>
      </c>
      <c r="D102" s="790" t="s">
        <v>56</v>
      </c>
      <c r="F102" s="789" t="s">
        <v>9</v>
      </c>
    </row>
    <row r="103" customHeight="1" spans="1:6">
      <c r="A103" s="789" t="s">
        <v>113</v>
      </c>
      <c r="B103" s="789">
        <v>12</v>
      </c>
      <c r="C103" s="789">
        <v>6</v>
      </c>
      <c r="D103" s="790" t="s">
        <v>56</v>
      </c>
      <c r="F103" s="789" t="s">
        <v>9</v>
      </c>
    </row>
    <row r="104" customHeight="1" spans="1:6">
      <c r="A104" s="789" t="s">
        <v>114</v>
      </c>
      <c r="C104" s="789">
        <v>9</v>
      </c>
      <c r="D104" s="790" t="s">
        <v>56</v>
      </c>
      <c r="F104" s="791" t="s">
        <v>29</v>
      </c>
    </row>
    <row r="105" customHeight="1" spans="1:6">
      <c r="A105" s="789" t="s">
        <v>115</v>
      </c>
      <c r="B105" s="789">
        <v>7</v>
      </c>
      <c r="C105" s="789">
        <v>9</v>
      </c>
      <c r="D105" s="790" t="s">
        <v>56</v>
      </c>
      <c r="F105" s="789" t="s">
        <v>9</v>
      </c>
    </row>
    <row r="106" customHeight="1" spans="1:6">
      <c r="A106" s="789" t="s">
        <v>116</v>
      </c>
      <c r="B106" s="789">
        <v>12</v>
      </c>
      <c r="C106" s="789">
        <v>12</v>
      </c>
      <c r="D106" s="790" t="s">
        <v>56</v>
      </c>
      <c r="F106" s="789" t="s">
        <v>9</v>
      </c>
    </row>
    <row r="107" customHeight="1" spans="1:6">
      <c r="A107" s="789" t="s">
        <v>117</v>
      </c>
      <c r="B107" s="789">
        <v>50</v>
      </c>
      <c r="C107" s="789">
        <v>2</v>
      </c>
      <c r="D107" s="790" t="s">
        <v>56</v>
      </c>
      <c r="F107" s="789" t="s">
        <v>9</v>
      </c>
    </row>
    <row r="108" customHeight="1" spans="1:6">
      <c r="A108" s="789" t="s">
        <v>118</v>
      </c>
      <c r="C108" s="789">
        <v>4</v>
      </c>
      <c r="D108" s="790" t="s">
        <v>56</v>
      </c>
      <c r="F108" s="789" t="s">
        <v>9</v>
      </c>
    </row>
    <row r="109" customHeight="1" spans="1:6">
      <c r="A109" s="789" t="s">
        <v>119</v>
      </c>
      <c r="B109" s="789">
        <v>5</v>
      </c>
      <c r="C109" s="789">
        <v>24</v>
      </c>
      <c r="D109" s="790" t="s">
        <v>56</v>
      </c>
      <c r="F109" s="789" t="s">
        <v>9</v>
      </c>
    </row>
    <row r="110" customHeight="1" spans="1:6">
      <c r="A110" s="789" t="s">
        <v>120</v>
      </c>
      <c r="B110" s="789">
        <v>5</v>
      </c>
      <c r="C110" s="789">
        <v>72</v>
      </c>
      <c r="D110" s="790" t="s">
        <v>56</v>
      </c>
      <c r="F110" s="789" t="s">
        <v>9</v>
      </c>
    </row>
    <row r="111" customHeight="1" spans="1:6">
      <c r="A111" s="789" t="s">
        <v>121</v>
      </c>
      <c r="B111" s="789">
        <v>7</v>
      </c>
      <c r="C111" s="789">
        <v>12</v>
      </c>
      <c r="D111" s="790" t="s">
        <v>56</v>
      </c>
      <c r="F111" s="789" t="s">
        <v>9</v>
      </c>
    </row>
    <row r="112" customHeight="1" spans="1:6">
      <c r="A112" s="789" t="s">
        <v>122</v>
      </c>
      <c r="B112" s="789">
        <v>12</v>
      </c>
      <c r="C112" s="789">
        <v>12</v>
      </c>
      <c r="D112" s="790" t="s">
        <v>56</v>
      </c>
      <c r="F112" s="791" t="s">
        <v>29</v>
      </c>
    </row>
    <row r="113" customHeight="1" spans="1:6">
      <c r="A113" s="789" t="s">
        <v>123</v>
      </c>
      <c r="C113" s="789">
        <v>24</v>
      </c>
      <c r="D113" s="790" t="s">
        <v>51</v>
      </c>
      <c r="E113" s="790"/>
      <c r="F113" s="791" t="s">
        <v>29</v>
      </c>
    </row>
    <row r="114" customHeight="1" spans="1:6">
      <c r="A114" s="789" t="s">
        <v>124</v>
      </c>
      <c r="C114" s="789">
        <v>12</v>
      </c>
      <c r="D114" s="790" t="s">
        <v>56</v>
      </c>
      <c r="F114" s="791" t="s">
        <v>9</v>
      </c>
    </row>
    <row r="115" customHeight="1" spans="1:6">
      <c r="A115" s="789" t="s">
        <v>125</v>
      </c>
      <c r="B115" s="789">
        <v>12</v>
      </c>
      <c r="C115" s="789">
        <v>12</v>
      </c>
      <c r="D115" s="790" t="s">
        <v>56</v>
      </c>
      <c r="F115" s="791" t="s">
        <v>9</v>
      </c>
    </row>
    <row r="116" customHeight="1" spans="1:6">
      <c r="A116" s="789" t="s">
        <v>126</v>
      </c>
      <c r="B116" s="789">
        <v>50</v>
      </c>
      <c r="C116" s="789">
        <v>40</v>
      </c>
      <c r="D116" s="790" t="s">
        <v>56</v>
      </c>
      <c r="F116" s="791" t="s">
        <v>29</v>
      </c>
    </row>
    <row r="117" customHeight="1" spans="1:6">
      <c r="A117" s="789" t="s">
        <v>127</v>
      </c>
      <c r="B117" s="789">
        <v>50</v>
      </c>
      <c r="C117" s="789">
        <v>12</v>
      </c>
      <c r="D117" s="790" t="s">
        <v>56</v>
      </c>
      <c r="F117" s="791" t="s">
        <v>29</v>
      </c>
    </row>
    <row r="118" customHeight="1" spans="1:6">
      <c r="A118" s="789" t="s">
        <v>128</v>
      </c>
      <c r="C118" s="789">
        <v>12</v>
      </c>
      <c r="D118" s="790" t="s">
        <v>56</v>
      </c>
      <c r="F118" s="791" t="s">
        <v>29</v>
      </c>
    </row>
    <row r="119" customHeight="1" spans="1:6">
      <c r="A119" s="789" t="s">
        <v>129</v>
      </c>
      <c r="C119" s="789">
        <v>36</v>
      </c>
      <c r="D119" s="790" t="s">
        <v>51</v>
      </c>
      <c r="E119" s="790"/>
      <c r="F119" s="791" t="s">
        <v>29</v>
      </c>
    </row>
    <row r="120" customHeight="1" spans="1:6">
      <c r="A120" s="789" t="s">
        <v>130</v>
      </c>
      <c r="C120" s="789">
        <v>36</v>
      </c>
      <c r="D120" s="790" t="s">
        <v>51</v>
      </c>
      <c r="E120" s="790"/>
      <c r="F120" s="791" t="s">
        <v>29</v>
      </c>
    </row>
    <row r="121" customHeight="1" spans="1:6">
      <c r="A121" s="789" t="s">
        <v>131</v>
      </c>
      <c r="C121" s="789">
        <v>36</v>
      </c>
      <c r="D121" s="790" t="s">
        <v>51</v>
      </c>
      <c r="E121" s="790"/>
      <c r="F121" s="791" t="s">
        <v>29</v>
      </c>
    </row>
    <row r="122" customHeight="1" spans="1:6">
      <c r="A122" s="789" t="s">
        <v>132</v>
      </c>
      <c r="C122" s="789">
        <v>12</v>
      </c>
      <c r="D122" s="790" t="s">
        <v>56</v>
      </c>
      <c r="F122" s="791" t="s">
        <v>29</v>
      </c>
    </row>
    <row r="123" customHeight="1" spans="1:6">
      <c r="A123" s="789" t="s">
        <v>133</v>
      </c>
      <c r="C123" s="789">
        <v>12</v>
      </c>
      <c r="D123" s="790" t="s">
        <v>56</v>
      </c>
      <c r="F123" s="791" t="s">
        <v>29</v>
      </c>
    </row>
    <row r="124" customHeight="1" spans="1:6">
      <c r="A124" s="789" t="s">
        <v>134</v>
      </c>
      <c r="C124" s="789">
        <v>12</v>
      </c>
      <c r="D124" s="790" t="s">
        <v>56</v>
      </c>
      <c r="F124" s="791" t="s">
        <v>29</v>
      </c>
    </row>
    <row r="125" customHeight="1" spans="1:6">
      <c r="A125" s="789" t="s">
        <v>135</v>
      </c>
      <c r="C125" s="789">
        <v>12</v>
      </c>
      <c r="D125" s="790" t="s">
        <v>56</v>
      </c>
      <c r="F125" s="791" t="s">
        <v>29</v>
      </c>
    </row>
    <row r="126" customHeight="1" spans="1:6">
      <c r="A126" s="789" t="s">
        <v>136</v>
      </c>
      <c r="B126" s="789">
        <v>5</v>
      </c>
      <c r="C126" s="789">
        <v>144</v>
      </c>
      <c r="D126" s="790" t="s">
        <v>56</v>
      </c>
      <c r="F126" s="791" t="s">
        <v>9</v>
      </c>
    </row>
    <row r="127" customHeight="1" spans="1:6">
      <c r="A127" s="789" t="s">
        <v>137</v>
      </c>
      <c r="B127" s="789">
        <v>5</v>
      </c>
      <c r="C127" s="789">
        <v>144</v>
      </c>
      <c r="D127" s="790" t="s">
        <v>56</v>
      </c>
      <c r="F127" s="791" t="s">
        <v>9</v>
      </c>
    </row>
    <row r="128" customHeight="1" spans="1:6">
      <c r="A128" s="789" t="s">
        <v>138</v>
      </c>
      <c r="B128" s="789">
        <v>5</v>
      </c>
      <c r="C128" s="789">
        <v>144</v>
      </c>
      <c r="D128" s="790" t="s">
        <v>56</v>
      </c>
      <c r="F128" s="791" t="s">
        <v>9</v>
      </c>
    </row>
    <row r="129" customHeight="1" spans="1:6">
      <c r="A129" s="789" t="s">
        <v>139</v>
      </c>
      <c r="B129" s="789">
        <v>5</v>
      </c>
      <c r="C129" s="789">
        <v>144</v>
      </c>
      <c r="D129" s="790" t="s">
        <v>56</v>
      </c>
      <c r="F129" s="791" t="s">
        <v>9</v>
      </c>
    </row>
    <row r="130" customHeight="1" spans="1:6">
      <c r="A130" s="789" t="s">
        <v>140</v>
      </c>
      <c r="B130" s="789">
        <v>5</v>
      </c>
      <c r="C130" s="789">
        <v>144</v>
      </c>
      <c r="D130" s="790" t="s">
        <v>56</v>
      </c>
      <c r="F130" s="791" t="s">
        <v>9</v>
      </c>
    </row>
    <row r="131" customHeight="1" spans="1:6">
      <c r="A131" s="789" t="s">
        <v>141</v>
      </c>
      <c r="B131" s="789">
        <v>5</v>
      </c>
      <c r="C131" s="789">
        <v>144</v>
      </c>
      <c r="D131" s="790" t="s">
        <v>56</v>
      </c>
      <c r="F131" s="791" t="s">
        <v>9</v>
      </c>
    </row>
    <row r="132" customHeight="1" spans="1:6">
      <c r="A132" s="789" t="s">
        <v>142</v>
      </c>
      <c r="B132" s="789">
        <v>12</v>
      </c>
      <c r="C132" s="789">
        <v>24</v>
      </c>
      <c r="D132" s="790" t="s">
        <v>56</v>
      </c>
      <c r="F132" s="791" t="s">
        <v>9</v>
      </c>
    </row>
    <row r="133" customHeight="1" spans="1:6">
      <c r="A133" s="789" t="s">
        <v>143</v>
      </c>
      <c r="B133" s="789">
        <v>32</v>
      </c>
      <c r="C133" s="789">
        <v>60</v>
      </c>
      <c r="D133" s="790" t="s">
        <v>56</v>
      </c>
      <c r="F133" s="791" t="s">
        <v>9</v>
      </c>
    </row>
    <row r="134" customHeight="1" spans="1:6">
      <c r="A134" s="789" t="s">
        <v>144</v>
      </c>
      <c r="B134" s="789">
        <v>50</v>
      </c>
      <c r="C134" s="789">
        <v>6</v>
      </c>
      <c r="D134" s="790" t="s">
        <v>56</v>
      </c>
      <c r="F134" s="791" t="s">
        <v>9</v>
      </c>
    </row>
    <row r="135" customHeight="1" spans="1:6">
      <c r="A135" s="789" t="s">
        <v>145</v>
      </c>
      <c r="B135" s="789">
        <v>50</v>
      </c>
      <c r="C135" s="789">
        <v>6</v>
      </c>
      <c r="D135" s="790" t="s">
        <v>56</v>
      </c>
      <c r="F135" s="791" t="s">
        <v>9</v>
      </c>
    </row>
    <row r="136" customHeight="1" spans="1:6">
      <c r="A136" s="789" t="s">
        <v>146</v>
      </c>
      <c r="B136" s="789">
        <v>12</v>
      </c>
      <c r="C136" s="789">
        <v>96</v>
      </c>
      <c r="D136" s="790" t="s">
        <v>56</v>
      </c>
      <c r="F136" s="791" t="s">
        <v>9</v>
      </c>
    </row>
    <row r="137" customHeight="1" spans="1:6">
      <c r="A137" s="789" t="s">
        <v>147</v>
      </c>
      <c r="B137" s="789">
        <v>12</v>
      </c>
      <c r="C137" s="789">
        <v>96</v>
      </c>
      <c r="D137" s="790" t="s">
        <v>56</v>
      </c>
      <c r="F137" s="791" t="s">
        <v>9</v>
      </c>
    </row>
    <row r="138" customHeight="1" spans="1:6">
      <c r="A138" s="789" t="s">
        <v>148</v>
      </c>
      <c r="B138" s="789">
        <v>12</v>
      </c>
      <c r="C138" s="789">
        <v>96</v>
      </c>
      <c r="D138" s="790" t="s">
        <v>56</v>
      </c>
      <c r="F138" s="791" t="s">
        <v>9</v>
      </c>
    </row>
    <row r="139" customHeight="1" spans="1:6">
      <c r="A139" s="789" t="s">
        <v>149</v>
      </c>
      <c r="B139" s="789">
        <v>12</v>
      </c>
      <c r="C139" s="789">
        <v>96</v>
      </c>
      <c r="D139" s="790" t="s">
        <v>56</v>
      </c>
      <c r="F139" s="791" t="s">
        <v>9</v>
      </c>
    </row>
    <row r="140" customHeight="1" spans="1:6">
      <c r="A140" s="789" t="s">
        <v>150</v>
      </c>
      <c r="B140" s="789">
        <v>12</v>
      </c>
      <c r="C140" s="789">
        <v>96</v>
      </c>
      <c r="D140" s="790" t="s">
        <v>56</v>
      </c>
      <c r="F140" s="791" t="s">
        <v>9</v>
      </c>
    </row>
    <row r="141" customHeight="1" spans="1:6">
      <c r="A141" s="789" t="s">
        <v>151</v>
      </c>
      <c r="B141" s="789">
        <v>12</v>
      </c>
      <c r="C141" s="789">
        <v>96</v>
      </c>
      <c r="D141" s="790" t="s">
        <v>56</v>
      </c>
      <c r="F141" s="791" t="s">
        <v>9</v>
      </c>
    </row>
    <row r="142" customHeight="1" spans="1:6">
      <c r="A142" s="789" t="s">
        <v>152</v>
      </c>
      <c r="B142" s="789">
        <v>12</v>
      </c>
      <c r="C142" s="789">
        <v>96</v>
      </c>
      <c r="D142" s="790" t="s">
        <v>56</v>
      </c>
      <c r="F142" s="791" t="s">
        <v>9</v>
      </c>
    </row>
    <row r="143" customHeight="1" spans="1:6">
      <c r="A143" s="789" t="s">
        <v>153</v>
      </c>
      <c r="B143" s="789">
        <v>12</v>
      </c>
      <c r="C143" s="789">
        <v>96</v>
      </c>
      <c r="D143" s="790" t="s">
        <v>56</v>
      </c>
      <c r="F143" s="791" t="s">
        <v>9</v>
      </c>
    </row>
    <row r="144" customHeight="1" spans="1:6">
      <c r="A144" s="789" t="s">
        <v>154</v>
      </c>
      <c r="B144" s="789">
        <v>12</v>
      </c>
      <c r="C144" s="789">
        <v>96</v>
      </c>
      <c r="D144" s="790" t="s">
        <v>56</v>
      </c>
      <c r="F144" s="791" t="s">
        <v>9</v>
      </c>
    </row>
    <row r="145" customHeight="1" spans="1:6">
      <c r="A145" s="789" t="s">
        <v>155</v>
      </c>
      <c r="B145" s="789">
        <v>5</v>
      </c>
      <c r="C145" s="789">
        <v>75</v>
      </c>
      <c r="D145" s="790" t="s">
        <v>56</v>
      </c>
      <c r="F145" s="791" t="s">
        <v>9</v>
      </c>
    </row>
    <row r="146" customHeight="1" spans="1:6">
      <c r="A146" s="789" t="s">
        <v>156</v>
      </c>
      <c r="B146" s="789">
        <v>5</v>
      </c>
      <c r="C146" s="789">
        <v>75</v>
      </c>
      <c r="D146" s="790" t="s">
        <v>56</v>
      </c>
      <c r="F146" s="791" t="s">
        <v>9</v>
      </c>
    </row>
    <row r="147" customHeight="1" spans="1:6">
      <c r="A147" s="789" t="s">
        <v>157</v>
      </c>
      <c r="B147" s="789">
        <v>5</v>
      </c>
      <c r="C147" s="789">
        <v>75</v>
      </c>
      <c r="D147" s="790" t="s">
        <v>56</v>
      </c>
      <c r="F147" s="791" t="s">
        <v>9</v>
      </c>
    </row>
    <row r="148" customHeight="1" spans="1:6">
      <c r="A148" s="789" t="s">
        <v>158</v>
      </c>
      <c r="B148" s="789">
        <v>5</v>
      </c>
      <c r="C148" s="789">
        <v>75</v>
      </c>
      <c r="D148" s="790" t="s">
        <v>56</v>
      </c>
      <c r="F148" s="791" t="s">
        <v>9</v>
      </c>
    </row>
    <row r="149" customHeight="1" spans="1:6">
      <c r="A149" s="789" t="s">
        <v>159</v>
      </c>
      <c r="B149" s="789">
        <v>5</v>
      </c>
      <c r="C149" s="789">
        <v>75</v>
      </c>
      <c r="D149" s="790" t="s">
        <v>56</v>
      </c>
      <c r="F149" s="791" t="s">
        <v>9</v>
      </c>
    </row>
    <row r="150" customHeight="1" spans="1:6">
      <c r="A150" s="789" t="s">
        <v>160</v>
      </c>
      <c r="B150" s="789">
        <v>5</v>
      </c>
      <c r="C150" s="789">
        <v>70</v>
      </c>
      <c r="D150" s="790" t="s">
        <v>56</v>
      </c>
      <c r="F150" s="791" t="s">
        <v>9</v>
      </c>
    </row>
    <row r="151" customHeight="1" spans="1:6">
      <c r="A151" s="789" t="s">
        <v>161</v>
      </c>
      <c r="C151" s="789">
        <v>6</v>
      </c>
      <c r="D151" s="790" t="s">
        <v>56</v>
      </c>
      <c r="F151" s="791" t="s">
        <v>9</v>
      </c>
    </row>
    <row r="152" customHeight="1" spans="1:6">
      <c r="A152" s="789" t="s">
        <v>162</v>
      </c>
      <c r="B152" s="789">
        <v>12</v>
      </c>
      <c r="C152" s="789">
        <v>96</v>
      </c>
      <c r="D152" s="790" t="s">
        <v>56</v>
      </c>
      <c r="F152" s="791" t="s">
        <v>9</v>
      </c>
    </row>
    <row r="153" customHeight="1" spans="1:6">
      <c r="A153" s="789" t="s">
        <v>163</v>
      </c>
      <c r="B153" s="789">
        <v>12</v>
      </c>
      <c r="C153" s="789">
        <v>96</v>
      </c>
      <c r="D153" s="790" t="s">
        <v>56</v>
      </c>
      <c r="F153" s="791" t="s">
        <v>9</v>
      </c>
    </row>
    <row r="154" customHeight="1" spans="1:6">
      <c r="A154" s="789" t="s">
        <v>164</v>
      </c>
      <c r="B154" s="789">
        <v>12</v>
      </c>
      <c r="C154" s="789">
        <v>96</v>
      </c>
      <c r="D154" s="790" t="s">
        <v>56</v>
      </c>
      <c r="F154" s="791" t="s">
        <v>9</v>
      </c>
    </row>
    <row r="155" customHeight="1" spans="1:6">
      <c r="A155" s="789" t="s">
        <v>165</v>
      </c>
      <c r="C155" s="789">
        <v>96</v>
      </c>
      <c r="D155" s="790" t="s">
        <v>56</v>
      </c>
      <c r="F155" s="791" t="s">
        <v>9</v>
      </c>
    </row>
    <row r="156" customHeight="1" spans="1:6">
      <c r="A156" s="789" t="s">
        <v>166</v>
      </c>
      <c r="B156" s="789">
        <v>5</v>
      </c>
      <c r="C156" s="789">
        <v>75</v>
      </c>
      <c r="D156" s="790" t="s">
        <v>56</v>
      </c>
      <c r="F156" s="791" t="s">
        <v>9</v>
      </c>
    </row>
    <row r="157" customHeight="1" spans="1:6">
      <c r="A157" s="789" t="s">
        <v>167</v>
      </c>
      <c r="B157" s="789">
        <v>12</v>
      </c>
      <c r="C157" s="789">
        <v>6</v>
      </c>
      <c r="D157" s="790" t="s">
        <v>56</v>
      </c>
      <c r="F157" s="791" t="s">
        <v>29</v>
      </c>
    </row>
    <row r="158" customHeight="1" spans="1:6">
      <c r="A158" s="789" t="s">
        <v>168</v>
      </c>
      <c r="B158" s="789">
        <v>12</v>
      </c>
      <c r="C158" s="789">
        <v>96</v>
      </c>
      <c r="D158" s="790" t="s">
        <v>56</v>
      </c>
      <c r="F158" s="791" t="s">
        <v>29</v>
      </c>
    </row>
    <row r="159" customHeight="1" spans="1:6">
      <c r="A159" s="789" t="s">
        <v>169</v>
      </c>
      <c r="B159" s="789">
        <v>12</v>
      </c>
      <c r="C159" s="789">
        <v>96</v>
      </c>
      <c r="D159" s="790" t="s">
        <v>56</v>
      </c>
      <c r="F159" s="791" t="s">
        <v>29</v>
      </c>
    </row>
    <row r="160" customHeight="1" spans="1:6">
      <c r="A160" s="789" t="s">
        <v>170</v>
      </c>
      <c r="B160" s="789">
        <v>12</v>
      </c>
      <c r="C160" s="789">
        <v>96</v>
      </c>
      <c r="D160" s="790" t="s">
        <v>56</v>
      </c>
      <c r="F160" s="791" t="s">
        <v>29</v>
      </c>
    </row>
    <row r="161" customHeight="1" spans="1:6">
      <c r="A161" s="789" t="s">
        <v>171</v>
      </c>
      <c r="B161" s="789">
        <v>7</v>
      </c>
      <c r="C161" s="789">
        <v>144</v>
      </c>
      <c r="D161" s="790" t="s">
        <v>56</v>
      </c>
      <c r="F161" s="791" t="s">
        <v>9</v>
      </c>
    </row>
    <row r="162" customHeight="1" spans="1:6">
      <c r="A162" s="789" t="s">
        <v>172</v>
      </c>
      <c r="B162" s="789">
        <v>7</v>
      </c>
      <c r="C162" s="789">
        <v>144</v>
      </c>
      <c r="D162" s="790" t="s">
        <v>56</v>
      </c>
      <c r="F162" s="791" t="s">
        <v>9</v>
      </c>
    </row>
    <row r="163" customHeight="1" spans="1:6">
      <c r="A163" s="789" t="s">
        <v>173</v>
      </c>
      <c r="B163" s="789">
        <v>7</v>
      </c>
      <c r="C163" s="789">
        <v>144</v>
      </c>
      <c r="D163" s="790" t="s">
        <v>56</v>
      </c>
      <c r="F163" s="791" t="s">
        <v>9</v>
      </c>
    </row>
    <row r="164" customHeight="1" spans="1:6">
      <c r="A164" s="789" t="s">
        <v>174</v>
      </c>
      <c r="B164" s="789">
        <v>32</v>
      </c>
      <c r="C164" s="789">
        <v>60</v>
      </c>
      <c r="D164" s="790" t="s">
        <v>56</v>
      </c>
      <c r="F164" s="791" t="s">
        <v>9</v>
      </c>
    </row>
    <row r="165" customHeight="1" spans="1:6">
      <c r="A165" s="789" t="s">
        <v>175</v>
      </c>
      <c r="B165" s="789">
        <v>12</v>
      </c>
      <c r="C165" s="789">
        <v>96</v>
      </c>
      <c r="D165" s="790" t="s">
        <v>56</v>
      </c>
      <c r="F165" s="791" t="s">
        <v>9</v>
      </c>
    </row>
    <row r="166" customHeight="1" spans="1:6">
      <c r="A166" s="789" t="s">
        <v>176</v>
      </c>
      <c r="B166" s="789">
        <v>12</v>
      </c>
      <c r="C166" s="789">
        <v>96</v>
      </c>
      <c r="D166" s="790" t="s">
        <v>56</v>
      </c>
      <c r="F166" s="791" t="s">
        <v>9</v>
      </c>
    </row>
    <row r="167" customHeight="1" spans="1:6">
      <c r="A167" s="789" t="s">
        <v>177</v>
      </c>
      <c r="B167" s="789">
        <v>12</v>
      </c>
      <c r="C167" s="789">
        <v>96</v>
      </c>
      <c r="D167" s="790" t="s">
        <v>56</v>
      </c>
      <c r="F167" s="791" t="s">
        <v>9</v>
      </c>
    </row>
    <row r="168" customHeight="1" spans="1:6">
      <c r="A168" s="789" t="s">
        <v>178</v>
      </c>
      <c r="B168" s="789">
        <v>5</v>
      </c>
      <c r="C168" s="789">
        <v>70</v>
      </c>
      <c r="D168" s="790" t="s">
        <v>56</v>
      </c>
      <c r="F168" s="791" t="s">
        <v>9</v>
      </c>
    </row>
    <row r="169" customHeight="1" spans="1:6">
      <c r="A169" s="789" t="s">
        <v>179</v>
      </c>
      <c r="C169" s="789">
        <v>24</v>
      </c>
      <c r="D169" s="790" t="s">
        <v>56</v>
      </c>
      <c r="F169" s="791" t="s">
        <v>9</v>
      </c>
    </row>
    <row r="170" customHeight="1" spans="1:6">
      <c r="A170" s="789" t="s">
        <v>180</v>
      </c>
      <c r="B170" s="789">
        <v>5</v>
      </c>
      <c r="C170" s="789">
        <v>18</v>
      </c>
      <c r="D170" s="790" t="s">
        <v>56</v>
      </c>
      <c r="F170" s="791" t="s">
        <v>9</v>
      </c>
    </row>
    <row r="171" customHeight="1" spans="1:6">
      <c r="A171" s="789" t="s">
        <v>181</v>
      </c>
      <c r="B171" s="789">
        <v>5</v>
      </c>
      <c r="C171" s="789">
        <v>100</v>
      </c>
      <c r="D171" s="790" t="s">
        <v>56</v>
      </c>
      <c r="F171" s="791" t="s">
        <v>9</v>
      </c>
    </row>
    <row r="172" customHeight="1" spans="1:6">
      <c r="A172" s="789" t="s">
        <v>182</v>
      </c>
      <c r="B172" s="789">
        <v>5</v>
      </c>
      <c r="C172" s="789">
        <v>192</v>
      </c>
      <c r="D172" s="790" t="s">
        <v>56</v>
      </c>
      <c r="F172" s="791" t="s">
        <v>9</v>
      </c>
    </row>
    <row r="173" customHeight="1" spans="1:6">
      <c r="A173" s="789" t="s">
        <v>183</v>
      </c>
      <c r="C173" s="789">
        <v>6</v>
      </c>
      <c r="D173" s="790" t="s">
        <v>56</v>
      </c>
      <c r="F173" s="791" t="s">
        <v>9</v>
      </c>
    </row>
    <row r="174" customHeight="1" spans="1:6">
      <c r="A174" s="789" t="s">
        <v>184</v>
      </c>
      <c r="C174" s="789">
        <v>12</v>
      </c>
      <c r="D174" s="790" t="s">
        <v>56</v>
      </c>
      <c r="F174" s="791" t="s">
        <v>9</v>
      </c>
    </row>
    <row r="175" customHeight="1" spans="1:6">
      <c r="A175" s="789" t="s">
        <v>185</v>
      </c>
      <c r="B175" s="789">
        <v>12</v>
      </c>
      <c r="C175" s="789">
        <v>6</v>
      </c>
      <c r="D175" s="790" t="s">
        <v>56</v>
      </c>
      <c r="F175" s="791" t="s">
        <v>9</v>
      </c>
    </row>
    <row r="176" customHeight="1" spans="1:6">
      <c r="A176" s="789" t="s">
        <v>186</v>
      </c>
      <c r="B176" s="789">
        <v>12</v>
      </c>
      <c r="C176" s="789">
        <v>6</v>
      </c>
      <c r="D176" s="790" t="s">
        <v>56</v>
      </c>
      <c r="F176" s="791" t="s">
        <v>9</v>
      </c>
    </row>
    <row r="177" customHeight="1" spans="1:6">
      <c r="A177" s="789" t="s">
        <v>187</v>
      </c>
      <c r="B177" s="789">
        <v>12</v>
      </c>
      <c r="C177" s="789">
        <v>6</v>
      </c>
      <c r="D177" s="790" t="s">
        <v>56</v>
      </c>
      <c r="F177" s="791" t="s">
        <v>9</v>
      </c>
    </row>
    <row r="178" customHeight="1" spans="1:6">
      <c r="A178" s="789" t="s">
        <v>188</v>
      </c>
      <c r="B178" s="789">
        <v>12</v>
      </c>
      <c r="C178" s="789">
        <v>6</v>
      </c>
      <c r="D178" s="790" t="s">
        <v>56</v>
      </c>
      <c r="F178" s="791" t="s">
        <v>9</v>
      </c>
    </row>
    <row r="179" customHeight="1" spans="1:6">
      <c r="A179" s="789" t="s">
        <v>189</v>
      </c>
      <c r="B179" s="789">
        <v>12</v>
      </c>
      <c r="C179" s="789">
        <v>6</v>
      </c>
      <c r="D179" s="790" t="s">
        <v>56</v>
      </c>
      <c r="F179" s="791" t="s">
        <v>9</v>
      </c>
    </row>
    <row r="180" customHeight="1" spans="1:6">
      <c r="A180" s="789" t="s">
        <v>190</v>
      </c>
      <c r="B180" s="789">
        <v>12</v>
      </c>
      <c r="C180" s="789">
        <v>6</v>
      </c>
      <c r="D180" s="790" t="s">
        <v>56</v>
      </c>
      <c r="F180" s="791" t="s">
        <v>9</v>
      </c>
    </row>
    <row r="181" customHeight="1" spans="1:6">
      <c r="A181" s="789" t="s">
        <v>191</v>
      </c>
      <c r="B181" s="789">
        <v>7</v>
      </c>
      <c r="C181" s="789">
        <v>12</v>
      </c>
      <c r="D181" s="790" t="s">
        <v>56</v>
      </c>
      <c r="F181" s="791" t="s">
        <v>9</v>
      </c>
    </row>
    <row r="182" customHeight="1" spans="1:6">
      <c r="A182" s="789" t="s">
        <v>192</v>
      </c>
      <c r="B182" s="789">
        <v>7</v>
      </c>
      <c r="C182" s="789">
        <v>12</v>
      </c>
      <c r="D182" s="790" t="s">
        <v>56</v>
      </c>
      <c r="F182" s="791" t="s">
        <v>9</v>
      </c>
    </row>
    <row r="183" customHeight="1" spans="1:6">
      <c r="A183" s="789" t="s">
        <v>193</v>
      </c>
      <c r="B183" s="789">
        <v>7</v>
      </c>
      <c r="C183" s="789">
        <v>12</v>
      </c>
      <c r="D183" s="790" t="s">
        <v>56</v>
      </c>
      <c r="F183" s="791" t="s">
        <v>9</v>
      </c>
    </row>
    <row r="184" customHeight="1" spans="1:6">
      <c r="A184" s="789" t="s">
        <v>194</v>
      </c>
      <c r="B184" s="789">
        <v>7</v>
      </c>
      <c r="C184" s="789">
        <v>12</v>
      </c>
      <c r="D184" s="790" t="s">
        <v>56</v>
      </c>
      <c r="F184" s="791" t="s">
        <v>9</v>
      </c>
    </row>
    <row r="185" customHeight="1" spans="1:6">
      <c r="A185" s="789" t="s">
        <v>195</v>
      </c>
      <c r="B185" s="789">
        <v>7</v>
      </c>
      <c r="C185" s="789">
        <v>12</v>
      </c>
      <c r="D185" s="790" t="s">
        <v>56</v>
      </c>
      <c r="F185" s="791" t="s">
        <v>9</v>
      </c>
    </row>
    <row r="186" customHeight="1" spans="1:6">
      <c r="A186" s="789" t="s">
        <v>196</v>
      </c>
      <c r="B186" s="789">
        <v>7</v>
      </c>
      <c r="C186" s="789">
        <v>12</v>
      </c>
      <c r="D186" s="790" t="s">
        <v>56</v>
      </c>
      <c r="F186" s="791" t="s">
        <v>9</v>
      </c>
    </row>
    <row r="187" customHeight="1" spans="1:6">
      <c r="A187" s="789" t="s">
        <v>197</v>
      </c>
      <c r="C187" s="789">
        <v>72</v>
      </c>
      <c r="D187" s="790" t="s">
        <v>56</v>
      </c>
      <c r="F187" s="791" t="s">
        <v>9</v>
      </c>
    </row>
    <row r="188" customHeight="1" spans="1:6">
      <c r="A188" s="789" t="s">
        <v>198</v>
      </c>
      <c r="C188" s="789">
        <v>12</v>
      </c>
      <c r="D188" s="790" t="s">
        <v>56</v>
      </c>
      <c r="F188" s="791" t="s">
        <v>9</v>
      </c>
    </row>
    <row r="189" customHeight="1" spans="1:6">
      <c r="A189" s="789" t="s">
        <v>199</v>
      </c>
      <c r="B189" s="789">
        <v>5</v>
      </c>
      <c r="C189" s="789">
        <v>24</v>
      </c>
      <c r="D189" s="790" t="s">
        <v>56</v>
      </c>
      <c r="F189" s="791" t="s">
        <v>9</v>
      </c>
    </row>
    <row r="190" customHeight="1" spans="1:6">
      <c r="A190" s="789" t="s">
        <v>200</v>
      </c>
      <c r="B190" s="789">
        <v>5</v>
      </c>
      <c r="C190" s="789">
        <v>12</v>
      </c>
      <c r="D190" s="790" t="s">
        <v>56</v>
      </c>
      <c r="F190" s="791" t="s">
        <v>9</v>
      </c>
    </row>
    <row r="191" customHeight="1" spans="1:6">
      <c r="A191" s="789" t="s">
        <v>201</v>
      </c>
      <c r="C191" s="789">
        <v>60</v>
      </c>
      <c r="D191" s="790" t="s">
        <v>56</v>
      </c>
      <c r="F191" s="791" t="s">
        <v>9</v>
      </c>
    </row>
    <row r="192" customHeight="1" spans="1:6">
      <c r="A192" s="791" t="s">
        <v>202</v>
      </c>
      <c r="C192" s="789">
        <v>24</v>
      </c>
      <c r="D192" s="790" t="s">
        <v>56</v>
      </c>
      <c r="F192" s="791" t="s">
        <v>9</v>
      </c>
    </row>
    <row r="193" customHeight="1" spans="1:6">
      <c r="A193" s="789" t="s">
        <v>203</v>
      </c>
      <c r="D193" s="790" t="s">
        <v>56</v>
      </c>
      <c r="F193" s="791" t="s">
        <v>9</v>
      </c>
    </row>
    <row r="194" customHeight="1" spans="1:6">
      <c r="A194" s="789" t="s">
        <v>204</v>
      </c>
      <c r="D194" s="790" t="s">
        <v>56</v>
      </c>
      <c r="F194" s="791" t="s">
        <v>9</v>
      </c>
    </row>
    <row r="195" customHeight="1" spans="1:6">
      <c r="A195" s="791" t="s">
        <v>205</v>
      </c>
      <c r="C195" s="789">
        <v>150</v>
      </c>
      <c r="D195" s="790" t="s">
        <v>56</v>
      </c>
      <c r="F195" s="791" t="s">
        <v>9</v>
      </c>
    </row>
    <row r="196" customHeight="1" spans="1:6">
      <c r="A196" s="789" t="s">
        <v>206</v>
      </c>
      <c r="C196" s="789">
        <v>18</v>
      </c>
      <c r="D196" s="790" t="s">
        <v>51</v>
      </c>
      <c r="F196" s="791" t="s">
        <v>29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E196" etc:filterBottomFollowUsedRange="0">
    <extLst/>
  </autoFilter>
  <conditionalFormatting sqref="A24">
    <cfRule type="duplicateValues" dxfId="0" priority="28"/>
  </conditionalFormatting>
  <conditionalFormatting sqref="A25">
    <cfRule type="duplicateValues" dxfId="0" priority="27"/>
  </conditionalFormatting>
  <conditionalFormatting sqref="A26">
    <cfRule type="duplicateValues" dxfId="0" priority="26"/>
  </conditionalFormatting>
  <conditionalFormatting sqref="A27">
    <cfRule type="duplicateValues" dxfId="0" priority="25"/>
  </conditionalFormatting>
  <conditionalFormatting sqref="A28">
    <cfRule type="duplicateValues" dxfId="0" priority="24"/>
  </conditionalFormatting>
  <conditionalFormatting sqref="A29">
    <cfRule type="duplicateValues" dxfId="0" priority="23"/>
  </conditionalFormatting>
  <conditionalFormatting sqref="A30">
    <cfRule type="duplicateValues" dxfId="0" priority="22"/>
  </conditionalFormatting>
  <conditionalFormatting sqref="A31">
    <cfRule type="duplicateValues" dxfId="0" priority="21"/>
  </conditionalFormatting>
  <conditionalFormatting sqref="A32">
    <cfRule type="duplicateValues" dxfId="0" priority="20"/>
  </conditionalFormatting>
  <conditionalFormatting sqref="A33">
    <cfRule type="duplicateValues" dxfId="0" priority="19"/>
  </conditionalFormatting>
  <conditionalFormatting sqref="A34">
    <cfRule type="duplicateValues" dxfId="0" priority="18"/>
  </conditionalFormatting>
  <conditionalFormatting sqref="A35">
    <cfRule type="duplicateValues" dxfId="0" priority="17"/>
  </conditionalFormatting>
  <conditionalFormatting sqref="A36">
    <cfRule type="duplicateValues" dxfId="0" priority="16"/>
  </conditionalFormatting>
  <conditionalFormatting sqref="A37">
    <cfRule type="duplicateValues" dxfId="0" priority="15"/>
  </conditionalFormatting>
  <conditionalFormatting sqref="A38">
    <cfRule type="duplicateValues" dxfId="0" priority="14"/>
  </conditionalFormatting>
  <conditionalFormatting sqref="A39">
    <cfRule type="duplicateValues" dxfId="0" priority="13"/>
  </conditionalFormatting>
  <conditionalFormatting sqref="A40">
    <cfRule type="duplicateValues" dxfId="0" priority="12"/>
  </conditionalFormatting>
  <conditionalFormatting sqref="A90">
    <cfRule type="duplicateValues" dxfId="0" priority="9"/>
  </conditionalFormatting>
  <conditionalFormatting sqref="A95">
    <cfRule type="duplicateValues" dxfId="0" priority="6"/>
  </conditionalFormatting>
  <conditionalFormatting sqref="A181:A186">
    <cfRule type="duplicateValues" dxfId="0" priority="3"/>
  </conditionalFormatting>
  <conditionalFormatting sqref="A1:A23 A41:A89 A91:A94 A96:A180 A187:A1048576">
    <cfRule type="duplicateValues" dxfId="0" priority="29"/>
  </conditionalFormatting>
  <conditionalFormatting sqref="A1:A89 A91:A94 A96:A180 A187:A1048576">
    <cfRule type="duplicateValues" dxfId="0" priority="10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311"/>
  <sheetViews>
    <sheetView zoomScale="90" zoomScaleNormal="90" workbookViewId="0">
      <pane xSplit="8" ySplit="2" topLeftCell="J1271" activePane="bottomRight" state="frozen"/>
      <selection/>
      <selection pane="topRight"/>
      <selection pane="bottomLeft"/>
      <selection pane="bottomRight" activeCell="J456" sqref="J456:J463"/>
    </sheetView>
  </sheetViews>
  <sheetFormatPr defaultColWidth="9" defaultRowHeight="25" customHeight="1"/>
  <cols>
    <col min="1" max="1" width="12.6" style="698" customWidth="1"/>
    <col min="2" max="2" width="12.625" style="704" customWidth="1"/>
    <col min="3" max="4" width="12.6" style="705" customWidth="1"/>
    <col min="5" max="5" width="12.625" style="705" customWidth="1"/>
    <col min="6" max="6" width="8.625" style="706" customWidth="1"/>
    <col min="7" max="7" width="10.625" style="698" customWidth="1"/>
    <col min="8" max="8" width="5.625" style="698" customWidth="1"/>
    <col min="9" max="73" width="8.6" style="698" customWidth="1"/>
    <col min="74" max="74" width="8.6" style="707" customWidth="1"/>
    <col min="75" max="76" width="12.6" style="708" customWidth="1"/>
    <col min="77" max="77" width="5.625" style="698" customWidth="1"/>
    <col min="78" max="16384" width="9" style="698"/>
  </cols>
  <sheetData>
    <row r="1" s="695" customFormat="1" customHeight="1" spans="1:77">
      <c r="A1" s="621" t="s">
        <v>207</v>
      </c>
      <c r="B1" s="621"/>
      <c r="C1" s="621"/>
      <c r="D1" s="621"/>
      <c r="E1" s="621"/>
      <c r="F1" s="709"/>
      <c r="G1" s="621"/>
      <c r="H1" s="621"/>
      <c r="I1" s="539" t="str">
        <f t="shared" ref="I1:BQ1" si="0">TRIM(LEFT(LEFT(LEFT(I2,IFERROR(FIND("/",I2)-1,LEN(I2))),IFERROR(FIND("CDU",I2)-1,LEN(I2))),IFERROR(FIND("-",I2)-1,LEN(I2))))</f>
        <v>SR001</v>
      </c>
      <c r="J1" s="539" t="str">
        <f t="shared" si="0"/>
        <v>SR020</v>
      </c>
      <c r="K1" s="539" t="str">
        <f t="shared" si="0"/>
        <v>SR102</v>
      </c>
      <c r="L1" s="539" t="str">
        <f t="shared" si="0"/>
        <v>SR102C</v>
      </c>
      <c r="M1" s="539" t="str">
        <f t="shared" si="0"/>
        <v>SR103</v>
      </c>
      <c r="N1" s="539" t="str">
        <f t="shared" si="0"/>
        <v>SR130</v>
      </c>
      <c r="O1" s="539" t="str">
        <f t="shared" si="0"/>
        <v>SR160</v>
      </c>
      <c r="P1" s="539" t="str">
        <f t="shared" si="0"/>
        <v>SR180</v>
      </c>
      <c r="Q1" s="539" t="str">
        <f t="shared" si="0"/>
        <v>SR181</v>
      </c>
      <c r="R1" s="539" t="str">
        <f t="shared" si="0"/>
        <v>SR201</v>
      </c>
      <c r="S1" s="539" t="str">
        <f t="shared" si="0"/>
        <v>SR201C</v>
      </c>
      <c r="T1" s="539" t="str">
        <f t="shared" si="0"/>
        <v>SR301</v>
      </c>
      <c r="U1" s="539" t="str">
        <f t="shared" si="0"/>
        <v>SR320</v>
      </c>
      <c r="V1" s="539" t="str">
        <f t="shared" si="0"/>
        <v>SR370</v>
      </c>
      <c r="W1" s="539" t="str">
        <f t="shared" si="0"/>
        <v>SR400</v>
      </c>
      <c r="X1" s="539" t="str">
        <f t="shared" si="0"/>
        <v>SR430</v>
      </c>
      <c r="Y1" s="539" t="str">
        <f t="shared" si="0"/>
        <v>SR460</v>
      </c>
      <c r="Z1" s="539" t="str">
        <f t="shared" si="0"/>
        <v>SR600</v>
      </c>
      <c r="AA1" s="539" t="str">
        <f t="shared" si="0"/>
        <v>JS100</v>
      </c>
      <c r="AB1" s="539" t="str">
        <f t="shared" si="0"/>
        <v>JS300</v>
      </c>
      <c r="AC1" s="539" t="str">
        <f t="shared" si="0"/>
        <v>SR1023</v>
      </c>
      <c r="AD1" s="539" t="str">
        <f t="shared" si="0"/>
        <v>SR1033</v>
      </c>
      <c r="AE1" s="539" t="str">
        <f t="shared" si="0"/>
        <v>SR1602</v>
      </c>
      <c r="AF1" s="539" t="str">
        <f t="shared" si="0"/>
        <v>SR1802</v>
      </c>
      <c r="AG1" s="539" t="str">
        <f t="shared" si="0"/>
        <v>SR2013</v>
      </c>
      <c r="AH1" s="539" t="str">
        <f t="shared" si="0"/>
        <v>SR3013</v>
      </c>
      <c r="AI1" s="539" t="str">
        <f t="shared" si="0"/>
        <v>SR3203</v>
      </c>
      <c r="AJ1" s="539" t="str">
        <f t="shared" si="0"/>
        <v>SR3703</v>
      </c>
      <c r="AK1" s="539" t="str">
        <f t="shared" si="0"/>
        <v>SR3703QP</v>
      </c>
      <c r="AL1" s="539" t="str">
        <f t="shared" si="0"/>
        <v>SR4003</v>
      </c>
      <c r="AM1" s="539" t="str">
        <f t="shared" si="0"/>
        <v>SR4602</v>
      </c>
      <c r="AN1" s="539" t="str">
        <f t="shared" si="0"/>
        <v>SR8003</v>
      </c>
      <c r="AO1" s="539" t="str">
        <f t="shared" si="0"/>
        <v>SRAE101</v>
      </c>
      <c r="AP1" s="539" t="str">
        <f t="shared" si="0"/>
        <v>SRAP1302</v>
      </c>
      <c r="AQ1" s="539" t="str">
        <f t="shared" si="0"/>
        <v>SRAP3202</v>
      </c>
      <c r="AR1" s="539" t="str">
        <f t="shared" si="0"/>
        <v>SRAP4302</v>
      </c>
      <c r="AS1" s="539" t="str">
        <f t="shared" si="0"/>
        <v>SRBFF3703</v>
      </c>
      <c r="AT1" s="539" t="str">
        <f t="shared" si="0"/>
        <v>SRMC103</v>
      </c>
      <c r="AU1" s="539" t="str">
        <f t="shared" si="0"/>
        <v>SRMC201</v>
      </c>
      <c r="AV1" s="539" t="str">
        <f t="shared" si="0"/>
        <v>SRMC302</v>
      </c>
      <c r="AW1" s="539" t="str">
        <f t="shared" si="0"/>
        <v>SRMC400</v>
      </c>
      <c r="AX1" s="539" t="str">
        <f t="shared" si="0"/>
        <v>SRSM102</v>
      </c>
      <c r="AY1" s="539" t="str">
        <f t="shared" si="0"/>
        <v>SRSM103</v>
      </c>
      <c r="AZ1" s="539" t="str">
        <f t="shared" si="0"/>
        <v>SRSM301</v>
      </c>
      <c r="BA1" s="539" t="str">
        <f t="shared" si="0"/>
        <v>SRTD103</v>
      </c>
      <c r="BB1" s="539" t="str">
        <f t="shared" si="0"/>
        <v>SRTD400</v>
      </c>
      <c r="BC1" s="539" t="str">
        <f t="shared" si="0"/>
        <v>JS1003</v>
      </c>
      <c r="BD1" s="539" t="str">
        <f t="shared" si="0"/>
        <v>JS3003</v>
      </c>
      <c r="BE1" s="539" t="str">
        <f t="shared" si="0"/>
        <v>JSSM100</v>
      </c>
      <c r="BF1" s="539" t="str">
        <f t="shared" si="0"/>
        <v>JC100</v>
      </c>
      <c r="BG1" s="539" t="str">
        <f t="shared" si="0"/>
        <v>JC120</v>
      </c>
      <c r="BH1" s="539" t="str">
        <f t="shared" si="0"/>
        <v>JC140</v>
      </c>
      <c r="BI1" s="539" t="str">
        <f t="shared" si="0"/>
        <v>SRSM400</v>
      </c>
      <c r="BJ1" s="539" t="str">
        <f t="shared" si="0"/>
        <v>SRAP3203</v>
      </c>
      <c r="BK1" s="539" t="str">
        <f t="shared" si="0"/>
        <v>SRCRP4202</v>
      </c>
      <c r="BL1" s="539" t="str">
        <f t="shared" si="0"/>
        <v>SRAP8003</v>
      </c>
      <c r="BM1" s="539" t="str">
        <f t="shared" si="0"/>
        <v>JS6003</v>
      </c>
      <c r="BN1" s="539" t="str">
        <f t="shared" ref="BN1:BU1" si="1">TRIM(LEFT(LEFT(LEFT(BN2,IFERROR(FIND("/",BN2)-1,LEN(BN2))),IFERROR(FIND("CDU",BN2)-1,LEN(BN2))),IFERROR(FIND("-",BN2)-1,LEN(BN2))))</f>
        <v>SRBFF1812</v>
      </c>
      <c r="BO1" s="539" t="str">
        <f t="shared" si="1"/>
        <v>SRSM103SK</v>
      </c>
      <c r="BP1" s="539" t="str">
        <f t="shared" si="1"/>
        <v>SRAP8002</v>
      </c>
      <c r="BQ1" s="539" t="str">
        <f t="shared" si="1"/>
        <v>SRSC101</v>
      </c>
      <c r="BR1" s="539" t="str">
        <f t="shared" si="1"/>
        <v>SR5163</v>
      </c>
      <c r="BS1" s="539" t="str">
        <f t="shared" si="1"/>
        <v>JCV120</v>
      </c>
      <c r="BT1" s="539" t="str">
        <f t="shared" si="1"/>
        <v/>
      </c>
      <c r="BU1" s="539" t="str">
        <f t="shared" si="1"/>
        <v>散装手链</v>
      </c>
      <c r="BV1" s="710"/>
      <c r="BW1" s="711"/>
      <c r="BX1" s="712"/>
      <c r="BY1" s="713"/>
    </row>
    <row r="2" s="696" customFormat="1" customHeight="1" spans="1:77">
      <c r="A2" s="714" t="s">
        <v>208</v>
      </c>
      <c r="B2" s="715" t="s">
        <v>209</v>
      </c>
      <c r="C2" s="716" t="s">
        <v>210</v>
      </c>
      <c r="D2" s="716" t="s">
        <v>211</v>
      </c>
      <c r="E2" s="716" t="s">
        <v>0</v>
      </c>
      <c r="F2" s="717" t="s">
        <v>212</v>
      </c>
      <c r="G2" s="716" t="s">
        <v>213</v>
      </c>
      <c r="H2" s="539" t="str">
        <f>VLOOKUP(E2,名称!A:E,4,0)</f>
        <v>系列</v>
      </c>
      <c r="I2" s="539" t="s">
        <v>23</v>
      </c>
      <c r="J2" s="619" t="s">
        <v>45</v>
      </c>
      <c r="K2" s="619" t="s">
        <v>214</v>
      </c>
      <c r="L2" s="619" t="s">
        <v>215</v>
      </c>
      <c r="M2" s="619" t="s">
        <v>216</v>
      </c>
      <c r="N2" s="619" t="s">
        <v>217</v>
      </c>
      <c r="O2" s="619" t="s">
        <v>62</v>
      </c>
      <c r="P2" s="619" t="s">
        <v>64</v>
      </c>
      <c r="Q2" s="619" t="s">
        <v>65</v>
      </c>
      <c r="R2" s="539" t="s">
        <v>37</v>
      </c>
      <c r="S2" s="539" t="s">
        <v>218</v>
      </c>
      <c r="T2" s="539" t="s">
        <v>38</v>
      </c>
      <c r="U2" s="619" t="s">
        <v>42</v>
      </c>
      <c r="V2" s="539" t="s">
        <v>49</v>
      </c>
      <c r="W2" s="539" t="s">
        <v>219</v>
      </c>
      <c r="X2" s="539" t="s">
        <v>220</v>
      </c>
      <c r="Y2" s="539" t="s">
        <v>221</v>
      </c>
      <c r="Z2" s="539" t="s">
        <v>222</v>
      </c>
      <c r="AA2" s="619" t="s">
        <v>223</v>
      </c>
      <c r="AB2" s="539" t="s">
        <v>28</v>
      </c>
      <c r="AC2" s="539" t="s">
        <v>224</v>
      </c>
      <c r="AD2" s="539" t="s">
        <v>225</v>
      </c>
      <c r="AE2" s="539" t="s">
        <v>226</v>
      </c>
      <c r="AF2" s="619" t="s">
        <v>227</v>
      </c>
      <c r="AG2" s="539" t="s">
        <v>228</v>
      </c>
      <c r="AH2" s="539" t="s">
        <v>68</v>
      </c>
      <c r="AI2" s="539" t="s">
        <v>229</v>
      </c>
      <c r="AJ2" s="539" t="s">
        <v>71</v>
      </c>
      <c r="AK2" s="539" t="s">
        <v>127</v>
      </c>
      <c r="AL2" s="539" t="s">
        <v>72</v>
      </c>
      <c r="AM2" s="539" t="s">
        <v>230</v>
      </c>
      <c r="AN2" s="539" t="s">
        <v>231</v>
      </c>
      <c r="AO2" s="539" t="s">
        <v>124</v>
      </c>
      <c r="AP2" s="539" t="s">
        <v>119</v>
      </c>
      <c r="AQ2" s="539" t="s">
        <v>117</v>
      </c>
      <c r="AR2" s="619" t="s">
        <v>232</v>
      </c>
      <c r="AS2" s="619" t="s">
        <v>108</v>
      </c>
      <c r="AT2" s="539" t="s">
        <v>88</v>
      </c>
      <c r="AU2" s="539" t="s">
        <v>89</v>
      </c>
      <c r="AV2" s="619" t="s">
        <v>118</v>
      </c>
      <c r="AW2" s="539" t="s">
        <v>233</v>
      </c>
      <c r="AX2" s="539" t="s">
        <v>234</v>
      </c>
      <c r="AY2" s="539" t="s">
        <v>235</v>
      </c>
      <c r="AZ2" s="539" t="s">
        <v>95</v>
      </c>
      <c r="BA2" s="591" t="s">
        <v>236</v>
      </c>
      <c r="BB2" s="591" t="s">
        <v>98</v>
      </c>
      <c r="BC2" s="591" t="s">
        <v>237</v>
      </c>
      <c r="BD2" s="718" t="s">
        <v>100</v>
      </c>
      <c r="BE2" s="591" t="s">
        <v>110</v>
      </c>
      <c r="BF2" s="591" t="s">
        <v>123</v>
      </c>
      <c r="BG2" s="539" t="s">
        <v>238</v>
      </c>
      <c r="BH2" s="539" t="s">
        <v>52</v>
      </c>
      <c r="BI2" s="539" t="s">
        <v>128</v>
      </c>
      <c r="BJ2" s="619" t="s">
        <v>239</v>
      </c>
      <c r="BK2" s="619" t="s">
        <v>201</v>
      </c>
      <c r="BL2" s="719" t="s">
        <v>240</v>
      </c>
      <c r="BM2" s="619" t="s">
        <v>241</v>
      </c>
      <c r="BN2" s="619" t="s">
        <v>184</v>
      </c>
      <c r="BO2" s="619" t="s">
        <v>197</v>
      </c>
      <c r="BP2" s="619" t="s">
        <v>199</v>
      </c>
      <c r="BQ2" s="431" t="s">
        <v>202</v>
      </c>
      <c r="BR2" s="431" t="s">
        <v>205</v>
      </c>
      <c r="BS2" s="619" t="s">
        <v>206</v>
      </c>
      <c r="BT2" s="619"/>
      <c r="BU2" s="539" t="s">
        <v>242</v>
      </c>
      <c r="BV2" s="720" t="s">
        <v>243</v>
      </c>
      <c r="BW2" s="711" t="s">
        <v>244</v>
      </c>
      <c r="BX2" s="712" t="s">
        <v>245</v>
      </c>
      <c r="BY2" s="721" t="s">
        <v>3</v>
      </c>
    </row>
    <row r="3" s="697" customFormat="1" customHeight="1" spans="1:77">
      <c r="A3" s="116">
        <v>45744</v>
      </c>
      <c r="B3" s="116">
        <v>45816</v>
      </c>
      <c r="C3" s="118"/>
      <c r="D3" s="118" t="s">
        <v>246</v>
      </c>
      <c r="E3" s="118" t="s">
        <v>49</v>
      </c>
      <c r="F3" s="722">
        <f>150000-90000-5440-5440-5440-5440-5440-5440-5440-5440</f>
        <v>16480</v>
      </c>
      <c r="G3" s="118" t="s">
        <v>247</v>
      </c>
      <c r="H3" s="118" t="str">
        <f>IFERROR(VLOOKUP(E3,名称!A:E,4,0),"")</f>
        <v>二代</v>
      </c>
      <c r="I3" s="418" t="str">
        <f t="shared" ref="I3:BT3" si="2">IF(OR($E3="",I$1=""),"",IF(TRIM(LEFT($E3,MIN(IFERROR(FIND("CDU",UPPER($E3)),999),IFERROR(FIND("BULK",UPPER($E3)),999),IFERROR(FIND("-",$E3),999),IFERROR(FIND("（",$E3),999))-1))=I$1,$F3,""))</f>
        <v/>
      </c>
      <c r="J3" s="418" t="str">
        <f t="shared" si="2"/>
        <v/>
      </c>
      <c r="K3" s="418" t="str">
        <f t="shared" si="2"/>
        <v/>
      </c>
      <c r="L3" s="418" t="str">
        <f t="shared" si="2"/>
        <v/>
      </c>
      <c r="M3" s="418" t="str">
        <f t="shared" si="2"/>
        <v/>
      </c>
      <c r="N3" s="418" t="str">
        <f t="shared" si="2"/>
        <v/>
      </c>
      <c r="O3" s="418" t="str">
        <f t="shared" si="2"/>
        <v/>
      </c>
      <c r="P3" s="418" t="str">
        <f t="shared" si="2"/>
        <v/>
      </c>
      <c r="Q3" s="418" t="str">
        <f t="shared" si="2"/>
        <v/>
      </c>
      <c r="R3" s="418" t="str">
        <f t="shared" si="2"/>
        <v/>
      </c>
      <c r="S3" s="418" t="str">
        <f t="shared" si="2"/>
        <v/>
      </c>
      <c r="T3" s="418" t="str">
        <f t="shared" si="2"/>
        <v/>
      </c>
      <c r="U3" s="418" t="str">
        <f t="shared" si="2"/>
        <v/>
      </c>
      <c r="V3" s="418">
        <f t="shared" si="2"/>
        <v>16480</v>
      </c>
      <c r="W3" s="418" t="str">
        <f t="shared" si="2"/>
        <v/>
      </c>
      <c r="X3" s="418" t="str">
        <f t="shared" si="2"/>
        <v/>
      </c>
      <c r="Y3" s="418" t="str">
        <f t="shared" si="2"/>
        <v/>
      </c>
      <c r="Z3" s="418" t="str">
        <f t="shared" si="2"/>
        <v/>
      </c>
      <c r="AA3" s="418" t="str">
        <f t="shared" si="2"/>
        <v/>
      </c>
      <c r="AB3" s="418" t="str">
        <f t="shared" si="2"/>
        <v/>
      </c>
      <c r="AC3" s="418" t="str">
        <f t="shared" si="2"/>
        <v/>
      </c>
      <c r="AD3" s="418" t="str">
        <f t="shared" si="2"/>
        <v/>
      </c>
      <c r="AE3" s="418" t="str">
        <f t="shared" si="2"/>
        <v/>
      </c>
      <c r="AF3" s="418" t="str">
        <f t="shared" si="2"/>
        <v/>
      </c>
      <c r="AG3" s="418" t="str">
        <f t="shared" si="2"/>
        <v/>
      </c>
      <c r="AH3" s="418" t="str">
        <f t="shared" si="2"/>
        <v/>
      </c>
      <c r="AI3" s="418" t="str">
        <f t="shared" si="2"/>
        <v/>
      </c>
      <c r="AJ3" s="418" t="str">
        <f t="shared" si="2"/>
        <v/>
      </c>
      <c r="AK3" s="418" t="str">
        <f t="shared" si="2"/>
        <v/>
      </c>
      <c r="AL3" s="418" t="str">
        <f t="shared" si="2"/>
        <v/>
      </c>
      <c r="AM3" s="418" t="str">
        <f t="shared" si="2"/>
        <v/>
      </c>
      <c r="AN3" s="418" t="str">
        <f t="shared" si="2"/>
        <v/>
      </c>
      <c r="AO3" s="418" t="str">
        <f t="shared" si="2"/>
        <v/>
      </c>
      <c r="AP3" s="418" t="str">
        <f t="shared" si="2"/>
        <v/>
      </c>
      <c r="AQ3" s="418" t="str">
        <f t="shared" si="2"/>
        <v/>
      </c>
      <c r="AR3" s="418" t="str">
        <f t="shared" si="2"/>
        <v/>
      </c>
      <c r="AS3" s="418" t="str">
        <f t="shared" si="2"/>
        <v/>
      </c>
      <c r="AT3" s="418" t="str">
        <f t="shared" si="2"/>
        <v/>
      </c>
      <c r="AU3" s="418" t="str">
        <f t="shared" si="2"/>
        <v/>
      </c>
      <c r="AV3" s="418" t="str">
        <f t="shared" si="2"/>
        <v/>
      </c>
      <c r="AW3" s="418" t="str">
        <f t="shared" si="2"/>
        <v/>
      </c>
      <c r="AX3" s="418" t="str">
        <f t="shared" si="2"/>
        <v/>
      </c>
      <c r="AY3" s="418" t="str">
        <f t="shared" si="2"/>
        <v/>
      </c>
      <c r="AZ3" s="418" t="str">
        <f t="shared" si="2"/>
        <v/>
      </c>
      <c r="BA3" s="418" t="str">
        <f t="shared" si="2"/>
        <v/>
      </c>
      <c r="BB3" s="418" t="str">
        <f t="shared" si="2"/>
        <v/>
      </c>
      <c r="BC3" s="418" t="str">
        <f t="shared" si="2"/>
        <v/>
      </c>
      <c r="BD3" s="418" t="str">
        <f t="shared" si="2"/>
        <v/>
      </c>
      <c r="BE3" s="418" t="str">
        <f t="shared" si="2"/>
        <v/>
      </c>
      <c r="BF3" s="418" t="str">
        <f t="shared" si="2"/>
        <v/>
      </c>
      <c r="BG3" s="418" t="str">
        <f t="shared" si="2"/>
        <v/>
      </c>
      <c r="BH3" s="418" t="str">
        <f t="shared" si="2"/>
        <v/>
      </c>
      <c r="BI3" s="418" t="str">
        <f t="shared" si="2"/>
        <v/>
      </c>
      <c r="BJ3" s="418" t="str">
        <f t="shared" si="2"/>
        <v/>
      </c>
      <c r="BK3" s="418" t="str">
        <f t="shared" si="2"/>
        <v/>
      </c>
      <c r="BL3" s="418" t="str">
        <f t="shared" si="2"/>
        <v/>
      </c>
      <c r="BM3" s="418" t="str">
        <f t="shared" si="2"/>
        <v/>
      </c>
      <c r="BN3" s="418" t="str">
        <f t="shared" si="2"/>
        <v/>
      </c>
      <c r="BO3" s="418" t="str">
        <f t="shared" si="2"/>
        <v/>
      </c>
      <c r="BP3" s="418" t="str">
        <f t="shared" si="2"/>
        <v/>
      </c>
      <c r="BQ3" s="418" t="str">
        <f t="shared" si="2"/>
        <v/>
      </c>
      <c r="BR3" s="418" t="str">
        <f t="shared" si="2"/>
        <v/>
      </c>
      <c r="BS3" s="418" t="str">
        <f t="shared" si="2"/>
        <v/>
      </c>
      <c r="BT3" s="418" t="str">
        <f t="shared" si="2"/>
        <v/>
      </c>
      <c r="BU3" s="418" t="str">
        <f t="shared" ref="BU3:BU66" si="3">IF(OR($E3="",BU$1=""),"",IF(TRIM(LEFT($E3,MIN(IFERROR(FIND("CDU",UPPER($E3)),999),IFERROR(FIND("BULK",UPPER($E3)),999),IFERROR(FIND("-",$E3),999),IFERROR(FIND("（",$E3),999))-1))=BU$1,$F3,""))</f>
        <v/>
      </c>
      <c r="BV3" s="544">
        <v>6.93</v>
      </c>
      <c r="BW3" s="723">
        <f>SUM(I3:BU3)*BV3</f>
        <v>114206.4</v>
      </c>
      <c r="BX3" s="724">
        <f>BW3*7.75</f>
        <v>885099.6</v>
      </c>
      <c r="BY3" s="725" t="str">
        <f t="shared" ref="BY3:BY16" si="4">MID(E3,1,2)</f>
        <v>SR</v>
      </c>
    </row>
    <row r="4" s="697" customFormat="1" customHeight="1" spans="1:77">
      <c r="A4" s="116">
        <v>45749</v>
      </c>
      <c r="B4" s="116">
        <v>45758</v>
      </c>
      <c r="C4" s="118" t="s">
        <v>248</v>
      </c>
      <c r="D4" s="118" t="s">
        <v>249</v>
      </c>
      <c r="E4" s="118" t="s">
        <v>23</v>
      </c>
      <c r="F4" s="722">
        <v>5000</v>
      </c>
      <c r="G4" s="118" t="s">
        <v>250</v>
      </c>
      <c r="H4" s="118" t="str">
        <f>IFERROR(VLOOKUP(E4,名称!A:E,4,0),"")</f>
        <v>二代</v>
      </c>
      <c r="I4" s="418">
        <f t="shared" ref="I4:BT4" si="5">IF(OR($E4="",I$1=""),"",IF(TRIM(LEFT($E4,MIN(IFERROR(FIND("CDU",UPPER($E4)),999),IFERROR(FIND("BULK",UPPER($E4)),999),IFERROR(FIND("-",$E4),999),IFERROR(FIND("（",$E4),999))-1))=I$1,$F4,""))</f>
        <v>5000</v>
      </c>
      <c r="J4" s="418" t="str">
        <f t="shared" si="5"/>
        <v/>
      </c>
      <c r="K4" s="418" t="str">
        <f t="shared" si="5"/>
        <v/>
      </c>
      <c r="L4" s="418" t="str">
        <f t="shared" si="5"/>
        <v/>
      </c>
      <c r="M4" s="418" t="str">
        <f t="shared" si="5"/>
        <v/>
      </c>
      <c r="N4" s="418" t="str">
        <f t="shared" si="5"/>
        <v/>
      </c>
      <c r="O4" s="418" t="str">
        <f t="shared" si="5"/>
        <v/>
      </c>
      <c r="P4" s="418" t="str">
        <f t="shared" si="5"/>
        <v/>
      </c>
      <c r="Q4" s="418" t="str">
        <f t="shared" si="5"/>
        <v/>
      </c>
      <c r="R4" s="418" t="str">
        <f t="shared" si="5"/>
        <v/>
      </c>
      <c r="S4" s="418" t="str">
        <f t="shared" si="5"/>
        <v/>
      </c>
      <c r="T4" s="418" t="str">
        <f t="shared" si="5"/>
        <v/>
      </c>
      <c r="U4" s="418" t="str">
        <f t="shared" si="5"/>
        <v/>
      </c>
      <c r="V4" s="418" t="str">
        <f t="shared" si="5"/>
        <v/>
      </c>
      <c r="W4" s="418" t="str">
        <f t="shared" si="5"/>
        <v/>
      </c>
      <c r="X4" s="418" t="str">
        <f t="shared" si="5"/>
        <v/>
      </c>
      <c r="Y4" s="418" t="str">
        <f t="shared" si="5"/>
        <v/>
      </c>
      <c r="Z4" s="418" t="str">
        <f t="shared" si="5"/>
        <v/>
      </c>
      <c r="AA4" s="418" t="str">
        <f t="shared" si="5"/>
        <v/>
      </c>
      <c r="AB4" s="418" t="str">
        <f t="shared" si="5"/>
        <v/>
      </c>
      <c r="AC4" s="418" t="str">
        <f t="shared" si="5"/>
        <v/>
      </c>
      <c r="AD4" s="418" t="str">
        <f t="shared" si="5"/>
        <v/>
      </c>
      <c r="AE4" s="418" t="str">
        <f t="shared" si="5"/>
        <v/>
      </c>
      <c r="AF4" s="418" t="str">
        <f t="shared" si="5"/>
        <v/>
      </c>
      <c r="AG4" s="418" t="str">
        <f t="shared" si="5"/>
        <v/>
      </c>
      <c r="AH4" s="418" t="str">
        <f t="shared" si="5"/>
        <v/>
      </c>
      <c r="AI4" s="418" t="str">
        <f t="shared" si="5"/>
        <v/>
      </c>
      <c r="AJ4" s="418" t="str">
        <f t="shared" si="5"/>
        <v/>
      </c>
      <c r="AK4" s="418" t="str">
        <f t="shared" si="5"/>
        <v/>
      </c>
      <c r="AL4" s="418" t="str">
        <f t="shared" si="5"/>
        <v/>
      </c>
      <c r="AM4" s="418" t="str">
        <f t="shared" si="5"/>
        <v/>
      </c>
      <c r="AN4" s="418" t="str">
        <f t="shared" si="5"/>
        <v/>
      </c>
      <c r="AO4" s="418" t="str">
        <f t="shared" si="5"/>
        <v/>
      </c>
      <c r="AP4" s="418" t="str">
        <f t="shared" si="5"/>
        <v/>
      </c>
      <c r="AQ4" s="418" t="str">
        <f t="shared" si="5"/>
        <v/>
      </c>
      <c r="AR4" s="418" t="str">
        <f t="shared" si="5"/>
        <v/>
      </c>
      <c r="AS4" s="418" t="str">
        <f t="shared" si="5"/>
        <v/>
      </c>
      <c r="AT4" s="418" t="str">
        <f t="shared" si="5"/>
        <v/>
      </c>
      <c r="AU4" s="418" t="str">
        <f t="shared" si="5"/>
        <v/>
      </c>
      <c r="AV4" s="418" t="str">
        <f t="shared" si="5"/>
        <v/>
      </c>
      <c r="AW4" s="418" t="str">
        <f t="shared" si="5"/>
        <v/>
      </c>
      <c r="AX4" s="418" t="str">
        <f t="shared" si="5"/>
        <v/>
      </c>
      <c r="AY4" s="418" t="str">
        <f t="shared" si="5"/>
        <v/>
      </c>
      <c r="AZ4" s="418" t="str">
        <f t="shared" si="5"/>
        <v/>
      </c>
      <c r="BA4" s="418" t="str">
        <f t="shared" si="5"/>
        <v/>
      </c>
      <c r="BB4" s="418" t="str">
        <f t="shared" si="5"/>
        <v/>
      </c>
      <c r="BC4" s="418" t="str">
        <f t="shared" si="5"/>
        <v/>
      </c>
      <c r="BD4" s="418" t="str">
        <f t="shared" si="5"/>
        <v/>
      </c>
      <c r="BE4" s="418" t="str">
        <f t="shared" si="5"/>
        <v/>
      </c>
      <c r="BF4" s="418" t="str">
        <f t="shared" si="5"/>
        <v/>
      </c>
      <c r="BG4" s="418" t="str">
        <f t="shared" si="5"/>
        <v/>
      </c>
      <c r="BH4" s="418" t="str">
        <f t="shared" si="5"/>
        <v/>
      </c>
      <c r="BI4" s="418" t="str">
        <f t="shared" si="5"/>
        <v/>
      </c>
      <c r="BJ4" s="418" t="str">
        <f t="shared" si="5"/>
        <v/>
      </c>
      <c r="BK4" s="418" t="str">
        <f t="shared" si="5"/>
        <v/>
      </c>
      <c r="BL4" s="418" t="str">
        <f t="shared" si="5"/>
        <v/>
      </c>
      <c r="BM4" s="418" t="str">
        <f t="shared" si="5"/>
        <v/>
      </c>
      <c r="BN4" s="418" t="str">
        <f t="shared" si="5"/>
        <v/>
      </c>
      <c r="BO4" s="418" t="str">
        <f t="shared" si="5"/>
        <v/>
      </c>
      <c r="BP4" s="418" t="str">
        <f t="shared" si="5"/>
        <v/>
      </c>
      <c r="BQ4" s="418" t="str">
        <f t="shared" si="5"/>
        <v/>
      </c>
      <c r="BR4" s="418" t="str">
        <f t="shared" si="5"/>
        <v/>
      </c>
      <c r="BS4" s="418" t="str">
        <f t="shared" si="5"/>
        <v/>
      </c>
      <c r="BT4" s="418" t="str">
        <f t="shared" si="5"/>
        <v/>
      </c>
      <c r="BU4" s="418" t="str">
        <f t="shared" si="3"/>
        <v/>
      </c>
      <c r="BV4" s="544">
        <v>0.1</v>
      </c>
      <c r="BW4" s="723">
        <f>SUM(I4:BU4)*BV4</f>
        <v>500</v>
      </c>
      <c r="BX4" s="724">
        <f>BW4*7.75</f>
        <v>3875</v>
      </c>
      <c r="BY4" s="725" t="str">
        <f t="shared" si="4"/>
        <v>SR</v>
      </c>
    </row>
    <row r="5" s="697" customFormat="1" customHeight="1" spans="1:77">
      <c r="A5" s="116">
        <v>45807</v>
      </c>
      <c r="B5" s="116">
        <v>45863</v>
      </c>
      <c r="C5" s="118" t="s">
        <v>251</v>
      </c>
      <c r="D5" s="118" t="s">
        <v>252</v>
      </c>
      <c r="E5" s="118" t="s">
        <v>37</v>
      </c>
      <c r="F5" s="722">
        <v>1002</v>
      </c>
      <c r="G5" s="118" t="s">
        <v>253</v>
      </c>
      <c r="H5" s="118" t="str">
        <f>IFERROR(VLOOKUP(E5,名称!A:E,4,0),"")</f>
        <v>二代</v>
      </c>
      <c r="I5" s="418" t="str">
        <f t="shared" ref="I5:BT5" si="6">IF(OR($E5="",I$1=""),"",IF(TRIM(LEFT($E5,MIN(IFERROR(FIND("CDU",UPPER($E5)),999),IFERROR(FIND("BULK",UPPER($E5)),999),IFERROR(FIND("-",$E5),999),IFERROR(FIND("（",$E5),999))-1))=I$1,$F5,""))</f>
        <v/>
      </c>
      <c r="J5" s="418" t="str">
        <f t="shared" si="6"/>
        <v/>
      </c>
      <c r="K5" s="418" t="str">
        <f t="shared" si="6"/>
        <v/>
      </c>
      <c r="L5" s="418" t="str">
        <f t="shared" si="6"/>
        <v/>
      </c>
      <c r="M5" s="418" t="str">
        <f t="shared" si="6"/>
        <v/>
      </c>
      <c r="N5" s="418" t="str">
        <f t="shared" si="6"/>
        <v/>
      </c>
      <c r="O5" s="418" t="str">
        <f t="shared" si="6"/>
        <v/>
      </c>
      <c r="P5" s="418" t="str">
        <f t="shared" si="6"/>
        <v/>
      </c>
      <c r="Q5" s="418" t="str">
        <f t="shared" si="6"/>
        <v/>
      </c>
      <c r="R5" s="418">
        <f t="shared" si="6"/>
        <v>1002</v>
      </c>
      <c r="S5" s="418" t="str">
        <f t="shared" si="6"/>
        <v/>
      </c>
      <c r="T5" s="418" t="str">
        <f t="shared" si="6"/>
        <v/>
      </c>
      <c r="U5" s="418" t="str">
        <f t="shared" si="6"/>
        <v/>
      </c>
      <c r="V5" s="418" t="str">
        <f t="shared" si="6"/>
        <v/>
      </c>
      <c r="W5" s="418" t="str">
        <f t="shared" si="6"/>
        <v/>
      </c>
      <c r="X5" s="418" t="str">
        <f t="shared" si="6"/>
        <v/>
      </c>
      <c r="Y5" s="418" t="str">
        <f t="shared" si="6"/>
        <v/>
      </c>
      <c r="Z5" s="418" t="str">
        <f t="shared" si="6"/>
        <v/>
      </c>
      <c r="AA5" s="418" t="str">
        <f t="shared" si="6"/>
        <v/>
      </c>
      <c r="AB5" s="418" t="str">
        <f t="shared" si="6"/>
        <v/>
      </c>
      <c r="AC5" s="418" t="str">
        <f t="shared" si="6"/>
        <v/>
      </c>
      <c r="AD5" s="418" t="str">
        <f t="shared" si="6"/>
        <v/>
      </c>
      <c r="AE5" s="418" t="str">
        <f t="shared" si="6"/>
        <v/>
      </c>
      <c r="AF5" s="418" t="str">
        <f t="shared" si="6"/>
        <v/>
      </c>
      <c r="AG5" s="418" t="str">
        <f t="shared" si="6"/>
        <v/>
      </c>
      <c r="AH5" s="418" t="str">
        <f t="shared" si="6"/>
        <v/>
      </c>
      <c r="AI5" s="418" t="str">
        <f t="shared" si="6"/>
        <v/>
      </c>
      <c r="AJ5" s="418" t="str">
        <f t="shared" si="6"/>
        <v/>
      </c>
      <c r="AK5" s="418" t="str">
        <f t="shared" si="6"/>
        <v/>
      </c>
      <c r="AL5" s="418" t="str">
        <f t="shared" si="6"/>
        <v/>
      </c>
      <c r="AM5" s="418" t="str">
        <f t="shared" si="6"/>
        <v/>
      </c>
      <c r="AN5" s="418" t="str">
        <f t="shared" si="6"/>
        <v/>
      </c>
      <c r="AO5" s="418" t="str">
        <f t="shared" si="6"/>
        <v/>
      </c>
      <c r="AP5" s="418" t="str">
        <f t="shared" si="6"/>
        <v/>
      </c>
      <c r="AQ5" s="418" t="str">
        <f t="shared" si="6"/>
        <v/>
      </c>
      <c r="AR5" s="418" t="str">
        <f t="shared" si="6"/>
        <v/>
      </c>
      <c r="AS5" s="418" t="str">
        <f t="shared" si="6"/>
        <v/>
      </c>
      <c r="AT5" s="418" t="str">
        <f t="shared" si="6"/>
        <v/>
      </c>
      <c r="AU5" s="418" t="str">
        <f t="shared" si="6"/>
        <v/>
      </c>
      <c r="AV5" s="418" t="str">
        <f t="shared" si="6"/>
        <v/>
      </c>
      <c r="AW5" s="418" t="str">
        <f t="shared" si="6"/>
        <v/>
      </c>
      <c r="AX5" s="418" t="str">
        <f t="shared" si="6"/>
        <v/>
      </c>
      <c r="AY5" s="418" t="str">
        <f t="shared" si="6"/>
        <v/>
      </c>
      <c r="AZ5" s="418" t="str">
        <f t="shared" si="6"/>
        <v/>
      </c>
      <c r="BA5" s="418" t="str">
        <f t="shared" si="6"/>
        <v/>
      </c>
      <c r="BB5" s="418" t="str">
        <f t="shared" si="6"/>
        <v/>
      </c>
      <c r="BC5" s="418" t="str">
        <f t="shared" si="6"/>
        <v/>
      </c>
      <c r="BD5" s="418" t="str">
        <f t="shared" si="6"/>
        <v/>
      </c>
      <c r="BE5" s="418" t="str">
        <f t="shared" si="6"/>
        <v/>
      </c>
      <c r="BF5" s="418" t="str">
        <f t="shared" si="6"/>
        <v/>
      </c>
      <c r="BG5" s="418" t="str">
        <f t="shared" si="6"/>
        <v/>
      </c>
      <c r="BH5" s="418" t="str">
        <f t="shared" si="6"/>
        <v/>
      </c>
      <c r="BI5" s="418" t="str">
        <f t="shared" si="6"/>
        <v/>
      </c>
      <c r="BJ5" s="418" t="str">
        <f t="shared" si="6"/>
        <v/>
      </c>
      <c r="BK5" s="418" t="str">
        <f t="shared" si="6"/>
        <v/>
      </c>
      <c r="BL5" s="418" t="str">
        <f t="shared" si="6"/>
        <v/>
      </c>
      <c r="BM5" s="418" t="str">
        <f t="shared" si="6"/>
        <v/>
      </c>
      <c r="BN5" s="418" t="str">
        <f t="shared" si="6"/>
        <v/>
      </c>
      <c r="BO5" s="418" t="str">
        <f t="shared" si="6"/>
        <v/>
      </c>
      <c r="BP5" s="418" t="str">
        <f t="shared" si="6"/>
        <v/>
      </c>
      <c r="BQ5" s="418" t="str">
        <f t="shared" si="6"/>
        <v/>
      </c>
      <c r="BR5" s="418" t="str">
        <f t="shared" si="6"/>
        <v/>
      </c>
      <c r="BS5" s="418" t="str">
        <f t="shared" si="6"/>
        <v/>
      </c>
      <c r="BT5" s="418" t="str">
        <f t="shared" si="6"/>
        <v/>
      </c>
      <c r="BU5" s="418" t="str">
        <f t="shared" si="3"/>
        <v/>
      </c>
      <c r="BV5" s="544">
        <v>2.1</v>
      </c>
      <c r="BW5" s="723">
        <f t="shared" ref="BW5:BW18" si="7">SUM(I5:BU5)*BV5</f>
        <v>2104.2</v>
      </c>
      <c r="BX5" s="724">
        <f t="shared" ref="BX5:BX18" si="8">BW5*7.75</f>
        <v>16307.55</v>
      </c>
      <c r="BY5" s="725" t="str">
        <f t="shared" si="4"/>
        <v>SR</v>
      </c>
    </row>
    <row r="6" s="697" customFormat="1" customHeight="1" spans="1:77">
      <c r="A6" s="116">
        <v>45807</v>
      </c>
      <c r="B6" s="116">
        <v>45863</v>
      </c>
      <c r="C6" s="118" t="s">
        <v>254</v>
      </c>
      <c r="D6" s="118" t="s">
        <v>255</v>
      </c>
      <c r="E6" s="118" t="s">
        <v>37</v>
      </c>
      <c r="F6" s="726">
        <f>1800-1500</f>
        <v>300</v>
      </c>
      <c r="G6" s="118" t="s">
        <v>253</v>
      </c>
      <c r="H6" s="118" t="str">
        <f>IFERROR(VLOOKUP(E6,名称!A:E,4,0),"")</f>
        <v>二代</v>
      </c>
      <c r="I6" s="418" t="str">
        <f t="shared" ref="I6:BT6" si="9">IF(OR($E6="",I$1=""),"",IF(TRIM(LEFT($E6,MIN(IFERROR(FIND("CDU",UPPER($E6)),999),IFERROR(FIND("BULK",UPPER($E6)),999),IFERROR(FIND("-",$E6),999),IFERROR(FIND("（",$E6),999))-1))=I$1,$F6,""))</f>
        <v/>
      </c>
      <c r="J6" s="418" t="str">
        <f t="shared" si="9"/>
        <v/>
      </c>
      <c r="K6" s="418" t="str">
        <f t="shared" si="9"/>
        <v/>
      </c>
      <c r="L6" s="418" t="str">
        <f t="shared" si="9"/>
        <v/>
      </c>
      <c r="M6" s="418" t="str">
        <f t="shared" si="9"/>
        <v/>
      </c>
      <c r="N6" s="418" t="str">
        <f t="shared" si="9"/>
        <v/>
      </c>
      <c r="O6" s="418" t="str">
        <f t="shared" si="9"/>
        <v/>
      </c>
      <c r="P6" s="418" t="str">
        <f t="shared" si="9"/>
        <v/>
      </c>
      <c r="Q6" s="418" t="str">
        <f t="shared" si="9"/>
        <v/>
      </c>
      <c r="R6" s="418">
        <f t="shared" si="9"/>
        <v>300</v>
      </c>
      <c r="S6" s="418" t="str">
        <f t="shared" si="9"/>
        <v/>
      </c>
      <c r="T6" s="418" t="str">
        <f t="shared" si="9"/>
        <v/>
      </c>
      <c r="U6" s="418" t="str">
        <f t="shared" si="9"/>
        <v/>
      </c>
      <c r="V6" s="418" t="str">
        <f t="shared" si="9"/>
        <v/>
      </c>
      <c r="W6" s="418" t="str">
        <f t="shared" si="9"/>
        <v/>
      </c>
      <c r="X6" s="418" t="str">
        <f t="shared" si="9"/>
        <v/>
      </c>
      <c r="Y6" s="418" t="str">
        <f t="shared" si="9"/>
        <v/>
      </c>
      <c r="Z6" s="418" t="str">
        <f t="shared" si="9"/>
        <v/>
      </c>
      <c r="AA6" s="418" t="str">
        <f t="shared" si="9"/>
        <v/>
      </c>
      <c r="AB6" s="418" t="str">
        <f t="shared" si="9"/>
        <v/>
      </c>
      <c r="AC6" s="418" t="str">
        <f t="shared" si="9"/>
        <v/>
      </c>
      <c r="AD6" s="418" t="str">
        <f t="shared" si="9"/>
        <v/>
      </c>
      <c r="AE6" s="418" t="str">
        <f t="shared" si="9"/>
        <v/>
      </c>
      <c r="AF6" s="418" t="str">
        <f t="shared" si="9"/>
        <v/>
      </c>
      <c r="AG6" s="418" t="str">
        <f t="shared" si="9"/>
        <v/>
      </c>
      <c r="AH6" s="418" t="str">
        <f t="shared" si="9"/>
        <v/>
      </c>
      <c r="AI6" s="418" t="str">
        <f t="shared" si="9"/>
        <v/>
      </c>
      <c r="AJ6" s="418" t="str">
        <f t="shared" si="9"/>
        <v/>
      </c>
      <c r="AK6" s="418" t="str">
        <f t="shared" si="9"/>
        <v/>
      </c>
      <c r="AL6" s="418" t="str">
        <f t="shared" si="9"/>
        <v/>
      </c>
      <c r="AM6" s="418" t="str">
        <f t="shared" si="9"/>
        <v/>
      </c>
      <c r="AN6" s="418" t="str">
        <f t="shared" si="9"/>
        <v/>
      </c>
      <c r="AO6" s="418" t="str">
        <f t="shared" si="9"/>
        <v/>
      </c>
      <c r="AP6" s="418" t="str">
        <f t="shared" si="9"/>
        <v/>
      </c>
      <c r="AQ6" s="418" t="str">
        <f t="shared" si="9"/>
        <v/>
      </c>
      <c r="AR6" s="418" t="str">
        <f t="shared" si="9"/>
        <v/>
      </c>
      <c r="AS6" s="418" t="str">
        <f t="shared" si="9"/>
        <v/>
      </c>
      <c r="AT6" s="418" t="str">
        <f t="shared" si="9"/>
        <v/>
      </c>
      <c r="AU6" s="418" t="str">
        <f t="shared" si="9"/>
        <v/>
      </c>
      <c r="AV6" s="418" t="str">
        <f t="shared" si="9"/>
        <v/>
      </c>
      <c r="AW6" s="418" t="str">
        <f t="shared" si="9"/>
        <v/>
      </c>
      <c r="AX6" s="418" t="str">
        <f t="shared" si="9"/>
        <v/>
      </c>
      <c r="AY6" s="418" t="str">
        <f t="shared" si="9"/>
        <v/>
      </c>
      <c r="AZ6" s="418" t="str">
        <f t="shared" si="9"/>
        <v/>
      </c>
      <c r="BA6" s="418" t="str">
        <f t="shared" si="9"/>
        <v/>
      </c>
      <c r="BB6" s="418" t="str">
        <f t="shared" si="9"/>
        <v/>
      </c>
      <c r="BC6" s="418" t="str">
        <f t="shared" si="9"/>
        <v/>
      </c>
      <c r="BD6" s="418" t="str">
        <f t="shared" si="9"/>
        <v/>
      </c>
      <c r="BE6" s="418" t="str">
        <f t="shared" si="9"/>
        <v/>
      </c>
      <c r="BF6" s="418" t="str">
        <f t="shared" si="9"/>
        <v/>
      </c>
      <c r="BG6" s="418" t="str">
        <f t="shared" si="9"/>
        <v/>
      </c>
      <c r="BH6" s="418" t="str">
        <f t="shared" si="9"/>
        <v/>
      </c>
      <c r="BI6" s="418" t="str">
        <f t="shared" si="9"/>
        <v/>
      </c>
      <c r="BJ6" s="418" t="str">
        <f t="shared" si="9"/>
        <v/>
      </c>
      <c r="BK6" s="418" t="str">
        <f t="shared" si="9"/>
        <v/>
      </c>
      <c r="BL6" s="418" t="str">
        <f t="shared" si="9"/>
        <v/>
      </c>
      <c r="BM6" s="418" t="str">
        <f t="shared" si="9"/>
        <v/>
      </c>
      <c r="BN6" s="418" t="str">
        <f t="shared" si="9"/>
        <v/>
      </c>
      <c r="BO6" s="418" t="str">
        <f t="shared" si="9"/>
        <v/>
      </c>
      <c r="BP6" s="418" t="str">
        <f t="shared" si="9"/>
        <v/>
      </c>
      <c r="BQ6" s="418" t="str">
        <f t="shared" si="9"/>
        <v/>
      </c>
      <c r="BR6" s="418" t="str">
        <f t="shared" si="9"/>
        <v/>
      </c>
      <c r="BS6" s="418" t="str">
        <f t="shared" si="9"/>
        <v/>
      </c>
      <c r="BT6" s="418" t="str">
        <f t="shared" si="9"/>
        <v/>
      </c>
      <c r="BU6" s="418" t="str">
        <f t="shared" si="3"/>
        <v/>
      </c>
      <c r="BV6" s="544">
        <v>2.1</v>
      </c>
      <c r="BW6" s="723">
        <f t="shared" si="7"/>
        <v>630</v>
      </c>
      <c r="BX6" s="724">
        <f t="shared" si="8"/>
        <v>4882.5</v>
      </c>
      <c r="BY6" s="725" t="str">
        <f t="shared" si="4"/>
        <v>SR</v>
      </c>
    </row>
    <row r="7" s="697" customFormat="1" customHeight="1" spans="1:77">
      <c r="A7" s="116">
        <v>45807</v>
      </c>
      <c r="B7" s="116">
        <v>45863</v>
      </c>
      <c r="C7" s="118" t="s">
        <v>256</v>
      </c>
      <c r="D7" s="118" t="s">
        <v>257</v>
      </c>
      <c r="E7" s="118" t="s">
        <v>37</v>
      </c>
      <c r="F7" s="722">
        <v>2004</v>
      </c>
      <c r="G7" s="118" t="s">
        <v>253</v>
      </c>
      <c r="H7" s="118" t="str">
        <f>IFERROR(VLOOKUP(E7,名称!A:E,4,0),"")</f>
        <v>二代</v>
      </c>
      <c r="I7" s="418" t="str">
        <f t="shared" ref="I7:BT7" si="10">IF(OR($E7="",I$1=""),"",IF(TRIM(LEFT($E7,MIN(IFERROR(FIND("CDU",UPPER($E7)),999),IFERROR(FIND("BULK",UPPER($E7)),999),IFERROR(FIND("-",$E7),999),IFERROR(FIND("（",$E7),999))-1))=I$1,$F7,""))</f>
        <v/>
      </c>
      <c r="J7" s="418" t="str">
        <f t="shared" si="10"/>
        <v/>
      </c>
      <c r="K7" s="418" t="str">
        <f t="shared" si="10"/>
        <v/>
      </c>
      <c r="L7" s="418" t="str">
        <f t="shared" si="10"/>
        <v/>
      </c>
      <c r="M7" s="418" t="str">
        <f t="shared" si="10"/>
        <v/>
      </c>
      <c r="N7" s="418" t="str">
        <f t="shared" si="10"/>
        <v/>
      </c>
      <c r="O7" s="418" t="str">
        <f t="shared" si="10"/>
        <v/>
      </c>
      <c r="P7" s="418" t="str">
        <f t="shared" si="10"/>
        <v/>
      </c>
      <c r="Q7" s="418" t="str">
        <f t="shared" si="10"/>
        <v/>
      </c>
      <c r="R7" s="418">
        <f t="shared" si="10"/>
        <v>2004</v>
      </c>
      <c r="S7" s="418" t="str">
        <f t="shared" si="10"/>
        <v/>
      </c>
      <c r="T7" s="418" t="str">
        <f t="shared" si="10"/>
        <v/>
      </c>
      <c r="U7" s="418" t="str">
        <f t="shared" si="10"/>
        <v/>
      </c>
      <c r="V7" s="418" t="str">
        <f t="shared" si="10"/>
        <v/>
      </c>
      <c r="W7" s="418" t="str">
        <f t="shared" si="10"/>
        <v/>
      </c>
      <c r="X7" s="418" t="str">
        <f t="shared" si="10"/>
        <v/>
      </c>
      <c r="Y7" s="418" t="str">
        <f t="shared" si="10"/>
        <v/>
      </c>
      <c r="Z7" s="418" t="str">
        <f t="shared" si="10"/>
        <v/>
      </c>
      <c r="AA7" s="418" t="str">
        <f t="shared" si="10"/>
        <v/>
      </c>
      <c r="AB7" s="418" t="str">
        <f t="shared" si="10"/>
        <v/>
      </c>
      <c r="AC7" s="418" t="str">
        <f t="shared" si="10"/>
        <v/>
      </c>
      <c r="AD7" s="418" t="str">
        <f t="shared" si="10"/>
        <v/>
      </c>
      <c r="AE7" s="418" t="str">
        <f t="shared" si="10"/>
        <v/>
      </c>
      <c r="AF7" s="418" t="str">
        <f t="shared" si="10"/>
        <v/>
      </c>
      <c r="AG7" s="418" t="str">
        <f t="shared" si="10"/>
        <v/>
      </c>
      <c r="AH7" s="418" t="str">
        <f t="shared" si="10"/>
        <v/>
      </c>
      <c r="AI7" s="418" t="str">
        <f t="shared" si="10"/>
        <v/>
      </c>
      <c r="AJ7" s="418" t="str">
        <f t="shared" si="10"/>
        <v/>
      </c>
      <c r="AK7" s="418" t="str">
        <f t="shared" si="10"/>
        <v/>
      </c>
      <c r="AL7" s="418" t="str">
        <f t="shared" si="10"/>
        <v/>
      </c>
      <c r="AM7" s="418" t="str">
        <f t="shared" si="10"/>
        <v/>
      </c>
      <c r="AN7" s="418" t="str">
        <f t="shared" si="10"/>
        <v/>
      </c>
      <c r="AO7" s="418" t="str">
        <f t="shared" si="10"/>
        <v/>
      </c>
      <c r="AP7" s="418" t="str">
        <f t="shared" si="10"/>
        <v/>
      </c>
      <c r="AQ7" s="418" t="str">
        <f t="shared" si="10"/>
        <v/>
      </c>
      <c r="AR7" s="418" t="str">
        <f t="shared" si="10"/>
        <v/>
      </c>
      <c r="AS7" s="418" t="str">
        <f t="shared" si="10"/>
        <v/>
      </c>
      <c r="AT7" s="418" t="str">
        <f t="shared" si="10"/>
        <v/>
      </c>
      <c r="AU7" s="418" t="str">
        <f t="shared" si="10"/>
        <v/>
      </c>
      <c r="AV7" s="418" t="str">
        <f t="shared" si="10"/>
        <v/>
      </c>
      <c r="AW7" s="418" t="str">
        <f t="shared" si="10"/>
        <v/>
      </c>
      <c r="AX7" s="418" t="str">
        <f t="shared" si="10"/>
        <v/>
      </c>
      <c r="AY7" s="418" t="str">
        <f t="shared" si="10"/>
        <v/>
      </c>
      <c r="AZ7" s="418" t="str">
        <f t="shared" si="10"/>
        <v/>
      </c>
      <c r="BA7" s="418" t="str">
        <f t="shared" si="10"/>
        <v/>
      </c>
      <c r="BB7" s="418" t="str">
        <f t="shared" si="10"/>
        <v/>
      </c>
      <c r="BC7" s="418" t="str">
        <f t="shared" si="10"/>
        <v/>
      </c>
      <c r="BD7" s="418" t="str">
        <f t="shared" si="10"/>
        <v/>
      </c>
      <c r="BE7" s="418" t="str">
        <f t="shared" si="10"/>
        <v/>
      </c>
      <c r="BF7" s="418" t="str">
        <f t="shared" si="10"/>
        <v/>
      </c>
      <c r="BG7" s="418" t="str">
        <f t="shared" si="10"/>
        <v/>
      </c>
      <c r="BH7" s="418" t="str">
        <f t="shared" si="10"/>
        <v/>
      </c>
      <c r="BI7" s="418" t="str">
        <f t="shared" si="10"/>
        <v/>
      </c>
      <c r="BJ7" s="418" t="str">
        <f t="shared" si="10"/>
        <v/>
      </c>
      <c r="BK7" s="418" t="str">
        <f t="shared" si="10"/>
        <v/>
      </c>
      <c r="BL7" s="418" t="str">
        <f t="shared" si="10"/>
        <v/>
      </c>
      <c r="BM7" s="418" t="str">
        <f t="shared" si="10"/>
        <v/>
      </c>
      <c r="BN7" s="418" t="str">
        <f t="shared" si="10"/>
        <v/>
      </c>
      <c r="BO7" s="418" t="str">
        <f t="shared" si="10"/>
        <v/>
      </c>
      <c r="BP7" s="418" t="str">
        <f t="shared" si="10"/>
        <v/>
      </c>
      <c r="BQ7" s="418" t="str">
        <f t="shared" si="10"/>
        <v/>
      </c>
      <c r="BR7" s="418" t="str">
        <f t="shared" si="10"/>
        <v/>
      </c>
      <c r="BS7" s="418" t="str">
        <f t="shared" si="10"/>
        <v/>
      </c>
      <c r="BT7" s="418" t="str">
        <f t="shared" si="10"/>
        <v/>
      </c>
      <c r="BU7" s="418" t="str">
        <f t="shared" si="3"/>
        <v/>
      </c>
      <c r="BV7" s="544">
        <v>2.1</v>
      </c>
      <c r="BW7" s="723">
        <f t="shared" si="7"/>
        <v>4208.4</v>
      </c>
      <c r="BX7" s="724">
        <f t="shared" si="8"/>
        <v>32615.1</v>
      </c>
      <c r="BY7" s="725" t="str">
        <f t="shared" si="4"/>
        <v>SR</v>
      </c>
    </row>
    <row r="8" s="697" customFormat="1" customHeight="1" spans="1:77">
      <c r="A8" s="116">
        <v>45807</v>
      </c>
      <c r="B8" s="116">
        <v>45863</v>
      </c>
      <c r="C8" s="118" t="s">
        <v>256</v>
      </c>
      <c r="D8" s="118" t="s">
        <v>257</v>
      </c>
      <c r="E8" s="118" t="s">
        <v>37</v>
      </c>
      <c r="F8" s="722">
        <v>1200</v>
      </c>
      <c r="G8" s="118" t="s">
        <v>253</v>
      </c>
      <c r="H8" s="118" t="str">
        <f>IFERROR(VLOOKUP(E8,名称!A:E,4,0),"")</f>
        <v>二代</v>
      </c>
      <c r="I8" s="418" t="str">
        <f t="shared" ref="I8:BT8" si="11">IF(OR($E8="",I$1=""),"",IF(TRIM(LEFT($E8,MIN(IFERROR(FIND("CDU",UPPER($E8)),999),IFERROR(FIND("BULK",UPPER($E8)),999),IFERROR(FIND("-",$E8),999),IFERROR(FIND("（",$E8),999))-1))=I$1,$F8,""))</f>
        <v/>
      </c>
      <c r="J8" s="418" t="str">
        <f t="shared" si="11"/>
        <v/>
      </c>
      <c r="K8" s="418" t="str">
        <f t="shared" si="11"/>
        <v/>
      </c>
      <c r="L8" s="418" t="str">
        <f t="shared" si="11"/>
        <v/>
      </c>
      <c r="M8" s="418" t="str">
        <f t="shared" si="11"/>
        <v/>
      </c>
      <c r="N8" s="418" t="str">
        <f t="shared" si="11"/>
        <v/>
      </c>
      <c r="O8" s="418" t="str">
        <f t="shared" si="11"/>
        <v/>
      </c>
      <c r="P8" s="418" t="str">
        <f t="shared" si="11"/>
        <v/>
      </c>
      <c r="Q8" s="418" t="str">
        <f t="shared" si="11"/>
        <v/>
      </c>
      <c r="R8" s="418">
        <f t="shared" si="11"/>
        <v>1200</v>
      </c>
      <c r="S8" s="418" t="str">
        <f t="shared" si="11"/>
        <v/>
      </c>
      <c r="T8" s="418" t="str">
        <f t="shared" si="11"/>
        <v/>
      </c>
      <c r="U8" s="418" t="str">
        <f t="shared" si="11"/>
        <v/>
      </c>
      <c r="V8" s="418" t="str">
        <f t="shared" si="11"/>
        <v/>
      </c>
      <c r="W8" s="418" t="str">
        <f t="shared" si="11"/>
        <v/>
      </c>
      <c r="X8" s="418" t="str">
        <f t="shared" si="11"/>
        <v/>
      </c>
      <c r="Y8" s="418" t="str">
        <f t="shared" si="11"/>
        <v/>
      </c>
      <c r="Z8" s="418" t="str">
        <f t="shared" si="11"/>
        <v/>
      </c>
      <c r="AA8" s="418" t="str">
        <f t="shared" si="11"/>
        <v/>
      </c>
      <c r="AB8" s="418" t="str">
        <f t="shared" si="11"/>
        <v/>
      </c>
      <c r="AC8" s="418" t="str">
        <f t="shared" si="11"/>
        <v/>
      </c>
      <c r="AD8" s="418" t="str">
        <f t="shared" si="11"/>
        <v/>
      </c>
      <c r="AE8" s="418" t="str">
        <f t="shared" si="11"/>
        <v/>
      </c>
      <c r="AF8" s="418" t="str">
        <f t="shared" si="11"/>
        <v/>
      </c>
      <c r="AG8" s="418" t="str">
        <f t="shared" si="11"/>
        <v/>
      </c>
      <c r="AH8" s="418" t="str">
        <f t="shared" si="11"/>
        <v/>
      </c>
      <c r="AI8" s="418" t="str">
        <f t="shared" si="11"/>
        <v/>
      </c>
      <c r="AJ8" s="418" t="str">
        <f t="shared" si="11"/>
        <v/>
      </c>
      <c r="AK8" s="418" t="str">
        <f t="shared" si="11"/>
        <v/>
      </c>
      <c r="AL8" s="418" t="str">
        <f t="shared" si="11"/>
        <v/>
      </c>
      <c r="AM8" s="418" t="str">
        <f t="shared" si="11"/>
        <v/>
      </c>
      <c r="AN8" s="418" t="str">
        <f t="shared" si="11"/>
        <v/>
      </c>
      <c r="AO8" s="418" t="str">
        <f t="shared" si="11"/>
        <v/>
      </c>
      <c r="AP8" s="418" t="str">
        <f t="shared" si="11"/>
        <v/>
      </c>
      <c r="AQ8" s="418" t="str">
        <f t="shared" si="11"/>
        <v/>
      </c>
      <c r="AR8" s="418" t="str">
        <f t="shared" si="11"/>
        <v/>
      </c>
      <c r="AS8" s="418" t="str">
        <f t="shared" si="11"/>
        <v/>
      </c>
      <c r="AT8" s="418" t="str">
        <f t="shared" si="11"/>
        <v/>
      </c>
      <c r="AU8" s="418" t="str">
        <f t="shared" si="11"/>
        <v/>
      </c>
      <c r="AV8" s="418" t="str">
        <f t="shared" si="11"/>
        <v/>
      </c>
      <c r="AW8" s="418" t="str">
        <f t="shared" si="11"/>
        <v/>
      </c>
      <c r="AX8" s="418" t="str">
        <f t="shared" si="11"/>
        <v/>
      </c>
      <c r="AY8" s="418" t="str">
        <f t="shared" si="11"/>
        <v/>
      </c>
      <c r="AZ8" s="418" t="str">
        <f t="shared" si="11"/>
        <v/>
      </c>
      <c r="BA8" s="418" t="str">
        <f t="shared" si="11"/>
        <v/>
      </c>
      <c r="BB8" s="418" t="str">
        <f t="shared" si="11"/>
        <v/>
      </c>
      <c r="BC8" s="418" t="str">
        <f t="shared" si="11"/>
        <v/>
      </c>
      <c r="BD8" s="418" t="str">
        <f t="shared" si="11"/>
        <v/>
      </c>
      <c r="BE8" s="418" t="str">
        <f t="shared" si="11"/>
        <v/>
      </c>
      <c r="BF8" s="418" t="str">
        <f t="shared" si="11"/>
        <v/>
      </c>
      <c r="BG8" s="418" t="str">
        <f t="shared" si="11"/>
        <v/>
      </c>
      <c r="BH8" s="418" t="str">
        <f t="shared" si="11"/>
        <v/>
      </c>
      <c r="BI8" s="418" t="str">
        <f t="shared" si="11"/>
        <v/>
      </c>
      <c r="BJ8" s="418" t="str">
        <f t="shared" si="11"/>
        <v/>
      </c>
      <c r="BK8" s="418" t="str">
        <f t="shared" si="11"/>
        <v/>
      </c>
      <c r="BL8" s="418" t="str">
        <f t="shared" si="11"/>
        <v/>
      </c>
      <c r="BM8" s="418" t="str">
        <f t="shared" si="11"/>
        <v/>
      </c>
      <c r="BN8" s="418" t="str">
        <f t="shared" si="11"/>
        <v/>
      </c>
      <c r="BO8" s="418" t="str">
        <f t="shared" si="11"/>
        <v/>
      </c>
      <c r="BP8" s="418" t="str">
        <f t="shared" si="11"/>
        <v/>
      </c>
      <c r="BQ8" s="418" t="str">
        <f t="shared" si="11"/>
        <v/>
      </c>
      <c r="BR8" s="418" t="str">
        <f t="shared" si="11"/>
        <v/>
      </c>
      <c r="BS8" s="418" t="str">
        <f t="shared" si="11"/>
        <v/>
      </c>
      <c r="BT8" s="418" t="str">
        <f t="shared" si="11"/>
        <v/>
      </c>
      <c r="BU8" s="418" t="str">
        <f t="shared" si="3"/>
        <v/>
      </c>
      <c r="BV8" s="544">
        <v>2.1</v>
      </c>
      <c r="BW8" s="723">
        <f t="shared" si="7"/>
        <v>2520</v>
      </c>
      <c r="BX8" s="724">
        <f t="shared" si="8"/>
        <v>19530</v>
      </c>
      <c r="BY8" s="725" t="str">
        <f t="shared" si="4"/>
        <v>SR</v>
      </c>
    </row>
    <row r="9" s="697" customFormat="1" customHeight="1" spans="1:77">
      <c r="A9" s="116">
        <v>45807</v>
      </c>
      <c r="B9" s="116">
        <v>45863</v>
      </c>
      <c r="C9" s="118" t="s">
        <v>258</v>
      </c>
      <c r="D9" s="118" t="s">
        <v>259</v>
      </c>
      <c r="E9" s="118" t="s">
        <v>57</v>
      </c>
      <c r="F9" s="722">
        <v>2000</v>
      </c>
      <c r="G9" s="118" t="s">
        <v>253</v>
      </c>
      <c r="H9" s="118" t="str">
        <f>IFERROR(VLOOKUP(E9,名称!A:E,4,0),"")</f>
        <v>二代</v>
      </c>
      <c r="I9" s="418" t="str">
        <f t="shared" ref="I9:BT9" si="12">IF(OR($E9="",I$1=""),"",IF(TRIM(LEFT($E9,MIN(IFERROR(FIND("CDU",UPPER($E9)),999),IFERROR(FIND("BULK",UPPER($E9)),999),IFERROR(FIND("-",$E9),999),IFERROR(FIND("（",$E9),999))-1))=I$1,$F9,""))</f>
        <v/>
      </c>
      <c r="J9" s="418" t="str">
        <f t="shared" si="12"/>
        <v/>
      </c>
      <c r="K9" s="418" t="str">
        <f t="shared" si="12"/>
        <v/>
      </c>
      <c r="L9" s="418">
        <f t="shared" si="12"/>
        <v>2000</v>
      </c>
      <c r="M9" s="418" t="str">
        <f t="shared" si="12"/>
        <v/>
      </c>
      <c r="N9" s="418" t="str">
        <f t="shared" si="12"/>
        <v/>
      </c>
      <c r="O9" s="418" t="str">
        <f t="shared" si="12"/>
        <v/>
      </c>
      <c r="P9" s="418" t="str">
        <f t="shared" si="12"/>
        <v/>
      </c>
      <c r="Q9" s="418" t="str">
        <f t="shared" si="12"/>
        <v/>
      </c>
      <c r="R9" s="418" t="str">
        <f t="shared" si="12"/>
        <v/>
      </c>
      <c r="S9" s="418" t="str">
        <f t="shared" si="12"/>
        <v/>
      </c>
      <c r="T9" s="418" t="str">
        <f t="shared" si="12"/>
        <v/>
      </c>
      <c r="U9" s="418" t="str">
        <f t="shared" si="12"/>
        <v/>
      </c>
      <c r="V9" s="418" t="str">
        <f t="shared" si="12"/>
        <v/>
      </c>
      <c r="W9" s="418" t="str">
        <f t="shared" si="12"/>
        <v/>
      </c>
      <c r="X9" s="418" t="str">
        <f t="shared" si="12"/>
        <v/>
      </c>
      <c r="Y9" s="418" t="str">
        <f t="shared" si="12"/>
        <v/>
      </c>
      <c r="Z9" s="418" t="str">
        <f t="shared" si="12"/>
        <v/>
      </c>
      <c r="AA9" s="418" t="str">
        <f t="shared" si="12"/>
        <v/>
      </c>
      <c r="AB9" s="418" t="str">
        <f t="shared" si="12"/>
        <v/>
      </c>
      <c r="AC9" s="418" t="str">
        <f t="shared" si="12"/>
        <v/>
      </c>
      <c r="AD9" s="418" t="str">
        <f t="shared" si="12"/>
        <v/>
      </c>
      <c r="AE9" s="418" t="str">
        <f t="shared" si="12"/>
        <v/>
      </c>
      <c r="AF9" s="418" t="str">
        <f t="shared" si="12"/>
        <v/>
      </c>
      <c r="AG9" s="418" t="str">
        <f t="shared" si="12"/>
        <v/>
      </c>
      <c r="AH9" s="418" t="str">
        <f t="shared" si="12"/>
        <v/>
      </c>
      <c r="AI9" s="418" t="str">
        <f t="shared" si="12"/>
        <v/>
      </c>
      <c r="AJ9" s="418" t="str">
        <f t="shared" si="12"/>
        <v/>
      </c>
      <c r="AK9" s="418" t="str">
        <f t="shared" si="12"/>
        <v/>
      </c>
      <c r="AL9" s="418" t="str">
        <f t="shared" si="12"/>
        <v/>
      </c>
      <c r="AM9" s="418" t="str">
        <f t="shared" si="12"/>
        <v/>
      </c>
      <c r="AN9" s="418" t="str">
        <f t="shared" si="12"/>
        <v/>
      </c>
      <c r="AO9" s="418" t="str">
        <f t="shared" si="12"/>
        <v/>
      </c>
      <c r="AP9" s="418" t="str">
        <f t="shared" si="12"/>
        <v/>
      </c>
      <c r="AQ9" s="418" t="str">
        <f t="shared" si="12"/>
        <v/>
      </c>
      <c r="AR9" s="418" t="str">
        <f t="shared" si="12"/>
        <v/>
      </c>
      <c r="AS9" s="418" t="str">
        <f t="shared" si="12"/>
        <v/>
      </c>
      <c r="AT9" s="418" t="str">
        <f t="shared" si="12"/>
        <v/>
      </c>
      <c r="AU9" s="418" t="str">
        <f t="shared" si="12"/>
        <v/>
      </c>
      <c r="AV9" s="418" t="str">
        <f t="shared" si="12"/>
        <v/>
      </c>
      <c r="AW9" s="418" t="str">
        <f t="shared" si="12"/>
        <v/>
      </c>
      <c r="AX9" s="418" t="str">
        <f t="shared" si="12"/>
        <v/>
      </c>
      <c r="AY9" s="418" t="str">
        <f t="shared" si="12"/>
        <v/>
      </c>
      <c r="AZ9" s="418" t="str">
        <f t="shared" si="12"/>
        <v/>
      </c>
      <c r="BA9" s="418" t="str">
        <f t="shared" si="12"/>
        <v/>
      </c>
      <c r="BB9" s="418" t="str">
        <f t="shared" si="12"/>
        <v/>
      </c>
      <c r="BC9" s="418" t="str">
        <f t="shared" si="12"/>
        <v/>
      </c>
      <c r="BD9" s="418" t="str">
        <f t="shared" si="12"/>
        <v/>
      </c>
      <c r="BE9" s="418" t="str">
        <f t="shared" si="12"/>
        <v/>
      </c>
      <c r="BF9" s="418" t="str">
        <f t="shared" si="12"/>
        <v/>
      </c>
      <c r="BG9" s="418" t="str">
        <f t="shared" si="12"/>
        <v/>
      </c>
      <c r="BH9" s="418" t="str">
        <f t="shared" si="12"/>
        <v/>
      </c>
      <c r="BI9" s="418" t="str">
        <f t="shared" si="12"/>
        <v/>
      </c>
      <c r="BJ9" s="418" t="str">
        <f t="shared" si="12"/>
        <v/>
      </c>
      <c r="BK9" s="418" t="str">
        <f t="shared" si="12"/>
        <v/>
      </c>
      <c r="BL9" s="418" t="str">
        <f t="shared" si="12"/>
        <v/>
      </c>
      <c r="BM9" s="418" t="str">
        <f t="shared" si="12"/>
        <v/>
      </c>
      <c r="BN9" s="418" t="str">
        <f t="shared" si="12"/>
        <v/>
      </c>
      <c r="BO9" s="418" t="str">
        <f t="shared" si="12"/>
        <v/>
      </c>
      <c r="BP9" s="418" t="str">
        <f t="shared" si="12"/>
        <v/>
      </c>
      <c r="BQ9" s="418" t="str">
        <f t="shared" si="12"/>
        <v/>
      </c>
      <c r="BR9" s="418" t="str">
        <f t="shared" si="12"/>
        <v/>
      </c>
      <c r="BS9" s="418" t="str">
        <f t="shared" si="12"/>
        <v/>
      </c>
      <c r="BT9" s="418" t="str">
        <f t="shared" si="12"/>
        <v/>
      </c>
      <c r="BU9" s="418" t="str">
        <f t="shared" si="3"/>
        <v/>
      </c>
      <c r="BV9" s="544">
        <v>0.98</v>
      </c>
      <c r="BW9" s="723">
        <f t="shared" si="7"/>
        <v>1960</v>
      </c>
      <c r="BX9" s="724">
        <f t="shared" si="8"/>
        <v>15190</v>
      </c>
      <c r="BY9" s="725" t="str">
        <f t="shared" si="4"/>
        <v>SR</v>
      </c>
    </row>
    <row r="10" s="697" customFormat="1" customHeight="1" spans="1:77">
      <c r="A10" s="116">
        <v>45807</v>
      </c>
      <c r="B10" s="116">
        <v>45863</v>
      </c>
      <c r="C10" s="118" t="s">
        <v>258</v>
      </c>
      <c r="D10" s="118" t="s">
        <v>259</v>
      </c>
      <c r="E10" s="118" t="s">
        <v>57</v>
      </c>
      <c r="F10" s="722">
        <v>3600</v>
      </c>
      <c r="G10" s="118" t="s">
        <v>253</v>
      </c>
      <c r="H10" s="118" t="str">
        <f>IFERROR(VLOOKUP(E10,名称!A:E,4,0),"")</f>
        <v>二代</v>
      </c>
      <c r="I10" s="418" t="str">
        <f t="shared" ref="I10:BT10" si="13">IF(OR($E10="",I$1=""),"",IF(TRIM(LEFT($E10,MIN(IFERROR(FIND("CDU",UPPER($E10)),999),IFERROR(FIND("BULK",UPPER($E10)),999),IFERROR(FIND("-",$E10),999),IFERROR(FIND("（",$E10),999))-1))=I$1,$F10,""))</f>
        <v/>
      </c>
      <c r="J10" s="418" t="str">
        <f t="shared" si="13"/>
        <v/>
      </c>
      <c r="K10" s="418" t="str">
        <f t="shared" si="13"/>
        <v/>
      </c>
      <c r="L10" s="418">
        <f t="shared" si="13"/>
        <v>3600</v>
      </c>
      <c r="M10" s="418" t="str">
        <f t="shared" si="13"/>
        <v/>
      </c>
      <c r="N10" s="418" t="str">
        <f t="shared" si="13"/>
        <v/>
      </c>
      <c r="O10" s="418" t="str">
        <f t="shared" si="13"/>
        <v/>
      </c>
      <c r="P10" s="418" t="str">
        <f t="shared" si="13"/>
        <v/>
      </c>
      <c r="Q10" s="418" t="str">
        <f t="shared" si="13"/>
        <v/>
      </c>
      <c r="R10" s="418" t="str">
        <f t="shared" si="13"/>
        <v/>
      </c>
      <c r="S10" s="418" t="str">
        <f t="shared" si="13"/>
        <v/>
      </c>
      <c r="T10" s="418" t="str">
        <f t="shared" si="13"/>
        <v/>
      </c>
      <c r="U10" s="418" t="str">
        <f t="shared" si="13"/>
        <v/>
      </c>
      <c r="V10" s="418" t="str">
        <f t="shared" si="13"/>
        <v/>
      </c>
      <c r="W10" s="418" t="str">
        <f t="shared" si="13"/>
        <v/>
      </c>
      <c r="X10" s="418" t="str">
        <f t="shared" si="13"/>
        <v/>
      </c>
      <c r="Y10" s="418" t="str">
        <f t="shared" si="13"/>
        <v/>
      </c>
      <c r="Z10" s="418" t="str">
        <f t="shared" si="13"/>
        <v/>
      </c>
      <c r="AA10" s="418" t="str">
        <f t="shared" si="13"/>
        <v/>
      </c>
      <c r="AB10" s="418" t="str">
        <f t="shared" si="13"/>
        <v/>
      </c>
      <c r="AC10" s="418" t="str">
        <f t="shared" si="13"/>
        <v/>
      </c>
      <c r="AD10" s="418" t="str">
        <f t="shared" si="13"/>
        <v/>
      </c>
      <c r="AE10" s="418" t="str">
        <f t="shared" si="13"/>
        <v/>
      </c>
      <c r="AF10" s="418" t="str">
        <f t="shared" si="13"/>
        <v/>
      </c>
      <c r="AG10" s="418" t="str">
        <f t="shared" si="13"/>
        <v/>
      </c>
      <c r="AH10" s="418" t="str">
        <f t="shared" si="13"/>
        <v/>
      </c>
      <c r="AI10" s="418" t="str">
        <f t="shared" si="13"/>
        <v/>
      </c>
      <c r="AJ10" s="418" t="str">
        <f t="shared" si="13"/>
        <v/>
      </c>
      <c r="AK10" s="418" t="str">
        <f t="shared" si="13"/>
        <v/>
      </c>
      <c r="AL10" s="418" t="str">
        <f t="shared" si="13"/>
        <v/>
      </c>
      <c r="AM10" s="418" t="str">
        <f t="shared" si="13"/>
        <v/>
      </c>
      <c r="AN10" s="418" t="str">
        <f t="shared" si="13"/>
        <v/>
      </c>
      <c r="AO10" s="418" t="str">
        <f t="shared" si="13"/>
        <v/>
      </c>
      <c r="AP10" s="418" t="str">
        <f t="shared" si="13"/>
        <v/>
      </c>
      <c r="AQ10" s="418" t="str">
        <f t="shared" si="13"/>
        <v/>
      </c>
      <c r="AR10" s="418" t="str">
        <f t="shared" si="13"/>
        <v/>
      </c>
      <c r="AS10" s="418" t="str">
        <f t="shared" si="13"/>
        <v/>
      </c>
      <c r="AT10" s="418" t="str">
        <f t="shared" si="13"/>
        <v/>
      </c>
      <c r="AU10" s="418" t="str">
        <f t="shared" si="13"/>
        <v/>
      </c>
      <c r="AV10" s="418" t="str">
        <f t="shared" si="13"/>
        <v/>
      </c>
      <c r="AW10" s="418" t="str">
        <f t="shared" si="13"/>
        <v/>
      </c>
      <c r="AX10" s="418" t="str">
        <f t="shared" si="13"/>
        <v/>
      </c>
      <c r="AY10" s="418" t="str">
        <f t="shared" si="13"/>
        <v/>
      </c>
      <c r="AZ10" s="418" t="str">
        <f t="shared" si="13"/>
        <v/>
      </c>
      <c r="BA10" s="418" t="str">
        <f t="shared" si="13"/>
        <v/>
      </c>
      <c r="BB10" s="418" t="str">
        <f t="shared" si="13"/>
        <v/>
      </c>
      <c r="BC10" s="418" t="str">
        <f t="shared" si="13"/>
        <v/>
      </c>
      <c r="BD10" s="418" t="str">
        <f t="shared" si="13"/>
        <v/>
      </c>
      <c r="BE10" s="418" t="str">
        <f t="shared" si="13"/>
        <v/>
      </c>
      <c r="BF10" s="418" t="str">
        <f t="shared" si="13"/>
        <v/>
      </c>
      <c r="BG10" s="418" t="str">
        <f t="shared" si="13"/>
        <v/>
      </c>
      <c r="BH10" s="418" t="str">
        <f t="shared" si="13"/>
        <v/>
      </c>
      <c r="BI10" s="418" t="str">
        <f t="shared" si="13"/>
        <v/>
      </c>
      <c r="BJ10" s="418" t="str">
        <f t="shared" si="13"/>
        <v/>
      </c>
      <c r="BK10" s="418" t="str">
        <f t="shared" si="13"/>
        <v/>
      </c>
      <c r="BL10" s="418" t="str">
        <f t="shared" si="13"/>
        <v/>
      </c>
      <c r="BM10" s="418" t="str">
        <f t="shared" si="13"/>
        <v/>
      </c>
      <c r="BN10" s="418" t="str">
        <f t="shared" si="13"/>
        <v/>
      </c>
      <c r="BO10" s="418" t="str">
        <f t="shared" si="13"/>
        <v/>
      </c>
      <c r="BP10" s="418" t="str">
        <f t="shared" si="13"/>
        <v/>
      </c>
      <c r="BQ10" s="418" t="str">
        <f t="shared" si="13"/>
        <v/>
      </c>
      <c r="BR10" s="418" t="str">
        <f t="shared" si="13"/>
        <v/>
      </c>
      <c r="BS10" s="418" t="str">
        <f t="shared" si="13"/>
        <v/>
      </c>
      <c r="BT10" s="418" t="str">
        <f t="shared" si="13"/>
        <v/>
      </c>
      <c r="BU10" s="418" t="str">
        <f t="shared" si="3"/>
        <v/>
      </c>
      <c r="BV10" s="544">
        <v>0.98</v>
      </c>
      <c r="BW10" s="723">
        <f t="shared" si="7"/>
        <v>3528</v>
      </c>
      <c r="BX10" s="724">
        <f t="shared" si="8"/>
        <v>27342</v>
      </c>
      <c r="BY10" s="725" t="str">
        <f t="shared" si="4"/>
        <v>SR</v>
      </c>
    </row>
    <row r="11" s="697" customFormat="1" customHeight="1" spans="1:77">
      <c r="A11" s="116">
        <v>45807</v>
      </c>
      <c r="B11" s="116">
        <v>45863</v>
      </c>
      <c r="C11" s="118" t="s">
        <v>260</v>
      </c>
      <c r="D11" s="118" t="s">
        <v>261</v>
      </c>
      <c r="E11" s="118" t="s">
        <v>40</v>
      </c>
      <c r="F11" s="722">
        <v>1800</v>
      </c>
      <c r="G11" s="118" t="s">
        <v>253</v>
      </c>
      <c r="H11" s="118" t="str">
        <f>IFERROR(VLOOKUP(E11,名称!A:E,4,0),"")</f>
        <v>二代</v>
      </c>
      <c r="I11" s="418" t="str">
        <f t="shared" ref="I11:BT11" si="14">IF(OR($E11="",I$1=""),"",IF(TRIM(LEFT($E11,MIN(IFERROR(FIND("CDU",UPPER($E11)),999),IFERROR(FIND("BULK",UPPER($E11)),999),IFERROR(FIND("-",$E11),999),IFERROR(FIND("（",$E11),999))-1))=I$1,$F11,""))</f>
        <v/>
      </c>
      <c r="J11" s="418" t="str">
        <f t="shared" si="14"/>
        <v/>
      </c>
      <c r="K11" s="418">
        <f t="shared" si="14"/>
        <v>1800</v>
      </c>
      <c r="L11" s="418" t="str">
        <f t="shared" si="14"/>
        <v/>
      </c>
      <c r="M11" s="418" t="str">
        <f t="shared" si="14"/>
        <v/>
      </c>
      <c r="N11" s="418" t="str">
        <f t="shared" si="14"/>
        <v/>
      </c>
      <c r="O11" s="418" t="str">
        <f t="shared" si="14"/>
        <v/>
      </c>
      <c r="P11" s="418" t="str">
        <f t="shared" si="14"/>
        <v/>
      </c>
      <c r="Q11" s="418" t="str">
        <f t="shared" si="14"/>
        <v/>
      </c>
      <c r="R11" s="418" t="str">
        <f t="shared" si="14"/>
        <v/>
      </c>
      <c r="S11" s="418" t="str">
        <f t="shared" si="14"/>
        <v/>
      </c>
      <c r="T11" s="418" t="str">
        <f t="shared" si="14"/>
        <v/>
      </c>
      <c r="U11" s="418" t="str">
        <f t="shared" si="14"/>
        <v/>
      </c>
      <c r="V11" s="418" t="str">
        <f t="shared" si="14"/>
        <v/>
      </c>
      <c r="W11" s="418" t="str">
        <f t="shared" si="14"/>
        <v/>
      </c>
      <c r="X11" s="418" t="str">
        <f t="shared" si="14"/>
        <v/>
      </c>
      <c r="Y11" s="418" t="str">
        <f t="shared" si="14"/>
        <v/>
      </c>
      <c r="Z11" s="418" t="str">
        <f t="shared" si="14"/>
        <v/>
      </c>
      <c r="AA11" s="418" t="str">
        <f t="shared" si="14"/>
        <v/>
      </c>
      <c r="AB11" s="418" t="str">
        <f t="shared" si="14"/>
        <v/>
      </c>
      <c r="AC11" s="418" t="str">
        <f t="shared" si="14"/>
        <v/>
      </c>
      <c r="AD11" s="418" t="str">
        <f t="shared" si="14"/>
        <v/>
      </c>
      <c r="AE11" s="418" t="str">
        <f t="shared" si="14"/>
        <v/>
      </c>
      <c r="AF11" s="418" t="str">
        <f t="shared" si="14"/>
        <v/>
      </c>
      <c r="AG11" s="418" t="str">
        <f t="shared" si="14"/>
        <v/>
      </c>
      <c r="AH11" s="418" t="str">
        <f t="shared" si="14"/>
        <v/>
      </c>
      <c r="AI11" s="418" t="str">
        <f t="shared" si="14"/>
        <v/>
      </c>
      <c r="AJ11" s="418" t="str">
        <f t="shared" si="14"/>
        <v/>
      </c>
      <c r="AK11" s="418" t="str">
        <f t="shared" si="14"/>
        <v/>
      </c>
      <c r="AL11" s="418" t="str">
        <f t="shared" si="14"/>
        <v/>
      </c>
      <c r="AM11" s="418" t="str">
        <f t="shared" si="14"/>
        <v/>
      </c>
      <c r="AN11" s="418" t="str">
        <f t="shared" si="14"/>
        <v/>
      </c>
      <c r="AO11" s="418" t="str">
        <f t="shared" si="14"/>
        <v/>
      </c>
      <c r="AP11" s="418" t="str">
        <f t="shared" si="14"/>
        <v/>
      </c>
      <c r="AQ11" s="418" t="str">
        <f t="shared" si="14"/>
        <v/>
      </c>
      <c r="AR11" s="418" t="str">
        <f t="shared" si="14"/>
        <v/>
      </c>
      <c r="AS11" s="418" t="str">
        <f t="shared" si="14"/>
        <v/>
      </c>
      <c r="AT11" s="418" t="str">
        <f t="shared" si="14"/>
        <v/>
      </c>
      <c r="AU11" s="418" t="str">
        <f t="shared" si="14"/>
        <v/>
      </c>
      <c r="AV11" s="418" t="str">
        <f t="shared" si="14"/>
        <v/>
      </c>
      <c r="AW11" s="418" t="str">
        <f t="shared" si="14"/>
        <v/>
      </c>
      <c r="AX11" s="418" t="str">
        <f t="shared" si="14"/>
        <v/>
      </c>
      <c r="AY11" s="418" t="str">
        <f t="shared" si="14"/>
        <v/>
      </c>
      <c r="AZ11" s="418" t="str">
        <f t="shared" si="14"/>
        <v/>
      </c>
      <c r="BA11" s="418" t="str">
        <f t="shared" si="14"/>
        <v/>
      </c>
      <c r="BB11" s="418" t="str">
        <f t="shared" si="14"/>
        <v/>
      </c>
      <c r="BC11" s="418" t="str">
        <f t="shared" si="14"/>
        <v/>
      </c>
      <c r="BD11" s="418" t="str">
        <f t="shared" si="14"/>
        <v/>
      </c>
      <c r="BE11" s="418" t="str">
        <f t="shared" si="14"/>
        <v/>
      </c>
      <c r="BF11" s="418" t="str">
        <f t="shared" si="14"/>
        <v/>
      </c>
      <c r="BG11" s="418" t="str">
        <f t="shared" si="14"/>
        <v/>
      </c>
      <c r="BH11" s="418" t="str">
        <f t="shared" si="14"/>
        <v/>
      </c>
      <c r="BI11" s="418" t="str">
        <f t="shared" si="14"/>
        <v/>
      </c>
      <c r="BJ11" s="418" t="str">
        <f t="shared" si="14"/>
        <v/>
      </c>
      <c r="BK11" s="418" t="str">
        <f t="shared" si="14"/>
        <v/>
      </c>
      <c r="BL11" s="418" t="str">
        <f t="shared" si="14"/>
        <v/>
      </c>
      <c r="BM11" s="418" t="str">
        <f t="shared" si="14"/>
        <v/>
      </c>
      <c r="BN11" s="418" t="str">
        <f t="shared" si="14"/>
        <v/>
      </c>
      <c r="BO11" s="418" t="str">
        <f t="shared" si="14"/>
        <v/>
      </c>
      <c r="BP11" s="418" t="str">
        <f t="shared" si="14"/>
        <v/>
      </c>
      <c r="BQ11" s="418" t="str">
        <f t="shared" si="14"/>
        <v/>
      </c>
      <c r="BR11" s="418" t="str">
        <f t="shared" si="14"/>
        <v/>
      </c>
      <c r="BS11" s="418" t="str">
        <f t="shared" si="14"/>
        <v/>
      </c>
      <c r="BT11" s="418" t="str">
        <f t="shared" si="14"/>
        <v/>
      </c>
      <c r="BU11" s="418" t="str">
        <f t="shared" si="3"/>
        <v/>
      </c>
      <c r="BV11" s="544">
        <v>0.87</v>
      </c>
      <c r="BW11" s="723">
        <f t="shared" si="7"/>
        <v>1566</v>
      </c>
      <c r="BX11" s="724">
        <f t="shared" si="8"/>
        <v>12136.5</v>
      </c>
      <c r="BY11" s="725" t="str">
        <f t="shared" si="4"/>
        <v>SR</v>
      </c>
    </row>
    <row r="12" s="697" customFormat="1" customHeight="1" spans="1:77">
      <c r="A12" s="116">
        <v>45807</v>
      </c>
      <c r="B12" s="116">
        <v>45863</v>
      </c>
      <c r="C12" s="118" t="s">
        <v>260</v>
      </c>
      <c r="D12" s="118" t="s">
        <v>261</v>
      </c>
      <c r="E12" s="118" t="s">
        <v>40</v>
      </c>
      <c r="F12" s="722">
        <v>384</v>
      </c>
      <c r="G12" s="118" t="s">
        <v>253</v>
      </c>
      <c r="H12" s="118" t="str">
        <f>IFERROR(VLOOKUP(E12,名称!A:E,4,0),"")</f>
        <v>二代</v>
      </c>
      <c r="I12" s="418" t="str">
        <f t="shared" ref="I12:BT12" si="15">IF(OR($E12="",I$1=""),"",IF(TRIM(LEFT($E12,MIN(IFERROR(FIND("CDU",UPPER($E12)),999),IFERROR(FIND("BULK",UPPER($E12)),999),IFERROR(FIND("-",$E12),999),IFERROR(FIND("（",$E12),999))-1))=I$1,$F12,""))</f>
        <v/>
      </c>
      <c r="J12" s="418" t="str">
        <f t="shared" si="15"/>
        <v/>
      </c>
      <c r="K12" s="418">
        <f t="shared" si="15"/>
        <v>384</v>
      </c>
      <c r="L12" s="418" t="str">
        <f t="shared" si="15"/>
        <v/>
      </c>
      <c r="M12" s="418" t="str">
        <f t="shared" si="15"/>
        <v/>
      </c>
      <c r="N12" s="418" t="str">
        <f t="shared" si="15"/>
        <v/>
      </c>
      <c r="O12" s="418" t="str">
        <f t="shared" si="15"/>
        <v/>
      </c>
      <c r="P12" s="418" t="str">
        <f t="shared" si="15"/>
        <v/>
      </c>
      <c r="Q12" s="418" t="str">
        <f t="shared" si="15"/>
        <v/>
      </c>
      <c r="R12" s="418" t="str">
        <f t="shared" si="15"/>
        <v/>
      </c>
      <c r="S12" s="418" t="str">
        <f t="shared" si="15"/>
        <v/>
      </c>
      <c r="T12" s="418" t="str">
        <f t="shared" si="15"/>
        <v/>
      </c>
      <c r="U12" s="418" t="str">
        <f t="shared" si="15"/>
        <v/>
      </c>
      <c r="V12" s="418" t="str">
        <f t="shared" si="15"/>
        <v/>
      </c>
      <c r="W12" s="418" t="str">
        <f t="shared" si="15"/>
        <v/>
      </c>
      <c r="X12" s="418" t="str">
        <f t="shared" si="15"/>
        <v/>
      </c>
      <c r="Y12" s="418" t="str">
        <f t="shared" si="15"/>
        <v/>
      </c>
      <c r="Z12" s="418" t="str">
        <f t="shared" si="15"/>
        <v/>
      </c>
      <c r="AA12" s="418" t="str">
        <f t="shared" si="15"/>
        <v/>
      </c>
      <c r="AB12" s="418" t="str">
        <f t="shared" si="15"/>
        <v/>
      </c>
      <c r="AC12" s="418" t="str">
        <f t="shared" si="15"/>
        <v/>
      </c>
      <c r="AD12" s="418" t="str">
        <f t="shared" si="15"/>
        <v/>
      </c>
      <c r="AE12" s="418" t="str">
        <f t="shared" si="15"/>
        <v/>
      </c>
      <c r="AF12" s="418" t="str">
        <f t="shared" si="15"/>
        <v/>
      </c>
      <c r="AG12" s="418" t="str">
        <f t="shared" si="15"/>
        <v/>
      </c>
      <c r="AH12" s="418" t="str">
        <f t="shared" si="15"/>
        <v/>
      </c>
      <c r="AI12" s="418" t="str">
        <f t="shared" si="15"/>
        <v/>
      </c>
      <c r="AJ12" s="418" t="str">
        <f t="shared" si="15"/>
        <v/>
      </c>
      <c r="AK12" s="418" t="str">
        <f t="shared" si="15"/>
        <v/>
      </c>
      <c r="AL12" s="418" t="str">
        <f t="shared" si="15"/>
        <v/>
      </c>
      <c r="AM12" s="418" t="str">
        <f t="shared" si="15"/>
        <v/>
      </c>
      <c r="AN12" s="418" t="str">
        <f t="shared" si="15"/>
        <v/>
      </c>
      <c r="AO12" s="418" t="str">
        <f t="shared" si="15"/>
        <v/>
      </c>
      <c r="AP12" s="418" t="str">
        <f t="shared" si="15"/>
        <v/>
      </c>
      <c r="AQ12" s="418" t="str">
        <f t="shared" si="15"/>
        <v/>
      </c>
      <c r="AR12" s="418" t="str">
        <f t="shared" si="15"/>
        <v/>
      </c>
      <c r="AS12" s="418" t="str">
        <f t="shared" si="15"/>
        <v/>
      </c>
      <c r="AT12" s="418" t="str">
        <f t="shared" si="15"/>
        <v/>
      </c>
      <c r="AU12" s="418" t="str">
        <f t="shared" si="15"/>
        <v/>
      </c>
      <c r="AV12" s="418" t="str">
        <f t="shared" si="15"/>
        <v/>
      </c>
      <c r="AW12" s="418" t="str">
        <f t="shared" si="15"/>
        <v/>
      </c>
      <c r="AX12" s="418" t="str">
        <f t="shared" si="15"/>
        <v/>
      </c>
      <c r="AY12" s="418" t="str">
        <f t="shared" si="15"/>
        <v/>
      </c>
      <c r="AZ12" s="418" t="str">
        <f t="shared" si="15"/>
        <v/>
      </c>
      <c r="BA12" s="418" t="str">
        <f t="shared" si="15"/>
        <v/>
      </c>
      <c r="BB12" s="418" t="str">
        <f t="shared" si="15"/>
        <v/>
      </c>
      <c r="BC12" s="418" t="str">
        <f t="shared" si="15"/>
        <v/>
      </c>
      <c r="BD12" s="418" t="str">
        <f t="shared" si="15"/>
        <v/>
      </c>
      <c r="BE12" s="418" t="str">
        <f t="shared" si="15"/>
        <v/>
      </c>
      <c r="BF12" s="418" t="str">
        <f t="shared" si="15"/>
        <v/>
      </c>
      <c r="BG12" s="418" t="str">
        <f t="shared" si="15"/>
        <v/>
      </c>
      <c r="BH12" s="418" t="str">
        <f t="shared" si="15"/>
        <v/>
      </c>
      <c r="BI12" s="418" t="str">
        <f t="shared" si="15"/>
        <v/>
      </c>
      <c r="BJ12" s="418" t="str">
        <f t="shared" si="15"/>
        <v/>
      </c>
      <c r="BK12" s="418" t="str">
        <f t="shared" si="15"/>
        <v/>
      </c>
      <c r="BL12" s="418" t="str">
        <f t="shared" si="15"/>
        <v/>
      </c>
      <c r="BM12" s="418" t="str">
        <f t="shared" si="15"/>
        <v/>
      </c>
      <c r="BN12" s="418" t="str">
        <f t="shared" si="15"/>
        <v/>
      </c>
      <c r="BO12" s="418" t="str">
        <f t="shared" si="15"/>
        <v/>
      </c>
      <c r="BP12" s="418" t="str">
        <f t="shared" si="15"/>
        <v/>
      </c>
      <c r="BQ12" s="418" t="str">
        <f t="shared" si="15"/>
        <v/>
      </c>
      <c r="BR12" s="418" t="str">
        <f t="shared" si="15"/>
        <v/>
      </c>
      <c r="BS12" s="418" t="str">
        <f t="shared" si="15"/>
        <v/>
      </c>
      <c r="BT12" s="418" t="str">
        <f t="shared" si="15"/>
        <v/>
      </c>
      <c r="BU12" s="418" t="str">
        <f t="shared" si="3"/>
        <v/>
      </c>
      <c r="BV12" s="544">
        <v>0.87</v>
      </c>
      <c r="BW12" s="723">
        <f t="shared" si="7"/>
        <v>334.08</v>
      </c>
      <c r="BX12" s="724">
        <f t="shared" si="8"/>
        <v>2589.12</v>
      </c>
      <c r="BY12" s="725" t="str">
        <f t="shared" si="4"/>
        <v>SR</v>
      </c>
    </row>
    <row r="13" s="697" customFormat="1" customHeight="1" spans="1:77">
      <c r="A13" s="116">
        <v>45807</v>
      </c>
      <c r="B13" s="116">
        <v>45863</v>
      </c>
      <c r="C13" s="118" t="s">
        <v>262</v>
      </c>
      <c r="D13" s="118" t="s">
        <v>263</v>
      </c>
      <c r="E13" s="118" t="s">
        <v>40</v>
      </c>
      <c r="F13" s="722">
        <v>1800</v>
      </c>
      <c r="G13" s="118" t="s">
        <v>253</v>
      </c>
      <c r="H13" s="118" t="str">
        <f>IFERROR(VLOOKUP(E13,名称!A:E,4,0),"")</f>
        <v>二代</v>
      </c>
      <c r="I13" s="418" t="str">
        <f t="shared" ref="I13:BT13" si="16">IF(OR($E13="",I$1=""),"",IF(TRIM(LEFT($E13,MIN(IFERROR(FIND("CDU",UPPER($E13)),999),IFERROR(FIND("BULK",UPPER($E13)),999),IFERROR(FIND("-",$E13),999),IFERROR(FIND("（",$E13),999))-1))=I$1,$F13,""))</f>
        <v/>
      </c>
      <c r="J13" s="418" t="str">
        <f t="shared" si="16"/>
        <v/>
      </c>
      <c r="K13" s="418">
        <f t="shared" si="16"/>
        <v>1800</v>
      </c>
      <c r="L13" s="418" t="str">
        <f t="shared" si="16"/>
        <v/>
      </c>
      <c r="M13" s="418" t="str">
        <f t="shared" si="16"/>
        <v/>
      </c>
      <c r="N13" s="418" t="str">
        <f t="shared" si="16"/>
        <v/>
      </c>
      <c r="O13" s="418" t="str">
        <f t="shared" si="16"/>
        <v/>
      </c>
      <c r="P13" s="418" t="str">
        <f t="shared" si="16"/>
        <v/>
      </c>
      <c r="Q13" s="418" t="str">
        <f t="shared" si="16"/>
        <v/>
      </c>
      <c r="R13" s="418" t="str">
        <f t="shared" si="16"/>
        <v/>
      </c>
      <c r="S13" s="418" t="str">
        <f t="shared" si="16"/>
        <v/>
      </c>
      <c r="T13" s="418" t="str">
        <f t="shared" si="16"/>
        <v/>
      </c>
      <c r="U13" s="418" t="str">
        <f t="shared" si="16"/>
        <v/>
      </c>
      <c r="V13" s="418" t="str">
        <f t="shared" si="16"/>
        <v/>
      </c>
      <c r="W13" s="418" t="str">
        <f t="shared" si="16"/>
        <v/>
      </c>
      <c r="X13" s="418" t="str">
        <f t="shared" si="16"/>
        <v/>
      </c>
      <c r="Y13" s="418" t="str">
        <f t="shared" si="16"/>
        <v/>
      </c>
      <c r="Z13" s="418" t="str">
        <f t="shared" si="16"/>
        <v/>
      </c>
      <c r="AA13" s="418" t="str">
        <f t="shared" si="16"/>
        <v/>
      </c>
      <c r="AB13" s="418" t="str">
        <f t="shared" si="16"/>
        <v/>
      </c>
      <c r="AC13" s="418" t="str">
        <f t="shared" si="16"/>
        <v/>
      </c>
      <c r="AD13" s="418" t="str">
        <f t="shared" si="16"/>
        <v/>
      </c>
      <c r="AE13" s="418" t="str">
        <f t="shared" si="16"/>
        <v/>
      </c>
      <c r="AF13" s="418" t="str">
        <f t="shared" si="16"/>
        <v/>
      </c>
      <c r="AG13" s="418" t="str">
        <f t="shared" si="16"/>
        <v/>
      </c>
      <c r="AH13" s="418" t="str">
        <f t="shared" si="16"/>
        <v/>
      </c>
      <c r="AI13" s="418" t="str">
        <f t="shared" si="16"/>
        <v/>
      </c>
      <c r="AJ13" s="418" t="str">
        <f t="shared" si="16"/>
        <v/>
      </c>
      <c r="AK13" s="418" t="str">
        <f t="shared" si="16"/>
        <v/>
      </c>
      <c r="AL13" s="418" t="str">
        <f t="shared" si="16"/>
        <v/>
      </c>
      <c r="AM13" s="418" t="str">
        <f t="shared" si="16"/>
        <v/>
      </c>
      <c r="AN13" s="418" t="str">
        <f t="shared" si="16"/>
        <v/>
      </c>
      <c r="AO13" s="418" t="str">
        <f t="shared" si="16"/>
        <v/>
      </c>
      <c r="AP13" s="418" t="str">
        <f t="shared" si="16"/>
        <v/>
      </c>
      <c r="AQ13" s="418" t="str">
        <f t="shared" si="16"/>
        <v/>
      </c>
      <c r="AR13" s="418" t="str">
        <f t="shared" si="16"/>
        <v/>
      </c>
      <c r="AS13" s="418" t="str">
        <f t="shared" si="16"/>
        <v/>
      </c>
      <c r="AT13" s="418" t="str">
        <f t="shared" si="16"/>
        <v/>
      </c>
      <c r="AU13" s="418" t="str">
        <f t="shared" si="16"/>
        <v/>
      </c>
      <c r="AV13" s="418" t="str">
        <f t="shared" si="16"/>
        <v/>
      </c>
      <c r="AW13" s="418" t="str">
        <f t="shared" si="16"/>
        <v/>
      </c>
      <c r="AX13" s="418" t="str">
        <f t="shared" si="16"/>
        <v/>
      </c>
      <c r="AY13" s="418" t="str">
        <f t="shared" si="16"/>
        <v/>
      </c>
      <c r="AZ13" s="418" t="str">
        <f t="shared" si="16"/>
        <v/>
      </c>
      <c r="BA13" s="418" t="str">
        <f t="shared" si="16"/>
        <v/>
      </c>
      <c r="BB13" s="418" t="str">
        <f t="shared" si="16"/>
        <v/>
      </c>
      <c r="BC13" s="418" t="str">
        <f t="shared" si="16"/>
        <v/>
      </c>
      <c r="BD13" s="418" t="str">
        <f t="shared" si="16"/>
        <v/>
      </c>
      <c r="BE13" s="418" t="str">
        <f t="shared" si="16"/>
        <v/>
      </c>
      <c r="BF13" s="418" t="str">
        <f t="shared" si="16"/>
        <v/>
      </c>
      <c r="BG13" s="418" t="str">
        <f t="shared" si="16"/>
        <v/>
      </c>
      <c r="BH13" s="418" t="str">
        <f t="shared" si="16"/>
        <v/>
      </c>
      <c r="BI13" s="418" t="str">
        <f t="shared" si="16"/>
        <v/>
      </c>
      <c r="BJ13" s="418" t="str">
        <f t="shared" si="16"/>
        <v/>
      </c>
      <c r="BK13" s="418" t="str">
        <f t="shared" si="16"/>
        <v/>
      </c>
      <c r="BL13" s="418" t="str">
        <f t="shared" si="16"/>
        <v/>
      </c>
      <c r="BM13" s="418" t="str">
        <f t="shared" si="16"/>
        <v/>
      </c>
      <c r="BN13" s="418" t="str">
        <f t="shared" si="16"/>
        <v/>
      </c>
      <c r="BO13" s="418" t="str">
        <f t="shared" si="16"/>
        <v/>
      </c>
      <c r="BP13" s="418" t="str">
        <f t="shared" si="16"/>
        <v/>
      </c>
      <c r="BQ13" s="418" t="str">
        <f t="shared" si="16"/>
        <v/>
      </c>
      <c r="BR13" s="418" t="str">
        <f t="shared" si="16"/>
        <v/>
      </c>
      <c r="BS13" s="418" t="str">
        <f t="shared" si="16"/>
        <v/>
      </c>
      <c r="BT13" s="418" t="str">
        <f t="shared" si="16"/>
        <v/>
      </c>
      <c r="BU13" s="418" t="str">
        <f t="shared" si="3"/>
        <v/>
      </c>
      <c r="BV13" s="544">
        <v>0.87</v>
      </c>
      <c r="BW13" s="723">
        <f t="shared" si="7"/>
        <v>1566</v>
      </c>
      <c r="BX13" s="724">
        <f t="shared" si="8"/>
        <v>12136.5</v>
      </c>
      <c r="BY13" s="725" t="str">
        <f t="shared" si="4"/>
        <v>SR</v>
      </c>
    </row>
    <row r="14" s="697" customFormat="1" customHeight="1" spans="1:77">
      <c r="A14" s="116">
        <v>45807</v>
      </c>
      <c r="B14" s="116">
        <v>45863</v>
      </c>
      <c r="C14" s="118" t="s">
        <v>264</v>
      </c>
      <c r="D14" s="118" t="s">
        <v>265</v>
      </c>
      <c r="E14" s="118" t="s">
        <v>43</v>
      </c>
      <c r="F14" s="726">
        <f>1800-1200</f>
        <v>600</v>
      </c>
      <c r="G14" s="118" t="s">
        <v>253</v>
      </c>
      <c r="H14" s="118" t="str">
        <f>IFERROR(VLOOKUP(E14,名称!A:E,4,0),"")</f>
        <v>二代</v>
      </c>
      <c r="I14" s="418" t="str">
        <f t="shared" ref="I14:BT14" si="17">IF(OR($E14="",I$1=""),"",IF(TRIM(LEFT($E14,MIN(IFERROR(FIND("CDU",UPPER($E14)),999),IFERROR(FIND("BULK",UPPER($E14)),999),IFERROR(FIND("-",$E14),999),IFERROR(FIND("（",$E14),999))-1))=I$1,$F14,""))</f>
        <v/>
      </c>
      <c r="J14" s="418" t="str">
        <f t="shared" si="17"/>
        <v/>
      </c>
      <c r="K14" s="418" t="str">
        <f t="shared" si="17"/>
        <v/>
      </c>
      <c r="L14" s="418" t="str">
        <f t="shared" si="17"/>
        <v/>
      </c>
      <c r="M14" s="418" t="str">
        <f t="shared" si="17"/>
        <v/>
      </c>
      <c r="N14" s="418">
        <f t="shared" si="17"/>
        <v>600</v>
      </c>
      <c r="O14" s="418" t="str">
        <f t="shared" si="17"/>
        <v/>
      </c>
      <c r="P14" s="418" t="str">
        <f t="shared" si="17"/>
        <v/>
      </c>
      <c r="Q14" s="418" t="str">
        <f t="shared" si="17"/>
        <v/>
      </c>
      <c r="R14" s="418" t="str">
        <f t="shared" si="17"/>
        <v/>
      </c>
      <c r="S14" s="418" t="str">
        <f t="shared" si="17"/>
        <v/>
      </c>
      <c r="T14" s="418" t="str">
        <f t="shared" si="17"/>
        <v/>
      </c>
      <c r="U14" s="418" t="str">
        <f t="shared" si="17"/>
        <v/>
      </c>
      <c r="V14" s="418" t="str">
        <f t="shared" si="17"/>
        <v/>
      </c>
      <c r="W14" s="418" t="str">
        <f t="shared" si="17"/>
        <v/>
      </c>
      <c r="X14" s="418" t="str">
        <f t="shared" si="17"/>
        <v/>
      </c>
      <c r="Y14" s="418" t="str">
        <f t="shared" si="17"/>
        <v/>
      </c>
      <c r="Z14" s="418" t="str">
        <f t="shared" si="17"/>
        <v/>
      </c>
      <c r="AA14" s="418" t="str">
        <f t="shared" si="17"/>
        <v/>
      </c>
      <c r="AB14" s="418" t="str">
        <f t="shared" si="17"/>
        <v/>
      </c>
      <c r="AC14" s="418" t="str">
        <f t="shared" si="17"/>
        <v/>
      </c>
      <c r="AD14" s="418" t="str">
        <f t="shared" si="17"/>
        <v/>
      </c>
      <c r="AE14" s="418" t="str">
        <f t="shared" si="17"/>
        <v/>
      </c>
      <c r="AF14" s="418" t="str">
        <f t="shared" si="17"/>
        <v/>
      </c>
      <c r="AG14" s="418" t="str">
        <f t="shared" si="17"/>
        <v/>
      </c>
      <c r="AH14" s="418" t="str">
        <f t="shared" si="17"/>
        <v/>
      </c>
      <c r="AI14" s="418" t="str">
        <f t="shared" si="17"/>
        <v/>
      </c>
      <c r="AJ14" s="418" t="str">
        <f t="shared" si="17"/>
        <v/>
      </c>
      <c r="AK14" s="418" t="str">
        <f t="shared" si="17"/>
        <v/>
      </c>
      <c r="AL14" s="418" t="str">
        <f t="shared" si="17"/>
        <v/>
      </c>
      <c r="AM14" s="418" t="str">
        <f t="shared" si="17"/>
        <v/>
      </c>
      <c r="AN14" s="418" t="str">
        <f t="shared" si="17"/>
        <v/>
      </c>
      <c r="AO14" s="418" t="str">
        <f t="shared" si="17"/>
        <v/>
      </c>
      <c r="AP14" s="418" t="str">
        <f t="shared" si="17"/>
        <v/>
      </c>
      <c r="AQ14" s="418" t="str">
        <f t="shared" si="17"/>
        <v/>
      </c>
      <c r="AR14" s="418" t="str">
        <f t="shared" si="17"/>
        <v/>
      </c>
      <c r="AS14" s="418" t="str">
        <f t="shared" si="17"/>
        <v/>
      </c>
      <c r="AT14" s="418" t="str">
        <f t="shared" si="17"/>
        <v/>
      </c>
      <c r="AU14" s="418" t="str">
        <f t="shared" si="17"/>
        <v/>
      </c>
      <c r="AV14" s="418" t="str">
        <f t="shared" si="17"/>
        <v/>
      </c>
      <c r="AW14" s="418" t="str">
        <f t="shared" si="17"/>
        <v/>
      </c>
      <c r="AX14" s="418" t="str">
        <f t="shared" si="17"/>
        <v/>
      </c>
      <c r="AY14" s="418" t="str">
        <f t="shared" si="17"/>
        <v/>
      </c>
      <c r="AZ14" s="418" t="str">
        <f t="shared" si="17"/>
        <v/>
      </c>
      <c r="BA14" s="418" t="str">
        <f t="shared" si="17"/>
        <v/>
      </c>
      <c r="BB14" s="418" t="str">
        <f t="shared" si="17"/>
        <v/>
      </c>
      <c r="BC14" s="418" t="str">
        <f t="shared" si="17"/>
        <v/>
      </c>
      <c r="BD14" s="418" t="str">
        <f t="shared" si="17"/>
        <v/>
      </c>
      <c r="BE14" s="418" t="str">
        <f t="shared" si="17"/>
        <v/>
      </c>
      <c r="BF14" s="418" t="str">
        <f t="shared" si="17"/>
        <v/>
      </c>
      <c r="BG14" s="418" t="str">
        <f t="shared" si="17"/>
        <v/>
      </c>
      <c r="BH14" s="418" t="str">
        <f t="shared" si="17"/>
        <v/>
      </c>
      <c r="BI14" s="418" t="str">
        <f t="shared" si="17"/>
        <v/>
      </c>
      <c r="BJ14" s="418" t="str">
        <f t="shared" si="17"/>
        <v/>
      </c>
      <c r="BK14" s="418" t="str">
        <f t="shared" si="17"/>
        <v/>
      </c>
      <c r="BL14" s="418" t="str">
        <f t="shared" si="17"/>
        <v/>
      </c>
      <c r="BM14" s="418" t="str">
        <f t="shared" si="17"/>
        <v/>
      </c>
      <c r="BN14" s="418" t="str">
        <f t="shared" si="17"/>
        <v/>
      </c>
      <c r="BO14" s="418" t="str">
        <f t="shared" si="17"/>
        <v/>
      </c>
      <c r="BP14" s="418" t="str">
        <f t="shared" si="17"/>
        <v/>
      </c>
      <c r="BQ14" s="418" t="str">
        <f t="shared" si="17"/>
        <v/>
      </c>
      <c r="BR14" s="418" t="str">
        <f t="shared" si="17"/>
        <v/>
      </c>
      <c r="BS14" s="418" t="str">
        <f t="shared" si="17"/>
        <v/>
      </c>
      <c r="BT14" s="418" t="str">
        <f t="shared" si="17"/>
        <v/>
      </c>
      <c r="BU14" s="418" t="str">
        <f t="shared" si="3"/>
        <v/>
      </c>
      <c r="BV14" s="544">
        <v>0.62</v>
      </c>
      <c r="BW14" s="723">
        <f t="shared" si="7"/>
        <v>372</v>
      </c>
      <c r="BX14" s="724">
        <f t="shared" si="8"/>
        <v>2883</v>
      </c>
      <c r="BY14" s="725" t="str">
        <f t="shared" si="4"/>
        <v>SR</v>
      </c>
    </row>
    <row r="15" s="697" customFormat="1" customHeight="1" spans="1:77">
      <c r="A15" s="116">
        <v>45807</v>
      </c>
      <c r="B15" s="116">
        <v>45863</v>
      </c>
      <c r="C15" s="118" t="s">
        <v>264</v>
      </c>
      <c r="D15" s="118" t="s">
        <v>265</v>
      </c>
      <c r="E15" s="118" t="s">
        <v>43</v>
      </c>
      <c r="F15" s="722">
        <v>2280</v>
      </c>
      <c r="G15" s="118" t="s">
        <v>253</v>
      </c>
      <c r="H15" s="118" t="str">
        <f>IFERROR(VLOOKUP(E15,名称!A:E,4,0),"")</f>
        <v>二代</v>
      </c>
      <c r="I15" s="418" t="str">
        <f t="shared" ref="I15:BT15" si="18">IF(OR($E15="",I$1=""),"",IF(TRIM(LEFT($E15,MIN(IFERROR(FIND("CDU",UPPER($E15)),999),IFERROR(FIND("BULK",UPPER($E15)),999),IFERROR(FIND("-",$E15),999),IFERROR(FIND("（",$E15),999))-1))=I$1,$F15,""))</f>
        <v/>
      </c>
      <c r="J15" s="418" t="str">
        <f t="shared" si="18"/>
        <v/>
      </c>
      <c r="K15" s="418" t="str">
        <f t="shared" si="18"/>
        <v/>
      </c>
      <c r="L15" s="418" t="str">
        <f t="shared" si="18"/>
        <v/>
      </c>
      <c r="M15" s="418" t="str">
        <f t="shared" si="18"/>
        <v/>
      </c>
      <c r="N15" s="418">
        <f t="shared" si="18"/>
        <v>2280</v>
      </c>
      <c r="O15" s="418" t="str">
        <f t="shared" si="18"/>
        <v/>
      </c>
      <c r="P15" s="418" t="str">
        <f t="shared" si="18"/>
        <v/>
      </c>
      <c r="Q15" s="418" t="str">
        <f t="shared" si="18"/>
        <v/>
      </c>
      <c r="R15" s="418" t="str">
        <f t="shared" si="18"/>
        <v/>
      </c>
      <c r="S15" s="418" t="str">
        <f t="shared" si="18"/>
        <v/>
      </c>
      <c r="T15" s="418" t="str">
        <f t="shared" si="18"/>
        <v/>
      </c>
      <c r="U15" s="418" t="str">
        <f t="shared" si="18"/>
        <v/>
      </c>
      <c r="V15" s="418" t="str">
        <f t="shared" si="18"/>
        <v/>
      </c>
      <c r="W15" s="418" t="str">
        <f t="shared" si="18"/>
        <v/>
      </c>
      <c r="X15" s="418" t="str">
        <f t="shared" si="18"/>
        <v/>
      </c>
      <c r="Y15" s="418" t="str">
        <f t="shared" si="18"/>
        <v/>
      </c>
      <c r="Z15" s="418" t="str">
        <f t="shared" si="18"/>
        <v/>
      </c>
      <c r="AA15" s="418" t="str">
        <f t="shared" si="18"/>
        <v/>
      </c>
      <c r="AB15" s="418" t="str">
        <f t="shared" si="18"/>
        <v/>
      </c>
      <c r="AC15" s="418" t="str">
        <f t="shared" si="18"/>
        <v/>
      </c>
      <c r="AD15" s="418" t="str">
        <f t="shared" si="18"/>
        <v/>
      </c>
      <c r="AE15" s="418" t="str">
        <f t="shared" si="18"/>
        <v/>
      </c>
      <c r="AF15" s="418" t="str">
        <f t="shared" si="18"/>
        <v/>
      </c>
      <c r="AG15" s="418" t="str">
        <f t="shared" si="18"/>
        <v/>
      </c>
      <c r="AH15" s="418" t="str">
        <f t="shared" si="18"/>
        <v/>
      </c>
      <c r="AI15" s="418" t="str">
        <f t="shared" si="18"/>
        <v/>
      </c>
      <c r="AJ15" s="418" t="str">
        <f t="shared" si="18"/>
        <v/>
      </c>
      <c r="AK15" s="418" t="str">
        <f t="shared" si="18"/>
        <v/>
      </c>
      <c r="AL15" s="418" t="str">
        <f t="shared" si="18"/>
        <v/>
      </c>
      <c r="AM15" s="418" t="str">
        <f t="shared" si="18"/>
        <v/>
      </c>
      <c r="AN15" s="418" t="str">
        <f t="shared" si="18"/>
        <v/>
      </c>
      <c r="AO15" s="418" t="str">
        <f t="shared" si="18"/>
        <v/>
      </c>
      <c r="AP15" s="418" t="str">
        <f t="shared" si="18"/>
        <v/>
      </c>
      <c r="AQ15" s="418" t="str">
        <f t="shared" si="18"/>
        <v/>
      </c>
      <c r="AR15" s="418" t="str">
        <f t="shared" si="18"/>
        <v/>
      </c>
      <c r="AS15" s="418" t="str">
        <f t="shared" si="18"/>
        <v/>
      </c>
      <c r="AT15" s="418" t="str">
        <f t="shared" si="18"/>
        <v/>
      </c>
      <c r="AU15" s="418" t="str">
        <f t="shared" si="18"/>
        <v/>
      </c>
      <c r="AV15" s="418" t="str">
        <f t="shared" si="18"/>
        <v/>
      </c>
      <c r="AW15" s="418" t="str">
        <f t="shared" si="18"/>
        <v/>
      </c>
      <c r="AX15" s="418" t="str">
        <f t="shared" si="18"/>
        <v/>
      </c>
      <c r="AY15" s="418" t="str">
        <f t="shared" si="18"/>
        <v/>
      </c>
      <c r="AZ15" s="418" t="str">
        <f t="shared" si="18"/>
        <v/>
      </c>
      <c r="BA15" s="418" t="str">
        <f t="shared" si="18"/>
        <v/>
      </c>
      <c r="BB15" s="418" t="str">
        <f t="shared" si="18"/>
        <v/>
      </c>
      <c r="BC15" s="418" t="str">
        <f t="shared" si="18"/>
        <v/>
      </c>
      <c r="BD15" s="418" t="str">
        <f t="shared" si="18"/>
        <v/>
      </c>
      <c r="BE15" s="418" t="str">
        <f t="shared" si="18"/>
        <v/>
      </c>
      <c r="BF15" s="418" t="str">
        <f t="shared" si="18"/>
        <v/>
      </c>
      <c r="BG15" s="418" t="str">
        <f t="shared" si="18"/>
        <v/>
      </c>
      <c r="BH15" s="418" t="str">
        <f t="shared" si="18"/>
        <v/>
      </c>
      <c r="BI15" s="418" t="str">
        <f t="shared" si="18"/>
        <v/>
      </c>
      <c r="BJ15" s="418" t="str">
        <f t="shared" si="18"/>
        <v/>
      </c>
      <c r="BK15" s="418" t="str">
        <f t="shared" si="18"/>
        <v/>
      </c>
      <c r="BL15" s="418" t="str">
        <f t="shared" si="18"/>
        <v/>
      </c>
      <c r="BM15" s="418" t="str">
        <f t="shared" si="18"/>
        <v/>
      </c>
      <c r="BN15" s="418" t="str">
        <f t="shared" si="18"/>
        <v/>
      </c>
      <c r="BO15" s="418" t="str">
        <f t="shared" si="18"/>
        <v/>
      </c>
      <c r="BP15" s="418" t="str">
        <f t="shared" si="18"/>
        <v/>
      </c>
      <c r="BQ15" s="418" t="str">
        <f t="shared" si="18"/>
        <v/>
      </c>
      <c r="BR15" s="418" t="str">
        <f t="shared" si="18"/>
        <v/>
      </c>
      <c r="BS15" s="418" t="str">
        <f t="shared" si="18"/>
        <v/>
      </c>
      <c r="BT15" s="418" t="str">
        <f t="shared" si="18"/>
        <v/>
      </c>
      <c r="BU15" s="418" t="str">
        <f t="shared" si="3"/>
        <v/>
      </c>
      <c r="BV15" s="544">
        <v>0.62</v>
      </c>
      <c r="BW15" s="723">
        <f t="shared" si="7"/>
        <v>1413.6</v>
      </c>
      <c r="BX15" s="724">
        <f t="shared" si="8"/>
        <v>10955.4</v>
      </c>
      <c r="BY15" s="725" t="str">
        <f t="shared" si="4"/>
        <v>SR</v>
      </c>
    </row>
    <row r="16" s="697" customFormat="1" customHeight="1" spans="1:77">
      <c r="A16" s="116">
        <v>45807</v>
      </c>
      <c r="B16" s="116">
        <v>45863</v>
      </c>
      <c r="C16" s="118" t="s">
        <v>266</v>
      </c>
      <c r="D16" s="118" t="s">
        <v>267</v>
      </c>
      <c r="E16" s="118" t="s">
        <v>43</v>
      </c>
      <c r="F16" s="722">
        <v>2400</v>
      </c>
      <c r="G16" s="118" t="s">
        <v>253</v>
      </c>
      <c r="H16" s="118" t="str">
        <f>IFERROR(VLOOKUP(E16,名称!A:E,4,0),"")</f>
        <v>二代</v>
      </c>
      <c r="I16" s="418" t="str">
        <f t="shared" ref="I16:BT16" si="19">IF(OR($E16="",I$1=""),"",IF(TRIM(LEFT($E16,MIN(IFERROR(FIND("CDU",UPPER($E16)),999),IFERROR(FIND("BULK",UPPER($E16)),999),IFERROR(FIND("-",$E16),999),IFERROR(FIND("（",$E16),999))-1))=I$1,$F16,""))</f>
        <v/>
      </c>
      <c r="J16" s="418" t="str">
        <f t="shared" si="19"/>
        <v/>
      </c>
      <c r="K16" s="418" t="str">
        <f t="shared" si="19"/>
        <v/>
      </c>
      <c r="L16" s="418" t="str">
        <f t="shared" si="19"/>
        <v/>
      </c>
      <c r="M16" s="418" t="str">
        <f t="shared" si="19"/>
        <v/>
      </c>
      <c r="N16" s="418">
        <f t="shared" si="19"/>
        <v>2400</v>
      </c>
      <c r="O16" s="418" t="str">
        <f t="shared" si="19"/>
        <v/>
      </c>
      <c r="P16" s="418" t="str">
        <f t="shared" si="19"/>
        <v/>
      </c>
      <c r="Q16" s="418" t="str">
        <f t="shared" si="19"/>
        <v/>
      </c>
      <c r="R16" s="418" t="str">
        <f t="shared" si="19"/>
        <v/>
      </c>
      <c r="S16" s="418" t="str">
        <f t="shared" si="19"/>
        <v/>
      </c>
      <c r="T16" s="418" t="str">
        <f t="shared" si="19"/>
        <v/>
      </c>
      <c r="U16" s="418" t="str">
        <f t="shared" si="19"/>
        <v/>
      </c>
      <c r="V16" s="418" t="str">
        <f t="shared" si="19"/>
        <v/>
      </c>
      <c r="W16" s="418" t="str">
        <f t="shared" si="19"/>
        <v/>
      </c>
      <c r="X16" s="418" t="str">
        <f t="shared" si="19"/>
        <v/>
      </c>
      <c r="Y16" s="418" t="str">
        <f t="shared" si="19"/>
        <v/>
      </c>
      <c r="Z16" s="418" t="str">
        <f t="shared" si="19"/>
        <v/>
      </c>
      <c r="AA16" s="418" t="str">
        <f t="shared" si="19"/>
        <v/>
      </c>
      <c r="AB16" s="418" t="str">
        <f t="shared" si="19"/>
        <v/>
      </c>
      <c r="AC16" s="418" t="str">
        <f t="shared" si="19"/>
        <v/>
      </c>
      <c r="AD16" s="418" t="str">
        <f t="shared" si="19"/>
        <v/>
      </c>
      <c r="AE16" s="418" t="str">
        <f t="shared" si="19"/>
        <v/>
      </c>
      <c r="AF16" s="418" t="str">
        <f t="shared" si="19"/>
        <v/>
      </c>
      <c r="AG16" s="418" t="str">
        <f t="shared" si="19"/>
        <v/>
      </c>
      <c r="AH16" s="418" t="str">
        <f t="shared" si="19"/>
        <v/>
      </c>
      <c r="AI16" s="418" t="str">
        <f t="shared" si="19"/>
        <v/>
      </c>
      <c r="AJ16" s="418" t="str">
        <f t="shared" si="19"/>
        <v/>
      </c>
      <c r="AK16" s="418" t="str">
        <f t="shared" si="19"/>
        <v/>
      </c>
      <c r="AL16" s="418" t="str">
        <f t="shared" si="19"/>
        <v/>
      </c>
      <c r="AM16" s="418" t="str">
        <f t="shared" si="19"/>
        <v/>
      </c>
      <c r="AN16" s="418" t="str">
        <f t="shared" si="19"/>
        <v/>
      </c>
      <c r="AO16" s="418" t="str">
        <f t="shared" si="19"/>
        <v/>
      </c>
      <c r="AP16" s="418" t="str">
        <f t="shared" si="19"/>
        <v/>
      </c>
      <c r="AQ16" s="418" t="str">
        <f t="shared" si="19"/>
        <v/>
      </c>
      <c r="AR16" s="418" t="str">
        <f t="shared" si="19"/>
        <v/>
      </c>
      <c r="AS16" s="418" t="str">
        <f t="shared" si="19"/>
        <v/>
      </c>
      <c r="AT16" s="418" t="str">
        <f t="shared" si="19"/>
        <v/>
      </c>
      <c r="AU16" s="418" t="str">
        <f t="shared" si="19"/>
        <v/>
      </c>
      <c r="AV16" s="418" t="str">
        <f t="shared" si="19"/>
        <v/>
      </c>
      <c r="AW16" s="418" t="str">
        <f t="shared" si="19"/>
        <v/>
      </c>
      <c r="AX16" s="418" t="str">
        <f t="shared" si="19"/>
        <v/>
      </c>
      <c r="AY16" s="418" t="str">
        <f t="shared" si="19"/>
        <v/>
      </c>
      <c r="AZ16" s="418" t="str">
        <f t="shared" si="19"/>
        <v/>
      </c>
      <c r="BA16" s="418" t="str">
        <f t="shared" si="19"/>
        <v/>
      </c>
      <c r="BB16" s="418" t="str">
        <f t="shared" si="19"/>
        <v/>
      </c>
      <c r="BC16" s="418" t="str">
        <f t="shared" si="19"/>
        <v/>
      </c>
      <c r="BD16" s="418" t="str">
        <f t="shared" si="19"/>
        <v/>
      </c>
      <c r="BE16" s="418" t="str">
        <f t="shared" si="19"/>
        <v/>
      </c>
      <c r="BF16" s="418" t="str">
        <f t="shared" si="19"/>
        <v/>
      </c>
      <c r="BG16" s="418" t="str">
        <f t="shared" si="19"/>
        <v/>
      </c>
      <c r="BH16" s="418" t="str">
        <f t="shared" si="19"/>
        <v/>
      </c>
      <c r="BI16" s="418" t="str">
        <f t="shared" si="19"/>
        <v/>
      </c>
      <c r="BJ16" s="418" t="str">
        <f t="shared" si="19"/>
        <v/>
      </c>
      <c r="BK16" s="418" t="str">
        <f t="shared" si="19"/>
        <v/>
      </c>
      <c r="BL16" s="418" t="str">
        <f t="shared" si="19"/>
        <v/>
      </c>
      <c r="BM16" s="418" t="str">
        <f t="shared" si="19"/>
        <v/>
      </c>
      <c r="BN16" s="418" t="str">
        <f t="shared" si="19"/>
        <v/>
      </c>
      <c r="BO16" s="418" t="str">
        <f t="shared" si="19"/>
        <v/>
      </c>
      <c r="BP16" s="418" t="str">
        <f t="shared" si="19"/>
        <v/>
      </c>
      <c r="BQ16" s="418" t="str">
        <f t="shared" si="19"/>
        <v/>
      </c>
      <c r="BR16" s="418" t="str">
        <f t="shared" si="19"/>
        <v/>
      </c>
      <c r="BS16" s="418" t="str">
        <f t="shared" si="19"/>
        <v/>
      </c>
      <c r="BT16" s="418" t="str">
        <f t="shared" si="19"/>
        <v/>
      </c>
      <c r="BU16" s="418" t="str">
        <f t="shared" si="3"/>
        <v/>
      </c>
      <c r="BV16" s="544">
        <v>0.62</v>
      </c>
      <c r="BW16" s="723">
        <f t="shared" si="7"/>
        <v>1488</v>
      </c>
      <c r="BX16" s="724">
        <f t="shared" si="8"/>
        <v>11532</v>
      </c>
      <c r="BY16" s="725" t="str">
        <f t="shared" si="4"/>
        <v>SR</v>
      </c>
    </row>
    <row r="17" s="698" customFormat="1" customHeight="1" spans="1:77">
      <c r="A17" s="256">
        <v>45915</v>
      </c>
      <c r="B17" s="256">
        <v>46087</v>
      </c>
      <c r="C17" s="257" t="s">
        <v>268</v>
      </c>
      <c r="D17" s="257" t="s">
        <v>269</v>
      </c>
      <c r="E17" s="257" t="s">
        <v>43</v>
      </c>
      <c r="F17" s="727">
        <v>6216</v>
      </c>
      <c r="G17" s="257" t="s">
        <v>270</v>
      </c>
      <c r="H17" s="211" t="str">
        <f>IFERROR(VLOOKUP(E17,名称!A:E,4,0),"")</f>
        <v>二代</v>
      </c>
      <c r="I17" s="268" t="str">
        <f t="shared" ref="I17:BT17" si="20">IF(OR($E17="",I$1=""),"",IF(TRIM(LEFT($E17,MIN(IFERROR(FIND("CDU",UPPER($E17)),999),IFERROR(FIND("BULK",UPPER($E17)),999),IFERROR(FIND("-",$E17),999),IFERROR(FIND("（",$E17),999))-1))=I$1,$F17,""))</f>
        <v/>
      </c>
      <c r="J17" s="268" t="str">
        <f t="shared" si="20"/>
        <v/>
      </c>
      <c r="K17" s="268" t="str">
        <f t="shared" si="20"/>
        <v/>
      </c>
      <c r="L17" s="268" t="str">
        <f t="shared" si="20"/>
        <v/>
      </c>
      <c r="M17" s="268" t="str">
        <f t="shared" si="20"/>
        <v/>
      </c>
      <c r="N17" s="268">
        <f t="shared" si="20"/>
        <v>6216</v>
      </c>
      <c r="O17" s="268" t="str">
        <f t="shared" si="20"/>
        <v/>
      </c>
      <c r="P17" s="268" t="str">
        <f t="shared" si="20"/>
        <v/>
      </c>
      <c r="Q17" s="268" t="str">
        <f t="shared" si="20"/>
        <v/>
      </c>
      <c r="R17" s="268" t="str">
        <f t="shared" si="20"/>
        <v/>
      </c>
      <c r="S17" s="268" t="str">
        <f t="shared" si="20"/>
        <v/>
      </c>
      <c r="T17" s="268" t="str">
        <f t="shared" si="20"/>
        <v/>
      </c>
      <c r="U17" s="268" t="str">
        <f t="shared" si="20"/>
        <v/>
      </c>
      <c r="V17" s="268" t="str">
        <f t="shared" si="20"/>
        <v/>
      </c>
      <c r="W17" s="268" t="str">
        <f t="shared" si="20"/>
        <v/>
      </c>
      <c r="X17" s="268" t="str">
        <f t="shared" si="20"/>
        <v/>
      </c>
      <c r="Y17" s="268" t="str">
        <f t="shared" si="20"/>
        <v/>
      </c>
      <c r="Z17" s="268" t="str">
        <f t="shared" si="20"/>
        <v/>
      </c>
      <c r="AA17" s="268" t="str">
        <f t="shared" si="20"/>
        <v/>
      </c>
      <c r="AB17" s="268" t="str">
        <f t="shared" si="20"/>
        <v/>
      </c>
      <c r="AC17" s="268" t="str">
        <f t="shared" si="20"/>
        <v/>
      </c>
      <c r="AD17" s="268" t="str">
        <f t="shared" si="20"/>
        <v/>
      </c>
      <c r="AE17" s="268" t="str">
        <f t="shared" si="20"/>
        <v/>
      </c>
      <c r="AF17" s="268" t="str">
        <f t="shared" si="20"/>
        <v/>
      </c>
      <c r="AG17" s="268" t="str">
        <f t="shared" si="20"/>
        <v/>
      </c>
      <c r="AH17" s="268" t="str">
        <f t="shared" si="20"/>
        <v/>
      </c>
      <c r="AI17" s="268" t="str">
        <f t="shared" si="20"/>
        <v/>
      </c>
      <c r="AJ17" s="268" t="str">
        <f t="shared" si="20"/>
        <v/>
      </c>
      <c r="AK17" s="268" t="str">
        <f t="shared" si="20"/>
        <v/>
      </c>
      <c r="AL17" s="268" t="str">
        <f t="shared" si="20"/>
        <v/>
      </c>
      <c r="AM17" s="268" t="str">
        <f t="shared" si="20"/>
        <v/>
      </c>
      <c r="AN17" s="268" t="str">
        <f t="shared" si="20"/>
        <v/>
      </c>
      <c r="AO17" s="268" t="str">
        <f t="shared" si="20"/>
        <v/>
      </c>
      <c r="AP17" s="268" t="str">
        <f t="shared" si="20"/>
        <v/>
      </c>
      <c r="AQ17" s="268" t="str">
        <f t="shared" si="20"/>
        <v/>
      </c>
      <c r="AR17" s="268" t="str">
        <f t="shared" si="20"/>
        <v/>
      </c>
      <c r="AS17" s="268" t="str">
        <f t="shared" si="20"/>
        <v/>
      </c>
      <c r="AT17" s="268" t="str">
        <f t="shared" si="20"/>
        <v/>
      </c>
      <c r="AU17" s="268" t="str">
        <f t="shared" si="20"/>
        <v/>
      </c>
      <c r="AV17" s="268" t="str">
        <f t="shared" si="20"/>
        <v/>
      </c>
      <c r="AW17" s="268" t="str">
        <f t="shared" si="20"/>
        <v/>
      </c>
      <c r="AX17" s="268" t="str">
        <f t="shared" si="20"/>
        <v/>
      </c>
      <c r="AY17" s="268" t="str">
        <f t="shared" si="20"/>
        <v/>
      </c>
      <c r="AZ17" s="268" t="str">
        <f t="shared" si="20"/>
        <v/>
      </c>
      <c r="BA17" s="268" t="str">
        <f t="shared" si="20"/>
        <v/>
      </c>
      <c r="BB17" s="268" t="str">
        <f t="shared" si="20"/>
        <v/>
      </c>
      <c r="BC17" s="268" t="str">
        <f t="shared" si="20"/>
        <v/>
      </c>
      <c r="BD17" s="268" t="str">
        <f t="shared" si="20"/>
        <v/>
      </c>
      <c r="BE17" s="268" t="str">
        <f t="shared" si="20"/>
        <v/>
      </c>
      <c r="BF17" s="268" t="str">
        <f t="shared" si="20"/>
        <v/>
      </c>
      <c r="BG17" s="268" t="str">
        <f t="shared" si="20"/>
        <v/>
      </c>
      <c r="BH17" s="268" t="str">
        <f t="shared" si="20"/>
        <v/>
      </c>
      <c r="BI17" s="268" t="str">
        <f t="shared" si="20"/>
        <v/>
      </c>
      <c r="BJ17" s="268" t="str">
        <f t="shared" si="20"/>
        <v/>
      </c>
      <c r="BK17" s="268" t="str">
        <f t="shared" si="20"/>
        <v/>
      </c>
      <c r="BL17" s="268" t="str">
        <f t="shared" si="20"/>
        <v/>
      </c>
      <c r="BM17" s="268" t="str">
        <f t="shared" si="20"/>
        <v/>
      </c>
      <c r="BN17" s="268" t="str">
        <f t="shared" si="20"/>
        <v/>
      </c>
      <c r="BO17" s="268" t="str">
        <f t="shared" si="20"/>
        <v/>
      </c>
      <c r="BP17" s="268" t="str">
        <f t="shared" si="20"/>
        <v/>
      </c>
      <c r="BQ17" s="268" t="str">
        <f t="shared" si="20"/>
        <v/>
      </c>
      <c r="BR17" s="268" t="str">
        <f t="shared" si="20"/>
        <v/>
      </c>
      <c r="BS17" s="268" t="str">
        <f t="shared" si="20"/>
        <v/>
      </c>
      <c r="BT17" s="268" t="str">
        <f t="shared" si="20"/>
        <v/>
      </c>
      <c r="BU17" s="268" t="str">
        <f t="shared" si="3"/>
        <v/>
      </c>
      <c r="BV17" s="728">
        <v>0.61</v>
      </c>
      <c r="BW17" s="729">
        <f t="shared" ref="BW17:BW27" si="21">SUM(I17:BU17)*BV17</f>
        <v>3791.76</v>
      </c>
      <c r="BX17" s="730">
        <f t="shared" ref="BX17:BX27" si="22">BW17*7.75</f>
        <v>29386.14</v>
      </c>
      <c r="BY17" s="731" t="str">
        <f t="shared" ref="BY17:BY24" si="23">MID(E17,1,2)</f>
        <v>SR</v>
      </c>
    </row>
    <row r="18" s="698" customFormat="1" customHeight="1" spans="1:77">
      <c r="A18" s="256">
        <v>45915</v>
      </c>
      <c r="B18" s="256">
        <v>46045</v>
      </c>
      <c r="C18" s="257" t="s">
        <v>271</v>
      </c>
      <c r="D18" s="257" t="s">
        <v>272</v>
      </c>
      <c r="E18" s="257" t="s">
        <v>44</v>
      </c>
      <c r="F18" s="727">
        <v>6048</v>
      </c>
      <c r="G18" s="257" t="s">
        <v>270</v>
      </c>
      <c r="H18" s="211" t="str">
        <f>IFERROR(VLOOKUP(E18,名称!A:E,4,0),"")</f>
        <v>二代</v>
      </c>
      <c r="I18" s="268" t="str">
        <f t="shared" ref="I18:BT18" si="24">IF(OR($E18="",I$1=""),"",IF(TRIM(LEFT($E18,MIN(IFERROR(FIND("CDU",UPPER($E18)),999),IFERROR(FIND("BULK",UPPER($E18)),999),IFERROR(FIND("-",$E18),999),IFERROR(FIND("（",$E18),999))-1))=I$1,$F18,""))</f>
        <v/>
      </c>
      <c r="J18" s="268" t="str">
        <f t="shared" si="24"/>
        <v/>
      </c>
      <c r="K18" s="268" t="str">
        <f t="shared" si="24"/>
        <v/>
      </c>
      <c r="L18" s="268" t="str">
        <f t="shared" si="24"/>
        <v/>
      </c>
      <c r="M18" s="268">
        <f t="shared" si="24"/>
        <v>6048</v>
      </c>
      <c r="N18" s="268" t="str">
        <f t="shared" si="24"/>
        <v/>
      </c>
      <c r="O18" s="268" t="str">
        <f t="shared" si="24"/>
        <v/>
      </c>
      <c r="P18" s="268" t="str">
        <f t="shared" si="24"/>
        <v/>
      </c>
      <c r="Q18" s="268" t="str">
        <f t="shared" si="24"/>
        <v/>
      </c>
      <c r="R18" s="268" t="str">
        <f t="shared" si="24"/>
        <v/>
      </c>
      <c r="S18" s="268" t="str">
        <f t="shared" si="24"/>
        <v/>
      </c>
      <c r="T18" s="268" t="str">
        <f t="shared" si="24"/>
        <v/>
      </c>
      <c r="U18" s="268" t="str">
        <f t="shared" si="24"/>
        <v/>
      </c>
      <c r="V18" s="268" t="str">
        <f t="shared" si="24"/>
        <v/>
      </c>
      <c r="W18" s="268" t="str">
        <f t="shared" si="24"/>
        <v/>
      </c>
      <c r="X18" s="268" t="str">
        <f t="shared" si="24"/>
        <v/>
      </c>
      <c r="Y18" s="268" t="str">
        <f t="shared" si="24"/>
        <v/>
      </c>
      <c r="Z18" s="268" t="str">
        <f t="shared" si="24"/>
        <v/>
      </c>
      <c r="AA18" s="268" t="str">
        <f t="shared" si="24"/>
        <v/>
      </c>
      <c r="AB18" s="268" t="str">
        <f t="shared" si="24"/>
        <v/>
      </c>
      <c r="AC18" s="268" t="str">
        <f t="shared" si="24"/>
        <v/>
      </c>
      <c r="AD18" s="268" t="str">
        <f t="shared" si="24"/>
        <v/>
      </c>
      <c r="AE18" s="268" t="str">
        <f t="shared" si="24"/>
        <v/>
      </c>
      <c r="AF18" s="268" t="str">
        <f t="shared" si="24"/>
        <v/>
      </c>
      <c r="AG18" s="268" t="str">
        <f t="shared" si="24"/>
        <v/>
      </c>
      <c r="AH18" s="268" t="str">
        <f t="shared" si="24"/>
        <v/>
      </c>
      <c r="AI18" s="268" t="str">
        <f t="shared" si="24"/>
        <v/>
      </c>
      <c r="AJ18" s="268" t="str">
        <f t="shared" si="24"/>
        <v/>
      </c>
      <c r="AK18" s="268" t="str">
        <f t="shared" si="24"/>
        <v/>
      </c>
      <c r="AL18" s="268" t="str">
        <f t="shared" si="24"/>
        <v/>
      </c>
      <c r="AM18" s="268" t="str">
        <f t="shared" si="24"/>
        <v/>
      </c>
      <c r="AN18" s="268" t="str">
        <f t="shared" si="24"/>
        <v/>
      </c>
      <c r="AO18" s="268" t="str">
        <f t="shared" si="24"/>
        <v/>
      </c>
      <c r="AP18" s="268" t="str">
        <f t="shared" si="24"/>
        <v/>
      </c>
      <c r="AQ18" s="268" t="str">
        <f t="shared" si="24"/>
        <v/>
      </c>
      <c r="AR18" s="268" t="str">
        <f t="shared" si="24"/>
        <v/>
      </c>
      <c r="AS18" s="268" t="str">
        <f t="shared" si="24"/>
        <v/>
      </c>
      <c r="AT18" s="268" t="str">
        <f t="shared" si="24"/>
        <v/>
      </c>
      <c r="AU18" s="268" t="str">
        <f t="shared" si="24"/>
        <v/>
      </c>
      <c r="AV18" s="268" t="str">
        <f t="shared" si="24"/>
        <v/>
      </c>
      <c r="AW18" s="268" t="str">
        <f t="shared" si="24"/>
        <v/>
      </c>
      <c r="AX18" s="268" t="str">
        <f t="shared" si="24"/>
        <v/>
      </c>
      <c r="AY18" s="268" t="str">
        <f t="shared" si="24"/>
        <v/>
      </c>
      <c r="AZ18" s="268" t="str">
        <f t="shared" si="24"/>
        <v/>
      </c>
      <c r="BA18" s="268" t="str">
        <f t="shared" si="24"/>
        <v/>
      </c>
      <c r="BB18" s="268" t="str">
        <f t="shared" si="24"/>
        <v/>
      </c>
      <c r="BC18" s="268" t="str">
        <f t="shared" si="24"/>
        <v/>
      </c>
      <c r="BD18" s="268" t="str">
        <f t="shared" si="24"/>
        <v/>
      </c>
      <c r="BE18" s="268" t="str">
        <f t="shared" si="24"/>
        <v/>
      </c>
      <c r="BF18" s="268" t="str">
        <f t="shared" si="24"/>
        <v/>
      </c>
      <c r="BG18" s="268" t="str">
        <f t="shared" si="24"/>
        <v/>
      </c>
      <c r="BH18" s="268" t="str">
        <f t="shared" si="24"/>
        <v/>
      </c>
      <c r="BI18" s="268" t="str">
        <f t="shared" si="24"/>
        <v/>
      </c>
      <c r="BJ18" s="268" t="str">
        <f t="shared" si="24"/>
        <v/>
      </c>
      <c r="BK18" s="268" t="str">
        <f t="shared" si="24"/>
        <v/>
      </c>
      <c r="BL18" s="268" t="str">
        <f t="shared" si="24"/>
        <v/>
      </c>
      <c r="BM18" s="268" t="str">
        <f t="shared" si="24"/>
        <v/>
      </c>
      <c r="BN18" s="268" t="str">
        <f t="shared" si="24"/>
        <v/>
      </c>
      <c r="BO18" s="268" t="str">
        <f t="shared" si="24"/>
        <v/>
      </c>
      <c r="BP18" s="268" t="str">
        <f t="shared" si="24"/>
        <v/>
      </c>
      <c r="BQ18" s="268" t="str">
        <f t="shared" si="24"/>
        <v/>
      </c>
      <c r="BR18" s="268" t="str">
        <f t="shared" si="24"/>
        <v/>
      </c>
      <c r="BS18" s="268" t="str">
        <f t="shared" si="24"/>
        <v/>
      </c>
      <c r="BT18" s="268" t="str">
        <f t="shared" si="24"/>
        <v/>
      </c>
      <c r="BU18" s="268" t="str">
        <f t="shared" si="3"/>
        <v/>
      </c>
      <c r="BV18" s="728">
        <v>0.61</v>
      </c>
      <c r="BW18" s="729">
        <f t="shared" si="21"/>
        <v>3689.28</v>
      </c>
      <c r="BX18" s="730">
        <f t="shared" si="22"/>
        <v>28591.92</v>
      </c>
      <c r="BY18" s="731" t="str">
        <f t="shared" si="23"/>
        <v>SR</v>
      </c>
    </row>
    <row r="19" s="698" customFormat="1" customHeight="1" spans="1:77">
      <c r="A19" s="256">
        <v>45915</v>
      </c>
      <c r="B19" s="256">
        <v>46045</v>
      </c>
      <c r="C19" s="257" t="s">
        <v>273</v>
      </c>
      <c r="D19" s="257" t="s">
        <v>274</v>
      </c>
      <c r="E19" s="257" t="s">
        <v>26</v>
      </c>
      <c r="F19" s="727">
        <v>2400</v>
      </c>
      <c r="G19" s="257" t="s">
        <v>270</v>
      </c>
      <c r="H19" s="211" t="str">
        <f>IFERROR(VLOOKUP(E19,名称!A:E,4,0),"")</f>
        <v>二代</v>
      </c>
      <c r="I19" s="268" t="str">
        <f t="shared" ref="I19:BT19" si="25">IF(OR($E19="",I$1=""),"",IF(TRIM(LEFT($E19,MIN(IFERROR(FIND("CDU",UPPER($E19)),999),IFERROR(FIND("BULK",UPPER($E19)),999),IFERROR(FIND("-",$E19),999),IFERROR(FIND("（",$E19),999))-1))=I$1,$F19,""))</f>
        <v/>
      </c>
      <c r="J19" s="268" t="str">
        <f t="shared" si="25"/>
        <v/>
      </c>
      <c r="K19" s="268" t="str">
        <f t="shared" si="25"/>
        <v/>
      </c>
      <c r="L19" s="268" t="str">
        <f t="shared" si="25"/>
        <v/>
      </c>
      <c r="M19" s="268" t="str">
        <f t="shared" si="25"/>
        <v/>
      </c>
      <c r="N19" s="268" t="str">
        <f t="shared" si="25"/>
        <v/>
      </c>
      <c r="O19" s="268" t="str">
        <f t="shared" si="25"/>
        <v/>
      </c>
      <c r="P19" s="268" t="str">
        <f t="shared" si="25"/>
        <v/>
      </c>
      <c r="Q19" s="268" t="str">
        <f t="shared" si="25"/>
        <v/>
      </c>
      <c r="R19" s="268" t="str">
        <f t="shared" si="25"/>
        <v/>
      </c>
      <c r="S19" s="268">
        <f t="shared" si="25"/>
        <v>2400</v>
      </c>
      <c r="T19" s="268" t="str">
        <f t="shared" si="25"/>
        <v/>
      </c>
      <c r="U19" s="268" t="str">
        <f t="shared" si="25"/>
        <v/>
      </c>
      <c r="V19" s="268" t="str">
        <f t="shared" si="25"/>
        <v/>
      </c>
      <c r="W19" s="268" t="str">
        <f t="shared" si="25"/>
        <v/>
      </c>
      <c r="X19" s="268" t="str">
        <f t="shared" si="25"/>
        <v/>
      </c>
      <c r="Y19" s="268" t="str">
        <f t="shared" si="25"/>
        <v/>
      </c>
      <c r="Z19" s="268" t="str">
        <f t="shared" si="25"/>
        <v/>
      </c>
      <c r="AA19" s="268" t="str">
        <f t="shared" si="25"/>
        <v/>
      </c>
      <c r="AB19" s="268" t="str">
        <f t="shared" si="25"/>
        <v/>
      </c>
      <c r="AC19" s="268" t="str">
        <f t="shared" si="25"/>
        <v/>
      </c>
      <c r="AD19" s="268" t="str">
        <f t="shared" si="25"/>
        <v/>
      </c>
      <c r="AE19" s="268" t="str">
        <f t="shared" si="25"/>
        <v/>
      </c>
      <c r="AF19" s="268" t="str">
        <f t="shared" si="25"/>
        <v/>
      </c>
      <c r="AG19" s="268" t="str">
        <f t="shared" si="25"/>
        <v/>
      </c>
      <c r="AH19" s="268" t="str">
        <f t="shared" si="25"/>
        <v/>
      </c>
      <c r="AI19" s="268" t="str">
        <f t="shared" si="25"/>
        <v/>
      </c>
      <c r="AJ19" s="268" t="str">
        <f t="shared" si="25"/>
        <v/>
      </c>
      <c r="AK19" s="268" t="str">
        <f t="shared" si="25"/>
        <v/>
      </c>
      <c r="AL19" s="268" t="str">
        <f t="shared" si="25"/>
        <v/>
      </c>
      <c r="AM19" s="268" t="str">
        <f t="shared" si="25"/>
        <v/>
      </c>
      <c r="AN19" s="268" t="str">
        <f t="shared" si="25"/>
        <v/>
      </c>
      <c r="AO19" s="268" t="str">
        <f t="shared" si="25"/>
        <v/>
      </c>
      <c r="AP19" s="268" t="str">
        <f t="shared" si="25"/>
        <v/>
      </c>
      <c r="AQ19" s="268" t="str">
        <f t="shared" si="25"/>
        <v/>
      </c>
      <c r="AR19" s="268" t="str">
        <f t="shared" si="25"/>
        <v/>
      </c>
      <c r="AS19" s="268" t="str">
        <f t="shared" si="25"/>
        <v/>
      </c>
      <c r="AT19" s="268" t="str">
        <f t="shared" si="25"/>
        <v/>
      </c>
      <c r="AU19" s="268" t="str">
        <f t="shared" si="25"/>
        <v/>
      </c>
      <c r="AV19" s="268" t="str">
        <f t="shared" si="25"/>
        <v/>
      </c>
      <c r="AW19" s="268" t="str">
        <f t="shared" si="25"/>
        <v/>
      </c>
      <c r="AX19" s="268" t="str">
        <f t="shared" si="25"/>
        <v/>
      </c>
      <c r="AY19" s="268" t="str">
        <f t="shared" si="25"/>
        <v/>
      </c>
      <c r="AZ19" s="268" t="str">
        <f t="shared" si="25"/>
        <v/>
      </c>
      <c r="BA19" s="268" t="str">
        <f t="shared" si="25"/>
        <v/>
      </c>
      <c r="BB19" s="268" t="str">
        <f t="shared" si="25"/>
        <v/>
      </c>
      <c r="BC19" s="268" t="str">
        <f t="shared" si="25"/>
        <v/>
      </c>
      <c r="BD19" s="268" t="str">
        <f t="shared" si="25"/>
        <v/>
      </c>
      <c r="BE19" s="268" t="str">
        <f t="shared" si="25"/>
        <v/>
      </c>
      <c r="BF19" s="268" t="str">
        <f t="shared" si="25"/>
        <v/>
      </c>
      <c r="BG19" s="268" t="str">
        <f t="shared" si="25"/>
        <v/>
      </c>
      <c r="BH19" s="268" t="str">
        <f t="shared" si="25"/>
        <v/>
      </c>
      <c r="BI19" s="268" t="str">
        <f t="shared" si="25"/>
        <v/>
      </c>
      <c r="BJ19" s="268" t="str">
        <f t="shared" si="25"/>
        <v/>
      </c>
      <c r="BK19" s="268" t="str">
        <f t="shared" si="25"/>
        <v/>
      </c>
      <c r="BL19" s="268" t="str">
        <f t="shared" si="25"/>
        <v/>
      </c>
      <c r="BM19" s="268" t="str">
        <f t="shared" si="25"/>
        <v/>
      </c>
      <c r="BN19" s="268" t="str">
        <f t="shared" si="25"/>
        <v/>
      </c>
      <c r="BO19" s="268" t="str">
        <f t="shared" si="25"/>
        <v/>
      </c>
      <c r="BP19" s="268" t="str">
        <f t="shared" si="25"/>
        <v/>
      </c>
      <c r="BQ19" s="268" t="str">
        <f t="shared" si="25"/>
        <v/>
      </c>
      <c r="BR19" s="268" t="str">
        <f t="shared" si="25"/>
        <v/>
      </c>
      <c r="BS19" s="268" t="str">
        <f t="shared" si="25"/>
        <v/>
      </c>
      <c r="BT19" s="268" t="str">
        <f t="shared" si="25"/>
        <v/>
      </c>
      <c r="BU19" s="268" t="str">
        <f t="shared" si="3"/>
        <v/>
      </c>
      <c r="BV19" s="728">
        <v>2.14</v>
      </c>
      <c r="BW19" s="729">
        <f t="shared" si="21"/>
        <v>5136</v>
      </c>
      <c r="BX19" s="730">
        <f t="shared" si="22"/>
        <v>39804</v>
      </c>
      <c r="BY19" s="731" t="str">
        <f t="shared" si="23"/>
        <v>SR</v>
      </c>
    </row>
    <row r="20" s="698" customFormat="1" customHeight="1" spans="1:77">
      <c r="A20" s="256">
        <v>45915</v>
      </c>
      <c r="B20" s="256">
        <v>46045</v>
      </c>
      <c r="C20" s="257" t="s">
        <v>275</v>
      </c>
      <c r="D20" s="257" t="s">
        <v>276</v>
      </c>
      <c r="E20" s="257" t="s">
        <v>43</v>
      </c>
      <c r="F20" s="727">
        <v>6216</v>
      </c>
      <c r="G20" s="257" t="s">
        <v>270</v>
      </c>
      <c r="H20" s="211" t="str">
        <f>IFERROR(VLOOKUP(E20,名称!A:E,4,0),"")</f>
        <v>二代</v>
      </c>
      <c r="I20" s="268" t="str">
        <f t="shared" ref="I20:BT20" si="26">IF(OR($E20="",I$1=""),"",IF(TRIM(LEFT($E20,MIN(IFERROR(FIND("CDU",UPPER($E20)),999),IFERROR(FIND("BULK",UPPER($E20)),999),IFERROR(FIND("-",$E20),999),IFERROR(FIND("（",$E20),999))-1))=I$1,$F20,""))</f>
        <v/>
      </c>
      <c r="J20" s="268" t="str">
        <f t="shared" si="26"/>
        <v/>
      </c>
      <c r="K20" s="268" t="str">
        <f t="shared" si="26"/>
        <v/>
      </c>
      <c r="L20" s="268" t="str">
        <f t="shared" si="26"/>
        <v/>
      </c>
      <c r="M20" s="268" t="str">
        <f t="shared" si="26"/>
        <v/>
      </c>
      <c r="N20" s="268">
        <f t="shared" si="26"/>
        <v>6216</v>
      </c>
      <c r="O20" s="268" t="str">
        <f t="shared" si="26"/>
        <v/>
      </c>
      <c r="P20" s="268" t="str">
        <f t="shared" si="26"/>
        <v/>
      </c>
      <c r="Q20" s="268" t="str">
        <f t="shared" si="26"/>
        <v/>
      </c>
      <c r="R20" s="268" t="str">
        <f t="shared" si="26"/>
        <v/>
      </c>
      <c r="S20" s="268" t="str">
        <f t="shared" si="26"/>
        <v/>
      </c>
      <c r="T20" s="268" t="str">
        <f t="shared" si="26"/>
        <v/>
      </c>
      <c r="U20" s="268" t="str">
        <f t="shared" si="26"/>
        <v/>
      </c>
      <c r="V20" s="268" t="str">
        <f t="shared" si="26"/>
        <v/>
      </c>
      <c r="W20" s="268" t="str">
        <f t="shared" si="26"/>
        <v/>
      </c>
      <c r="X20" s="268" t="str">
        <f t="shared" si="26"/>
        <v/>
      </c>
      <c r="Y20" s="268" t="str">
        <f t="shared" si="26"/>
        <v/>
      </c>
      <c r="Z20" s="268" t="str">
        <f t="shared" si="26"/>
        <v/>
      </c>
      <c r="AA20" s="268" t="str">
        <f t="shared" si="26"/>
        <v/>
      </c>
      <c r="AB20" s="268" t="str">
        <f t="shared" si="26"/>
        <v/>
      </c>
      <c r="AC20" s="268" t="str">
        <f t="shared" si="26"/>
        <v/>
      </c>
      <c r="AD20" s="268" t="str">
        <f t="shared" si="26"/>
        <v/>
      </c>
      <c r="AE20" s="268" t="str">
        <f t="shared" si="26"/>
        <v/>
      </c>
      <c r="AF20" s="268" t="str">
        <f t="shared" si="26"/>
        <v/>
      </c>
      <c r="AG20" s="268" t="str">
        <f t="shared" si="26"/>
        <v/>
      </c>
      <c r="AH20" s="268" t="str">
        <f t="shared" si="26"/>
        <v/>
      </c>
      <c r="AI20" s="268" t="str">
        <f t="shared" si="26"/>
        <v/>
      </c>
      <c r="AJ20" s="268" t="str">
        <f t="shared" si="26"/>
        <v/>
      </c>
      <c r="AK20" s="268" t="str">
        <f t="shared" si="26"/>
        <v/>
      </c>
      <c r="AL20" s="268" t="str">
        <f t="shared" si="26"/>
        <v/>
      </c>
      <c r="AM20" s="268" t="str">
        <f t="shared" si="26"/>
        <v/>
      </c>
      <c r="AN20" s="268" t="str">
        <f t="shared" si="26"/>
        <v/>
      </c>
      <c r="AO20" s="268" t="str">
        <f t="shared" si="26"/>
        <v/>
      </c>
      <c r="AP20" s="268" t="str">
        <f t="shared" si="26"/>
        <v/>
      </c>
      <c r="AQ20" s="268" t="str">
        <f t="shared" si="26"/>
        <v/>
      </c>
      <c r="AR20" s="268" t="str">
        <f t="shared" si="26"/>
        <v/>
      </c>
      <c r="AS20" s="268" t="str">
        <f t="shared" si="26"/>
        <v/>
      </c>
      <c r="AT20" s="268" t="str">
        <f t="shared" si="26"/>
        <v/>
      </c>
      <c r="AU20" s="268" t="str">
        <f t="shared" si="26"/>
        <v/>
      </c>
      <c r="AV20" s="268" t="str">
        <f t="shared" si="26"/>
        <v/>
      </c>
      <c r="AW20" s="268" t="str">
        <f t="shared" si="26"/>
        <v/>
      </c>
      <c r="AX20" s="268" t="str">
        <f t="shared" si="26"/>
        <v/>
      </c>
      <c r="AY20" s="268" t="str">
        <f t="shared" si="26"/>
        <v/>
      </c>
      <c r="AZ20" s="268" t="str">
        <f t="shared" si="26"/>
        <v/>
      </c>
      <c r="BA20" s="268" t="str">
        <f t="shared" si="26"/>
        <v/>
      </c>
      <c r="BB20" s="268" t="str">
        <f t="shared" si="26"/>
        <v/>
      </c>
      <c r="BC20" s="268" t="str">
        <f t="shared" si="26"/>
        <v/>
      </c>
      <c r="BD20" s="268" t="str">
        <f t="shared" si="26"/>
        <v/>
      </c>
      <c r="BE20" s="268" t="str">
        <f t="shared" si="26"/>
        <v/>
      </c>
      <c r="BF20" s="268" t="str">
        <f t="shared" si="26"/>
        <v/>
      </c>
      <c r="BG20" s="268" t="str">
        <f t="shared" si="26"/>
        <v/>
      </c>
      <c r="BH20" s="268" t="str">
        <f t="shared" si="26"/>
        <v/>
      </c>
      <c r="BI20" s="268" t="str">
        <f t="shared" si="26"/>
        <v/>
      </c>
      <c r="BJ20" s="268" t="str">
        <f t="shared" si="26"/>
        <v/>
      </c>
      <c r="BK20" s="268" t="str">
        <f t="shared" si="26"/>
        <v/>
      </c>
      <c r="BL20" s="268" t="str">
        <f t="shared" si="26"/>
        <v/>
      </c>
      <c r="BM20" s="268" t="str">
        <f t="shared" si="26"/>
        <v/>
      </c>
      <c r="BN20" s="268" t="str">
        <f t="shared" si="26"/>
        <v/>
      </c>
      <c r="BO20" s="268" t="str">
        <f t="shared" si="26"/>
        <v/>
      </c>
      <c r="BP20" s="268" t="str">
        <f t="shared" si="26"/>
        <v/>
      </c>
      <c r="BQ20" s="268" t="str">
        <f t="shared" si="26"/>
        <v/>
      </c>
      <c r="BR20" s="268" t="str">
        <f t="shared" si="26"/>
        <v/>
      </c>
      <c r="BS20" s="268" t="str">
        <f t="shared" si="26"/>
        <v/>
      </c>
      <c r="BT20" s="268" t="str">
        <f t="shared" si="26"/>
        <v/>
      </c>
      <c r="BU20" s="268" t="str">
        <f t="shared" si="3"/>
        <v/>
      </c>
      <c r="BV20" s="728">
        <v>0.61</v>
      </c>
      <c r="BW20" s="729">
        <f t="shared" si="21"/>
        <v>3791.76</v>
      </c>
      <c r="BX20" s="730">
        <f t="shared" si="22"/>
        <v>29386.14</v>
      </c>
      <c r="BY20" s="731" t="str">
        <f t="shared" si="23"/>
        <v>SR</v>
      </c>
    </row>
    <row r="21" s="698" customFormat="1" customHeight="1" spans="1:77">
      <c r="A21" s="256">
        <v>45915</v>
      </c>
      <c r="B21" s="256">
        <v>46045</v>
      </c>
      <c r="C21" s="257" t="s">
        <v>277</v>
      </c>
      <c r="D21" s="257" t="s">
        <v>278</v>
      </c>
      <c r="E21" s="257" t="s">
        <v>26</v>
      </c>
      <c r="F21" s="727">
        <v>2400</v>
      </c>
      <c r="G21" s="257" t="s">
        <v>270</v>
      </c>
      <c r="H21" s="211" t="str">
        <f>IFERROR(VLOOKUP(E21,名称!A:E,4,0),"")</f>
        <v>二代</v>
      </c>
      <c r="I21" s="268" t="str">
        <f t="shared" ref="I21:BT21" si="27">IF(OR($E21="",I$1=""),"",IF(TRIM(LEFT($E21,MIN(IFERROR(FIND("CDU",UPPER($E21)),999),IFERROR(FIND("BULK",UPPER($E21)),999),IFERROR(FIND("-",$E21),999),IFERROR(FIND("（",$E21),999))-1))=I$1,$F21,""))</f>
        <v/>
      </c>
      <c r="J21" s="268" t="str">
        <f t="shared" si="27"/>
        <v/>
      </c>
      <c r="K21" s="268" t="str">
        <f t="shared" si="27"/>
        <v/>
      </c>
      <c r="L21" s="268" t="str">
        <f t="shared" si="27"/>
        <v/>
      </c>
      <c r="M21" s="268" t="str">
        <f t="shared" si="27"/>
        <v/>
      </c>
      <c r="N21" s="268" t="str">
        <f t="shared" si="27"/>
        <v/>
      </c>
      <c r="O21" s="268" t="str">
        <f t="shared" si="27"/>
        <v/>
      </c>
      <c r="P21" s="268" t="str">
        <f t="shared" si="27"/>
        <v/>
      </c>
      <c r="Q21" s="268" t="str">
        <f t="shared" si="27"/>
        <v/>
      </c>
      <c r="R21" s="268" t="str">
        <f t="shared" si="27"/>
        <v/>
      </c>
      <c r="S21" s="268">
        <f t="shared" si="27"/>
        <v>2400</v>
      </c>
      <c r="T21" s="268" t="str">
        <f t="shared" si="27"/>
        <v/>
      </c>
      <c r="U21" s="268" t="str">
        <f t="shared" si="27"/>
        <v/>
      </c>
      <c r="V21" s="268" t="str">
        <f t="shared" si="27"/>
        <v/>
      </c>
      <c r="W21" s="268" t="str">
        <f t="shared" si="27"/>
        <v/>
      </c>
      <c r="X21" s="268" t="str">
        <f t="shared" si="27"/>
        <v/>
      </c>
      <c r="Y21" s="268" t="str">
        <f t="shared" si="27"/>
        <v/>
      </c>
      <c r="Z21" s="268" t="str">
        <f t="shared" si="27"/>
        <v/>
      </c>
      <c r="AA21" s="268" t="str">
        <f t="shared" si="27"/>
        <v/>
      </c>
      <c r="AB21" s="268" t="str">
        <f t="shared" si="27"/>
        <v/>
      </c>
      <c r="AC21" s="268" t="str">
        <f t="shared" si="27"/>
        <v/>
      </c>
      <c r="AD21" s="268" t="str">
        <f t="shared" si="27"/>
        <v/>
      </c>
      <c r="AE21" s="268" t="str">
        <f t="shared" si="27"/>
        <v/>
      </c>
      <c r="AF21" s="268" t="str">
        <f t="shared" si="27"/>
        <v/>
      </c>
      <c r="AG21" s="268" t="str">
        <f t="shared" si="27"/>
        <v/>
      </c>
      <c r="AH21" s="268" t="str">
        <f t="shared" si="27"/>
        <v/>
      </c>
      <c r="AI21" s="268" t="str">
        <f t="shared" si="27"/>
        <v/>
      </c>
      <c r="AJ21" s="268" t="str">
        <f t="shared" si="27"/>
        <v/>
      </c>
      <c r="AK21" s="268" t="str">
        <f t="shared" si="27"/>
        <v/>
      </c>
      <c r="AL21" s="268" t="str">
        <f t="shared" si="27"/>
        <v/>
      </c>
      <c r="AM21" s="268" t="str">
        <f t="shared" si="27"/>
        <v/>
      </c>
      <c r="AN21" s="268" t="str">
        <f t="shared" si="27"/>
        <v/>
      </c>
      <c r="AO21" s="268" t="str">
        <f t="shared" si="27"/>
        <v/>
      </c>
      <c r="AP21" s="268" t="str">
        <f t="shared" si="27"/>
        <v/>
      </c>
      <c r="AQ21" s="268" t="str">
        <f t="shared" si="27"/>
        <v/>
      </c>
      <c r="AR21" s="268" t="str">
        <f t="shared" si="27"/>
        <v/>
      </c>
      <c r="AS21" s="268" t="str">
        <f t="shared" si="27"/>
        <v/>
      </c>
      <c r="AT21" s="268" t="str">
        <f t="shared" si="27"/>
        <v/>
      </c>
      <c r="AU21" s="268" t="str">
        <f t="shared" si="27"/>
        <v/>
      </c>
      <c r="AV21" s="268" t="str">
        <f t="shared" si="27"/>
        <v/>
      </c>
      <c r="AW21" s="268" t="str">
        <f t="shared" si="27"/>
        <v/>
      </c>
      <c r="AX21" s="268" t="str">
        <f t="shared" si="27"/>
        <v/>
      </c>
      <c r="AY21" s="268" t="str">
        <f t="shared" si="27"/>
        <v/>
      </c>
      <c r="AZ21" s="268" t="str">
        <f t="shared" si="27"/>
        <v/>
      </c>
      <c r="BA21" s="268" t="str">
        <f t="shared" si="27"/>
        <v/>
      </c>
      <c r="BB21" s="268" t="str">
        <f t="shared" si="27"/>
        <v/>
      </c>
      <c r="BC21" s="268" t="str">
        <f t="shared" si="27"/>
        <v/>
      </c>
      <c r="BD21" s="268" t="str">
        <f t="shared" si="27"/>
        <v/>
      </c>
      <c r="BE21" s="268" t="str">
        <f t="shared" si="27"/>
        <v/>
      </c>
      <c r="BF21" s="268" t="str">
        <f t="shared" si="27"/>
        <v/>
      </c>
      <c r="BG21" s="268" t="str">
        <f t="shared" si="27"/>
        <v/>
      </c>
      <c r="BH21" s="268" t="str">
        <f t="shared" si="27"/>
        <v/>
      </c>
      <c r="BI21" s="268" t="str">
        <f t="shared" si="27"/>
        <v/>
      </c>
      <c r="BJ21" s="268" t="str">
        <f t="shared" si="27"/>
        <v/>
      </c>
      <c r="BK21" s="268" t="str">
        <f t="shared" si="27"/>
        <v/>
      </c>
      <c r="BL21" s="268" t="str">
        <f t="shared" si="27"/>
        <v/>
      </c>
      <c r="BM21" s="268" t="str">
        <f t="shared" si="27"/>
        <v/>
      </c>
      <c r="BN21" s="268" t="str">
        <f t="shared" si="27"/>
        <v/>
      </c>
      <c r="BO21" s="268" t="str">
        <f t="shared" si="27"/>
        <v/>
      </c>
      <c r="BP21" s="268" t="str">
        <f t="shared" si="27"/>
        <v/>
      </c>
      <c r="BQ21" s="268" t="str">
        <f t="shared" si="27"/>
        <v/>
      </c>
      <c r="BR21" s="268" t="str">
        <f t="shared" si="27"/>
        <v/>
      </c>
      <c r="BS21" s="268" t="str">
        <f t="shared" si="27"/>
        <v/>
      </c>
      <c r="BT21" s="268" t="str">
        <f t="shared" si="27"/>
        <v/>
      </c>
      <c r="BU21" s="268" t="str">
        <f t="shared" si="3"/>
        <v/>
      </c>
      <c r="BV21" s="728">
        <v>2.14</v>
      </c>
      <c r="BW21" s="729">
        <f t="shared" si="21"/>
        <v>5136</v>
      </c>
      <c r="BX21" s="730">
        <f t="shared" si="22"/>
        <v>39804</v>
      </c>
      <c r="BY21" s="731" t="str">
        <f t="shared" si="23"/>
        <v>SR</v>
      </c>
    </row>
    <row r="22" s="698" customFormat="1" customHeight="1" spans="1:77">
      <c r="A22" s="256">
        <v>45915</v>
      </c>
      <c r="B22" s="256">
        <v>46045</v>
      </c>
      <c r="C22" s="257" t="s">
        <v>279</v>
      </c>
      <c r="D22" s="257" t="s">
        <v>280</v>
      </c>
      <c r="E22" s="257" t="s">
        <v>43</v>
      </c>
      <c r="F22" s="727">
        <v>6216</v>
      </c>
      <c r="G22" s="257" t="s">
        <v>270</v>
      </c>
      <c r="H22" s="211" t="str">
        <f>IFERROR(VLOOKUP(E22,名称!A:E,4,0),"")</f>
        <v>二代</v>
      </c>
      <c r="I22" s="268" t="str">
        <f t="shared" ref="I22:BT22" si="28">IF(OR($E22="",I$1=""),"",IF(TRIM(LEFT($E22,MIN(IFERROR(FIND("CDU",UPPER($E22)),999),IFERROR(FIND("BULK",UPPER($E22)),999),IFERROR(FIND("-",$E22),999),IFERROR(FIND("（",$E22),999))-1))=I$1,$F22,""))</f>
        <v/>
      </c>
      <c r="J22" s="268" t="str">
        <f t="shared" si="28"/>
        <v/>
      </c>
      <c r="K22" s="268" t="str">
        <f t="shared" si="28"/>
        <v/>
      </c>
      <c r="L22" s="268" t="str">
        <f t="shared" si="28"/>
        <v/>
      </c>
      <c r="M22" s="268" t="str">
        <f t="shared" si="28"/>
        <v/>
      </c>
      <c r="N22" s="268">
        <f t="shared" si="28"/>
        <v>6216</v>
      </c>
      <c r="O22" s="268" t="str">
        <f t="shared" si="28"/>
        <v/>
      </c>
      <c r="P22" s="268" t="str">
        <f t="shared" si="28"/>
        <v/>
      </c>
      <c r="Q22" s="268" t="str">
        <f t="shared" si="28"/>
        <v/>
      </c>
      <c r="R22" s="268" t="str">
        <f t="shared" si="28"/>
        <v/>
      </c>
      <c r="S22" s="268" t="str">
        <f t="shared" si="28"/>
        <v/>
      </c>
      <c r="T22" s="268" t="str">
        <f t="shared" si="28"/>
        <v/>
      </c>
      <c r="U22" s="268" t="str">
        <f t="shared" si="28"/>
        <v/>
      </c>
      <c r="V22" s="268" t="str">
        <f t="shared" si="28"/>
        <v/>
      </c>
      <c r="W22" s="268" t="str">
        <f t="shared" si="28"/>
        <v/>
      </c>
      <c r="X22" s="268" t="str">
        <f t="shared" si="28"/>
        <v/>
      </c>
      <c r="Y22" s="268" t="str">
        <f t="shared" si="28"/>
        <v/>
      </c>
      <c r="Z22" s="268" t="str">
        <f t="shared" si="28"/>
        <v/>
      </c>
      <c r="AA22" s="268" t="str">
        <f t="shared" si="28"/>
        <v/>
      </c>
      <c r="AB22" s="268" t="str">
        <f t="shared" si="28"/>
        <v/>
      </c>
      <c r="AC22" s="268" t="str">
        <f t="shared" si="28"/>
        <v/>
      </c>
      <c r="AD22" s="268" t="str">
        <f t="shared" si="28"/>
        <v/>
      </c>
      <c r="AE22" s="268" t="str">
        <f t="shared" si="28"/>
        <v/>
      </c>
      <c r="AF22" s="268" t="str">
        <f t="shared" si="28"/>
        <v/>
      </c>
      <c r="AG22" s="268" t="str">
        <f t="shared" si="28"/>
        <v/>
      </c>
      <c r="AH22" s="268" t="str">
        <f t="shared" si="28"/>
        <v/>
      </c>
      <c r="AI22" s="268" t="str">
        <f t="shared" si="28"/>
        <v/>
      </c>
      <c r="AJ22" s="268" t="str">
        <f t="shared" si="28"/>
        <v/>
      </c>
      <c r="AK22" s="268" t="str">
        <f t="shared" si="28"/>
        <v/>
      </c>
      <c r="AL22" s="268" t="str">
        <f t="shared" si="28"/>
        <v/>
      </c>
      <c r="AM22" s="268" t="str">
        <f t="shared" si="28"/>
        <v/>
      </c>
      <c r="AN22" s="268" t="str">
        <f t="shared" si="28"/>
        <v/>
      </c>
      <c r="AO22" s="268" t="str">
        <f t="shared" si="28"/>
        <v/>
      </c>
      <c r="AP22" s="268" t="str">
        <f t="shared" si="28"/>
        <v/>
      </c>
      <c r="AQ22" s="268" t="str">
        <f t="shared" si="28"/>
        <v/>
      </c>
      <c r="AR22" s="268" t="str">
        <f t="shared" si="28"/>
        <v/>
      </c>
      <c r="AS22" s="268" t="str">
        <f t="shared" si="28"/>
        <v/>
      </c>
      <c r="AT22" s="268" t="str">
        <f t="shared" si="28"/>
        <v/>
      </c>
      <c r="AU22" s="268" t="str">
        <f t="shared" si="28"/>
        <v/>
      </c>
      <c r="AV22" s="268" t="str">
        <f t="shared" si="28"/>
        <v/>
      </c>
      <c r="AW22" s="268" t="str">
        <f t="shared" si="28"/>
        <v/>
      </c>
      <c r="AX22" s="268" t="str">
        <f t="shared" si="28"/>
        <v/>
      </c>
      <c r="AY22" s="268" t="str">
        <f t="shared" si="28"/>
        <v/>
      </c>
      <c r="AZ22" s="268" t="str">
        <f t="shared" si="28"/>
        <v/>
      </c>
      <c r="BA22" s="268" t="str">
        <f t="shared" si="28"/>
        <v/>
      </c>
      <c r="BB22" s="268" t="str">
        <f t="shared" si="28"/>
        <v/>
      </c>
      <c r="BC22" s="268" t="str">
        <f t="shared" si="28"/>
        <v/>
      </c>
      <c r="BD22" s="268" t="str">
        <f t="shared" si="28"/>
        <v/>
      </c>
      <c r="BE22" s="268" t="str">
        <f t="shared" si="28"/>
        <v/>
      </c>
      <c r="BF22" s="268" t="str">
        <f t="shared" si="28"/>
        <v/>
      </c>
      <c r="BG22" s="268" t="str">
        <f t="shared" si="28"/>
        <v/>
      </c>
      <c r="BH22" s="268" t="str">
        <f t="shared" si="28"/>
        <v/>
      </c>
      <c r="BI22" s="268" t="str">
        <f t="shared" si="28"/>
        <v/>
      </c>
      <c r="BJ22" s="268" t="str">
        <f t="shared" si="28"/>
        <v/>
      </c>
      <c r="BK22" s="268" t="str">
        <f t="shared" si="28"/>
        <v/>
      </c>
      <c r="BL22" s="268" t="str">
        <f t="shared" si="28"/>
        <v/>
      </c>
      <c r="BM22" s="268" t="str">
        <f t="shared" si="28"/>
        <v/>
      </c>
      <c r="BN22" s="268" t="str">
        <f t="shared" si="28"/>
        <v/>
      </c>
      <c r="BO22" s="268" t="str">
        <f t="shared" si="28"/>
        <v/>
      </c>
      <c r="BP22" s="268" t="str">
        <f t="shared" si="28"/>
        <v/>
      </c>
      <c r="BQ22" s="268" t="str">
        <f t="shared" si="28"/>
        <v/>
      </c>
      <c r="BR22" s="268" t="str">
        <f t="shared" si="28"/>
        <v/>
      </c>
      <c r="BS22" s="268" t="str">
        <f t="shared" si="28"/>
        <v/>
      </c>
      <c r="BT22" s="268" t="str">
        <f t="shared" si="28"/>
        <v/>
      </c>
      <c r="BU22" s="268" t="str">
        <f t="shared" si="3"/>
        <v/>
      </c>
      <c r="BV22" s="728">
        <v>0.61</v>
      </c>
      <c r="BW22" s="729">
        <f t="shared" si="21"/>
        <v>3791.76</v>
      </c>
      <c r="BX22" s="730">
        <f t="shared" si="22"/>
        <v>29386.14</v>
      </c>
      <c r="BY22" s="731" t="str">
        <f t="shared" si="23"/>
        <v>SR</v>
      </c>
    </row>
    <row r="23" s="698" customFormat="1" customHeight="1" spans="1:77">
      <c r="A23" s="256">
        <v>45915</v>
      </c>
      <c r="B23" s="256">
        <v>46045</v>
      </c>
      <c r="C23" s="257" t="s">
        <v>281</v>
      </c>
      <c r="D23" s="257" t="s">
        <v>282</v>
      </c>
      <c r="E23" s="257" t="s">
        <v>26</v>
      </c>
      <c r="F23" s="727">
        <v>2400</v>
      </c>
      <c r="G23" s="257" t="s">
        <v>270</v>
      </c>
      <c r="H23" s="211" t="str">
        <f>IFERROR(VLOOKUP(E23,名称!A:E,4,0),"")</f>
        <v>二代</v>
      </c>
      <c r="I23" s="268" t="str">
        <f t="shared" ref="I23:BT23" si="29">IF(OR($E23="",I$1=""),"",IF(TRIM(LEFT($E23,MIN(IFERROR(FIND("CDU",UPPER($E23)),999),IFERROR(FIND("BULK",UPPER($E23)),999),IFERROR(FIND("-",$E23),999),IFERROR(FIND("（",$E23),999))-1))=I$1,$F23,""))</f>
        <v/>
      </c>
      <c r="J23" s="268" t="str">
        <f t="shared" si="29"/>
        <v/>
      </c>
      <c r="K23" s="268" t="str">
        <f t="shared" si="29"/>
        <v/>
      </c>
      <c r="L23" s="268" t="str">
        <f t="shared" si="29"/>
        <v/>
      </c>
      <c r="M23" s="268" t="str">
        <f t="shared" si="29"/>
        <v/>
      </c>
      <c r="N23" s="268" t="str">
        <f t="shared" si="29"/>
        <v/>
      </c>
      <c r="O23" s="268" t="str">
        <f t="shared" si="29"/>
        <v/>
      </c>
      <c r="P23" s="268" t="str">
        <f t="shared" si="29"/>
        <v/>
      </c>
      <c r="Q23" s="268" t="str">
        <f t="shared" si="29"/>
        <v/>
      </c>
      <c r="R23" s="268" t="str">
        <f t="shared" si="29"/>
        <v/>
      </c>
      <c r="S23" s="268">
        <f t="shared" si="29"/>
        <v>2400</v>
      </c>
      <c r="T23" s="268" t="str">
        <f t="shared" si="29"/>
        <v/>
      </c>
      <c r="U23" s="268" t="str">
        <f t="shared" si="29"/>
        <v/>
      </c>
      <c r="V23" s="268" t="str">
        <f t="shared" si="29"/>
        <v/>
      </c>
      <c r="W23" s="268" t="str">
        <f t="shared" si="29"/>
        <v/>
      </c>
      <c r="X23" s="268" t="str">
        <f t="shared" si="29"/>
        <v/>
      </c>
      <c r="Y23" s="268" t="str">
        <f t="shared" si="29"/>
        <v/>
      </c>
      <c r="Z23" s="268" t="str">
        <f t="shared" si="29"/>
        <v/>
      </c>
      <c r="AA23" s="268" t="str">
        <f t="shared" si="29"/>
        <v/>
      </c>
      <c r="AB23" s="268" t="str">
        <f t="shared" si="29"/>
        <v/>
      </c>
      <c r="AC23" s="268" t="str">
        <f t="shared" si="29"/>
        <v/>
      </c>
      <c r="AD23" s="268" t="str">
        <f t="shared" si="29"/>
        <v/>
      </c>
      <c r="AE23" s="268" t="str">
        <f t="shared" si="29"/>
        <v/>
      </c>
      <c r="AF23" s="268" t="str">
        <f t="shared" si="29"/>
        <v/>
      </c>
      <c r="AG23" s="268" t="str">
        <f t="shared" si="29"/>
        <v/>
      </c>
      <c r="AH23" s="268" t="str">
        <f t="shared" si="29"/>
        <v/>
      </c>
      <c r="AI23" s="268" t="str">
        <f t="shared" si="29"/>
        <v/>
      </c>
      <c r="AJ23" s="268" t="str">
        <f t="shared" si="29"/>
        <v/>
      </c>
      <c r="AK23" s="268" t="str">
        <f t="shared" si="29"/>
        <v/>
      </c>
      <c r="AL23" s="268" t="str">
        <f t="shared" si="29"/>
        <v/>
      </c>
      <c r="AM23" s="268" t="str">
        <f t="shared" si="29"/>
        <v/>
      </c>
      <c r="AN23" s="268" t="str">
        <f t="shared" si="29"/>
        <v/>
      </c>
      <c r="AO23" s="268" t="str">
        <f t="shared" si="29"/>
        <v/>
      </c>
      <c r="AP23" s="268" t="str">
        <f t="shared" si="29"/>
        <v/>
      </c>
      <c r="AQ23" s="268" t="str">
        <f t="shared" si="29"/>
        <v/>
      </c>
      <c r="AR23" s="268" t="str">
        <f t="shared" si="29"/>
        <v/>
      </c>
      <c r="AS23" s="268" t="str">
        <f t="shared" si="29"/>
        <v/>
      </c>
      <c r="AT23" s="268" t="str">
        <f t="shared" si="29"/>
        <v/>
      </c>
      <c r="AU23" s="268" t="str">
        <f t="shared" si="29"/>
        <v/>
      </c>
      <c r="AV23" s="268" t="str">
        <f t="shared" si="29"/>
        <v/>
      </c>
      <c r="AW23" s="268" t="str">
        <f t="shared" si="29"/>
        <v/>
      </c>
      <c r="AX23" s="268" t="str">
        <f t="shared" si="29"/>
        <v/>
      </c>
      <c r="AY23" s="268" t="str">
        <f t="shared" si="29"/>
        <v/>
      </c>
      <c r="AZ23" s="268" t="str">
        <f t="shared" si="29"/>
        <v/>
      </c>
      <c r="BA23" s="268" t="str">
        <f t="shared" si="29"/>
        <v/>
      </c>
      <c r="BB23" s="268" t="str">
        <f t="shared" si="29"/>
        <v/>
      </c>
      <c r="BC23" s="268" t="str">
        <f t="shared" si="29"/>
        <v/>
      </c>
      <c r="BD23" s="268" t="str">
        <f t="shared" si="29"/>
        <v/>
      </c>
      <c r="BE23" s="268" t="str">
        <f t="shared" si="29"/>
        <v/>
      </c>
      <c r="BF23" s="268" t="str">
        <f t="shared" si="29"/>
        <v/>
      </c>
      <c r="BG23" s="268" t="str">
        <f t="shared" si="29"/>
        <v/>
      </c>
      <c r="BH23" s="268" t="str">
        <f t="shared" si="29"/>
        <v/>
      </c>
      <c r="BI23" s="268" t="str">
        <f t="shared" si="29"/>
        <v/>
      </c>
      <c r="BJ23" s="268" t="str">
        <f t="shared" si="29"/>
        <v/>
      </c>
      <c r="BK23" s="268" t="str">
        <f t="shared" si="29"/>
        <v/>
      </c>
      <c r="BL23" s="268" t="str">
        <f t="shared" si="29"/>
        <v/>
      </c>
      <c r="BM23" s="268" t="str">
        <f t="shared" si="29"/>
        <v/>
      </c>
      <c r="BN23" s="268" t="str">
        <f t="shared" si="29"/>
        <v/>
      </c>
      <c r="BO23" s="268" t="str">
        <f t="shared" si="29"/>
        <v/>
      </c>
      <c r="BP23" s="268" t="str">
        <f t="shared" si="29"/>
        <v/>
      </c>
      <c r="BQ23" s="268" t="str">
        <f t="shared" si="29"/>
        <v/>
      </c>
      <c r="BR23" s="268" t="str">
        <f t="shared" si="29"/>
        <v/>
      </c>
      <c r="BS23" s="268" t="str">
        <f t="shared" si="29"/>
        <v/>
      </c>
      <c r="BT23" s="268" t="str">
        <f t="shared" si="29"/>
        <v/>
      </c>
      <c r="BU23" s="268" t="str">
        <f t="shared" si="3"/>
        <v/>
      </c>
      <c r="BV23" s="728">
        <v>2.14</v>
      </c>
      <c r="BW23" s="729">
        <f t="shared" si="21"/>
        <v>5136</v>
      </c>
      <c r="BX23" s="730">
        <f t="shared" si="22"/>
        <v>39804</v>
      </c>
      <c r="BY23" s="731" t="str">
        <f t="shared" si="23"/>
        <v>SR</v>
      </c>
    </row>
    <row r="24" s="698" customFormat="1" customHeight="1" spans="1:77">
      <c r="A24" s="256">
        <v>45915</v>
      </c>
      <c r="B24" s="256">
        <v>46045</v>
      </c>
      <c r="C24" s="257" t="s">
        <v>283</v>
      </c>
      <c r="D24" s="257" t="s">
        <v>284</v>
      </c>
      <c r="E24" s="257" t="s">
        <v>43</v>
      </c>
      <c r="F24" s="727">
        <v>6216</v>
      </c>
      <c r="G24" s="257" t="s">
        <v>270</v>
      </c>
      <c r="H24" s="211" t="str">
        <f>IFERROR(VLOOKUP(E24,名称!A:E,4,0),"")</f>
        <v>二代</v>
      </c>
      <c r="I24" s="268" t="str">
        <f t="shared" ref="I24:BT24" si="30">IF(OR($E24="",I$1=""),"",IF(TRIM(LEFT($E24,MIN(IFERROR(FIND("CDU",UPPER($E24)),999),IFERROR(FIND("BULK",UPPER($E24)),999),IFERROR(FIND("-",$E24),999),IFERROR(FIND("（",$E24),999))-1))=I$1,$F24,""))</f>
        <v/>
      </c>
      <c r="J24" s="268" t="str">
        <f t="shared" si="30"/>
        <v/>
      </c>
      <c r="K24" s="268" t="str">
        <f t="shared" si="30"/>
        <v/>
      </c>
      <c r="L24" s="268" t="str">
        <f t="shared" si="30"/>
        <v/>
      </c>
      <c r="M24" s="268" t="str">
        <f t="shared" si="30"/>
        <v/>
      </c>
      <c r="N24" s="268">
        <f t="shared" si="30"/>
        <v>6216</v>
      </c>
      <c r="O24" s="268" t="str">
        <f t="shared" si="30"/>
        <v/>
      </c>
      <c r="P24" s="268" t="str">
        <f t="shared" si="30"/>
        <v/>
      </c>
      <c r="Q24" s="268" t="str">
        <f t="shared" si="30"/>
        <v/>
      </c>
      <c r="R24" s="268" t="str">
        <f t="shared" si="30"/>
        <v/>
      </c>
      <c r="S24" s="268" t="str">
        <f t="shared" si="30"/>
        <v/>
      </c>
      <c r="T24" s="268" t="str">
        <f t="shared" si="30"/>
        <v/>
      </c>
      <c r="U24" s="268" t="str">
        <f t="shared" si="30"/>
        <v/>
      </c>
      <c r="V24" s="268" t="str">
        <f t="shared" si="30"/>
        <v/>
      </c>
      <c r="W24" s="268" t="str">
        <f t="shared" si="30"/>
        <v/>
      </c>
      <c r="X24" s="268" t="str">
        <f t="shared" si="30"/>
        <v/>
      </c>
      <c r="Y24" s="268" t="str">
        <f t="shared" si="30"/>
        <v/>
      </c>
      <c r="Z24" s="268" t="str">
        <f t="shared" si="30"/>
        <v/>
      </c>
      <c r="AA24" s="268" t="str">
        <f t="shared" si="30"/>
        <v/>
      </c>
      <c r="AB24" s="268" t="str">
        <f t="shared" si="30"/>
        <v/>
      </c>
      <c r="AC24" s="268" t="str">
        <f t="shared" si="30"/>
        <v/>
      </c>
      <c r="AD24" s="268" t="str">
        <f t="shared" si="30"/>
        <v/>
      </c>
      <c r="AE24" s="268" t="str">
        <f t="shared" si="30"/>
        <v/>
      </c>
      <c r="AF24" s="268" t="str">
        <f t="shared" si="30"/>
        <v/>
      </c>
      <c r="AG24" s="268" t="str">
        <f t="shared" si="30"/>
        <v/>
      </c>
      <c r="AH24" s="268" t="str">
        <f t="shared" si="30"/>
        <v/>
      </c>
      <c r="AI24" s="268" t="str">
        <f t="shared" si="30"/>
        <v/>
      </c>
      <c r="AJ24" s="268" t="str">
        <f t="shared" si="30"/>
        <v/>
      </c>
      <c r="AK24" s="268" t="str">
        <f t="shared" si="30"/>
        <v/>
      </c>
      <c r="AL24" s="268" t="str">
        <f t="shared" si="30"/>
        <v/>
      </c>
      <c r="AM24" s="268" t="str">
        <f t="shared" si="30"/>
        <v/>
      </c>
      <c r="AN24" s="268" t="str">
        <f t="shared" si="30"/>
        <v/>
      </c>
      <c r="AO24" s="268" t="str">
        <f t="shared" si="30"/>
        <v/>
      </c>
      <c r="AP24" s="268" t="str">
        <f t="shared" si="30"/>
        <v/>
      </c>
      <c r="AQ24" s="268" t="str">
        <f t="shared" si="30"/>
        <v/>
      </c>
      <c r="AR24" s="268" t="str">
        <f t="shared" si="30"/>
        <v/>
      </c>
      <c r="AS24" s="268" t="str">
        <f t="shared" si="30"/>
        <v/>
      </c>
      <c r="AT24" s="268" t="str">
        <f t="shared" si="30"/>
        <v/>
      </c>
      <c r="AU24" s="268" t="str">
        <f t="shared" si="30"/>
        <v/>
      </c>
      <c r="AV24" s="268" t="str">
        <f t="shared" si="30"/>
        <v/>
      </c>
      <c r="AW24" s="268" t="str">
        <f t="shared" si="30"/>
        <v/>
      </c>
      <c r="AX24" s="268" t="str">
        <f t="shared" si="30"/>
        <v/>
      </c>
      <c r="AY24" s="268" t="str">
        <f t="shared" si="30"/>
        <v/>
      </c>
      <c r="AZ24" s="268" t="str">
        <f t="shared" si="30"/>
        <v/>
      </c>
      <c r="BA24" s="268" t="str">
        <f t="shared" si="30"/>
        <v/>
      </c>
      <c r="BB24" s="268" t="str">
        <f t="shared" si="30"/>
        <v/>
      </c>
      <c r="BC24" s="268" t="str">
        <f t="shared" si="30"/>
        <v/>
      </c>
      <c r="BD24" s="268" t="str">
        <f t="shared" si="30"/>
        <v/>
      </c>
      <c r="BE24" s="268" t="str">
        <f t="shared" si="30"/>
        <v/>
      </c>
      <c r="BF24" s="268" t="str">
        <f t="shared" si="30"/>
        <v/>
      </c>
      <c r="BG24" s="268" t="str">
        <f t="shared" si="30"/>
        <v/>
      </c>
      <c r="BH24" s="268" t="str">
        <f t="shared" si="30"/>
        <v/>
      </c>
      <c r="BI24" s="268" t="str">
        <f t="shared" si="30"/>
        <v/>
      </c>
      <c r="BJ24" s="268" t="str">
        <f t="shared" si="30"/>
        <v/>
      </c>
      <c r="BK24" s="268" t="str">
        <f t="shared" si="30"/>
        <v/>
      </c>
      <c r="BL24" s="268" t="str">
        <f t="shared" si="30"/>
        <v/>
      </c>
      <c r="BM24" s="268" t="str">
        <f t="shared" si="30"/>
        <v/>
      </c>
      <c r="BN24" s="268" t="str">
        <f t="shared" si="30"/>
        <v/>
      </c>
      <c r="BO24" s="268" t="str">
        <f t="shared" si="30"/>
        <v/>
      </c>
      <c r="BP24" s="268" t="str">
        <f t="shared" si="30"/>
        <v/>
      </c>
      <c r="BQ24" s="268" t="str">
        <f t="shared" si="30"/>
        <v/>
      </c>
      <c r="BR24" s="268" t="str">
        <f t="shared" si="30"/>
        <v/>
      </c>
      <c r="BS24" s="268" t="str">
        <f t="shared" si="30"/>
        <v/>
      </c>
      <c r="BT24" s="268" t="str">
        <f t="shared" si="30"/>
        <v/>
      </c>
      <c r="BU24" s="268" t="str">
        <f t="shared" si="3"/>
        <v/>
      </c>
      <c r="BV24" s="728">
        <v>0.61</v>
      </c>
      <c r="BW24" s="729">
        <f t="shared" si="21"/>
        <v>3791.76</v>
      </c>
      <c r="BX24" s="730">
        <f t="shared" si="22"/>
        <v>29386.14</v>
      </c>
      <c r="BY24" s="731" t="str">
        <f t="shared" si="23"/>
        <v>SR</v>
      </c>
    </row>
    <row r="25" s="698" customFormat="1" customHeight="1" spans="1:77">
      <c r="A25" s="256">
        <v>45915</v>
      </c>
      <c r="B25" s="256">
        <v>46031</v>
      </c>
      <c r="C25" s="257" t="s">
        <v>285</v>
      </c>
      <c r="D25" s="257" t="s">
        <v>286</v>
      </c>
      <c r="E25" s="257" t="s">
        <v>43</v>
      </c>
      <c r="F25" s="727">
        <v>3000</v>
      </c>
      <c r="G25" s="257" t="s">
        <v>270</v>
      </c>
      <c r="H25" s="211" t="str">
        <f>IFERROR(VLOOKUP(E25,名称!A:E,4,0),"")</f>
        <v>二代</v>
      </c>
      <c r="I25" s="268" t="str">
        <f t="shared" ref="I25:BT25" si="31">IF(OR($E25="",I$1=""),"",IF(TRIM(LEFT($E25,MIN(IFERROR(FIND("CDU",UPPER($E25)),999),IFERROR(FIND("BULK",UPPER($E25)),999),IFERROR(FIND("-",$E25),999),IFERROR(FIND("（",$E25),999))-1))=I$1,$F25,""))</f>
        <v/>
      </c>
      <c r="J25" s="268" t="str">
        <f t="shared" si="31"/>
        <v/>
      </c>
      <c r="K25" s="268" t="str">
        <f t="shared" si="31"/>
        <v/>
      </c>
      <c r="L25" s="268" t="str">
        <f t="shared" si="31"/>
        <v/>
      </c>
      <c r="M25" s="268" t="str">
        <f t="shared" si="31"/>
        <v/>
      </c>
      <c r="N25" s="268">
        <f t="shared" si="31"/>
        <v>3000</v>
      </c>
      <c r="O25" s="268" t="str">
        <f t="shared" si="31"/>
        <v/>
      </c>
      <c r="P25" s="268" t="str">
        <f t="shared" si="31"/>
        <v/>
      </c>
      <c r="Q25" s="268" t="str">
        <f t="shared" si="31"/>
        <v/>
      </c>
      <c r="R25" s="268" t="str">
        <f t="shared" si="31"/>
        <v/>
      </c>
      <c r="S25" s="268" t="str">
        <f t="shared" si="31"/>
        <v/>
      </c>
      <c r="T25" s="268" t="str">
        <f t="shared" si="31"/>
        <v/>
      </c>
      <c r="U25" s="268" t="str">
        <f t="shared" si="31"/>
        <v/>
      </c>
      <c r="V25" s="268" t="str">
        <f t="shared" si="31"/>
        <v/>
      </c>
      <c r="W25" s="268" t="str">
        <f t="shared" si="31"/>
        <v/>
      </c>
      <c r="X25" s="268" t="str">
        <f t="shared" si="31"/>
        <v/>
      </c>
      <c r="Y25" s="268" t="str">
        <f t="shared" si="31"/>
        <v/>
      </c>
      <c r="Z25" s="268" t="str">
        <f t="shared" si="31"/>
        <v/>
      </c>
      <c r="AA25" s="268" t="str">
        <f t="shared" si="31"/>
        <v/>
      </c>
      <c r="AB25" s="268" t="str">
        <f t="shared" si="31"/>
        <v/>
      </c>
      <c r="AC25" s="268" t="str">
        <f t="shared" si="31"/>
        <v/>
      </c>
      <c r="AD25" s="268" t="str">
        <f t="shared" si="31"/>
        <v/>
      </c>
      <c r="AE25" s="268" t="str">
        <f t="shared" si="31"/>
        <v/>
      </c>
      <c r="AF25" s="268" t="str">
        <f t="shared" si="31"/>
        <v/>
      </c>
      <c r="AG25" s="268" t="str">
        <f t="shared" si="31"/>
        <v/>
      </c>
      <c r="AH25" s="268" t="str">
        <f t="shared" si="31"/>
        <v/>
      </c>
      <c r="AI25" s="268" t="str">
        <f t="shared" si="31"/>
        <v/>
      </c>
      <c r="AJ25" s="268" t="str">
        <f t="shared" si="31"/>
        <v/>
      </c>
      <c r="AK25" s="268" t="str">
        <f t="shared" si="31"/>
        <v/>
      </c>
      <c r="AL25" s="268" t="str">
        <f t="shared" si="31"/>
        <v/>
      </c>
      <c r="AM25" s="268" t="str">
        <f t="shared" si="31"/>
        <v/>
      </c>
      <c r="AN25" s="268" t="str">
        <f t="shared" si="31"/>
        <v/>
      </c>
      <c r="AO25" s="268" t="str">
        <f t="shared" si="31"/>
        <v/>
      </c>
      <c r="AP25" s="268" t="str">
        <f t="shared" si="31"/>
        <v/>
      </c>
      <c r="AQ25" s="268" t="str">
        <f t="shared" si="31"/>
        <v/>
      </c>
      <c r="AR25" s="268" t="str">
        <f t="shared" si="31"/>
        <v/>
      </c>
      <c r="AS25" s="268" t="str">
        <f t="shared" si="31"/>
        <v/>
      </c>
      <c r="AT25" s="268" t="str">
        <f t="shared" si="31"/>
        <v/>
      </c>
      <c r="AU25" s="268" t="str">
        <f t="shared" si="31"/>
        <v/>
      </c>
      <c r="AV25" s="268" t="str">
        <f t="shared" si="31"/>
        <v/>
      </c>
      <c r="AW25" s="268" t="str">
        <f t="shared" si="31"/>
        <v/>
      </c>
      <c r="AX25" s="268" t="str">
        <f t="shared" si="31"/>
        <v/>
      </c>
      <c r="AY25" s="268" t="str">
        <f t="shared" si="31"/>
        <v/>
      </c>
      <c r="AZ25" s="268" t="str">
        <f t="shared" si="31"/>
        <v/>
      </c>
      <c r="BA25" s="268" t="str">
        <f t="shared" si="31"/>
        <v/>
      </c>
      <c r="BB25" s="268" t="str">
        <f t="shared" si="31"/>
        <v/>
      </c>
      <c r="BC25" s="268" t="str">
        <f t="shared" si="31"/>
        <v/>
      </c>
      <c r="BD25" s="268" t="str">
        <f t="shared" si="31"/>
        <v/>
      </c>
      <c r="BE25" s="268" t="str">
        <f t="shared" si="31"/>
        <v/>
      </c>
      <c r="BF25" s="268" t="str">
        <f t="shared" si="31"/>
        <v/>
      </c>
      <c r="BG25" s="268" t="str">
        <f t="shared" si="31"/>
        <v/>
      </c>
      <c r="BH25" s="268" t="str">
        <f t="shared" si="31"/>
        <v/>
      </c>
      <c r="BI25" s="268" t="str">
        <f t="shared" si="31"/>
        <v/>
      </c>
      <c r="BJ25" s="268" t="str">
        <f t="shared" si="31"/>
        <v/>
      </c>
      <c r="BK25" s="268" t="str">
        <f t="shared" si="31"/>
        <v/>
      </c>
      <c r="BL25" s="268" t="str">
        <f t="shared" si="31"/>
        <v/>
      </c>
      <c r="BM25" s="268" t="str">
        <f t="shared" si="31"/>
        <v/>
      </c>
      <c r="BN25" s="268" t="str">
        <f t="shared" si="31"/>
        <v/>
      </c>
      <c r="BO25" s="268" t="str">
        <f t="shared" si="31"/>
        <v/>
      </c>
      <c r="BP25" s="268" t="str">
        <f t="shared" si="31"/>
        <v/>
      </c>
      <c r="BQ25" s="268" t="str">
        <f t="shared" si="31"/>
        <v/>
      </c>
      <c r="BR25" s="268" t="str">
        <f t="shared" si="31"/>
        <v/>
      </c>
      <c r="BS25" s="268" t="str">
        <f t="shared" si="31"/>
        <v/>
      </c>
      <c r="BT25" s="268" t="str">
        <f t="shared" si="31"/>
        <v/>
      </c>
      <c r="BU25" s="268" t="str">
        <f t="shared" si="3"/>
        <v/>
      </c>
      <c r="BV25" s="728">
        <v>0.61</v>
      </c>
      <c r="BW25" s="729">
        <f t="shared" si="21"/>
        <v>1830</v>
      </c>
      <c r="BX25" s="730">
        <f t="shared" si="22"/>
        <v>14182.5</v>
      </c>
      <c r="BY25" s="731" t="str">
        <f t="shared" ref="BY25:BY56" si="32">MID(E25,1,2)</f>
        <v>SR</v>
      </c>
    </row>
    <row r="26" s="698" customFormat="1" customHeight="1" spans="1:77">
      <c r="A26" s="256">
        <v>45915</v>
      </c>
      <c r="B26" s="256">
        <v>46031</v>
      </c>
      <c r="C26" s="257" t="s">
        <v>287</v>
      </c>
      <c r="D26" s="257" t="s">
        <v>288</v>
      </c>
      <c r="E26" s="257" t="s">
        <v>26</v>
      </c>
      <c r="F26" s="727">
        <v>2400</v>
      </c>
      <c r="G26" s="257" t="s">
        <v>270</v>
      </c>
      <c r="H26" s="211" t="str">
        <f>IFERROR(VLOOKUP(E26,名称!A:E,4,0),"")</f>
        <v>二代</v>
      </c>
      <c r="I26" s="268" t="str">
        <f t="shared" ref="I26:BT26" si="33">IF(OR($E26="",I$1=""),"",IF(TRIM(LEFT($E26,MIN(IFERROR(FIND("CDU",UPPER($E26)),999),IFERROR(FIND("BULK",UPPER($E26)),999),IFERROR(FIND("-",$E26),999),IFERROR(FIND("（",$E26),999))-1))=I$1,$F26,""))</f>
        <v/>
      </c>
      <c r="J26" s="268" t="str">
        <f t="shared" si="33"/>
        <v/>
      </c>
      <c r="K26" s="268" t="str">
        <f t="shared" si="33"/>
        <v/>
      </c>
      <c r="L26" s="268" t="str">
        <f t="shared" si="33"/>
        <v/>
      </c>
      <c r="M26" s="268" t="str">
        <f t="shared" si="33"/>
        <v/>
      </c>
      <c r="N26" s="268" t="str">
        <f t="shared" si="33"/>
        <v/>
      </c>
      <c r="O26" s="268" t="str">
        <f t="shared" si="33"/>
        <v/>
      </c>
      <c r="P26" s="268" t="str">
        <f t="shared" si="33"/>
        <v/>
      </c>
      <c r="Q26" s="268" t="str">
        <f t="shared" si="33"/>
        <v/>
      </c>
      <c r="R26" s="268" t="str">
        <f t="shared" si="33"/>
        <v/>
      </c>
      <c r="S26" s="268">
        <f t="shared" si="33"/>
        <v>2400</v>
      </c>
      <c r="T26" s="268" t="str">
        <f t="shared" si="33"/>
        <v/>
      </c>
      <c r="U26" s="268" t="str">
        <f t="shared" si="33"/>
        <v/>
      </c>
      <c r="V26" s="268" t="str">
        <f t="shared" si="33"/>
        <v/>
      </c>
      <c r="W26" s="268" t="str">
        <f t="shared" si="33"/>
        <v/>
      </c>
      <c r="X26" s="268" t="str">
        <f t="shared" si="33"/>
        <v/>
      </c>
      <c r="Y26" s="268" t="str">
        <f t="shared" si="33"/>
        <v/>
      </c>
      <c r="Z26" s="268" t="str">
        <f t="shared" si="33"/>
        <v/>
      </c>
      <c r="AA26" s="268" t="str">
        <f t="shared" si="33"/>
        <v/>
      </c>
      <c r="AB26" s="268" t="str">
        <f t="shared" si="33"/>
        <v/>
      </c>
      <c r="AC26" s="268" t="str">
        <f t="shared" si="33"/>
        <v/>
      </c>
      <c r="AD26" s="268" t="str">
        <f t="shared" si="33"/>
        <v/>
      </c>
      <c r="AE26" s="268" t="str">
        <f t="shared" si="33"/>
        <v/>
      </c>
      <c r="AF26" s="268" t="str">
        <f t="shared" si="33"/>
        <v/>
      </c>
      <c r="AG26" s="268" t="str">
        <f t="shared" si="33"/>
        <v/>
      </c>
      <c r="AH26" s="268" t="str">
        <f t="shared" si="33"/>
        <v/>
      </c>
      <c r="AI26" s="268" t="str">
        <f t="shared" si="33"/>
        <v/>
      </c>
      <c r="AJ26" s="268" t="str">
        <f t="shared" si="33"/>
        <v/>
      </c>
      <c r="AK26" s="268" t="str">
        <f t="shared" si="33"/>
        <v/>
      </c>
      <c r="AL26" s="268" t="str">
        <f t="shared" si="33"/>
        <v/>
      </c>
      <c r="AM26" s="268" t="str">
        <f t="shared" si="33"/>
        <v/>
      </c>
      <c r="AN26" s="268" t="str">
        <f t="shared" si="33"/>
        <v/>
      </c>
      <c r="AO26" s="268" t="str">
        <f t="shared" si="33"/>
        <v/>
      </c>
      <c r="AP26" s="268" t="str">
        <f t="shared" si="33"/>
        <v/>
      </c>
      <c r="AQ26" s="268" t="str">
        <f t="shared" si="33"/>
        <v/>
      </c>
      <c r="AR26" s="268" t="str">
        <f t="shared" si="33"/>
        <v/>
      </c>
      <c r="AS26" s="268" t="str">
        <f t="shared" si="33"/>
        <v/>
      </c>
      <c r="AT26" s="268" t="str">
        <f t="shared" si="33"/>
        <v/>
      </c>
      <c r="AU26" s="268" t="str">
        <f t="shared" si="33"/>
        <v/>
      </c>
      <c r="AV26" s="268" t="str">
        <f t="shared" si="33"/>
        <v/>
      </c>
      <c r="AW26" s="268" t="str">
        <f t="shared" si="33"/>
        <v/>
      </c>
      <c r="AX26" s="268" t="str">
        <f t="shared" si="33"/>
        <v/>
      </c>
      <c r="AY26" s="268" t="str">
        <f t="shared" si="33"/>
        <v/>
      </c>
      <c r="AZ26" s="268" t="str">
        <f t="shared" si="33"/>
        <v/>
      </c>
      <c r="BA26" s="268" t="str">
        <f t="shared" si="33"/>
        <v/>
      </c>
      <c r="BB26" s="268" t="str">
        <f t="shared" si="33"/>
        <v/>
      </c>
      <c r="BC26" s="268" t="str">
        <f t="shared" si="33"/>
        <v/>
      </c>
      <c r="BD26" s="268" t="str">
        <f t="shared" si="33"/>
        <v/>
      </c>
      <c r="BE26" s="268" t="str">
        <f t="shared" si="33"/>
        <v/>
      </c>
      <c r="BF26" s="268" t="str">
        <f t="shared" si="33"/>
        <v/>
      </c>
      <c r="BG26" s="268" t="str">
        <f t="shared" si="33"/>
        <v/>
      </c>
      <c r="BH26" s="268" t="str">
        <f t="shared" si="33"/>
        <v/>
      </c>
      <c r="BI26" s="268" t="str">
        <f t="shared" si="33"/>
        <v/>
      </c>
      <c r="BJ26" s="268" t="str">
        <f t="shared" si="33"/>
        <v/>
      </c>
      <c r="BK26" s="268" t="str">
        <f t="shared" si="33"/>
        <v/>
      </c>
      <c r="BL26" s="268" t="str">
        <f t="shared" si="33"/>
        <v/>
      </c>
      <c r="BM26" s="268" t="str">
        <f t="shared" si="33"/>
        <v/>
      </c>
      <c r="BN26" s="268" t="str">
        <f t="shared" si="33"/>
        <v/>
      </c>
      <c r="BO26" s="268" t="str">
        <f t="shared" si="33"/>
        <v/>
      </c>
      <c r="BP26" s="268" t="str">
        <f t="shared" si="33"/>
        <v/>
      </c>
      <c r="BQ26" s="268" t="str">
        <f t="shared" si="33"/>
        <v/>
      </c>
      <c r="BR26" s="268" t="str">
        <f t="shared" si="33"/>
        <v/>
      </c>
      <c r="BS26" s="268" t="str">
        <f t="shared" si="33"/>
        <v/>
      </c>
      <c r="BT26" s="268" t="str">
        <f t="shared" si="33"/>
        <v/>
      </c>
      <c r="BU26" s="268" t="str">
        <f t="shared" si="3"/>
        <v/>
      </c>
      <c r="BV26" s="728">
        <v>2.14</v>
      </c>
      <c r="BW26" s="729">
        <f t="shared" si="21"/>
        <v>5136</v>
      </c>
      <c r="BX26" s="730">
        <f t="shared" si="22"/>
        <v>39804</v>
      </c>
      <c r="BY26" s="731" t="str">
        <f t="shared" si="32"/>
        <v>SR</v>
      </c>
    </row>
    <row r="27" s="698" customFormat="1" customHeight="1" spans="1:77">
      <c r="A27" s="256">
        <v>45916</v>
      </c>
      <c r="B27" s="256">
        <v>45991</v>
      </c>
      <c r="C27" s="257" t="s">
        <v>289</v>
      </c>
      <c r="D27" s="257" t="s">
        <v>290</v>
      </c>
      <c r="E27" s="257" t="s">
        <v>43</v>
      </c>
      <c r="F27" s="727">
        <v>5016</v>
      </c>
      <c r="G27" s="257" t="s">
        <v>270</v>
      </c>
      <c r="H27" s="211" t="str">
        <f>IFERROR(VLOOKUP(E27,名称!A:E,4,0),"")</f>
        <v>二代</v>
      </c>
      <c r="I27" s="268" t="str">
        <f t="shared" ref="I27:BT27" si="34">IF(OR($E27="",I$1=""),"",IF(TRIM(LEFT($E27,MIN(IFERROR(FIND("CDU",UPPER($E27)),999),IFERROR(FIND("BULK",UPPER($E27)),999),IFERROR(FIND("-",$E27),999),IFERROR(FIND("（",$E27),999))-1))=I$1,$F27,""))</f>
        <v/>
      </c>
      <c r="J27" s="268" t="str">
        <f t="shared" si="34"/>
        <v/>
      </c>
      <c r="K27" s="268" t="str">
        <f t="shared" si="34"/>
        <v/>
      </c>
      <c r="L27" s="268" t="str">
        <f t="shared" si="34"/>
        <v/>
      </c>
      <c r="M27" s="268" t="str">
        <f t="shared" si="34"/>
        <v/>
      </c>
      <c r="N27" s="268">
        <f t="shared" si="34"/>
        <v>5016</v>
      </c>
      <c r="O27" s="268" t="str">
        <f t="shared" si="34"/>
        <v/>
      </c>
      <c r="P27" s="268" t="str">
        <f t="shared" si="34"/>
        <v/>
      </c>
      <c r="Q27" s="268" t="str">
        <f t="shared" si="34"/>
        <v/>
      </c>
      <c r="R27" s="268" t="str">
        <f t="shared" si="34"/>
        <v/>
      </c>
      <c r="S27" s="268" t="str">
        <f t="shared" si="34"/>
        <v/>
      </c>
      <c r="T27" s="268" t="str">
        <f t="shared" si="34"/>
        <v/>
      </c>
      <c r="U27" s="268" t="str">
        <f t="shared" si="34"/>
        <v/>
      </c>
      <c r="V27" s="268" t="str">
        <f t="shared" si="34"/>
        <v/>
      </c>
      <c r="W27" s="268" t="str">
        <f t="shared" si="34"/>
        <v/>
      </c>
      <c r="X27" s="268" t="str">
        <f t="shared" si="34"/>
        <v/>
      </c>
      <c r="Y27" s="268" t="str">
        <f t="shared" si="34"/>
        <v/>
      </c>
      <c r="Z27" s="268" t="str">
        <f t="shared" si="34"/>
        <v/>
      </c>
      <c r="AA27" s="268" t="str">
        <f t="shared" si="34"/>
        <v/>
      </c>
      <c r="AB27" s="268" t="str">
        <f t="shared" si="34"/>
        <v/>
      </c>
      <c r="AC27" s="268" t="str">
        <f t="shared" si="34"/>
        <v/>
      </c>
      <c r="AD27" s="268" t="str">
        <f t="shared" si="34"/>
        <v/>
      </c>
      <c r="AE27" s="268" t="str">
        <f t="shared" si="34"/>
        <v/>
      </c>
      <c r="AF27" s="268" t="str">
        <f t="shared" si="34"/>
        <v/>
      </c>
      <c r="AG27" s="268" t="str">
        <f t="shared" si="34"/>
        <v/>
      </c>
      <c r="AH27" s="268" t="str">
        <f t="shared" si="34"/>
        <v/>
      </c>
      <c r="AI27" s="268" t="str">
        <f t="shared" si="34"/>
        <v/>
      </c>
      <c r="AJ27" s="268" t="str">
        <f t="shared" si="34"/>
        <v/>
      </c>
      <c r="AK27" s="268" t="str">
        <f t="shared" si="34"/>
        <v/>
      </c>
      <c r="AL27" s="268" t="str">
        <f t="shared" si="34"/>
        <v/>
      </c>
      <c r="AM27" s="268" t="str">
        <f t="shared" si="34"/>
        <v/>
      </c>
      <c r="AN27" s="268" t="str">
        <f t="shared" si="34"/>
        <v/>
      </c>
      <c r="AO27" s="268" t="str">
        <f t="shared" si="34"/>
        <v/>
      </c>
      <c r="AP27" s="268" t="str">
        <f t="shared" si="34"/>
        <v/>
      </c>
      <c r="AQ27" s="268" t="str">
        <f t="shared" si="34"/>
        <v/>
      </c>
      <c r="AR27" s="268" t="str">
        <f t="shared" si="34"/>
        <v/>
      </c>
      <c r="AS27" s="268" t="str">
        <f t="shared" si="34"/>
        <v/>
      </c>
      <c r="AT27" s="268" t="str">
        <f t="shared" si="34"/>
        <v/>
      </c>
      <c r="AU27" s="268" t="str">
        <f t="shared" si="34"/>
        <v/>
      </c>
      <c r="AV27" s="268" t="str">
        <f t="shared" si="34"/>
        <v/>
      </c>
      <c r="AW27" s="268" t="str">
        <f t="shared" si="34"/>
        <v/>
      </c>
      <c r="AX27" s="268" t="str">
        <f t="shared" si="34"/>
        <v/>
      </c>
      <c r="AY27" s="268" t="str">
        <f t="shared" si="34"/>
        <v/>
      </c>
      <c r="AZ27" s="268" t="str">
        <f t="shared" si="34"/>
        <v/>
      </c>
      <c r="BA27" s="268" t="str">
        <f t="shared" si="34"/>
        <v/>
      </c>
      <c r="BB27" s="268" t="str">
        <f t="shared" si="34"/>
        <v/>
      </c>
      <c r="BC27" s="268" t="str">
        <f t="shared" si="34"/>
        <v/>
      </c>
      <c r="BD27" s="268" t="str">
        <f t="shared" si="34"/>
        <v/>
      </c>
      <c r="BE27" s="268" t="str">
        <f t="shared" si="34"/>
        <v/>
      </c>
      <c r="BF27" s="268" t="str">
        <f t="shared" si="34"/>
        <v/>
      </c>
      <c r="BG27" s="268" t="str">
        <f t="shared" si="34"/>
        <v/>
      </c>
      <c r="BH27" s="268" t="str">
        <f t="shared" si="34"/>
        <v/>
      </c>
      <c r="BI27" s="268" t="str">
        <f t="shared" si="34"/>
        <v/>
      </c>
      <c r="BJ27" s="268" t="str">
        <f t="shared" si="34"/>
        <v/>
      </c>
      <c r="BK27" s="268" t="str">
        <f t="shared" si="34"/>
        <v/>
      </c>
      <c r="BL27" s="268" t="str">
        <f t="shared" si="34"/>
        <v/>
      </c>
      <c r="BM27" s="268" t="str">
        <f t="shared" si="34"/>
        <v/>
      </c>
      <c r="BN27" s="268" t="str">
        <f t="shared" si="34"/>
        <v/>
      </c>
      <c r="BO27" s="268" t="str">
        <f t="shared" si="34"/>
        <v/>
      </c>
      <c r="BP27" s="268" t="str">
        <f t="shared" si="34"/>
        <v/>
      </c>
      <c r="BQ27" s="268" t="str">
        <f t="shared" si="34"/>
        <v/>
      </c>
      <c r="BR27" s="268" t="str">
        <f t="shared" si="34"/>
        <v/>
      </c>
      <c r="BS27" s="268" t="str">
        <f t="shared" si="34"/>
        <v/>
      </c>
      <c r="BT27" s="268" t="str">
        <f t="shared" si="34"/>
        <v/>
      </c>
      <c r="BU27" s="268" t="str">
        <f t="shared" si="3"/>
        <v/>
      </c>
      <c r="BV27" s="728">
        <v>0.61</v>
      </c>
      <c r="BW27" s="729">
        <f t="shared" si="21"/>
        <v>3059.76</v>
      </c>
      <c r="BX27" s="730">
        <f t="shared" si="22"/>
        <v>23713.14</v>
      </c>
      <c r="BY27" s="731" t="str">
        <f t="shared" si="32"/>
        <v>SR</v>
      </c>
    </row>
    <row r="28" s="698" customFormat="1" customHeight="1" spans="1:77">
      <c r="A28" s="208">
        <v>45945</v>
      </c>
      <c r="B28" s="208">
        <v>46087</v>
      </c>
      <c r="C28" s="211" t="s">
        <v>291</v>
      </c>
      <c r="D28" s="211" t="s">
        <v>292</v>
      </c>
      <c r="E28" s="211" t="s">
        <v>44</v>
      </c>
      <c r="F28" s="732">
        <v>7008</v>
      </c>
      <c r="G28" s="211" t="s">
        <v>270</v>
      </c>
      <c r="H28" s="211" t="str">
        <f>IFERROR(VLOOKUP(E28,名称!A:E,4,0),"")</f>
        <v>二代</v>
      </c>
      <c r="I28" s="268" t="str">
        <f t="shared" ref="I28:BT28" si="35">IF(OR($E28="",I$1=""),"",IF(TRIM(LEFT($E28,MIN(IFERROR(FIND("CDU",UPPER($E28)),999),IFERROR(FIND("BULK",UPPER($E28)),999),IFERROR(FIND("-",$E28),999),IFERROR(FIND("（",$E28),999))-1))=I$1,$F28,""))</f>
        <v/>
      </c>
      <c r="J28" s="268" t="str">
        <f t="shared" si="35"/>
        <v/>
      </c>
      <c r="K28" s="268" t="str">
        <f t="shared" si="35"/>
        <v/>
      </c>
      <c r="L28" s="268" t="str">
        <f t="shared" si="35"/>
        <v/>
      </c>
      <c r="M28" s="268">
        <f t="shared" si="35"/>
        <v>7008</v>
      </c>
      <c r="N28" s="268" t="str">
        <f t="shared" si="35"/>
        <v/>
      </c>
      <c r="O28" s="268" t="str">
        <f t="shared" si="35"/>
        <v/>
      </c>
      <c r="P28" s="268" t="str">
        <f t="shared" si="35"/>
        <v/>
      </c>
      <c r="Q28" s="268" t="str">
        <f t="shared" si="35"/>
        <v/>
      </c>
      <c r="R28" s="268" t="str">
        <f t="shared" si="35"/>
        <v/>
      </c>
      <c r="S28" s="268" t="str">
        <f t="shared" si="35"/>
        <v/>
      </c>
      <c r="T28" s="268" t="str">
        <f t="shared" si="35"/>
        <v/>
      </c>
      <c r="U28" s="268" t="str">
        <f t="shared" si="35"/>
        <v/>
      </c>
      <c r="V28" s="268" t="str">
        <f t="shared" si="35"/>
        <v/>
      </c>
      <c r="W28" s="268" t="str">
        <f t="shared" si="35"/>
        <v/>
      </c>
      <c r="X28" s="268" t="str">
        <f t="shared" si="35"/>
        <v/>
      </c>
      <c r="Y28" s="268" t="str">
        <f t="shared" si="35"/>
        <v/>
      </c>
      <c r="Z28" s="268" t="str">
        <f t="shared" si="35"/>
        <v/>
      </c>
      <c r="AA28" s="268" t="str">
        <f t="shared" si="35"/>
        <v/>
      </c>
      <c r="AB28" s="268" t="str">
        <f t="shared" si="35"/>
        <v/>
      </c>
      <c r="AC28" s="268" t="str">
        <f t="shared" si="35"/>
        <v/>
      </c>
      <c r="AD28" s="268" t="str">
        <f t="shared" si="35"/>
        <v/>
      </c>
      <c r="AE28" s="268" t="str">
        <f t="shared" si="35"/>
        <v/>
      </c>
      <c r="AF28" s="268" t="str">
        <f t="shared" si="35"/>
        <v/>
      </c>
      <c r="AG28" s="268" t="str">
        <f t="shared" si="35"/>
        <v/>
      </c>
      <c r="AH28" s="268" t="str">
        <f t="shared" si="35"/>
        <v/>
      </c>
      <c r="AI28" s="268" t="str">
        <f t="shared" si="35"/>
        <v/>
      </c>
      <c r="AJ28" s="268" t="str">
        <f t="shared" si="35"/>
        <v/>
      </c>
      <c r="AK28" s="268" t="str">
        <f t="shared" si="35"/>
        <v/>
      </c>
      <c r="AL28" s="268" t="str">
        <f t="shared" si="35"/>
        <v/>
      </c>
      <c r="AM28" s="268" t="str">
        <f t="shared" si="35"/>
        <v/>
      </c>
      <c r="AN28" s="268" t="str">
        <f t="shared" si="35"/>
        <v/>
      </c>
      <c r="AO28" s="268" t="str">
        <f t="shared" si="35"/>
        <v/>
      </c>
      <c r="AP28" s="268" t="str">
        <f t="shared" si="35"/>
        <v/>
      </c>
      <c r="AQ28" s="268" t="str">
        <f t="shared" si="35"/>
        <v/>
      </c>
      <c r="AR28" s="268" t="str">
        <f t="shared" si="35"/>
        <v/>
      </c>
      <c r="AS28" s="268" t="str">
        <f t="shared" si="35"/>
        <v/>
      </c>
      <c r="AT28" s="268" t="str">
        <f t="shared" si="35"/>
        <v/>
      </c>
      <c r="AU28" s="268" t="str">
        <f t="shared" si="35"/>
        <v/>
      </c>
      <c r="AV28" s="268" t="str">
        <f t="shared" si="35"/>
        <v/>
      </c>
      <c r="AW28" s="268" t="str">
        <f t="shared" si="35"/>
        <v/>
      </c>
      <c r="AX28" s="268" t="str">
        <f t="shared" si="35"/>
        <v/>
      </c>
      <c r="AY28" s="268" t="str">
        <f t="shared" si="35"/>
        <v/>
      </c>
      <c r="AZ28" s="268" t="str">
        <f t="shared" si="35"/>
        <v/>
      </c>
      <c r="BA28" s="268" t="str">
        <f t="shared" si="35"/>
        <v/>
      </c>
      <c r="BB28" s="268" t="str">
        <f t="shared" si="35"/>
        <v/>
      </c>
      <c r="BC28" s="268" t="str">
        <f t="shared" si="35"/>
        <v/>
      </c>
      <c r="BD28" s="268" t="str">
        <f t="shared" si="35"/>
        <v/>
      </c>
      <c r="BE28" s="268" t="str">
        <f t="shared" si="35"/>
        <v/>
      </c>
      <c r="BF28" s="268" t="str">
        <f t="shared" si="35"/>
        <v/>
      </c>
      <c r="BG28" s="268" t="str">
        <f t="shared" si="35"/>
        <v/>
      </c>
      <c r="BH28" s="268" t="str">
        <f t="shared" si="35"/>
        <v/>
      </c>
      <c r="BI28" s="268" t="str">
        <f t="shared" si="35"/>
        <v/>
      </c>
      <c r="BJ28" s="268" t="str">
        <f t="shared" si="35"/>
        <v/>
      </c>
      <c r="BK28" s="268" t="str">
        <f t="shared" si="35"/>
        <v/>
      </c>
      <c r="BL28" s="268" t="str">
        <f t="shared" si="35"/>
        <v/>
      </c>
      <c r="BM28" s="268" t="str">
        <f t="shared" si="35"/>
        <v/>
      </c>
      <c r="BN28" s="268" t="str">
        <f t="shared" si="35"/>
        <v/>
      </c>
      <c r="BO28" s="268" t="str">
        <f t="shared" si="35"/>
        <v/>
      </c>
      <c r="BP28" s="268" t="str">
        <f t="shared" si="35"/>
        <v/>
      </c>
      <c r="BQ28" s="268" t="str">
        <f t="shared" si="35"/>
        <v/>
      </c>
      <c r="BR28" s="268" t="str">
        <f t="shared" si="35"/>
        <v/>
      </c>
      <c r="BS28" s="268" t="str">
        <f t="shared" si="35"/>
        <v/>
      </c>
      <c r="BT28" s="268" t="str">
        <f t="shared" si="35"/>
        <v/>
      </c>
      <c r="BU28" s="268" t="str">
        <f t="shared" si="3"/>
        <v/>
      </c>
      <c r="BV28" s="247">
        <v>0.61</v>
      </c>
      <c r="BW28" s="729">
        <f t="shared" ref="BW28:BW47" si="36">SUM(I28:BU28)*BV28</f>
        <v>4274.88</v>
      </c>
      <c r="BX28" s="730">
        <f t="shared" ref="BX28:BX47" si="37">BW28*7.75</f>
        <v>33130.32</v>
      </c>
      <c r="BY28" s="731" t="str">
        <f t="shared" si="32"/>
        <v>SR</v>
      </c>
    </row>
    <row r="29" s="698" customFormat="1" customHeight="1" spans="1:77">
      <c r="A29" s="208">
        <v>45945</v>
      </c>
      <c r="B29" s="208">
        <v>46052</v>
      </c>
      <c r="C29" s="211" t="s">
        <v>293</v>
      </c>
      <c r="D29" s="211" t="s">
        <v>294</v>
      </c>
      <c r="E29" s="211" t="s">
        <v>44</v>
      </c>
      <c r="F29" s="732">
        <v>7008</v>
      </c>
      <c r="G29" s="211" t="s">
        <v>270</v>
      </c>
      <c r="H29" s="211" t="str">
        <f>IFERROR(VLOOKUP(E29,名称!A:E,4,0),"")</f>
        <v>二代</v>
      </c>
      <c r="I29" s="268" t="str">
        <f t="shared" ref="I29:BT29" si="38">IF(OR($E29="",I$1=""),"",IF(TRIM(LEFT($E29,MIN(IFERROR(FIND("CDU",UPPER($E29)),999),IFERROR(FIND("BULK",UPPER($E29)),999),IFERROR(FIND("-",$E29),999),IFERROR(FIND("（",$E29),999))-1))=I$1,$F29,""))</f>
        <v/>
      </c>
      <c r="J29" s="268" t="str">
        <f t="shared" si="38"/>
        <v/>
      </c>
      <c r="K29" s="268" t="str">
        <f t="shared" si="38"/>
        <v/>
      </c>
      <c r="L29" s="268" t="str">
        <f t="shared" si="38"/>
        <v/>
      </c>
      <c r="M29" s="268">
        <f t="shared" si="38"/>
        <v>7008</v>
      </c>
      <c r="N29" s="268" t="str">
        <f t="shared" si="38"/>
        <v/>
      </c>
      <c r="O29" s="268" t="str">
        <f t="shared" si="38"/>
        <v/>
      </c>
      <c r="P29" s="268" t="str">
        <f t="shared" si="38"/>
        <v/>
      </c>
      <c r="Q29" s="268" t="str">
        <f t="shared" si="38"/>
        <v/>
      </c>
      <c r="R29" s="268" t="str">
        <f t="shared" si="38"/>
        <v/>
      </c>
      <c r="S29" s="268" t="str">
        <f t="shared" si="38"/>
        <v/>
      </c>
      <c r="T29" s="268" t="str">
        <f t="shared" si="38"/>
        <v/>
      </c>
      <c r="U29" s="268" t="str">
        <f t="shared" si="38"/>
        <v/>
      </c>
      <c r="V29" s="268" t="str">
        <f t="shared" si="38"/>
        <v/>
      </c>
      <c r="W29" s="268" t="str">
        <f t="shared" si="38"/>
        <v/>
      </c>
      <c r="X29" s="268" t="str">
        <f t="shared" si="38"/>
        <v/>
      </c>
      <c r="Y29" s="268" t="str">
        <f t="shared" si="38"/>
        <v/>
      </c>
      <c r="Z29" s="268" t="str">
        <f t="shared" si="38"/>
        <v/>
      </c>
      <c r="AA29" s="268" t="str">
        <f t="shared" si="38"/>
        <v/>
      </c>
      <c r="AB29" s="268" t="str">
        <f t="shared" si="38"/>
        <v/>
      </c>
      <c r="AC29" s="268" t="str">
        <f t="shared" si="38"/>
        <v/>
      </c>
      <c r="AD29" s="268" t="str">
        <f t="shared" si="38"/>
        <v/>
      </c>
      <c r="AE29" s="268" t="str">
        <f t="shared" si="38"/>
        <v/>
      </c>
      <c r="AF29" s="268" t="str">
        <f t="shared" si="38"/>
        <v/>
      </c>
      <c r="AG29" s="268" t="str">
        <f t="shared" si="38"/>
        <v/>
      </c>
      <c r="AH29" s="268" t="str">
        <f t="shared" si="38"/>
        <v/>
      </c>
      <c r="AI29" s="268" t="str">
        <f t="shared" si="38"/>
        <v/>
      </c>
      <c r="AJ29" s="268" t="str">
        <f t="shared" si="38"/>
        <v/>
      </c>
      <c r="AK29" s="268" t="str">
        <f t="shared" si="38"/>
        <v/>
      </c>
      <c r="AL29" s="268" t="str">
        <f t="shared" si="38"/>
        <v/>
      </c>
      <c r="AM29" s="268" t="str">
        <f t="shared" si="38"/>
        <v/>
      </c>
      <c r="AN29" s="268" t="str">
        <f t="shared" si="38"/>
        <v/>
      </c>
      <c r="AO29" s="268" t="str">
        <f t="shared" si="38"/>
        <v/>
      </c>
      <c r="AP29" s="268" t="str">
        <f t="shared" si="38"/>
        <v/>
      </c>
      <c r="AQ29" s="268" t="str">
        <f t="shared" si="38"/>
        <v/>
      </c>
      <c r="AR29" s="268" t="str">
        <f t="shared" si="38"/>
        <v/>
      </c>
      <c r="AS29" s="268" t="str">
        <f t="shared" si="38"/>
        <v/>
      </c>
      <c r="AT29" s="268" t="str">
        <f t="shared" si="38"/>
        <v/>
      </c>
      <c r="AU29" s="268" t="str">
        <f t="shared" si="38"/>
        <v/>
      </c>
      <c r="AV29" s="268" t="str">
        <f t="shared" si="38"/>
        <v/>
      </c>
      <c r="AW29" s="268" t="str">
        <f t="shared" si="38"/>
        <v/>
      </c>
      <c r="AX29" s="268" t="str">
        <f t="shared" si="38"/>
        <v/>
      </c>
      <c r="AY29" s="268" t="str">
        <f t="shared" si="38"/>
        <v/>
      </c>
      <c r="AZ29" s="268" t="str">
        <f t="shared" si="38"/>
        <v/>
      </c>
      <c r="BA29" s="268" t="str">
        <f t="shared" si="38"/>
        <v/>
      </c>
      <c r="BB29" s="268" t="str">
        <f t="shared" si="38"/>
        <v/>
      </c>
      <c r="BC29" s="268" t="str">
        <f t="shared" si="38"/>
        <v/>
      </c>
      <c r="BD29" s="268" t="str">
        <f t="shared" si="38"/>
        <v/>
      </c>
      <c r="BE29" s="268" t="str">
        <f t="shared" si="38"/>
        <v/>
      </c>
      <c r="BF29" s="268" t="str">
        <f t="shared" si="38"/>
        <v/>
      </c>
      <c r="BG29" s="268" t="str">
        <f t="shared" si="38"/>
        <v/>
      </c>
      <c r="BH29" s="268" t="str">
        <f t="shared" si="38"/>
        <v/>
      </c>
      <c r="BI29" s="268" t="str">
        <f t="shared" si="38"/>
        <v/>
      </c>
      <c r="BJ29" s="268" t="str">
        <f t="shared" si="38"/>
        <v/>
      </c>
      <c r="BK29" s="268" t="str">
        <f t="shared" si="38"/>
        <v/>
      </c>
      <c r="BL29" s="268" t="str">
        <f t="shared" si="38"/>
        <v/>
      </c>
      <c r="BM29" s="268" t="str">
        <f t="shared" si="38"/>
        <v/>
      </c>
      <c r="BN29" s="268" t="str">
        <f t="shared" si="38"/>
        <v/>
      </c>
      <c r="BO29" s="268" t="str">
        <f t="shared" si="38"/>
        <v/>
      </c>
      <c r="BP29" s="268" t="str">
        <f t="shared" si="38"/>
        <v/>
      </c>
      <c r="BQ29" s="268" t="str">
        <f t="shared" si="38"/>
        <v/>
      </c>
      <c r="BR29" s="268" t="str">
        <f t="shared" si="38"/>
        <v/>
      </c>
      <c r="BS29" s="268" t="str">
        <f t="shared" si="38"/>
        <v/>
      </c>
      <c r="BT29" s="268" t="str">
        <f t="shared" si="38"/>
        <v/>
      </c>
      <c r="BU29" s="268" t="str">
        <f t="shared" si="3"/>
        <v/>
      </c>
      <c r="BV29" s="247">
        <v>0.61</v>
      </c>
      <c r="BW29" s="729">
        <f t="shared" si="36"/>
        <v>4274.88</v>
      </c>
      <c r="BX29" s="730">
        <f t="shared" si="37"/>
        <v>33130.32</v>
      </c>
      <c r="BY29" s="731" t="str">
        <f t="shared" si="32"/>
        <v>SR</v>
      </c>
    </row>
    <row r="30" s="698" customFormat="1" customHeight="1" spans="1:77">
      <c r="A30" s="208">
        <v>45953</v>
      </c>
      <c r="B30" s="208">
        <v>46051</v>
      </c>
      <c r="C30" s="211" t="s">
        <v>295</v>
      </c>
      <c r="D30" s="211" t="s">
        <v>296</v>
      </c>
      <c r="E30" s="211" t="s">
        <v>44</v>
      </c>
      <c r="F30" s="732">
        <v>14016</v>
      </c>
      <c r="G30" s="211" t="s">
        <v>270</v>
      </c>
      <c r="H30" s="211" t="str">
        <f>IFERROR(VLOOKUP(E30,名称!A:E,4,0),"")</f>
        <v>二代</v>
      </c>
      <c r="I30" s="268" t="str">
        <f t="shared" ref="I30:BT30" si="39">IF(OR($E30="",I$1=""),"",IF(TRIM(LEFT($E30,MIN(IFERROR(FIND("CDU",UPPER($E30)),999),IFERROR(FIND("BULK",UPPER($E30)),999),IFERROR(FIND("-",$E30),999),IFERROR(FIND("（",$E30),999))-1))=I$1,$F30,""))</f>
        <v/>
      </c>
      <c r="J30" s="268" t="str">
        <f t="shared" si="39"/>
        <v/>
      </c>
      <c r="K30" s="268" t="str">
        <f t="shared" si="39"/>
        <v/>
      </c>
      <c r="L30" s="268" t="str">
        <f t="shared" si="39"/>
        <v/>
      </c>
      <c r="M30" s="268">
        <f t="shared" si="39"/>
        <v>14016</v>
      </c>
      <c r="N30" s="268" t="str">
        <f t="shared" si="39"/>
        <v/>
      </c>
      <c r="O30" s="268" t="str">
        <f t="shared" si="39"/>
        <v/>
      </c>
      <c r="P30" s="268" t="str">
        <f t="shared" si="39"/>
        <v/>
      </c>
      <c r="Q30" s="268" t="str">
        <f t="shared" si="39"/>
        <v/>
      </c>
      <c r="R30" s="268" t="str">
        <f t="shared" si="39"/>
        <v/>
      </c>
      <c r="S30" s="268" t="str">
        <f t="shared" si="39"/>
        <v/>
      </c>
      <c r="T30" s="268" t="str">
        <f t="shared" si="39"/>
        <v/>
      </c>
      <c r="U30" s="268" t="str">
        <f t="shared" si="39"/>
        <v/>
      </c>
      <c r="V30" s="268" t="str">
        <f t="shared" si="39"/>
        <v/>
      </c>
      <c r="W30" s="268" t="str">
        <f t="shared" si="39"/>
        <v/>
      </c>
      <c r="X30" s="268" t="str">
        <f t="shared" si="39"/>
        <v/>
      </c>
      <c r="Y30" s="268" t="str">
        <f t="shared" si="39"/>
        <v/>
      </c>
      <c r="Z30" s="268" t="str">
        <f t="shared" si="39"/>
        <v/>
      </c>
      <c r="AA30" s="268" t="str">
        <f t="shared" si="39"/>
        <v/>
      </c>
      <c r="AB30" s="268" t="str">
        <f t="shared" si="39"/>
        <v/>
      </c>
      <c r="AC30" s="268" t="str">
        <f t="shared" si="39"/>
        <v/>
      </c>
      <c r="AD30" s="268" t="str">
        <f t="shared" si="39"/>
        <v/>
      </c>
      <c r="AE30" s="268" t="str">
        <f t="shared" si="39"/>
        <v/>
      </c>
      <c r="AF30" s="268" t="str">
        <f t="shared" si="39"/>
        <v/>
      </c>
      <c r="AG30" s="268" t="str">
        <f t="shared" si="39"/>
        <v/>
      </c>
      <c r="AH30" s="268" t="str">
        <f t="shared" si="39"/>
        <v/>
      </c>
      <c r="AI30" s="268" t="str">
        <f t="shared" si="39"/>
        <v/>
      </c>
      <c r="AJ30" s="268" t="str">
        <f t="shared" si="39"/>
        <v/>
      </c>
      <c r="AK30" s="268" t="str">
        <f t="shared" si="39"/>
        <v/>
      </c>
      <c r="AL30" s="268" t="str">
        <f t="shared" si="39"/>
        <v/>
      </c>
      <c r="AM30" s="268" t="str">
        <f t="shared" si="39"/>
        <v/>
      </c>
      <c r="AN30" s="268" t="str">
        <f t="shared" si="39"/>
        <v/>
      </c>
      <c r="AO30" s="268" t="str">
        <f t="shared" si="39"/>
        <v/>
      </c>
      <c r="AP30" s="268" t="str">
        <f t="shared" si="39"/>
        <v/>
      </c>
      <c r="AQ30" s="268" t="str">
        <f t="shared" si="39"/>
        <v/>
      </c>
      <c r="AR30" s="268" t="str">
        <f t="shared" si="39"/>
        <v/>
      </c>
      <c r="AS30" s="268" t="str">
        <f t="shared" si="39"/>
        <v/>
      </c>
      <c r="AT30" s="268" t="str">
        <f t="shared" si="39"/>
        <v/>
      </c>
      <c r="AU30" s="268" t="str">
        <f t="shared" si="39"/>
        <v/>
      </c>
      <c r="AV30" s="268" t="str">
        <f t="shared" si="39"/>
        <v/>
      </c>
      <c r="AW30" s="268" t="str">
        <f t="shared" si="39"/>
        <v/>
      </c>
      <c r="AX30" s="268" t="str">
        <f t="shared" si="39"/>
        <v/>
      </c>
      <c r="AY30" s="268" t="str">
        <f t="shared" si="39"/>
        <v/>
      </c>
      <c r="AZ30" s="268" t="str">
        <f t="shared" si="39"/>
        <v/>
      </c>
      <c r="BA30" s="268" t="str">
        <f t="shared" si="39"/>
        <v/>
      </c>
      <c r="BB30" s="268" t="str">
        <f t="shared" si="39"/>
        <v/>
      </c>
      <c r="BC30" s="268" t="str">
        <f t="shared" si="39"/>
        <v/>
      </c>
      <c r="BD30" s="268" t="str">
        <f t="shared" si="39"/>
        <v/>
      </c>
      <c r="BE30" s="268" t="str">
        <f t="shared" si="39"/>
        <v/>
      </c>
      <c r="BF30" s="268" t="str">
        <f t="shared" si="39"/>
        <v/>
      </c>
      <c r="BG30" s="268" t="str">
        <f t="shared" si="39"/>
        <v/>
      </c>
      <c r="BH30" s="268" t="str">
        <f t="shared" si="39"/>
        <v/>
      </c>
      <c r="BI30" s="268" t="str">
        <f t="shared" si="39"/>
        <v/>
      </c>
      <c r="BJ30" s="268" t="str">
        <f t="shared" si="39"/>
        <v/>
      </c>
      <c r="BK30" s="268" t="str">
        <f t="shared" si="39"/>
        <v/>
      </c>
      <c r="BL30" s="268" t="str">
        <f t="shared" si="39"/>
        <v/>
      </c>
      <c r="BM30" s="268" t="str">
        <f t="shared" si="39"/>
        <v/>
      </c>
      <c r="BN30" s="268" t="str">
        <f t="shared" si="39"/>
        <v/>
      </c>
      <c r="BO30" s="268" t="str">
        <f t="shared" si="39"/>
        <v/>
      </c>
      <c r="BP30" s="268" t="str">
        <f t="shared" si="39"/>
        <v/>
      </c>
      <c r="BQ30" s="268" t="str">
        <f t="shared" si="39"/>
        <v/>
      </c>
      <c r="BR30" s="268" t="str">
        <f t="shared" si="39"/>
        <v/>
      </c>
      <c r="BS30" s="268" t="str">
        <f t="shared" si="39"/>
        <v/>
      </c>
      <c r="BT30" s="268" t="str">
        <f t="shared" si="39"/>
        <v/>
      </c>
      <c r="BU30" s="268" t="str">
        <f t="shared" si="3"/>
        <v/>
      </c>
      <c r="BV30" s="247">
        <v>0.61</v>
      </c>
      <c r="BW30" s="729">
        <f t="shared" si="36"/>
        <v>8549.76</v>
      </c>
      <c r="BX30" s="730">
        <f t="shared" si="37"/>
        <v>66260.64</v>
      </c>
      <c r="BY30" s="731" t="str">
        <f t="shared" si="32"/>
        <v>SR</v>
      </c>
    </row>
    <row r="31" s="698" customFormat="1" customHeight="1" spans="1:77">
      <c r="A31" s="208">
        <v>45953</v>
      </c>
      <c r="B31" s="208">
        <v>46051</v>
      </c>
      <c r="C31" s="211" t="s">
        <v>297</v>
      </c>
      <c r="D31" s="211" t="s">
        <v>298</v>
      </c>
      <c r="E31" s="211" t="s">
        <v>43</v>
      </c>
      <c r="F31" s="732">
        <v>15000</v>
      </c>
      <c r="G31" s="211" t="s">
        <v>270</v>
      </c>
      <c r="H31" s="211" t="str">
        <f>IFERROR(VLOOKUP(E31,名称!A:E,4,0),"")</f>
        <v>二代</v>
      </c>
      <c r="I31" s="268" t="str">
        <f t="shared" ref="I31:BT31" si="40">IF(OR($E31="",I$1=""),"",IF(TRIM(LEFT($E31,MIN(IFERROR(FIND("CDU",UPPER($E31)),999),IFERROR(FIND("BULK",UPPER($E31)),999),IFERROR(FIND("-",$E31),999),IFERROR(FIND("（",$E31),999))-1))=I$1,$F31,""))</f>
        <v/>
      </c>
      <c r="J31" s="268" t="str">
        <f t="shared" si="40"/>
        <v/>
      </c>
      <c r="K31" s="268" t="str">
        <f t="shared" si="40"/>
        <v/>
      </c>
      <c r="L31" s="268" t="str">
        <f t="shared" si="40"/>
        <v/>
      </c>
      <c r="M31" s="268" t="str">
        <f t="shared" si="40"/>
        <v/>
      </c>
      <c r="N31" s="268">
        <f t="shared" si="40"/>
        <v>15000</v>
      </c>
      <c r="O31" s="268" t="str">
        <f t="shared" si="40"/>
        <v/>
      </c>
      <c r="P31" s="268" t="str">
        <f t="shared" si="40"/>
        <v/>
      </c>
      <c r="Q31" s="268" t="str">
        <f t="shared" si="40"/>
        <v/>
      </c>
      <c r="R31" s="268" t="str">
        <f t="shared" si="40"/>
        <v/>
      </c>
      <c r="S31" s="268" t="str">
        <f t="shared" si="40"/>
        <v/>
      </c>
      <c r="T31" s="268" t="str">
        <f t="shared" si="40"/>
        <v/>
      </c>
      <c r="U31" s="268" t="str">
        <f t="shared" si="40"/>
        <v/>
      </c>
      <c r="V31" s="268" t="str">
        <f t="shared" si="40"/>
        <v/>
      </c>
      <c r="W31" s="268" t="str">
        <f t="shared" si="40"/>
        <v/>
      </c>
      <c r="X31" s="268" t="str">
        <f t="shared" si="40"/>
        <v/>
      </c>
      <c r="Y31" s="268" t="str">
        <f t="shared" si="40"/>
        <v/>
      </c>
      <c r="Z31" s="268" t="str">
        <f t="shared" si="40"/>
        <v/>
      </c>
      <c r="AA31" s="268" t="str">
        <f t="shared" si="40"/>
        <v/>
      </c>
      <c r="AB31" s="268" t="str">
        <f t="shared" si="40"/>
        <v/>
      </c>
      <c r="AC31" s="268" t="str">
        <f t="shared" si="40"/>
        <v/>
      </c>
      <c r="AD31" s="268" t="str">
        <f t="shared" si="40"/>
        <v/>
      </c>
      <c r="AE31" s="268" t="str">
        <f t="shared" si="40"/>
        <v/>
      </c>
      <c r="AF31" s="268" t="str">
        <f t="shared" si="40"/>
        <v/>
      </c>
      <c r="AG31" s="268" t="str">
        <f t="shared" si="40"/>
        <v/>
      </c>
      <c r="AH31" s="268" t="str">
        <f t="shared" si="40"/>
        <v/>
      </c>
      <c r="AI31" s="268" t="str">
        <f t="shared" si="40"/>
        <v/>
      </c>
      <c r="AJ31" s="268" t="str">
        <f t="shared" si="40"/>
        <v/>
      </c>
      <c r="AK31" s="268" t="str">
        <f t="shared" si="40"/>
        <v/>
      </c>
      <c r="AL31" s="268" t="str">
        <f t="shared" si="40"/>
        <v/>
      </c>
      <c r="AM31" s="268" t="str">
        <f t="shared" si="40"/>
        <v/>
      </c>
      <c r="AN31" s="268" t="str">
        <f t="shared" si="40"/>
        <v/>
      </c>
      <c r="AO31" s="268" t="str">
        <f t="shared" si="40"/>
        <v/>
      </c>
      <c r="AP31" s="268" t="str">
        <f t="shared" si="40"/>
        <v/>
      </c>
      <c r="AQ31" s="268" t="str">
        <f t="shared" si="40"/>
        <v/>
      </c>
      <c r="AR31" s="268" t="str">
        <f t="shared" si="40"/>
        <v/>
      </c>
      <c r="AS31" s="268" t="str">
        <f t="shared" si="40"/>
        <v/>
      </c>
      <c r="AT31" s="268" t="str">
        <f t="shared" si="40"/>
        <v/>
      </c>
      <c r="AU31" s="268" t="str">
        <f t="shared" si="40"/>
        <v/>
      </c>
      <c r="AV31" s="268" t="str">
        <f t="shared" si="40"/>
        <v/>
      </c>
      <c r="AW31" s="268" t="str">
        <f t="shared" si="40"/>
        <v/>
      </c>
      <c r="AX31" s="268" t="str">
        <f t="shared" si="40"/>
        <v/>
      </c>
      <c r="AY31" s="268" t="str">
        <f t="shared" si="40"/>
        <v/>
      </c>
      <c r="AZ31" s="268" t="str">
        <f t="shared" si="40"/>
        <v/>
      </c>
      <c r="BA31" s="268" t="str">
        <f t="shared" si="40"/>
        <v/>
      </c>
      <c r="BB31" s="268" t="str">
        <f t="shared" si="40"/>
        <v/>
      </c>
      <c r="BC31" s="268" t="str">
        <f t="shared" si="40"/>
        <v/>
      </c>
      <c r="BD31" s="268" t="str">
        <f t="shared" si="40"/>
        <v/>
      </c>
      <c r="BE31" s="268" t="str">
        <f t="shared" si="40"/>
        <v/>
      </c>
      <c r="BF31" s="268" t="str">
        <f t="shared" si="40"/>
        <v/>
      </c>
      <c r="BG31" s="268" t="str">
        <f t="shared" si="40"/>
        <v/>
      </c>
      <c r="BH31" s="268" t="str">
        <f t="shared" si="40"/>
        <v/>
      </c>
      <c r="BI31" s="268" t="str">
        <f t="shared" si="40"/>
        <v/>
      </c>
      <c r="BJ31" s="268" t="str">
        <f t="shared" si="40"/>
        <v/>
      </c>
      <c r="BK31" s="268" t="str">
        <f t="shared" si="40"/>
        <v/>
      </c>
      <c r="BL31" s="268" t="str">
        <f t="shared" si="40"/>
        <v/>
      </c>
      <c r="BM31" s="268" t="str">
        <f t="shared" si="40"/>
        <v/>
      </c>
      <c r="BN31" s="268" t="str">
        <f t="shared" si="40"/>
        <v/>
      </c>
      <c r="BO31" s="268" t="str">
        <f t="shared" si="40"/>
        <v/>
      </c>
      <c r="BP31" s="268" t="str">
        <f t="shared" si="40"/>
        <v/>
      </c>
      <c r="BQ31" s="268" t="str">
        <f t="shared" si="40"/>
        <v/>
      </c>
      <c r="BR31" s="268" t="str">
        <f t="shared" si="40"/>
        <v/>
      </c>
      <c r="BS31" s="268" t="str">
        <f t="shared" si="40"/>
        <v/>
      </c>
      <c r="BT31" s="268" t="str">
        <f t="shared" si="40"/>
        <v/>
      </c>
      <c r="BU31" s="268" t="str">
        <f t="shared" si="3"/>
        <v/>
      </c>
      <c r="BV31" s="247">
        <v>0.61</v>
      </c>
      <c r="BW31" s="729">
        <f t="shared" si="36"/>
        <v>9150</v>
      </c>
      <c r="BX31" s="730">
        <f t="shared" si="37"/>
        <v>70912.5</v>
      </c>
      <c r="BY31" s="731" t="str">
        <f t="shared" si="32"/>
        <v>SR</v>
      </c>
    </row>
    <row r="32" s="698" customFormat="1" customHeight="1" spans="1:77">
      <c r="A32" s="208">
        <v>45953</v>
      </c>
      <c r="B32" s="208">
        <v>46051</v>
      </c>
      <c r="C32" s="211" t="s">
        <v>299</v>
      </c>
      <c r="D32" s="211" t="s">
        <v>300</v>
      </c>
      <c r="E32" s="211" t="s">
        <v>26</v>
      </c>
      <c r="F32" s="732">
        <v>9000</v>
      </c>
      <c r="G32" s="211" t="s">
        <v>270</v>
      </c>
      <c r="H32" s="211" t="str">
        <f>IFERROR(VLOOKUP(E32,名称!A:E,4,0),"")</f>
        <v>二代</v>
      </c>
      <c r="I32" s="268" t="str">
        <f t="shared" ref="I32:BT32" si="41">IF(OR($E32="",I$1=""),"",IF(TRIM(LEFT($E32,MIN(IFERROR(FIND("CDU",UPPER($E32)),999),IFERROR(FIND("BULK",UPPER($E32)),999),IFERROR(FIND("-",$E32),999),IFERROR(FIND("（",$E32),999))-1))=I$1,$F32,""))</f>
        <v/>
      </c>
      <c r="J32" s="268" t="str">
        <f t="shared" si="41"/>
        <v/>
      </c>
      <c r="K32" s="268" t="str">
        <f t="shared" si="41"/>
        <v/>
      </c>
      <c r="L32" s="268" t="str">
        <f t="shared" si="41"/>
        <v/>
      </c>
      <c r="M32" s="268" t="str">
        <f t="shared" si="41"/>
        <v/>
      </c>
      <c r="N32" s="268" t="str">
        <f t="shared" si="41"/>
        <v/>
      </c>
      <c r="O32" s="268" t="str">
        <f t="shared" si="41"/>
        <v/>
      </c>
      <c r="P32" s="268" t="str">
        <f t="shared" si="41"/>
        <v/>
      </c>
      <c r="Q32" s="268" t="str">
        <f t="shared" si="41"/>
        <v/>
      </c>
      <c r="R32" s="268" t="str">
        <f t="shared" si="41"/>
        <v/>
      </c>
      <c r="S32" s="268">
        <f t="shared" si="41"/>
        <v>9000</v>
      </c>
      <c r="T32" s="268" t="str">
        <f t="shared" si="41"/>
        <v/>
      </c>
      <c r="U32" s="268" t="str">
        <f t="shared" si="41"/>
        <v/>
      </c>
      <c r="V32" s="268" t="str">
        <f t="shared" si="41"/>
        <v/>
      </c>
      <c r="W32" s="268" t="str">
        <f t="shared" si="41"/>
        <v/>
      </c>
      <c r="X32" s="268" t="str">
        <f t="shared" si="41"/>
        <v/>
      </c>
      <c r="Y32" s="268" t="str">
        <f t="shared" si="41"/>
        <v/>
      </c>
      <c r="Z32" s="268" t="str">
        <f t="shared" si="41"/>
        <v/>
      </c>
      <c r="AA32" s="268" t="str">
        <f t="shared" si="41"/>
        <v/>
      </c>
      <c r="AB32" s="268" t="str">
        <f t="shared" si="41"/>
        <v/>
      </c>
      <c r="AC32" s="268" t="str">
        <f t="shared" si="41"/>
        <v/>
      </c>
      <c r="AD32" s="268" t="str">
        <f t="shared" si="41"/>
        <v/>
      </c>
      <c r="AE32" s="268" t="str">
        <f t="shared" si="41"/>
        <v/>
      </c>
      <c r="AF32" s="268" t="str">
        <f t="shared" si="41"/>
        <v/>
      </c>
      <c r="AG32" s="268" t="str">
        <f t="shared" si="41"/>
        <v/>
      </c>
      <c r="AH32" s="268" t="str">
        <f t="shared" si="41"/>
        <v/>
      </c>
      <c r="AI32" s="268" t="str">
        <f t="shared" si="41"/>
        <v/>
      </c>
      <c r="AJ32" s="268" t="str">
        <f t="shared" si="41"/>
        <v/>
      </c>
      <c r="AK32" s="268" t="str">
        <f t="shared" si="41"/>
        <v/>
      </c>
      <c r="AL32" s="268" t="str">
        <f t="shared" si="41"/>
        <v/>
      </c>
      <c r="AM32" s="268" t="str">
        <f t="shared" si="41"/>
        <v/>
      </c>
      <c r="AN32" s="268" t="str">
        <f t="shared" si="41"/>
        <v/>
      </c>
      <c r="AO32" s="268" t="str">
        <f t="shared" si="41"/>
        <v/>
      </c>
      <c r="AP32" s="268" t="str">
        <f t="shared" si="41"/>
        <v/>
      </c>
      <c r="AQ32" s="268" t="str">
        <f t="shared" si="41"/>
        <v/>
      </c>
      <c r="AR32" s="268" t="str">
        <f t="shared" si="41"/>
        <v/>
      </c>
      <c r="AS32" s="268" t="str">
        <f t="shared" si="41"/>
        <v/>
      </c>
      <c r="AT32" s="268" t="str">
        <f t="shared" si="41"/>
        <v/>
      </c>
      <c r="AU32" s="268" t="str">
        <f t="shared" si="41"/>
        <v/>
      </c>
      <c r="AV32" s="268" t="str">
        <f t="shared" si="41"/>
        <v/>
      </c>
      <c r="AW32" s="268" t="str">
        <f t="shared" si="41"/>
        <v/>
      </c>
      <c r="AX32" s="268" t="str">
        <f t="shared" si="41"/>
        <v/>
      </c>
      <c r="AY32" s="268" t="str">
        <f t="shared" si="41"/>
        <v/>
      </c>
      <c r="AZ32" s="268" t="str">
        <f t="shared" si="41"/>
        <v/>
      </c>
      <c r="BA32" s="268" t="str">
        <f t="shared" si="41"/>
        <v/>
      </c>
      <c r="BB32" s="268" t="str">
        <f t="shared" si="41"/>
        <v/>
      </c>
      <c r="BC32" s="268" t="str">
        <f t="shared" si="41"/>
        <v/>
      </c>
      <c r="BD32" s="268" t="str">
        <f t="shared" si="41"/>
        <v/>
      </c>
      <c r="BE32" s="268" t="str">
        <f t="shared" si="41"/>
        <v/>
      </c>
      <c r="BF32" s="268" t="str">
        <f t="shared" si="41"/>
        <v/>
      </c>
      <c r="BG32" s="268" t="str">
        <f t="shared" si="41"/>
        <v/>
      </c>
      <c r="BH32" s="268" t="str">
        <f t="shared" si="41"/>
        <v/>
      </c>
      <c r="BI32" s="268" t="str">
        <f t="shared" si="41"/>
        <v/>
      </c>
      <c r="BJ32" s="268" t="str">
        <f t="shared" si="41"/>
        <v/>
      </c>
      <c r="BK32" s="268" t="str">
        <f t="shared" si="41"/>
        <v/>
      </c>
      <c r="BL32" s="268" t="str">
        <f t="shared" si="41"/>
        <v/>
      </c>
      <c r="BM32" s="268" t="str">
        <f t="shared" si="41"/>
        <v/>
      </c>
      <c r="BN32" s="268" t="str">
        <f t="shared" si="41"/>
        <v/>
      </c>
      <c r="BO32" s="268" t="str">
        <f t="shared" si="41"/>
        <v/>
      </c>
      <c r="BP32" s="268" t="str">
        <f t="shared" si="41"/>
        <v/>
      </c>
      <c r="BQ32" s="268" t="str">
        <f t="shared" si="41"/>
        <v/>
      </c>
      <c r="BR32" s="268" t="str">
        <f t="shared" si="41"/>
        <v/>
      </c>
      <c r="BS32" s="268" t="str">
        <f t="shared" si="41"/>
        <v/>
      </c>
      <c r="BT32" s="268" t="str">
        <f t="shared" si="41"/>
        <v/>
      </c>
      <c r="BU32" s="268" t="str">
        <f t="shared" si="3"/>
        <v/>
      </c>
      <c r="BV32" s="247">
        <v>2.14</v>
      </c>
      <c r="BW32" s="729">
        <f t="shared" si="36"/>
        <v>19260</v>
      </c>
      <c r="BX32" s="730">
        <f t="shared" si="37"/>
        <v>149265</v>
      </c>
      <c r="BY32" s="731" t="str">
        <f t="shared" si="32"/>
        <v>SR</v>
      </c>
    </row>
    <row r="33" s="698" customFormat="1" customHeight="1" spans="1:77">
      <c r="A33" s="208">
        <v>45953</v>
      </c>
      <c r="B33" s="208">
        <v>46051</v>
      </c>
      <c r="C33" s="211" t="s">
        <v>301</v>
      </c>
      <c r="D33" s="211" t="s">
        <v>302</v>
      </c>
      <c r="E33" s="211" t="s">
        <v>26</v>
      </c>
      <c r="F33" s="732">
        <v>9000</v>
      </c>
      <c r="G33" s="211" t="s">
        <v>270</v>
      </c>
      <c r="H33" s="211" t="str">
        <f>IFERROR(VLOOKUP(E33,名称!A:E,4,0),"")</f>
        <v>二代</v>
      </c>
      <c r="I33" s="268" t="str">
        <f t="shared" ref="I33:BT33" si="42">IF(OR($E33="",I$1=""),"",IF(TRIM(LEFT($E33,MIN(IFERROR(FIND("CDU",UPPER($E33)),999),IFERROR(FIND("BULK",UPPER($E33)),999),IFERROR(FIND("-",$E33),999),IFERROR(FIND("（",$E33),999))-1))=I$1,$F33,""))</f>
        <v/>
      </c>
      <c r="J33" s="268" t="str">
        <f t="shared" si="42"/>
        <v/>
      </c>
      <c r="K33" s="268" t="str">
        <f t="shared" si="42"/>
        <v/>
      </c>
      <c r="L33" s="268" t="str">
        <f t="shared" si="42"/>
        <v/>
      </c>
      <c r="M33" s="268" t="str">
        <f t="shared" si="42"/>
        <v/>
      </c>
      <c r="N33" s="268" t="str">
        <f t="shared" si="42"/>
        <v/>
      </c>
      <c r="O33" s="268" t="str">
        <f t="shared" si="42"/>
        <v/>
      </c>
      <c r="P33" s="268" t="str">
        <f t="shared" si="42"/>
        <v/>
      </c>
      <c r="Q33" s="268" t="str">
        <f t="shared" si="42"/>
        <v/>
      </c>
      <c r="R33" s="268" t="str">
        <f t="shared" si="42"/>
        <v/>
      </c>
      <c r="S33" s="268">
        <f t="shared" si="42"/>
        <v>9000</v>
      </c>
      <c r="T33" s="268" t="str">
        <f t="shared" si="42"/>
        <v/>
      </c>
      <c r="U33" s="268" t="str">
        <f t="shared" si="42"/>
        <v/>
      </c>
      <c r="V33" s="268" t="str">
        <f t="shared" si="42"/>
        <v/>
      </c>
      <c r="W33" s="268" t="str">
        <f t="shared" si="42"/>
        <v/>
      </c>
      <c r="X33" s="268" t="str">
        <f t="shared" si="42"/>
        <v/>
      </c>
      <c r="Y33" s="268" t="str">
        <f t="shared" si="42"/>
        <v/>
      </c>
      <c r="Z33" s="268" t="str">
        <f t="shared" si="42"/>
        <v/>
      </c>
      <c r="AA33" s="268" t="str">
        <f t="shared" si="42"/>
        <v/>
      </c>
      <c r="AB33" s="268" t="str">
        <f t="shared" si="42"/>
        <v/>
      </c>
      <c r="AC33" s="268" t="str">
        <f t="shared" si="42"/>
        <v/>
      </c>
      <c r="AD33" s="268" t="str">
        <f t="shared" si="42"/>
        <v/>
      </c>
      <c r="AE33" s="268" t="str">
        <f t="shared" si="42"/>
        <v/>
      </c>
      <c r="AF33" s="268" t="str">
        <f t="shared" si="42"/>
        <v/>
      </c>
      <c r="AG33" s="268" t="str">
        <f t="shared" si="42"/>
        <v/>
      </c>
      <c r="AH33" s="268" t="str">
        <f t="shared" si="42"/>
        <v/>
      </c>
      <c r="AI33" s="268" t="str">
        <f t="shared" si="42"/>
        <v/>
      </c>
      <c r="AJ33" s="268" t="str">
        <f t="shared" si="42"/>
        <v/>
      </c>
      <c r="AK33" s="268" t="str">
        <f t="shared" si="42"/>
        <v/>
      </c>
      <c r="AL33" s="268" t="str">
        <f t="shared" si="42"/>
        <v/>
      </c>
      <c r="AM33" s="268" t="str">
        <f t="shared" si="42"/>
        <v/>
      </c>
      <c r="AN33" s="268" t="str">
        <f t="shared" si="42"/>
        <v/>
      </c>
      <c r="AO33" s="268" t="str">
        <f t="shared" si="42"/>
        <v/>
      </c>
      <c r="AP33" s="268" t="str">
        <f t="shared" si="42"/>
        <v/>
      </c>
      <c r="AQ33" s="268" t="str">
        <f t="shared" si="42"/>
        <v/>
      </c>
      <c r="AR33" s="268" t="str">
        <f t="shared" si="42"/>
        <v/>
      </c>
      <c r="AS33" s="268" t="str">
        <f t="shared" si="42"/>
        <v/>
      </c>
      <c r="AT33" s="268" t="str">
        <f t="shared" si="42"/>
        <v/>
      </c>
      <c r="AU33" s="268" t="str">
        <f t="shared" si="42"/>
        <v/>
      </c>
      <c r="AV33" s="268" t="str">
        <f t="shared" si="42"/>
        <v/>
      </c>
      <c r="AW33" s="268" t="str">
        <f t="shared" si="42"/>
        <v/>
      </c>
      <c r="AX33" s="268" t="str">
        <f t="shared" si="42"/>
        <v/>
      </c>
      <c r="AY33" s="268" t="str">
        <f t="shared" si="42"/>
        <v/>
      </c>
      <c r="AZ33" s="268" t="str">
        <f t="shared" si="42"/>
        <v/>
      </c>
      <c r="BA33" s="268" t="str">
        <f t="shared" si="42"/>
        <v/>
      </c>
      <c r="BB33" s="268" t="str">
        <f t="shared" si="42"/>
        <v/>
      </c>
      <c r="BC33" s="268" t="str">
        <f t="shared" si="42"/>
        <v/>
      </c>
      <c r="BD33" s="268" t="str">
        <f t="shared" si="42"/>
        <v/>
      </c>
      <c r="BE33" s="268" t="str">
        <f t="shared" si="42"/>
        <v/>
      </c>
      <c r="BF33" s="268" t="str">
        <f t="shared" si="42"/>
        <v/>
      </c>
      <c r="BG33" s="268" t="str">
        <f t="shared" si="42"/>
        <v/>
      </c>
      <c r="BH33" s="268" t="str">
        <f t="shared" si="42"/>
        <v/>
      </c>
      <c r="BI33" s="268" t="str">
        <f t="shared" si="42"/>
        <v/>
      </c>
      <c r="BJ33" s="268" t="str">
        <f t="shared" si="42"/>
        <v/>
      </c>
      <c r="BK33" s="268" t="str">
        <f t="shared" si="42"/>
        <v/>
      </c>
      <c r="BL33" s="268" t="str">
        <f t="shared" si="42"/>
        <v/>
      </c>
      <c r="BM33" s="268" t="str">
        <f t="shared" si="42"/>
        <v/>
      </c>
      <c r="BN33" s="268" t="str">
        <f t="shared" si="42"/>
        <v/>
      </c>
      <c r="BO33" s="268" t="str">
        <f t="shared" si="42"/>
        <v/>
      </c>
      <c r="BP33" s="268" t="str">
        <f t="shared" si="42"/>
        <v/>
      </c>
      <c r="BQ33" s="268" t="str">
        <f t="shared" si="42"/>
        <v/>
      </c>
      <c r="BR33" s="268" t="str">
        <f t="shared" si="42"/>
        <v/>
      </c>
      <c r="BS33" s="268" t="str">
        <f t="shared" si="42"/>
        <v/>
      </c>
      <c r="BT33" s="268" t="str">
        <f t="shared" si="42"/>
        <v/>
      </c>
      <c r="BU33" s="268" t="str">
        <f t="shared" si="3"/>
        <v/>
      </c>
      <c r="BV33" s="247">
        <v>2.14</v>
      </c>
      <c r="BW33" s="729">
        <f t="shared" si="36"/>
        <v>19260</v>
      </c>
      <c r="BX33" s="730">
        <f t="shared" si="37"/>
        <v>149265</v>
      </c>
      <c r="BY33" s="731" t="str">
        <f t="shared" si="32"/>
        <v>SR</v>
      </c>
    </row>
    <row r="34" s="698" customFormat="1" customHeight="1" spans="1:77">
      <c r="A34" s="208">
        <v>45953</v>
      </c>
      <c r="B34" s="208">
        <v>46051</v>
      </c>
      <c r="C34" s="211" t="s">
        <v>303</v>
      </c>
      <c r="D34" s="211" t="s">
        <v>304</v>
      </c>
      <c r="E34" s="211" t="s">
        <v>44</v>
      </c>
      <c r="F34" s="732">
        <v>14016</v>
      </c>
      <c r="G34" s="211" t="s">
        <v>270</v>
      </c>
      <c r="H34" s="211" t="str">
        <f>IFERROR(VLOOKUP(E34,名称!A:E,4,0),"")</f>
        <v>二代</v>
      </c>
      <c r="I34" s="268" t="str">
        <f t="shared" ref="I34:BT34" si="43">IF(OR($E34="",I$1=""),"",IF(TRIM(LEFT($E34,MIN(IFERROR(FIND("CDU",UPPER($E34)),999),IFERROR(FIND("BULK",UPPER($E34)),999),IFERROR(FIND("-",$E34),999),IFERROR(FIND("（",$E34),999))-1))=I$1,$F34,""))</f>
        <v/>
      </c>
      <c r="J34" s="268" t="str">
        <f t="shared" si="43"/>
        <v/>
      </c>
      <c r="K34" s="268" t="str">
        <f t="shared" si="43"/>
        <v/>
      </c>
      <c r="L34" s="268" t="str">
        <f t="shared" si="43"/>
        <v/>
      </c>
      <c r="M34" s="268">
        <f t="shared" si="43"/>
        <v>14016</v>
      </c>
      <c r="N34" s="268" t="str">
        <f t="shared" si="43"/>
        <v/>
      </c>
      <c r="O34" s="268" t="str">
        <f t="shared" si="43"/>
        <v/>
      </c>
      <c r="P34" s="268" t="str">
        <f t="shared" si="43"/>
        <v/>
      </c>
      <c r="Q34" s="268" t="str">
        <f t="shared" si="43"/>
        <v/>
      </c>
      <c r="R34" s="268" t="str">
        <f t="shared" si="43"/>
        <v/>
      </c>
      <c r="S34" s="268" t="str">
        <f t="shared" si="43"/>
        <v/>
      </c>
      <c r="T34" s="268" t="str">
        <f t="shared" si="43"/>
        <v/>
      </c>
      <c r="U34" s="268" t="str">
        <f t="shared" si="43"/>
        <v/>
      </c>
      <c r="V34" s="268" t="str">
        <f t="shared" si="43"/>
        <v/>
      </c>
      <c r="W34" s="268" t="str">
        <f t="shared" si="43"/>
        <v/>
      </c>
      <c r="X34" s="268" t="str">
        <f t="shared" si="43"/>
        <v/>
      </c>
      <c r="Y34" s="268" t="str">
        <f t="shared" si="43"/>
        <v/>
      </c>
      <c r="Z34" s="268" t="str">
        <f t="shared" si="43"/>
        <v/>
      </c>
      <c r="AA34" s="268" t="str">
        <f t="shared" si="43"/>
        <v/>
      </c>
      <c r="AB34" s="268" t="str">
        <f t="shared" si="43"/>
        <v/>
      </c>
      <c r="AC34" s="268" t="str">
        <f t="shared" si="43"/>
        <v/>
      </c>
      <c r="AD34" s="268" t="str">
        <f t="shared" si="43"/>
        <v/>
      </c>
      <c r="AE34" s="268" t="str">
        <f t="shared" si="43"/>
        <v/>
      </c>
      <c r="AF34" s="268" t="str">
        <f t="shared" si="43"/>
        <v/>
      </c>
      <c r="AG34" s="268" t="str">
        <f t="shared" si="43"/>
        <v/>
      </c>
      <c r="AH34" s="268" t="str">
        <f t="shared" si="43"/>
        <v/>
      </c>
      <c r="AI34" s="268" t="str">
        <f t="shared" si="43"/>
        <v/>
      </c>
      <c r="AJ34" s="268" t="str">
        <f t="shared" si="43"/>
        <v/>
      </c>
      <c r="AK34" s="268" t="str">
        <f t="shared" si="43"/>
        <v/>
      </c>
      <c r="AL34" s="268" t="str">
        <f t="shared" si="43"/>
        <v/>
      </c>
      <c r="AM34" s="268" t="str">
        <f t="shared" si="43"/>
        <v/>
      </c>
      <c r="AN34" s="268" t="str">
        <f t="shared" si="43"/>
        <v/>
      </c>
      <c r="AO34" s="268" t="str">
        <f t="shared" si="43"/>
        <v/>
      </c>
      <c r="AP34" s="268" t="str">
        <f t="shared" si="43"/>
        <v/>
      </c>
      <c r="AQ34" s="268" t="str">
        <f t="shared" si="43"/>
        <v/>
      </c>
      <c r="AR34" s="268" t="str">
        <f t="shared" si="43"/>
        <v/>
      </c>
      <c r="AS34" s="268" t="str">
        <f t="shared" si="43"/>
        <v/>
      </c>
      <c r="AT34" s="268" t="str">
        <f t="shared" si="43"/>
        <v/>
      </c>
      <c r="AU34" s="268" t="str">
        <f t="shared" si="43"/>
        <v/>
      </c>
      <c r="AV34" s="268" t="str">
        <f t="shared" si="43"/>
        <v/>
      </c>
      <c r="AW34" s="268" t="str">
        <f t="shared" si="43"/>
        <v/>
      </c>
      <c r="AX34" s="268" t="str">
        <f t="shared" si="43"/>
        <v/>
      </c>
      <c r="AY34" s="268" t="str">
        <f t="shared" si="43"/>
        <v/>
      </c>
      <c r="AZ34" s="268" t="str">
        <f t="shared" si="43"/>
        <v/>
      </c>
      <c r="BA34" s="268" t="str">
        <f t="shared" si="43"/>
        <v/>
      </c>
      <c r="BB34" s="268" t="str">
        <f t="shared" si="43"/>
        <v/>
      </c>
      <c r="BC34" s="268" t="str">
        <f t="shared" si="43"/>
        <v/>
      </c>
      <c r="BD34" s="268" t="str">
        <f t="shared" si="43"/>
        <v/>
      </c>
      <c r="BE34" s="268" t="str">
        <f t="shared" si="43"/>
        <v/>
      </c>
      <c r="BF34" s="268" t="str">
        <f t="shared" si="43"/>
        <v/>
      </c>
      <c r="BG34" s="268" t="str">
        <f t="shared" si="43"/>
        <v/>
      </c>
      <c r="BH34" s="268" t="str">
        <f t="shared" si="43"/>
        <v/>
      </c>
      <c r="BI34" s="268" t="str">
        <f t="shared" si="43"/>
        <v/>
      </c>
      <c r="BJ34" s="268" t="str">
        <f t="shared" si="43"/>
        <v/>
      </c>
      <c r="BK34" s="268" t="str">
        <f t="shared" si="43"/>
        <v/>
      </c>
      <c r="BL34" s="268" t="str">
        <f t="shared" si="43"/>
        <v/>
      </c>
      <c r="BM34" s="268" t="str">
        <f t="shared" si="43"/>
        <v/>
      </c>
      <c r="BN34" s="268" t="str">
        <f t="shared" si="43"/>
        <v/>
      </c>
      <c r="BO34" s="268" t="str">
        <f t="shared" si="43"/>
        <v/>
      </c>
      <c r="BP34" s="268" t="str">
        <f t="shared" si="43"/>
        <v/>
      </c>
      <c r="BQ34" s="268" t="str">
        <f t="shared" si="43"/>
        <v/>
      </c>
      <c r="BR34" s="268" t="str">
        <f t="shared" si="43"/>
        <v/>
      </c>
      <c r="BS34" s="268" t="str">
        <f t="shared" si="43"/>
        <v/>
      </c>
      <c r="BT34" s="268" t="str">
        <f t="shared" si="43"/>
        <v/>
      </c>
      <c r="BU34" s="268" t="str">
        <f t="shared" si="3"/>
        <v/>
      </c>
      <c r="BV34" s="247">
        <v>0.61</v>
      </c>
      <c r="BW34" s="729">
        <f t="shared" si="36"/>
        <v>8549.76</v>
      </c>
      <c r="BX34" s="730">
        <f t="shared" si="37"/>
        <v>66260.64</v>
      </c>
      <c r="BY34" s="731" t="str">
        <f t="shared" si="32"/>
        <v>SR</v>
      </c>
    </row>
    <row r="35" s="698" customFormat="1" customHeight="1" spans="1:77">
      <c r="A35" s="208">
        <v>45953</v>
      </c>
      <c r="B35" s="208">
        <v>46051</v>
      </c>
      <c r="C35" s="211" t="s">
        <v>305</v>
      </c>
      <c r="D35" s="211" t="s">
        <v>306</v>
      </c>
      <c r="E35" s="211" t="s">
        <v>43</v>
      </c>
      <c r="F35" s="732">
        <v>15000</v>
      </c>
      <c r="G35" s="211" t="s">
        <v>270</v>
      </c>
      <c r="H35" s="211" t="str">
        <f>IFERROR(VLOOKUP(E35,名称!A:E,4,0),"")</f>
        <v>二代</v>
      </c>
      <c r="I35" s="268" t="str">
        <f t="shared" ref="I35:BT35" si="44">IF(OR($E35="",I$1=""),"",IF(TRIM(LEFT($E35,MIN(IFERROR(FIND("CDU",UPPER($E35)),999),IFERROR(FIND("BULK",UPPER($E35)),999),IFERROR(FIND("-",$E35),999),IFERROR(FIND("（",$E35),999))-1))=I$1,$F35,""))</f>
        <v/>
      </c>
      <c r="J35" s="268" t="str">
        <f t="shared" si="44"/>
        <v/>
      </c>
      <c r="K35" s="268" t="str">
        <f t="shared" si="44"/>
        <v/>
      </c>
      <c r="L35" s="268" t="str">
        <f t="shared" si="44"/>
        <v/>
      </c>
      <c r="M35" s="268" t="str">
        <f t="shared" si="44"/>
        <v/>
      </c>
      <c r="N35" s="268">
        <f t="shared" si="44"/>
        <v>15000</v>
      </c>
      <c r="O35" s="268" t="str">
        <f t="shared" si="44"/>
        <v/>
      </c>
      <c r="P35" s="268" t="str">
        <f t="shared" si="44"/>
        <v/>
      </c>
      <c r="Q35" s="268" t="str">
        <f t="shared" si="44"/>
        <v/>
      </c>
      <c r="R35" s="268" t="str">
        <f t="shared" si="44"/>
        <v/>
      </c>
      <c r="S35" s="268" t="str">
        <f t="shared" si="44"/>
        <v/>
      </c>
      <c r="T35" s="268" t="str">
        <f t="shared" si="44"/>
        <v/>
      </c>
      <c r="U35" s="268" t="str">
        <f t="shared" si="44"/>
        <v/>
      </c>
      <c r="V35" s="268" t="str">
        <f t="shared" si="44"/>
        <v/>
      </c>
      <c r="W35" s="268" t="str">
        <f t="shared" si="44"/>
        <v/>
      </c>
      <c r="X35" s="268" t="str">
        <f t="shared" si="44"/>
        <v/>
      </c>
      <c r="Y35" s="268" t="str">
        <f t="shared" si="44"/>
        <v/>
      </c>
      <c r="Z35" s="268" t="str">
        <f t="shared" si="44"/>
        <v/>
      </c>
      <c r="AA35" s="268" t="str">
        <f t="shared" si="44"/>
        <v/>
      </c>
      <c r="AB35" s="268" t="str">
        <f t="shared" si="44"/>
        <v/>
      </c>
      <c r="AC35" s="268" t="str">
        <f t="shared" si="44"/>
        <v/>
      </c>
      <c r="AD35" s="268" t="str">
        <f t="shared" si="44"/>
        <v/>
      </c>
      <c r="AE35" s="268" t="str">
        <f t="shared" si="44"/>
        <v/>
      </c>
      <c r="AF35" s="268" t="str">
        <f t="shared" si="44"/>
        <v/>
      </c>
      <c r="AG35" s="268" t="str">
        <f t="shared" si="44"/>
        <v/>
      </c>
      <c r="AH35" s="268" t="str">
        <f t="shared" si="44"/>
        <v/>
      </c>
      <c r="AI35" s="268" t="str">
        <f t="shared" si="44"/>
        <v/>
      </c>
      <c r="AJ35" s="268" t="str">
        <f t="shared" si="44"/>
        <v/>
      </c>
      <c r="AK35" s="268" t="str">
        <f t="shared" si="44"/>
        <v/>
      </c>
      <c r="AL35" s="268" t="str">
        <f t="shared" si="44"/>
        <v/>
      </c>
      <c r="AM35" s="268" t="str">
        <f t="shared" si="44"/>
        <v/>
      </c>
      <c r="AN35" s="268" t="str">
        <f t="shared" si="44"/>
        <v/>
      </c>
      <c r="AO35" s="268" t="str">
        <f t="shared" si="44"/>
        <v/>
      </c>
      <c r="AP35" s="268" t="str">
        <f t="shared" si="44"/>
        <v/>
      </c>
      <c r="AQ35" s="268" t="str">
        <f t="shared" si="44"/>
        <v/>
      </c>
      <c r="AR35" s="268" t="str">
        <f t="shared" si="44"/>
        <v/>
      </c>
      <c r="AS35" s="268" t="str">
        <f t="shared" si="44"/>
        <v/>
      </c>
      <c r="AT35" s="268" t="str">
        <f t="shared" si="44"/>
        <v/>
      </c>
      <c r="AU35" s="268" t="str">
        <f t="shared" si="44"/>
        <v/>
      </c>
      <c r="AV35" s="268" t="str">
        <f t="shared" si="44"/>
        <v/>
      </c>
      <c r="AW35" s="268" t="str">
        <f t="shared" si="44"/>
        <v/>
      </c>
      <c r="AX35" s="268" t="str">
        <f t="shared" si="44"/>
        <v/>
      </c>
      <c r="AY35" s="268" t="str">
        <f t="shared" si="44"/>
        <v/>
      </c>
      <c r="AZ35" s="268" t="str">
        <f t="shared" si="44"/>
        <v/>
      </c>
      <c r="BA35" s="268" t="str">
        <f t="shared" si="44"/>
        <v/>
      </c>
      <c r="BB35" s="268" t="str">
        <f t="shared" si="44"/>
        <v/>
      </c>
      <c r="BC35" s="268" t="str">
        <f t="shared" si="44"/>
        <v/>
      </c>
      <c r="BD35" s="268" t="str">
        <f t="shared" si="44"/>
        <v/>
      </c>
      <c r="BE35" s="268" t="str">
        <f t="shared" si="44"/>
        <v/>
      </c>
      <c r="BF35" s="268" t="str">
        <f t="shared" si="44"/>
        <v/>
      </c>
      <c r="BG35" s="268" t="str">
        <f t="shared" si="44"/>
        <v/>
      </c>
      <c r="BH35" s="268" t="str">
        <f t="shared" si="44"/>
        <v/>
      </c>
      <c r="BI35" s="268" t="str">
        <f t="shared" si="44"/>
        <v/>
      </c>
      <c r="BJ35" s="268" t="str">
        <f t="shared" si="44"/>
        <v/>
      </c>
      <c r="BK35" s="268" t="str">
        <f t="shared" si="44"/>
        <v/>
      </c>
      <c r="BL35" s="268" t="str">
        <f t="shared" si="44"/>
        <v/>
      </c>
      <c r="BM35" s="268" t="str">
        <f t="shared" si="44"/>
        <v/>
      </c>
      <c r="BN35" s="268" t="str">
        <f t="shared" si="44"/>
        <v/>
      </c>
      <c r="BO35" s="268" t="str">
        <f t="shared" si="44"/>
        <v/>
      </c>
      <c r="BP35" s="268" t="str">
        <f t="shared" si="44"/>
        <v/>
      </c>
      <c r="BQ35" s="268" t="str">
        <f t="shared" si="44"/>
        <v/>
      </c>
      <c r="BR35" s="268" t="str">
        <f t="shared" si="44"/>
        <v/>
      </c>
      <c r="BS35" s="268" t="str">
        <f t="shared" si="44"/>
        <v/>
      </c>
      <c r="BT35" s="268" t="str">
        <f t="shared" si="44"/>
        <v/>
      </c>
      <c r="BU35" s="268" t="str">
        <f t="shared" si="3"/>
        <v/>
      </c>
      <c r="BV35" s="247">
        <v>0.61</v>
      </c>
      <c r="BW35" s="729">
        <f t="shared" si="36"/>
        <v>9150</v>
      </c>
      <c r="BX35" s="730">
        <f t="shared" si="37"/>
        <v>70912.5</v>
      </c>
      <c r="BY35" s="731" t="str">
        <f t="shared" si="32"/>
        <v>SR</v>
      </c>
    </row>
    <row r="36" s="698" customFormat="1" customHeight="1" spans="1:77">
      <c r="A36" s="208">
        <v>45953</v>
      </c>
      <c r="B36" s="208">
        <v>46079</v>
      </c>
      <c r="C36" s="211" t="s">
        <v>307</v>
      </c>
      <c r="D36" s="211" t="s">
        <v>308</v>
      </c>
      <c r="E36" s="211" t="s">
        <v>44</v>
      </c>
      <c r="F36" s="732">
        <v>14016</v>
      </c>
      <c r="G36" s="211" t="s">
        <v>270</v>
      </c>
      <c r="H36" s="211" t="str">
        <f>IFERROR(VLOOKUP(E36,名称!A:E,4,0),"")</f>
        <v>二代</v>
      </c>
      <c r="I36" s="268" t="str">
        <f t="shared" ref="I36:BT36" si="45">IF(OR($E36="",I$1=""),"",IF(TRIM(LEFT($E36,MIN(IFERROR(FIND("CDU",UPPER($E36)),999),IFERROR(FIND("BULK",UPPER($E36)),999),IFERROR(FIND("-",$E36),999),IFERROR(FIND("（",$E36),999))-1))=I$1,$F36,""))</f>
        <v/>
      </c>
      <c r="J36" s="268" t="str">
        <f t="shared" si="45"/>
        <v/>
      </c>
      <c r="K36" s="268" t="str">
        <f t="shared" si="45"/>
        <v/>
      </c>
      <c r="L36" s="268" t="str">
        <f t="shared" si="45"/>
        <v/>
      </c>
      <c r="M36" s="268">
        <f t="shared" si="45"/>
        <v>14016</v>
      </c>
      <c r="N36" s="268" t="str">
        <f t="shared" si="45"/>
        <v/>
      </c>
      <c r="O36" s="268" t="str">
        <f t="shared" si="45"/>
        <v/>
      </c>
      <c r="P36" s="268" t="str">
        <f t="shared" si="45"/>
        <v/>
      </c>
      <c r="Q36" s="268" t="str">
        <f t="shared" si="45"/>
        <v/>
      </c>
      <c r="R36" s="268" t="str">
        <f t="shared" si="45"/>
        <v/>
      </c>
      <c r="S36" s="268" t="str">
        <f t="shared" si="45"/>
        <v/>
      </c>
      <c r="T36" s="268" t="str">
        <f t="shared" si="45"/>
        <v/>
      </c>
      <c r="U36" s="268" t="str">
        <f t="shared" si="45"/>
        <v/>
      </c>
      <c r="V36" s="268" t="str">
        <f t="shared" si="45"/>
        <v/>
      </c>
      <c r="W36" s="268" t="str">
        <f t="shared" si="45"/>
        <v/>
      </c>
      <c r="X36" s="268" t="str">
        <f t="shared" si="45"/>
        <v/>
      </c>
      <c r="Y36" s="268" t="str">
        <f t="shared" si="45"/>
        <v/>
      </c>
      <c r="Z36" s="268" t="str">
        <f t="shared" si="45"/>
        <v/>
      </c>
      <c r="AA36" s="268" t="str">
        <f t="shared" si="45"/>
        <v/>
      </c>
      <c r="AB36" s="268" t="str">
        <f t="shared" si="45"/>
        <v/>
      </c>
      <c r="AC36" s="268" t="str">
        <f t="shared" si="45"/>
        <v/>
      </c>
      <c r="AD36" s="268" t="str">
        <f t="shared" si="45"/>
        <v/>
      </c>
      <c r="AE36" s="268" t="str">
        <f t="shared" si="45"/>
        <v/>
      </c>
      <c r="AF36" s="268" t="str">
        <f t="shared" si="45"/>
        <v/>
      </c>
      <c r="AG36" s="268" t="str">
        <f t="shared" si="45"/>
        <v/>
      </c>
      <c r="AH36" s="268" t="str">
        <f t="shared" si="45"/>
        <v/>
      </c>
      <c r="AI36" s="268" t="str">
        <f t="shared" si="45"/>
        <v/>
      </c>
      <c r="AJ36" s="268" t="str">
        <f t="shared" si="45"/>
        <v/>
      </c>
      <c r="AK36" s="268" t="str">
        <f t="shared" si="45"/>
        <v/>
      </c>
      <c r="AL36" s="268" t="str">
        <f t="shared" si="45"/>
        <v/>
      </c>
      <c r="AM36" s="268" t="str">
        <f t="shared" si="45"/>
        <v/>
      </c>
      <c r="AN36" s="268" t="str">
        <f t="shared" si="45"/>
        <v/>
      </c>
      <c r="AO36" s="268" t="str">
        <f t="shared" si="45"/>
        <v/>
      </c>
      <c r="AP36" s="268" t="str">
        <f t="shared" si="45"/>
        <v/>
      </c>
      <c r="AQ36" s="268" t="str">
        <f t="shared" si="45"/>
        <v/>
      </c>
      <c r="AR36" s="268" t="str">
        <f t="shared" si="45"/>
        <v/>
      </c>
      <c r="AS36" s="268" t="str">
        <f t="shared" si="45"/>
        <v/>
      </c>
      <c r="AT36" s="268" t="str">
        <f t="shared" si="45"/>
        <v/>
      </c>
      <c r="AU36" s="268" t="str">
        <f t="shared" si="45"/>
        <v/>
      </c>
      <c r="AV36" s="268" t="str">
        <f t="shared" si="45"/>
        <v/>
      </c>
      <c r="AW36" s="268" t="str">
        <f t="shared" si="45"/>
        <v/>
      </c>
      <c r="AX36" s="268" t="str">
        <f t="shared" si="45"/>
        <v/>
      </c>
      <c r="AY36" s="268" t="str">
        <f t="shared" si="45"/>
        <v/>
      </c>
      <c r="AZ36" s="268" t="str">
        <f t="shared" si="45"/>
        <v/>
      </c>
      <c r="BA36" s="268" t="str">
        <f t="shared" si="45"/>
        <v/>
      </c>
      <c r="BB36" s="268" t="str">
        <f t="shared" si="45"/>
        <v/>
      </c>
      <c r="BC36" s="268" t="str">
        <f t="shared" si="45"/>
        <v/>
      </c>
      <c r="BD36" s="268" t="str">
        <f t="shared" si="45"/>
        <v/>
      </c>
      <c r="BE36" s="268" t="str">
        <f t="shared" si="45"/>
        <v/>
      </c>
      <c r="BF36" s="268" t="str">
        <f t="shared" si="45"/>
        <v/>
      </c>
      <c r="BG36" s="268" t="str">
        <f t="shared" si="45"/>
        <v/>
      </c>
      <c r="BH36" s="268" t="str">
        <f t="shared" si="45"/>
        <v/>
      </c>
      <c r="BI36" s="268" t="str">
        <f t="shared" si="45"/>
        <v/>
      </c>
      <c r="BJ36" s="268" t="str">
        <f t="shared" si="45"/>
        <v/>
      </c>
      <c r="BK36" s="268" t="str">
        <f t="shared" si="45"/>
        <v/>
      </c>
      <c r="BL36" s="268" t="str">
        <f t="shared" si="45"/>
        <v/>
      </c>
      <c r="BM36" s="268" t="str">
        <f t="shared" si="45"/>
        <v/>
      </c>
      <c r="BN36" s="268" t="str">
        <f t="shared" si="45"/>
        <v/>
      </c>
      <c r="BO36" s="268" t="str">
        <f t="shared" si="45"/>
        <v/>
      </c>
      <c r="BP36" s="268" t="str">
        <f t="shared" si="45"/>
        <v/>
      </c>
      <c r="BQ36" s="268" t="str">
        <f t="shared" si="45"/>
        <v/>
      </c>
      <c r="BR36" s="268" t="str">
        <f t="shared" si="45"/>
        <v/>
      </c>
      <c r="BS36" s="268" t="str">
        <f t="shared" si="45"/>
        <v/>
      </c>
      <c r="BT36" s="268" t="str">
        <f t="shared" si="45"/>
        <v/>
      </c>
      <c r="BU36" s="268" t="str">
        <f t="shared" si="3"/>
        <v/>
      </c>
      <c r="BV36" s="247">
        <v>0.61</v>
      </c>
      <c r="BW36" s="729">
        <f t="shared" si="36"/>
        <v>8549.76</v>
      </c>
      <c r="BX36" s="730">
        <f t="shared" si="37"/>
        <v>66260.64</v>
      </c>
      <c r="BY36" s="731" t="str">
        <f t="shared" si="32"/>
        <v>SR</v>
      </c>
    </row>
    <row r="37" s="698" customFormat="1" customHeight="1" spans="1:77">
      <c r="A37" s="208">
        <v>45953</v>
      </c>
      <c r="B37" s="208">
        <v>46079</v>
      </c>
      <c r="C37" s="211" t="s">
        <v>309</v>
      </c>
      <c r="D37" s="211" t="s">
        <v>310</v>
      </c>
      <c r="E37" s="211" t="s">
        <v>43</v>
      </c>
      <c r="F37" s="732">
        <v>15000</v>
      </c>
      <c r="G37" s="211" t="s">
        <v>270</v>
      </c>
      <c r="H37" s="211" t="str">
        <f>IFERROR(VLOOKUP(E37,名称!A:E,4,0),"")</f>
        <v>二代</v>
      </c>
      <c r="I37" s="268" t="str">
        <f t="shared" ref="I37:BT37" si="46">IF(OR($E37="",I$1=""),"",IF(TRIM(LEFT($E37,MIN(IFERROR(FIND("CDU",UPPER($E37)),999),IFERROR(FIND("BULK",UPPER($E37)),999),IFERROR(FIND("-",$E37),999),IFERROR(FIND("（",$E37),999))-1))=I$1,$F37,""))</f>
        <v/>
      </c>
      <c r="J37" s="268" t="str">
        <f t="shared" si="46"/>
        <v/>
      </c>
      <c r="K37" s="268" t="str">
        <f t="shared" si="46"/>
        <v/>
      </c>
      <c r="L37" s="268" t="str">
        <f t="shared" si="46"/>
        <v/>
      </c>
      <c r="M37" s="268" t="str">
        <f t="shared" si="46"/>
        <v/>
      </c>
      <c r="N37" s="268">
        <f t="shared" si="46"/>
        <v>15000</v>
      </c>
      <c r="O37" s="268" t="str">
        <f t="shared" si="46"/>
        <v/>
      </c>
      <c r="P37" s="268" t="str">
        <f t="shared" si="46"/>
        <v/>
      </c>
      <c r="Q37" s="268" t="str">
        <f t="shared" si="46"/>
        <v/>
      </c>
      <c r="R37" s="268" t="str">
        <f t="shared" si="46"/>
        <v/>
      </c>
      <c r="S37" s="268" t="str">
        <f t="shared" si="46"/>
        <v/>
      </c>
      <c r="T37" s="268" t="str">
        <f t="shared" si="46"/>
        <v/>
      </c>
      <c r="U37" s="268" t="str">
        <f t="shared" si="46"/>
        <v/>
      </c>
      <c r="V37" s="268" t="str">
        <f t="shared" si="46"/>
        <v/>
      </c>
      <c r="W37" s="268" t="str">
        <f t="shared" si="46"/>
        <v/>
      </c>
      <c r="X37" s="268" t="str">
        <f t="shared" si="46"/>
        <v/>
      </c>
      <c r="Y37" s="268" t="str">
        <f t="shared" si="46"/>
        <v/>
      </c>
      <c r="Z37" s="268" t="str">
        <f t="shared" si="46"/>
        <v/>
      </c>
      <c r="AA37" s="268" t="str">
        <f t="shared" si="46"/>
        <v/>
      </c>
      <c r="AB37" s="268" t="str">
        <f t="shared" si="46"/>
        <v/>
      </c>
      <c r="AC37" s="268" t="str">
        <f t="shared" si="46"/>
        <v/>
      </c>
      <c r="AD37" s="268" t="str">
        <f t="shared" si="46"/>
        <v/>
      </c>
      <c r="AE37" s="268" t="str">
        <f t="shared" si="46"/>
        <v/>
      </c>
      <c r="AF37" s="268" t="str">
        <f t="shared" si="46"/>
        <v/>
      </c>
      <c r="AG37" s="268" t="str">
        <f t="shared" si="46"/>
        <v/>
      </c>
      <c r="AH37" s="268" t="str">
        <f t="shared" si="46"/>
        <v/>
      </c>
      <c r="AI37" s="268" t="str">
        <f t="shared" si="46"/>
        <v/>
      </c>
      <c r="AJ37" s="268" t="str">
        <f t="shared" si="46"/>
        <v/>
      </c>
      <c r="AK37" s="268" t="str">
        <f t="shared" si="46"/>
        <v/>
      </c>
      <c r="AL37" s="268" t="str">
        <f t="shared" si="46"/>
        <v/>
      </c>
      <c r="AM37" s="268" t="str">
        <f t="shared" si="46"/>
        <v/>
      </c>
      <c r="AN37" s="268" t="str">
        <f t="shared" si="46"/>
        <v/>
      </c>
      <c r="AO37" s="268" t="str">
        <f t="shared" si="46"/>
        <v/>
      </c>
      <c r="AP37" s="268" t="str">
        <f t="shared" si="46"/>
        <v/>
      </c>
      <c r="AQ37" s="268" t="str">
        <f t="shared" si="46"/>
        <v/>
      </c>
      <c r="AR37" s="268" t="str">
        <f t="shared" si="46"/>
        <v/>
      </c>
      <c r="AS37" s="268" t="str">
        <f t="shared" si="46"/>
        <v/>
      </c>
      <c r="AT37" s="268" t="str">
        <f t="shared" si="46"/>
        <v/>
      </c>
      <c r="AU37" s="268" t="str">
        <f t="shared" si="46"/>
        <v/>
      </c>
      <c r="AV37" s="268" t="str">
        <f t="shared" si="46"/>
        <v/>
      </c>
      <c r="AW37" s="268" t="str">
        <f t="shared" si="46"/>
        <v/>
      </c>
      <c r="AX37" s="268" t="str">
        <f t="shared" si="46"/>
        <v/>
      </c>
      <c r="AY37" s="268" t="str">
        <f t="shared" si="46"/>
        <v/>
      </c>
      <c r="AZ37" s="268" t="str">
        <f t="shared" si="46"/>
        <v/>
      </c>
      <c r="BA37" s="268" t="str">
        <f t="shared" si="46"/>
        <v/>
      </c>
      <c r="BB37" s="268" t="str">
        <f t="shared" si="46"/>
        <v/>
      </c>
      <c r="BC37" s="268" t="str">
        <f t="shared" si="46"/>
        <v/>
      </c>
      <c r="BD37" s="268" t="str">
        <f t="shared" si="46"/>
        <v/>
      </c>
      <c r="BE37" s="268" t="str">
        <f t="shared" si="46"/>
        <v/>
      </c>
      <c r="BF37" s="268" t="str">
        <f t="shared" si="46"/>
        <v/>
      </c>
      <c r="BG37" s="268" t="str">
        <f t="shared" si="46"/>
        <v/>
      </c>
      <c r="BH37" s="268" t="str">
        <f t="shared" si="46"/>
        <v/>
      </c>
      <c r="BI37" s="268" t="str">
        <f t="shared" si="46"/>
        <v/>
      </c>
      <c r="BJ37" s="268" t="str">
        <f t="shared" si="46"/>
        <v/>
      </c>
      <c r="BK37" s="268" t="str">
        <f t="shared" si="46"/>
        <v/>
      </c>
      <c r="BL37" s="268" t="str">
        <f t="shared" si="46"/>
        <v/>
      </c>
      <c r="BM37" s="268" t="str">
        <f t="shared" si="46"/>
        <v/>
      </c>
      <c r="BN37" s="268" t="str">
        <f t="shared" si="46"/>
        <v/>
      </c>
      <c r="BO37" s="268" t="str">
        <f t="shared" si="46"/>
        <v/>
      </c>
      <c r="BP37" s="268" t="str">
        <f t="shared" si="46"/>
        <v/>
      </c>
      <c r="BQ37" s="268" t="str">
        <f t="shared" si="46"/>
        <v/>
      </c>
      <c r="BR37" s="268" t="str">
        <f t="shared" si="46"/>
        <v/>
      </c>
      <c r="BS37" s="268" t="str">
        <f t="shared" si="46"/>
        <v/>
      </c>
      <c r="BT37" s="268" t="str">
        <f t="shared" si="46"/>
        <v/>
      </c>
      <c r="BU37" s="268" t="str">
        <f t="shared" si="3"/>
        <v/>
      </c>
      <c r="BV37" s="247">
        <v>0.61</v>
      </c>
      <c r="BW37" s="729">
        <f t="shared" si="36"/>
        <v>9150</v>
      </c>
      <c r="BX37" s="730">
        <f t="shared" si="37"/>
        <v>70912.5</v>
      </c>
      <c r="BY37" s="731" t="str">
        <f t="shared" si="32"/>
        <v>SR</v>
      </c>
    </row>
    <row r="38" s="698" customFormat="1" customHeight="1" spans="1:77">
      <c r="A38" s="208">
        <v>45953</v>
      </c>
      <c r="B38" s="208">
        <v>46079</v>
      </c>
      <c r="C38" s="211" t="s">
        <v>311</v>
      </c>
      <c r="D38" s="211" t="s">
        <v>312</v>
      </c>
      <c r="E38" s="211" t="s">
        <v>26</v>
      </c>
      <c r="F38" s="732">
        <v>9000</v>
      </c>
      <c r="G38" s="211" t="s">
        <v>270</v>
      </c>
      <c r="H38" s="211" t="str">
        <f>IFERROR(VLOOKUP(E38,名称!A:E,4,0),"")</f>
        <v>二代</v>
      </c>
      <c r="I38" s="268" t="str">
        <f t="shared" ref="I38:BT38" si="47">IF(OR($E38="",I$1=""),"",IF(TRIM(LEFT($E38,MIN(IFERROR(FIND("CDU",UPPER($E38)),999),IFERROR(FIND("BULK",UPPER($E38)),999),IFERROR(FIND("-",$E38),999),IFERROR(FIND("（",$E38),999))-1))=I$1,$F38,""))</f>
        <v/>
      </c>
      <c r="J38" s="268" t="str">
        <f t="shared" si="47"/>
        <v/>
      </c>
      <c r="K38" s="268" t="str">
        <f t="shared" si="47"/>
        <v/>
      </c>
      <c r="L38" s="268" t="str">
        <f t="shared" si="47"/>
        <v/>
      </c>
      <c r="M38" s="268" t="str">
        <f t="shared" si="47"/>
        <v/>
      </c>
      <c r="N38" s="268" t="str">
        <f t="shared" si="47"/>
        <v/>
      </c>
      <c r="O38" s="268" t="str">
        <f t="shared" si="47"/>
        <v/>
      </c>
      <c r="P38" s="268" t="str">
        <f t="shared" si="47"/>
        <v/>
      </c>
      <c r="Q38" s="268" t="str">
        <f t="shared" si="47"/>
        <v/>
      </c>
      <c r="R38" s="268" t="str">
        <f t="shared" si="47"/>
        <v/>
      </c>
      <c r="S38" s="268">
        <f t="shared" si="47"/>
        <v>9000</v>
      </c>
      <c r="T38" s="268" t="str">
        <f t="shared" si="47"/>
        <v/>
      </c>
      <c r="U38" s="268" t="str">
        <f t="shared" si="47"/>
        <v/>
      </c>
      <c r="V38" s="268" t="str">
        <f t="shared" si="47"/>
        <v/>
      </c>
      <c r="W38" s="268" t="str">
        <f t="shared" si="47"/>
        <v/>
      </c>
      <c r="X38" s="268" t="str">
        <f t="shared" si="47"/>
        <v/>
      </c>
      <c r="Y38" s="268" t="str">
        <f t="shared" si="47"/>
        <v/>
      </c>
      <c r="Z38" s="268" t="str">
        <f t="shared" si="47"/>
        <v/>
      </c>
      <c r="AA38" s="268" t="str">
        <f t="shared" si="47"/>
        <v/>
      </c>
      <c r="AB38" s="268" t="str">
        <f t="shared" si="47"/>
        <v/>
      </c>
      <c r="AC38" s="268" t="str">
        <f t="shared" si="47"/>
        <v/>
      </c>
      <c r="AD38" s="268" t="str">
        <f t="shared" si="47"/>
        <v/>
      </c>
      <c r="AE38" s="268" t="str">
        <f t="shared" si="47"/>
        <v/>
      </c>
      <c r="AF38" s="268" t="str">
        <f t="shared" si="47"/>
        <v/>
      </c>
      <c r="AG38" s="268" t="str">
        <f t="shared" si="47"/>
        <v/>
      </c>
      <c r="AH38" s="268" t="str">
        <f t="shared" si="47"/>
        <v/>
      </c>
      <c r="AI38" s="268" t="str">
        <f t="shared" si="47"/>
        <v/>
      </c>
      <c r="AJ38" s="268" t="str">
        <f t="shared" si="47"/>
        <v/>
      </c>
      <c r="AK38" s="268" t="str">
        <f t="shared" si="47"/>
        <v/>
      </c>
      <c r="AL38" s="268" t="str">
        <f t="shared" si="47"/>
        <v/>
      </c>
      <c r="AM38" s="268" t="str">
        <f t="shared" si="47"/>
        <v/>
      </c>
      <c r="AN38" s="268" t="str">
        <f t="shared" si="47"/>
        <v/>
      </c>
      <c r="AO38" s="268" t="str">
        <f t="shared" si="47"/>
        <v/>
      </c>
      <c r="AP38" s="268" t="str">
        <f t="shared" si="47"/>
        <v/>
      </c>
      <c r="AQ38" s="268" t="str">
        <f t="shared" si="47"/>
        <v/>
      </c>
      <c r="AR38" s="268" t="str">
        <f t="shared" si="47"/>
        <v/>
      </c>
      <c r="AS38" s="268" t="str">
        <f t="shared" si="47"/>
        <v/>
      </c>
      <c r="AT38" s="268" t="str">
        <f t="shared" si="47"/>
        <v/>
      </c>
      <c r="AU38" s="268" t="str">
        <f t="shared" si="47"/>
        <v/>
      </c>
      <c r="AV38" s="268" t="str">
        <f t="shared" si="47"/>
        <v/>
      </c>
      <c r="AW38" s="268" t="str">
        <f t="shared" si="47"/>
        <v/>
      </c>
      <c r="AX38" s="268" t="str">
        <f t="shared" si="47"/>
        <v/>
      </c>
      <c r="AY38" s="268" t="str">
        <f t="shared" si="47"/>
        <v/>
      </c>
      <c r="AZ38" s="268" t="str">
        <f t="shared" si="47"/>
        <v/>
      </c>
      <c r="BA38" s="268" t="str">
        <f t="shared" si="47"/>
        <v/>
      </c>
      <c r="BB38" s="268" t="str">
        <f t="shared" si="47"/>
        <v/>
      </c>
      <c r="BC38" s="268" t="str">
        <f t="shared" si="47"/>
        <v/>
      </c>
      <c r="BD38" s="268" t="str">
        <f t="shared" si="47"/>
        <v/>
      </c>
      <c r="BE38" s="268" t="str">
        <f t="shared" si="47"/>
        <v/>
      </c>
      <c r="BF38" s="268" t="str">
        <f t="shared" si="47"/>
        <v/>
      </c>
      <c r="BG38" s="268" t="str">
        <f t="shared" si="47"/>
        <v/>
      </c>
      <c r="BH38" s="268" t="str">
        <f t="shared" si="47"/>
        <v/>
      </c>
      <c r="BI38" s="268" t="str">
        <f t="shared" si="47"/>
        <v/>
      </c>
      <c r="BJ38" s="268" t="str">
        <f t="shared" si="47"/>
        <v/>
      </c>
      <c r="BK38" s="268" t="str">
        <f t="shared" si="47"/>
        <v/>
      </c>
      <c r="BL38" s="268" t="str">
        <f t="shared" si="47"/>
        <v/>
      </c>
      <c r="BM38" s="268" t="str">
        <f t="shared" si="47"/>
        <v/>
      </c>
      <c r="BN38" s="268" t="str">
        <f t="shared" si="47"/>
        <v/>
      </c>
      <c r="BO38" s="268" t="str">
        <f t="shared" si="47"/>
        <v/>
      </c>
      <c r="BP38" s="268" t="str">
        <f t="shared" si="47"/>
        <v/>
      </c>
      <c r="BQ38" s="268" t="str">
        <f t="shared" si="47"/>
        <v/>
      </c>
      <c r="BR38" s="268" t="str">
        <f t="shared" si="47"/>
        <v/>
      </c>
      <c r="BS38" s="268" t="str">
        <f t="shared" si="47"/>
        <v/>
      </c>
      <c r="BT38" s="268" t="str">
        <f t="shared" si="47"/>
        <v/>
      </c>
      <c r="BU38" s="268" t="str">
        <f t="shared" si="3"/>
        <v/>
      </c>
      <c r="BV38" s="247">
        <v>2.14</v>
      </c>
      <c r="BW38" s="729">
        <f t="shared" si="36"/>
        <v>19260</v>
      </c>
      <c r="BX38" s="730">
        <f t="shared" si="37"/>
        <v>149265</v>
      </c>
      <c r="BY38" s="731" t="str">
        <f t="shared" si="32"/>
        <v>SR</v>
      </c>
    </row>
    <row r="39" s="698" customFormat="1" customHeight="1" spans="1:77">
      <c r="A39" s="208">
        <v>45953</v>
      </c>
      <c r="B39" s="208">
        <v>46093</v>
      </c>
      <c r="C39" s="211" t="s">
        <v>313</v>
      </c>
      <c r="D39" s="211" t="s">
        <v>314</v>
      </c>
      <c r="E39" s="211" t="s">
        <v>43</v>
      </c>
      <c r="F39" s="732">
        <v>15000</v>
      </c>
      <c r="G39" s="211" t="s">
        <v>270</v>
      </c>
      <c r="H39" s="211" t="str">
        <f>IFERROR(VLOOKUP(E39,名称!A:E,4,0),"")</f>
        <v>二代</v>
      </c>
      <c r="I39" s="268" t="str">
        <f t="shared" ref="I39:BT39" si="48">IF(OR($E39="",I$1=""),"",IF(TRIM(LEFT($E39,MIN(IFERROR(FIND("CDU",UPPER($E39)),999),IFERROR(FIND("BULK",UPPER($E39)),999),IFERROR(FIND("-",$E39),999),IFERROR(FIND("（",$E39),999))-1))=I$1,$F39,""))</f>
        <v/>
      </c>
      <c r="J39" s="268" t="str">
        <f t="shared" si="48"/>
        <v/>
      </c>
      <c r="K39" s="268" t="str">
        <f t="shared" si="48"/>
        <v/>
      </c>
      <c r="L39" s="268" t="str">
        <f t="shared" si="48"/>
        <v/>
      </c>
      <c r="M39" s="268" t="str">
        <f t="shared" si="48"/>
        <v/>
      </c>
      <c r="N39" s="268">
        <f t="shared" si="48"/>
        <v>15000</v>
      </c>
      <c r="O39" s="268" t="str">
        <f t="shared" si="48"/>
        <v/>
      </c>
      <c r="P39" s="268" t="str">
        <f t="shared" si="48"/>
        <v/>
      </c>
      <c r="Q39" s="268" t="str">
        <f t="shared" si="48"/>
        <v/>
      </c>
      <c r="R39" s="268" t="str">
        <f t="shared" si="48"/>
        <v/>
      </c>
      <c r="S39" s="268" t="str">
        <f t="shared" si="48"/>
        <v/>
      </c>
      <c r="T39" s="268" t="str">
        <f t="shared" si="48"/>
        <v/>
      </c>
      <c r="U39" s="268" t="str">
        <f t="shared" si="48"/>
        <v/>
      </c>
      <c r="V39" s="268" t="str">
        <f t="shared" si="48"/>
        <v/>
      </c>
      <c r="W39" s="268" t="str">
        <f t="shared" si="48"/>
        <v/>
      </c>
      <c r="X39" s="268" t="str">
        <f t="shared" si="48"/>
        <v/>
      </c>
      <c r="Y39" s="268" t="str">
        <f t="shared" si="48"/>
        <v/>
      </c>
      <c r="Z39" s="268" t="str">
        <f t="shared" si="48"/>
        <v/>
      </c>
      <c r="AA39" s="268" t="str">
        <f t="shared" si="48"/>
        <v/>
      </c>
      <c r="AB39" s="268" t="str">
        <f t="shared" si="48"/>
        <v/>
      </c>
      <c r="AC39" s="268" t="str">
        <f t="shared" si="48"/>
        <v/>
      </c>
      <c r="AD39" s="268" t="str">
        <f t="shared" si="48"/>
        <v/>
      </c>
      <c r="AE39" s="268" t="str">
        <f t="shared" si="48"/>
        <v/>
      </c>
      <c r="AF39" s="268" t="str">
        <f t="shared" si="48"/>
        <v/>
      </c>
      <c r="AG39" s="268" t="str">
        <f t="shared" si="48"/>
        <v/>
      </c>
      <c r="AH39" s="268" t="str">
        <f t="shared" si="48"/>
        <v/>
      </c>
      <c r="AI39" s="268" t="str">
        <f t="shared" si="48"/>
        <v/>
      </c>
      <c r="AJ39" s="268" t="str">
        <f t="shared" si="48"/>
        <v/>
      </c>
      <c r="AK39" s="268" t="str">
        <f t="shared" si="48"/>
        <v/>
      </c>
      <c r="AL39" s="268" t="str">
        <f t="shared" si="48"/>
        <v/>
      </c>
      <c r="AM39" s="268" t="str">
        <f t="shared" si="48"/>
        <v/>
      </c>
      <c r="AN39" s="268" t="str">
        <f t="shared" si="48"/>
        <v/>
      </c>
      <c r="AO39" s="268" t="str">
        <f t="shared" si="48"/>
        <v/>
      </c>
      <c r="AP39" s="268" t="str">
        <f t="shared" si="48"/>
        <v/>
      </c>
      <c r="AQ39" s="268" t="str">
        <f t="shared" si="48"/>
        <v/>
      </c>
      <c r="AR39" s="268" t="str">
        <f t="shared" si="48"/>
        <v/>
      </c>
      <c r="AS39" s="268" t="str">
        <f t="shared" si="48"/>
        <v/>
      </c>
      <c r="AT39" s="268" t="str">
        <f t="shared" si="48"/>
        <v/>
      </c>
      <c r="AU39" s="268" t="str">
        <f t="shared" si="48"/>
        <v/>
      </c>
      <c r="AV39" s="268" t="str">
        <f t="shared" si="48"/>
        <v/>
      </c>
      <c r="AW39" s="268" t="str">
        <f t="shared" si="48"/>
        <v/>
      </c>
      <c r="AX39" s="268" t="str">
        <f t="shared" si="48"/>
        <v/>
      </c>
      <c r="AY39" s="268" t="str">
        <f t="shared" si="48"/>
        <v/>
      </c>
      <c r="AZ39" s="268" t="str">
        <f t="shared" si="48"/>
        <v/>
      </c>
      <c r="BA39" s="268" t="str">
        <f t="shared" si="48"/>
        <v/>
      </c>
      <c r="BB39" s="268" t="str">
        <f t="shared" si="48"/>
        <v/>
      </c>
      <c r="BC39" s="268" t="str">
        <f t="shared" si="48"/>
        <v/>
      </c>
      <c r="BD39" s="268" t="str">
        <f t="shared" si="48"/>
        <v/>
      </c>
      <c r="BE39" s="268" t="str">
        <f t="shared" si="48"/>
        <v/>
      </c>
      <c r="BF39" s="268" t="str">
        <f t="shared" si="48"/>
        <v/>
      </c>
      <c r="BG39" s="268" t="str">
        <f t="shared" si="48"/>
        <v/>
      </c>
      <c r="BH39" s="268" t="str">
        <f t="shared" si="48"/>
        <v/>
      </c>
      <c r="BI39" s="268" t="str">
        <f t="shared" si="48"/>
        <v/>
      </c>
      <c r="BJ39" s="268" t="str">
        <f t="shared" si="48"/>
        <v/>
      </c>
      <c r="BK39" s="268" t="str">
        <f t="shared" si="48"/>
        <v/>
      </c>
      <c r="BL39" s="268" t="str">
        <f t="shared" si="48"/>
        <v/>
      </c>
      <c r="BM39" s="268" t="str">
        <f t="shared" si="48"/>
        <v/>
      </c>
      <c r="BN39" s="268" t="str">
        <f t="shared" si="48"/>
        <v/>
      </c>
      <c r="BO39" s="268" t="str">
        <f t="shared" si="48"/>
        <v/>
      </c>
      <c r="BP39" s="268" t="str">
        <f t="shared" si="48"/>
        <v/>
      </c>
      <c r="BQ39" s="268" t="str">
        <f t="shared" si="48"/>
        <v/>
      </c>
      <c r="BR39" s="268" t="str">
        <f t="shared" si="48"/>
        <v/>
      </c>
      <c r="BS39" s="268" t="str">
        <f t="shared" si="48"/>
        <v/>
      </c>
      <c r="BT39" s="268" t="str">
        <f t="shared" si="48"/>
        <v/>
      </c>
      <c r="BU39" s="268" t="str">
        <f t="shared" si="3"/>
        <v/>
      </c>
      <c r="BV39" s="247">
        <v>0.61</v>
      </c>
      <c r="BW39" s="729">
        <f t="shared" si="36"/>
        <v>9150</v>
      </c>
      <c r="BX39" s="730">
        <f t="shared" si="37"/>
        <v>70912.5</v>
      </c>
      <c r="BY39" s="731" t="str">
        <f t="shared" si="32"/>
        <v>SR</v>
      </c>
    </row>
    <row r="40" s="698" customFormat="1" customHeight="1" spans="1:77">
      <c r="A40" s="208">
        <v>45953</v>
      </c>
      <c r="B40" s="208">
        <v>46093</v>
      </c>
      <c r="C40" s="211" t="s">
        <v>315</v>
      </c>
      <c r="D40" s="211" t="s">
        <v>316</v>
      </c>
      <c r="E40" s="211" t="s">
        <v>44</v>
      </c>
      <c r="F40" s="732">
        <v>14016</v>
      </c>
      <c r="G40" s="211" t="s">
        <v>270</v>
      </c>
      <c r="H40" s="211" t="str">
        <f>IFERROR(VLOOKUP(E40,名称!A:E,4,0),"")</f>
        <v>二代</v>
      </c>
      <c r="I40" s="268" t="str">
        <f t="shared" ref="I40:BT40" si="49">IF(OR($E40="",I$1=""),"",IF(TRIM(LEFT($E40,MIN(IFERROR(FIND("CDU",UPPER($E40)),999),IFERROR(FIND("BULK",UPPER($E40)),999),IFERROR(FIND("-",$E40),999),IFERROR(FIND("（",$E40),999))-1))=I$1,$F40,""))</f>
        <v/>
      </c>
      <c r="J40" s="268" t="str">
        <f t="shared" si="49"/>
        <v/>
      </c>
      <c r="K40" s="268" t="str">
        <f t="shared" si="49"/>
        <v/>
      </c>
      <c r="L40" s="268" t="str">
        <f t="shared" si="49"/>
        <v/>
      </c>
      <c r="M40" s="268">
        <f t="shared" si="49"/>
        <v>14016</v>
      </c>
      <c r="N40" s="268" t="str">
        <f t="shared" si="49"/>
        <v/>
      </c>
      <c r="O40" s="268" t="str">
        <f t="shared" si="49"/>
        <v/>
      </c>
      <c r="P40" s="268" t="str">
        <f t="shared" si="49"/>
        <v/>
      </c>
      <c r="Q40" s="268" t="str">
        <f t="shared" si="49"/>
        <v/>
      </c>
      <c r="R40" s="268" t="str">
        <f t="shared" si="49"/>
        <v/>
      </c>
      <c r="S40" s="268" t="str">
        <f t="shared" si="49"/>
        <v/>
      </c>
      <c r="T40" s="268" t="str">
        <f t="shared" si="49"/>
        <v/>
      </c>
      <c r="U40" s="268" t="str">
        <f t="shared" si="49"/>
        <v/>
      </c>
      <c r="V40" s="268" t="str">
        <f t="shared" si="49"/>
        <v/>
      </c>
      <c r="W40" s="268" t="str">
        <f t="shared" si="49"/>
        <v/>
      </c>
      <c r="X40" s="268" t="str">
        <f t="shared" si="49"/>
        <v/>
      </c>
      <c r="Y40" s="268" t="str">
        <f t="shared" si="49"/>
        <v/>
      </c>
      <c r="Z40" s="268" t="str">
        <f t="shared" si="49"/>
        <v/>
      </c>
      <c r="AA40" s="268" t="str">
        <f t="shared" si="49"/>
        <v/>
      </c>
      <c r="AB40" s="268" t="str">
        <f t="shared" si="49"/>
        <v/>
      </c>
      <c r="AC40" s="268" t="str">
        <f t="shared" si="49"/>
        <v/>
      </c>
      <c r="AD40" s="268" t="str">
        <f t="shared" si="49"/>
        <v/>
      </c>
      <c r="AE40" s="268" t="str">
        <f t="shared" si="49"/>
        <v/>
      </c>
      <c r="AF40" s="268" t="str">
        <f t="shared" si="49"/>
        <v/>
      </c>
      <c r="AG40" s="268" t="str">
        <f t="shared" si="49"/>
        <v/>
      </c>
      <c r="AH40" s="268" t="str">
        <f t="shared" si="49"/>
        <v/>
      </c>
      <c r="AI40" s="268" t="str">
        <f t="shared" si="49"/>
        <v/>
      </c>
      <c r="AJ40" s="268" t="str">
        <f t="shared" si="49"/>
        <v/>
      </c>
      <c r="AK40" s="268" t="str">
        <f t="shared" si="49"/>
        <v/>
      </c>
      <c r="AL40" s="268" t="str">
        <f t="shared" si="49"/>
        <v/>
      </c>
      <c r="AM40" s="268" t="str">
        <f t="shared" si="49"/>
        <v/>
      </c>
      <c r="AN40" s="268" t="str">
        <f t="shared" si="49"/>
        <v/>
      </c>
      <c r="AO40" s="268" t="str">
        <f t="shared" si="49"/>
        <v/>
      </c>
      <c r="AP40" s="268" t="str">
        <f t="shared" si="49"/>
        <v/>
      </c>
      <c r="AQ40" s="268" t="str">
        <f t="shared" si="49"/>
        <v/>
      </c>
      <c r="AR40" s="268" t="str">
        <f t="shared" si="49"/>
        <v/>
      </c>
      <c r="AS40" s="268" t="str">
        <f t="shared" si="49"/>
        <v/>
      </c>
      <c r="AT40" s="268" t="str">
        <f t="shared" si="49"/>
        <v/>
      </c>
      <c r="AU40" s="268" t="str">
        <f t="shared" si="49"/>
        <v/>
      </c>
      <c r="AV40" s="268" t="str">
        <f t="shared" si="49"/>
        <v/>
      </c>
      <c r="AW40" s="268" t="str">
        <f t="shared" si="49"/>
        <v/>
      </c>
      <c r="AX40" s="268" t="str">
        <f t="shared" si="49"/>
        <v/>
      </c>
      <c r="AY40" s="268" t="str">
        <f t="shared" si="49"/>
        <v/>
      </c>
      <c r="AZ40" s="268" t="str">
        <f t="shared" si="49"/>
        <v/>
      </c>
      <c r="BA40" s="268" t="str">
        <f t="shared" si="49"/>
        <v/>
      </c>
      <c r="BB40" s="268" t="str">
        <f t="shared" si="49"/>
        <v/>
      </c>
      <c r="BC40" s="268" t="str">
        <f t="shared" si="49"/>
        <v/>
      </c>
      <c r="BD40" s="268" t="str">
        <f t="shared" si="49"/>
        <v/>
      </c>
      <c r="BE40" s="268" t="str">
        <f t="shared" si="49"/>
        <v/>
      </c>
      <c r="BF40" s="268" t="str">
        <f t="shared" si="49"/>
        <v/>
      </c>
      <c r="BG40" s="268" t="str">
        <f t="shared" si="49"/>
        <v/>
      </c>
      <c r="BH40" s="268" t="str">
        <f t="shared" si="49"/>
        <v/>
      </c>
      <c r="BI40" s="268" t="str">
        <f t="shared" si="49"/>
        <v/>
      </c>
      <c r="BJ40" s="268" t="str">
        <f t="shared" si="49"/>
        <v/>
      </c>
      <c r="BK40" s="268" t="str">
        <f t="shared" si="49"/>
        <v/>
      </c>
      <c r="BL40" s="268" t="str">
        <f t="shared" si="49"/>
        <v/>
      </c>
      <c r="BM40" s="268" t="str">
        <f t="shared" si="49"/>
        <v/>
      </c>
      <c r="BN40" s="268" t="str">
        <f t="shared" si="49"/>
        <v/>
      </c>
      <c r="BO40" s="268" t="str">
        <f t="shared" si="49"/>
        <v/>
      </c>
      <c r="BP40" s="268" t="str">
        <f t="shared" si="49"/>
        <v/>
      </c>
      <c r="BQ40" s="268" t="str">
        <f t="shared" si="49"/>
        <v/>
      </c>
      <c r="BR40" s="268" t="str">
        <f t="shared" si="49"/>
        <v/>
      </c>
      <c r="BS40" s="268" t="str">
        <f t="shared" si="49"/>
        <v/>
      </c>
      <c r="BT40" s="268" t="str">
        <f t="shared" si="49"/>
        <v/>
      </c>
      <c r="BU40" s="268" t="str">
        <f t="shared" si="3"/>
        <v/>
      </c>
      <c r="BV40" s="247">
        <v>0.61</v>
      </c>
      <c r="BW40" s="729">
        <f t="shared" si="36"/>
        <v>8549.76</v>
      </c>
      <c r="BX40" s="730">
        <f t="shared" si="37"/>
        <v>66260.64</v>
      </c>
      <c r="BY40" s="731" t="str">
        <f t="shared" si="32"/>
        <v>SR</v>
      </c>
    </row>
    <row r="41" s="698" customFormat="1" customHeight="1" spans="1:77">
      <c r="A41" s="208">
        <v>45953</v>
      </c>
      <c r="B41" s="208">
        <v>46093</v>
      </c>
      <c r="C41" s="211" t="s">
        <v>317</v>
      </c>
      <c r="D41" s="211" t="s">
        <v>318</v>
      </c>
      <c r="E41" s="211" t="s">
        <v>26</v>
      </c>
      <c r="F41" s="732">
        <v>9000</v>
      </c>
      <c r="G41" s="211" t="s">
        <v>270</v>
      </c>
      <c r="H41" s="211" t="str">
        <f>IFERROR(VLOOKUP(E41,名称!A:E,4,0),"")</f>
        <v>二代</v>
      </c>
      <c r="I41" s="268" t="str">
        <f t="shared" ref="I41:BT41" si="50">IF(OR($E41="",I$1=""),"",IF(TRIM(LEFT($E41,MIN(IFERROR(FIND("CDU",UPPER($E41)),999),IFERROR(FIND("BULK",UPPER($E41)),999),IFERROR(FIND("-",$E41),999),IFERROR(FIND("（",$E41),999))-1))=I$1,$F41,""))</f>
        <v/>
      </c>
      <c r="J41" s="268" t="str">
        <f t="shared" si="50"/>
        <v/>
      </c>
      <c r="K41" s="268" t="str">
        <f t="shared" si="50"/>
        <v/>
      </c>
      <c r="L41" s="268" t="str">
        <f t="shared" si="50"/>
        <v/>
      </c>
      <c r="M41" s="268" t="str">
        <f t="shared" si="50"/>
        <v/>
      </c>
      <c r="N41" s="268" t="str">
        <f t="shared" si="50"/>
        <v/>
      </c>
      <c r="O41" s="268" t="str">
        <f t="shared" si="50"/>
        <v/>
      </c>
      <c r="P41" s="268" t="str">
        <f t="shared" si="50"/>
        <v/>
      </c>
      <c r="Q41" s="268" t="str">
        <f t="shared" si="50"/>
        <v/>
      </c>
      <c r="R41" s="268" t="str">
        <f t="shared" si="50"/>
        <v/>
      </c>
      <c r="S41" s="268">
        <f t="shared" si="50"/>
        <v>9000</v>
      </c>
      <c r="T41" s="268" t="str">
        <f t="shared" si="50"/>
        <v/>
      </c>
      <c r="U41" s="268" t="str">
        <f t="shared" si="50"/>
        <v/>
      </c>
      <c r="V41" s="268" t="str">
        <f t="shared" si="50"/>
        <v/>
      </c>
      <c r="W41" s="268" t="str">
        <f t="shared" si="50"/>
        <v/>
      </c>
      <c r="X41" s="268" t="str">
        <f t="shared" si="50"/>
        <v/>
      </c>
      <c r="Y41" s="268" t="str">
        <f t="shared" si="50"/>
        <v/>
      </c>
      <c r="Z41" s="268" t="str">
        <f t="shared" si="50"/>
        <v/>
      </c>
      <c r="AA41" s="268" t="str">
        <f t="shared" si="50"/>
        <v/>
      </c>
      <c r="AB41" s="268" t="str">
        <f t="shared" si="50"/>
        <v/>
      </c>
      <c r="AC41" s="268" t="str">
        <f t="shared" si="50"/>
        <v/>
      </c>
      <c r="AD41" s="268" t="str">
        <f t="shared" si="50"/>
        <v/>
      </c>
      <c r="AE41" s="268" t="str">
        <f t="shared" si="50"/>
        <v/>
      </c>
      <c r="AF41" s="268" t="str">
        <f t="shared" si="50"/>
        <v/>
      </c>
      <c r="AG41" s="268" t="str">
        <f t="shared" si="50"/>
        <v/>
      </c>
      <c r="AH41" s="268" t="str">
        <f t="shared" si="50"/>
        <v/>
      </c>
      <c r="AI41" s="268" t="str">
        <f t="shared" si="50"/>
        <v/>
      </c>
      <c r="AJ41" s="268" t="str">
        <f t="shared" si="50"/>
        <v/>
      </c>
      <c r="AK41" s="268" t="str">
        <f t="shared" si="50"/>
        <v/>
      </c>
      <c r="AL41" s="268" t="str">
        <f t="shared" si="50"/>
        <v/>
      </c>
      <c r="AM41" s="268" t="str">
        <f t="shared" si="50"/>
        <v/>
      </c>
      <c r="AN41" s="268" t="str">
        <f t="shared" si="50"/>
        <v/>
      </c>
      <c r="AO41" s="268" t="str">
        <f t="shared" si="50"/>
        <v/>
      </c>
      <c r="AP41" s="268" t="str">
        <f t="shared" si="50"/>
        <v/>
      </c>
      <c r="AQ41" s="268" t="str">
        <f t="shared" si="50"/>
        <v/>
      </c>
      <c r="AR41" s="268" t="str">
        <f t="shared" si="50"/>
        <v/>
      </c>
      <c r="AS41" s="268" t="str">
        <f t="shared" si="50"/>
        <v/>
      </c>
      <c r="AT41" s="268" t="str">
        <f t="shared" si="50"/>
        <v/>
      </c>
      <c r="AU41" s="268" t="str">
        <f t="shared" si="50"/>
        <v/>
      </c>
      <c r="AV41" s="268" t="str">
        <f t="shared" si="50"/>
        <v/>
      </c>
      <c r="AW41" s="268" t="str">
        <f t="shared" si="50"/>
        <v/>
      </c>
      <c r="AX41" s="268" t="str">
        <f t="shared" si="50"/>
        <v/>
      </c>
      <c r="AY41" s="268" t="str">
        <f t="shared" si="50"/>
        <v/>
      </c>
      <c r="AZ41" s="268" t="str">
        <f t="shared" si="50"/>
        <v/>
      </c>
      <c r="BA41" s="268" t="str">
        <f t="shared" si="50"/>
        <v/>
      </c>
      <c r="BB41" s="268" t="str">
        <f t="shared" si="50"/>
        <v/>
      </c>
      <c r="BC41" s="268" t="str">
        <f t="shared" si="50"/>
        <v/>
      </c>
      <c r="BD41" s="268" t="str">
        <f t="shared" si="50"/>
        <v/>
      </c>
      <c r="BE41" s="268" t="str">
        <f t="shared" si="50"/>
        <v/>
      </c>
      <c r="BF41" s="268" t="str">
        <f t="shared" si="50"/>
        <v/>
      </c>
      <c r="BG41" s="268" t="str">
        <f t="shared" si="50"/>
        <v/>
      </c>
      <c r="BH41" s="268" t="str">
        <f t="shared" si="50"/>
        <v/>
      </c>
      <c r="BI41" s="268" t="str">
        <f t="shared" si="50"/>
        <v/>
      </c>
      <c r="BJ41" s="268" t="str">
        <f t="shared" si="50"/>
        <v/>
      </c>
      <c r="BK41" s="268" t="str">
        <f t="shared" si="50"/>
        <v/>
      </c>
      <c r="BL41" s="268" t="str">
        <f t="shared" si="50"/>
        <v/>
      </c>
      <c r="BM41" s="268" t="str">
        <f t="shared" si="50"/>
        <v/>
      </c>
      <c r="BN41" s="268" t="str">
        <f t="shared" si="50"/>
        <v/>
      </c>
      <c r="BO41" s="268" t="str">
        <f t="shared" si="50"/>
        <v/>
      </c>
      <c r="BP41" s="268" t="str">
        <f t="shared" si="50"/>
        <v/>
      </c>
      <c r="BQ41" s="268" t="str">
        <f t="shared" si="50"/>
        <v/>
      </c>
      <c r="BR41" s="268" t="str">
        <f t="shared" si="50"/>
        <v/>
      </c>
      <c r="BS41" s="268" t="str">
        <f t="shared" si="50"/>
        <v/>
      </c>
      <c r="BT41" s="268" t="str">
        <f t="shared" si="50"/>
        <v/>
      </c>
      <c r="BU41" s="268" t="str">
        <f t="shared" si="3"/>
        <v/>
      </c>
      <c r="BV41" s="247">
        <v>2.14</v>
      </c>
      <c r="BW41" s="729">
        <f t="shared" si="36"/>
        <v>19260</v>
      </c>
      <c r="BX41" s="730">
        <f t="shared" si="37"/>
        <v>149265</v>
      </c>
      <c r="BY41" s="731" t="str">
        <f t="shared" si="32"/>
        <v>SR</v>
      </c>
    </row>
    <row r="42" s="697" customFormat="1" customHeight="1" spans="1:77">
      <c r="A42" s="116">
        <v>45953</v>
      </c>
      <c r="B42" s="116">
        <v>46107</v>
      </c>
      <c r="C42" s="118" t="s">
        <v>319</v>
      </c>
      <c r="D42" s="118" t="s">
        <v>320</v>
      </c>
      <c r="E42" s="118" t="s">
        <v>43</v>
      </c>
      <c r="F42" s="726">
        <v>15000</v>
      </c>
      <c r="G42" s="118" t="s">
        <v>270</v>
      </c>
      <c r="H42" s="118" t="str">
        <f>IFERROR(VLOOKUP(E42,名称!A:E,4,0),"")</f>
        <v>二代</v>
      </c>
      <c r="I42" s="418" t="str">
        <f t="shared" ref="I42:BT42" si="51">IF(OR($E42="",I$1=""),"",IF(TRIM(LEFT($E42,MIN(IFERROR(FIND("CDU",UPPER($E42)),999),IFERROR(FIND("BULK",UPPER($E42)),999),IFERROR(FIND("-",$E42),999),IFERROR(FIND("（",$E42),999))-1))=I$1,$F42,""))</f>
        <v/>
      </c>
      <c r="J42" s="418" t="str">
        <f t="shared" si="51"/>
        <v/>
      </c>
      <c r="K42" s="418" t="str">
        <f t="shared" si="51"/>
        <v/>
      </c>
      <c r="L42" s="418" t="str">
        <f t="shared" si="51"/>
        <v/>
      </c>
      <c r="M42" s="418" t="str">
        <f t="shared" si="51"/>
        <v/>
      </c>
      <c r="N42" s="418">
        <f t="shared" si="51"/>
        <v>15000</v>
      </c>
      <c r="O42" s="418" t="str">
        <f t="shared" si="51"/>
        <v/>
      </c>
      <c r="P42" s="418" t="str">
        <f t="shared" si="51"/>
        <v/>
      </c>
      <c r="Q42" s="418" t="str">
        <f t="shared" si="51"/>
        <v/>
      </c>
      <c r="R42" s="418" t="str">
        <f t="shared" si="51"/>
        <v/>
      </c>
      <c r="S42" s="418" t="str">
        <f t="shared" si="51"/>
        <v/>
      </c>
      <c r="T42" s="418" t="str">
        <f t="shared" si="51"/>
        <v/>
      </c>
      <c r="U42" s="418" t="str">
        <f t="shared" si="51"/>
        <v/>
      </c>
      <c r="V42" s="418" t="str">
        <f t="shared" si="51"/>
        <v/>
      </c>
      <c r="W42" s="418" t="str">
        <f t="shared" si="51"/>
        <v/>
      </c>
      <c r="X42" s="418" t="str">
        <f t="shared" si="51"/>
        <v/>
      </c>
      <c r="Y42" s="418" t="str">
        <f t="shared" si="51"/>
        <v/>
      </c>
      <c r="Z42" s="418" t="str">
        <f t="shared" si="51"/>
        <v/>
      </c>
      <c r="AA42" s="418" t="str">
        <f t="shared" si="51"/>
        <v/>
      </c>
      <c r="AB42" s="418" t="str">
        <f t="shared" si="51"/>
        <v/>
      </c>
      <c r="AC42" s="418" t="str">
        <f t="shared" si="51"/>
        <v/>
      </c>
      <c r="AD42" s="418" t="str">
        <f t="shared" si="51"/>
        <v/>
      </c>
      <c r="AE42" s="418" t="str">
        <f t="shared" si="51"/>
        <v/>
      </c>
      <c r="AF42" s="418" t="str">
        <f t="shared" si="51"/>
        <v/>
      </c>
      <c r="AG42" s="418" t="str">
        <f t="shared" si="51"/>
        <v/>
      </c>
      <c r="AH42" s="418" t="str">
        <f t="shared" si="51"/>
        <v/>
      </c>
      <c r="AI42" s="418" t="str">
        <f t="shared" si="51"/>
        <v/>
      </c>
      <c r="AJ42" s="418" t="str">
        <f t="shared" si="51"/>
        <v/>
      </c>
      <c r="AK42" s="418" t="str">
        <f t="shared" si="51"/>
        <v/>
      </c>
      <c r="AL42" s="418" t="str">
        <f t="shared" si="51"/>
        <v/>
      </c>
      <c r="AM42" s="418" t="str">
        <f t="shared" si="51"/>
        <v/>
      </c>
      <c r="AN42" s="418" t="str">
        <f t="shared" si="51"/>
        <v/>
      </c>
      <c r="AO42" s="418" t="str">
        <f t="shared" si="51"/>
        <v/>
      </c>
      <c r="AP42" s="418" t="str">
        <f t="shared" si="51"/>
        <v/>
      </c>
      <c r="AQ42" s="418" t="str">
        <f t="shared" si="51"/>
        <v/>
      </c>
      <c r="AR42" s="418" t="str">
        <f t="shared" si="51"/>
        <v/>
      </c>
      <c r="AS42" s="418" t="str">
        <f t="shared" si="51"/>
        <v/>
      </c>
      <c r="AT42" s="418" t="str">
        <f t="shared" si="51"/>
        <v/>
      </c>
      <c r="AU42" s="418" t="str">
        <f t="shared" si="51"/>
        <v/>
      </c>
      <c r="AV42" s="418" t="str">
        <f t="shared" si="51"/>
        <v/>
      </c>
      <c r="AW42" s="418" t="str">
        <f t="shared" si="51"/>
        <v/>
      </c>
      <c r="AX42" s="418" t="str">
        <f t="shared" si="51"/>
        <v/>
      </c>
      <c r="AY42" s="418" t="str">
        <f t="shared" si="51"/>
        <v/>
      </c>
      <c r="AZ42" s="418" t="str">
        <f t="shared" si="51"/>
        <v/>
      </c>
      <c r="BA42" s="418" t="str">
        <f t="shared" si="51"/>
        <v/>
      </c>
      <c r="BB42" s="418" t="str">
        <f t="shared" si="51"/>
        <v/>
      </c>
      <c r="BC42" s="418" t="str">
        <f t="shared" si="51"/>
        <v/>
      </c>
      <c r="BD42" s="418" t="str">
        <f t="shared" si="51"/>
        <v/>
      </c>
      <c r="BE42" s="418" t="str">
        <f t="shared" si="51"/>
        <v/>
      </c>
      <c r="BF42" s="418" t="str">
        <f t="shared" si="51"/>
        <v/>
      </c>
      <c r="BG42" s="418" t="str">
        <f t="shared" si="51"/>
        <v/>
      </c>
      <c r="BH42" s="418" t="str">
        <f t="shared" si="51"/>
        <v/>
      </c>
      <c r="BI42" s="418" t="str">
        <f t="shared" si="51"/>
        <v/>
      </c>
      <c r="BJ42" s="418" t="str">
        <f t="shared" si="51"/>
        <v/>
      </c>
      <c r="BK42" s="418" t="str">
        <f t="shared" si="51"/>
        <v/>
      </c>
      <c r="BL42" s="418" t="str">
        <f t="shared" si="51"/>
        <v/>
      </c>
      <c r="BM42" s="418" t="str">
        <f t="shared" si="51"/>
        <v/>
      </c>
      <c r="BN42" s="418" t="str">
        <f t="shared" si="51"/>
        <v/>
      </c>
      <c r="BO42" s="418" t="str">
        <f t="shared" si="51"/>
        <v/>
      </c>
      <c r="BP42" s="418" t="str">
        <f t="shared" si="51"/>
        <v/>
      </c>
      <c r="BQ42" s="418" t="str">
        <f t="shared" si="51"/>
        <v/>
      </c>
      <c r="BR42" s="418" t="str">
        <f t="shared" si="51"/>
        <v/>
      </c>
      <c r="BS42" s="418" t="str">
        <f t="shared" si="51"/>
        <v/>
      </c>
      <c r="BT42" s="418" t="str">
        <f t="shared" si="51"/>
        <v/>
      </c>
      <c r="BU42" s="418" t="str">
        <f t="shared" si="3"/>
        <v/>
      </c>
      <c r="BV42" s="544">
        <v>0.61</v>
      </c>
      <c r="BW42" s="723">
        <f t="shared" si="36"/>
        <v>9150</v>
      </c>
      <c r="BX42" s="724">
        <f t="shared" si="37"/>
        <v>70912.5</v>
      </c>
      <c r="BY42" s="725" t="str">
        <f t="shared" si="32"/>
        <v>SR</v>
      </c>
    </row>
    <row r="43" s="697" customFormat="1" customHeight="1" spans="1:77">
      <c r="A43" s="116">
        <v>45953</v>
      </c>
      <c r="B43" s="116">
        <v>46107</v>
      </c>
      <c r="C43" s="118" t="s">
        <v>321</v>
      </c>
      <c r="D43" s="118" t="s">
        <v>322</v>
      </c>
      <c r="E43" s="118" t="s">
        <v>44</v>
      </c>
      <c r="F43" s="726">
        <v>14016</v>
      </c>
      <c r="G43" s="118" t="s">
        <v>270</v>
      </c>
      <c r="H43" s="118" t="str">
        <f>IFERROR(VLOOKUP(E43,名称!A:E,4,0),"")</f>
        <v>二代</v>
      </c>
      <c r="I43" s="418" t="str">
        <f t="shared" ref="I43:BT43" si="52">IF(OR($E43="",I$1=""),"",IF(TRIM(LEFT($E43,MIN(IFERROR(FIND("CDU",UPPER($E43)),999),IFERROR(FIND("BULK",UPPER($E43)),999),IFERROR(FIND("-",$E43),999),IFERROR(FIND("（",$E43),999))-1))=I$1,$F43,""))</f>
        <v/>
      </c>
      <c r="J43" s="418" t="str">
        <f t="shared" si="52"/>
        <v/>
      </c>
      <c r="K43" s="418" t="str">
        <f t="shared" si="52"/>
        <v/>
      </c>
      <c r="L43" s="418" t="str">
        <f t="shared" si="52"/>
        <v/>
      </c>
      <c r="M43" s="418">
        <f t="shared" si="52"/>
        <v>14016</v>
      </c>
      <c r="N43" s="418" t="str">
        <f t="shared" si="52"/>
        <v/>
      </c>
      <c r="O43" s="418" t="str">
        <f t="shared" si="52"/>
        <v/>
      </c>
      <c r="P43" s="418" t="str">
        <f t="shared" si="52"/>
        <v/>
      </c>
      <c r="Q43" s="418" t="str">
        <f t="shared" si="52"/>
        <v/>
      </c>
      <c r="R43" s="418" t="str">
        <f t="shared" si="52"/>
        <v/>
      </c>
      <c r="S43" s="418" t="str">
        <f t="shared" si="52"/>
        <v/>
      </c>
      <c r="T43" s="418" t="str">
        <f t="shared" si="52"/>
        <v/>
      </c>
      <c r="U43" s="418" t="str">
        <f t="shared" si="52"/>
        <v/>
      </c>
      <c r="V43" s="418" t="str">
        <f t="shared" si="52"/>
        <v/>
      </c>
      <c r="W43" s="418" t="str">
        <f t="shared" si="52"/>
        <v/>
      </c>
      <c r="X43" s="418" t="str">
        <f t="shared" si="52"/>
        <v/>
      </c>
      <c r="Y43" s="418" t="str">
        <f t="shared" si="52"/>
        <v/>
      </c>
      <c r="Z43" s="418" t="str">
        <f t="shared" si="52"/>
        <v/>
      </c>
      <c r="AA43" s="418" t="str">
        <f t="shared" si="52"/>
        <v/>
      </c>
      <c r="AB43" s="418" t="str">
        <f t="shared" si="52"/>
        <v/>
      </c>
      <c r="AC43" s="418" t="str">
        <f t="shared" si="52"/>
        <v/>
      </c>
      <c r="AD43" s="418" t="str">
        <f t="shared" si="52"/>
        <v/>
      </c>
      <c r="AE43" s="418" t="str">
        <f t="shared" si="52"/>
        <v/>
      </c>
      <c r="AF43" s="418" t="str">
        <f t="shared" si="52"/>
        <v/>
      </c>
      <c r="AG43" s="418" t="str">
        <f t="shared" si="52"/>
        <v/>
      </c>
      <c r="AH43" s="418" t="str">
        <f t="shared" si="52"/>
        <v/>
      </c>
      <c r="AI43" s="418" t="str">
        <f t="shared" si="52"/>
        <v/>
      </c>
      <c r="AJ43" s="418" t="str">
        <f t="shared" si="52"/>
        <v/>
      </c>
      <c r="AK43" s="418" t="str">
        <f t="shared" si="52"/>
        <v/>
      </c>
      <c r="AL43" s="418" t="str">
        <f t="shared" si="52"/>
        <v/>
      </c>
      <c r="AM43" s="418" t="str">
        <f t="shared" si="52"/>
        <v/>
      </c>
      <c r="AN43" s="418" t="str">
        <f t="shared" si="52"/>
        <v/>
      </c>
      <c r="AO43" s="418" t="str">
        <f t="shared" si="52"/>
        <v/>
      </c>
      <c r="AP43" s="418" t="str">
        <f t="shared" si="52"/>
        <v/>
      </c>
      <c r="AQ43" s="418" t="str">
        <f t="shared" si="52"/>
        <v/>
      </c>
      <c r="AR43" s="418" t="str">
        <f t="shared" si="52"/>
        <v/>
      </c>
      <c r="AS43" s="418" t="str">
        <f t="shared" si="52"/>
        <v/>
      </c>
      <c r="AT43" s="418" t="str">
        <f t="shared" si="52"/>
        <v/>
      </c>
      <c r="AU43" s="418" t="str">
        <f t="shared" si="52"/>
        <v/>
      </c>
      <c r="AV43" s="418" t="str">
        <f t="shared" si="52"/>
        <v/>
      </c>
      <c r="AW43" s="418" t="str">
        <f t="shared" si="52"/>
        <v/>
      </c>
      <c r="AX43" s="418" t="str">
        <f t="shared" si="52"/>
        <v/>
      </c>
      <c r="AY43" s="418" t="str">
        <f t="shared" si="52"/>
        <v/>
      </c>
      <c r="AZ43" s="418" t="str">
        <f t="shared" si="52"/>
        <v/>
      </c>
      <c r="BA43" s="418" t="str">
        <f t="shared" si="52"/>
        <v/>
      </c>
      <c r="BB43" s="418" t="str">
        <f t="shared" si="52"/>
        <v/>
      </c>
      <c r="BC43" s="418" t="str">
        <f t="shared" si="52"/>
        <v/>
      </c>
      <c r="BD43" s="418" t="str">
        <f t="shared" si="52"/>
        <v/>
      </c>
      <c r="BE43" s="418" t="str">
        <f t="shared" si="52"/>
        <v/>
      </c>
      <c r="BF43" s="418" t="str">
        <f t="shared" si="52"/>
        <v/>
      </c>
      <c r="BG43" s="418" t="str">
        <f t="shared" si="52"/>
        <v/>
      </c>
      <c r="BH43" s="418" t="str">
        <f t="shared" si="52"/>
        <v/>
      </c>
      <c r="BI43" s="418" t="str">
        <f t="shared" si="52"/>
        <v/>
      </c>
      <c r="BJ43" s="418" t="str">
        <f t="shared" si="52"/>
        <v/>
      </c>
      <c r="BK43" s="418" t="str">
        <f t="shared" si="52"/>
        <v/>
      </c>
      <c r="BL43" s="418" t="str">
        <f t="shared" si="52"/>
        <v/>
      </c>
      <c r="BM43" s="418" t="str">
        <f t="shared" si="52"/>
        <v/>
      </c>
      <c r="BN43" s="418" t="str">
        <f t="shared" si="52"/>
        <v/>
      </c>
      <c r="BO43" s="418" t="str">
        <f t="shared" si="52"/>
        <v/>
      </c>
      <c r="BP43" s="418" t="str">
        <f t="shared" si="52"/>
        <v/>
      </c>
      <c r="BQ43" s="418" t="str">
        <f t="shared" si="52"/>
        <v/>
      </c>
      <c r="BR43" s="418" t="str">
        <f t="shared" si="52"/>
        <v/>
      </c>
      <c r="BS43" s="418" t="str">
        <f t="shared" si="52"/>
        <v/>
      </c>
      <c r="BT43" s="418" t="str">
        <f t="shared" si="52"/>
        <v/>
      </c>
      <c r="BU43" s="418" t="str">
        <f t="shared" si="3"/>
        <v/>
      </c>
      <c r="BV43" s="544">
        <v>0.61</v>
      </c>
      <c r="BW43" s="723">
        <f t="shared" si="36"/>
        <v>8549.76</v>
      </c>
      <c r="BX43" s="724">
        <f t="shared" si="37"/>
        <v>66260.64</v>
      </c>
      <c r="BY43" s="725" t="str">
        <f t="shared" si="32"/>
        <v>SR</v>
      </c>
    </row>
    <row r="44" s="697" customFormat="1" customHeight="1" spans="1:77">
      <c r="A44" s="116">
        <v>45953</v>
      </c>
      <c r="B44" s="116">
        <v>46107</v>
      </c>
      <c r="C44" s="118" t="s">
        <v>323</v>
      </c>
      <c r="D44" s="118" t="s">
        <v>324</v>
      </c>
      <c r="E44" s="118" t="s">
        <v>26</v>
      </c>
      <c r="F44" s="726">
        <f>9000-1500+1500</f>
        <v>9000</v>
      </c>
      <c r="G44" s="118" t="s">
        <v>270</v>
      </c>
      <c r="H44" s="118" t="str">
        <f>IFERROR(VLOOKUP(E44,名称!A:E,4,0),"")</f>
        <v>二代</v>
      </c>
      <c r="I44" s="418" t="str">
        <f t="shared" ref="I44:BT44" si="53">IF(OR($E44="",I$1=""),"",IF(TRIM(LEFT($E44,MIN(IFERROR(FIND("CDU",UPPER($E44)),999),IFERROR(FIND("BULK",UPPER($E44)),999),IFERROR(FIND("-",$E44),999),IFERROR(FIND("（",$E44),999))-1))=I$1,$F44,""))</f>
        <v/>
      </c>
      <c r="J44" s="418" t="str">
        <f t="shared" si="53"/>
        <v/>
      </c>
      <c r="K44" s="418" t="str">
        <f t="shared" si="53"/>
        <v/>
      </c>
      <c r="L44" s="418" t="str">
        <f t="shared" si="53"/>
        <v/>
      </c>
      <c r="M44" s="418" t="str">
        <f t="shared" si="53"/>
        <v/>
      </c>
      <c r="N44" s="418" t="str">
        <f t="shared" si="53"/>
        <v/>
      </c>
      <c r="O44" s="418" t="str">
        <f t="shared" si="53"/>
        <v/>
      </c>
      <c r="P44" s="418" t="str">
        <f t="shared" si="53"/>
        <v/>
      </c>
      <c r="Q44" s="418" t="str">
        <f t="shared" si="53"/>
        <v/>
      </c>
      <c r="R44" s="418" t="str">
        <f t="shared" si="53"/>
        <v/>
      </c>
      <c r="S44" s="418">
        <f t="shared" si="53"/>
        <v>9000</v>
      </c>
      <c r="T44" s="418" t="str">
        <f t="shared" si="53"/>
        <v/>
      </c>
      <c r="U44" s="418" t="str">
        <f t="shared" si="53"/>
        <v/>
      </c>
      <c r="V44" s="418" t="str">
        <f t="shared" si="53"/>
        <v/>
      </c>
      <c r="W44" s="418" t="str">
        <f t="shared" si="53"/>
        <v/>
      </c>
      <c r="X44" s="418" t="str">
        <f t="shared" si="53"/>
        <v/>
      </c>
      <c r="Y44" s="418" t="str">
        <f t="shared" si="53"/>
        <v/>
      </c>
      <c r="Z44" s="418" t="str">
        <f t="shared" si="53"/>
        <v/>
      </c>
      <c r="AA44" s="418" t="str">
        <f t="shared" si="53"/>
        <v/>
      </c>
      <c r="AB44" s="418" t="str">
        <f t="shared" si="53"/>
        <v/>
      </c>
      <c r="AC44" s="418" t="str">
        <f t="shared" si="53"/>
        <v/>
      </c>
      <c r="AD44" s="418" t="str">
        <f t="shared" si="53"/>
        <v/>
      </c>
      <c r="AE44" s="418" t="str">
        <f t="shared" si="53"/>
        <v/>
      </c>
      <c r="AF44" s="418" t="str">
        <f t="shared" si="53"/>
        <v/>
      </c>
      <c r="AG44" s="418" t="str">
        <f t="shared" si="53"/>
        <v/>
      </c>
      <c r="AH44" s="418" t="str">
        <f t="shared" si="53"/>
        <v/>
      </c>
      <c r="AI44" s="418" t="str">
        <f t="shared" si="53"/>
        <v/>
      </c>
      <c r="AJ44" s="418" t="str">
        <f t="shared" si="53"/>
        <v/>
      </c>
      <c r="AK44" s="418" t="str">
        <f t="shared" si="53"/>
        <v/>
      </c>
      <c r="AL44" s="418" t="str">
        <f t="shared" si="53"/>
        <v/>
      </c>
      <c r="AM44" s="418" t="str">
        <f t="shared" si="53"/>
        <v/>
      </c>
      <c r="AN44" s="418" t="str">
        <f t="shared" si="53"/>
        <v/>
      </c>
      <c r="AO44" s="418" t="str">
        <f t="shared" si="53"/>
        <v/>
      </c>
      <c r="AP44" s="418" t="str">
        <f t="shared" si="53"/>
        <v/>
      </c>
      <c r="AQ44" s="418" t="str">
        <f t="shared" si="53"/>
        <v/>
      </c>
      <c r="AR44" s="418" t="str">
        <f t="shared" si="53"/>
        <v/>
      </c>
      <c r="AS44" s="418" t="str">
        <f t="shared" si="53"/>
        <v/>
      </c>
      <c r="AT44" s="418" t="str">
        <f t="shared" si="53"/>
        <v/>
      </c>
      <c r="AU44" s="418" t="str">
        <f t="shared" si="53"/>
        <v/>
      </c>
      <c r="AV44" s="418" t="str">
        <f t="shared" si="53"/>
        <v/>
      </c>
      <c r="AW44" s="418" t="str">
        <f t="shared" si="53"/>
        <v/>
      </c>
      <c r="AX44" s="418" t="str">
        <f t="shared" si="53"/>
        <v/>
      </c>
      <c r="AY44" s="418" t="str">
        <f t="shared" si="53"/>
        <v/>
      </c>
      <c r="AZ44" s="418" t="str">
        <f t="shared" si="53"/>
        <v/>
      </c>
      <c r="BA44" s="418" t="str">
        <f t="shared" si="53"/>
        <v/>
      </c>
      <c r="BB44" s="418" t="str">
        <f t="shared" si="53"/>
        <v/>
      </c>
      <c r="BC44" s="418" t="str">
        <f t="shared" si="53"/>
        <v/>
      </c>
      <c r="BD44" s="418" t="str">
        <f t="shared" si="53"/>
        <v/>
      </c>
      <c r="BE44" s="418" t="str">
        <f t="shared" si="53"/>
        <v/>
      </c>
      <c r="BF44" s="418" t="str">
        <f t="shared" si="53"/>
        <v/>
      </c>
      <c r="BG44" s="418" t="str">
        <f t="shared" si="53"/>
        <v/>
      </c>
      <c r="BH44" s="418" t="str">
        <f t="shared" si="53"/>
        <v/>
      </c>
      <c r="BI44" s="418" t="str">
        <f t="shared" si="53"/>
        <v/>
      </c>
      <c r="BJ44" s="418" t="str">
        <f t="shared" si="53"/>
        <v/>
      </c>
      <c r="BK44" s="418" t="str">
        <f t="shared" si="53"/>
        <v/>
      </c>
      <c r="BL44" s="418" t="str">
        <f t="shared" si="53"/>
        <v/>
      </c>
      <c r="BM44" s="418" t="str">
        <f t="shared" si="53"/>
        <v/>
      </c>
      <c r="BN44" s="418" t="str">
        <f t="shared" si="53"/>
        <v/>
      </c>
      <c r="BO44" s="418" t="str">
        <f t="shared" si="53"/>
        <v/>
      </c>
      <c r="BP44" s="418" t="str">
        <f t="shared" si="53"/>
        <v/>
      </c>
      <c r="BQ44" s="418" t="str">
        <f t="shared" si="53"/>
        <v/>
      </c>
      <c r="BR44" s="418" t="str">
        <f t="shared" si="53"/>
        <v/>
      </c>
      <c r="BS44" s="418" t="str">
        <f t="shared" si="53"/>
        <v/>
      </c>
      <c r="BT44" s="418" t="str">
        <f t="shared" si="53"/>
        <v/>
      </c>
      <c r="BU44" s="418" t="str">
        <f t="shared" si="3"/>
        <v/>
      </c>
      <c r="BV44" s="544">
        <v>2.14</v>
      </c>
      <c r="BW44" s="723">
        <f t="shared" si="36"/>
        <v>19260</v>
      </c>
      <c r="BX44" s="724">
        <f t="shared" si="37"/>
        <v>149265</v>
      </c>
      <c r="BY44" s="725" t="str">
        <f t="shared" si="32"/>
        <v>SR</v>
      </c>
    </row>
    <row r="45" s="698" customFormat="1" customHeight="1" spans="1:77">
      <c r="A45" s="208">
        <v>45966</v>
      </c>
      <c r="B45" s="208">
        <v>46053</v>
      </c>
      <c r="C45" s="211">
        <v>2916427</v>
      </c>
      <c r="D45" s="211" t="s">
        <v>325</v>
      </c>
      <c r="E45" s="211" t="s">
        <v>44</v>
      </c>
      <c r="F45" s="732">
        <v>1800</v>
      </c>
      <c r="G45" s="211" t="s">
        <v>253</v>
      </c>
      <c r="H45" s="211" t="str">
        <f>IFERROR(VLOOKUP(E45,名称!A:E,4,0),"")</f>
        <v>二代</v>
      </c>
      <c r="I45" s="268" t="str">
        <f t="shared" ref="I45:BT45" si="54">IF(OR($E45="",I$1=""),"",IF(TRIM(LEFT($E45,MIN(IFERROR(FIND("CDU",UPPER($E45)),999),IFERROR(FIND("BULK",UPPER($E45)),999),IFERROR(FIND("-",$E45),999),IFERROR(FIND("（",$E45),999))-1))=I$1,$F45,""))</f>
        <v/>
      </c>
      <c r="J45" s="268" t="str">
        <f t="shared" si="54"/>
        <v/>
      </c>
      <c r="K45" s="268" t="str">
        <f t="shared" si="54"/>
        <v/>
      </c>
      <c r="L45" s="268" t="str">
        <f t="shared" si="54"/>
        <v/>
      </c>
      <c r="M45" s="268">
        <f t="shared" si="54"/>
        <v>1800</v>
      </c>
      <c r="N45" s="268" t="str">
        <f t="shared" si="54"/>
        <v/>
      </c>
      <c r="O45" s="268" t="str">
        <f t="shared" si="54"/>
        <v/>
      </c>
      <c r="P45" s="268" t="str">
        <f t="shared" si="54"/>
        <v/>
      </c>
      <c r="Q45" s="268" t="str">
        <f t="shared" si="54"/>
        <v/>
      </c>
      <c r="R45" s="268" t="str">
        <f t="shared" si="54"/>
        <v/>
      </c>
      <c r="S45" s="268" t="str">
        <f t="shared" si="54"/>
        <v/>
      </c>
      <c r="T45" s="268" t="str">
        <f t="shared" si="54"/>
        <v/>
      </c>
      <c r="U45" s="268" t="str">
        <f t="shared" si="54"/>
        <v/>
      </c>
      <c r="V45" s="268" t="str">
        <f t="shared" si="54"/>
        <v/>
      </c>
      <c r="W45" s="268" t="str">
        <f t="shared" si="54"/>
        <v/>
      </c>
      <c r="X45" s="268" t="str">
        <f t="shared" si="54"/>
        <v/>
      </c>
      <c r="Y45" s="268" t="str">
        <f t="shared" si="54"/>
        <v/>
      </c>
      <c r="Z45" s="268" t="str">
        <f t="shared" si="54"/>
        <v/>
      </c>
      <c r="AA45" s="268" t="str">
        <f t="shared" si="54"/>
        <v/>
      </c>
      <c r="AB45" s="268" t="str">
        <f t="shared" si="54"/>
        <v/>
      </c>
      <c r="AC45" s="268" t="str">
        <f t="shared" si="54"/>
        <v/>
      </c>
      <c r="AD45" s="268" t="str">
        <f t="shared" si="54"/>
        <v/>
      </c>
      <c r="AE45" s="268" t="str">
        <f t="shared" si="54"/>
        <v/>
      </c>
      <c r="AF45" s="268" t="str">
        <f t="shared" si="54"/>
        <v/>
      </c>
      <c r="AG45" s="268" t="str">
        <f t="shared" si="54"/>
        <v/>
      </c>
      <c r="AH45" s="268" t="str">
        <f t="shared" si="54"/>
        <v/>
      </c>
      <c r="AI45" s="268" t="str">
        <f t="shared" si="54"/>
        <v/>
      </c>
      <c r="AJ45" s="268" t="str">
        <f t="shared" si="54"/>
        <v/>
      </c>
      <c r="AK45" s="268" t="str">
        <f t="shared" si="54"/>
        <v/>
      </c>
      <c r="AL45" s="268" t="str">
        <f t="shared" si="54"/>
        <v/>
      </c>
      <c r="AM45" s="268" t="str">
        <f t="shared" si="54"/>
        <v/>
      </c>
      <c r="AN45" s="268" t="str">
        <f t="shared" si="54"/>
        <v/>
      </c>
      <c r="AO45" s="268" t="str">
        <f t="shared" si="54"/>
        <v/>
      </c>
      <c r="AP45" s="268" t="str">
        <f t="shared" si="54"/>
        <v/>
      </c>
      <c r="AQ45" s="268" t="str">
        <f t="shared" si="54"/>
        <v/>
      </c>
      <c r="AR45" s="268" t="str">
        <f t="shared" si="54"/>
        <v/>
      </c>
      <c r="AS45" s="268" t="str">
        <f t="shared" si="54"/>
        <v/>
      </c>
      <c r="AT45" s="268" t="str">
        <f t="shared" si="54"/>
        <v/>
      </c>
      <c r="AU45" s="268" t="str">
        <f t="shared" si="54"/>
        <v/>
      </c>
      <c r="AV45" s="268" t="str">
        <f t="shared" si="54"/>
        <v/>
      </c>
      <c r="AW45" s="268" t="str">
        <f t="shared" si="54"/>
        <v/>
      </c>
      <c r="AX45" s="268" t="str">
        <f t="shared" si="54"/>
        <v/>
      </c>
      <c r="AY45" s="268" t="str">
        <f t="shared" si="54"/>
        <v/>
      </c>
      <c r="AZ45" s="268" t="str">
        <f t="shared" si="54"/>
        <v/>
      </c>
      <c r="BA45" s="268" t="str">
        <f t="shared" si="54"/>
        <v/>
      </c>
      <c r="BB45" s="268" t="str">
        <f t="shared" si="54"/>
        <v/>
      </c>
      <c r="BC45" s="268" t="str">
        <f t="shared" si="54"/>
        <v/>
      </c>
      <c r="BD45" s="268" t="str">
        <f t="shared" si="54"/>
        <v/>
      </c>
      <c r="BE45" s="268" t="str">
        <f t="shared" si="54"/>
        <v/>
      </c>
      <c r="BF45" s="268" t="str">
        <f t="shared" si="54"/>
        <v/>
      </c>
      <c r="BG45" s="268" t="str">
        <f t="shared" si="54"/>
        <v/>
      </c>
      <c r="BH45" s="268" t="str">
        <f t="shared" si="54"/>
        <v/>
      </c>
      <c r="BI45" s="268" t="str">
        <f t="shared" si="54"/>
        <v/>
      </c>
      <c r="BJ45" s="268" t="str">
        <f t="shared" si="54"/>
        <v/>
      </c>
      <c r="BK45" s="268" t="str">
        <f t="shared" si="54"/>
        <v/>
      </c>
      <c r="BL45" s="268" t="str">
        <f t="shared" si="54"/>
        <v/>
      </c>
      <c r="BM45" s="268" t="str">
        <f t="shared" si="54"/>
        <v/>
      </c>
      <c r="BN45" s="268" t="str">
        <f t="shared" si="54"/>
        <v/>
      </c>
      <c r="BO45" s="268" t="str">
        <f t="shared" si="54"/>
        <v/>
      </c>
      <c r="BP45" s="268" t="str">
        <f t="shared" si="54"/>
        <v/>
      </c>
      <c r="BQ45" s="268" t="str">
        <f t="shared" si="54"/>
        <v/>
      </c>
      <c r="BR45" s="268" t="str">
        <f t="shared" si="54"/>
        <v/>
      </c>
      <c r="BS45" s="268" t="str">
        <f t="shared" si="54"/>
        <v/>
      </c>
      <c r="BT45" s="268" t="str">
        <f t="shared" si="54"/>
        <v/>
      </c>
      <c r="BU45" s="268" t="str">
        <f t="shared" si="3"/>
        <v/>
      </c>
      <c r="BV45" s="247">
        <v>0.65</v>
      </c>
      <c r="BW45" s="729">
        <f t="shared" ref="BW45:BW61" si="55">SUM(I45:BU45)*BV45</f>
        <v>1170</v>
      </c>
      <c r="BX45" s="730">
        <f t="shared" ref="BX45:BX61" si="56">BW45*7.75</f>
        <v>9067.5</v>
      </c>
      <c r="BY45" s="731" t="str">
        <f t="shared" si="32"/>
        <v>SR</v>
      </c>
    </row>
    <row r="46" s="698" customFormat="1" customHeight="1" spans="1:77">
      <c r="A46" s="208">
        <v>45978</v>
      </c>
      <c r="B46" s="208">
        <v>46008</v>
      </c>
      <c r="C46" s="211">
        <v>4500454656</v>
      </c>
      <c r="D46" s="211" t="s">
        <v>326</v>
      </c>
      <c r="E46" s="211" t="s">
        <v>25</v>
      </c>
      <c r="F46" s="732">
        <v>12000</v>
      </c>
      <c r="G46" s="211" t="s">
        <v>327</v>
      </c>
      <c r="H46" s="211" t="str">
        <f>IFERROR(VLOOKUP(E46,名称!A:E,4,0),"")</f>
        <v>二代</v>
      </c>
      <c r="I46" s="268" t="str">
        <f t="shared" ref="I46:BT46" si="57">IF(OR($E46="",I$1=""),"",IF(TRIM(LEFT($E46,MIN(IFERROR(FIND("CDU",UPPER($E46)),999),IFERROR(FIND("BULK",UPPER($E46)),999),IFERROR(FIND("-",$E46),999),IFERROR(FIND("（",$E46),999))-1))=I$1,$F46,""))</f>
        <v/>
      </c>
      <c r="J46" s="268" t="str">
        <f t="shared" si="57"/>
        <v/>
      </c>
      <c r="K46" s="268">
        <f t="shared" si="57"/>
        <v>12000</v>
      </c>
      <c r="L46" s="268" t="str">
        <f t="shared" si="57"/>
        <v/>
      </c>
      <c r="M46" s="268" t="str">
        <f t="shared" si="57"/>
        <v/>
      </c>
      <c r="N46" s="268" t="str">
        <f t="shared" si="57"/>
        <v/>
      </c>
      <c r="O46" s="268" t="str">
        <f t="shared" si="57"/>
        <v/>
      </c>
      <c r="P46" s="268" t="str">
        <f t="shared" si="57"/>
        <v/>
      </c>
      <c r="Q46" s="268" t="str">
        <f t="shared" si="57"/>
        <v/>
      </c>
      <c r="R46" s="268" t="str">
        <f t="shared" si="57"/>
        <v/>
      </c>
      <c r="S46" s="268" t="str">
        <f t="shared" si="57"/>
        <v/>
      </c>
      <c r="T46" s="268" t="str">
        <f t="shared" si="57"/>
        <v/>
      </c>
      <c r="U46" s="268" t="str">
        <f t="shared" si="57"/>
        <v/>
      </c>
      <c r="V46" s="268" t="str">
        <f t="shared" si="57"/>
        <v/>
      </c>
      <c r="W46" s="268" t="str">
        <f t="shared" si="57"/>
        <v/>
      </c>
      <c r="X46" s="268" t="str">
        <f t="shared" si="57"/>
        <v/>
      </c>
      <c r="Y46" s="268" t="str">
        <f t="shared" si="57"/>
        <v/>
      </c>
      <c r="Z46" s="268" t="str">
        <f t="shared" si="57"/>
        <v/>
      </c>
      <c r="AA46" s="268" t="str">
        <f t="shared" si="57"/>
        <v/>
      </c>
      <c r="AB46" s="268" t="str">
        <f t="shared" si="57"/>
        <v/>
      </c>
      <c r="AC46" s="268" t="str">
        <f t="shared" si="57"/>
        <v/>
      </c>
      <c r="AD46" s="268" t="str">
        <f t="shared" si="57"/>
        <v/>
      </c>
      <c r="AE46" s="268" t="str">
        <f t="shared" si="57"/>
        <v/>
      </c>
      <c r="AF46" s="268" t="str">
        <f t="shared" si="57"/>
        <v/>
      </c>
      <c r="AG46" s="268" t="str">
        <f t="shared" si="57"/>
        <v/>
      </c>
      <c r="AH46" s="268" t="str">
        <f t="shared" si="57"/>
        <v/>
      </c>
      <c r="AI46" s="268" t="str">
        <f t="shared" si="57"/>
        <v/>
      </c>
      <c r="AJ46" s="268" t="str">
        <f t="shared" si="57"/>
        <v/>
      </c>
      <c r="AK46" s="268" t="str">
        <f t="shared" si="57"/>
        <v/>
      </c>
      <c r="AL46" s="268" t="str">
        <f t="shared" si="57"/>
        <v/>
      </c>
      <c r="AM46" s="268" t="str">
        <f t="shared" si="57"/>
        <v/>
      </c>
      <c r="AN46" s="268" t="str">
        <f t="shared" si="57"/>
        <v/>
      </c>
      <c r="AO46" s="268" t="str">
        <f t="shared" si="57"/>
        <v/>
      </c>
      <c r="AP46" s="268" t="str">
        <f t="shared" si="57"/>
        <v/>
      </c>
      <c r="AQ46" s="268" t="str">
        <f t="shared" si="57"/>
        <v/>
      </c>
      <c r="AR46" s="268" t="str">
        <f t="shared" si="57"/>
        <v/>
      </c>
      <c r="AS46" s="268" t="str">
        <f t="shared" si="57"/>
        <v/>
      </c>
      <c r="AT46" s="268" t="str">
        <f t="shared" si="57"/>
        <v/>
      </c>
      <c r="AU46" s="268" t="str">
        <f t="shared" si="57"/>
        <v/>
      </c>
      <c r="AV46" s="268" t="str">
        <f t="shared" si="57"/>
        <v/>
      </c>
      <c r="AW46" s="268" t="str">
        <f t="shared" si="57"/>
        <v/>
      </c>
      <c r="AX46" s="268" t="str">
        <f t="shared" si="57"/>
        <v/>
      </c>
      <c r="AY46" s="268" t="str">
        <f t="shared" si="57"/>
        <v/>
      </c>
      <c r="AZ46" s="268" t="str">
        <f t="shared" si="57"/>
        <v/>
      </c>
      <c r="BA46" s="268" t="str">
        <f t="shared" si="57"/>
        <v/>
      </c>
      <c r="BB46" s="268" t="str">
        <f t="shared" si="57"/>
        <v/>
      </c>
      <c r="BC46" s="268" t="str">
        <f t="shared" si="57"/>
        <v/>
      </c>
      <c r="BD46" s="268" t="str">
        <f t="shared" si="57"/>
        <v/>
      </c>
      <c r="BE46" s="268" t="str">
        <f t="shared" si="57"/>
        <v/>
      </c>
      <c r="BF46" s="268" t="str">
        <f t="shared" si="57"/>
        <v/>
      </c>
      <c r="BG46" s="268" t="str">
        <f t="shared" si="57"/>
        <v/>
      </c>
      <c r="BH46" s="268" t="str">
        <f t="shared" si="57"/>
        <v/>
      </c>
      <c r="BI46" s="268" t="str">
        <f t="shared" si="57"/>
        <v/>
      </c>
      <c r="BJ46" s="268" t="str">
        <f t="shared" si="57"/>
        <v/>
      </c>
      <c r="BK46" s="268" t="str">
        <f t="shared" si="57"/>
        <v/>
      </c>
      <c r="BL46" s="268" t="str">
        <f t="shared" si="57"/>
        <v/>
      </c>
      <c r="BM46" s="268" t="str">
        <f t="shared" si="57"/>
        <v/>
      </c>
      <c r="BN46" s="268" t="str">
        <f t="shared" si="57"/>
        <v/>
      </c>
      <c r="BO46" s="268" t="str">
        <f t="shared" si="57"/>
        <v/>
      </c>
      <c r="BP46" s="268" t="str">
        <f t="shared" si="57"/>
        <v/>
      </c>
      <c r="BQ46" s="268" t="str">
        <f t="shared" si="57"/>
        <v/>
      </c>
      <c r="BR46" s="268" t="str">
        <f t="shared" si="57"/>
        <v/>
      </c>
      <c r="BS46" s="268" t="str">
        <f t="shared" si="57"/>
        <v/>
      </c>
      <c r="BT46" s="268" t="str">
        <f t="shared" si="57"/>
        <v/>
      </c>
      <c r="BU46" s="268" t="str">
        <f t="shared" si="3"/>
        <v/>
      </c>
      <c r="BV46" s="247">
        <v>0.86</v>
      </c>
      <c r="BW46" s="729">
        <f t="shared" si="55"/>
        <v>10320</v>
      </c>
      <c r="BX46" s="730">
        <f t="shared" si="56"/>
        <v>79980</v>
      </c>
      <c r="BY46" s="731" t="str">
        <f t="shared" si="32"/>
        <v>SR</v>
      </c>
    </row>
    <row r="47" s="698" customFormat="1" customHeight="1" spans="1:77">
      <c r="A47" s="208">
        <v>45978</v>
      </c>
      <c r="B47" s="208">
        <v>46008</v>
      </c>
      <c r="C47" s="211">
        <v>4500454656</v>
      </c>
      <c r="D47" s="211" t="s">
        <v>326</v>
      </c>
      <c r="E47" s="211" t="s">
        <v>37</v>
      </c>
      <c r="F47" s="732">
        <v>8004</v>
      </c>
      <c r="G47" s="211" t="s">
        <v>327</v>
      </c>
      <c r="H47" s="211" t="str">
        <f>IFERROR(VLOOKUP(E47,名称!A:E,4,0),"")</f>
        <v>二代</v>
      </c>
      <c r="I47" s="268" t="str">
        <f t="shared" ref="I47:BT47" si="58">IF(OR($E47="",I$1=""),"",IF(TRIM(LEFT($E47,MIN(IFERROR(FIND("CDU",UPPER($E47)),999),IFERROR(FIND("BULK",UPPER($E47)),999),IFERROR(FIND("-",$E47),999),IFERROR(FIND("（",$E47),999))-1))=I$1,$F47,""))</f>
        <v/>
      </c>
      <c r="J47" s="268" t="str">
        <f t="shared" si="58"/>
        <v/>
      </c>
      <c r="K47" s="268" t="str">
        <f t="shared" si="58"/>
        <v/>
      </c>
      <c r="L47" s="268" t="str">
        <f t="shared" si="58"/>
        <v/>
      </c>
      <c r="M47" s="268" t="str">
        <f t="shared" si="58"/>
        <v/>
      </c>
      <c r="N47" s="268" t="str">
        <f t="shared" si="58"/>
        <v/>
      </c>
      <c r="O47" s="268" t="str">
        <f t="shared" si="58"/>
        <v/>
      </c>
      <c r="P47" s="268" t="str">
        <f t="shared" si="58"/>
        <v/>
      </c>
      <c r="Q47" s="268" t="str">
        <f t="shared" si="58"/>
        <v/>
      </c>
      <c r="R47" s="268">
        <f t="shared" si="58"/>
        <v>8004</v>
      </c>
      <c r="S47" s="268" t="str">
        <f t="shared" si="58"/>
        <v/>
      </c>
      <c r="T47" s="268" t="str">
        <f t="shared" si="58"/>
        <v/>
      </c>
      <c r="U47" s="268" t="str">
        <f t="shared" si="58"/>
        <v/>
      </c>
      <c r="V47" s="268" t="str">
        <f t="shared" si="58"/>
        <v/>
      </c>
      <c r="W47" s="268" t="str">
        <f t="shared" si="58"/>
        <v/>
      </c>
      <c r="X47" s="268" t="str">
        <f t="shared" si="58"/>
        <v/>
      </c>
      <c r="Y47" s="268" t="str">
        <f t="shared" si="58"/>
        <v/>
      </c>
      <c r="Z47" s="268" t="str">
        <f t="shared" si="58"/>
        <v/>
      </c>
      <c r="AA47" s="268" t="str">
        <f t="shared" si="58"/>
        <v/>
      </c>
      <c r="AB47" s="268" t="str">
        <f t="shared" si="58"/>
        <v/>
      </c>
      <c r="AC47" s="268" t="str">
        <f t="shared" si="58"/>
        <v/>
      </c>
      <c r="AD47" s="268" t="str">
        <f t="shared" si="58"/>
        <v/>
      </c>
      <c r="AE47" s="268" t="str">
        <f t="shared" si="58"/>
        <v/>
      </c>
      <c r="AF47" s="268" t="str">
        <f t="shared" si="58"/>
        <v/>
      </c>
      <c r="AG47" s="268" t="str">
        <f t="shared" si="58"/>
        <v/>
      </c>
      <c r="AH47" s="268" t="str">
        <f t="shared" si="58"/>
        <v/>
      </c>
      <c r="AI47" s="268" t="str">
        <f t="shared" si="58"/>
        <v/>
      </c>
      <c r="AJ47" s="268" t="str">
        <f t="shared" si="58"/>
        <v/>
      </c>
      <c r="AK47" s="268" t="str">
        <f t="shared" si="58"/>
        <v/>
      </c>
      <c r="AL47" s="268" t="str">
        <f t="shared" si="58"/>
        <v/>
      </c>
      <c r="AM47" s="268" t="str">
        <f t="shared" si="58"/>
        <v/>
      </c>
      <c r="AN47" s="268" t="str">
        <f t="shared" si="58"/>
        <v/>
      </c>
      <c r="AO47" s="268" t="str">
        <f t="shared" si="58"/>
        <v/>
      </c>
      <c r="AP47" s="268" t="str">
        <f t="shared" si="58"/>
        <v/>
      </c>
      <c r="AQ47" s="268" t="str">
        <f t="shared" si="58"/>
        <v/>
      </c>
      <c r="AR47" s="268" t="str">
        <f t="shared" si="58"/>
        <v/>
      </c>
      <c r="AS47" s="268" t="str">
        <f t="shared" si="58"/>
        <v/>
      </c>
      <c r="AT47" s="268" t="str">
        <f t="shared" si="58"/>
        <v/>
      </c>
      <c r="AU47" s="268" t="str">
        <f t="shared" si="58"/>
        <v/>
      </c>
      <c r="AV47" s="268" t="str">
        <f t="shared" si="58"/>
        <v/>
      </c>
      <c r="AW47" s="268" t="str">
        <f t="shared" si="58"/>
        <v/>
      </c>
      <c r="AX47" s="268" t="str">
        <f t="shared" si="58"/>
        <v/>
      </c>
      <c r="AY47" s="268" t="str">
        <f t="shared" si="58"/>
        <v/>
      </c>
      <c r="AZ47" s="268" t="str">
        <f t="shared" si="58"/>
        <v/>
      </c>
      <c r="BA47" s="268" t="str">
        <f t="shared" si="58"/>
        <v/>
      </c>
      <c r="BB47" s="268" t="str">
        <f t="shared" si="58"/>
        <v/>
      </c>
      <c r="BC47" s="268" t="str">
        <f t="shared" si="58"/>
        <v/>
      </c>
      <c r="BD47" s="268" t="str">
        <f t="shared" si="58"/>
        <v/>
      </c>
      <c r="BE47" s="268" t="str">
        <f t="shared" si="58"/>
        <v/>
      </c>
      <c r="BF47" s="268" t="str">
        <f t="shared" si="58"/>
        <v/>
      </c>
      <c r="BG47" s="268" t="str">
        <f t="shared" si="58"/>
        <v/>
      </c>
      <c r="BH47" s="268" t="str">
        <f t="shared" si="58"/>
        <v/>
      </c>
      <c r="BI47" s="268" t="str">
        <f t="shared" si="58"/>
        <v/>
      </c>
      <c r="BJ47" s="268" t="str">
        <f t="shared" si="58"/>
        <v/>
      </c>
      <c r="BK47" s="268" t="str">
        <f t="shared" si="58"/>
        <v/>
      </c>
      <c r="BL47" s="268" t="str">
        <f t="shared" si="58"/>
        <v/>
      </c>
      <c r="BM47" s="268" t="str">
        <f t="shared" si="58"/>
        <v/>
      </c>
      <c r="BN47" s="268" t="str">
        <f t="shared" si="58"/>
        <v/>
      </c>
      <c r="BO47" s="268" t="str">
        <f t="shared" si="58"/>
        <v/>
      </c>
      <c r="BP47" s="268" t="str">
        <f t="shared" si="58"/>
        <v/>
      </c>
      <c r="BQ47" s="268" t="str">
        <f t="shared" si="58"/>
        <v/>
      </c>
      <c r="BR47" s="268" t="str">
        <f t="shared" si="58"/>
        <v/>
      </c>
      <c r="BS47" s="268" t="str">
        <f t="shared" si="58"/>
        <v/>
      </c>
      <c r="BT47" s="268" t="str">
        <f t="shared" si="58"/>
        <v/>
      </c>
      <c r="BU47" s="268" t="str">
        <f t="shared" si="3"/>
        <v/>
      </c>
      <c r="BV47" s="247">
        <v>2.02</v>
      </c>
      <c r="BW47" s="729">
        <f t="shared" si="55"/>
        <v>16168.08</v>
      </c>
      <c r="BX47" s="730">
        <f t="shared" si="56"/>
        <v>125302.62</v>
      </c>
      <c r="BY47" s="731" t="str">
        <f t="shared" si="32"/>
        <v>SR</v>
      </c>
    </row>
    <row r="48" s="698" customFormat="1" customHeight="1" spans="1:77">
      <c r="A48" s="208">
        <v>45978</v>
      </c>
      <c r="B48" s="208">
        <v>46008</v>
      </c>
      <c r="C48" s="211">
        <v>4500454656</v>
      </c>
      <c r="D48" s="211" t="s">
        <v>326</v>
      </c>
      <c r="E48" s="211" t="s">
        <v>44</v>
      </c>
      <c r="F48" s="732">
        <v>24000</v>
      </c>
      <c r="G48" s="211" t="s">
        <v>327</v>
      </c>
      <c r="H48" s="211" t="str">
        <f>IFERROR(VLOOKUP(E48,名称!A:E,4,0),"")</f>
        <v>二代</v>
      </c>
      <c r="I48" s="268" t="str">
        <f t="shared" ref="I48:BT48" si="59">IF(OR($E48="",I$1=""),"",IF(TRIM(LEFT($E48,MIN(IFERROR(FIND("CDU",UPPER($E48)),999),IFERROR(FIND("BULK",UPPER($E48)),999),IFERROR(FIND("-",$E48),999),IFERROR(FIND("（",$E48),999))-1))=I$1,$F48,""))</f>
        <v/>
      </c>
      <c r="J48" s="268" t="str">
        <f t="shared" si="59"/>
        <v/>
      </c>
      <c r="K48" s="268" t="str">
        <f t="shared" si="59"/>
        <v/>
      </c>
      <c r="L48" s="268" t="str">
        <f t="shared" si="59"/>
        <v/>
      </c>
      <c r="M48" s="268">
        <f t="shared" si="59"/>
        <v>24000</v>
      </c>
      <c r="N48" s="268" t="str">
        <f t="shared" si="59"/>
        <v/>
      </c>
      <c r="O48" s="268" t="str">
        <f t="shared" si="59"/>
        <v/>
      </c>
      <c r="P48" s="268" t="str">
        <f t="shared" si="59"/>
        <v/>
      </c>
      <c r="Q48" s="268" t="str">
        <f t="shared" si="59"/>
        <v/>
      </c>
      <c r="R48" s="268" t="str">
        <f t="shared" si="59"/>
        <v/>
      </c>
      <c r="S48" s="268" t="str">
        <f t="shared" si="59"/>
        <v/>
      </c>
      <c r="T48" s="268" t="str">
        <f t="shared" si="59"/>
        <v/>
      </c>
      <c r="U48" s="268" t="str">
        <f t="shared" si="59"/>
        <v/>
      </c>
      <c r="V48" s="268" t="str">
        <f t="shared" si="59"/>
        <v/>
      </c>
      <c r="W48" s="268" t="str">
        <f t="shared" si="59"/>
        <v/>
      </c>
      <c r="X48" s="268" t="str">
        <f t="shared" si="59"/>
        <v/>
      </c>
      <c r="Y48" s="268" t="str">
        <f t="shared" si="59"/>
        <v/>
      </c>
      <c r="Z48" s="268" t="str">
        <f t="shared" si="59"/>
        <v/>
      </c>
      <c r="AA48" s="268" t="str">
        <f t="shared" si="59"/>
        <v/>
      </c>
      <c r="AB48" s="268" t="str">
        <f t="shared" si="59"/>
        <v/>
      </c>
      <c r="AC48" s="268" t="str">
        <f t="shared" si="59"/>
        <v/>
      </c>
      <c r="AD48" s="268" t="str">
        <f t="shared" si="59"/>
        <v/>
      </c>
      <c r="AE48" s="268" t="str">
        <f t="shared" si="59"/>
        <v/>
      </c>
      <c r="AF48" s="268" t="str">
        <f t="shared" si="59"/>
        <v/>
      </c>
      <c r="AG48" s="268" t="str">
        <f t="shared" si="59"/>
        <v/>
      </c>
      <c r="AH48" s="268" t="str">
        <f t="shared" si="59"/>
        <v/>
      </c>
      <c r="AI48" s="268" t="str">
        <f t="shared" si="59"/>
        <v/>
      </c>
      <c r="AJ48" s="268" t="str">
        <f t="shared" si="59"/>
        <v/>
      </c>
      <c r="AK48" s="268" t="str">
        <f t="shared" si="59"/>
        <v/>
      </c>
      <c r="AL48" s="268" t="str">
        <f t="shared" si="59"/>
        <v/>
      </c>
      <c r="AM48" s="268" t="str">
        <f t="shared" si="59"/>
        <v/>
      </c>
      <c r="AN48" s="268" t="str">
        <f t="shared" si="59"/>
        <v/>
      </c>
      <c r="AO48" s="268" t="str">
        <f t="shared" si="59"/>
        <v/>
      </c>
      <c r="AP48" s="268" t="str">
        <f t="shared" si="59"/>
        <v/>
      </c>
      <c r="AQ48" s="268" t="str">
        <f t="shared" si="59"/>
        <v/>
      </c>
      <c r="AR48" s="268" t="str">
        <f t="shared" si="59"/>
        <v/>
      </c>
      <c r="AS48" s="268" t="str">
        <f t="shared" si="59"/>
        <v/>
      </c>
      <c r="AT48" s="268" t="str">
        <f t="shared" si="59"/>
        <v/>
      </c>
      <c r="AU48" s="268" t="str">
        <f t="shared" si="59"/>
        <v/>
      </c>
      <c r="AV48" s="268" t="str">
        <f t="shared" si="59"/>
        <v/>
      </c>
      <c r="AW48" s="268" t="str">
        <f t="shared" si="59"/>
        <v/>
      </c>
      <c r="AX48" s="268" t="str">
        <f t="shared" si="59"/>
        <v/>
      </c>
      <c r="AY48" s="268" t="str">
        <f t="shared" si="59"/>
        <v/>
      </c>
      <c r="AZ48" s="268" t="str">
        <f t="shared" si="59"/>
        <v/>
      </c>
      <c r="BA48" s="268" t="str">
        <f t="shared" si="59"/>
        <v/>
      </c>
      <c r="BB48" s="268" t="str">
        <f t="shared" si="59"/>
        <v/>
      </c>
      <c r="BC48" s="268" t="str">
        <f t="shared" si="59"/>
        <v/>
      </c>
      <c r="BD48" s="268" t="str">
        <f t="shared" si="59"/>
        <v/>
      </c>
      <c r="BE48" s="268" t="str">
        <f t="shared" si="59"/>
        <v/>
      </c>
      <c r="BF48" s="268" t="str">
        <f t="shared" si="59"/>
        <v/>
      </c>
      <c r="BG48" s="268" t="str">
        <f t="shared" si="59"/>
        <v/>
      </c>
      <c r="BH48" s="268" t="str">
        <f t="shared" si="59"/>
        <v/>
      </c>
      <c r="BI48" s="268" t="str">
        <f t="shared" si="59"/>
        <v/>
      </c>
      <c r="BJ48" s="268" t="str">
        <f t="shared" si="59"/>
        <v/>
      </c>
      <c r="BK48" s="268" t="str">
        <f t="shared" si="59"/>
        <v/>
      </c>
      <c r="BL48" s="268" t="str">
        <f t="shared" si="59"/>
        <v/>
      </c>
      <c r="BM48" s="268" t="str">
        <f t="shared" si="59"/>
        <v/>
      </c>
      <c r="BN48" s="268" t="str">
        <f t="shared" si="59"/>
        <v/>
      </c>
      <c r="BO48" s="268" t="str">
        <f t="shared" si="59"/>
        <v/>
      </c>
      <c r="BP48" s="268" t="str">
        <f t="shared" si="59"/>
        <v/>
      </c>
      <c r="BQ48" s="268" t="str">
        <f t="shared" si="59"/>
        <v/>
      </c>
      <c r="BR48" s="268" t="str">
        <f t="shared" si="59"/>
        <v/>
      </c>
      <c r="BS48" s="268" t="str">
        <f t="shared" si="59"/>
        <v/>
      </c>
      <c r="BT48" s="268" t="str">
        <f t="shared" si="59"/>
        <v/>
      </c>
      <c r="BU48" s="268" t="str">
        <f t="shared" si="3"/>
        <v/>
      </c>
      <c r="BV48" s="247">
        <v>0.61</v>
      </c>
      <c r="BW48" s="729">
        <f t="shared" si="55"/>
        <v>14640</v>
      </c>
      <c r="BX48" s="730">
        <f t="shared" si="56"/>
        <v>113460</v>
      </c>
      <c r="BY48" s="731" t="str">
        <f t="shared" si="32"/>
        <v>SR</v>
      </c>
    </row>
    <row r="49" s="698" customFormat="1" customHeight="1" spans="1:77">
      <c r="A49" s="208">
        <v>45978</v>
      </c>
      <c r="B49" s="208">
        <v>46008</v>
      </c>
      <c r="C49" s="211">
        <v>4500454656</v>
      </c>
      <c r="D49" s="211" t="s">
        <v>326</v>
      </c>
      <c r="E49" s="211" t="s">
        <v>38</v>
      </c>
      <c r="F49" s="732">
        <v>6000</v>
      </c>
      <c r="G49" s="211" t="s">
        <v>327</v>
      </c>
      <c r="H49" s="211" t="str">
        <f>IFERROR(VLOOKUP(E49,名称!A:E,4,0),"")</f>
        <v>二代</v>
      </c>
      <c r="I49" s="268" t="str">
        <f t="shared" ref="I49:BT49" si="60">IF(OR($E49="",I$1=""),"",IF(TRIM(LEFT($E49,MIN(IFERROR(FIND("CDU",UPPER($E49)),999),IFERROR(FIND("BULK",UPPER($E49)),999),IFERROR(FIND("-",$E49),999),IFERROR(FIND("（",$E49),999))-1))=I$1,$F49,""))</f>
        <v/>
      </c>
      <c r="J49" s="268" t="str">
        <f t="shared" si="60"/>
        <v/>
      </c>
      <c r="K49" s="268" t="str">
        <f t="shared" si="60"/>
        <v/>
      </c>
      <c r="L49" s="268" t="str">
        <f t="shared" si="60"/>
        <v/>
      </c>
      <c r="M49" s="268" t="str">
        <f t="shared" si="60"/>
        <v/>
      </c>
      <c r="N49" s="268" t="str">
        <f t="shared" si="60"/>
        <v/>
      </c>
      <c r="O49" s="268" t="str">
        <f t="shared" si="60"/>
        <v/>
      </c>
      <c r="P49" s="268" t="str">
        <f t="shared" si="60"/>
        <v/>
      </c>
      <c r="Q49" s="268" t="str">
        <f t="shared" si="60"/>
        <v/>
      </c>
      <c r="R49" s="268" t="str">
        <f t="shared" si="60"/>
        <v/>
      </c>
      <c r="S49" s="268" t="str">
        <f t="shared" si="60"/>
        <v/>
      </c>
      <c r="T49" s="268">
        <f t="shared" si="60"/>
        <v>6000</v>
      </c>
      <c r="U49" s="268" t="str">
        <f t="shared" si="60"/>
        <v/>
      </c>
      <c r="V49" s="268" t="str">
        <f t="shared" si="60"/>
        <v/>
      </c>
      <c r="W49" s="268" t="str">
        <f t="shared" si="60"/>
        <v/>
      </c>
      <c r="X49" s="268" t="str">
        <f t="shared" si="60"/>
        <v/>
      </c>
      <c r="Y49" s="268" t="str">
        <f t="shared" si="60"/>
        <v/>
      </c>
      <c r="Z49" s="268" t="str">
        <f t="shared" si="60"/>
        <v/>
      </c>
      <c r="AA49" s="268" t="str">
        <f t="shared" si="60"/>
        <v/>
      </c>
      <c r="AB49" s="268" t="str">
        <f t="shared" si="60"/>
        <v/>
      </c>
      <c r="AC49" s="268" t="str">
        <f t="shared" si="60"/>
        <v/>
      </c>
      <c r="AD49" s="268" t="str">
        <f t="shared" si="60"/>
        <v/>
      </c>
      <c r="AE49" s="268" t="str">
        <f t="shared" si="60"/>
        <v/>
      </c>
      <c r="AF49" s="268" t="str">
        <f t="shared" si="60"/>
        <v/>
      </c>
      <c r="AG49" s="268" t="str">
        <f t="shared" si="60"/>
        <v/>
      </c>
      <c r="AH49" s="268" t="str">
        <f t="shared" si="60"/>
        <v/>
      </c>
      <c r="AI49" s="268" t="str">
        <f t="shared" si="60"/>
        <v/>
      </c>
      <c r="AJ49" s="268" t="str">
        <f t="shared" si="60"/>
        <v/>
      </c>
      <c r="AK49" s="268" t="str">
        <f t="shared" si="60"/>
        <v/>
      </c>
      <c r="AL49" s="268" t="str">
        <f t="shared" si="60"/>
        <v/>
      </c>
      <c r="AM49" s="268" t="str">
        <f t="shared" si="60"/>
        <v/>
      </c>
      <c r="AN49" s="268" t="str">
        <f t="shared" si="60"/>
        <v/>
      </c>
      <c r="AO49" s="268" t="str">
        <f t="shared" si="60"/>
        <v/>
      </c>
      <c r="AP49" s="268" t="str">
        <f t="shared" si="60"/>
        <v/>
      </c>
      <c r="AQ49" s="268" t="str">
        <f t="shared" si="60"/>
        <v/>
      </c>
      <c r="AR49" s="268" t="str">
        <f t="shared" si="60"/>
        <v/>
      </c>
      <c r="AS49" s="268" t="str">
        <f t="shared" si="60"/>
        <v/>
      </c>
      <c r="AT49" s="268" t="str">
        <f t="shared" si="60"/>
        <v/>
      </c>
      <c r="AU49" s="268" t="str">
        <f t="shared" si="60"/>
        <v/>
      </c>
      <c r="AV49" s="268" t="str">
        <f t="shared" si="60"/>
        <v/>
      </c>
      <c r="AW49" s="268" t="str">
        <f t="shared" si="60"/>
        <v/>
      </c>
      <c r="AX49" s="268" t="str">
        <f t="shared" si="60"/>
        <v/>
      </c>
      <c r="AY49" s="268" t="str">
        <f t="shared" si="60"/>
        <v/>
      </c>
      <c r="AZ49" s="268" t="str">
        <f t="shared" si="60"/>
        <v/>
      </c>
      <c r="BA49" s="268" t="str">
        <f t="shared" si="60"/>
        <v/>
      </c>
      <c r="BB49" s="268" t="str">
        <f t="shared" si="60"/>
        <v/>
      </c>
      <c r="BC49" s="268" t="str">
        <f t="shared" si="60"/>
        <v/>
      </c>
      <c r="BD49" s="268" t="str">
        <f t="shared" si="60"/>
        <v/>
      </c>
      <c r="BE49" s="268" t="str">
        <f t="shared" si="60"/>
        <v/>
      </c>
      <c r="BF49" s="268" t="str">
        <f t="shared" si="60"/>
        <v/>
      </c>
      <c r="BG49" s="268" t="str">
        <f t="shared" si="60"/>
        <v/>
      </c>
      <c r="BH49" s="268" t="str">
        <f t="shared" si="60"/>
        <v/>
      </c>
      <c r="BI49" s="268" t="str">
        <f t="shared" si="60"/>
        <v/>
      </c>
      <c r="BJ49" s="268" t="str">
        <f t="shared" si="60"/>
        <v/>
      </c>
      <c r="BK49" s="268" t="str">
        <f t="shared" si="60"/>
        <v/>
      </c>
      <c r="BL49" s="268" t="str">
        <f t="shared" si="60"/>
        <v/>
      </c>
      <c r="BM49" s="268" t="str">
        <f t="shared" si="60"/>
        <v/>
      </c>
      <c r="BN49" s="268" t="str">
        <f t="shared" si="60"/>
        <v/>
      </c>
      <c r="BO49" s="268" t="str">
        <f t="shared" si="60"/>
        <v/>
      </c>
      <c r="BP49" s="268" t="str">
        <f t="shared" si="60"/>
        <v/>
      </c>
      <c r="BQ49" s="268" t="str">
        <f t="shared" si="60"/>
        <v/>
      </c>
      <c r="BR49" s="268" t="str">
        <f t="shared" si="60"/>
        <v/>
      </c>
      <c r="BS49" s="268" t="str">
        <f t="shared" si="60"/>
        <v/>
      </c>
      <c r="BT49" s="268" t="str">
        <f t="shared" si="60"/>
        <v/>
      </c>
      <c r="BU49" s="268" t="str">
        <f t="shared" si="3"/>
        <v/>
      </c>
      <c r="BV49" s="247">
        <v>3.09</v>
      </c>
      <c r="BW49" s="729">
        <f t="shared" si="55"/>
        <v>18540</v>
      </c>
      <c r="BX49" s="730">
        <f t="shared" si="56"/>
        <v>143685</v>
      </c>
      <c r="BY49" s="731" t="str">
        <f t="shared" si="32"/>
        <v>SR</v>
      </c>
    </row>
    <row r="50" s="698" customFormat="1" customHeight="1" spans="1:77">
      <c r="A50" s="208">
        <v>45978</v>
      </c>
      <c r="B50" s="208">
        <v>46008</v>
      </c>
      <c r="C50" s="211">
        <v>4500454656</v>
      </c>
      <c r="D50" s="211" t="s">
        <v>326</v>
      </c>
      <c r="E50" s="211" t="s">
        <v>62</v>
      </c>
      <c r="F50" s="732">
        <v>3600</v>
      </c>
      <c r="G50" s="211" t="s">
        <v>327</v>
      </c>
      <c r="H50" s="211" t="str">
        <f>IFERROR(VLOOKUP(E50,名称!A:E,4,0),"")</f>
        <v>二代</v>
      </c>
      <c r="I50" s="268" t="str">
        <f t="shared" ref="I50:BT50" si="61">IF(OR($E50="",I$1=""),"",IF(TRIM(LEFT($E50,MIN(IFERROR(FIND("CDU",UPPER($E50)),999),IFERROR(FIND("BULK",UPPER($E50)),999),IFERROR(FIND("-",$E50),999),IFERROR(FIND("（",$E50),999))-1))=I$1,$F50,""))</f>
        <v/>
      </c>
      <c r="J50" s="268" t="str">
        <f t="shared" si="61"/>
        <v/>
      </c>
      <c r="K50" s="268" t="str">
        <f t="shared" si="61"/>
        <v/>
      </c>
      <c r="L50" s="268" t="str">
        <f t="shared" si="61"/>
        <v/>
      </c>
      <c r="M50" s="268" t="str">
        <f t="shared" si="61"/>
        <v/>
      </c>
      <c r="N50" s="268" t="str">
        <f t="shared" si="61"/>
        <v/>
      </c>
      <c r="O50" s="268">
        <f t="shared" si="61"/>
        <v>3600</v>
      </c>
      <c r="P50" s="268" t="str">
        <f t="shared" si="61"/>
        <v/>
      </c>
      <c r="Q50" s="268" t="str">
        <f t="shared" si="61"/>
        <v/>
      </c>
      <c r="R50" s="268" t="str">
        <f t="shared" si="61"/>
        <v/>
      </c>
      <c r="S50" s="268" t="str">
        <f t="shared" si="61"/>
        <v/>
      </c>
      <c r="T50" s="268" t="str">
        <f t="shared" si="61"/>
        <v/>
      </c>
      <c r="U50" s="268" t="str">
        <f t="shared" si="61"/>
        <v/>
      </c>
      <c r="V50" s="268" t="str">
        <f t="shared" si="61"/>
        <v/>
      </c>
      <c r="W50" s="268" t="str">
        <f t="shared" si="61"/>
        <v/>
      </c>
      <c r="X50" s="268" t="str">
        <f t="shared" si="61"/>
        <v/>
      </c>
      <c r="Y50" s="268" t="str">
        <f t="shared" si="61"/>
        <v/>
      </c>
      <c r="Z50" s="268" t="str">
        <f t="shared" si="61"/>
        <v/>
      </c>
      <c r="AA50" s="268" t="str">
        <f t="shared" si="61"/>
        <v/>
      </c>
      <c r="AB50" s="268" t="str">
        <f t="shared" si="61"/>
        <v/>
      </c>
      <c r="AC50" s="268" t="str">
        <f t="shared" si="61"/>
        <v/>
      </c>
      <c r="AD50" s="268" t="str">
        <f t="shared" si="61"/>
        <v/>
      </c>
      <c r="AE50" s="268" t="str">
        <f t="shared" si="61"/>
        <v/>
      </c>
      <c r="AF50" s="268" t="str">
        <f t="shared" si="61"/>
        <v/>
      </c>
      <c r="AG50" s="268" t="str">
        <f t="shared" si="61"/>
        <v/>
      </c>
      <c r="AH50" s="268" t="str">
        <f t="shared" si="61"/>
        <v/>
      </c>
      <c r="AI50" s="268" t="str">
        <f t="shared" si="61"/>
        <v/>
      </c>
      <c r="AJ50" s="268" t="str">
        <f t="shared" si="61"/>
        <v/>
      </c>
      <c r="AK50" s="268" t="str">
        <f t="shared" si="61"/>
        <v/>
      </c>
      <c r="AL50" s="268" t="str">
        <f t="shared" si="61"/>
        <v/>
      </c>
      <c r="AM50" s="268" t="str">
        <f t="shared" si="61"/>
        <v/>
      </c>
      <c r="AN50" s="268" t="str">
        <f t="shared" si="61"/>
        <v/>
      </c>
      <c r="AO50" s="268" t="str">
        <f t="shared" si="61"/>
        <v/>
      </c>
      <c r="AP50" s="268" t="str">
        <f t="shared" si="61"/>
        <v/>
      </c>
      <c r="AQ50" s="268" t="str">
        <f t="shared" si="61"/>
        <v/>
      </c>
      <c r="AR50" s="268" t="str">
        <f t="shared" si="61"/>
        <v/>
      </c>
      <c r="AS50" s="268" t="str">
        <f t="shared" si="61"/>
        <v/>
      </c>
      <c r="AT50" s="268" t="str">
        <f t="shared" si="61"/>
        <v/>
      </c>
      <c r="AU50" s="268" t="str">
        <f t="shared" si="61"/>
        <v/>
      </c>
      <c r="AV50" s="268" t="str">
        <f t="shared" si="61"/>
        <v/>
      </c>
      <c r="AW50" s="268" t="str">
        <f t="shared" si="61"/>
        <v/>
      </c>
      <c r="AX50" s="268" t="str">
        <f t="shared" si="61"/>
        <v/>
      </c>
      <c r="AY50" s="268" t="str">
        <f t="shared" si="61"/>
        <v/>
      </c>
      <c r="AZ50" s="268" t="str">
        <f t="shared" si="61"/>
        <v/>
      </c>
      <c r="BA50" s="268" t="str">
        <f t="shared" si="61"/>
        <v/>
      </c>
      <c r="BB50" s="268" t="str">
        <f t="shared" si="61"/>
        <v/>
      </c>
      <c r="BC50" s="268" t="str">
        <f t="shared" si="61"/>
        <v/>
      </c>
      <c r="BD50" s="268" t="str">
        <f t="shared" si="61"/>
        <v/>
      </c>
      <c r="BE50" s="268" t="str">
        <f t="shared" si="61"/>
        <v/>
      </c>
      <c r="BF50" s="268" t="str">
        <f t="shared" si="61"/>
        <v/>
      </c>
      <c r="BG50" s="268" t="str">
        <f t="shared" si="61"/>
        <v/>
      </c>
      <c r="BH50" s="268" t="str">
        <f t="shared" si="61"/>
        <v/>
      </c>
      <c r="BI50" s="268" t="str">
        <f t="shared" si="61"/>
        <v/>
      </c>
      <c r="BJ50" s="268" t="str">
        <f t="shared" si="61"/>
        <v/>
      </c>
      <c r="BK50" s="268" t="str">
        <f t="shared" si="61"/>
        <v/>
      </c>
      <c r="BL50" s="268" t="str">
        <f t="shared" si="61"/>
        <v/>
      </c>
      <c r="BM50" s="268" t="str">
        <f t="shared" si="61"/>
        <v/>
      </c>
      <c r="BN50" s="268" t="str">
        <f t="shared" si="61"/>
        <v/>
      </c>
      <c r="BO50" s="268" t="str">
        <f t="shared" si="61"/>
        <v/>
      </c>
      <c r="BP50" s="268" t="str">
        <f t="shared" si="61"/>
        <v/>
      </c>
      <c r="BQ50" s="268" t="str">
        <f t="shared" si="61"/>
        <v/>
      </c>
      <c r="BR50" s="268" t="str">
        <f t="shared" si="61"/>
        <v/>
      </c>
      <c r="BS50" s="268" t="str">
        <f t="shared" si="61"/>
        <v/>
      </c>
      <c r="BT50" s="268" t="str">
        <f t="shared" si="61"/>
        <v/>
      </c>
      <c r="BU50" s="268" t="str">
        <f t="shared" si="3"/>
        <v/>
      </c>
      <c r="BV50" s="247">
        <v>0.61</v>
      </c>
      <c r="BW50" s="729">
        <f t="shared" si="55"/>
        <v>2196</v>
      </c>
      <c r="BX50" s="730">
        <f t="shared" si="56"/>
        <v>17019</v>
      </c>
      <c r="BY50" s="731" t="str">
        <f t="shared" si="32"/>
        <v>SR</v>
      </c>
    </row>
    <row r="51" s="698" customFormat="1" customHeight="1" spans="1:77">
      <c r="A51" s="208">
        <v>45980</v>
      </c>
      <c r="B51" s="208">
        <v>46034</v>
      </c>
      <c r="C51" s="211" t="s">
        <v>328</v>
      </c>
      <c r="D51" s="211" t="s">
        <v>329</v>
      </c>
      <c r="E51" s="211" t="s">
        <v>26</v>
      </c>
      <c r="F51" s="732">
        <v>900</v>
      </c>
      <c r="G51" s="220" t="s">
        <v>253</v>
      </c>
      <c r="H51" s="211" t="str">
        <f>IFERROR(VLOOKUP(E51,名称!A:E,4,0),"")</f>
        <v>二代</v>
      </c>
      <c r="I51" s="268" t="str">
        <f t="shared" ref="I51:BT51" si="62">IF(OR($E51="",I$1=""),"",IF(TRIM(LEFT($E51,MIN(IFERROR(FIND("CDU",UPPER($E51)),999),IFERROR(FIND("BULK",UPPER($E51)),999),IFERROR(FIND("-",$E51),999),IFERROR(FIND("（",$E51),999))-1))=I$1,$F51,""))</f>
        <v/>
      </c>
      <c r="J51" s="268" t="str">
        <f t="shared" si="62"/>
        <v/>
      </c>
      <c r="K51" s="268" t="str">
        <f t="shared" si="62"/>
        <v/>
      </c>
      <c r="L51" s="268" t="str">
        <f t="shared" si="62"/>
        <v/>
      </c>
      <c r="M51" s="268" t="str">
        <f t="shared" si="62"/>
        <v/>
      </c>
      <c r="N51" s="268" t="str">
        <f t="shared" si="62"/>
        <v/>
      </c>
      <c r="O51" s="268" t="str">
        <f t="shared" si="62"/>
        <v/>
      </c>
      <c r="P51" s="268" t="str">
        <f t="shared" si="62"/>
        <v/>
      </c>
      <c r="Q51" s="268" t="str">
        <f t="shared" si="62"/>
        <v/>
      </c>
      <c r="R51" s="268" t="str">
        <f t="shared" si="62"/>
        <v/>
      </c>
      <c r="S51" s="268">
        <f t="shared" si="62"/>
        <v>900</v>
      </c>
      <c r="T51" s="268" t="str">
        <f t="shared" si="62"/>
        <v/>
      </c>
      <c r="U51" s="268" t="str">
        <f t="shared" si="62"/>
        <v/>
      </c>
      <c r="V51" s="268" t="str">
        <f t="shared" si="62"/>
        <v/>
      </c>
      <c r="W51" s="268" t="str">
        <f t="shared" si="62"/>
        <v/>
      </c>
      <c r="X51" s="268" t="str">
        <f t="shared" si="62"/>
        <v/>
      </c>
      <c r="Y51" s="268" t="str">
        <f t="shared" si="62"/>
        <v/>
      </c>
      <c r="Z51" s="268" t="str">
        <f t="shared" si="62"/>
        <v/>
      </c>
      <c r="AA51" s="268" t="str">
        <f t="shared" si="62"/>
        <v/>
      </c>
      <c r="AB51" s="268" t="str">
        <f t="shared" si="62"/>
        <v/>
      </c>
      <c r="AC51" s="268" t="str">
        <f t="shared" si="62"/>
        <v/>
      </c>
      <c r="AD51" s="268" t="str">
        <f t="shared" si="62"/>
        <v/>
      </c>
      <c r="AE51" s="268" t="str">
        <f t="shared" si="62"/>
        <v/>
      </c>
      <c r="AF51" s="268" t="str">
        <f t="shared" si="62"/>
        <v/>
      </c>
      <c r="AG51" s="268" t="str">
        <f t="shared" si="62"/>
        <v/>
      </c>
      <c r="AH51" s="268" t="str">
        <f t="shared" si="62"/>
        <v/>
      </c>
      <c r="AI51" s="268" t="str">
        <f t="shared" si="62"/>
        <v/>
      </c>
      <c r="AJ51" s="268" t="str">
        <f t="shared" si="62"/>
        <v/>
      </c>
      <c r="AK51" s="268" t="str">
        <f t="shared" si="62"/>
        <v/>
      </c>
      <c r="AL51" s="268" t="str">
        <f t="shared" si="62"/>
        <v/>
      </c>
      <c r="AM51" s="268" t="str">
        <f t="shared" si="62"/>
        <v/>
      </c>
      <c r="AN51" s="268" t="str">
        <f t="shared" si="62"/>
        <v/>
      </c>
      <c r="AO51" s="268" t="str">
        <f t="shared" si="62"/>
        <v/>
      </c>
      <c r="AP51" s="268" t="str">
        <f t="shared" si="62"/>
        <v/>
      </c>
      <c r="AQ51" s="268" t="str">
        <f t="shared" si="62"/>
        <v/>
      </c>
      <c r="AR51" s="268" t="str">
        <f t="shared" si="62"/>
        <v/>
      </c>
      <c r="AS51" s="268" t="str">
        <f t="shared" si="62"/>
        <v/>
      </c>
      <c r="AT51" s="268" t="str">
        <f t="shared" si="62"/>
        <v/>
      </c>
      <c r="AU51" s="268" t="str">
        <f t="shared" si="62"/>
        <v/>
      </c>
      <c r="AV51" s="268" t="str">
        <f t="shared" si="62"/>
        <v/>
      </c>
      <c r="AW51" s="268" t="str">
        <f t="shared" si="62"/>
        <v/>
      </c>
      <c r="AX51" s="268" t="str">
        <f t="shared" si="62"/>
        <v/>
      </c>
      <c r="AY51" s="268" t="str">
        <f t="shared" si="62"/>
        <v/>
      </c>
      <c r="AZ51" s="268" t="str">
        <f t="shared" si="62"/>
        <v/>
      </c>
      <c r="BA51" s="268" t="str">
        <f t="shared" si="62"/>
        <v/>
      </c>
      <c r="BB51" s="268" t="str">
        <f t="shared" si="62"/>
        <v/>
      </c>
      <c r="BC51" s="268" t="str">
        <f t="shared" si="62"/>
        <v/>
      </c>
      <c r="BD51" s="268" t="str">
        <f t="shared" si="62"/>
        <v/>
      </c>
      <c r="BE51" s="268" t="str">
        <f t="shared" si="62"/>
        <v/>
      </c>
      <c r="BF51" s="268" t="str">
        <f t="shared" si="62"/>
        <v/>
      </c>
      <c r="BG51" s="268" t="str">
        <f t="shared" si="62"/>
        <v/>
      </c>
      <c r="BH51" s="268" t="str">
        <f t="shared" si="62"/>
        <v/>
      </c>
      <c r="BI51" s="268" t="str">
        <f t="shared" si="62"/>
        <v/>
      </c>
      <c r="BJ51" s="268" t="str">
        <f t="shared" si="62"/>
        <v/>
      </c>
      <c r="BK51" s="268" t="str">
        <f t="shared" si="62"/>
        <v/>
      </c>
      <c r="BL51" s="268" t="str">
        <f t="shared" si="62"/>
        <v/>
      </c>
      <c r="BM51" s="268" t="str">
        <f t="shared" si="62"/>
        <v/>
      </c>
      <c r="BN51" s="268" t="str">
        <f t="shared" si="62"/>
        <v/>
      </c>
      <c r="BO51" s="268" t="str">
        <f t="shared" si="62"/>
        <v/>
      </c>
      <c r="BP51" s="268" t="str">
        <f t="shared" si="62"/>
        <v/>
      </c>
      <c r="BQ51" s="268" t="str">
        <f t="shared" si="62"/>
        <v/>
      </c>
      <c r="BR51" s="268" t="str">
        <f t="shared" si="62"/>
        <v/>
      </c>
      <c r="BS51" s="268" t="str">
        <f t="shared" si="62"/>
        <v/>
      </c>
      <c r="BT51" s="268" t="str">
        <f t="shared" si="62"/>
        <v/>
      </c>
      <c r="BU51" s="268" t="str">
        <f t="shared" si="3"/>
        <v/>
      </c>
      <c r="BV51" s="247">
        <v>2.21</v>
      </c>
      <c r="BW51" s="729">
        <f t="shared" si="55"/>
        <v>1989</v>
      </c>
      <c r="BX51" s="730">
        <f t="shared" si="56"/>
        <v>15414.75</v>
      </c>
      <c r="BY51" s="731" t="str">
        <f t="shared" si="32"/>
        <v>SR</v>
      </c>
    </row>
    <row r="52" s="698" customFormat="1" customHeight="1" spans="1:77">
      <c r="A52" s="208">
        <v>45985</v>
      </c>
      <c r="B52" s="208">
        <v>46031</v>
      </c>
      <c r="C52" s="211" t="s">
        <v>330</v>
      </c>
      <c r="D52" s="211" t="s">
        <v>331</v>
      </c>
      <c r="E52" s="211" t="s">
        <v>40</v>
      </c>
      <c r="F52" s="732">
        <v>5004</v>
      </c>
      <c r="G52" s="211" t="s">
        <v>327</v>
      </c>
      <c r="H52" s="211" t="str">
        <f>IFERROR(VLOOKUP(E52,名称!A:E,4,0),"")</f>
        <v>二代</v>
      </c>
      <c r="I52" s="268" t="str">
        <f t="shared" ref="I52:BT52" si="63">IF(OR($E52="",I$1=""),"",IF(TRIM(LEFT($E52,MIN(IFERROR(FIND("CDU",UPPER($E52)),999),IFERROR(FIND("BULK",UPPER($E52)),999),IFERROR(FIND("-",$E52),999),IFERROR(FIND("（",$E52),999))-1))=I$1,$F52,""))</f>
        <v/>
      </c>
      <c r="J52" s="268" t="str">
        <f t="shared" si="63"/>
        <v/>
      </c>
      <c r="K52" s="268">
        <f t="shared" si="63"/>
        <v>5004</v>
      </c>
      <c r="L52" s="268" t="str">
        <f t="shared" si="63"/>
        <v/>
      </c>
      <c r="M52" s="268" t="str">
        <f t="shared" si="63"/>
        <v/>
      </c>
      <c r="N52" s="268" t="str">
        <f t="shared" si="63"/>
        <v/>
      </c>
      <c r="O52" s="268" t="str">
        <f t="shared" si="63"/>
        <v/>
      </c>
      <c r="P52" s="268" t="str">
        <f t="shared" si="63"/>
        <v/>
      </c>
      <c r="Q52" s="268" t="str">
        <f t="shared" si="63"/>
        <v/>
      </c>
      <c r="R52" s="268" t="str">
        <f t="shared" si="63"/>
        <v/>
      </c>
      <c r="S52" s="268" t="str">
        <f t="shared" si="63"/>
        <v/>
      </c>
      <c r="T52" s="268" t="str">
        <f t="shared" si="63"/>
        <v/>
      </c>
      <c r="U52" s="268" t="str">
        <f t="shared" si="63"/>
        <v/>
      </c>
      <c r="V52" s="268" t="str">
        <f t="shared" si="63"/>
        <v/>
      </c>
      <c r="W52" s="268" t="str">
        <f t="shared" si="63"/>
        <v/>
      </c>
      <c r="X52" s="268" t="str">
        <f t="shared" si="63"/>
        <v/>
      </c>
      <c r="Y52" s="268" t="str">
        <f t="shared" si="63"/>
        <v/>
      </c>
      <c r="Z52" s="268" t="str">
        <f t="shared" si="63"/>
        <v/>
      </c>
      <c r="AA52" s="268" t="str">
        <f t="shared" si="63"/>
        <v/>
      </c>
      <c r="AB52" s="268" t="str">
        <f t="shared" si="63"/>
        <v/>
      </c>
      <c r="AC52" s="268" t="str">
        <f t="shared" si="63"/>
        <v/>
      </c>
      <c r="AD52" s="268" t="str">
        <f t="shared" si="63"/>
        <v/>
      </c>
      <c r="AE52" s="268" t="str">
        <f t="shared" si="63"/>
        <v/>
      </c>
      <c r="AF52" s="268" t="str">
        <f t="shared" si="63"/>
        <v/>
      </c>
      <c r="AG52" s="268" t="str">
        <f t="shared" si="63"/>
        <v/>
      </c>
      <c r="AH52" s="268" t="str">
        <f t="shared" si="63"/>
        <v/>
      </c>
      <c r="AI52" s="268" t="str">
        <f t="shared" si="63"/>
        <v/>
      </c>
      <c r="AJ52" s="268" t="str">
        <f t="shared" si="63"/>
        <v/>
      </c>
      <c r="AK52" s="268" t="str">
        <f t="shared" si="63"/>
        <v/>
      </c>
      <c r="AL52" s="268" t="str">
        <f t="shared" si="63"/>
        <v/>
      </c>
      <c r="AM52" s="268" t="str">
        <f t="shared" si="63"/>
        <v/>
      </c>
      <c r="AN52" s="268" t="str">
        <f t="shared" si="63"/>
        <v/>
      </c>
      <c r="AO52" s="268" t="str">
        <f t="shared" si="63"/>
        <v/>
      </c>
      <c r="AP52" s="268" t="str">
        <f t="shared" si="63"/>
        <v/>
      </c>
      <c r="AQ52" s="268" t="str">
        <f t="shared" si="63"/>
        <v/>
      </c>
      <c r="AR52" s="268" t="str">
        <f t="shared" si="63"/>
        <v/>
      </c>
      <c r="AS52" s="268" t="str">
        <f t="shared" si="63"/>
        <v/>
      </c>
      <c r="AT52" s="268" t="str">
        <f t="shared" si="63"/>
        <v/>
      </c>
      <c r="AU52" s="268" t="str">
        <f t="shared" si="63"/>
        <v/>
      </c>
      <c r="AV52" s="268" t="str">
        <f t="shared" si="63"/>
        <v/>
      </c>
      <c r="AW52" s="268" t="str">
        <f t="shared" si="63"/>
        <v/>
      </c>
      <c r="AX52" s="268" t="str">
        <f t="shared" si="63"/>
        <v/>
      </c>
      <c r="AY52" s="268" t="str">
        <f t="shared" si="63"/>
        <v/>
      </c>
      <c r="AZ52" s="268" t="str">
        <f t="shared" si="63"/>
        <v/>
      </c>
      <c r="BA52" s="268" t="str">
        <f t="shared" si="63"/>
        <v/>
      </c>
      <c r="BB52" s="268" t="str">
        <f t="shared" si="63"/>
        <v/>
      </c>
      <c r="BC52" s="268" t="str">
        <f t="shared" si="63"/>
        <v/>
      </c>
      <c r="BD52" s="268" t="str">
        <f t="shared" si="63"/>
        <v/>
      </c>
      <c r="BE52" s="268" t="str">
        <f t="shared" si="63"/>
        <v/>
      </c>
      <c r="BF52" s="268" t="str">
        <f t="shared" si="63"/>
        <v/>
      </c>
      <c r="BG52" s="268" t="str">
        <f t="shared" si="63"/>
        <v/>
      </c>
      <c r="BH52" s="268" t="str">
        <f t="shared" si="63"/>
        <v/>
      </c>
      <c r="BI52" s="268" t="str">
        <f t="shared" si="63"/>
        <v/>
      </c>
      <c r="BJ52" s="268" t="str">
        <f t="shared" si="63"/>
        <v/>
      </c>
      <c r="BK52" s="268" t="str">
        <f t="shared" si="63"/>
        <v/>
      </c>
      <c r="BL52" s="268" t="str">
        <f t="shared" si="63"/>
        <v/>
      </c>
      <c r="BM52" s="268" t="str">
        <f t="shared" si="63"/>
        <v/>
      </c>
      <c r="BN52" s="268" t="str">
        <f t="shared" si="63"/>
        <v/>
      </c>
      <c r="BO52" s="268" t="str">
        <f t="shared" si="63"/>
        <v/>
      </c>
      <c r="BP52" s="268" t="str">
        <f t="shared" si="63"/>
        <v/>
      </c>
      <c r="BQ52" s="268" t="str">
        <f t="shared" si="63"/>
        <v/>
      </c>
      <c r="BR52" s="268" t="str">
        <f t="shared" si="63"/>
        <v/>
      </c>
      <c r="BS52" s="268" t="str">
        <f t="shared" si="63"/>
        <v/>
      </c>
      <c r="BT52" s="268" t="str">
        <f t="shared" si="63"/>
        <v/>
      </c>
      <c r="BU52" s="268" t="str">
        <f t="shared" si="3"/>
        <v/>
      </c>
      <c r="BV52" s="247">
        <v>0.78</v>
      </c>
      <c r="BW52" s="729">
        <f t="shared" si="55"/>
        <v>3903.12</v>
      </c>
      <c r="BX52" s="730">
        <f t="shared" si="56"/>
        <v>30249.18</v>
      </c>
      <c r="BY52" s="731" t="str">
        <f t="shared" si="32"/>
        <v>SR</v>
      </c>
    </row>
    <row r="53" s="698" customFormat="1" customHeight="1" spans="1:77">
      <c r="A53" s="208">
        <v>45985</v>
      </c>
      <c r="B53" s="208">
        <v>46031</v>
      </c>
      <c r="C53" s="211" t="s">
        <v>330</v>
      </c>
      <c r="D53" s="211" t="s">
        <v>331</v>
      </c>
      <c r="E53" s="211" t="s">
        <v>37</v>
      </c>
      <c r="F53" s="732">
        <v>3000</v>
      </c>
      <c r="G53" s="211" t="s">
        <v>327</v>
      </c>
      <c r="H53" s="211" t="str">
        <f>IFERROR(VLOOKUP(E53,名称!A:E,4,0),"")</f>
        <v>二代</v>
      </c>
      <c r="I53" s="268" t="str">
        <f t="shared" ref="I53:BT53" si="64">IF(OR($E53="",I$1=""),"",IF(TRIM(LEFT($E53,MIN(IFERROR(FIND("CDU",UPPER($E53)),999),IFERROR(FIND("BULK",UPPER($E53)),999),IFERROR(FIND("-",$E53),999),IFERROR(FIND("（",$E53),999))-1))=I$1,$F53,""))</f>
        <v/>
      </c>
      <c r="J53" s="268" t="str">
        <f t="shared" si="64"/>
        <v/>
      </c>
      <c r="K53" s="268" t="str">
        <f t="shared" si="64"/>
        <v/>
      </c>
      <c r="L53" s="268" t="str">
        <f t="shared" si="64"/>
        <v/>
      </c>
      <c r="M53" s="268" t="str">
        <f t="shared" si="64"/>
        <v/>
      </c>
      <c r="N53" s="268" t="str">
        <f t="shared" si="64"/>
        <v/>
      </c>
      <c r="O53" s="268" t="str">
        <f t="shared" si="64"/>
        <v/>
      </c>
      <c r="P53" s="268" t="str">
        <f t="shared" si="64"/>
        <v/>
      </c>
      <c r="Q53" s="268" t="str">
        <f t="shared" si="64"/>
        <v/>
      </c>
      <c r="R53" s="268">
        <f t="shared" si="64"/>
        <v>3000</v>
      </c>
      <c r="S53" s="268" t="str">
        <f t="shared" si="64"/>
        <v/>
      </c>
      <c r="T53" s="268" t="str">
        <f t="shared" si="64"/>
        <v/>
      </c>
      <c r="U53" s="268" t="str">
        <f t="shared" si="64"/>
        <v/>
      </c>
      <c r="V53" s="268" t="str">
        <f t="shared" si="64"/>
        <v/>
      </c>
      <c r="W53" s="268" t="str">
        <f t="shared" si="64"/>
        <v/>
      </c>
      <c r="X53" s="268" t="str">
        <f t="shared" si="64"/>
        <v/>
      </c>
      <c r="Y53" s="268" t="str">
        <f t="shared" si="64"/>
        <v/>
      </c>
      <c r="Z53" s="268" t="str">
        <f t="shared" si="64"/>
        <v/>
      </c>
      <c r="AA53" s="268" t="str">
        <f t="shared" si="64"/>
        <v/>
      </c>
      <c r="AB53" s="268" t="str">
        <f t="shared" si="64"/>
        <v/>
      </c>
      <c r="AC53" s="268" t="str">
        <f t="shared" si="64"/>
        <v/>
      </c>
      <c r="AD53" s="268" t="str">
        <f t="shared" si="64"/>
        <v/>
      </c>
      <c r="AE53" s="268" t="str">
        <f t="shared" si="64"/>
        <v/>
      </c>
      <c r="AF53" s="268" t="str">
        <f t="shared" si="64"/>
        <v/>
      </c>
      <c r="AG53" s="268" t="str">
        <f t="shared" si="64"/>
        <v/>
      </c>
      <c r="AH53" s="268" t="str">
        <f t="shared" si="64"/>
        <v/>
      </c>
      <c r="AI53" s="268" t="str">
        <f t="shared" si="64"/>
        <v/>
      </c>
      <c r="AJ53" s="268" t="str">
        <f t="shared" si="64"/>
        <v/>
      </c>
      <c r="AK53" s="268" t="str">
        <f t="shared" si="64"/>
        <v/>
      </c>
      <c r="AL53" s="268" t="str">
        <f t="shared" si="64"/>
        <v/>
      </c>
      <c r="AM53" s="268" t="str">
        <f t="shared" si="64"/>
        <v/>
      </c>
      <c r="AN53" s="268" t="str">
        <f t="shared" si="64"/>
        <v/>
      </c>
      <c r="AO53" s="268" t="str">
        <f t="shared" si="64"/>
        <v/>
      </c>
      <c r="AP53" s="268" t="str">
        <f t="shared" si="64"/>
        <v/>
      </c>
      <c r="AQ53" s="268" t="str">
        <f t="shared" si="64"/>
        <v/>
      </c>
      <c r="AR53" s="268" t="str">
        <f t="shared" si="64"/>
        <v/>
      </c>
      <c r="AS53" s="268" t="str">
        <f t="shared" si="64"/>
        <v/>
      </c>
      <c r="AT53" s="268" t="str">
        <f t="shared" si="64"/>
        <v/>
      </c>
      <c r="AU53" s="268" t="str">
        <f t="shared" si="64"/>
        <v/>
      </c>
      <c r="AV53" s="268" t="str">
        <f t="shared" si="64"/>
        <v/>
      </c>
      <c r="AW53" s="268" t="str">
        <f t="shared" si="64"/>
        <v/>
      </c>
      <c r="AX53" s="268" t="str">
        <f t="shared" si="64"/>
        <v/>
      </c>
      <c r="AY53" s="268" t="str">
        <f t="shared" si="64"/>
        <v/>
      </c>
      <c r="AZ53" s="268" t="str">
        <f t="shared" si="64"/>
        <v/>
      </c>
      <c r="BA53" s="268" t="str">
        <f t="shared" si="64"/>
        <v/>
      </c>
      <c r="BB53" s="268" t="str">
        <f t="shared" si="64"/>
        <v/>
      </c>
      <c r="BC53" s="268" t="str">
        <f t="shared" si="64"/>
        <v/>
      </c>
      <c r="BD53" s="268" t="str">
        <f t="shared" si="64"/>
        <v/>
      </c>
      <c r="BE53" s="268" t="str">
        <f t="shared" si="64"/>
        <v/>
      </c>
      <c r="BF53" s="268" t="str">
        <f t="shared" si="64"/>
        <v/>
      </c>
      <c r="BG53" s="268" t="str">
        <f t="shared" si="64"/>
        <v/>
      </c>
      <c r="BH53" s="268" t="str">
        <f t="shared" si="64"/>
        <v/>
      </c>
      <c r="BI53" s="268" t="str">
        <f t="shared" si="64"/>
        <v/>
      </c>
      <c r="BJ53" s="268" t="str">
        <f t="shared" si="64"/>
        <v/>
      </c>
      <c r="BK53" s="268" t="str">
        <f t="shared" si="64"/>
        <v/>
      </c>
      <c r="BL53" s="268" t="str">
        <f t="shared" si="64"/>
        <v/>
      </c>
      <c r="BM53" s="268" t="str">
        <f t="shared" si="64"/>
        <v/>
      </c>
      <c r="BN53" s="268" t="str">
        <f t="shared" si="64"/>
        <v/>
      </c>
      <c r="BO53" s="268" t="str">
        <f t="shared" si="64"/>
        <v/>
      </c>
      <c r="BP53" s="268" t="str">
        <f t="shared" si="64"/>
        <v/>
      </c>
      <c r="BQ53" s="268" t="str">
        <f t="shared" si="64"/>
        <v/>
      </c>
      <c r="BR53" s="268" t="str">
        <f t="shared" si="64"/>
        <v/>
      </c>
      <c r="BS53" s="268" t="str">
        <f t="shared" si="64"/>
        <v/>
      </c>
      <c r="BT53" s="268" t="str">
        <f t="shared" si="64"/>
        <v/>
      </c>
      <c r="BU53" s="268" t="str">
        <f t="shared" si="3"/>
        <v/>
      </c>
      <c r="BV53" s="247">
        <v>2.04</v>
      </c>
      <c r="BW53" s="729">
        <f t="shared" si="55"/>
        <v>6120</v>
      </c>
      <c r="BX53" s="730">
        <f t="shared" si="56"/>
        <v>47430</v>
      </c>
      <c r="BY53" s="731" t="str">
        <f t="shared" si="32"/>
        <v>SR</v>
      </c>
    </row>
    <row r="54" s="698" customFormat="1" customHeight="1" spans="1:77">
      <c r="A54" s="208">
        <v>45985</v>
      </c>
      <c r="B54" s="208">
        <v>46031</v>
      </c>
      <c r="C54" s="211" t="s">
        <v>330</v>
      </c>
      <c r="D54" s="211" t="s">
        <v>331</v>
      </c>
      <c r="E54" s="211" t="s">
        <v>41</v>
      </c>
      <c r="F54" s="732">
        <v>5004</v>
      </c>
      <c r="G54" s="211" t="s">
        <v>327</v>
      </c>
      <c r="H54" s="211" t="str">
        <f>IFERROR(VLOOKUP(E54,名称!A:E,4,0),"")</f>
        <v>二代</v>
      </c>
      <c r="I54" s="268" t="str">
        <f t="shared" ref="I54:BT54" si="65">IF(OR($E54="",I$1=""),"",IF(TRIM(LEFT($E54,MIN(IFERROR(FIND("CDU",UPPER($E54)),999),IFERROR(FIND("BULK",UPPER($E54)),999),IFERROR(FIND("-",$E54),999),IFERROR(FIND("（",$E54),999))-1))=I$1,$F54,""))</f>
        <v/>
      </c>
      <c r="J54" s="268" t="str">
        <f t="shared" si="65"/>
        <v/>
      </c>
      <c r="K54" s="268" t="str">
        <f t="shared" si="65"/>
        <v/>
      </c>
      <c r="L54" s="268" t="str">
        <f t="shared" si="65"/>
        <v/>
      </c>
      <c r="M54" s="268" t="str">
        <f t="shared" si="65"/>
        <v/>
      </c>
      <c r="N54" s="268" t="str">
        <f t="shared" si="65"/>
        <v/>
      </c>
      <c r="O54" s="268" t="str">
        <f t="shared" si="65"/>
        <v/>
      </c>
      <c r="P54" s="268" t="str">
        <f t="shared" si="65"/>
        <v/>
      </c>
      <c r="Q54" s="268" t="str">
        <f t="shared" si="65"/>
        <v/>
      </c>
      <c r="R54" s="268" t="str">
        <f t="shared" si="65"/>
        <v/>
      </c>
      <c r="S54" s="268" t="str">
        <f t="shared" si="65"/>
        <v/>
      </c>
      <c r="T54" s="268" t="str">
        <f t="shared" si="65"/>
        <v/>
      </c>
      <c r="U54" s="268" t="str">
        <f t="shared" si="65"/>
        <v/>
      </c>
      <c r="V54" s="268" t="str">
        <f t="shared" si="65"/>
        <v/>
      </c>
      <c r="W54" s="268">
        <f t="shared" si="65"/>
        <v>5004</v>
      </c>
      <c r="X54" s="268" t="str">
        <f t="shared" si="65"/>
        <v/>
      </c>
      <c r="Y54" s="268" t="str">
        <f t="shared" si="65"/>
        <v/>
      </c>
      <c r="Z54" s="268" t="str">
        <f t="shared" si="65"/>
        <v/>
      </c>
      <c r="AA54" s="268" t="str">
        <f t="shared" si="65"/>
        <v/>
      </c>
      <c r="AB54" s="268" t="str">
        <f t="shared" si="65"/>
        <v/>
      </c>
      <c r="AC54" s="268" t="str">
        <f t="shared" si="65"/>
        <v/>
      </c>
      <c r="AD54" s="268" t="str">
        <f t="shared" si="65"/>
        <v/>
      </c>
      <c r="AE54" s="268" t="str">
        <f t="shared" si="65"/>
        <v/>
      </c>
      <c r="AF54" s="268" t="str">
        <f t="shared" si="65"/>
        <v/>
      </c>
      <c r="AG54" s="268" t="str">
        <f t="shared" si="65"/>
        <v/>
      </c>
      <c r="AH54" s="268" t="str">
        <f t="shared" si="65"/>
        <v/>
      </c>
      <c r="AI54" s="268" t="str">
        <f t="shared" si="65"/>
        <v/>
      </c>
      <c r="AJ54" s="268" t="str">
        <f t="shared" si="65"/>
        <v/>
      </c>
      <c r="AK54" s="268" t="str">
        <f t="shared" si="65"/>
        <v/>
      </c>
      <c r="AL54" s="268" t="str">
        <f t="shared" si="65"/>
        <v/>
      </c>
      <c r="AM54" s="268" t="str">
        <f t="shared" si="65"/>
        <v/>
      </c>
      <c r="AN54" s="268" t="str">
        <f t="shared" si="65"/>
        <v/>
      </c>
      <c r="AO54" s="268" t="str">
        <f t="shared" si="65"/>
        <v/>
      </c>
      <c r="AP54" s="268" t="str">
        <f t="shared" si="65"/>
        <v/>
      </c>
      <c r="AQ54" s="268" t="str">
        <f t="shared" si="65"/>
        <v/>
      </c>
      <c r="AR54" s="268" t="str">
        <f t="shared" si="65"/>
        <v/>
      </c>
      <c r="AS54" s="268" t="str">
        <f t="shared" si="65"/>
        <v/>
      </c>
      <c r="AT54" s="268" t="str">
        <f t="shared" si="65"/>
        <v/>
      </c>
      <c r="AU54" s="268" t="str">
        <f t="shared" si="65"/>
        <v/>
      </c>
      <c r="AV54" s="268" t="str">
        <f t="shared" si="65"/>
        <v/>
      </c>
      <c r="AW54" s="268" t="str">
        <f t="shared" si="65"/>
        <v/>
      </c>
      <c r="AX54" s="268" t="str">
        <f t="shared" si="65"/>
        <v/>
      </c>
      <c r="AY54" s="268" t="str">
        <f t="shared" si="65"/>
        <v/>
      </c>
      <c r="AZ54" s="268" t="str">
        <f t="shared" si="65"/>
        <v/>
      </c>
      <c r="BA54" s="268" t="str">
        <f t="shared" si="65"/>
        <v/>
      </c>
      <c r="BB54" s="268" t="str">
        <f t="shared" si="65"/>
        <v/>
      </c>
      <c r="BC54" s="268" t="str">
        <f t="shared" si="65"/>
        <v/>
      </c>
      <c r="BD54" s="268" t="str">
        <f t="shared" si="65"/>
        <v/>
      </c>
      <c r="BE54" s="268" t="str">
        <f t="shared" si="65"/>
        <v/>
      </c>
      <c r="BF54" s="268" t="str">
        <f t="shared" si="65"/>
        <v/>
      </c>
      <c r="BG54" s="268" t="str">
        <f t="shared" si="65"/>
        <v/>
      </c>
      <c r="BH54" s="268" t="str">
        <f t="shared" si="65"/>
        <v/>
      </c>
      <c r="BI54" s="268" t="str">
        <f t="shared" si="65"/>
        <v/>
      </c>
      <c r="BJ54" s="268" t="str">
        <f t="shared" si="65"/>
        <v/>
      </c>
      <c r="BK54" s="268" t="str">
        <f t="shared" si="65"/>
        <v/>
      </c>
      <c r="BL54" s="268" t="str">
        <f t="shared" si="65"/>
        <v/>
      </c>
      <c r="BM54" s="268" t="str">
        <f t="shared" si="65"/>
        <v/>
      </c>
      <c r="BN54" s="268" t="str">
        <f t="shared" si="65"/>
        <v/>
      </c>
      <c r="BO54" s="268" t="str">
        <f t="shared" si="65"/>
        <v/>
      </c>
      <c r="BP54" s="268" t="str">
        <f t="shared" si="65"/>
        <v/>
      </c>
      <c r="BQ54" s="268" t="str">
        <f t="shared" si="65"/>
        <v/>
      </c>
      <c r="BR54" s="268" t="str">
        <f t="shared" si="65"/>
        <v/>
      </c>
      <c r="BS54" s="268" t="str">
        <f t="shared" si="65"/>
        <v/>
      </c>
      <c r="BT54" s="268" t="str">
        <f t="shared" si="65"/>
        <v/>
      </c>
      <c r="BU54" s="268" t="str">
        <f t="shared" si="3"/>
        <v/>
      </c>
      <c r="BV54" s="247">
        <v>1.49</v>
      </c>
      <c r="BW54" s="729">
        <f t="shared" si="55"/>
        <v>7455.96</v>
      </c>
      <c r="BX54" s="730">
        <f t="shared" si="56"/>
        <v>57783.69</v>
      </c>
      <c r="BY54" s="731" t="str">
        <f t="shared" si="32"/>
        <v>SR</v>
      </c>
    </row>
    <row r="55" s="698" customFormat="1" customHeight="1" spans="1:77">
      <c r="A55" s="208">
        <v>45986</v>
      </c>
      <c r="B55" s="208">
        <v>46017</v>
      </c>
      <c r="C55" s="211" t="s">
        <v>332</v>
      </c>
      <c r="D55" s="211" t="s">
        <v>333</v>
      </c>
      <c r="E55" s="211" t="s">
        <v>44</v>
      </c>
      <c r="F55" s="732">
        <v>30072</v>
      </c>
      <c r="G55" s="211" t="s">
        <v>334</v>
      </c>
      <c r="H55" s="211" t="str">
        <f>IFERROR(VLOOKUP(E55,名称!A:E,4,0),"")</f>
        <v>二代</v>
      </c>
      <c r="I55" s="268" t="str">
        <f t="shared" ref="I55:BT55" si="66">IF(OR($E55="",I$1=""),"",IF(TRIM(LEFT($E55,MIN(IFERROR(FIND("CDU",UPPER($E55)),999),IFERROR(FIND("BULK",UPPER($E55)),999),IFERROR(FIND("-",$E55),999),IFERROR(FIND("（",$E55),999))-1))=I$1,$F55,""))</f>
        <v/>
      </c>
      <c r="J55" s="268" t="str">
        <f t="shared" si="66"/>
        <v/>
      </c>
      <c r="K55" s="268" t="str">
        <f t="shared" si="66"/>
        <v/>
      </c>
      <c r="L55" s="268" t="str">
        <f t="shared" si="66"/>
        <v/>
      </c>
      <c r="M55" s="268">
        <f t="shared" si="66"/>
        <v>30072</v>
      </c>
      <c r="N55" s="268" t="str">
        <f t="shared" si="66"/>
        <v/>
      </c>
      <c r="O55" s="268" t="str">
        <f t="shared" si="66"/>
        <v/>
      </c>
      <c r="P55" s="268" t="str">
        <f t="shared" si="66"/>
        <v/>
      </c>
      <c r="Q55" s="268" t="str">
        <f t="shared" si="66"/>
        <v/>
      </c>
      <c r="R55" s="268" t="str">
        <f t="shared" si="66"/>
        <v/>
      </c>
      <c r="S55" s="268" t="str">
        <f t="shared" si="66"/>
        <v/>
      </c>
      <c r="T55" s="268" t="str">
        <f t="shared" si="66"/>
        <v/>
      </c>
      <c r="U55" s="268" t="str">
        <f t="shared" si="66"/>
        <v/>
      </c>
      <c r="V55" s="268" t="str">
        <f t="shared" si="66"/>
        <v/>
      </c>
      <c r="W55" s="268" t="str">
        <f t="shared" si="66"/>
        <v/>
      </c>
      <c r="X55" s="268" t="str">
        <f t="shared" si="66"/>
        <v/>
      </c>
      <c r="Y55" s="268" t="str">
        <f t="shared" si="66"/>
        <v/>
      </c>
      <c r="Z55" s="268" t="str">
        <f t="shared" si="66"/>
        <v/>
      </c>
      <c r="AA55" s="268" t="str">
        <f t="shared" si="66"/>
        <v/>
      </c>
      <c r="AB55" s="268" t="str">
        <f t="shared" si="66"/>
        <v/>
      </c>
      <c r="AC55" s="268" t="str">
        <f t="shared" si="66"/>
        <v/>
      </c>
      <c r="AD55" s="268" t="str">
        <f t="shared" si="66"/>
        <v/>
      </c>
      <c r="AE55" s="268" t="str">
        <f t="shared" si="66"/>
        <v/>
      </c>
      <c r="AF55" s="268" t="str">
        <f t="shared" si="66"/>
        <v/>
      </c>
      <c r="AG55" s="268" t="str">
        <f t="shared" si="66"/>
        <v/>
      </c>
      <c r="AH55" s="268" t="str">
        <f t="shared" si="66"/>
        <v/>
      </c>
      <c r="AI55" s="268" t="str">
        <f t="shared" si="66"/>
        <v/>
      </c>
      <c r="AJ55" s="268" t="str">
        <f t="shared" si="66"/>
        <v/>
      </c>
      <c r="AK55" s="268" t="str">
        <f t="shared" si="66"/>
        <v/>
      </c>
      <c r="AL55" s="268" t="str">
        <f t="shared" si="66"/>
        <v/>
      </c>
      <c r="AM55" s="268" t="str">
        <f t="shared" si="66"/>
        <v/>
      </c>
      <c r="AN55" s="268" t="str">
        <f t="shared" si="66"/>
        <v/>
      </c>
      <c r="AO55" s="268" t="str">
        <f t="shared" si="66"/>
        <v/>
      </c>
      <c r="AP55" s="268" t="str">
        <f t="shared" si="66"/>
        <v/>
      </c>
      <c r="AQ55" s="268" t="str">
        <f t="shared" si="66"/>
        <v/>
      </c>
      <c r="AR55" s="268" t="str">
        <f t="shared" si="66"/>
        <v/>
      </c>
      <c r="AS55" s="268" t="str">
        <f t="shared" si="66"/>
        <v/>
      </c>
      <c r="AT55" s="268" t="str">
        <f t="shared" si="66"/>
        <v/>
      </c>
      <c r="AU55" s="268" t="str">
        <f t="shared" si="66"/>
        <v/>
      </c>
      <c r="AV55" s="268" t="str">
        <f t="shared" si="66"/>
        <v/>
      </c>
      <c r="AW55" s="268" t="str">
        <f t="shared" si="66"/>
        <v/>
      </c>
      <c r="AX55" s="268" t="str">
        <f t="shared" si="66"/>
        <v/>
      </c>
      <c r="AY55" s="268" t="str">
        <f t="shared" si="66"/>
        <v/>
      </c>
      <c r="AZ55" s="268" t="str">
        <f t="shared" si="66"/>
        <v/>
      </c>
      <c r="BA55" s="268" t="str">
        <f t="shared" si="66"/>
        <v/>
      </c>
      <c r="BB55" s="268" t="str">
        <f t="shared" si="66"/>
        <v/>
      </c>
      <c r="BC55" s="268" t="str">
        <f t="shared" si="66"/>
        <v/>
      </c>
      <c r="BD55" s="268" t="str">
        <f t="shared" si="66"/>
        <v/>
      </c>
      <c r="BE55" s="268" t="str">
        <f t="shared" si="66"/>
        <v/>
      </c>
      <c r="BF55" s="268" t="str">
        <f t="shared" si="66"/>
        <v/>
      </c>
      <c r="BG55" s="268" t="str">
        <f t="shared" si="66"/>
        <v/>
      </c>
      <c r="BH55" s="268" t="str">
        <f t="shared" si="66"/>
        <v/>
      </c>
      <c r="BI55" s="268" t="str">
        <f t="shared" si="66"/>
        <v/>
      </c>
      <c r="BJ55" s="268" t="str">
        <f t="shared" si="66"/>
        <v/>
      </c>
      <c r="BK55" s="268" t="str">
        <f t="shared" si="66"/>
        <v/>
      </c>
      <c r="BL55" s="268" t="str">
        <f t="shared" si="66"/>
        <v/>
      </c>
      <c r="BM55" s="268" t="str">
        <f t="shared" si="66"/>
        <v/>
      </c>
      <c r="BN55" s="268" t="str">
        <f t="shared" si="66"/>
        <v/>
      </c>
      <c r="BO55" s="268" t="str">
        <f t="shared" si="66"/>
        <v/>
      </c>
      <c r="BP55" s="268" t="str">
        <f t="shared" si="66"/>
        <v/>
      </c>
      <c r="BQ55" s="268" t="str">
        <f t="shared" si="66"/>
        <v/>
      </c>
      <c r="BR55" s="268" t="str">
        <f t="shared" si="66"/>
        <v/>
      </c>
      <c r="BS55" s="268" t="str">
        <f t="shared" si="66"/>
        <v/>
      </c>
      <c r="BT55" s="268" t="str">
        <f t="shared" si="66"/>
        <v/>
      </c>
      <c r="BU55" s="268" t="str">
        <f t="shared" si="3"/>
        <v/>
      </c>
      <c r="BV55" s="247">
        <v>0.6</v>
      </c>
      <c r="BW55" s="729">
        <f t="shared" si="55"/>
        <v>18043.2</v>
      </c>
      <c r="BX55" s="730">
        <f t="shared" si="56"/>
        <v>139834.8</v>
      </c>
      <c r="BY55" s="731" t="str">
        <f t="shared" si="32"/>
        <v>SR</v>
      </c>
    </row>
    <row r="56" s="698" customFormat="1" customHeight="1" spans="1:77">
      <c r="A56" s="208">
        <v>45986</v>
      </c>
      <c r="B56" s="208">
        <v>46029</v>
      </c>
      <c r="C56" s="211" t="s">
        <v>335</v>
      </c>
      <c r="D56" s="211" t="s">
        <v>336</v>
      </c>
      <c r="E56" s="211" t="s">
        <v>44</v>
      </c>
      <c r="F56" s="732">
        <v>2400</v>
      </c>
      <c r="G56" s="211" t="s">
        <v>253</v>
      </c>
      <c r="H56" s="211" t="str">
        <f>IFERROR(VLOOKUP(E56,名称!A:E,4,0),"")</f>
        <v>二代</v>
      </c>
      <c r="I56" s="268" t="str">
        <f t="shared" ref="I56:BT56" si="67">IF(OR($E56="",I$1=""),"",IF(TRIM(LEFT($E56,MIN(IFERROR(FIND("CDU",UPPER($E56)),999),IFERROR(FIND("BULK",UPPER($E56)),999),IFERROR(FIND("-",$E56),999),IFERROR(FIND("（",$E56),999))-1))=I$1,$F56,""))</f>
        <v/>
      </c>
      <c r="J56" s="268" t="str">
        <f t="shared" si="67"/>
        <v/>
      </c>
      <c r="K56" s="268" t="str">
        <f t="shared" si="67"/>
        <v/>
      </c>
      <c r="L56" s="268" t="str">
        <f t="shared" si="67"/>
        <v/>
      </c>
      <c r="M56" s="268">
        <f t="shared" si="67"/>
        <v>2400</v>
      </c>
      <c r="N56" s="268" t="str">
        <f t="shared" si="67"/>
        <v/>
      </c>
      <c r="O56" s="268" t="str">
        <f t="shared" si="67"/>
        <v/>
      </c>
      <c r="P56" s="268" t="str">
        <f t="shared" si="67"/>
        <v/>
      </c>
      <c r="Q56" s="268" t="str">
        <f t="shared" si="67"/>
        <v/>
      </c>
      <c r="R56" s="268" t="str">
        <f t="shared" si="67"/>
        <v/>
      </c>
      <c r="S56" s="268" t="str">
        <f t="shared" si="67"/>
        <v/>
      </c>
      <c r="T56" s="268" t="str">
        <f t="shared" si="67"/>
        <v/>
      </c>
      <c r="U56" s="268" t="str">
        <f t="shared" si="67"/>
        <v/>
      </c>
      <c r="V56" s="268" t="str">
        <f t="shared" si="67"/>
        <v/>
      </c>
      <c r="W56" s="268" t="str">
        <f t="shared" si="67"/>
        <v/>
      </c>
      <c r="X56" s="268" t="str">
        <f t="shared" si="67"/>
        <v/>
      </c>
      <c r="Y56" s="268" t="str">
        <f t="shared" si="67"/>
        <v/>
      </c>
      <c r="Z56" s="268" t="str">
        <f t="shared" si="67"/>
        <v/>
      </c>
      <c r="AA56" s="268" t="str">
        <f t="shared" si="67"/>
        <v/>
      </c>
      <c r="AB56" s="268" t="str">
        <f t="shared" si="67"/>
        <v/>
      </c>
      <c r="AC56" s="268" t="str">
        <f t="shared" si="67"/>
        <v/>
      </c>
      <c r="AD56" s="268" t="str">
        <f t="shared" si="67"/>
        <v/>
      </c>
      <c r="AE56" s="268" t="str">
        <f t="shared" si="67"/>
        <v/>
      </c>
      <c r="AF56" s="268" t="str">
        <f t="shared" si="67"/>
        <v/>
      </c>
      <c r="AG56" s="268" t="str">
        <f t="shared" si="67"/>
        <v/>
      </c>
      <c r="AH56" s="268" t="str">
        <f t="shared" si="67"/>
        <v/>
      </c>
      <c r="AI56" s="268" t="str">
        <f t="shared" si="67"/>
        <v/>
      </c>
      <c r="AJ56" s="268" t="str">
        <f t="shared" si="67"/>
        <v/>
      </c>
      <c r="AK56" s="268" t="str">
        <f t="shared" si="67"/>
        <v/>
      </c>
      <c r="AL56" s="268" t="str">
        <f t="shared" si="67"/>
        <v/>
      </c>
      <c r="AM56" s="268" t="str">
        <f t="shared" si="67"/>
        <v/>
      </c>
      <c r="AN56" s="268" t="str">
        <f t="shared" si="67"/>
        <v/>
      </c>
      <c r="AO56" s="268" t="str">
        <f t="shared" si="67"/>
        <v/>
      </c>
      <c r="AP56" s="268" t="str">
        <f t="shared" si="67"/>
        <v/>
      </c>
      <c r="AQ56" s="268" t="str">
        <f t="shared" si="67"/>
        <v/>
      </c>
      <c r="AR56" s="268" t="str">
        <f t="shared" si="67"/>
        <v/>
      </c>
      <c r="AS56" s="268" t="str">
        <f t="shared" si="67"/>
        <v/>
      </c>
      <c r="AT56" s="268" t="str">
        <f t="shared" si="67"/>
        <v/>
      </c>
      <c r="AU56" s="268" t="str">
        <f t="shared" si="67"/>
        <v/>
      </c>
      <c r="AV56" s="268" t="str">
        <f t="shared" si="67"/>
        <v/>
      </c>
      <c r="AW56" s="268" t="str">
        <f t="shared" si="67"/>
        <v/>
      </c>
      <c r="AX56" s="268" t="str">
        <f t="shared" si="67"/>
        <v/>
      </c>
      <c r="AY56" s="268" t="str">
        <f t="shared" si="67"/>
        <v/>
      </c>
      <c r="AZ56" s="268" t="str">
        <f t="shared" si="67"/>
        <v/>
      </c>
      <c r="BA56" s="268" t="str">
        <f t="shared" si="67"/>
        <v/>
      </c>
      <c r="BB56" s="268" t="str">
        <f t="shared" si="67"/>
        <v/>
      </c>
      <c r="BC56" s="268" t="str">
        <f t="shared" si="67"/>
        <v/>
      </c>
      <c r="BD56" s="268" t="str">
        <f t="shared" si="67"/>
        <v/>
      </c>
      <c r="BE56" s="268" t="str">
        <f t="shared" si="67"/>
        <v/>
      </c>
      <c r="BF56" s="268" t="str">
        <f t="shared" si="67"/>
        <v/>
      </c>
      <c r="BG56" s="268" t="str">
        <f t="shared" si="67"/>
        <v/>
      </c>
      <c r="BH56" s="268" t="str">
        <f t="shared" si="67"/>
        <v/>
      </c>
      <c r="BI56" s="268" t="str">
        <f t="shared" si="67"/>
        <v/>
      </c>
      <c r="BJ56" s="268" t="str">
        <f t="shared" si="67"/>
        <v/>
      </c>
      <c r="BK56" s="268" t="str">
        <f t="shared" si="67"/>
        <v/>
      </c>
      <c r="BL56" s="268" t="str">
        <f t="shared" si="67"/>
        <v/>
      </c>
      <c r="BM56" s="268" t="str">
        <f t="shared" si="67"/>
        <v/>
      </c>
      <c r="BN56" s="268" t="str">
        <f t="shared" si="67"/>
        <v/>
      </c>
      <c r="BO56" s="268" t="str">
        <f t="shared" si="67"/>
        <v/>
      </c>
      <c r="BP56" s="268" t="str">
        <f t="shared" si="67"/>
        <v/>
      </c>
      <c r="BQ56" s="268" t="str">
        <f t="shared" si="67"/>
        <v/>
      </c>
      <c r="BR56" s="268" t="str">
        <f t="shared" si="67"/>
        <v/>
      </c>
      <c r="BS56" s="268" t="str">
        <f t="shared" si="67"/>
        <v/>
      </c>
      <c r="BT56" s="268" t="str">
        <f t="shared" si="67"/>
        <v/>
      </c>
      <c r="BU56" s="268" t="str">
        <f t="shared" si="3"/>
        <v/>
      </c>
      <c r="BV56" s="247">
        <v>0.61</v>
      </c>
      <c r="BW56" s="729">
        <f t="shared" si="55"/>
        <v>1464</v>
      </c>
      <c r="BX56" s="730">
        <f t="shared" si="56"/>
        <v>11346</v>
      </c>
      <c r="BY56" s="731" t="str">
        <f t="shared" si="32"/>
        <v>SR</v>
      </c>
    </row>
    <row r="57" s="698" customFormat="1" customHeight="1" spans="1:77">
      <c r="A57" s="208">
        <v>45992</v>
      </c>
      <c r="B57" s="208">
        <v>46044</v>
      </c>
      <c r="C57" s="211"/>
      <c r="D57" s="211" t="s">
        <v>337</v>
      </c>
      <c r="E57" s="211" t="s">
        <v>40</v>
      </c>
      <c r="F57" s="732">
        <v>960</v>
      </c>
      <c r="G57" s="211" t="s">
        <v>327</v>
      </c>
      <c r="H57" s="211" t="str">
        <f>IFERROR(VLOOKUP(E57,名称!A:E,4,0),"")</f>
        <v>二代</v>
      </c>
      <c r="I57" s="268" t="str">
        <f t="shared" ref="I57:BT57" si="68">IF(OR($E57="",I$1=""),"",IF(TRIM(LEFT($E57,MIN(IFERROR(FIND("CDU",UPPER($E57)),999),IFERROR(FIND("BULK",UPPER($E57)),999),IFERROR(FIND("-",$E57),999),IFERROR(FIND("（",$E57),999))-1))=I$1,$F57,""))</f>
        <v/>
      </c>
      <c r="J57" s="268" t="str">
        <f t="shared" si="68"/>
        <v/>
      </c>
      <c r="K57" s="268">
        <f t="shared" si="68"/>
        <v>960</v>
      </c>
      <c r="L57" s="268" t="str">
        <f t="shared" si="68"/>
        <v/>
      </c>
      <c r="M57" s="268" t="str">
        <f t="shared" si="68"/>
        <v/>
      </c>
      <c r="N57" s="268" t="str">
        <f t="shared" si="68"/>
        <v/>
      </c>
      <c r="O57" s="268" t="str">
        <f t="shared" si="68"/>
        <v/>
      </c>
      <c r="P57" s="268" t="str">
        <f t="shared" si="68"/>
        <v/>
      </c>
      <c r="Q57" s="268" t="str">
        <f t="shared" si="68"/>
        <v/>
      </c>
      <c r="R57" s="268" t="str">
        <f t="shared" si="68"/>
        <v/>
      </c>
      <c r="S57" s="268" t="str">
        <f t="shared" si="68"/>
        <v/>
      </c>
      <c r="T57" s="268" t="str">
        <f t="shared" si="68"/>
        <v/>
      </c>
      <c r="U57" s="268" t="str">
        <f t="shared" si="68"/>
        <v/>
      </c>
      <c r="V57" s="268" t="str">
        <f t="shared" si="68"/>
        <v/>
      </c>
      <c r="W57" s="268" t="str">
        <f t="shared" si="68"/>
        <v/>
      </c>
      <c r="X57" s="268" t="str">
        <f t="shared" si="68"/>
        <v/>
      </c>
      <c r="Y57" s="268" t="str">
        <f t="shared" si="68"/>
        <v/>
      </c>
      <c r="Z57" s="268" t="str">
        <f t="shared" si="68"/>
        <v/>
      </c>
      <c r="AA57" s="268" t="str">
        <f t="shared" si="68"/>
        <v/>
      </c>
      <c r="AB57" s="268" t="str">
        <f t="shared" si="68"/>
        <v/>
      </c>
      <c r="AC57" s="268" t="str">
        <f t="shared" si="68"/>
        <v/>
      </c>
      <c r="AD57" s="268" t="str">
        <f t="shared" si="68"/>
        <v/>
      </c>
      <c r="AE57" s="268" t="str">
        <f t="shared" si="68"/>
        <v/>
      </c>
      <c r="AF57" s="268" t="str">
        <f t="shared" si="68"/>
        <v/>
      </c>
      <c r="AG57" s="268" t="str">
        <f t="shared" si="68"/>
        <v/>
      </c>
      <c r="AH57" s="268" t="str">
        <f t="shared" si="68"/>
        <v/>
      </c>
      <c r="AI57" s="268" t="str">
        <f t="shared" si="68"/>
        <v/>
      </c>
      <c r="AJ57" s="268" t="str">
        <f t="shared" si="68"/>
        <v/>
      </c>
      <c r="AK57" s="268" t="str">
        <f t="shared" si="68"/>
        <v/>
      </c>
      <c r="AL57" s="268" t="str">
        <f t="shared" si="68"/>
        <v/>
      </c>
      <c r="AM57" s="268" t="str">
        <f t="shared" si="68"/>
        <v/>
      </c>
      <c r="AN57" s="268" t="str">
        <f t="shared" si="68"/>
        <v/>
      </c>
      <c r="AO57" s="268" t="str">
        <f t="shared" si="68"/>
        <v/>
      </c>
      <c r="AP57" s="268" t="str">
        <f t="shared" si="68"/>
        <v/>
      </c>
      <c r="AQ57" s="268" t="str">
        <f t="shared" si="68"/>
        <v/>
      </c>
      <c r="AR57" s="268" t="str">
        <f t="shared" si="68"/>
        <v/>
      </c>
      <c r="AS57" s="268" t="str">
        <f t="shared" si="68"/>
        <v/>
      </c>
      <c r="AT57" s="268" t="str">
        <f t="shared" si="68"/>
        <v/>
      </c>
      <c r="AU57" s="268" t="str">
        <f t="shared" si="68"/>
        <v/>
      </c>
      <c r="AV57" s="268" t="str">
        <f t="shared" si="68"/>
        <v/>
      </c>
      <c r="AW57" s="268" t="str">
        <f t="shared" si="68"/>
        <v/>
      </c>
      <c r="AX57" s="268" t="str">
        <f t="shared" si="68"/>
        <v/>
      </c>
      <c r="AY57" s="268" t="str">
        <f t="shared" si="68"/>
        <v/>
      </c>
      <c r="AZ57" s="268" t="str">
        <f t="shared" si="68"/>
        <v/>
      </c>
      <c r="BA57" s="268" t="str">
        <f t="shared" si="68"/>
        <v/>
      </c>
      <c r="BB57" s="268" t="str">
        <f t="shared" si="68"/>
        <v/>
      </c>
      <c r="BC57" s="268" t="str">
        <f t="shared" si="68"/>
        <v/>
      </c>
      <c r="BD57" s="268" t="str">
        <f t="shared" si="68"/>
        <v/>
      </c>
      <c r="BE57" s="268" t="str">
        <f t="shared" si="68"/>
        <v/>
      </c>
      <c r="BF57" s="268" t="str">
        <f t="shared" si="68"/>
        <v/>
      </c>
      <c r="BG57" s="268" t="str">
        <f t="shared" si="68"/>
        <v/>
      </c>
      <c r="BH57" s="268" t="str">
        <f t="shared" si="68"/>
        <v/>
      </c>
      <c r="BI57" s="268" t="str">
        <f t="shared" si="68"/>
        <v/>
      </c>
      <c r="BJ57" s="268" t="str">
        <f t="shared" si="68"/>
        <v/>
      </c>
      <c r="BK57" s="268" t="str">
        <f t="shared" si="68"/>
        <v/>
      </c>
      <c r="BL57" s="268" t="str">
        <f t="shared" si="68"/>
        <v/>
      </c>
      <c r="BM57" s="268" t="str">
        <f t="shared" si="68"/>
        <v/>
      </c>
      <c r="BN57" s="268" t="str">
        <f t="shared" si="68"/>
        <v/>
      </c>
      <c r="BO57" s="268" t="str">
        <f t="shared" si="68"/>
        <v/>
      </c>
      <c r="BP57" s="268" t="str">
        <f t="shared" si="68"/>
        <v/>
      </c>
      <c r="BQ57" s="268" t="str">
        <f t="shared" si="68"/>
        <v/>
      </c>
      <c r="BR57" s="268" t="str">
        <f t="shared" si="68"/>
        <v/>
      </c>
      <c r="BS57" s="268" t="str">
        <f t="shared" si="68"/>
        <v/>
      </c>
      <c r="BT57" s="268" t="str">
        <f t="shared" si="68"/>
        <v/>
      </c>
      <c r="BU57" s="268" t="str">
        <f t="shared" si="3"/>
        <v/>
      </c>
      <c r="BV57" s="247">
        <v>0.79</v>
      </c>
      <c r="BW57" s="729">
        <f t="shared" si="55"/>
        <v>758.4</v>
      </c>
      <c r="BX57" s="730">
        <f t="shared" si="56"/>
        <v>5877.6</v>
      </c>
      <c r="BY57" s="731" t="str">
        <f t="shared" ref="BY57:BY88" si="69">MID(E57,1,2)</f>
        <v>SR</v>
      </c>
    </row>
    <row r="58" s="698" customFormat="1" customHeight="1" spans="1:77">
      <c r="A58" s="208">
        <v>45992</v>
      </c>
      <c r="B58" s="208">
        <v>46044</v>
      </c>
      <c r="C58" s="211"/>
      <c r="D58" s="211" t="s">
        <v>337</v>
      </c>
      <c r="E58" s="211" t="s">
        <v>25</v>
      </c>
      <c r="F58" s="732">
        <v>960</v>
      </c>
      <c r="G58" s="211" t="s">
        <v>327</v>
      </c>
      <c r="H58" s="211" t="str">
        <f>IFERROR(VLOOKUP(E58,名称!A:E,4,0),"")</f>
        <v>二代</v>
      </c>
      <c r="I58" s="268" t="str">
        <f t="shared" ref="I58:BT58" si="70">IF(OR($E58="",I$1=""),"",IF(TRIM(LEFT($E58,MIN(IFERROR(FIND("CDU",UPPER($E58)),999),IFERROR(FIND("BULK",UPPER($E58)),999),IFERROR(FIND("-",$E58),999),IFERROR(FIND("（",$E58),999))-1))=I$1,$F58,""))</f>
        <v/>
      </c>
      <c r="J58" s="268" t="str">
        <f t="shared" si="70"/>
        <v/>
      </c>
      <c r="K58" s="268">
        <f t="shared" si="70"/>
        <v>960</v>
      </c>
      <c r="L58" s="268" t="str">
        <f t="shared" si="70"/>
        <v/>
      </c>
      <c r="M58" s="268" t="str">
        <f t="shared" si="70"/>
        <v/>
      </c>
      <c r="N58" s="268" t="str">
        <f t="shared" si="70"/>
        <v/>
      </c>
      <c r="O58" s="268" t="str">
        <f t="shared" si="70"/>
        <v/>
      </c>
      <c r="P58" s="268" t="str">
        <f t="shared" si="70"/>
        <v/>
      </c>
      <c r="Q58" s="268" t="str">
        <f t="shared" si="70"/>
        <v/>
      </c>
      <c r="R58" s="268" t="str">
        <f t="shared" si="70"/>
        <v/>
      </c>
      <c r="S58" s="268" t="str">
        <f t="shared" si="70"/>
        <v/>
      </c>
      <c r="T58" s="268" t="str">
        <f t="shared" si="70"/>
        <v/>
      </c>
      <c r="U58" s="268" t="str">
        <f t="shared" si="70"/>
        <v/>
      </c>
      <c r="V58" s="268" t="str">
        <f t="shared" si="70"/>
        <v/>
      </c>
      <c r="W58" s="268" t="str">
        <f t="shared" si="70"/>
        <v/>
      </c>
      <c r="X58" s="268" t="str">
        <f t="shared" si="70"/>
        <v/>
      </c>
      <c r="Y58" s="268" t="str">
        <f t="shared" si="70"/>
        <v/>
      </c>
      <c r="Z58" s="268" t="str">
        <f t="shared" si="70"/>
        <v/>
      </c>
      <c r="AA58" s="268" t="str">
        <f t="shared" si="70"/>
        <v/>
      </c>
      <c r="AB58" s="268" t="str">
        <f t="shared" si="70"/>
        <v/>
      </c>
      <c r="AC58" s="268" t="str">
        <f t="shared" si="70"/>
        <v/>
      </c>
      <c r="AD58" s="268" t="str">
        <f t="shared" si="70"/>
        <v/>
      </c>
      <c r="AE58" s="268" t="str">
        <f t="shared" si="70"/>
        <v/>
      </c>
      <c r="AF58" s="268" t="str">
        <f t="shared" si="70"/>
        <v/>
      </c>
      <c r="AG58" s="268" t="str">
        <f t="shared" si="70"/>
        <v/>
      </c>
      <c r="AH58" s="268" t="str">
        <f t="shared" si="70"/>
        <v/>
      </c>
      <c r="AI58" s="268" t="str">
        <f t="shared" si="70"/>
        <v/>
      </c>
      <c r="AJ58" s="268" t="str">
        <f t="shared" si="70"/>
        <v/>
      </c>
      <c r="AK58" s="268" t="str">
        <f t="shared" si="70"/>
        <v/>
      </c>
      <c r="AL58" s="268" t="str">
        <f t="shared" si="70"/>
        <v/>
      </c>
      <c r="AM58" s="268" t="str">
        <f t="shared" si="70"/>
        <v/>
      </c>
      <c r="AN58" s="268" t="str">
        <f t="shared" si="70"/>
        <v/>
      </c>
      <c r="AO58" s="268" t="str">
        <f t="shared" si="70"/>
        <v/>
      </c>
      <c r="AP58" s="268" t="str">
        <f t="shared" si="70"/>
        <v/>
      </c>
      <c r="AQ58" s="268" t="str">
        <f t="shared" si="70"/>
        <v/>
      </c>
      <c r="AR58" s="268" t="str">
        <f t="shared" si="70"/>
        <v/>
      </c>
      <c r="AS58" s="268" t="str">
        <f t="shared" si="70"/>
        <v/>
      </c>
      <c r="AT58" s="268" t="str">
        <f t="shared" si="70"/>
        <v/>
      </c>
      <c r="AU58" s="268" t="str">
        <f t="shared" si="70"/>
        <v/>
      </c>
      <c r="AV58" s="268" t="str">
        <f t="shared" si="70"/>
        <v/>
      </c>
      <c r="AW58" s="268" t="str">
        <f t="shared" si="70"/>
        <v/>
      </c>
      <c r="AX58" s="268" t="str">
        <f t="shared" si="70"/>
        <v/>
      </c>
      <c r="AY58" s="268" t="str">
        <f t="shared" si="70"/>
        <v/>
      </c>
      <c r="AZ58" s="268" t="str">
        <f t="shared" si="70"/>
        <v/>
      </c>
      <c r="BA58" s="268" t="str">
        <f t="shared" si="70"/>
        <v/>
      </c>
      <c r="BB58" s="268" t="str">
        <f t="shared" si="70"/>
        <v/>
      </c>
      <c r="BC58" s="268" t="str">
        <f t="shared" si="70"/>
        <v/>
      </c>
      <c r="BD58" s="268" t="str">
        <f t="shared" si="70"/>
        <v/>
      </c>
      <c r="BE58" s="268" t="str">
        <f t="shared" si="70"/>
        <v/>
      </c>
      <c r="BF58" s="268" t="str">
        <f t="shared" si="70"/>
        <v/>
      </c>
      <c r="BG58" s="268" t="str">
        <f t="shared" si="70"/>
        <v/>
      </c>
      <c r="BH58" s="268" t="str">
        <f t="shared" si="70"/>
        <v/>
      </c>
      <c r="BI58" s="268" t="str">
        <f t="shared" si="70"/>
        <v/>
      </c>
      <c r="BJ58" s="268" t="str">
        <f t="shared" si="70"/>
        <v/>
      </c>
      <c r="BK58" s="268" t="str">
        <f t="shared" si="70"/>
        <v/>
      </c>
      <c r="BL58" s="268" t="str">
        <f t="shared" si="70"/>
        <v/>
      </c>
      <c r="BM58" s="268" t="str">
        <f t="shared" si="70"/>
        <v/>
      </c>
      <c r="BN58" s="268" t="str">
        <f t="shared" si="70"/>
        <v/>
      </c>
      <c r="BO58" s="268" t="str">
        <f t="shared" si="70"/>
        <v/>
      </c>
      <c r="BP58" s="268" t="str">
        <f t="shared" si="70"/>
        <v/>
      </c>
      <c r="BQ58" s="268" t="str">
        <f t="shared" si="70"/>
        <v/>
      </c>
      <c r="BR58" s="268" t="str">
        <f t="shared" si="70"/>
        <v/>
      </c>
      <c r="BS58" s="268" t="str">
        <f t="shared" si="70"/>
        <v/>
      </c>
      <c r="BT58" s="268" t="str">
        <f t="shared" si="70"/>
        <v/>
      </c>
      <c r="BU58" s="268" t="str">
        <f t="shared" si="3"/>
        <v/>
      </c>
      <c r="BV58" s="247">
        <v>0.91</v>
      </c>
      <c r="BW58" s="729">
        <f t="shared" si="55"/>
        <v>873.6</v>
      </c>
      <c r="BX58" s="730">
        <f t="shared" si="56"/>
        <v>6770.4</v>
      </c>
      <c r="BY58" s="731" t="str">
        <f t="shared" si="69"/>
        <v>SR</v>
      </c>
    </row>
    <row r="59" s="698" customFormat="1" customHeight="1" spans="1:77">
      <c r="A59" s="208">
        <v>45992</v>
      </c>
      <c r="B59" s="208">
        <v>46044</v>
      </c>
      <c r="C59" s="211"/>
      <c r="D59" s="211" t="s">
        <v>337</v>
      </c>
      <c r="E59" s="211" t="s">
        <v>44</v>
      </c>
      <c r="F59" s="732">
        <v>1512</v>
      </c>
      <c r="G59" s="211" t="s">
        <v>327</v>
      </c>
      <c r="H59" s="211" t="str">
        <f>IFERROR(VLOOKUP(E59,名称!A:E,4,0),"")</f>
        <v>二代</v>
      </c>
      <c r="I59" s="268" t="str">
        <f t="shared" ref="I59:BT59" si="71">IF(OR($E59="",I$1=""),"",IF(TRIM(LEFT($E59,MIN(IFERROR(FIND("CDU",UPPER($E59)),999),IFERROR(FIND("BULK",UPPER($E59)),999),IFERROR(FIND("-",$E59),999),IFERROR(FIND("（",$E59),999))-1))=I$1,$F59,""))</f>
        <v/>
      </c>
      <c r="J59" s="268" t="str">
        <f t="shared" si="71"/>
        <v/>
      </c>
      <c r="K59" s="268" t="str">
        <f t="shared" si="71"/>
        <v/>
      </c>
      <c r="L59" s="268" t="str">
        <f t="shared" si="71"/>
        <v/>
      </c>
      <c r="M59" s="268">
        <f t="shared" si="71"/>
        <v>1512</v>
      </c>
      <c r="N59" s="268" t="str">
        <f t="shared" si="71"/>
        <v/>
      </c>
      <c r="O59" s="268" t="str">
        <f t="shared" si="71"/>
        <v/>
      </c>
      <c r="P59" s="268" t="str">
        <f t="shared" si="71"/>
        <v/>
      </c>
      <c r="Q59" s="268" t="str">
        <f t="shared" si="71"/>
        <v/>
      </c>
      <c r="R59" s="268" t="str">
        <f t="shared" si="71"/>
        <v/>
      </c>
      <c r="S59" s="268" t="str">
        <f t="shared" si="71"/>
        <v/>
      </c>
      <c r="T59" s="268" t="str">
        <f t="shared" si="71"/>
        <v/>
      </c>
      <c r="U59" s="268" t="str">
        <f t="shared" si="71"/>
        <v/>
      </c>
      <c r="V59" s="268" t="str">
        <f t="shared" si="71"/>
        <v/>
      </c>
      <c r="W59" s="268" t="str">
        <f t="shared" si="71"/>
        <v/>
      </c>
      <c r="X59" s="268" t="str">
        <f t="shared" si="71"/>
        <v/>
      </c>
      <c r="Y59" s="268" t="str">
        <f t="shared" si="71"/>
        <v/>
      </c>
      <c r="Z59" s="268" t="str">
        <f t="shared" si="71"/>
        <v/>
      </c>
      <c r="AA59" s="268" t="str">
        <f t="shared" si="71"/>
        <v/>
      </c>
      <c r="AB59" s="268" t="str">
        <f t="shared" si="71"/>
        <v/>
      </c>
      <c r="AC59" s="268" t="str">
        <f t="shared" si="71"/>
        <v/>
      </c>
      <c r="AD59" s="268" t="str">
        <f t="shared" si="71"/>
        <v/>
      </c>
      <c r="AE59" s="268" t="str">
        <f t="shared" si="71"/>
        <v/>
      </c>
      <c r="AF59" s="268" t="str">
        <f t="shared" si="71"/>
        <v/>
      </c>
      <c r="AG59" s="268" t="str">
        <f t="shared" si="71"/>
        <v/>
      </c>
      <c r="AH59" s="268" t="str">
        <f t="shared" si="71"/>
        <v/>
      </c>
      <c r="AI59" s="268" t="str">
        <f t="shared" si="71"/>
        <v/>
      </c>
      <c r="AJ59" s="268" t="str">
        <f t="shared" si="71"/>
        <v/>
      </c>
      <c r="AK59" s="268" t="str">
        <f t="shared" si="71"/>
        <v/>
      </c>
      <c r="AL59" s="268" t="str">
        <f t="shared" si="71"/>
        <v/>
      </c>
      <c r="AM59" s="268" t="str">
        <f t="shared" si="71"/>
        <v/>
      </c>
      <c r="AN59" s="268" t="str">
        <f t="shared" si="71"/>
        <v/>
      </c>
      <c r="AO59" s="268" t="str">
        <f t="shared" si="71"/>
        <v/>
      </c>
      <c r="AP59" s="268" t="str">
        <f t="shared" si="71"/>
        <v/>
      </c>
      <c r="AQ59" s="268" t="str">
        <f t="shared" si="71"/>
        <v/>
      </c>
      <c r="AR59" s="268" t="str">
        <f t="shared" si="71"/>
        <v/>
      </c>
      <c r="AS59" s="268" t="str">
        <f t="shared" si="71"/>
        <v/>
      </c>
      <c r="AT59" s="268" t="str">
        <f t="shared" si="71"/>
        <v/>
      </c>
      <c r="AU59" s="268" t="str">
        <f t="shared" si="71"/>
        <v/>
      </c>
      <c r="AV59" s="268" t="str">
        <f t="shared" si="71"/>
        <v/>
      </c>
      <c r="AW59" s="268" t="str">
        <f t="shared" si="71"/>
        <v/>
      </c>
      <c r="AX59" s="268" t="str">
        <f t="shared" si="71"/>
        <v/>
      </c>
      <c r="AY59" s="268" t="str">
        <f t="shared" si="71"/>
        <v/>
      </c>
      <c r="AZ59" s="268" t="str">
        <f t="shared" si="71"/>
        <v/>
      </c>
      <c r="BA59" s="268" t="str">
        <f t="shared" si="71"/>
        <v/>
      </c>
      <c r="BB59" s="268" t="str">
        <f t="shared" si="71"/>
        <v/>
      </c>
      <c r="BC59" s="268" t="str">
        <f t="shared" si="71"/>
        <v/>
      </c>
      <c r="BD59" s="268" t="str">
        <f t="shared" si="71"/>
        <v/>
      </c>
      <c r="BE59" s="268" t="str">
        <f t="shared" si="71"/>
        <v/>
      </c>
      <c r="BF59" s="268" t="str">
        <f t="shared" si="71"/>
        <v/>
      </c>
      <c r="BG59" s="268" t="str">
        <f t="shared" si="71"/>
        <v/>
      </c>
      <c r="BH59" s="268" t="str">
        <f t="shared" si="71"/>
        <v/>
      </c>
      <c r="BI59" s="268" t="str">
        <f t="shared" si="71"/>
        <v/>
      </c>
      <c r="BJ59" s="268" t="str">
        <f t="shared" si="71"/>
        <v/>
      </c>
      <c r="BK59" s="268" t="str">
        <f t="shared" si="71"/>
        <v/>
      </c>
      <c r="BL59" s="268" t="str">
        <f t="shared" si="71"/>
        <v/>
      </c>
      <c r="BM59" s="268" t="str">
        <f t="shared" si="71"/>
        <v/>
      </c>
      <c r="BN59" s="268" t="str">
        <f t="shared" si="71"/>
        <v/>
      </c>
      <c r="BO59" s="268" t="str">
        <f t="shared" si="71"/>
        <v/>
      </c>
      <c r="BP59" s="268" t="str">
        <f t="shared" si="71"/>
        <v/>
      </c>
      <c r="BQ59" s="268" t="str">
        <f t="shared" si="71"/>
        <v/>
      </c>
      <c r="BR59" s="268" t="str">
        <f t="shared" si="71"/>
        <v/>
      </c>
      <c r="BS59" s="268" t="str">
        <f t="shared" si="71"/>
        <v/>
      </c>
      <c r="BT59" s="268" t="str">
        <f t="shared" si="71"/>
        <v/>
      </c>
      <c r="BU59" s="268" t="str">
        <f t="shared" si="3"/>
        <v/>
      </c>
      <c r="BV59" s="247">
        <v>0.65</v>
      </c>
      <c r="BW59" s="729">
        <f t="shared" si="55"/>
        <v>982.8</v>
      </c>
      <c r="BX59" s="730">
        <f t="shared" si="56"/>
        <v>7616.7</v>
      </c>
      <c r="BY59" s="731" t="str">
        <f t="shared" si="69"/>
        <v>SR</v>
      </c>
    </row>
    <row r="60" s="698" customFormat="1" customHeight="1" spans="1:77">
      <c r="A60" s="208">
        <v>45992</v>
      </c>
      <c r="B60" s="208">
        <v>46044</v>
      </c>
      <c r="C60" s="211"/>
      <c r="D60" s="211" t="s">
        <v>337</v>
      </c>
      <c r="E60" s="211" t="s">
        <v>37</v>
      </c>
      <c r="F60" s="732">
        <v>978</v>
      </c>
      <c r="G60" s="211" t="s">
        <v>327</v>
      </c>
      <c r="H60" s="211" t="str">
        <f>IFERROR(VLOOKUP(E60,名称!A:E,4,0),"")</f>
        <v>二代</v>
      </c>
      <c r="I60" s="268" t="str">
        <f t="shared" ref="I60:BT60" si="72">IF(OR($E60="",I$1=""),"",IF(TRIM(LEFT($E60,MIN(IFERROR(FIND("CDU",UPPER($E60)),999),IFERROR(FIND("BULK",UPPER($E60)),999),IFERROR(FIND("-",$E60),999),IFERROR(FIND("（",$E60),999))-1))=I$1,$F60,""))</f>
        <v/>
      </c>
      <c r="J60" s="268" t="str">
        <f t="shared" si="72"/>
        <v/>
      </c>
      <c r="K60" s="268" t="str">
        <f t="shared" si="72"/>
        <v/>
      </c>
      <c r="L60" s="268" t="str">
        <f t="shared" si="72"/>
        <v/>
      </c>
      <c r="M60" s="268" t="str">
        <f t="shared" si="72"/>
        <v/>
      </c>
      <c r="N60" s="268" t="str">
        <f t="shared" si="72"/>
        <v/>
      </c>
      <c r="O60" s="268" t="str">
        <f t="shared" si="72"/>
        <v/>
      </c>
      <c r="P60" s="268" t="str">
        <f t="shared" si="72"/>
        <v/>
      </c>
      <c r="Q60" s="268" t="str">
        <f t="shared" si="72"/>
        <v/>
      </c>
      <c r="R60" s="268">
        <f t="shared" si="72"/>
        <v>978</v>
      </c>
      <c r="S60" s="268" t="str">
        <f t="shared" si="72"/>
        <v/>
      </c>
      <c r="T60" s="268" t="str">
        <f t="shared" si="72"/>
        <v/>
      </c>
      <c r="U60" s="268" t="str">
        <f t="shared" si="72"/>
        <v/>
      </c>
      <c r="V60" s="268" t="str">
        <f t="shared" si="72"/>
        <v/>
      </c>
      <c r="W60" s="268" t="str">
        <f t="shared" si="72"/>
        <v/>
      </c>
      <c r="X60" s="268" t="str">
        <f t="shared" si="72"/>
        <v/>
      </c>
      <c r="Y60" s="268" t="str">
        <f t="shared" si="72"/>
        <v/>
      </c>
      <c r="Z60" s="268" t="str">
        <f t="shared" si="72"/>
        <v/>
      </c>
      <c r="AA60" s="268" t="str">
        <f t="shared" si="72"/>
        <v/>
      </c>
      <c r="AB60" s="268" t="str">
        <f t="shared" si="72"/>
        <v/>
      </c>
      <c r="AC60" s="268" t="str">
        <f t="shared" si="72"/>
        <v/>
      </c>
      <c r="AD60" s="268" t="str">
        <f t="shared" si="72"/>
        <v/>
      </c>
      <c r="AE60" s="268" t="str">
        <f t="shared" si="72"/>
        <v/>
      </c>
      <c r="AF60" s="268" t="str">
        <f t="shared" si="72"/>
        <v/>
      </c>
      <c r="AG60" s="268" t="str">
        <f t="shared" si="72"/>
        <v/>
      </c>
      <c r="AH60" s="268" t="str">
        <f t="shared" si="72"/>
        <v/>
      </c>
      <c r="AI60" s="268" t="str">
        <f t="shared" si="72"/>
        <v/>
      </c>
      <c r="AJ60" s="268" t="str">
        <f t="shared" si="72"/>
        <v/>
      </c>
      <c r="AK60" s="268" t="str">
        <f t="shared" si="72"/>
        <v/>
      </c>
      <c r="AL60" s="268" t="str">
        <f t="shared" si="72"/>
        <v/>
      </c>
      <c r="AM60" s="268" t="str">
        <f t="shared" si="72"/>
        <v/>
      </c>
      <c r="AN60" s="268" t="str">
        <f t="shared" si="72"/>
        <v/>
      </c>
      <c r="AO60" s="268" t="str">
        <f t="shared" si="72"/>
        <v/>
      </c>
      <c r="AP60" s="268" t="str">
        <f t="shared" si="72"/>
        <v/>
      </c>
      <c r="AQ60" s="268" t="str">
        <f t="shared" si="72"/>
        <v/>
      </c>
      <c r="AR60" s="268" t="str">
        <f t="shared" si="72"/>
        <v/>
      </c>
      <c r="AS60" s="268" t="str">
        <f t="shared" si="72"/>
        <v/>
      </c>
      <c r="AT60" s="268" t="str">
        <f t="shared" si="72"/>
        <v/>
      </c>
      <c r="AU60" s="268" t="str">
        <f t="shared" si="72"/>
        <v/>
      </c>
      <c r="AV60" s="268" t="str">
        <f t="shared" si="72"/>
        <v/>
      </c>
      <c r="AW60" s="268" t="str">
        <f t="shared" si="72"/>
        <v/>
      </c>
      <c r="AX60" s="268" t="str">
        <f t="shared" si="72"/>
        <v/>
      </c>
      <c r="AY60" s="268" t="str">
        <f t="shared" si="72"/>
        <v/>
      </c>
      <c r="AZ60" s="268" t="str">
        <f t="shared" si="72"/>
        <v/>
      </c>
      <c r="BA60" s="268" t="str">
        <f t="shared" si="72"/>
        <v/>
      </c>
      <c r="BB60" s="268" t="str">
        <f t="shared" si="72"/>
        <v/>
      </c>
      <c r="BC60" s="268" t="str">
        <f t="shared" si="72"/>
        <v/>
      </c>
      <c r="BD60" s="268" t="str">
        <f t="shared" si="72"/>
        <v/>
      </c>
      <c r="BE60" s="268" t="str">
        <f t="shared" si="72"/>
        <v/>
      </c>
      <c r="BF60" s="268" t="str">
        <f t="shared" si="72"/>
        <v/>
      </c>
      <c r="BG60" s="268" t="str">
        <f t="shared" si="72"/>
        <v/>
      </c>
      <c r="BH60" s="268" t="str">
        <f t="shared" si="72"/>
        <v/>
      </c>
      <c r="BI60" s="268" t="str">
        <f t="shared" si="72"/>
        <v/>
      </c>
      <c r="BJ60" s="268" t="str">
        <f t="shared" si="72"/>
        <v/>
      </c>
      <c r="BK60" s="268" t="str">
        <f t="shared" si="72"/>
        <v/>
      </c>
      <c r="BL60" s="268" t="str">
        <f t="shared" si="72"/>
        <v/>
      </c>
      <c r="BM60" s="268" t="str">
        <f t="shared" si="72"/>
        <v/>
      </c>
      <c r="BN60" s="268" t="str">
        <f t="shared" si="72"/>
        <v/>
      </c>
      <c r="BO60" s="268" t="str">
        <f t="shared" si="72"/>
        <v/>
      </c>
      <c r="BP60" s="268" t="str">
        <f t="shared" si="72"/>
        <v/>
      </c>
      <c r="BQ60" s="268" t="str">
        <f t="shared" si="72"/>
        <v/>
      </c>
      <c r="BR60" s="268" t="str">
        <f t="shared" si="72"/>
        <v/>
      </c>
      <c r="BS60" s="268" t="str">
        <f t="shared" si="72"/>
        <v/>
      </c>
      <c r="BT60" s="268" t="str">
        <f t="shared" si="72"/>
        <v/>
      </c>
      <c r="BU60" s="268" t="str">
        <f t="shared" si="3"/>
        <v/>
      </c>
      <c r="BV60" s="247">
        <v>2.09</v>
      </c>
      <c r="BW60" s="729">
        <f t="shared" si="55"/>
        <v>2044.02</v>
      </c>
      <c r="BX60" s="730">
        <f t="shared" si="56"/>
        <v>15841.16</v>
      </c>
      <c r="BY60" s="731" t="str">
        <f t="shared" si="69"/>
        <v>SR</v>
      </c>
    </row>
    <row r="61" s="698" customFormat="1" customHeight="1" spans="1:77">
      <c r="A61" s="208">
        <v>45992</v>
      </c>
      <c r="B61" s="208">
        <v>46044</v>
      </c>
      <c r="C61" s="211"/>
      <c r="D61" s="211" t="s">
        <v>337</v>
      </c>
      <c r="E61" s="211" t="s">
        <v>38</v>
      </c>
      <c r="F61" s="732">
        <v>480</v>
      </c>
      <c r="G61" s="211" t="s">
        <v>327</v>
      </c>
      <c r="H61" s="211" t="str">
        <f>IFERROR(VLOOKUP(E61,名称!A:E,4,0),"")</f>
        <v>二代</v>
      </c>
      <c r="I61" s="268" t="str">
        <f t="shared" ref="I61:BT61" si="73">IF(OR($E61="",I$1=""),"",IF(TRIM(LEFT($E61,MIN(IFERROR(FIND("CDU",UPPER($E61)),999),IFERROR(FIND("BULK",UPPER($E61)),999),IFERROR(FIND("-",$E61),999),IFERROR(FIND("（",$E61),999))-1))=I$1,$F61,""))</f>
        <v/>
      </c>
      <c r="J61" s="268" t="str">
        <f t="shared" si="73"/>
        <v/>
      </c>
      <c r="K61" s="268" t="str">
        <f t="shared" si="73"/>
        <v/>
      </c>
      <c r="L61" s="268" t="str">
        <f t="shared" si="73"/>
        <v/>
      </c>
      <c r="M61" s="268" t="str">
        <f t="shared" si="73"/>
        <v/>
      </c>
      <c r="N61" s="268" t="str">
        <f t="shared" si="73"/>
        <v/>
      </c>
      <c r="O61" s="268" t="str">
        <f t="shared" si="73"/>
        <v/>
      </c>
      <c r="P61" s="268" t="str">
        <f t="shared" si="73"/>
        <v/>
      </c>
      <c r="Q61" s="268" t="str">
        <f t="shared" si="73"/>
        <v/>
      </c>
      <c r="R61" s="268" t="str">
        <f t="shared" si="73"/>
        <v/>
      </c>
      <c r="S61" s="268" t="str">
        <f t="shared" si="73"/>
        <v/>
      </c>
      <c r="T61" s="268">
        <f t="shared" si="73"/>
        <v>480</v>
      </c>
      <c r="U61" s="268" t="str">
        <f t="shared" si="73"/>
        <v/>
      </c>
      <c r="V61" s="268" t="str">
        <f t="shared" si="73"/>
        <v/>
      </c>
      <c r="W61" s="268" t="str">
        <f t="shared" si="73"/>
        <v/>
      </c>
      <c r="X61" s="268" t="str">
        <f t="shared" si="73"/>
        <v/>
      </c>
      <c r="Y61" s="268" t="str">
        <f t="shared" si="73"/>
        <v/>
      </c>
      <c r="Z61" s="268" t="str">
        <f t="shared" si="73"/>
        <v/>
      </c>
      <c r="AA61" s="268" t="str">
        <f t="shared" si="73"/>
        <v/>
      </c>
      <c r="AB61" s="268" t="str">
        <f t="shared" si="73"/>
        <v/>
      </c>
      <c r="AC61" s="268" t="str">
        <f t="shared" si="73"/>
        <v/>
      </c>
      <c r="AD61" s="268" t="str">
        <f t="shared" si="73"/>
        <v/>
      </c>
      <c r="AE61" s="268" t="str">
        <f t="shared" si="73"/>
        <v/>
      </c>
      <c r="AF61" s="268" t="str">
        <f t="shared" si="73"/>
        <v/>
      </c>
      <c r="AG61" s="268" t="str">
        <f t="shared" si="73"/>
        <v/>
      </c>
      <c r="AH61" s="268" t="str">
        <f t="shared" si="73"/>
        <v/>
      </c>
      <c r="AI61" s="268" t="str">
        <f t="shared" si="73"/>
        <v/>
      </c>
      <c r="AJ61" s="268" t="str">
        <f t="shared" si="73"/>
        <v/>
      </c>
      <c r="AK61" s="268" t="str">
        <f t="shared" si="73"/>
        <v/>
      </c>
      <c r="AL61" s="268" t="str">
        <f t="shared" si="73"/>
        <v/>
      </c>
      <c r="AM61" s="268" t="str">
        <f t="shared" si="73"/>
        <v/>
      </c>
      <c r="AN61" s="268" t="str">
        <f t="shared" si="73"/>
        <v/>
      </c>
      <c r="AO61" s="268" t="str">
        <f t="shared" si="73"/>
        <v/>
      </c>
      <c r="AP61" s="268" t="str">
        <f t="shared" si="73"/>
        <v/>
      </c>
      <c r="AQ61" s="268" t="str">
        <f t="shared" si="73"/>
        <v/>
      </c>
      <c r="AR61" s="268" t="str">
        <f t="shared" si="73"/>
        <v/>
      </c>
      <c r="AS61" s="268" t="str">
        <f t="shared" si="73"/>
        <v/>
      </c>
      <c r="AT61" s="268" t="str">
        <f t="shared" si="73"/>
        <v/>
      </c>
      <c r="AU61" s="268" t="str">
        <f t="shared" si="73"/>
        <v/>
      </c>
      <c r="AV61" s="268" t="str">
        <f t="shared" si="73"/>
        <v/>
      </c>
      <c r="AW61" s="268" t="str">
        <f t="shared" si="73"/>
        <v/>
      </c>
      <c r="AX61" s="268" t="str">
        <f t="shared" si="73"/>
        <v/>
      </c>
      <c r="AY61" s="268" t="str">
        <f t="shared" si="73"/>
        <v/>
      </c>
      <c r="AZ61" s="268" t="str">
        <f t="shared" si="73"/>
        <v/>
      </c>
      <c r="BA61" s="268" t="str">
        <f t="shared" si="73"/>
        <v/>
      </c>
      <c r="BB61" s="268" t="str">
        <f t="shared" si="73"/>
        <v/>
      </c>
      <c r="BC61" s="268" t="str">
        <f t="shared" si="73"/>
        <v/>
      </c>
      <c r="BD61" s="268" t="str">
        <f t="shared" si="73"/>
        <v/>
      </c>
      <c r="BE61" s="268" t="str">
        <f t="shared" si="73"/>
        <v/>
      </c>
      <c r="BF61" s="268" t="str">
        <f t="shared" si="73"/>
        <v/>
      </c>
      <c r="BG61" s="268" t="str">
        <f t="shared" si="73"/>
        <v/>
      </c>
      <c r="BH61" s="268" t="str">
        <f t="shared" si="73"/>
        <v/>
      </c>
      <c r="BI61" s="268" t="str">
        <f t="shared" si="73"/>
        <v/>
      </c>
      <c r="BJ61" s="268" t="str">
        <f t="shared" si="73"/>
        <v/>
      </c>
      <c r="BK61" s="268" t="str">
        <f t="shared" si="73"/>
        <v/>
      </c>
      <c r="BL61" s="268" t="str">
        <f t="shared" si="73"/>
        <v/>
      </c>
      <c r="BM61" s="268" t="str">
        <f t="shared" si="73"/>
        <v/>
      </c>
      <c r="BN61" s="268" t="str">
        <f t="shared" si="73"/>
        <v/>
      </c>
      <c r="BO61" s="268" t="str">
        <f t="shared" si="73"/>
        <v/>
      </c>
      <c r="BP61" s="268" t="str">
        <f t="shared" si="73"/>
        <v/>
      </c>
      <c r="BQ61" s="268" t="str">
        <f t="shared" si="73"/>
        <v/>
      </c>
      <c r="BR61" s="268" t="str">
        <f t="shared" si="73"/>
        <v/>
      </c>
      <c r="BS61" s="268" t="str">
        <f t="shared" si="73"/>
        <v/>
      </c>
      <c r="BT61" s="268" t="str">
        <f t="shared" si="73"/>
        <v/>
      </c>
      <c r="BU61" s="268" t="str">
        <f t="shared" si="3"/>
        <v/>
      </c>
      <c r="BV61" s="247">
        <v>3.23</v>
      </c>
      <c r="BW61" s="729">
        <f t="shared" si="55"/>
        <v>1550.4</v>
      </c>
      <c r="BX61" s="730">
        <f t="shared" si="56"/>
        <v>12015.6</v>
      </c>
      <c r="BY61" s="731" t="str">
        <f t="shared" si="69"/>
        <v>SR</v>
      </c>
    </row>
    <row r="62" s="698" customFormat="1" customHeight="1" spans="1:77">
      <c r="A62" s="208">
        <v>45992</v>
      </c>
      <c r="B62" s="208">
        <v>46044</v>
      </c>
      <c r="C62" s="211"/>
      <c r="D62" s="211" t="s">
        <v>337</v>
      </c>
      <c r="E62" s="211" t="s">
        <v>73</v>
      </c>
      <c r="F62" s="732">
        <v>480</v>
      </c>
      <c r="G62" s="211" t="s">
        <v>327</v>
      </c>
      <c r="H62" s="211" t="str">
        <f>IFERROR(VLOOKUP(E62,名称!A:E,4,0),"")</f>
        <v>二代</v>
      </c>
      <c r="I62" s="268" t="str">
        <f t="shared" ref="I62:BT62" si="74">IF(OR($E62="",I$1=""),"",IF(TRIM(LEFT($E62,MIN(IFERROR(FIND("CDU",UPPER($E62)),999),IFERROR(FIND("BULK",UPPER($E62)),999),IFERROR(FIND("-",$E62),999),IFERROR(FIND("（",$E62),999))-1))=I$1,$F62,""))</f>
        <v/>
      </c>
      <c r="J62" s="268" t="str">
        <f t="shared" si="74"/>
        <v/>
      </c>
      <c r="K62" s="268" t="str">
        <f t="shared" si="74"/>
        <v/>
      </c>
      <c r="L62" s="268" t="str">
        <f t="shared" si="74"/>
        <v/>
      </c>
      <c r="M62" s="268" t="str">
        <f t="shared" si="74"/>
        <v/>
      </c>
      <c r="N62" s="268" t="str">
        <f t="shared" si="74"/>
        <v/>
      </c>
      <c r="O62" s="268" t="str">
        <f t="shared" si="74"/>
        <v/>
      </c>
      <c r="P62" s="268" t="str">
        <f t="shared" si="74"/>
        <v/>
      </c>
      <c r="Q62" s="268" t="str">
        <f t="shared" si="74"/>
        <v/>
      </c>
      <c r="R62" s="268" t="str">
        <f t="shared" si="74"/>
        <v/>
      </c>
      <c r="S62" s="268" t="str">
        <f t="shared" si="74"/>
        <v/>
      </c>
      <c r="T62" s="268" t="str">
        <f t="shared" si="74"/>
        <v/>
      </c>
      <c r="U62" s="268" t="str">
        <f t="shared" si="74"/>
        <v/>
      </c>
      <c r="V62" s="268" t="str">
        <f t="shared" si="74"/>
        <v/>
      </c>
      <c r="W62" s="268">
        <f t="shared" si="74"/>
        <v>480</v>
      </c>
      <c r="X62" s="268" t="str">
        <f t="shared" si="74"/>
        <v/>
      </c>
      <c r="Y62" s="268" t="str">
        <f t="shared" si="74"/>
        <v/>
      </c>
      <c r="Z62" s="268" t="str">
        <f t="shared" si="74"/>
        <v/>
      </c>
      <c r="AA62" s="268" t="str">
        <f t="shared" si="74"/>
        <v/>
      </c>
      <c r="AB62" s="268" t="str">
        <f t="shared" si="74"/>
        <v/>
      </c>
      <c r="AC62" s="268" t="str">
        <f t="shared" si="74"/>
        <v/>
      </c>
      <c r="AD62" s="268" t="str">
        <f t="shared" si="74"/>
        <v/>
      </c>
      <c r="AE62" s="268" t="str">
        <f t="shared" si="74"/>
        <v/>
      </c>
      <c r="AF62" s="268" t="str">
        <f t="shared" si="74"/>
        <v/>
      </c>
      <c r="AG62" s="268" t="str">
        <f t="shared" si="74"/>
        <v/>
      </c>
      <c r="AH62" s="268" t="str">
        <f t="shared" si="74"/>
        <v/>
      </c>
      <c r="AI62" s="268" t="str">
        <f t="shared" si="74"/>
        <v/>
      </c>
      <c r="AJ62" s="268" t="str">
        <f t="shared" si="74"/>
        <v/>
      </c>
      <c r="AK62" s="268" t="str">
        <f t="shared" si="74"/>
        <v/>
      </c>
      <c r="AL62" s="268" t="str">
        <f t="shared" si="74"/>
        <v/>
      </c>
      <c r="AM62" s="268" t="str">
        <f t="shared" si="74"/>
        <v/>
      </c>
      <c r="AN62" s="268" t="str">
        <f t="shared" si="74"/>
        <v/>
      </c>
      <c r="AO62" s="268" t="str">
        <f t="shared" si="74"/>
        <v/>
      </c>
      <c r="AP62" s="268" t="str">
        <f t="shared" si="74"/>
        <v/>
      </c>
      <c r="AQ62" s="268" t="str">
        <f t="shared" si="74"/>
        <v/>
      </c>
      <c r="AR62" s="268" t="str">
        <f t="shared" si="74"/>
        <v/>
      </c>
      <c r="AS62" s="268" t="str">
        <f t="shared" si="74"/>
        <v/>
      </c>
      <c r="AT62" s="268" t="str">
        <f t="shared" si="74"/>
        <v/>
      </c>
      <c r="AU62" s="268" t="str">
        <f t="shared" si="74"/>
        <v/>
      </c>
      <c r="AV62" s="268" t="str">
        <f t="shared" si="74"/>
        <v/>
      </c>
      <c r="AW62" s="268" t="str">
        <f t="shared" si="74"/>
        <v/>
      </c>
      <c r="AX62" s="268" t="str">
        <f t="shared" si="74"/>
        <v/>
      </c>
      <c r="AY62" s="268" t="str">
        <f t="shared" si="74"/>
        <v/>
      </c>
      <c r="AZ62" s="268" t="str">
        <f t="shared" si="74"/>
        <v/>
      </c>
      <c r="BA62" s="268" t="str">
        <f t="shared" si="74"/>
        <v/>
      </c>
      <c r="BB62" s="268" t="str">
        <f t="shared" si="74"/>
        <v/>
      </c>
      <c r="BC62" s="268" t="str">
        <f t="shared" si="74"/>
        <v/>
      </c>
      <c r="BD62" s="268" t="str">
        <f t="shared" si="74"/>
        <v/>
      </c>
      <c r="BE62" s="268" t="str">
        <f t="shared" si="74"/>
        <v/>
      </c>
      <c r="BF62" s="268" t="str">
        <f t="shared" si="74"/>
        <v/>
      </c>
      <c r="BG62" s="268" t="str">
        <f t="shared" si="74"/>
        <v/>
      </c>
      <c r="BH62" s="268" t="str">
        <f t="shared" si="74"/>
        <v/>
      </c>
      <c r="BI62" s="268" t="str">
        <f t="shared" si="74"/>
        <v/>
      </c>
      <c r="BJ62" s="268" t="str">
        <f t="shared" si="74"/>
        <v/>
      </c>
      <c r="BK62" s="268" t="str">
        <f t="shared" si="74"/>
        <v/>
      </c>
      <c r="BL62" s="268" t="str">
        <f t="shared" si="74"/>
        <v/>
      </c>
      <c r="BM62" s="268" t="str">
        <f t="shared" si="74"/>
        <v/>
      </c>
      <c r="BN62" s="268" t="str">
        <f t="shared" si="74"/>
        <v/>
      </c>
      <c r="BO62" s="268" t="str">
        <f t="shared" si="74"/>
        <v/>
      </c>
      <c r="BP62" s="268" t="str">
        <f t="shared" si="74"/>
        <v/>
      </c>
      <c r="BQ62" s="268" t="str">
        <f t="shared" si="74"/>
        <v/>
      </c>
      <c r="BR62" s="268" t="str">
        <f t="shared" si="74"/>
        <v/>
      </c>
      <c r="BS62" s="268" t="str">
        <f t="shared" si="74"/>
        <v/>
      </c>
      <c r="BT62" s="268" t="str">
        <f t="shared" si="74"/>
        <v/>
      </c>
      <c r="BU62" s="268" t="str">
        <f t="shared" si="3"/>
        <v/>
      </c>
      <c r="BV62" s="247">
        <v>1.65</v>
      </c>
      <c r="BW62" s="729">
        <f t="shared" ref="BW62:BW90" si="75">SUM(I62:BU62)*BV62</f>
        <v>792</v>
      </c>
      <c r="BX62" s="730">
        <f t="shared" ref="BX62:BX90" si="76">BW62*7.75</f>
        <v>6138</v>
      </c>
      <c r="BY62" s="731" t="str">
        <f t="shared" si="69"/>
        <v>SR</v>
      </c>
    </row>
    <row r="63" s="698" customFormat="1" customHeight="1" spans="1:77">
      <c r="A63" s="208">
        <v>45992</v>
      </c>
      <c r="B63" s="208">
        <v>46044</v>
      </c>
      <c r="C63" s="211"/>
      <c r="D63" s="211" t="s">
        <v>337</v>
      </c>
      <c r="E63" s="211" t="s">
        <v>69</v>
      </c>
      <c r="F63" s="732">
        <v>100</v>
      </c>
      <c r="G63" s="211" t="s">
        <v>327</v>
      </c>
      <c r="H63" s="211" t="str">
        <f>IFERROR(VLOOKUP(E63,名称!A:E,4,0),"")</f>
        <v>二代</v>
      </c>
      <c r="I63" s="268" t="str">
        <f t="shared" ref="I63:BT63" si="77">IF(OR($E63="",I$1=""),"",IF(TRIM(LEFT($E63,MIN(IFERROR(FIND("CDU",UPPER($E63)),999),IFERROR(FIND("BULK",UPPER($E63)),999),IFERROR(FIND("-",$E63),999),IFERROR(FIND("（",$E63),999))-1))=I$1,$F63,""))</f>
        <v/>
      </c>
      <c r="J63" s="268" t="str">
        <f t="shared" si="77"/>
        <v/>
      </c>
      <c r="K63" s="268" t="str">
        <f t="shared" si="77"/>
        <v/>
      </c>
      <c r="L63" s="268" t="str">
        <f t="shared" si="77"/>
        <v/>
      </c>
      <c r="M63" s="268" t="str">
        <f t="shared" si="77"/>
        <v/>
      </c>
      <c r="N63" s="268" t="str">
        <f t="shared" si="77"/>
        <v/>
      </c>
      <c r="O63" s="268" t="str">
        <f t="shared" si="77"/>
        <v/>
      </c>
      <c r="P63" s="268" t="str">
        <f t="shared" si="77"/>
        <v/>
      </c>
      <c r="Q63" s="268" t="str">
        <f t="shared" si="77"/>
        <v/>
      </c>
      <c r="R63" s="268" t="str">
        <f t="shared" si="77"/>
        <v/>
      </c>
      <c r="S63" s="268" t="str">
        <f t="shared" si="77"/>
        <v/>
      </c>
      <c r="T63" s="268" t="str">
        <f t="shared" si="77"/>
        <v/>
      </c>
      <c r="U63" s="268">
        <f t="shared" si="77"/>
        <v>100</v>
      </c>
      <c r="V63" s="268" t="str">
        <f t="shared" si="77"/>
        <v/>
      </c>
      <c r="W63" s="268" t="str">
        <f t="shared" si="77"/>
        <v/>
      </c>
      <c r="X63" s="268" t="str">
        <f t="shared" si="77"/>
        <v/>
      </c>
      <c r="Y63" s="268" t="str">
        <f t="shared" si="77"/>
        <v/>
      </c>
      <c r="Z63" s="268" t="str">
        <f t="shared" si="77"/>
        <v/>
      </c>
      <c r="AA63" s="268" t="str">
        <f t="shared" si="77"/>
        <v/>
      </c>
      <c r="AB63" s="268" t="str">
        <f t="shared" si="77"/>
        <v/>
      </c>
      <c r="AC63" s="268" t="str">
        <f t="shared" si="77"/>
        <v/>
      </c>
      <c r="AD63" s="268" t="str">
        <f t="shared" si="77"/>
        <v/>
      </c>
      <c r="AE63" s="268" t="str">
        <f t="shared" si="77"/>
        <v/>
      </c>
      <c r="AF63" s="268" t="str">
        <f t="shared" si="77"/>
        <v/>
      </c>
      <c r="AG63" s="268" t="str">
        <f t="shared" si="77"/>
        <v/>
      </c>
      <c r="AH63" s="268" t="str">
        <f t="shared" si="77"/>
        <v/>
      </c>
      <c r="AI63" s="268" t="str">
        <f t="shared" si="77"/>
        <v/>
      </c>
      <c r="AJ63" s="268" t="str">
        <f t="shared" si="77"/>
        <v/>
      </c>
      <c r="AK63" s="268" t="str">
        <f t="shared" si="77"/>
        <v/>
      </c>
      <c r="AL63" s="268" t="str">
        <f t="shared" si="77"/>
        <v/>
      </c>
      <c r="AM63" s="268" t="str">
        <f t="shared" si="77"/>
        <v/>
      </c>
      <c r="AN63" s="268" t="str">
        <f t="shared" si="77"/>
        <v/>
      </c>
      <c r="AO63" s="268" t="str">
        <f t="shared" si="77"/>
        <v/>
      </c>
      <c r="AP63" s="268" t="str">
        <f t="shared" si="77"/>
        <v/>
      </c>
      <c r="AQ63" s="268" t="str">
        <f t="shared" si="77"/>
        <v/>
      </c>
      <c r="AR63" s="268" t="str">
        <f t="shared" si="77"/>
        <v/>
      </c>
      <c r="AS63" s="268" t="str">
        <f t="shared" si="77"/>
        <v/>
      </c>
      <c r="AT63" s="268" t="str">
        <f t="shared" si="77"/>
        <v/>
      </c>
      <c r="AU63" s="268" t="str">
        <f t="shared" si="77"/>
        <v/>
      </c>
      <c r="AV63" s="268" t="str">
        <f t="shared" si="77"/>
        <v/>
      </c>
      <c r="AW63" s="268" t="str">
        <f t="shared" si="77"/>
        <v/>
      </c>
      <c r="AX63" s="268" t="str">
        <f t="shared" si="77"/>
        <v/>
      </c>
      <c r="AY63" s="268" t="str">
        <f t="shared" si="77"/>
        <v/>
      </c>
      <c r="AZ63" s="268" t="str">
        <f t="shared" si="77"/>
        <v/>
      </c>
      <c r="BA63" s="268" t="str">
        <f t="shared" si="77"/>
        <v/>
      </c>
      <c r="BB63" s="268" t="str">
        <f t="shared" si="77"/>
        <v/>
      </c>
      <c r="BC63" s="268" t="str">
        <f t="shared" si="77"/>
        <v/>
      </c>
      <c r="BD63" s="268" t="str">
        <f t="shared" si="77"/>
        <v/>
      </c>
      <c r="BE63" s="268" t="str">
        <f t="shared" si="77"/>
        <v/>
      </c>
      <c r="BF63" s="268" t="str">
        <f t="shared" si="77"/>
        <v/>
      </c>
      <c r="BG63" s="268" t="str">
        <f t="shared" si="77"/>
        <v/>
      </c>
      <c r="BH63" s="268" t="str">
        <f t="shared" si="77"/>
        <v/>
      </c>
      <c r="BI63" s="268" t="str">
        <f t="shared" si="77"/>
        <v/>
      </c>
      <c r="BJ63" s="268" t="str">
        <f t="shared" si="77"/>
        <v/>
      </c>
      <c r="BK63" s="268" t="str">
        <f t="shared" si="77"/>
        <v/>
      </c>
      <c r="BL63" s="268" t="str">
        <f t="shared" si="77"/>
        <v/>
      </c>
      <c r="BM63" s="268" t="str">
        <f t="shared" si="77"/>
        <v/>
      </c>
      <c r="BN63" s="268" t="str">
        <f t="shared" si="77"/>
        <v/>
      </c>
      <c r="BO63" s="268" t="str">
        <f t="shared" si="77"/>
        <v/>
      </c>
      <c r="BP63" s="268" t="str">
        <f t="shared" si="77"/>
        <v/>
      </c>
      <c r="BQ63" s="268" t="str">
        <f t="shared" si="77"/>
        <v/>
      </c>
      <c r="BR63" s="268" t="str">
        <f t="shared" si="77"/>
        <v/>
      </c>
      <c r="BS63" s="268" t="str">
        <f t="shared" si="77"/>
        <v/>
      </c>
      <c r="BT63" s="268" t="str">
        <f t="shared" si="77"/>
        <v/>
      </c>
      <c r="BU63" s="268" t="str">
        <f t="shared" si="3"/>
        <v/>
      </c>
      <c r="BV63" s="247">
        <v>9.98</v>
      </c>
      <c r="BW63" s="729">
        <f t="shared" si="75"/>
        <v>998</v>
      </c>
      <c r="BX63" s="730">
        <f t="shared" si="76"/>
        <v>7734.5</v>
      </c>
      <c r="BY63" s="731" t="str">
        <f t="shared" si="69"/>
        <v>SR</v>
      </c>
    </row>
    <row r="64" s="698" customFormat="1" customHeight="1" spans="1:77">
      <c r="A64" s="208">
        <v>45992</v>
      </c>
      <c r="B64" s="208">
        <v>46044</v>
      </c>
      <c r="C64" s="211"/>
      <c r="D64" s="211" t="s">
        <v>337</v>
      </c>
      <c r="E64" s="211" t="s">
        <v>64</v>
      </c>
      <c r="F64" s="732">
        <v>480</v>
      </c>
      <c r="G64" s="211" t="s">
        <v>327</v>
      </c>
      <c r="H64" s="211" t="str">
        <f>IFERROR(VLOOKUP(E64,名称!A:E,4,0),"")</f>
        <v>二代</v>
      </c>
      <c r="I64" s="268" t="str">
        <f t="shared" ref="I64:BT64" si="78">IF(OR($E64="",I$1=""),"",IF(TRIM(LEFT($E64,MIN(IFERROR(FIND("CDU",UPPER($E64)),999),IFERROR(FIND("BULK",UPPER($E64)),999),IFERROR(FIND("-",$E64),999),IFERROR(FIND("（",$E64),999))-1))=I$1,$F64,""))</f>
        <v/>
      </c>
      <c r="J64" s="268" t="str">
        <f t="shared" si="78"/>
        <v/>
      </c>
      <c r="K64" s="268" t="str">
        <f t="shared" si="78"/>
        <v/>
      </c>
      <c r="L64" s="268" t="str">
        <f t="shared" si="78"/>
        <v/>
      </c>
      <c r="M64" s="268" t="str">
        <f t="shared" si="78"/>
        <v/>
      </c>
      <c r="N64" s="268" t="str">
        <f t="shared" si="78"/>
        <v/>
      </c>
      <c r="O64" s="268" t="str">
        <f t="shared" si="78"/>
        <v/>
      </c>
      <c r="P64" s="268">
        <f t="shared" si="78"/>
        <v>480</v>
      </c>
      <c r="Q64" s="268" t="str">
        <f t="shared" si="78"/>
        <v/>
      </c>
      <c r="R64" s="268" t="str">
        <f t="shared" si="78"/>
        <v/>
      </c>
      <c r="S64" s="268" t="str">
        <f t="shared" si="78"/>
        <v/>
      </c>
      <c r="T64" s="268" t="str">
        <f t="shared" si="78"/>
        <v/>
      </c>
      <c r="U64" s="268" t="str">
        <f t="shared" si="78"/>
        <v/>
      </c>
      <c r="V64" s="268" t="str">
        <f t="shared" si="78"/>
        <v/>
      </c>
      <c r="W64" s="268" t="str">
        <f t="shared" si="78"/>
        <v/>
      </c>
      <c r="X64" s="268" t="str">
        <f t="shared" si="78"/>
        <v/>
      </c>
      <c r="Y64" s="268" t="str">
        <f t="shared" si="78"/>
        <v/>
      </c>
      <c r="Z64" s="268" t="str">
        <f t="shared" si="78"/>
        <v/>
      </c>
      <c r="AA64" s="268" t="str">
        <f t="shared" si="78"/>
        <v/>
      </c>
      <c r="AB64" s="268" t="str">
        <f t="shared" si="78"/>
        <v/>
      </c>
      <c r="AC64" s="268" t="str">
        <f t="shared" si="78"/>
        <v/>
      </c>
      <c r="AD64" s="268" t="str">
        <f t="shared" si="78"/>
        <v/>
      </c>
      <c r="AE64" s="268" t="str">
        <f t="shared" si="78"/>
        <v/>
      </c>
      <c r="AF64" s="268" t="str">
        <f t="shared" si="78"/>
        <v/>
      </c>
      <c r="AG64" s="268" t="str">
        <f t="shared" si="78"/>
        <v/>
      </c>
      <c r="AH64" s="268" t="str">
        <f t="shared" si="78"/>
        <v/>
      </c>
      <c r="AI64" s="268" t="str">
        <f t="shared" si="78"/>
        <v/>
      </c>
      <c r="AJ64" s="268" t="str">
        <f t="shared" si="78"/>
        <v/>
      </c>
      <c r="AK64" s="268" t="str">
        <f t="shared" si="78"/>
        <v/>
      </c>
      <c r="AL64" s="268" t="str">
        <f t="shared" si="78"/>
        <v/>
      </c>
      <c r="AM64" s="268" t="str">
        <f t="shared" si="78"/>
        <v/>
      </c>
      <c r="AN64" s="268" t="str">
        <f t="shared" si="78"/>
        <v/>
      </c>
      <c r="AO64" s="268" t="str">
        <f t="shared" si="78"/>
        <v/>
      </c>
      <c r="AP64" s="268" t="str">
        <f t="shared" si="78"/>
        <v/>
      </c>
      <c r="AQ64" s="268" t="str">
        <f t="shared" si="78"/>
        <v/>
      </c>
      <c r="AR64" s="268" t="str">
        <f t="shared" si="78"/>
        <v/>
      </c>
      <c r="AS64" s="268" t="str">
        <f t="shared" si="78"/>
        <v/>
      </c>
      <c r="AT64" s="268" t="str">
        <f t="shared" si="78"/>
        <v/>
      </c>
      <c r="AU64" s="268" t="str">
        <f t="shared" si="78"/>
        <v/>
      </c>
      <c r="AV64" s="268" t="str">
        <f t="shared" si="78"/>
        <v/>
      </c>
      <c r="AW64" s="268" t="str">
        <f t="shared" si="78"/>
        <v/>
      </c>
      <c r="AX64" s="268" t="str">
        <f t="shared" si="78"/>
        <v/>
      </c>
      <c r="AY64" s="268" t="str">
        <f t="shared" si="78"/>
        <v/>
      </c>
      <c r="AZ64" s="268" t="str">
        <f t="shared" si="78"/>
        <v/>
      </c>
      <c r="BA64" s="268" t="str">
        <f t="shared" si="78"/>
        <v/>
      </c>
      <c r="BB64" s="268" t="str">
        <f t="shared" si="78"/>
        <v/>
      </c>
      <c r="BC64" s="268" t="str">
        <f t="shared" si="78"/>
        <v/>
      </c>
      <c r="BD64" s="268" t="str">
        <f t="shared" si="78"/>
        <v/>
      </c>
      <c r="BE64" s="268" t="str">
        <f t="shared" si="78"/>
        <v/>
      </c>
      <c r="BF64" s="268" t="str">
        <f t="shared" si="78"/>
        <v/>
      </c>
      <c r="BG64" s="268" t="str">
        <f t="shared" si="78"/>
        <v/>
      </c>
      <c r="BH64" s="268" t="str">
        <f t="shared" si="78"/>
        <v/>
      </c>
      <c r="BI64" s="268" t="str">
        <f t="shared" si="78"/>
        <v/>
      </c>
      <c r="BJ64" s="268" t="str">
        <f t="shared" si="78"/>
        <v/>
      </c>
      <c r="BK64" s="268" t="str">
        <f t="shared" si="78"/>
        <v/>
      </c>
      <c r="BL64" s="268" t="str">
        <f t="shared" si="78"/>
        <v/>
      </c>
      <c r="BM64" s="268" t="str">
        <f t="shared" si="78"/>
        <v/>
      </c>
      <c r="BN64" s="268" t="str">
        <f t="shared" si="78"/>
        <v/>
      </c>
      <c r="BO64" s="268" t="str">
        <f t="shared" si="78"/>
        <v/>
      </c>
      <c r="BP64" s="268" t="str">
        <f t="shared" si="78"/>
        <v/>
      </c>
      <c r="BQ64" s="268" t="str">
        <f t="shared" si="78"/>
        <v/>
      </c>
      <c r="BR64" s="268" t="str">
        <f t="shared" si="78"/>
        <v/>
      </c>
      <c r="BS64" s="268" t="str">
        <f t="shared" si="78"/>
        <v/>
      </c>
      <c r="BT64" s="268" t="str">
        <f t="shared" si="78"/>
        <v/>
      </c>
      <c r="BU64" s="268" t="str">
        <f t="shared" si="3"/>
        <v/>
      </c>
      <c r="BV64" s="247">
        <v>0.65</v>
      </c>
      <c r="BW64" s="729">
        <f t="shared" si="75"/>
        <v>312</v>
      </c>
      <c r="BX64" s="730">
        <f t="shared" si="76"/>
        <v>2418</v>
      </c>
      <c r="BY64" s="731" t="str">
        <f t="shared" si="69"/>
        <v>SR</v>
      </c>
    </row>
    <row r="65" s="698" customFormat="1" customHeight="1" spans="1:77">
      <c r="A65" s="208">
        <v>45992</v>
      </c>
      <c r="B65" s="208">
        <v>46044</v>
      </c>
      <c r="C65" s="211"/>
      <c r="D65" s="211" t="s">
        <v>337</v>
      </c>
      <c r="E65" s="211" t="s">
        <v>74</v>
      </c>
      <c r="F65" s="732">
        <v>120</v>
      </c>
      <c r="G65" s="211" t="s">
        <v>327</v>
      </c>
      <c r="H65" s="211" t="str">
        <f>IFERROR(VLOOKUP(E65,名称!A:E,4,0),"")</f>
        <v>二代</v>
      </c>
      <c r="I65" s="268" t="str">
        <f t="shared" ref="I65:BT65" si="79">IF(OR($E65="",I$1=""),"",IF(TRIM(LEFT($E65,MIN(IFERROR(FIND("CDU",UPPER($E65)),999),IFERROR(FIND("BULK",UPPER($E65)),999),IFERROR(FIND("-",$E65),999),IFERROR(FIND("（",$E65),999))-1))=I$1,$F65,""))</f>
        <v/>
      </c>
      <c r="J65" s="268" t="str">
        <f t="shared" si="79"/>
        <v/>
      </c>
      <c r="K65" s="268" t="str">
        <f t="shared" si="79"/>
        <v/>
      </c>
      <c r="L65" s="268" t="str">
        <f t="shared" si="79"/>
        <v/>
      </c>
      <c r="M65" s="268" t="str">
        <f t="shared" si="79"/>
        <v/>
      </c>
      <c r="N65" s="268" t="str">
        <f t="shared" si="79"/>
        <v/>
      </c>
      <c r="O65" s="268" t="str">
        <f t="shared" si="79"/>
        <v/>
      </c>
      <c r="P65" s="268" t="str">
        <f t="shared" si="79"/>
        <v/>
      </c>
      <c r="Q65" s="268" t="str">
        <f t="shared" si="79"/>
        <v/>
      </c>
      <c r="R65" s="268" t="str">
        <f t="shared" si="79"/>
        <v/>
      </c>
      <c r="S65" s="268" t="str">
        <f t="shared" si="79"/>
        <v/>
      </c>
      <c r="T65" s="268" t="str">
        <f t="shared" si="79"/>
        <v/>
      </c>
      <c r="U65" s="268" t="str">
        <f t="shared" si="79"/>
        <v/>
      </c>
      <c r="V65" s="268" t="str">
        <f t="shared" si="79"/>
        <v/>
      </c>
      <c r="W65" s="268" t="str">
        <f t="shared" si="79"/>
        <v/>
      </c>
      <c r="X65" s="268">
        <f t="shared" si="79"/>
        <v>120</v>
      </c>
      <c r="Y65" s="268" t="str">
        <f t="shared" si="79"/>
        <v/>
      </c>
      <c r="Z65" s="268" t="str">
        <f t="shared" si="79"/>
        <v/>
      </c>
      <c r="AA65" s="268" t="str">
        <f t="shared" si="79"/>
        <v/>
      </c>
      <c r="AB65" s="268" t="str">
        <f t="shared" si="79"/>
        <v/>
      </c>
      <c r="AC65" s="268" t="str">
        <f t="shared" si="79"/>
        <v/>
      </c>
      <c r="AD65" s="268" t="str">
        <f t="shared" si="79"/>
        <v/>
      </c>
      <c r="AE65" s="268" t="str">
        <f t="shared" si="79"/>
        <v/>
      </c>
      <c r="AF65" s="268" t="str">
        <f t="shared" si="79"/>
        <v/>
      </c>
      <c r="AG65" s="268" t="str">
        <f t="shared" si="79"/>
        <v/>
      </c>
      <c r="AH65" s="268" t="str">
        <f t="shared" si="79"/>
        <v/>
      </c>
      <c r="AI65" s="268" t="str">
        <f t="shared" si="79"/>
        <v/>
      </c>
      <c r="AJ65" s="268" t="str">
        <f t="shared" si="79"/>
        <v/>
      </c>
      <c r="AK65" s="268" t="str">
        <f t="shared" si="79"/>
        <v/>
      </c>
      <c r="AL65" s="268" t="str">
        <f t="shared" si="79"/>
        <v/>
      </c>
      <c r="AM65" s="268" t="str">
        <f t="shared" si="79"/>
        <v/>
      </c>
      <c r="AN65" s="268" t="str">
        <f t="shared" si="79"/>
        <v/>
      </c>
      <c r="AO65" s="268" t="str">
        <f t="shared" si="79"/>
        <v/>
      </c>
      <c r="AP65" s="268" t="str">
        <f t="shared" si="79"/>
        <v/>
      </c>
      <c r="AQ65" s="268" t="str">
        <f t="shared" si="79"/>
        <v/>
      </c>
      <c r="AR65" s="268" t="str">
        <f t="shared" si="79"/>
        <v/>
      </c>
      <c r="AS65" s="268" t="str">
        <f t="shared" si="79"/>
        <v/>
      </c>
      <c r="AT65" s="268" t="str">
        <f t="shared" si="79"/>
        <v/>
      </c>
      <c r="AU65" s="268" t="str">
        <f t="shared" si="79"/>
        <v/>
      </c>
      <c r="AV65" s="268" t="str">
        <f t="shared" si="79"/>
        <v/>
      </c>
      <c r="AW65" s="268" t="str">
        <f t="shared" si="79"/>
        <v/>
      </c>
      <c r="AX65" s="268" t="str">
        <f t="shared" si="79"/>
        <v/>
      </c>
      <c r="AY65" s="268" t="str">
        <f t="shared" si="79"/>
        <v/>
      </c>
      <c r="AZ65" s="268" t="str">
        <f t="shared" si="79"/>
        <v/>
      </c>
      <c r="BA65" s="268" t="str">
        <f t="shared" si="79"/>
        <v/>
      </c>
      <c r="BB65" s="268" t="str">
        <f t="shared" si="79"/>
        <v/>
      </c>
      <c r="BC65" s="268" t="str">
        <f t="shared" si="79"/>
        <v/>
      </c>
      <c r="BD65" s="268" t="str">
        <f t="shared" si="79"/>
        <v/>
      </c>
      <c r="BE65" s="268" t="str">
        <f t="shared" si="79"/>
        <v/>
      </c>
      <c r="BF65" s="268" t="str">
        <f t="shared" si="79"/>
        <v/>
      </c>
      <c r="BG65" s="268" t="str">
        <f t="shared" si="79"/>
        <v/>
      </c>
      <c r="BH65" s="268" t="str">
        <f t="shared" si="79"/>
        <v/>
      </c>
      <c r="BI65" s="268" t="str">
        <f t="shared" si="79"/>
        <v/>
      </c>
      <c r="BJ65" s="268" t="str">
        <f t="shared" si="79"/>
        <v/>
      </c>
      <c r="BK65" s="268" t="str">
        <f t="shared" si="79"/>
        <v/>
      </c>
      <c r="BL65" s="268" t="str">
        <f t="shared" si="79"/>
        <v/>
      </c>
      <c r="BM65" s="268" t="str">
        <f t="shared" si="79"/>
        <v/>
      </c>
      <c r="BN65" s="268" t="str">
        <f t="shared" si="79"/>
        <v/>
      </c>
      <c r="BO65" s="268" t="str">
        <f t="shared" si="79"/>
        <v/>
      </c>
      <c r="BP65" s="268" t="str">
        <f t="shared" si="79"/>
        <v/>
      </c>
      <c r="BQ65" s="268" t="str">
        <f t="shared" si="79"/>
        <v/>
      </c>
      <c r="BR65" s="268" t="str">
        <f t="shared" si="79"/>
        <v/>
      </c>
      <c r="BS65" s="268" t="str">
        <f t="shared" si="79"/>
        <v/>
      </c>
      <c r="BT65" s="268" t="str">
        <f t="shared" si="79"/>
        <v/>
      </c>
      <c r="BU65" s="268" t="str">
        <f t="shared" si="3"/>
        <v/>
      </c>
      <c r="BV65" s="247">
        <v>1.65</v>
      </c>
      <c r="BW65" s="729">
        <f t="shared" si="75"/>
        <v>198</v>
      </c>
      <c r="BX65" s="730">
        <f t="shared" si="76"/>
        <v>1534.5</v>
      </c>
      <c r="BY65" s="731" t="str">
        <f t="shared" si="69"/>
        <v>SR</v>
      </c>
    </row>
    <row r="66" s="698" customFormat="1" customHeight="1" spans="1:77">
      <c r="A66" s="208">
        <v>45992</v>
      </c>
      <c r="B66" s="208">
        <v>46044</v>
      </c>
      <c r="C66" s="211"/>
      <c r="D66" s="211" t="s">
        <v>337</v>
      </c>
      <c r="E66" s="211" t="s">
        <v>53</v>
      </c>
      <c r="F66" s="732">
        <v>240</v>
      </c>
      <c r="G66" s="211" t="s">
        <v>327</v>
      </c>
      <c r="H66" s="211" t="str">
        <f>IFERROR(VLOOKUP(E66,名称!A:E,4,0),"")</f>
        <v>二代</v>
      </c>
      <c r="I66" s="268" t="str">
        <f t="shared" ref="I66:BT66" si="80">IF(OR($E66="",I$1=""),"",IF(TRIM(LEFT($E66,MIN(IFERROR(FIND("CDU",UPPER($E66)),999),IFERROR(FIND("BULK",UPPER($E66)),999),IFERROR(FIND("-",$E66),999),IFERROR(FIND("（",$E66),999))-1))=I$1,$F66,""))</f>
        <v/>
      </c>
      <c r="J66" s="268" t="str">
        <f t="shared" si="80"/>
        <v/>
      </c>
      <c r="K66" s="268" t="str">
        <f t="shared" si="80"/>
        <v/>
      </c>
      <c r="L66" s="268" t="str">
        <f t="shared" si="80"/>
        <v/>
      </c>
      <c r="M66" s="268" t="str">
        <f t="shared" si="80"/>
        <v/>
      </c>
      <c r="N66" s="268" t="str">
        <f t="shared" si="80"/>
        <v/>
      </c>
      <c r="O66" s="268" t="str">
        <f t="shared" si="80"/>
        <v/>
      </c>
      <c r="P66" s="268" t="str">
        <f t="shared" si="80"/>
        <v/>
      </c>
      <c r="Q66" s="268" t="str">
        <f t="shared" si="80"/>
        <v/>
      </c>
      <c r="R66" s="268" t="str">
        <f t="shared" si="80"/>
        <v/>
      </c>
      <c r="S66" s="268" t="str">
        <f t="shared" si="80"/>
        <v/>
      </c>
      <c r="T66" s="268" t="str">
        <f t="shared" si="80"/>
        <v/>
      </c>
      <c r="U66" s="268" t="str">
        <f t="shared" si="80"/>
        <v/>
      </c>
      <c r="V66" s="268" t="str">
        <f t="shared" si="80"/>
        <v/>
      </c>
      <c r="W66" s="268" t="str">
        <f t="shared" si="80"/>
        <v/>
      </c>
      <c r="X66" s="268" t="str">
        <f t="shared" si="80"/>
        <v/>
      </c>
      <c r="Y66" s="268" t="str">
        <f t="shared" si="80"/>
        <v/>
      </c>
      <c r="Z66" s="268" t="str">
        <f t="shared" si="80"/>
        <v/>
      </c>
      <c r="AA66" s="268">
        <f t="shared" si="80"/>
        <v>240</v>
      </c>
      <c r="AB66" s="268" t="str">
        <f t="shared" si="80"/>
        <v/>
      </c>
      <c r="AC66" s="268" t="str">
        <f t="shared" si="80"/>
        <v/>
      </c>
      <c r="AD66" s="268" t="str">
        <f t="shared" si="80"/>
        <v/>
      </c>
      <c r="AE66" s="268" t="str">
        <f t="shared" si="80"/>
        <v/>
      </c>
      <c r="AF66" s="268" t="str">
        <f t="shared" si="80"/>
        <v/>
      </c>
      <c r="AG66" s="268" t="str">
        <f t="shared" si="80"/>
        <v/>
      </c>
      <c r="AH66" s="268" t="str">
        <f t="shared" si="80"/>
        <v/>
      </c>
      <c r="AI66" s="268" t="str">
        <f t="shared" si="80"/>
        <v/>
      </c>
      <c r="AJ66" s="268" t="str">
        <f t="shared" si="80"/>
        <v/>
      </c>
      <c r="AK66" s="268" t="str">
        <f t="shared" si="80"/>
        <v/>
      </c>
      <c r="AL66" s="268" t="str">
        <f t="shared" si="80"/>
        <v/>
      </c>
      <c r="AM66" s="268" t="str">
        <f t="shared" si="80"/>
        <v/>
      </c>
      <c r="AN66" s="268" t="str">
        <f t="shared" si="80"/>
        <v/>
      </c>
      <c r="AO66" s="268" t="str">
        <f t="shared" si="80"/>
        <v/>
      </c>
      <c r="AP66" s="268" t="str">
        <f t="shared" si="80"/>
        <v/>
      </c>
      <c r="AQ66" s="268" t="str">
        <f t="shared" si="80"/>
        <v/>
      </c>
      <c r="AR66" s="268" t="str">
        <f t="shared" si="80"/>
        <v/>
      </c>
      <c r="AS66" s="268" t="str">
        <f t="shared" si="80"/>
        <v/>
      </c>
      <c r="AT66" s="268" t="str">
        <f t="shared" si="80"/>
        <v/>
      </c>
      <c r="AU66" s="268" t="str">
        <f t="shared" si="80"/>
        <v/>
      </c>
      <c r="AV66" s="268" t="str">
        <f t="shared" si="80"/>
        <v/>
      </c>
      <c r="AW66" s="268" t="str">
        <f t="shared" si="80"/>
        <v/>
      </c>
      <c r="AX66" s="268" t="str">
        <f t="shared" si="80"/>
        <v/>
      </c>
      <c r="AY66" s="268" t="str">
        <f t="shared" si="80"/>
        <v/>
      </c>
      <c r="AZ66" s="268" t="str">
        <f t="shared" si="80"/>
        <v/>
      </c>
      <c r="BA66" s="268" t="str">
        <f t="shared" si="80"/>
        <v/>
      </c>
      <c r="BB66" s="268" t="str">
        <f t="shared" si="80"/>
        <v/>
      </c>
      <c r="BC66" s="268" t="str">
        <f t="shared" si="80"/>
        <v/>
      </c>
      <c r="BD66" s="268" t="str">
        <f t="shared" si="80"/>
        <v/>
      </c>
      <c r="BE66" s="268" t="str">
        <f t="shared" si="80"/>
        <v/>
      </c>
      <c r="BF66" s="268" t="str">
        <f t="shared" si="80"/>
        <v/>
      </c>
      <c r="BG66" s="268" t="str">
        <f t="shared" si="80"/>
        <v/>
      </c>
      <c r="BH66" s="268" t="str">
        <f t="shared" si="80"/>
        <v/>
      </c>
      <c r="BI66" s="268" t="str">
        <f t="shared" si="80"/>
        <v/>
      </c>
      <c r="BJ66" s="268" t="str">
        <f t="shared" si="80"/>
        <v/>
      </c>
      <c r="BK66" s="268" t="str">
        <f t="shared" si="80"/>
        <v/>
      </c>
      <c r="BL66" s="268" t="str">
        <f t="shared" si="80"/>
        <v/>
      </c>
      <c r="BM66" s="268" t="str">
        <f t="shared" si="80"/>
        <v/>
      </c>
      <c r="BN66" s="268" t="str">
        <f t="shared" si="80"/>
        <v/>
      </c>
      <c r="BO66" s="268" t="str">
        <f t="shared" si="80"/>
        <v/>
      </c>
      <c r="BP66" s="268" t="str">
        <f t="shared" si="80"/>
        <v/>
      </c>
      <c r="BQ66" s="268" t="str">
        <f t="shared" si="80"/>
        <v/>
      </c>
      <c r="BR66" s="268" t="str">
        <f t="shared" si="80"/>
        <v/>
      </c>
      <c r="BS66" s="268" t="str">
        <f t="shared" si="80"/>
        <v/>
      </c>
      <c r="BT66" s="268" t="str">
        <f t="shared" si="80"/>
        <v/>
      </c>
      <c r="BU66" s="268" t="str">
        <f t="shared" si="3"/>
        <v/>
      </c>
      <c r="BV66" s="247">
        <v>0.64</v>
      </c>
      <c r="BW66" s="729">
        <f t="shared" si="75"/>
        <v>153.6</v>
      </c>
      <c r="BX66" s="730">
        <f t="shared" si="76"/>
        <v>1190.4</v>
      </c>
      <c r="BY66" s="731" t="str">
        <f t="shared" si="69"/>
        <v>JS</v>
      </c>
    </row>
    <row r="67" s="698" customFormat="1" customHeight="1" spans="1:77">
      <c r="A67" s="208">
        <v>45992</v>
      </c>
      <c r="B67" s="208">
        <v>46044</v>
      </c>
      <c r="C67" s="211"/>
      <c r="D67" s="211" t="s">
        <v>337</v>
      </c>
      <c r="E67" s="211" t="s">
        <v>43</v>
      </c>
      <c r="F67" s="732">
        <v>120</v>
      </c>
      <c r="G67" s="211" t="s">
        <v>327</v>
      </c>
      <c r="H67" s="211" t="str">
        <f>IFERROR(VLOOKUP(E67,名称!A:E,4,0),"")</f>
        <v>二代</v>
      </c>
      <c r="I67" s="268" t="str">
        <f t="shared" ref="I67:BT67" si="81">IF(OR($E67="",I$1=""),"",IF(TRIM(LEFT($E67,MIN(IFERROR(FIND("CDU",UPPER($E67)),999),IFERROR(FIND("BULK",UPPER($E67)),999),IFERROR(FIND("-",$E67),999),IFERROR(FIND("（",$E67),999))-1))=I$1,$F67,""))</f>
        <v/>
      </c>
      <c r="J67" s="268" t="str">
        <f t="shared" si="81"/>
        <v/>
      </c>
      <c r="K67" s="268" t="str">
        <f t="shared" si="81"/>
        <v/>
      </c>
      <c r="L67" s="268" t="str">
        <f t="shared" si="81"/>
        <v/>
      </c>
      <c r="M67" s="268" t="str">
        <f t="shared" si="81"/>
        <v/>
      </c>
      <c r="N67" s="268">
        <f t="shared" si="81"/>
        <v>120</v>
      </c>
      <c r="O67" s="268" t="str">
        <f t="shared" si="81"/>
        <v/>
      </c>
      <c r="P67" s="268" t="str">
        <f t="shared" si="81"/>
        <v/>
      </c>
      <c r="Q67" s="268" t="str">
        <f t="shared" si="81"/>
        <v/>
      </c>
      <c r="R67" s="268" t="str">
        <f t="shared" si="81"/>
        <v/>
      </c>
      <c r="S67" s="268" t="str">
        <f t="shared" si="81"/>
        <v/>
      </c>
      <c r="T67" s="268" t="str">
        <f t="shared" si="81"/>
        <v/>
      </c>
      <c r="U67" s="268" t="str">
        <f t="shared" si="81"/>
        <v/>
      </c>
      <c r="V67" s="268" t="str">
        <f t="shared" si="81"/>
        <v/>
      </c>
      <c r="W67" s="268" t="str">
        <f t="shared" si="81"/>
        <v/>
      </c>
      <c r="X67" s="268" t="str">
        <f t="shared" si="81"/>
        <v/>
      </c>
      <c r="Y67" s="268" t="str">
        <f t="shared" si="81"/>
        <v/>
      </c>
      <c r="Z67" s="268" t="str">
        <f t="shared" si="81"/>
        <v/>
      </c>
      <c r="AA67" s="268" t="str">
        <f t="shared" si="81"/>
        <v/>
      </c>
      <c r="AB67" s="268" t="str">
        <f t="shared" si="81"/>
        <v/>
      </c>
      <c r="AC67" s="268" t="str">
        <f t="shared" si="81"/>
        <v/>
      </c>
      <c r="AD67" s="268" t="str">
        <f t="shared" si="81"/>
        <v/>
      </c>
      <c r="AE67" s="268" t="str">
        <f t="shared" si="81"/>
        <v/>
      </c>
      <c r="AF67" s="268" t="str">
        <f t="shared" si="81"/>
        <v/>
      </c>
      <c r="AG67" s="268" t="str">
        <f t="shared" si="81"/>
        <v/>
      </c>
      <c r="AH67" s="268" t="str">
        <f t="shared" si="81"/>
        <v/>
      </c>
      <c r="AI67" s="268" t="str">
        <f t="shared" si="81"/>
        <v/>
      </c>
      <c r="AJ67" s="268" t="str">
        <f t="shared" si="81"/>
        <v/>
      </c>
      <c r="AK67" s="268" t="str">
        <f t="shared" si="81"/>
        <v/>
      </c>
      <c r="AL67" s="268" t="str">
        <f t="shared" si="81"/>
        <v/>
      </c>
      <c r="AM67" s="268" t="str">
        <f t="shared" si="81"/>
        <v/>
      </c>
      <c r="AN67" s="268" t="str">
        <f t="shared" si="81"/>
        <v/>
      </c>
      <c r="AO67" s="268" t="str">
        <f t="shared" si="81"/>
        <v/>
      </c>
      <c r="AP67" s="268" t="str">
        <f t="shared" si="81"/>
        <v/>
      </c>
      <c r="AQ67" s="268" t="str">
        <f t="shared" si="81"/>
        <v/>
      </c>
      <c r="AR67" s="268" t="str">
        <f t="shared" si="81"/>
        <v/>
      </c>
      <c r="AS67" s="268" t="str">
        <f t="shared" si="81"/>
        <v/>
      </c>
      <c r="AT67" s="268" t="str">
        <f t="shared" si="81"/>
        <v/>
      </c>
      <c r="AU67" s="268" t="str">
        <f t="shared" si="81"/>
        <v/>
      </c>
      <c r="AV67" s="268" t="str">
        <f t="shared" si="81"/>
        <v/>
      </c>
      <c r="AW67" s="268" t="str">
        <f t="shared" si="81"/>
        <v/>
      </c>
      <c r="AX67" s="268" t="str">
        <f t="shared" si="81"/>
        <v/>
      </c>
      <c r="AY67" s="268" t="str">
        <f t="shared" si="81"/>
        <v/>
      </c>
      <c r="AZ67" s="268" t="str">
        <f t="shared" si="81"/>
        <v/>
      </c>
      <c r="BA67" s="268" t="str">
        <f t="shared" si="81"/>
        <v/>
      </c>
      <c r="BB67" s="268" t="str">
        <f t="shared" si="81"/>
        <v/>
      </c>
      <c r="BC67" s="268" t="str">
        <f t="shared" si="81"/>
        <v/>
      </c>
      <c r="BD67" s="268" t="str">
        <f t="shared" si="81"/>
        <v/>
      </c>
      <c r="BE67" s="268" t="str">
        <f t="shared" si="81"/>
        <v/>
      </c>
      <c r="BF67" s="268" t="str">
        <f t="shared" si="81"/>
        <v/>
      </c>
      <c r="BG67" s="268" t="str">
        <f t="shared" si="81"/>
        <v/>
      </c>
      <c r="BH67" s="268" t="str">
        <f t="shared" si="81"/>
        <v/>
      </c>
      <c r="BI67" s="268" t="str">
        <f t="shared" si="81"/>
        <v/>
      </c>
      <c r="BJ67" s="268" t="str">
        <f t="shared" si="81"/>
        <v/>
      </c>
      <c r="BK67" s="268" t="str">
        <f t="shared" si="81"/>
        <v/>
      </c>
      <c r="BL67" s="268" t="str">
        <f t="shared" si="81"/>
        <v/>
      </c>
      <c r="BM67" s="268" t="str">
        <f t="shared" si="81"/>
        <v/>
      </c>
      <c r="BN67" s="268" t="str">
        <f t="shared" si="81"/>
        <v/>
      </c>
      <c r="BO67" s="268" t="str">
        <f t="shared" si="81"/>
        <v/>
      </c>
      <c r="BP67" s="268" t="str">
        <f t="shared" si="81"/>
        <v/>
      </c>
      <c r="BQ67" s="268" t="str">
        <f t="shared" si="81"/>
        <v/>
      </c>
      <c r="BR67" s="268" t="str">
        <f t="shared" si="81"/>
        <v/>
      </c>
      <c r="BS67" s="268" t="str">
        <f t="shared" si="81"/>
        <v/>
      </c>
      <c r="BT67" s="268" t="str">
        <f t="shared" si="81"/>
        <v/>
      </c>
      <c r="BU67" s="268" t="str">
        <f t="shared" ref="BU67:BU130" si="82">IF(OR($E67="",BU$1=""),"",IF(TRIM(LEFT($E67,MIN(IFERROR(FIND("CDU",UPPER($E67)),999),IFERROR(FIND("BULK",UPPER($E67)),999),IFERROR(FIND("-",$E67),999),IFERROR(FIND("（",$E67),999))-1))=BU$1,$F67,""))</f>
        <v/>
      </c>
      <c r="BV67" s="247">
        <v>0.65</v>
      </c>
      <c r="BW67" s="729">
        <f t="shared" si="75"/>
        <v>78</v>
      </c>
      <c r="BX67" s="730">
        <f t="shared" si="76"/>
        <v>604.5</v>
      </c>
      <c r="BY67" s="731" t="str">
        <f t="shared" si="69"/>
        <v>SR</v>
      </c>
    </row>
    <row r="68" s="698" customFormat="1" customHeight="1" spans="1:77">
      <c r="A68" s="208">
        <v>45995</v>
      </c>
      <c r="B68" s="208">
        <v>46045</v>
      </c>
      <c r="C68" s="211" t="s">
        <v>338</v>
      </c>
      <c r="D68" s="211" t="s">
        <v>339</v>
      </c>
      <c r="E68" s="211" t="s">
        <v>54</v>
      </c>
      <c r="F68" s="732">
        <v>6003</v>
      </c>
      <c r="G68" s="211" t="s">
        <v>334</v>
      </c>
      <c r="H68" s="211" t="str">
        <f>IFERROR(VLOOKUP(E68,名称!A:E,4,0),"")</f>
        <v>二代</v>
      </c>
      <c r="I68" s="268" t="str">
        <f t="shared" ref="I68:BT68" si="83">IF(OR($E68="",I$1=""),"",IF(TRIM(LEFT($E68,MIN(IFERROR(FIND("CDU",UPPER($E68)),999),IFERROR(FIND("BULK",UPPER($E68)),999),IFERROR(FIND("-",$E68),999),IFERROR(FIND("（",$E68),999))-1))=I$1,$F68,""))</f>
        <v/>
      </c>
      <c r="J68" s="268" t="str">
        <f t="shared" si="83"/>
        <v/>
      </c>
      <c r="K68" s="268" t="str">
        <f t="shared" si="83"/>
        <v/>
      </c>
      <c r="L68" s="268" t="str">
        <f t="shared" si="83"/>
        <v/>
      </c>
      <c r="M68" s="268" t="str">
        <f t="shared" si="83"/>
        <v/>
      </c>
      <c r="N68" s="268" t="str">
        <f t="shared" si="83"/>
        <v/>
      </c>
      <c r="O68" s="268" t="str">
        <f t="shared" si="83"/>
        <v/>
      </c>
      <c r="P68" s="268" t="str">
        <f t="shared" si="83"/>
        <v/>
      </c>
      <c r="Q68" s="268" t="str">
        <f t="shared" si="83"/>
        <v/>
      </c>
      <c r="R68" s="268" t="str">
        <f t="shared" si="83"/>
        <v/>
      </c>
      <c r="S68" s="268" t="str">
        <f t="shared" si="83"/>
        <v/>
      </c>
      <c r="T68" s="268" t="str">
        <f t="shared" si="83"/>
        <v/>
      </c>
      <c r="U68" s="268" t="str">
        <f t="shared" si="83"/>
        <v/>
      </c>
      <c r="V68" s="268" t="str">
        <f t="shared" si="83"/>
        <v/>
      </c>
      <c r="W68" s="268" t="str">
        <f t="shared" si="83"/>
        <v/>
      </c>
      <c r="X68" s="268" t="str">
        <f t="shared" si="83"/>
        <v/>
      </c>
      <c r="Y68" s="268" t="str">
        <f t="shared" si="83"/>
        <v/>
      </c>
      <c r="Z68" s="268" t="str">
        <f t="shared" si="83"/>
        <v/>
      </c>
      <c r="AA68" s="268">
        <f t="shared" si="83"/>
        <v>6003</v>
      </c>
      <c r="AB68" s="268" t="str">
        <f t="shared" si="83"/>
        <v/>
      </c>
      <c r="AC68" s="268" t="str">
        <f t="shared" si="83"/>
        <v/>
      </c>
      <c r="AD68" s="268" t="str">
        <f t="shared" si="83"/>
        <v/>
      </c>
      <c r="AE68" s="268" t="str">
        <f t="shared" si="83"/>
        <v/>
      </c>
      <c r="AF68" s="268" t="str">
        <f t="shared" si="83"/>
        <v/>
      </c>
      <c r="AG68" s="268" t="str">
        <f t="shared" si="83"/>
        <v/>
      </c>
      <c r="AH68" s="268" t="str">
        <f t="shared" si="83"/>
        <v/>
      </c>
      <c r="AI68" s="268" t="str">
        <f t="shared" si="83"/>
        <v/>
      </c>
      <c r="AJ68" s="268" t="str">
        <f t="shared" si="83"/>
        <v/>
      </c>
      <c r="AK68" s="268" t="str">
        <f t="shared" si="83"/>
        <v/>
      </c>
      <c r="AL68" s="268" t="str">
        <f t="shared" si="83"/>
        <v/>
      </c>
      <c r="AM68" s="268" t="str">
        <f t="shared" si="83"/>
        <v/>
      </c>
      <c r="AN68" s="268" t="str">
        <f t="shared" si="83"/>
        <v/>
      </c>
      <c r="AO68" s="268" t="str">
        <f t="shared" si="83"/>
        <v/>
      </c>
      <c r="AP68" s="268" t="str">
        <f t="shared" si="83"/>
        <v/>
      </c>
      <c r="AQ68" s="268" t="str">
        <f t="shared" si="83"/>
        <v/>
      </c>
      <c r="AR68" s="268" t="str">
        <f t="shared" si="83"/>
        <v/>
      </c>
      <c r="AS68" s="268" t="str">
        <f t="shared" si="83"/>
        <v/>
      </c>
      <c r="AT68" s="268" t="str">
        <f t="shared" si="83"/>
        <v/>
      </c>
      <c r="AU68" s="268" t="str">
        <f t="shared" si="83"/>
        <v/>
      </c>
      <c r="AV68" s="268" t="str">
        <f t="shared" si="83"/>
        <v/>
      </c>
      <c r="AW68" s="268" t="str">
        <f t="shared" si="83"/>
        <v/>
      </c>
      <c r="AX68" s="268" t="str">
        <f t="shared" si="83"/>
        <v/>
      </c>
      <c r="AY68" s="268" t="str">
        <f t="shared" si="83"/>
        <v/>
      </c>
      <c r="AZ68" s="268" t="str">
        <f t="shared" si="83"/>
        <v/>
      </c>
      <c r="BA68" s="268" t="str">
        <f t="shared" si="83"/>
        <v/>
      </c>
      <c r="BB68" s="268" t="str">
        <f t="shared" si="83"/>
        <v/>
      </c>
      <c r="BC68" s="268" t="str">
        <f t="shared" si="83"/>
        <v/>
      </c>
      <c r="BD68" s="268" t="str">
        <f t="shared" si="83"/>
        <v/>
      </c>
      <c r="BE68" s="268" t="str">
        <f t="shared" si="83"/>
        <v/>
      </c>
      <c r="BF68" s="268" t="str">
        <f t="shared" si="83"/>
        <v/>
      </c>
      <c r="BG68" s="268" t="str">
        <f t="shared" si="83"/>
        <v/>
      </c>
      <c r="BH68" s="268" t="str">
        <f t="shared" si="83"/>
        <v/>
      </c>
      <c r="BI68" s="268" t="str">
        <f t="shared" si="83"/>
        <v/>
      </c>
      <c r="BJ68" s="268" t="str">
        <f t="shared" si="83"/>
        <v/>
      </c>
      <c r="BK68" s="268" t="str">
        <f t="shared" si="83"/>
        <v/>
      </c>
      <c r="BL68" s="268" t="str">
        <f t="shared" si="83"/>
        <v/>
      </c>
      <c r="BM68" s="268" t="str">
        <f t="shared" si="83"/>
        <v/>
      </c>
      <c r="BN68" s="268" t="str">
        <f t="shared" si="83"/>
        <v/>
      </c>
      <c r="BO68" s="268" t="str">
        <f t="shared" si="83"/>
        <v/>
      </c>
      <c r="BP68" s="268" t="str">
        <f t="shared" si="83"/>
        <v/>
      </c>
      <c r="BQ68" s="268" t="str">
        <f t="shared" si="83"/>
        <v/>
      </c>
      <c r="BR68" s="268" t="str">
        <f t="shared" si="83"/>
        <v/>
      </c>
      <c r="BS68" s="268" t="str">
        <f t="shared" si="83"/>
        <v/>
      </c>
      <c r="BT68" s="268" t="str">
        <f t="shared" si="83"/>
        <v/>
      </c>
      <c r="BU68" s="268" t="str">
        <f t="shared" si="82"/>
        <v/>
      </c>
      <c r="BV68" s="247">
        <v>0.6</v>
      </c>
      <c r="BW68" s="729">
        <f t="shared" si="75"/>
        <v>3601.8</v>
      </c>
      <c r="BX68" s="730">
        <f t="shared" si="76"/>
        <v>27913.95</v>
      </c>
      <c r="BY68" s="731" t="str">
        <f t="shared" si="69"/>
        <v>JS</v>
      </c>
    </row>
    <row r="69" s="698" customFormat="1" customHeight="1" spans="1:77">
      <c r="A69" s="208">
        <v>45995</v>
      </c>
      <c r="B69" s="208">
        <v>46045</v>
      </c>
      <c r="C69" s="211" t="s">
        <v>338</v>
      </c>
      <c r="D69" s="211" t="s">
        <v>339</v>
      </c>
      <c r="E69" s="211" t="s">
        <v>35</v>
      </c>
      <c r="F69" s="732">
        <v>18000</v>
      </c>
      <c r="G69" s="211" t="s">
        <v>334</v>
      </c>
      <c r="H69" s="211" t="str">
        <f>IFERROR(VLOOKUP(E69,名称!A:E,4,0),"")</f>
        <v>二代</v>
      </c>
      <c r="I69" s="268" t="str">
        <f t="shared" ref="I69:BT69" si="84">IF(OR($E69="",I$1=""),"",IF(TRIM(LEFT($E69,MIN(IFERROR(FIND("CDU",UPPER($E69)),999),IFERROR(FIND("BULK",UPPER($E69)),999),IFERROR(FIND("-",$E69),999),IFERROR(FIND("（",$E69),999))-1))=I$1,$F69,""))</f>
        <v/>
      </c>
      <c r="J69" s="268" t="str">
        <f t="shared" si="84"/>
        <v/>
      </c>
      <c r="K69" s="268">
        <f t="shared" si="84"/>
        <v>18000</v>
      </c>
      <c r="L69" s="268" t="str">
        <f t="shared" si="84"/>
        <v/>
      </c>
      <c r="M69" s="268" t="str">
        <f t="shared" si="84"/>
        <v/>
      </c>
      <c r="N69" s="268" t="str">
        <f t="shared" si="84"/>
        <v/>
      </c>
      <c r="O69" s="268" t="str">
        <f t="shared" si="84"/>
        <v/>
      </c>
      <c r="P69" s="268" t="str">
        <f t="shared" si="84"/>
        <v/>
      </c>
      <c r="Q69" s="268" t="str">
        <f t="shared" si="84"/>
        <v/>
      </c>
      <c r="R69" s="268" t="str">
        <f t="shared" si="84"/>
        <v/>
      </c>
      <c r="S69" s="268" t="str">
        <f t="shared" si="84"/>
        <v/>
      </c>
      <c r="T69" s="268" t="str">
        <f t="shared" si="84"/>
        <v/>
      </c>
      <c r="U69" s="268" t="str">
        <f t="shared" si="84"/>
        <v/>
      </c>
      <c r="V69" s="268" t="str">
        <f t="shared" si="84"/>
        <v/>
      </c>
      <c r="W69" s="268" t="str">
        <f t="shared" si="84"/>
        <v/>
      </c>
      <c r="X69" s="268" t="str">
        <f t="shared" si="84"/>
        <v/>
      </c>
      <c r="Y69" s="268" t="str">
        <f t="shared" si="84"/>
        <v/>
      </c>
      <c r="Z69" s="268" t="str">
        <f t="shared" si="84"/>
        <v/>
      </c>
      <c r="AA69" s="268" t="str">
        <f t="shared" si="84"/>
        <v/>
      </c>
      <c r="AB69" s="268" t="str">
        <f t="shared" si="84"/>
        <v/>
      </c>
      <c r="AC69" s="268" t="str">
        <f t="shared" si="84"/>
        <v/>
      </c>
      <c r="AD69" s="268" t="str">
        <f t="shared" si="84"/>
        <v/>
      </c>
      <c r="AE69" s="268" t="str">
        <f t="shared" si="84"/>
        <v/>
      </c>
      <c r="AF69" s="268" t="str">
        <f t="shared" si="84"/>
        <v/>
      </c>
      <c r="AG69" s="268" t="str">
        <f t="shared" si="84"/>
        <v/>
      </c>
      <c r="AH69" s="268" t="str">
        <f t="shared" si="84"/>
        <v/>
      </c>
      <c r="AI69" s="268" t="str">
        <f t="shared" si="84"/>
        <v/>
      </c>
      <c r="AJ69" s="268" t="str">
        <f t="shared" si="84"/>
        <v/>
      </c>
      <c r="AK69" s="268" t="str">
        <f t="shared" si="84"/>
        <v/>
      </c>
      <c r="AL69" s="268" t="str">
        <f t="shared" si="84"/>
        <v/>
      </c>
      <c r="AM69" s="268" t="str">
        <f t="shared" si="84"/>
        <v/>
      </c>
      <c r="AN69" s="268" t="str">
        <f t="shared" si="84"/>
        <v/>
      </c>
      <c r="AO69" s="268" t="str">
        <f t="shared" si="84"/>
        <v/>
      </c>
      <c r="AP69" s="268" t="str">
        <f t="shared" si="84"/>
        <v/>
      </c>
      <c r="AQ69" s="268" t="str">
        <f t="shared" si="84"/>
        <v/>
      </c>
      <c r="AR69" s="268" t="str">
        <f t="shared" si="84"/>
        <v/>
      </c>
      <c r="AS69" s="268" t="str">
        <f t="shared" si="84"/>
        <v/>
      </c>
      <c r="AT69" s="268" t="str">
        <f t="shared" si="84"/>
        <v/>
      </c>
      <c r="AU69" s="268" t="str">
        <f t="shared" si="84"/>
        <v/>
      </c>
      <c r="AV69" s="268" t="str">
        <f t="shared" si="84"/>
        <v/>
      </c>
      <c r="AW69" s="268" t="str">
        <f t="shared" si="84"/>
        <v/>
      </c>
      <c r="AX69" s="268" t="str">
        <f t="shared" si="84"/>
        <v/>
      </c>
      <c r="AY69" s="268" t="str">
        <f t="shared" si="84"/>
        <v/>
      </c>
      <c r="AZ69" s="268" t="str">
        <f t="shared" si="84"/>
        <v/>
      </c>
      <c r="BA69" s="268" t="str">
        <f t="shared" si="84"/>
        <v/>
      </c>
      <c r="BB69" s="268" t="str">
        <f t="shared" si="84"/>
        <v/>
      </c>
      <c r="BC69" s="268" t="str">
        <f t="shared" si="84"/>
        <v/>
      </c>
      <c r="BD69" s="268" t="str">
        <f t="shared" si="84"/>
        <v/>
      </c>
      <c r="BE69" s="268" t="str">
        <f t="shared" si="84"/>
        <v/>
      </c>
      <c r="BF69" s="268" t="str">
        <f t="shared" si="84"/>
        <v/>
      </c>
      <c r="BG69" s="268" t="str">
        <f t="shared" si="84"/>
        <v/>
      </c>
      <c r="BH69" s="268" t="str">
        <f t="shared" si="84"/>
        <v/>
      </c>
      <c r="BI69" s="268" t="str">
        <f t="shared" si="84"/>
        <v/>
      </c>
      <c r="BJ69" s="268" t="str">
        <f t="shared" si="84"/>
        <v/>
      </c>
      <c r="BK69" s="268" t="str">
        <f t="shared" si="84"/>
        <v/>
      </c>
      <c r="BL69" s="268" t="str">
        <f t="shared" si="84"/>
        <v/>
      </c>
      <c r="BM69" s="268" t="str">
        <f t="shared" si="84"/>
        <v/>
      </c>
      <c r="BN69" s="268" t="str">
        <f t="shared" si="84"/>
        <v/>
      </c>
      <c r="BO69" s="268" t="str">
        <f t="shared" si="84"/>
        <v/>
      </c>
      <c r="BP69" s="268" t="str">
        <f t="shared" si="84"/>
        <v/>
      </c>
      <c r="BQ69" s="268" t="str">
        <f t="shared" si="84"/>
        <v/>
      </c>
      <c r="BR69" s="268" t="str">
        <f t="shared" si="84"/>
        <v/>
      </c>
      <c r="BS69" s="268" t="str">
        <f t="shared" si="84"/>
        <v/>
      </c>
      <c r="BT69" s="268" t="str">
        <f t="shared" si="84"/>
        <v/>
      </c>
      <c r="BU69" s="268" t="str">
        <f t="shared" si="82"/>
        <v/>
      </c>
      <c r="BV69" s="247">
        <v>0.85</v>
      </c>
      <c r="BW69" s="729">
        <f t="shared" si="75"/>
        <v>15300</v>
      </c>
      <c r="BX69" s="730">
        <f t="shared" si="76"/>
        <v>118575</v>
      </c>
      <c r="BY69" s="731" t="str">
        <f t="shared" si="69"/>
        <v>SR</v>
      </c>
    </row>
    <row r="70" s="698" customFormat="1" customHeight="1" spans="1:77">
      <c r="A70" s="208">
        <v>45995</v>
      </c>
      <c r="B70" s="208">
        <v>46045</v>
      </c>
      <c r="C70" s="211" t="s">
        <v>338</v>
      </c>
      <c r="D70" s="211" t="s">
        <v>339</v>
      </c>
      <c r="E70" s="211" t="s">
        <v>37</v>
      </c>
      <c r="F70" s="732">
        <v>18000</v>
      </c>
      <c r="G70" s="211" t="s">
        <v>334</v>
      </c>
      <c r="H70" s="211" t="str">
        <f>IFERROR(VLOOKUP(E70,名称!A:E,4,0),"")</f>
        <v>二代</v>
      </c>
      <c r="I70" s="268" t="str">
        <f t="shared" ref="I70:BT70" si="85">IF(OR($E70="",I$1=""),"",IF(TRIM(LEFT($E70,MIN(IFERROR(FIND("CDU",UPPER($E70)),999),IFERROR(FIND("BULK",UPPER($E70)),999),IFERROR(FIND("-",$E70),999),IFERROR(FIND("（",$E70),999))-1))=I$1,$F70,""))</f>
        <v/>
      </c>
      <c r="J70" s="268" t="str">
        <f t="shared" si="85"/>
        <v/>
      </c>
      <c r="K70" s="268" t="str">
        <f t="shared" si="85"/>
        <v/>
      </c>
      <c r="L70" s="268" t="str">
        <f t="shared" si="85"/>
        <v/>
      </c>
      <c r="M70" s="268" t="str">
        <f t="shared" si="85"/>
        <v/>
      </c>
      <c r="N70" s="268" t="str">
        <f t="shared" si="85"/>
        <v/>
      </c>
      <c r="O70" s="268" t="str">
        <f t="shared" si="85"/>
        <v/>
      </c>
      <c r="P70" s="268" t="str">
        <f t="shared" si="85"/>
        <v/>
      </c>
      <c r="Q70" s="268" t="str">
        <f t="shared" si="85"/>
        <v/>
      </c>
      <c r="R70" s="268">
        <f t="shared" si="85"/>
        <v>18000</v>
      </c>
      <c r="S70" s="268" t="str">
        <f t="shared" si="85"/>
        <v/>
      </c>
      <c r="T70" s="268" t="str">
        <f t="shared" si="85"/>
        <v/>
      </c>
      <c r="U70" s="268" t="str">
        <f t="shared" si="85"/>
        <v/>
      </c>
      <c r="V70" s="268" t="str">
        <f t="shared" si="85"/>
        <v/>
      </c>
      <c r="W70" s="268" t="str">
        <f t="shared" si="85"/>
        <v/>
      </c>
      <c r="X70" s="268" t="str">
        <f t="shared" si="85"/>
        <v/>
      </c>
      <c r="Y70" s="268" t="str">
        <f t="shared" si="85"/>
        <v/>
      </c>
      <c r="Z70" s="268" t="str">
        <f t="shared" si="85"/>
        <v/>
      </c>
      <c r="AA70" s="268" t="str">
        <f t="shared" si="85"/>
        <v/>
      </c>
      <c r="AB70" s="268" t="str">
        <f t="shared" si="85"/>
        <v/>
      </c>
      <c r="AC70" s="268" t="str">
        <f t="shared" si="85"/>
        <v/>
      </c>
      <c r="AD70" s="268" t="str">
        <f t="shared" si="85"/>
        <v/>
      </c>
      <c r="AE70" s="268" t="str">
        <f t="shared" si="85"/>
        <v/>
      </c>
      <c r="AF70" s="268" t="str">
        <f t="shared" si="85"/>
        <v/>
      </c>
      <c r="AG70" s="268" t="str">
        <f t="shared" si="85"/>
        <v/>
      </c>
      <c r="AH70" s="268" t="str">
        <f t="shared" si="85"/>
        <v/>
      </c>
      <c r="AI70" s="268" t="str">
        <f t="shared" si="85"/>
        <v/>
      </c>
      <c r="AJ70" s="268" t="str">
        <f t="shared" si="85"/>
        <v/>
      </c>
      <c r="AK70" s="268" t="str">
        <f t="shared" si="85"/>
        <v/>
      </c>
      <c r="AL70" s="268" t="str">
        <f t="shared" si="85"/>
        <v/>
      </c>
      <c r="AM70" s="268" t="str">
        <f t="shared" si="85"/>
        <v/>
      </c>
      <c r="AN70" s="268" t="str">
        <f t="shared" si="85"/>
        <v/>
      </c>
      <c r="AO70" s="268" t="str">
        <f t="shared" si="85"/>
        <v/>
      </c>
      <c r="AP70" s="268" t="str">
        <f t="shared" si="85"/>
        <v/>
      </c>
      <c r="AQ70" s="268" t="str">
        <f t="shared" si="85"/>
        <v/>
      </c>
      <c r="AR70" s="268" t="str">
        <f t="shared" si="85"/>
        <v/>
      </c>
      <c r="AS70" s="268" t="str">
        <f t="shared" si="85"/>
        <v/>
      </c>
      <c r="AT70" s="268" t="str">
        <f t="shared" si="85"/>
        <v/>
      </c>
      <c r="AU70" s="268" t="str">
        <f t="shared" si="85"/>
        <v/>
      </c>
      <c r="AV70" s="268" t="str">
        <f t="shared" si="85"/>
        <v/>
      </c>
      <c r="AW70" s="268" t="str">
        <f t="shared" si="85"/>
        <v/>
      </c>
      <c r="AX70" s="268" t="str">
        <f t="shared" si="85"/>
        <v/>
      </c>
      <c r="AY70" s="268" t="str">
        <f t="shared" si="85"/>
        <v/>
      </c>
      <c r="AZ70" s="268" t="str">
        <f t="shared" si="85"/>
        <v/>
      </c>
      <c r="BA70" s="268" t="str">
        <f t="shared" si="85"/>
        <v/>
      </c>
      <c r="BB70" s="268" t="str">
        <f t="shared" si="85"/>
        <v/>
      </c>
      <c r="BC70" s="268" t="str">
        <f t="shared" si="85"/>
        <v/>
      </c>
      <c r="BD70" s="268" t="str">
        <f t="shared" si="85"/>
        <v/>
      </c>
      <c r="BE70" s="268" t="str">
        <f t="shared" si="85"/>
        <v/>
      </c>
      <c r="BF70" s="268" t="str">
        <f t="shared" si="85"/>
        <v/>
      </c>
      <c r="BG70" s="268" t="str">
        <f t="shared" si="85"/>
        <v/>
      </c>
      <c r="BH70" s="268" t="str">
        <f t="shared" si="85"/>
        <v/>
      </c>
      <c r="BI70" s="268" t="str">
        <f t="shared" si="85"/>
        <v/>
      </c>
      <c r="BJ70" s="268" t="str">
        <f t="shared" si="85"/>
        <v/>
      </c>
      <c r="BK70" s="268" t="str">
        <f t="shared" si="85"/>
        <v/>
      </c>
      <c r="BL70" s="268" t="str">
        <f t="shared" si="85"/>
        <v/>
      </c>
      <c r="BM70" s="268" t="str">
        <f t="shared" si="85"/>
        <v/>
      </c>
      <c r="BN70" s="268" t="str">
        <f t="shared" si="85"/>
        <v/>
      </c>
      <c r="BO70" s="268" t="str">
        <f t="shared" si="85"/>
        <v/>
      </c>
      <c r="BP70" s="268" t="str">
        <f t="shared" si="85"/>
        <v/>
      </c>
      <c r="BQ70" s="268" t="str">
        <f t="shared" si="85"/>
        <v/>
      </c>
      <c r="BR70" s="268" t="str">
        <f t="shared" si="85"/>
        <v/>
      </c>
      <c r="BS70" s="268" t="str">
        <f t="shared" si="85"/>
        <v/>
      </c>
      <c r="BT70" s="268" t="str">
        <f t="shared" si="85"/>
        <v/>
      </c>
      <c r="BU70" s="268" t="str">
        <f t="shared" si="82"/>
        <v/>
      </c>
      <c r="BV70" s="247">
        <v>2.02</v>
      </c>
      <c r="BW70" s="729">
        <f t="shared" si="75"/>
        <v>36360</v>
      </c>
      <c r="BX70" s="730">
        <f t="shared" si="76"/>
        <v>281790</v>
      </c>
      <c r="BY70" s="731" t="str">
        <f t="shared" si="69"/>
        <v>SR</v>
      </c>
    </row>
    <row r="71" s="698" customFormat="1" customHeight="1" spans="1:77">
      <c r="A71" s="208">
        <v>45995</v>
      </c>
      <c r="B71" s="208">
        <v>46045</v>
      </c>
      <c r="C71" s="211" t="s">
        <v>338</v>
      </c>
      <c r="D71" s="211" t="s">
        <v>339</v>
      </c>
      <c r="E71" s="211" t="s">
        <v>38</v>
      </c>
      <c r="F71" s="732">
        <v>5000</v>
      </c>
      <c r="G71" s="211" t="s">
        <v>334</v>
      </c>
      <c r="H71" s="211" t="str">
        <f>IFERROR(VLOOKUP(E71,名称!A:E,4,0),"")</f>
        <v>二代</v>
      </c>
      <c r="I71" s="268" t="str">
        <f t="shared" ref="I71:BT71" si="86">IF(OR($E71="",I$1=""),"",IF(TRIM(LEFT($E71,MIN(IFERROR(FIND("CDU",UPPER($E71)),999),IFERROR(FIND("BULK",UPPER($E71)),999),IFERROR(FIND("-",$E71),999),IFERROR(FIND("（",$E71),999))-1))=I$1,$F71,""))</f>
        <v/>
      </c>
      <c r="J71" s="268" t="str">
        <f t="shared" si="86"/>
        <v/>
      </c>
      <c r="K71" s="268" t="str">
        <f t="shared" si="86"/>
        <v/>
      </c>
      <c r="L71" s="268" t="str">
        <f t="shared" si="86"/>
        <v/>
      </c>
      <c r="M71" s="268" t="str">
        <f t="shared" si="86"/>
        <v/>
      </c>
      <c r="N71" s="268" t="str">
        <f t="shared" si="86"/>
        <v/>
      </c>
      <c r="O71" s="268" t="str">
        <f t="shared" si="86"/>
        <v/>
      </c>
      <c r="P71" s="268" t="str">
        <f t="shared" si="86"/>
        <v/>
      </c>
      <c r="Q71" s="268" t="str">
        <f t="shared" si="86"/>
        <v/>
      </c>
      <c r="R71" s="268" t="str">
        <f t="shared" si="86"/>
        <v/>
      </c>
      <c r="S71" s="268" t="str">
        <f t="shared" si="86"/>
        <v/>
      </c>
      <c r="T71" s="268">
        <f t="shared" si="86"/>
        <v>5000</v>
      </c>
      <c r="U71" s="268" t="str">
        <f t="shared" si="86"/>
        <v/>
      </c>
      <c r="V71" s="268" t="str">
        <f t="shared" si="86"/>
        <v/>
      </c>
      <c r="W71" s="268" t="str">
        <f t="shared" si="86"/>
        <v/>
      </c>
      <c r="X71" s="268" t="str">
        <f t="shared" si="86"/>
        <v/>
      </c>
      <c r="Y71" s="268" t="str">
        <f t="shared" si="86"/>
        <v/>
      </c>
      <c r="Z71" s="268" t="str">
        <f t="shared" si="86"/>
        <v/>
      </c>
      <c r="AA71" s="268" t="str">
        <f t="shared" si="86"/>
        <v/>
      </c>
      <c r="AB71" s="268" t="str">
        <f t="shared" si="86"/>
        <v/>
      </c>
      <c r="AC71" s="268" t="str">
        <f t="shared" si="86"/>
        <v/>
      </c>
      <c r="AD71" s="268" t="str">
        <f t="shared" si="86"/>
        <v/>
      </c>
      <c r="AE71" s="268" t="str">
        <f t="shared" si="86"/>
        <v/>
      </c>
      <c r="AF71" s="268" t="str">
        <f t="shared" si="86"/>
        <v/>
      </c>
      <c r="AG71" s="268" t="str">
        <f t="shared" si="86"/>
        <v/>
      </c>
      <c r="AH71" s="268" t="str">
        <f t="shared" si="86"/>
        <v/>
      </c>
      <c r="AI71" s="268" t="str">
        <f t="shared" si="86"/>
        <v/>
      </c>
      <c r="AJ71" s="268" t="str">
        <f t="shared" si="86"/>
        <v/>
      </c>
      <c r="AK71" s="268" t="str">
        <f t="shared" si="86"/>
        <v/>
      </c>
      <c r="AL71" s="268" t="str">
        <f t="shared" si="86"/>
        <v/>
      </c>
      <c r="AM71" s="268" t="str">
        <f t="shared" si="86"/>
        <v/>
      </c>
      <c r="AN71" s="268" t="str">
        <f t="shared" si="86"/>
        <v/>
      </c>
      <c r="AO71" s="268" t="str">
        <f t="shared" si="86"/>
        <v/>
      </c>
      <c r="AP71" s="268" t="str">
        <f t="shared" si="86"/>
        <v/>
      </c>
      <c r="AQ71" s="268" t="str">
        <f t="shared" si="86"/>
        <v/>
      </c>
      <c r="AR71" s="268" t="str">
        <f t="shared" si="86"/>
        <v/>
      </c>
      <c r="AS71" s="268" t="str">
        <f t="shared" si="86"/>
        <v/>
      </c>
      <c r="AT71" s="268" t="str">
        <f t="shared" si="86"/>
        <v/>
      </c>
      <c r="AU71" s="268" t="str">
        <f t="shared" si="86"/>
        <v/>
      </c>
      <c r="AV71" s="268" t="str">
        <f t="shared" si="86"/>
        <v/>
      </c>
      <c r="AW71" s="268" t="str">
        <f t="shared" si="86"/>
        <v/>
      </c>
      <c r="AX71" s="268" t="str">
        <f t="shared" si="86"/>
        <v/>
      </c>
      <c r="AY71" s="268" t="str">
        <f t="shared" si="86"/>
        <v/>
      </c>
      <c r="AZ71" s="268" t="str">
        <f t="shared" si="86"/>
        <v/>
      </c>
      <c r="BA71" s="268" t="str">
        <f t="shared" si="86"/>
        <v/>
      </c>
      <c r="BB71" s="268" t="str">
        <f t="shared" si="86"/>
        <v/>
      </c>
      <c r="BC71" s="268" t="str">
        <f t="shared" si="86"/>
        <v/>
      </c>
      <c r="BD71" s="268" t="str">
        <f t="shared" si="86"/>
        <v/>
      </c>
      <c r="BE71" s="268" t="str">
        <f t="shared" si="86"/>
        <v/>
      </c>
      <c r="BF71" s="268" t="str">
        <f t="shared" si="86"/>
        <v/>
      </c>
      <c r="BG71" s="268" t="str">
        <f t="shared" si="86"/>
        <v/>
      </c>
      <c r="BH71" s="268" t="str">
        <f t="shared" si="86"/>
        <v/>
      </c>
      <c r="BI71" s="268" t="str">
        <f t="shared" si="86"/>
        <v/>
      </c>
      <c r="BJ71" s="268" t="str">
        <f t="shared" si="86"/>
        <v/>
      </c>
      <c r="BK71" s="268" t="str">
        <f t="shared" si="86"/>
        <v/>
      </c>
      <c r="BL71" s="268" t="str">
        <f t="shared" si="86"/>
        <v/>
      </c>
      <c r="BM71" s="268" t="str">
        <f t="shared" si="86"/>
        <v/>
      </c>
      <c r="BN71" s="268" t="str">
        <f t="shared" si="86"/>
        <v/>
      </c>
      <c r="BO71" s="268" t="str">
        <f t="shared" si="86"/>
        <v/>
      </c>
      <c r="BP71" s="268" t="str">
        <f t="shared" si="86"/>
        <v/>
      </c>
      <c r="BQ71" s="268" t="str">
        <f t="shared" si="86"/>
        <v/>
      </c>
      <c r="BR71" s="268" t="str">
        <f t="shared" si="86"/>
        <v/>
      </c>
      <c r="BS71" s="268" t="str">
        <f t="shared" si="86"/>
        <v/>
      </c>
      <c r="BT71" s="268" t="str">
        <f t="shared" si="86"/>
        <v/>
      </c>
      <c r="BU71" s="268" t="str">
        <f t="shared" si="82"/>
        <v/>
      </c>
      <c r="BV71" s="247">
        <v>3.09</v>
      </c>
      <c r="BW71" s="729">
        <f t="shared" si="75"/>
        <v>15450</v>
      </c>
      <c r="BX71" s="730">
        <f t="shared" si="76"/>
        <v>119737.5</v>
      </c>
      <c r="BY71" s="731" t="str">
        <f t="shared" si="69"/>
        <v>SR</v>
      </c>
    </row>
    <row r="72" s="698" customFormat="1" customHeight="1" spans="1:77">
      <c r="A72" s="208">
        <v>45995</v>
      </c>
      <c r="B72" s="208">
        <v>46045</v>
      </c>
      <c r="C72" s="211" t="s">
        <v>338</v>
      </c>
      <c r="D72" s="211" t="s">
        <v>339</v>
      </c>
      <c r="E72" s="211" t="s">
        <v>80</v>
      </c>
      <c r="F72" s="732">
        <v>10002</v>
      </c>
      <c r="G72" s="211" t="s">
        <v>334</v>
      </c>
      <c r="H72" s="211" t="str">
        <f>IFERROR(VLOOKUP(E72,名称!A:E,4,0),"")</f>
        <v>二代</v>
      </c>
      <c r="I72" s="268" t="str">
        <f t="shared" ref="I72:BT72" si="87">IF(OR($E72="",I$1=""),"",IF(TRIM(LEFT($E72,MIN(IFERROR(FIND("CDU",UPPER($E72)),999),IFERROR(FIND("BULK",UPPER($E72)),999),IFERROR(FIND("-",$E72),999),IFERROR(FIND("（",$E72),999))-1))=I$1,$F72,""))</f>
        <v/>
      </c>
      <c r="J72" s="268" t="str">
        <f t="shared" si="87"/>
        <v/>
      </c>
      <c r="K72" s="268" t="str">
        <f t="shared" si="87"/>
        <v/>
      </c>
      <c r="L72" s="268" t="str">
        <f t="shared" si="87"/>
        <v/>
      </c>
      <c r="M72" s="268" t="str">
        <f t="shared" si="87"/>
        <v/>
      </c>
      <c r="N72" s="268" t="str">
        <f t="shared" si="87"/>
        <v/>
      </c>
      <c r="O72" s="268" t="str">
        <f t="shared" si="87"/>
        <v/>
      </c>
      <c r="P72" s="268" t="str">
        <f t="shared" si="87"/>
        <v/>
      </c>
      <c r="Q72" s="268" t="str">
        <f t="shared" si="87"/>
        <v/>
      </c>
      <c r="R72" s="268" t="str">
        <f t="shared" si="87"/>
        <v/>
      </c>
      <c r="S72" s="268" t="str">
        <f t="shared" si="87"/>
        <v/>
      </c>
      <c r="T72" s="268" t="str">
        <f t="shared" si="87"/>
        <v/>
      </c>
      <c r="U72" s="268" t="str">
        <f t="shared" si="87"/>
        <v/>
      </c>
      <c r="V72" s="268" t="str">
        <f t="shared" si="87"/>
        <v/>
      </c>
      <c r="W72" s="268" t="str">
        <f t="shared" si="87"/>
        <v/>
      </c>
      <c r="X72" s="268" t="str">
        <f t="shared" si="87"/>
        <v/>
      </c>
      <c r="Y72" s="268">
        <f t="shared" si="87"/>
        <v>10002</v>
      </c>
      <c r="Z72" s="268" t="str">
        <f t="shared" si="87"/>
        <v/>
      </c>
      <c r="AA72" s="268" t="str">
        <f t="shared" si="87"/>
        <v/>
      </c>
      <c r="AB72" s="268" t="str">
        <f t="shared" si="87"/>
        <v/>
      </c>
      <c r="AC72" s="268" t="str">
        <f t="shared" si="87"/>
        <v/>
      </c>
      <c r="AD72" s="268" t="str">
        <f t="shared" si="87"/>
        <v/>
      </c>
      <c r="AE72" s="268" t="str">
        <f t="shared" si="87"/>
        <v/>
      </c>
      <c r="AF72" s="268" t="str">
        <f t="shared" si="87"/>
        <v/>
      </c>
      <c r="AG72" s="268" t="str">
        <f t="shared" si="87"/>
        <v/>
      </c>
      <c r="AH72" s="268" t="str">
        <f t="shared" si="87"/>
        <v/>
      </c>
      <c r="AI72" s="268" t="str">
        <f t="shared" si="87"/>
        <v/>
      </c>
      <c r="AJ72" s="268" t="str">
        <f t="shared" si="87"/>
        <v/>
      </c>
      <c r="AK72" s="268" t="str">
        <f t="shared" si="87"/>
        <v/>
      </c>
      <c r="AL72" s="268" t="str">
        <f t="shared" si="87"/>
        <v/>
      </c>
      <c r="AM72" s="268" t="str">
        <f t="shared" si="87"/>
        <v/>
      </c>
      <c r="AN72" s="268" t="str">
        <f t="shared" si="87"/>
        <v/>
      </c>
      <c r="AO72" s="268" t="str">
        <f t="shared" si="87"/>
        <v/>
      </c>
      <c r="AP72" s="268" t="str">
        <f t="shared" si="87"/>
        <v/>
      </c>
      <c r="AQ72" s="268" t="str">
        <f t="shared" si="87"/>
        <v/>
      </c>
      <c r="AR72" s="268" t="str">
        <f t="shared" si="87"/>
        <v/>
      </c>
      <c r="AS72" s="268" t="str">
        <f t="shared" si="87"/>
        <v/>
      </c>
      <c r="AT72" s="268" t="str">
        <f t="shared" si="87"/>
        <v/>
      </c>
      <c r="AU72" s="268" t="str">
        <f t="shared" si="87"/>
        <v/>
      </c>
      <c r="AV72" s="268" t="str">
        <f t="shared" si="87"/>
        <v/>
      </c>
      <c r="AW72" s="268" t="str">
        <f t="shared" si="87"/>
        <v/>
      </c>
      <c r="AX72" s="268" t="str">
        <f t="shared" si="87"/>
        <v/>
      </c>
      <c r="AY72" s="268" t="str">
        <f t="shared" si="87"/>
        <v/>
      </c>
      <c r="AZ72" s="268" t="str">
        <f t="shared" si="87"/>
        <v/>
      </c>
      <c r="BA72" s="268" t="str">
        <f t="shared" si="87"/>
        <v/>
      </c>
      <c r="BB72" s="268" t="str">
        <f t="shared" si="87"/>
        <v/>
      </c>
      <c r="BC72" s="268" t="str">
        <f t="shared" si="87"/>
        <v/>
      </c>
      <c r="BD72" s="268" t="str">
        <f t="shared" si="87"/>
        <v/>
      </c>
      <c r="BE72" s="268" t="str">
        <f t="shared" si="87"/>
        <v/>
      </c>
      <c r="BF72" s="268" t="str">
        <f t="shared" si="87"/>
        <v/>
      </c>
      <c r="BG72" s="268" t="str">
        <f t="shared" si="87"/>
        <v/>
      </c>
      <c r="BH72" s="268" t="str">
        <f t="shared" si="87"/>
        <v/>
      </c>
      <c r="BI72" s="268" t="str">
        <f t="shared" si="87"/>
        <v/>
      </c>
      <c r="BJ72" s="268" t="str">
        <f t="shared" si="87"/>
        <v/>
      </c>
      <c r="BK72" s="268" t="str">
        <f t="shared" si="87"/>
        <v/>
      </c>
      <c r="BL72" s="268" t="str">
        <f t="shared" si="87"/>
        <v/>
      </c>
      <c r="BM72" s="268" t="str">
        <f t="shared" si="87"/>
        <v/>
      </c>
      <c r="BN72" s="268" t="str">
        <f t="shared" si="87"/>
        <v/>
      </c>
      <c r="BO72" s="268" t="str">
        <f t="shared" si="87"/>
        <v/>
      </c>
      <c r="BP72" s="268" t="str">
        <f t="shared" si="87"/>
        <v/>
      </c>
      <c r="BQ72" s="268" t="str">
        <f t="shared" si="87"/>
        <v/>
      </c>
      <c r="BR72" s="268" t="str">
        <f t="shared" si="87"/>
        <v/>
      </c>
      <c r="BS72" s="268" t="str">
        <f t="shared" si="87"/>
        <v/>
      </c>
      <c r="BT72" s="268" t="str">
        <f t="shared" si="87"/>
        <v/>
      </c>
      <c r="BU72" s="268" t="str">
        <f t="shared" si="82"/>
        <v/>
      </c>
      <c r="BV72" s="247">
        <v>1.52</v>
      </c>
      <c r="BW72" s="729">
        <f t="shared" si="75"/>
        <v>15203.04</v>
      </c>
      <c r="BX72" s="730">
        <f t="shared" si="76"/>
        <v>117823.56</v>
      </c>
      <c r="BY72" s="731" t="str">
        <f t="shared" si="69"/>
        <v>SR</v>
      </c>
    </row>
    <row r="73" s="698" customFormat="1" customHeight="1" spans="1:77">
      <c r="A73" s="208">
        <v>45995</v>
      </c>
      <c r="B73" s="208">
        <v>46045</v>
      </c>
      <c r="C73" s="211" t="s">
        <v>338</v>
      </c>
      <c r="D73" s="211" t="s">
        <v>339</v>
      </c>
      <c r="E73" s="211" t="s">
        <v>82</v>
      </c>
      <c r="F73" s="732">
        <v>9000</v>
      </c>
      <c r="G73" s="211" t="s">
        <v>334</v>
      </c>
      <c r="H73" s="211" t="str">
        <f>IFERROR(VLOOKUP(E73,名称!A:E,4,0),"")</f>
        <v>二代</v>
      </c>
      <c r="I73" s="268" t="str">
        <f t="shared" ref="I73:BT73" si="88">IF(OR($E73="",I$1=""),"",IF(TRIM(LEFT($E73,MIN(IFERROR(FIND("CDU",UPPER($E73)),999),IFERROR(FIND("BULK",UPPER($E73)),999),IFERROR(FIND("-",$E73),999),IFERROR(FIND("（",$E73),999))-1))=I$1,$F73,""))</f>
        <v/>
      </c>
      <c r="J73" s="268" t="str">
        <f t="shared" si="88"/>
        <v/>
      </c>
      <c r="K73" s="268" t="str">
        <f t="shared" si="88"/>
        <v/>
      </c>
      <c r="L73" s="268" t="str">
        <f t="shared" si="88"/>
        <v/>
      </c>
      <c r="M73" s="268" t="str">
        <f t="shared" si="88"/>
        <v/>
      </c>
      <c r="N73" s="268" t="str">
        <f t="shared" si="88"/>
        <v/>
      </c>
      <c r="O73" s="268" t="str">
        <f t="shared" si="88"/>
        <v/>
      </c>
      <c r="P73" s="268" t="str">
        <f t="shared" si="88"/>
        <v/>
      </c>
      <c r="Q73" s="268" t="str">
        <f t="shared" si="88"/>
        <v/>
      </c>
      <c r="R73" s="268" t="str">
        <f t="shared" si="88"/>
        <v/>
      </c>
      <c r="S73" s="268" t="str">
        <f t="shared" si="88"/>
        <v/>
      </c>
      <c r="T73" s="268" t="str">
        <f t="shared" si="88"/>
        <v/>
      </c>
      <c r="U73" s="268" t="str">
        <f t="shared" si="88"/>
        <v/>
      </c>
      <c r="V73" s="268" t="str">
        <f t="shared" si="88"/>
        <v/>
      </c>
      <c r="W73" s="268" t="str">
        <f t="shared" si="88"/>
        <v/>
      </c>
      <c r="X73" s="268" t="str">
        <f t="shared" si="88"/>
        <v/>
      </c>
      <c r="Y73" s="268" t="str">
        <f t="shared" si="88"/>
        <v/>
      </c>
      <c r="Z73" s="268">
        <f t="shared" si="88"/>
        <v>9000</v>
      </c>
      <c r="AA73" s="268" t="str">
        <f t="shared" si="88"/>
        <v/>
      </c>
      <c r="AB73" s="268" t="str">
        <f t="shared" si="88"/>
        <v/>
      </c>
      <c r="AC73" s="268" t="str">
        <f t="shared" si="88"/>
        <v/>
      </c>
      <c r="AD73" s="268" t="str">
        <f t="shared" si="88"/>
        <v/>
      </c>
      <c r="AE73" s="268" t="str">
        <f t="shared" si="88"/>
        <v/>
      </c>
      <c r="AF73" s="268" t="str">
        <f t="shared" si="88"/>
        <v/>
      </c>
      <c r="AG73" s="268" t="str">
        <f t="shared" si="88"/>
        <v/>
      </c>
      <c r="AH73" s="268" t="str">
        <f t="shared" si="88"/>
        <v/>
      </c>
      <c r="AI73" s="268" t="str">
        <f t="shared" si="88"/>
        <v/>
      </c>
      <c r="AJ73" s="268" t="str">
        <f t="shared" si="88"/>
        <v/>
      </c>
      <c r="AK73" s="268" t="str">
        <f t="shared" si="88"/>
        <v/>
      </c>
      <c r="AL73" s="268" t="str">
        <f t="shared" si="88"/>
        <v/>
      </c>
      <c r="AM73" s="268" t="str">
        <f t="shared" si="88"/>
        <v/>
      </c>
      <c r="AN73" s="268" t="str">
        <f t="shared" si="88"/>
        <v/>
      </c>
      <c r="AO73" s="268" t="str">
        <f t="shared" si="88"/>
        <v/>
      </c>
      <c r="AP73" s="268" t="str">
        <f t="shared" si="88"/>
        <v/>
      </c>
      <c r="AQ73" s="268" t="str">
        <f t="shared" si="88"/>
        <v/>
      </c>
      <c r="AR73" s="268" t="str">
        <f t="shared" si="88"/>
        <v/>
      </c>
      <c r="AS73" s="268" t="str">
        <f t="shared" si="88"/>
        <v/>
      </c>
      <c r="AT73" s="268" t="str">
        <f t="shared" si="88"/>
        <v/>
      </c>
      <c r="AU73" s="268" t="str">
        <f t="shared" si="88"/>
        <v/>
      </c>
      <c r="AV73" s="268" t="str">
        <f t="shared" si="88"/>
        <v/>
      </c>
      <c r="AW73" s="268" t="str">
        <f t="shared" si="88"/>
        <v/>
      </c>
      <c r="AX73" s="268" t="str">
        <f t="shared" si="88"/>
        <v/>
      </c>
      <c r="AY73" s="268" t="str">
        <f t="shared" si="88"/>
        <v/>
      </c>
      <c r="AZ73" s="268" t="str">
        <f t="shared" si="88"/>
        <v/>
      </c>
      <c r="BA73" s="268" t="str">
        <f t="shared" si="88"/>
        <v/>
      </c>
      <c r="BB73" s="268" t="str">
        <f t="shared" si="88"/>
        <v/>
      </c>
      <c r="BC73" s="268" t="str">
        <f t="shared" si="88"/>
        <v/>
      </c>
      <c r="BD73" s="268" t="str">
        <f t="shared" si="88"/>
        <v/>
      </c>
      <c r="BE73" s="268" t="str">
        <f t="shared" si="88"/>
        <v/>
      </c>
      <c r="BF73" s="268" t="str">
        <f t="shared" si="88"/>
        <v/>
      </c>
      <c r="BG73" s="268" t="str">
        <f t="shared" si="88"/>
        <v/>
      </c>
      <c r="BH73" s="268" t="str">
        <f t="shared" si="88"/>
        <v/>
      </c>
      <c r="BI73" s="268" t="str">
        <f t="shared" si="88"/>
        <v/>
      </c>
      <c r="BJ73" s="268" t="str">
        <f t="shared" si="88"/>
        <v/>
      </c>
      <c r="BK73" s="268" t="str">
        <f t="shared" si="88"/>
        <v/>
      </c>
      <c r="BL73" s="268" t="str">
        <f t="shared" si="88"/>
        <v/>
      </c>
      <c r="BM73" s="268" t="str">
        <f t="shared" si="88"/>
        <v/>
      </c>
      <c r="BN73" s="268" t="str">
        <f t="shared" si="88"/>
        <v/>
      </c>
      <c r="BO73" s="268" t="str">
        <f t="shared" si="88"/>
        <v/>
      </c>
      <c r="BP73" s="268" t="str">
        <f t="shared" si="88"/>
        <v/>
      </c>
      <c r="BQ73" s="268" t="str">
        <f t="shared" si="88"/>
        <v/>
      </c>
      <c r="BR73" s="268" t="str">
        <f t="shared" si="88"/>
        <v/>
      </c>
      <c r="BS73" s="268" t="str">
        <f t="shared" si="88"/>
        <v/>
      </c>
      <c r="BT73" s="268" t="str">
        <f t="shared" si="88"/>
        <v/>
      </c>
      <c r="BU73" s="268" t="str">
        <f t="shared" si="82"/>
        <v/>
      </c>
      <c r="BV73" s="247">
        <v>1.49</v>
      </c>
      <c r="BW73" s="729">
        <f t="shared" si="75"/>
        <v>13410</v>
      </c>
      <c r="BX73" s="730">
        <f t="shared" si="76"/>
        <v>103927.5</v>
      </c>
      <c r="BY73" s="731" t="str">
        <f t="shared" si="69"/>
        <v>SR</v>
      </c>
    </row>
    <row r="74" s="698" customFormat="1" customHeight="1" spans="1:77">
      <c r="A74" s="208">
        <v>45996</v>
      </c>
      <c r="B74" s="208">
        <v>46045</v>
      </c>
      <c r="C74" s="211"/>
      <c r="D74" s="211" t="s">
        <v>340</v>
      </c>
      <c r="E74" s="211" t="s">
        <v>58</v>
      </c>
      <c r="F74" s="732">
        <v>3312</v>
      </c>
      <c r="G74" s="211" t="s">
        <v>341</v>
      </c>
      <c r="H74" s="211" t="str">
        <f>IFERROR(VLOOKUP(E74,名称!A:E,4,0),"")</f>
        <v>二代</v>
      </c>
      <c r="I74" s="268" t="str">
        <f t="shared" ref="I74:BT74" si="89">IF(OR($E74="",I$1=""),"",IF(TRIM(LEFT($E74,MIN(IFERROR(FIND("CDU",UPPER($E74)),999),IFERROR(FIND("BULK",UPPER($E74)),999),IFERROR(FIND("-",$E74),999),IFERROR(FIND("（",$E74),999))-1))=I$1,$F74,""))</f>
        <v/>
      </c>
      <c r="J74" s="268" t="str">
        <f t="shared" si="89"/>
        <v/>
      </c>
      <c r="K74" s="268">
        <f t="shared" si="89"/>
        <v>3312</v>
      </c>
      <c r="L74" s="268" t="str">
        <f t="shared" si="89"/>
        <v/>
      </c>
      <c r="M74" s="268" t="str">
        <f t="shared" si="89"/>
        <v/>
      </c>
      <c r="N74" s="268" t="str">
        <f t="shared" si="89"/>
        <v/>
      </c>
      <c r="O74" s="268" t="str">
        <f t="shared" si="89"/>
        <v/>
      </c>
      <c r="P74" s="268" t="str">
        <f t="shared" si="89"/>
        <v/>
      </c>
      <c r="Q74" s="268" t="str">
        <f t="shared" si="89"/>
        <v/>
      </c>
      <c r="R74" s="268" t="str">
        <f t="shared" si="89"/>
        <v/>
      </c>
      <c r="S74" s="268" t="str">
        <f t="shared" si="89"/>
        <v/>
      </c>
      <c r="T74" s="268" t="str">
        <f t="shared" si="89"/>
        <v/>
      </c>
      <c r="U74" s="268" t="str">
        <f t="shared" si="89"/>
        <v/>
      </c>
      <c r="V74" s="268" t="str">
        <f t="shared" si="89"/>
        <v/>
      </c>
      <c r="W74" s="268" t="str">
        <f t="shared" si="89"/>
        <v/>
      </c>
      <c r="X74" s="268" t="str">
        <f t="shared" si="89"/>
        <v/>
      </c>
      <c r="Y74" s="268" t="str">
        <f t="shared" si="89"/>
        <v/>
      </c>
      <c r="Z74" s="268" t="str">
        <f t="shared" si="89"/>
        <v/>
      </c>
      <c r="AA74" s="268" t="str">
        <f t="shared" si="89"/>
        <v/>
      </c>
      <c r="AB74" s="268" t="str">
        <f t="shared" si="89"/>
        <v/>
      </c>
      <c r="AC74" s="268" t="str">
        <f t="shared" si="89"/>
        <v/>
      </c>
      <c r="AD74" s="268" t="str">
        <f t="shared" si="89"/>
        <v/>
      </c>
      <c r="AE74" s="268" t="str">
        <f t="shared" si="89"/>
        <v/>
      </c>
      <c r="AF74" s="268" t="str">
        <f t="shared" si="89"/>
        <v/>
      </c>
      <c r="AG74" s="268" t="str">
        <f t="shared" si="89"/>
        <v/>
      </c>
      <c r="AH74" s="268" t="str">
        <f t="shared" si="89"/>
        <v/>
      </c>
      <c r="AI74" s="268" t="str">
        <f t="shared" si="89"/>
        <v/>
      </c>
      <c r="AJ74" s="268" t="str">
        <f t="shared" si="89"/>
        <v/>
      </c>
      <c r="AK74" s="268" t="str">
        <f t="shared" si="89"/>
        <v/>
      </c>
      <c r="AL74" s="268" t="str">
        <f t="shared" si="89"/>
        <v/>
      </c>
      <c r="AM74" s="268" t="str">
        <f t="shared" si="89"/>
        <v/>
      </c>
      <c r="AN74" s="268" t="str">
        <f t="shared" si="89"/>
        <v/>
      </c>
      <c r="AO74" s="268" t="str">
        <f t="shared" si="89"/>
        <v/>
      </c>
      <c r="AP74" s="268" t="str">
        <f t="shared" si="89"/>
        <v/>
      </c>
      <c r="AQ74" s="268" t="str">
        <f t="shared" si="89"/>
        <v/>
      </c>
      <c r="AR74" s="268" t="str">
        <f t="shared" si="89"/>
        <v/>
      </c>
      <c r="AS74" s="268" t="str">
        <f t="shared" si="89"/>
        <v/>
      </c>
      <c r="AT74" s="268" t="str">
        <f t="shared" si="89"/>
        <v/>
      </c>
      <c r="AU74" s="268" t="str">
        <f t="shared" si="89"/>
        <v/>
      </c>
      <c r="AV74" s="268" t="str">
        <f t="shared" si="89"/>
        <v/>
      </c>
      <c r="AW74" s="268" t="str">
        <f t="shared" si="89"/>
        <v/>
      </c>
      <c r="AX74" s="268" t="str">
        <f t="shared" si="89"/>
        <v/>
      </c>
      <c r="AY74" s="268" t="str">
        <f t="shared" si="89"/>
        <v/>
      </c>
      <c r="AZ74" s="268" t="str">
        <f t="shared" si="89"/>
        <v/>
      </c>
      <c r="BA74" s="268" t="str">
        <f t="shared" si="89"/>
        <v/>
      </c>
      <c r="BB74" s="268" t="str">
        <f t="shared" si="89"/>
        <v/>
      </c>
      <c r="BC74" s="268" t="str">
        <f t="shared" si="89"/>
        <v/>
      </c>
      <c r="BD74" s="268" t="str">
        <f t="shared" si="89"/>
        <v/>
      </c>
      <c r="BE74" s="268" t="str">
        <f t="shared" si="89"/>
        <v/>
      </c>
      <c r="BF74" s="268" t="str">
        <f t="shared" si="89"/>
        <v/>
      </c>
      <c r="BG74" s="268" t="str">
        <f t="shared" si="89"/>
        <v/>
      </c>
      <c r="BH74" s="268" t="str">
        <f t="shared" si="89"/>
        <v/>
      </c>
      <c r="BI74" s="268" t="str">
        <f t="shared" si="89"/>
        <v/>
      </c>
      <c r="BJ74" s="268" t="str">
        <f t="shared" si="89"/>
        <v/>
      </c>
      <c r="BK74" s="268" t="str">
        <f t="shared" si="89"/>
        <v/>
      </c>
      <c r="BL74" s="268" t="str">
        <f t="shared" si="89"/>
        <v/>
      </c>
      <c r="BM74" s="268" t="str">
        <f t="shared" si="89"/>
        <v/>
      </c>
      <c r="BN74" s="268" t="str">
        <f t="shared" si="89"/>
        <v/>
      </c>
      <c r="BO74" s="268" t="str">
        <f t="shared" si="89"/>
        <v/>
      </c>
      <c r="BP74" s="268" t="str">
        <f t="shared" si="89"/>
        <v/>
      </c>
      <c r="BQ74" s="268" t="str">
        <f t="shared" si="89"/>
        <v/>
      </c>
      <c r="BR74" s="268" t="str">
        <f t="shared" si="89"/>
        <v/>
      </c>
      <c r="BS74" s="268" t="str">
        <f t="shared" si="89"/>
        <v/>
      </c>
      <c r="BT74" s="268" t="str">
        <f t="shared" si="89"/>
        <v/>
      </c>
      <c r="BU74" s="268" t="str">
        <f t="shared" si="82"/>
        <v/>
      </c>
      <c r="BV74" s="247">
        <v>0.63</v>
      </c>
      <c r="BW74" s="729">
        <f t="shared" si="75"/>
        <v>2086.56</v>
      </c>
      <c r="BX74" s="730">
        <f t="shared" si="76"/>
        <v>16170.84</v>
      </c>
      <c r="BY74" s="731" t="str">
        <f t="shared" si="69"/>
        <v>SR</v>
      </c>
    </row>
    <row r="75" s="698" customFormat="1" customHeight="1" spans="1:77">
      <c r="A75" s="208">
        <v>45996</v>
      </c>
      <c r="B75" s="208">
        <v>46045</v>
      </c>
      <c r="C75" s="211"/>
      <c r="D75" s="211" t="s">
        <v>340</v>
      </c>
      <c r="E75" s="211" t="s">
        <v>76</v>
      </c>
      <c r="F75" s="732">
        <v>4416</v>
      </c>
      <c r="G75" s="211" t="s">
        <v>341</v>
      </c>
      <c r="H75" s="211" t="str">
        <f>IFERROR(VLOOKUP(E75,名称!A:E,4,0),"")</f>
        <v>二代</v>
      </c>
      <c r="I75" s="268" t="str">
        <f t="shared" ref="I75:BT75" si="90">IF(OR($E75="",I$1=""),"",IF(TRIM(LEFT($E75,MIN(IFERROR(FIND("CDU",UPPER($E75)),999),IFERROR(FIND("BULK",UPPER($E75)),999),IFERROR(FIND("-",$E75),999),IFERROR(FIND("（",$E75),999))-1))=I$1,$F75,""))</f>
        <v/>
      </c>
      <c r="J75" s="268" t="str">
        <f t="shared" si="90"/>
        <v/>
      </c>
      <c r="K75" s="268" t="str">
        <f t="shared" si="90"/>
        <v/>
      </c>
      <c r="L75" s="268" t="str">
        <f t="shared" si="90"/>
        <v/>
      </c>
      <c r="M75" s="268" t="str">
        <f t="shared" si="90"/>
        <v/>
      </c>
      <c r="N75" s="268" t="str">
        <f t="shared" si="90"/>
        <v/>
      </c>
      <c r="O75" s="268" t="str">
        <f t="shared" si="90"/>
        <v/>
      </c>
      <c r="P75" s="268" t="str">
        <f t="shared" si="90"/>
        <v/>
      </c>
      <c r="Q75" s="268" t="str">
        <f t="shared" si="90"/>
        <v/>
      </c>
      <c r="R75" s="268" t="str">
        <f t="shared" si="90"/>
        <v/>
      </c>
      <c r="S75" s="268" t="str">
        <f t="shared" si="90"/>
        <v/>
      </c>
      <c r="T75" s="268" t="str">
        <f t="shared" si="90"/>
        <v/>
      </c>
      <c r="U75" s="268" t="str">
        <f t="shared" si="90"/>
        <v/>
      </c>
      <c r="V75" s="268" t="str">
        <f t="shared" si="90"/>
        <v/>
      </c>
      <c r="W75" s="268" t="str">
        <f t="shared" si="90"/>
        <v/>
      </c>
      <c r="X75" s="268">
        <f t="shared" si="90"/>
        <v>4416</v>
      </c>
      <c r="Y75" s="268" t="str">
        <f t="shared" si="90"/>
        <v/>
      </c>
      <c r="Z75" s="268" t="str">
        <f t="shared" si="90"/>
        <v/>
      </c>
      <c r="AA75" s="268" t="str">
        <f t="shared" si="90"/>
        <v/>
      </c>
      <c r="AB75" s="268" t="str">
        <f t="shared" si="90"/>
        <v/>
      </c>
      <c r="AC75" s="268" t="str">
        <f t="shared" si="90"/>
        <v/>
      </c>
      <c r="AD75" s="268" t="str">
        <f t="shared" si="90"/>
        <v/>
      </c>
      <c r="AE75" s="268" t="str">
        <f t="shared" si="90"/>
        <v/>
      </c>
      <c r="AF75" s="268" t="str">
        <f t="shared" si="90"/>
        <v/>
      </c>
      <c r="AG75" s="268" t="str">
        <f t="shared" si="90"/>
        <v/>
      </c>
      <c r="AH75" s="268" t="str">
        <f t="shared" si="90"/>
        <v/>
      </c>
      <c r="AI75" s="268" t="str">
        <f t="shared" si="90"/>
        <v/>
      </c>
      <c r="AJ75" s="268" t="str">
        <f t="shared" si="90"/>
        <v/>
      </c>
      <c r="AK75" s="268" t="str">
        <f t="shared" si="90"/>
        <v/>
      </c>
      <c r="AL75" s="268" t="str">
        <f t="shared" si="90"/>
        <v/>
      </c>
      <c r="AM75" s="268" t="str">
        <f t="shared" si="90"/>
        <v/>
      </c>
      <c r="AN75" s="268" t="str">
        <f t="shared" si="90"/>
        <v/>
      </c>
      <c r="AO75" s="268" t="str">
        <f t="shared" si="90"/>
        <v/>
      </c>
      <c r="AP75" s="268" t="str">
        <f t="shared" si="90"/>
        <v/>
      </c>
      <c r="AQ75" s="268" t="str">
        <f t="shared" si="90"/>
        <v/>
      </c>
      <c r="AR75" s="268" t="str">
        <f t="shared" si="90"/>
        <v/>
      </c>
      <c r="AS75" s="268" t="str">
        <f t="shared" si="90"/>
        <v/>
      </c>
      <c r="AT75" s="268" t="str">
        <f t="shared" si="90"/>
        <v/>
      </c>
      <c r="AU75" s="268" t="str">
        <f t="shared" si="90"/>
        <v/>
      </c>
      <c r="AV75" s="268" t="str">
        <f t="shared" si="90"/>
        <v/>
      </c>
      <c r="AW75" s="268" t="str">
        <f t="shared" si="90"/>
        <v/>
      </c>
      <c r="AX75" s="268" t="str">
        <f t="shared" si="90"/>
        <v/>
      </c>
      <c r="AY75" s="268" t="str">
        <f t="shared" si="90"/>
        <v/>
      </c>
      <c r="AZ75" s="268" t="str">
        <f t="shared" si="90"/>
        <v/>
      </c>
      <c r="BA75" s="268" t="str">
        <f t="shared" si="90"/>
        <v/>
      </c>
      <c r="BB75" s="268" t="str">
        <f t="shared" si="90"/>
        <v/>
      </c>
      <c r="BC75" s="268" t="str">
        <f t="shared" si="90"/>
        <v/>
      </c>
      <c r="BD75" s="268" t="str">
        <f t="shared" si="90"/>
        <v/>
      </c>
      <c r="BE75" s="268" t="str">
        <f t="shared" si="90"/>
        <v/>
      </c>
      <c r="BF75" s="268" t="str">
        <f t="shared" si="90"/>
        <v/>
      </c>
      <c r="BG75" s="268" t="str">
        <f t="shared" si="90"/>
        <v/>
      </c>
      <c r="BH75" s="268" t="str">
        <f t="shared" si="90"/>
        <v/>
      </c>
      <c r="BI75" s="268" t="str">
        <f t="shared" si="90"/>
        <v/>
      </c>
      <c r="BJ75" s="268" t="str">
        <f t="shared" si="90"/>
        <v/>
      </c>
      <c r="BK75" s="268" t="str">
        <f t="shared" si="90"/>
        <v/>
      </c>
      <c r="BL75" s="268" t="str">
        <f t="shared" si="90"/>
        <v/>
      </c>
      <c r="BM75" s="268" t="str">
        <f t="shared" si="90"/>
        <v/>
      </c>
      <c r="BN75" s="268" t="str">
        <f t="shared" si="90"/>
        <v/>
      </c>
      <c r="BO75" s="268" t="str">
        <f t="shared" si="90"/>
        <v/>
      </c>
      <c r="BP75" s="268" t="str">
        <f t="shared" si="90"/>
        <v/>
      </c>
      <c r="BQ75" s="268" t="str">
        <f t="shared" si="90"/>
        <v/>
      </c>
      <c r="BR75" s="268" t="str">
        <f t="shared" si="90"/>
        <v/>
      </c>
      <c r="BS75" s="268" t="str">
        <f t="shared" si="90"/>
        <v/>
      </c>
      <c r="BT75" s="268" t="str">
        <f t="shared" si="90"/>
        <v/>
      </c>
      <c r="BU75" s="268" t="str">
        <f t="shared" si="82"/>
        <v/>
      </c>
      <c r="BV75" s="247">
        <v>1.27</v>
      </c>
      <c r="BW75" s="729">
        <f t="shared" si="75"/>
        <v>5608.32</v>
      </c>
      <c r="BX75" s="730">
        <f t="shared" si="76"/>
        <v>43464.48</v>
      </c>
      <c r="BY75" s="731" t="str">
        <f t="shared" si="69"/>
        <v>SR</v>
      </c>
    </row>
    <row r="76" s="698" customFormat="1" customHeight="1" spans="1:77">
      <c r="A76" s="208">
        <v>45996</v>
      </c>
      <c r="B76" s="208">
        <v>46045</v>
      </c>
      <c r="C76" s="211"/>
      <c r="D76" s="211" t="s">
        <v>340</v>
      </c>
      <c r="E76" s="211" t="s">
        <v>77</v>
      </c>
      <c r="F76" s="732">
        <v>3360</v>
      </c>
      <c r="G76" s="211" t="s">
        <v>341</v>
      </c>
      <c r="H76" s="211" t="str">
        <f>IFERROR(VLOOKUP(E76,名称!A:E,4,0),"")</f>
        <v>二代</v>
      </c>
      <c r="I76" s="268" t="str">
        <f t="shared" ref="I76:BT76" si="91">IF(OR($E76="",I$1=""),"",IF(TRIM(LEFT($E76,MIN(IFERROR(FIND("CDU",UPPER($E76)),999),IFERROR(FIND("BULK",UPPER($E76)),999),IFERROR(FIND("-",$E76),999),IFERROR(FIND("（",$E76),999))-1))=I$1,$F76,""))</f>
        <v/>
      </c>
      <c r="J76" s="268" t="str">
        <f t="shared" si="91"/>
        <v/>
      </c>
      <c r="K76" s="268" t="str">
        <f t="shared" si="91"/>
        <v/>
      </c>
      <c r="L76" s="268" t="str">
        <f t="shared" si="91"/>
        <v/>
      </c>
      <c r="M76" s="268" t="str">
        <f t="shared" si="91"/>
        <v/>
      </c>
      <c r="N76" s="268" t="str">
        <f t="shared" si="91"/>
        <v/>
      </c>
      <c r="O76" s="268" t="str">
        <f t="shared" si="91"/>
        <v/>
      </c>
      <c r="P76" s="268" t="str">
        <f t="shared" si="91"/>
        <v/>
      </c>
      <c r="Q76" s="268" t="str">
        <f t="shared" si="91"/>
        <v/>
      </c>
      <c r="R76" s="268" t="str">
        <f t="shared" si="91"/>
        <v/>
      </c>
      <c r="S76" s="268" t="str">
        <f t="shared" si="91"/>
        <v/>
      </c>
      <c r="T76" s="268" t="str">
        <f t="shared" si="91"/>
        <v/>
      </c>
      <c r="U76" s="268" t="str">
        <f t="shared" si="91"/>
        <v/>
      </c>
      <c r="V76" s="268" t="str">
        <f t="shared" si="91"/>
        <v/>
      </c>
      <c r="W76" s="268" t="str">
        <f t="shared" si="91"/>
        <v/>
      </c>
      <c r="X76" s="268">
        <f t="shared" si="91"/>
        <v>3360</v>
      </c>
      <c r="Y76" s="268" t="str">
        <f t="shared" si="91"/>
        <v/>
      </c>
      <c r="Z76" s="268" t="str">
        <f t="shared" si="91"/>
        <v/>
      </c>
      <c r="AA76" s="268" t="str">
        <f t="shared" si="91"/>
        <v/>
      </c>
      <c r="AB76" s="268" t="str">
        <f t="shared" si="91"/>
        <v/>
      </c>
      <c r="AC76" s="268" t="str">
        <f t="shared" si="91"/>
        <v/>
      </c>
      <c r="AD76" s="268" t="str">
        <f t="shared" si="91"/>
        <v/>
      </c>
      <c r="AE76" s="268" t="str">
        <f t="shared" si="91"/>
        <v/>
      </c>
      <c r="AF76" s="268" t="str">
        <f t="shared" si="91"/>
        <v/>
      </c>
      <c r="AG76" s="268" t="str">
        <f t="shared" si="91"/>
        <v/>
      </c>
      <c r="AH76" s="268" t="str">
        <f t="shared" si="91"/>
        <v/>
      </c>
      <c r="AI76" s="268" t="str">
        <f t="shared" si="91"/>
        <v/>
      </c>
      <c r="AJ76" s="268" t="str">
        <f t="shared" si="91"/>
        <v/>
      </c>
      <c r="AK76" s="268" t="str">
        <f t="shared" si="91"/>
        <v/>
      </c>
      <c r="AL76" s="268" t="str">
        <f t="shared" si="91"/>
        <v/>
      </c>
      <c r="AM76" s="268" t="str">
        <f t="shared" si="91"/>
        <v/>
      </c>
      <c r="AN76" s="268" t="str">
        <f t="shared" si="91"/>
        <v/>
      </c>
      <c r="AO76" s="268" t="str">
        <f t="shared" si="91"/>
        <v/>
      </c>
      <c r="AP76" s="268" t="str">
        <f t="shared" si="91"/>
        <v/>
      </c>
      <c r="AQ76" s="268" t="str">
        <f t="shared" si="91"/>
        <v/>
      </c>
      <c r="AR76" s="268" t="str">
        <f t="shared" si="91"/>
        <v/>
      </c>
      <c r="AS76" s="268" t="str">
        <f t="shared" si="91"/>
        <v/>
      </c>
      <c r="AT76" s="268" t="str">
        <f t="shared" si="91"/>
        <v/>
      </c>
      <c r="AU76" s="268" t="str">
        <f t="shared" si="91"/>
        <v/>
      </c>
      <c r="AV76" s="268" t="str">
        <f t="shared" si="91"/>
        <v/>
      </c>
      <c r="AW76" s="268" t="str">
        <f t="shared" si="91"/>
        <v/>
      </c>
      <c r="AX76" s="268" t="str">
        <f t="shared" si="91"/>
        <v/>
      </c>
      <c r="AY76" s="268" t="str">
        <f t="shared" si="91"/>
        <v/>
      </c>
      <c r="AZ76" s="268" t="str">
        <f t="shared" si="91"/>
        <v/>
      </c>
      <c r="BA76" s="268" t="str">
        <f t="shared" si="91"/>
        <v/>
      </c>
      <c r="BB76" s="268" t="str">
        <f t="shared" si="91"/>
        <v/>
      </c>
      <c r="BC76" s="268" t="str">
        <f t="shared" si="91"/>
        <v/>
      </c>
      <c r="BD76" s="268" t="str">
        <f t="shared" si="91"/>
        <v/>
      </c>
      <c r="BE76" s="268" t="str">
        <f t="shared" si="91"/>
        <v/>
      </c>
      <c r="BF76" s="268" t="str">
        <f t="shared" si="91"/>
        <v/>
      </c>
      <c r="BG76" s="268" t="str">
        <f t="shared" si="91"/>
        <v/>
      </c>
      <c r="BH76" s="268" t="str">
        <f t="shared" si="91"/>
        <v/>
      </c>
      <c r="BI76" s="268" t="str">
        <f t="shared" si="91"/>
        <v/>
      </c>
      <c r="BJ76" s="268" t="str">
        <f t="shared" si="91"/>
        <v/>
      </c>
      <c r="BK76" s="268" t="str">
        <f t="shared" si="91"/>
        <v/>
      </c>
      <c r="BL76" s="268" t="str">
        <f t="shared" si="91"/>
        <v/>
      </c>
      <c r="BM76" s="268" t="str">
        <f t="shared" si="91"/>
        <v/>
      </c>
      <c r="BN76" s="268" t="str">
        <f t="shared" si="91"/>
        <v/>
      </c>
      <c r="BO76" s="268" t="str">
        <f t="shared" si="91"/>
        <v/>
      </c>
      <c r="BP76" s="268" t="str">
        <f t="shared" si="91"/>
        <v/>
      </c>
      <c r="BQ76" s="268" t="str">
        <f t="shared" si="91"/>
        <v/>
      </c>
      <c r="BR76" s="268" t="str">
        <f t="shared" si="91"/>
        <v/>
      </c>
      <c r="BS76" s="268" t="str">
        <f t="shared" si="91"/>
        <v/>
      </c>
      <c r="BT76" s="268" t="str">
        <f t="shared" si="91"/>
        <v/>
      </c>
      <c r="BU76" s="268" t="str">
        <f t="shared" si="82"/>
        <v/>
      </c>
      <c r="BV76" s="247">
        <v>1.27</v>
      </c>
      <c r="BW76" s="729">
        <f t="shared" si="75"/>
        <v>4267.2</v>
      </c>
      <c r="BX76" s="730">
        <f t="shared" si="76"/>
        <v>33070.8</v>
      </c>
      <c r="BY76" s="731" t="str">
        <f t="shared" si="69"/>
        <v>SR</v>
      </c>
    </row>
    <row r="77" s="698" customFormat="1" customHeight="1" spans="1:77">
      <c r="A77" s="208">
        <v>45996</v>
      </c>
      <c r="B77" s="208">
        <v>46045</v>
      </c>
      <c r="C77" s="211"/>
      <c r="D77" s="211" t="s">
        <v>340</v>
      </c>
      <c r="E77" s="211" t="s">
        <v>78</v>
      </c>
      <c r="F77" s="732">
        <v>3360</v>
      </c>
      <c r="G77" s="211" t="s">
        <v>341</v>
      </c>
      <c r="H77" s="211" t="str">
        <f>IFERROR(VLOOKUP(E77,名称!A:E,4,0),"")</f>
        <v>二代</v>
      </c>
      <c r="I77" s="268" t="str">
        <f t="shared" ref="I77:BT77" si="92">IF(OR($E77="",I$1=""),"",IF(TRIM(LEFT($E77,MIN(IFERROR(FIND("CDU",UPPER($E77)),999),IFERROR(FIND("BULK",UPPER($E77)),999),IFERROR(FIND("-",$E77),999),IFERROR(FIND("（",$E77),999))-1))=I$1,$F77,""))</f>
        <v/>
      </c>
      <c r="J77" s="268" t="str">
        <f t="shared" si="92"/>
        <v/>
      </c>
      <c r="K77" s="268" t="str">
        <f t="shared" si="92"/>
        <v/>
      </c>
      <c r="L77" s="268" t="str">
        <f t="shared" si="92"/>
        <v/>
      </c>
      <c r="M77" s="268" t="str">
        <f t="shared" si="92"/>
        <v/>
      </c>
      <c r="N77" s="268" t="str">
        <f t="shared" si="92"/>
        <v/>
      </c>
      <c r="O77" s="268" t="str">
        <f t="shared" si="92"/>
        <v/>
      </c>
      <c r="P77" s="268" t="str">
        <f t="shared" si="92"/>
        <v/>
      </c>
      <c r="Q77" s="268" t="str">
        <f t="shared" si="92"/>
        <v/>
      </c>
      <c r="R77" s="268" t="str">
        <f t="shared" si="92"/>
        <v/>
      </c>
      <c r="S77" s="268" t="str">
        <f t="shared" si="92"/>
        <v/>
      </c>
      <c r="T77" s="268" t="str">
        <f t="shared" si="92"/>
        <v/>
      </c>
      <c r="U77" s="268" t="str">
        <f t="shared" si="92"/>
        <v/>
      </c>
      <c r="V77" s="268" t="str">
        <f t="shared" si="92"/>
        <v/>
      </c>
      <c r="W77" s="268" t="str">
        <f t="shared" si="92"/>
        <v/>
      </c>
      <c r="X77" s="268">
        <f t="shared" si="92"/>
        <v>3360</v>
      </c>
      <c r="Y77" s="268" t="str">
        <f t="shared" si="92"/>
        <v/>
      </c>
      <c r="Z77" s="268" t="str">
        <f t="shared" si="92"/>
        <v/>
      </c>
      <c r="AA77" s="268" t="str">
        <f t="shared" si="92"/>
        <v/>
      </c>
      <c r="AB77" s="268" t="str">
        <f t="shared" si="92"/>
        <v/>
      </c>
      <c r="AC77" s="268" t="str">
        <f t="shared" si="92"/>
        <v/>
      </c>
      <c r="AD77" s="268" t="str">
        <f t="shared" si="92"/>
        <v/>
      </c>
      <c r="AE77" s="268" t="str">
        <f t="shared" si="92"/>
        <v/>
      </c>
      <c r="AF77" s="268" t="str">
        <f t="shared" si="92"/>
        <v/>
      </c>
      <c r="AG77" s="268" t="str">
        <f t="shared" si="92"/>
        <v/>
      </c>
      <c r="AH77" s="268" t="str">
        <f t="shared" si="92"/>
        <v/>
      </c>
      <c r="AI77" s="268" t="str">
        <f t="shared" si="92"/>
        <v/>
      </c>
      <c r="AJ77" s="268" t="str">
        <f t="shared" si="92"/>
        <v/>
      </c>
      <c r="AK77" s="268" t="str">
        <f t="shared" si="92"/>
        <v/>
      </c>
      <c r="AL77" s="268" t="str">
        <f t="shared" si="92"/>
        <v/>
      </c>
      <c r="AM77" s="268" t="str">
        <f t="shared" si="92"/>
        <v/>
      </c>
      <c r="AN77" s="268" t="str">
        <f t="shared" si="92"/>
        <v/>
      </c>
      <c r="AO77" s="268" t="str">
        <f t="shared" si="92"/>
        <v/>
      </c>
      <c r="AP77" s="268" t="str">
        <f t="shared" si="92"/>
        <v/>
      </c>
      <c r="AQ77" s="268" t="str">
        <f t="shared" si="92"/>
        <v/>
      </c>
      <c r="AR77" s="268" t="str">
        <f t="shared" si="92"/>
        <v/>
      </c>
      <c r="AS77" s="268" t="str">
        <f t="shared" si="92"/>
        <v/>
      </c>
      <c r="AT77" s="268" t="str">
        <f t="shared" si="92"/>
        <v/>
      </c>
      <c r="AU77" s="268" t="str">
        <f t="shared" si="92"/>
        <v/>
      </c>
      <c r="AV77" s="268" t="str">
        <f t="shared" si="92"/>
        <v/>
      </c>
      <c r="AW77" s="268" t="str">
        <f t="shared" si="92"/>
        <v/>
      </c>
      <c r="AX77" s="268" t="str">
        <f t="shared" si="92"/>
        <v/>
      </c>
      <c r="AY77" s="268" t="str">
        <f t="shared" si="92"/>
        <v/>
      </c>
      <c r="AZ77" s="268" t="str">
        <f t="shared" si="92"/>
        <v/>
      </c>
      <c r="BA77" s="268" t="str">
        <f t="shared" si="92"/>
        <v/>
      </c>
      <c r="BB77" s="268" t="str">
        <f t="shared" si="92"/>
        <v/>
      </c>
      <c r="BC77" s="268" t="str">
        <f t="shared" si="92"/>
        <v/>
      </c>
      <c r="BD77" s="268" t="str">
        <f t="shared" si="92"/>
        <v/>
      </c>
      <c r="BE77" s="268" t="str">
        <f t="shared" si="92"/>
        <v/>
      </c>
      <c r="BF77" s="268" t="str">
        <f t="shared" si="92"/>
        <v/>
      </c>
      <c r="BG77" s="268" t="str">
        <f t="shared" si="92"/>
        <v/>
      </c>
      <c r="BH77" s="268" t="str">
        <f t="shared" si="92"/>
        <v/>
      </c>
      <c r="BI77" s="268" t="str">
        <f t="shared" si="92"/>
        <v/>
      </c>
      <c r="BJ77" s="268" t="str">
        <f t="shared" si="92"/>
        <v/>
      </c>
      <c r="BK77" s="268" t="str">
        <f t="shared" si="92"/>
        <v/>
      </c>
      <c r="BL77" s="268" t="str">
        <f t="shared" si="92"/>
        <v/>
      </c>
      <c r="BM77" s="268" t="str">
        <f t="shared" si="92"/>
        <v/>
      </c>
      <c r="BN77" s="268" t="str">
        <f t="shared" si="92"/>
        <v/>
      </c>
      <c r="BO77" s="268" t="str">
        <f t="shared" si="92"/>
        <v/>
      </c>
      <c r="BP77" s="268" t="str">
        <f t="shared" si="92"/>
        <v/>
      </c>
      <c r="BQ77" s="268" t="str">
        <f t="shared" si="92"/>
        <v/>
      </c>
      <c r="BR77" s="268" t="str">
        <f t="shared" si="92"/>
        <v/>
      </c>
      <c r="BS77" s="268" t="str">
        <f t="shared" si="92"/>
        <v/>
      </c>
      <c r="BT77" s="268" t="str">
        <f t="shared" si="92"/>
        <v/>
      </c>
      <c r="BU77" s="268" t="str">
        <f t="shared" si="82"/>
        <v/>
      </c>
      <c r="BV77" s="247">
        <v>1.27</v>
      </c>
      <c r="BW77" s="729">
        <f t="shared" si="75"/>
        <v>4267.2</v>
      </c>
      <c r="BX77" s="730">
        <f t="shared" si="76"/>
        <v>33070.8</v>
      </c>
      <c r="BY77" s="731" t="str">
        <f t="shared" si="69"/>
        <v>SR</v>
      </c>
    </row>
    <row r="78" s="698" customFormat="1" customHeight="1" spans="1:77">
      <c r="A78" s="208">
        <v>45996</v>
      </c>
      <c r="B78" s="208">
        <v>46045</v>
      </c>
      <c r="C78" s="211"/>
      <c r="D78" s="211" t="s">
        <v>340</v>
      </c>
      <c r="E78" s="211" t="s">
        <v>81</v>
      </c>
      <c r="F78" s="732">
        <v>4512</v>
      </c>
      <c r="G78" s="211" t="s">
        <v>341</v>
      </c>
      <c r="H78" s="211" t="str">
        <f>IFERROR(VLOOKUP(E78,名称!A:E,4,0),"")</f>
        <v>二代</v>
      </c>
      <c r="I78" s="268" t="str">
        <f t="shared" ref="I78:BT78" si="93">IF(OR($E78="",I$1=""),"",IF(TRIM(LEFT($E78,MIN(IFERROR(FIND("CDU",UPPER($E78)),999),IFERROR(FIND("BULK",UPPER($E78)),999),IFERROR(FIND("-",$E78),999),IFERROR(FIND("（",$E78),999))-1))=I$1,$F78,""))</f>
        <v/>
      </c>
      <c r="J78" s="268" t="str">
        <f t="shared" si="93"/>
        <v/>
      </c>
      <c r="K78" s="268" t="str">
        <f t="shared" si="93"/>
        <v/>
      </c>
      <c r="L78" s="268" t="str">
        <f t="shared" si="93"/>
        <v/>
      </c>
      <c r="M78" s="268" t="str">
        <f t="shared" si="93"/>
        <v/>
      </c>
      <c r="N78" s="268" t="str">
        <f t="shared" si="93"/>
        <v/>
      </c>
      <c r="O78" s="268" t="str">
        <f t="shared" si="93"/>
        <v/>
      </c>
      <c r="P78" s="268" t="str">
        <f t="shared" si="93"/>
        <v/>
      </c>
      <c r="Q78" s="268" t="str">
        <f t="shared" si="93"/>
        <v/>
      </c>
      <c r="R78" s="268" t="str">
        <f t="shared" si="93"/>
        <v/>
      </c>
      <c r="S78" s="268" t="str">
        <f t="shared" si="93"/>
        <v/>
      </c>
      <c r="T78" s="268" t="str">
        <f t="shared" si="93"/>
        <v/>
      </c>
      <c r="U78" s="268" t="str">
        <f t="shared" si="93"/>
        <v/>
      </c>
      <c r="V78" s="268" t="str">
        <f t="shared" si="93"/>
        <v/>
      </c>
      <c r="W78" s="268" t="str">
        <f t="shared" si="93"/>
        <v/>
      </c>
      <c r="X78" s="268" t="str">
        <f t="shared" si="93"/>
        <v/>
      </c>
      <c r="Y78" s="268">
        <f t="shared" si="93"/>
        <v>4512</v>
      </c>
      <c r="Z78" s="268" t="str">
        <f t="shared" si="93"/>
        <v/>
      </c>
      <c r="AA78" s="268" t="str">
        <f t="shared" si="93"/>
        <v/>
      </c>
      <c r="AB78" s="268" t="str">
        <f t="shared" si="93"/>
        <v/>
      </c>
      <c r="AC78" s="268" t="str">
        <f t="shared" si="93"/>
        <v/>
      </c>
      <c r="AD78" s="268" t="str">
        <f t="shared" si="93"/>
        <v/>
      </c>
      <c r="AE78" s="268" t="str">
        <f t="shared" si="93"/>
        <v/>
      </c>
      <c r="AF78" s="268" t="str">
        <f t="shared" si="93"/>
        <v/>
      </c>
      <c r="AG78" s="268" t="str">
        <f t="shared" si="93"/>
        <v/>
      </c>
      <c r="AH78" s="268" t="str">
        <f t="shared" si="93"/>
        <v/>
      </c>
      <c r="AI78" s="268" t="str">
        <f t="shared" si="93"/>
        <v/>
      </c>
      <c r="AJ78" s="268" t="str">
        <f t="shared" si="93"/>
        <v/>
      </c>
      <c r="AK78" s="268" t="str">
        <f t="shared" si="93"/>
        <v/>
      </c>
      <c r="AL78" s="268" t="str">
        <f t="shared" si="93"/>
        <v/>
      </c>
      <c r="AM78" s="268" t="str">
        <f t="shared" si="93"/>
        <v/>
      </c>
      <c r="AN78" s="268" t="str">
        <f t="shared" si="93"/>
        <v/>
      </c>
      <c r="AO78" s="268" t="str">
        <f t="shared" si="93"/>
        <v/>
      </c>
      <c r="AP78" s="268" t="str">
        <f t="shared" si="93"/>
        <v/>
      </c>
      <c r="AQ78" s="268" t="str">
        <f t="shared" si="93"/>
        <v/>
      </c>
      <c r="AR78" s="268" t="str">
        <f t="shared" si="93"/>
        <v/>
      </c>
      <c r="AS78" s="268" t="str">
        <f t="shared" si="93"/>
        <v/>
      </c>
      <c r="AT78" s="268" t="str">
        <f t="shared" si="93"/>
        <v/>
      </c>
      <c r="AU78" s="268" t="str">
        <f t="shared" si="93"/>
        <v/>
      </c>
      <c r="AV78" s="268" t="str">
        <f t="shared" si="93"/>
        <v/>
      </c>
      <c r="AW78" s="268" t="str">
        <f t="shared" si="93"/>
        <v/>
      </c>
      <c r="AX78" s="268" t="str">
        <f t="shared" si="93"/>
        <v/>
      </c>
      <c r="AY78" s="268" t="str">
        <f t="shared" si="93"/>
        <v/>
      </c>
      <c r="AZ78" s="268" t="str">
        <f t="shared" si="93"/>
        <v/>
      </c>
      <c r="BA78" s="268" t="str">
        <f t="shared" si="93"/>
        <v/>
      </c>
      <c r="BB78" s="268" t="str">
        <f t="shared" si="93"/>
        <v/>
      </c>
      <c r="BC78" s="268" t="str">
        <f t="shared" si="93"/>
        <v/>
      </c>
      <c r="BD78" s="268" t="str">
        <f t="shared" si="93"/>
        <v/>
      </c>
      <c r="BE78" s="268" t="str">
        <f t="shared" si="93"/>
        <v/>
      </c>
      <c r="BF78" s="268" t="str">
        <f t="shared" si="93"/>
        <v/>
      </c>
      <c r="BG78" s="268" t="str">
        <f t="shared" si="93"/>
        <v/>
      </c>
      <c r="BH78" s="268" t="str">
        <f t="shared" si="93"/>
        <v/>
      </c>
      <c r="BI78" s="268" t="str">
        <f t="shared" si="93"/>
        <v/>
      </c>
      <c r="BJ78" s="268" t="str">
        <f t="shared" si="93"/>
        <v/>
      </c>
      <c r="BK78" s="268" t="str">
        <f t="shared" si="93"/>
        <v/>
      </c>
      <c r="BL78" s="268" t="str">
        <f t="shared" si="93"/>
        <v/>
      </c>
      <c r="BM78" s="268" t="str">
        <f t="shared" si="93"/>
        <v/>
      </c>
      <c r="BN78" s="268" t="str">
        <f t="shared" si="93"/>
        <v/>
      </c>
      <c r="BO78" s="268" t="str">
        <f t="shared" si="93"/>
        <v/>
      </c>
      <c r="BP78" s="268" t="str">
        <f t="shared" si="93"/>
        <v/>
      </c>
      <c r="BQ78" s="268" t="str">
        <f t="shared" si="93"/>
        <v/>
      </c>
      <c r="BR78" s="268" t="str">
        <f t="shared" si="93"/>
        <v/>
      </c>
      <c r="BS78" s="268" t="str">
        <f t="shared" si="93"/>
        <v/>
      </c>
      <c r="BT78" s="268" t="str">
        <f t="shared" si="93"/>
        <v/>
      </c>
      <c r="BU78" s="268" t="str">
        <f t="shared" si="82"/>
        <v/>
      </c>
      <c r="BV78" s="247">
        <v>1.27</v>
      </c>
      <c r="BW78" s="729">
        <f t="shared" si="75"/>
        <v>5730.24</v>
      </c>
      <c r="BX78" s="730">
        <f t="shared" si="76"/>
        <v>44409.36</v>
      </c>
      <c r="BY78" s="731" t="str">
        <f t="shared" si="69"/>
        <v>SR</v>
      </c>
    </row>
    <row r="79" s="698" customFormat="1" customHeight="1" spans="1:77">
      <c r="A79" s="208">
        <v>46000</v>
      </c>
      <c r="B79" s="208">
        <v>46087</v>
      </c>
      <c r="C79" s="211">
        <v>8150975574</v>
      </c>
      <c r="D79" s="211" t="s">
        <v>342</v>
      </c>
      <c r="E79" s="211" t="s">
        <v>47</v>
      </c>
      <c r="F79" s="732">
        <v>3580</v>
      </c>
      <c r="G79" s="220" t="s">
        <v>253</v>
      </c>
      <c r="H79" s="211" t="str">
        <f>IFERROR(VLOOKUP(E79,名称!A:E,4,0),"")</f>
        <v>二代</v>
      </c>
      <c r="I79" s="268" t="str">
        <f t="shared" ref="I79:BT79" si="94">IF(OR($E79="",I$1=""),"",IF(TRIM(LEFT($E79,MIN(IFERROR(FIND("CDU",UPPER($E79)),999),IFERROR(FIND("BULK",UPPER($E79)),999),IFERROR(FIND("-",$E79),999),IFERROR(FIND("（",$E79),999))-1))=I$1,$F79,""))</f>
        <v/>
      </c>
      <c r="J79" s="268" t="str">
        <f t="shared" si="94"/>
        <v/>
      </c>
      <c r="K79" s="268" t="str">
        <f t="shared" si="94"/>
        <v/>
      </c>
      <c r="L79" s="268" t="str">
        <f t="shared" si="94"/>
        <v/>
      </c>
      <c r="M79" s="268" t="str">
        <f t="shared" si="94"/>
        <v/>
      </c>
      <c r="N79" s="268" t="str">
        <f t="shared" si="94"/>
        <v/>
      </c>
      <c r="O79" s="268" t="str">
        <f t="shared" si="94"/>
        <v/>
      </c>
      <c r="P79" s="268" t="str">
        <f t="shared" si="94"/>
        <v/>
      </c>
      <c r="Q79" s="268" t="str">
        <f t="shared" si="94"/>
        <v/>
      </c>
      <c r="R79" s="268" t="str">
        <f t="shared" si="94"/>
        <v/>
      </c>
      <c r="S79" s="268">
        <f t="shared" si="94"/>
        <v>3580</v>
      </c>
      <c r="T79" s="268" t="str">
        <f t="shared" si="94"/>
        <v/>
      </c>
      <c r="U79" s="268" t="str">
        <f t="shared" si="94"/>
        <v/>
      </c>
      <c r="V79" s="268" t="str">
        <f t="shared" si="94"/>
        <v/>
      </c>
      <c r="W79" s="268" t="str">
        <f t="shared" si="94"/>
        <v/>
      </c>
      <c r="X79" s="268" t="str">
        <f t="shared" si="94"/>
        <v/>
      </c>
      <c r="Y79" s="268" t="str">
        <f t="shared" si="94"/>
        <v/>
      </c>
      <c r="Z79" s="268" t="str">
        <f t="shared" si="94"/>
        <v/>
      </c>
      <c r="AA79" s="268" t="str">
        <f t="shared" si="94"/>
        <v/>
      </c>
      <c r="AB79" s="268" t="str">
        <f t="shared" si="94"/>
        <v/>
      </c>
      <c r="AC79" s="268" t="str">
        <f t="shared" si="94"/>
        <v/>
      </c>
      <c r="AD79" s="268" t="str">
        <f t="shared" si="94"/>
        <v/>
      </c>
      <c r="AE79" s="268" t="str">
        <f t="shared" si="94"/>
        <v/>
      </c>
      <c r="AF79" s="268" t="str">
        <f t="shared" si="94"/>
        <v/>
      </c>
      <c r="AG79" s="268" t="str">
        <f t="shared" si="94"/>
        <v/>
      </c>
      <c r="AH79" s="268" t="str">
        <f t="shared" si="94"/>
        <v/>
      </c>
      <c r="AI79" s="268" t="str">
        <f t="shared" si="94"/>
        <v/>
      </c>
      <c r="AJ79" s="268" t="str">
        <f t="shared" si="94"/>
        <v/>
      </c>
      <c r="AK79" s="268" t="str">
        <f t="shared" si="94"/>
        <v/>
      </c>
      <c r="AL79" s="268" t="str">
        <f t="shared" si="94"/>
        <v/>
      </c>
      <c r="AM79" s="268" t="str">
        <f t="shared" si="94"/>
        <v/>
      </c>
      <c r="AN79" s="268" t="str">
        <f t="shared" si="94"/>
        <v/>
      </c>
      <c r="AO79" s="268" t="str">
        <f t="shared" si="94"/>
        <v/>
      </c>
      <c r="AP79" s="268" t="str">
        <f t="shared" si="94"/>
        <v/>
      </c>
      <c r="AQ79" s="268" t="str">
        <f t="shared" si="94"/>
        <v/>
      </c>
      <c r="AR79" s="268" t="str">
        <f t="shared" si="94"/>
        <v/>
      </c>
      <c r="AS79" s="268" t="str">
        <f t="shared" si="94"/>
        <v/>
      </c>
      <c r="AT79" s="268" t="str">
        <f t="shared" si="94"/>
        <v/>
      </c>
      <c r="AU79" s="268" t="str">
        <f t="shared" si="94"/>
        <v/>
      </c>
      <c r="AV79" s="268" t="str">
        <f t="shared" si="94"/>
        <v/>
      </c>
      <c r="AW79" s="268" t="str">
        <f t="shared" si="94"/>
        <v/>
      </c>
      <c r="AX79" s="268" t="str">
        <f t="shared" si="94"/>
        <v/>
      </c>
      <c r="AY79" s="268" t="str">
        <f t="shared" si="94"/>
        <v/>
      </c>
      <c r="AZ79" s="268" t="str">
        <f t="shared" si="94"/>
        <v/>
      </c>
      <c r="BA79" s="268" t="str">
        <f t="shared" si="94"/>
        <v/>
      </c>
      <c r="BB79" s="268" t="str">
        <f t="shared" si="94"/>
        <v/>
      </c>
      <c r="BC79" s="268" t="str">
        <f t="shared" si="94"/>
        <v/>
      </c>
      <c r="BD79" s="268" t="str">
        <f t="shared" si="94"/>
        <v/>
      </c>
      <c r="BE79" s="268" t="str">
        <f t="shared" si="94"/>
        <v/>
      </c>
      <c r="BF79" s="268" t="str">
        <f t="shared" si="94"/>
        <v/>
      </c>
      <c r="BG79" s="268" t="str">
        <f t="shared" si="94"/>
        <v/>
      </c>
      <c r="BH79" s="268" t="str">
        <f t="shared" si="94"/>
        <v/>
      </c>
      <c r="BI79" s="268" t="str">
        <f t="shared" si="94"/>
        <v/>
      </c>
      <c r="BJ79" s="268" t="str">
        <f t="shared" si="94"/>
        <v/>
      </c>
      <c r="BK79" s="268" t="str">
        <f t="shared" si="94"/>
        <v/>
      </c>
      <c r="BL79" s="268" t="str">
        <f t="shared" si="94"/>
        <v/>
      </c>
      <c r="BM79" s="268" t="str">
        <f t="shared" si="94"/>
        <v/>
      </c>
      <c r="BN79" s="268" t="str">
        <f t="shared" si="94"/>
        <v/>
      </c>
      <c r="BO79" s="268" t="str">
        <f t="shared" si="94"/>
        <v/>
      </c>
      <c r="BP79" s="268" t="str">
        <f t="shared" si="94"/>
        <v/>
      </c>
      <c r="BQ79" s="268" t="str">
        <f t="shared" si="94"/>
        <v/>
      </c>
      <c r="BR79" s="268" t="str">
        <f t="shared" si="94"/>
        <v/>
      </c>
      <c r="BS79" s="268" t="str">
        <f t="shared" si="94"/>
        <v/>
      </c>
      <c r="BT79" s="268" t="str">
        <f t="shared" si="94"/>
        <v/>
      </c>
      <c r="BU79" s="268" t="str">
        <f t="shared" si="82"/>
        <v/>
      </c>
      <c r="BV79" s="247">
        <v>2.29</v>
      </c>
      <c r="BW79" s="729">
        <f t="shared" si="75"/>
        <v>8198.2</v>
      </c>
      <c r="BX79" s="730">
        <f t="shared" si="76"/>
        <v>63536.05</v>
      </c>
      <c r="BY79" s="731" t="str">
        <f t="shared" si="69"/>
        <v>SR</v>
      </c>
    </row>
    <row r="80" s="698" customFormat="1" customHeight="1" spans="1:77">
      <c r="A80" s="208">
        <v>46000</v>
      </c>
      <c r="B80" s="208">
        <v>46087</v>
      </c>
      <c r="C80" s="211">
        <v>8150975575</v>
      </c>
      <c r="D80" s="211" t="s">
        <v>343</v>
      </c>
      <c r="E80" s="211" t="s">
        <v>48</v>
      </c>
      <c r="F80" s="732">
        <v>2616</v>
      </c>
      <c r="G80" s="220" t="s">
        <v>253</v>
      </c>
      <c r="H80" s="211" t="str">
        <f>IFERROR(VLOOKUP(E80,名称!A:E,4,0),"")</f>
        <v>二代</v>
      </c>
      <c r="I80" s="268" t="str">
        <f t="shared" ref="I80:BT80" si="95">IF(OR($E80="",I$1=""),"",IF(TRIM(LEFT($E80,MIN(IFERROR(FIND("CDU",UPPER($E80)),999),IFERROR(FIND("BULK",UPPER($E80)),999),IFERROR(FIND("-",$E80),999),IFERROR(FIND("（",$E80),999))-1))=I$1,$F80,""))</f>
        <v/>
      </c>
      <c r="J80" s="268" t="str">
        <f t="shared" si="95"/>
        <v/>
      </c>
      <c r="K80" s="268" t="str">
        <f t="shared" si="95"/>
        <v/>
      </c>
      <c r="L80" s="268" t="str">
        <f t="shared" si="95"/>
        <v/>
      </c>
      <c r="M80" s="268" t="str">
        <f t="shared" si="95"/>
        <v/>
      </c>
      <c r="N80" s="268">
        <f t="shared" si="95"/>
        <v>2616</v>
      </c>
      <c r="O80" s="268" t="str">
        <f t="shared" si="95"/>
        <v/>
      </c>
      <c r="P80" s="268" t="str">
        <f t="shared" si="95"/>
        <v/>
      </c>
      <c r="Q80" s="268" t="str">
        <f t="shared" si="95"/>
        <v/>
      </c>
      <c r="R80" s="268" t="str">
        <f t="shared" si="95"/>
        <v/>
      </c>
      <c r="S80" s="268" t="str">
        <f t="shared" si="95"/>
        <v/>
      </c>
      <c r="T80" s="268" t="str">
        <f t="shared" si="95"/>
        <v/>
      </c>
      <c r="U80" s="268" t="str">
        <f t="shared" si="95"/>
        <v/>
      </c>
      <c r="V80" s="268" t="str">
        <f t="shared" si="95"/>
        <v/>
      </c>
      <c r="W80" s="268" t="str">
        <f t="shared" si="95"/>
        <v/>
      </c>
      <c r="X80" s="268" t="str">
        <f t="shared" si="95"/>
        <v/>
      </c>
      <c r="Y80" s="268" t="str">
        <f t="shared" si="95"/>
        <v/>
      </c>
      <c r="Z80" s="268" t="str">
        <f t="shared" si="95"/>
        <v/>
      </c>
      <c r="AA80" s="268" t="str">
        <f t="shared" si="95"/>
        <v/>
      </c>
      <c r="AB80" s="268" t="str">
        <f t="shared" si="95"/>
        <v/>
      </c>
      <c r="AC80" s="268" t="str">
        <f t="shared" si="95"/>
        <v/>
      </c>
      <c r="AD80" s="268" t="str">
        <f t="shared" si="95"/>
        <v/>
      </c>
      <c r="AE80" s="268" t="str">
        <f t="shared" si="95"/>
        <v/>
      </c>
      <c r="AF80" s="268" t="str">
        <f t="shared" si="95"/>
        <v/>
      </c>
      <c r="AG80" s="268" t="str">
        <f t="shared" si="95"/>
        <v/>
      </c>
      <c r="AH80" s="268" t="str">
        <f t="shared" si="95"/>
        <v/>
      </c>
      <c r="AI80" s="268" t="str">
        <f t="shared" si="95"/>
        <v/>
      </c>
      <c r="AJ80" s="268" t="str">
        <f t="shared" si="95"/>
        <v/>
      </c>
      <c r="AK80" s="268" t="str">
        <f t="shared" si="95"/>
        <v/>
      </c>
      <c r="AL80" s="268" t="str">
        <f t="shared" si="95"/>
        <v/>
      </c>
      <c r="AM80" s="268" t="str">
        <f t="shared" si="95"/>
        <v/>
      </c>
      <c r="AN80" s="268" t="str">
        <f t="shared" si="95"/>
        <v/>
      </c>
      <c r="AO80" s="268" t="str">
        <f t="shared" si="95"/>
        <v/>
      </c>
      <c r="AP80" s="268" t="str">
        <f t="shared" si="95"/>
        <v/>
      </c>
      <c r="AQ80" s="268" t="str">
        <f t="shared" si="95"/>
        <v/>
      </c>
      <c r="AR80" s="268" t="str">
        <f t="shared" si="95"/>
        <v/>
      </c>
      <c r="AS80" s="268" t="str">
        <f t="shared" si="95"/>
        <v/>
      </c>
      <c r="AT80" s="268" t="str">
        <f t="shared" si="95"/>
        <v/>
      </c>
      <c r="AU80" s="268" t="str">
        <f t="shared" si="95"/>
        <v/>
      </c>
      <c r="AV80" s="268" t="str">
        <f t="shared" si="95"/>
        <v/>
      </c>
      <c r="AW80" s="268" t="str">
        <f t="shared" si="95"/>
        <v/>
      </c>
      <c r="AX80" s="268" t="str">
        <f t="shared" si="95"/>
        <v/>
      </c>
      <c r="AY80" s="268" t="str">
        <f t="shared" si="95"/>
        <v/>
      </c>
      <c r="AZ80" s="268" t="str">
        <f t="shared" si="95"/>
        <v/>
      </c>
      <c r="BA80" s="268" t="str">
        <f t="shared" si="95"/>
        <v/>
      </c>
      <c r="BB80" s="268" t="str">
        <f t="shared" si="95"/>
        <v/>
      </c>
      <c r="BC80" s="268" t="str">
        <f t="shared" si="95"/>
        <v/>
      </c>
      <c r="BD80" s="268" t="str">
        <f t="shared" si="95"/>
        <v/>
      </c>
      <c r="BE80" s="268" t="str">
        <f t="shared" si="95"/>
        <v/>
      </c>
      <c r="BF80" s="268" t="str">
        <f t="shared" si="95"/>
        <v/>
      </c>
      <c r="BG80" s="268" t="str">
        <f t="shared" si="95"/>
        <v/>
      </c>
      <c r="BH80" s="268" t="str">
        <f t="shared" si="95"/>
        <v/>
      </c>
      <c r="BI80" s="268" t="str">
        <f t="shared" si="95"/>
        <v/>
      </c>
      <c r="BJ80" s="268" t="str">
        <f t="shared" si="95"/>
        <v/>
      </c>
      <c r="BK80" s="268" t="str">
        <f t="shared" si="95"/>
        <v/>
      </c>
      <c r="BL80" s="268" t="str">
        <f t="shared" si="95"/>
        <v/>
      </c>
      <c r="BM80" s="268" t="str">
        <f t="shared" si="95"/>
        <v/>
      </c>
      <c r="BN80" s="268" t="str">
        <f t="shared" si="95"/>
        <v/>
      </c>
      <c r="BO80" s="268" t="str">
        <f t="shared" si="95"/>
        <v/>
      </c>
      <c r="BP80" s="268" t="str">
        <f t="shared" si="95"/>
        <v/>
      </c>
      <c r="BQ80" s="268" t="str">
        <f t="shared" si="95"/>
        <v/>
      </c>
      <c r="BR80" s="268" t="str">
        <f t="shared" si="95"/>
        <v/>
      </c>
      <c r="BS80" s="268" t="str">
        <f t="shared" si="95"/>
        <v/>
      </c>
      <c r="BT80" s="268" t="str">
        <f t="shared" si="95"/>
        <v/>
      </c>
      <c r="BU80" s="268" t="str">
        <f t="shared" si="82"/>
        <v/>
      </c>
      <c r="BV80" s="247">
        <v>0.63</v>
      </c>
      <c r="BW80" s="729">
        <f t="shared" si="75"/>
        <v>1648.08</v>
      </c>
      <c r="BX80" s="730">
        <f t="shared" si="76"/>
        <v>12772.62</v>
      </c>
      <c r="BY80" s="731" t="str">
        <f t="shared" si="69"/>
        <v>SR</v>
      </c>
    </row>
    <row r="81" s="698" customFormat="1" customHeight="1" spans="1:77">
      <c r="A81" s="208">
        <v>45999</v>
      </c>
      <c r="B81" s="208">
        <v>46052</v>
      </c>
      <c r="C81" s="211" t="s">
        <v>344</v>
      </c>
      <c r="D81" s="211" t="s">
        <v>345</v>
      </c>
      <c r="E81" s="211" t="s">
        <v>53</v>
      </c>
      <c r="F81" s="732">
        <v>3120</v>
      </c>
      <c r="G81" s="211" t="s">
        <v>327</v>
      </c>
      <c r="H81" s="211" t="str">
        <f>IFERROR(VLOOKUP(E81,名称!A:E,4,0),"")</f>
        <v>二代</v>
      </c>
      <c r="I81" s="268" t="str">
        <f t="shared" ref="I81:BT81" si="96">IF(OR($E81="",I$1=""),"",IF(TRIM(LEFT($E81,MIN(IFERROR(FIND("CDU",UPPER($E81)),999),IFERROR(FIND("BULK",UPPER($E81)),999),IFERROR(FIND("-",$E81),999),IFERROR(FIND("（",$E81),999))-1))=I$1,$F81,""))</f>
        <v/>
      </c>
      <c r="J81" s="268" t="str">
        <f t="shared" si="96"/>
        <v/>
      </c>
      <c r="K81" s="268" t="str">
        <f t="shared" si="96"/>
        <v/>
      </c>
      <c r="L81" s="268" t="str">
        <f t="shared" si="96"/>
        <v/>
      </c>
      <c r="M81" s="268" t="str">
        <f t="shared" si="96"/>
        <v/>
      </c>
      <c r="N81" s="268" t="str">
        <f t="shared" si="96"/>
        <v/>
      </c>
      <c r="O81" s="268" t="str">
        <f t="shared" si="96"/>
        <v/>
      </c>
      <c r="P81" s="268" t="str">
        <f t="shared" si="96"/>
        <v/>
      </c>
      <c r="Q81" s="268" t="str">
        <f t="shared" si="96"/>
        <v/>
      </c>
      <c r="R81" s="268" t="str">
        <f t="shared" si="96"/>
        <v/>
      </c>
      <c r="S81" s="268" t="str">
        <f t="shared" si="96"/>
        <v/>
      </c>
      <c r="T81" s="268" t="str">
        <f t="shared" si="96"/>
        <v/>
      </c>
      <c r="U81" s="268" t="str">
        <f t="shared" si="96"/>
        <v/>
      </c>
      <c r="V81" s="268" t="str">
        <f t="shared" si="96"/>
        <v/>
      </c>
      <c r="W81" s="268" t="str">
        <f t="shared" si="96"/>
        <v/>
      </c>
      <c r="X81" s="268" t="str">
        <f t="shared" si="96"/>
        <v/>
      </c>
      <c r="Y81" s="268" t="str">
        <f t="shared" si="96"/>
        <v/>
      </c>
      <c r="Z81" s="268" t="str">
        <f t="shared" si="96"/>
        <v/>
      </c>
      <c r="AA81" s="268">
        <f t="shared" si="96"/>
        <v>3120</v>
      </c>
      <c r="AB81" s="268" t="str">
        <f t="shared" si="96"/>
        <v/>
      </c>
      <c r="AC81" s="268" t="str">
        <f t="shared" si="96"/>
        <v/>
      </c>
      <c r="AD81" s="268" t="str">
        <f t="shared" si="96"/>
        <v/>
      </c>
      <c r="AE81" s="268" t="str">
        <f t="shared" si="96"/>
        <v/>
      </c>
      <c r="AF81" s="268" t="str">
        <f t="shared" si="96"/>
        <v/>
      </c>
      <c r="AG81" s="268" t="str">
        <f t="shared" si="96"/>
        <v/>
      </c>
      <c r="AH81" s="268" t="str">
        <f t="shared" si="96"/>
        <v/>
      </c>
      <c r="AI81" s="268" t="str">
        <f t="shared" si="96"/>
        <v/>
      </c>
      <c r="AJ81" s="268" t="str">
        <f t="shared" si="96"/>
        <v/>
      </c>
      <c r="AK81" s="268" t="str">
        <f t="shared" si="96"/>
        <v/>
      </c>
      <c r="AL81" s="268" t="str">
        <f t="shared" si="96"/>
        <v/>
      </c>
      <c r="AM81" s="268" t="str">
        <f t="shared" si="96"/>
        <v/>
      </c>
      <c r="AN81" s="268" t="str">
        <f t="shared" si="96"/>
        <v/>
      </c>
      <c r="AO81" s="268" t="str">
        <f t="shared" si="96"/>
        <v/>
      </c>
      <c r="AP81" s="268" t="str">
        <f t="shared" si="96"/>
        <v/>
      </c>
      <c r="AQ81" s="268" t="str">
        <f t="shared" si="96"/>
        <v/>
      </c>
      <c r="AR81" s="268" t="str">
        <f t="shared" si="96"/>
        <v/>
      </c>
      <c r="AS81" s="268" t="str">
        <f t="shared" si="96"/>
        <v/>
      </c>
      <c r="AT81" s="268" t="str">
        <f t="shared" si="96"/>
        <v/>
      </c>
      <c r="AU81" s="268" t="str">
        <f t="shared" si="96"/>
        <v/>
      </c>
      <c r="AV81" s="268" t="str">
        <f t="shared" si="96"/>
        <v/>
      </c>
      <c r="AW81" s="268" t="str">
        <f t="shared" si="96"/>
        <v/>
      </c>
      <c r="AX81" s="268" t="str">
        <f t="shared" si="96"/>
        <v/>
      </c>
      <c r="AY81" s="268" t="str">
        <f t="shared" si="96"/>
        <v/>
      </c>
      <c r="AZ81" s="268" t="str">
        <f t="shared" si="96"/>
        <v/>
      </c>
      <c r="BA81" s="268" t="str">
        <f t="shared" si="96"/>
        <v/>
      </c>
      <c r="BB81" s="268" t="str">
        <f t="shared" si="96"/>
        <v/>
      </c>
      <c r="BC81" s="268" t="str">
        <f t="shared" si="96"/>
        <v/>
      </c>
      <c r="BD81" s="268" t="str">
        <f t="shared" si="96"/>
        <v/>
      </c>
      <c r="BE81" s="268" t="str">
        <f t="shared" si="96"/>
        <v/>
      </c>
      <c r="BF81" s="268" t="str">
        <f t="shared" si="96"/>
        <v/>
      </c>
      <c r="BG81" s="268" t="str">
        <f t="shared" si="96"/>
        <v/>
      </c>
      <c r="BH81" s="268" t="str">
        <f t="shared" si="96"/>
        <v/>
      </c>
      <c r="BI81" s="268" t="str">
        <f t="shared" si="96"/>
        <v/>
      </c>
      <c r="BJ81" s="268" t="str">
        <f t="shared" si="96"/>
        <v/>
      </c>
      <c r="BK81" s="268" t="str">
        <f t="shared" si="96"/>
        <v/>
      </c>
      <c r="BL81" s="268" t="str">
        <f t="shared" si="96"/>
        <v/>
      </c>
      <c r="BM81" s="268" t="str">
        <f t="shared" si="96"/>
        <v/>
      </c>
      <c r="BN81" s="268" t="str">
        <f t="shared" si="96"/>
        <v/>
      </c>
      <c r="BO81" s="268" t="str">
        <f t="shared" si="96"/>
        <v/>
      </c>
      <c r="BP81" s="268" t="str">
        <f t="shared" si="96"/>
        <v/>
      </c>
      <c r="BQ81" s="268" t="str">
        <f t="shared" si="96"/>
        <v/>
      </c>
      <c r="BR81" s="268" t="str">
        <f t="shared" si="96"/>
        <v/>
      </c>
      <c r="BS81" s="268" t="str">
        <f t="shared" si="96"/>
        <v/>
      </c>
      <c r="BT81" s="268" t="str">
        <f t="shared" si="96"/>
        <v/>
      </c>
      <c r="BU81" s="268" t="str">
        <f t="shared" si="82"/>
        <v/>
      </c>
      <c r="BV81" s="247">
        <v>0.61</v>
      </c>
      <c r="BW81" s="729">
        <f t="shared" si="75"/>
        <v>1903.2</v>
      </c>
      <c r="BX81" s="730">
        <f t="shared" si="76"/>
        <v>14749.8</v>
      </c>
      <c r="BY81" s="731" t="str">
        <f t="shared" si="69"/>
        <v>JS</v>
      </c>
    </row>
    <row r="82" s="698" customFormat="1" customHeight="1" spans="1:77">
      <c r="A82" s="208">
        <v>45999</v>
      </c>
      <c r="B82" s="208">
        <v>46052</v>
      </c>
      <c r="C82" s="211" t="s">
        <v>344</v>
      </c>
      <c r="D82" s="211" t="s">
        <v>345</v>
      </c>
      <c r="E82" s="211" t="s">
        <v>28</v>
      </c>
      <c r="F82" s="732">
        <v>1560</v>
      </c>
      <c r="G82" s="211" t="s">
        <v>327</v>
      </c>
      <c r="H82" s="211" t="str">
        <f>IFERROR(VLOOKUP(E82,名称!A:E,4,0),"")</f>
        <v>二代</v>
      </c>
      <c r="I82" s="268" t="str">
        <f t="shared" ref="I82:BT82" si="97">IF(OR($E82="",I$1=""),"",IF(TRIM(LEFT($E82,MIN(IFERROR(FIND("CDU",UPPER($E82)),999),IFERROR(FIND("BULK",UPPER($E82)),999),IFERROR(FIND("-",$E82),999),IFERROR(FIND("（",$E82),999))-1))=I$1,$F82,""))</f>
        <v/>
      </c>
      <c r="J82" s="268" t="str">
        <f t="shared" si="97"/>
        <v/>
      </c>
      <c r="K82" s="268" t="str">
        <f t="shared" si="97"/>
        <v/>
      </c>
      <c r="L82" s="268" t="str">
        <f t="shared" si="97"/>
        <v/>
      </c>
      <c r="M82" s="268" t="str">
        <f t="shared" si="97"/>
        <v/>
      </c>
      <c r="N82" s="268" t="str">
        <f t="shared" si="97"/>
        <v/>
      </c>
      <c r="O82" s="268" t="str">
        <f t="shared" si="97"/>
        <v/>
      </c>
      <c r="P82" s="268" t="str">
        <f t="shared" si="97"/>
        <v/>
      </c>
      <c r="Q82" s="268" t="str">
        <f t="shared" si="97"/>
        <v/>
      </c>
      <c r="R82" s="268" t="str">
        <f t="shared" si="97"/>
        <v/>
      </c>
      <c r="S82" s="268" t="str">
        <f t="shared" si="97"/>
        <v/>
      </c>
      <c r="T82" s="268" t="str">
        <f t="shared" si="97"/>
        <v/>
      </c>
      <c r="U82" s="268" t="str">
        <f t="shared" si="97"/>
        <v/>
      </c>
      <c r="V82" s="268" t="str">
        <f t="shared" si="97"/>
        <v/>
      </c>
      <c r="W82" s="268" t="str">
        <f t="shared" si="97"/>
        <v/>
      </c>
      <c r="X82" s="268" t="str">
        <f t="shared" si="97"/>
        <v/>
      </c>
      <c r="Y82" s="268" t="str">
        <f t="shared" si="97"/>
        <v/>
      </c>
      <c r="Z82" s="268" t="str">
        <f t="shared" si="97"/>
        <v/>
      </c>
      <c r="AA82" s="268" t="str">
        <f t="shared" si="97"/>
        <v/>
      </c>
      <c r="AB82" s="268">
        <f t="shared" si="97"/>
        <v>1560</v>
      </c>
      <c r="AC82" s="268" t="str">
        <f t="shared" si="97"/>
        <v/>
      </c>
      <c r="AD82" s="268" t="str">
        <f t="shared" si="97"/>
        <v/>
      </c>
      <c r="AE82" s="268" t="str">
        <f t="shared" si="97"/>
        <v/>
      </c>
      <c r="AF82" s="268" t="str">
        <f t="shared" si="97"/>
        <v/>
      </c>
      <c r="AG82" s="268" t="str">
        <f t="shared" si="97"/>
        <v/>
      </c>
      <c r="AH82" s="268" t="str">
        <f t="shared" si="97"/>
        <v/>
      </c>
      <c r="AI82" s="268" t="str">
        <f t="shared" si="97"/>
        <v/>
      </c>
      <c r="AJ82" s="268" t="str">
        <f t="shared" si="97"/>
        <v/>
      </c>
      <c r="AK82" s="268" t="str">
        <f t="shared" si="97"/>
        <v/>
      </c>
      <c r="AL82" s="268" t="str">
        <f t="shared" si="97"/>
        <v/>
      </c>
      <c r="AM82" s="268" t="str">
        <f t="shared" si="97"/>
        <v/>
      </c>
      <c r="AN82" s="268" t="str">
        <f t="shared" si="97"/>
        <v/>
      </c>
      <c r="AO82" s="268" t="str">
        <f t="shared" si="97"/>
        <v/>
      </c>
      <c r="AP82" s="268" t="str">
        <f t="shared" si="97"/>
        <v/>
      </c>
      <c r="AQ82" s="268" t="str">
        <f t="shared" si="97"/>
        <v/>
      </c>
      <c r="AR82" s="268" t="str">
        <f t="shared" si="97"/>
        <v/>
      </c>
      <c r="AS82" s="268" t="str">
        <f t="shared" si="97"/>
        <v/>
      </c>
      <c r="AT82" s="268" t="str">
        <f t="shared" si="97"/>
        <v/>
      </c>
      <c r="AU82" s="268" t="str">
        <f t="shared" si="97"/>
        <v/>
      </c>
      <c r="AV82" s="268" t="str">
        <f t="shared" si="97"/>
        <v/>
      </c>
      <c r="AW82" s="268" t="str">
        <f t="shared" si="97"/>
        <v/>
      </c>
      <c r="AX82" s="268" t="str">
        <f t="shared" si="97"/>
        <v/>
      </c>
      <c r="AY82" s="268" t="str">
        <f t="shared" si="97"/>
        <v/>
      </c>
      <c r="AZ82" s="268" t="str">
        <f t="shared" si="97"/>
        <v/>
      </c>
      <c r="BA82" s="268" t="str">
        <f t="shared" si="97"/>
        <v/>
      </c>
      <c r="BB82" s="268" t="str">
        <f t="shared" si="97"/>
        <v/>
      </c>
      <c r="BC82" s="268" t="str">
        <f t="shared" si="97"/>
        <v/>
      </c>
      <c r="BD82" s="268" t="str">
        <f t="shared" si="97"/>
        <v/>
      </c>
      <c r="BE82" s="268" t="str">
        <f t="shared" si="97"/>
        <v/>
      </c>
      <c r="BF82" s="268" t="str">
        <f t="shared" si="97"/>
        <v/>
      </c>
      <c r="BG82" s="268" t="str">
        <f t="shared" si="97"/>
        <v/>
      </c>
      <c r="BH82" s="268" t="str">
        <f t="shared" si="97"/>
        <v/>
      </c>
      <c r="BI82" s="268" t="str">
        <f t="shared" si="97"/>
        <v/>
      </c>
      <c r="BJ82" s="268" t="str">
        <f t="shared" si="97"/>
        <v/>
      </c>
      <c r="BK82" s="268" t="str">
        <f t="shared" si="97"/>
        <v/>
      </c>
      <c r="BL82" s="268" t="str">
        <f t="shared" si="97"/>
        <v/>
      </c>
      <c r="BM82" s="268" t="str">
        <f t="shared" si="97"/>
        <v/>
      </c>
      <c r="BN82" s="268" t="str">
        <f t="shared" si="97"/>
        <v/>
      </c>
      <c r="BO82" s="268" t="str">
        <f t="shared" si="97"/>
        <v/>
      </c>
      <c r="BP82" s="268" t="str">
        <f t="shared" si="97"/>
        <v/>
      </c>
      <c r="BQ82" s="268" t="str">
        <f t="shared" si="97"/>
        <v/>
      </c>
      <c r="BR82" s="268" t="str">
        <f t="shared" si="97"/>
        <v/>
      </c>
      <c r="BS82" s="268" t="str">
        <f t="shared" si="97"/>
        <v/>
      </c>
      <c r="BT82" s="268" t="str">
        <f t="shared" si="97"/>
        <v/>
      </c>
      <c r="BU82" s="268" t="str">
        <f t="shared" si="82"/>
        <v/>
      </c>
      <c r="BV82" s="247">
        <v>1.27</v>
      </c>
      <c r="BW82" s="729">
        <f t="shared" si="75"/>
        <v>1981.2</v>
      </c>
      <c r="BX82" s="730">
        <f t="shared" si="76"/>
        <v>15354.3</v>
      </c>
      <c r="BY82" s="731" t="str">
        <f t="shared" si="69"/>
        <v>JS</v>
      </c>
    </row>
    <row r="83" s="698" customFormat="1" customHeight="1" spans="1:77">
      <c r="A83" s="208">
        <v>45999</v>
      </c>
      <c r="B83" s="208">
        <v>46052</v>
      </c>
      <c r="C83" s="211" t="s">
        <v>346</v>
      </c>
      <c r="D83" s="211" t="s">
        <v>347</v>
      </c>
      <c r="E83" s="211" t="s">
        <v>35</v>
      </c>
      <c r="F83" s="732">
        <v>6120</v>
      </c>
      <c r="G83" s="211" t="s">
        <v>327</v>
      </c>
      <c r="H83" s="211" t="str">
        <f>IFERROR(VLOOKUP(E83,名称!A:E,4,0),"")</f>
        <v>二代</v>
      </c>
      <c r="I83" s="268" t="str">
        <f t="shared" ref="I83:BT83" si="98">IF(OR($E83="",I$1=""),"",IF(TRIM(LEFT($E83,MIN(IFERROR(FIND("CDU",UPPER($E83)),999),IFERROR(FIND("BULK",UPPER($E83)),999),IFERROR(FIND("-",$E83),999),IFERROR(FIND("（",$E83),999))-1))=I$1,$F83,""))</f>
        <v/>
      </c>
      <c r="J83" s="268" t="str">
        <f t="shared" si="98"/>
        <v/>
      </c>
      <c r="K83" s="268">
        <f t="shared" si="98"/>
        <v>6120</v>
      </c>
      <c r="L83" s="268" t="str">
        <f t="shared" si="98"/>
        <v/>
      </c>
      <c r="M83" s="268" t="str">
        <f t="shared" si="98"/>
        <v/>
      </c>
      <c r="N83" s="268" t="str">
        <f t="shared" si="98"/>
        <v/>
      </c>
      <c r="O83" s="268" t="str">
        <f t="shared" si="98"/>
        <v/>
      </c>
      <c r="P83" s="268" t="str">
        <f t="shared" si="98"/>
        <v/>
      </c>
      <c r="Q83" s="268" t="str">
        <f t="shared" si="98"/>
        <v/>
      </c>
      <c r="R83" s="268" t="str">
        <f t="shared" si="98"/>
        <v/>
      </c>
      <c r="S83" s="268" t="str">
        <f t="shared" si="98"/>
        <v/>
      </c>
      <c r="T83" s="268" t="str">
        <f t="shared" si="98"/>
        <v/>
      </c>
      <c r="U83" s="268" t="str">
        <f t="shared" si="98"/>
        <v/>
      </c>
      <c r="V83" s="268" t="str">
        <f t="shared" si="98"/>
        <v/>
      </c>
      <c r="W83" s="268" t="str">
        <f t="shared" si="98"/>
        <v/>
      </c>
      <c r="X83" s="268" t="str">
        <f t="shared" si="98"/>
        <v/>
      </c>
      <c r="Y83" s="268" t="str">
        <f t="shared" si="98"/>
        <v/>
      </c>
      <c r="Z83" s="268" t="str">
        <f t="shared" si="98"/>
        <v/>
      </c>
      <c r="AA83" s="268" t="str">
        <f t="shared" si="98"/>
        <v/>
      </c>
      <c r="AB83" s="268" t="str">
        <f t="shared" si="98"/>
        <v/>
      </c>
      <c r="AC83" s="268" t="str">
        <f t="shared" si="98"/>
        <v/>
      </c>
      <c r="AD83" s="268" t="str">
        <f t="shared" si="98"/>
        <v/>
      </c>
      <c r="AE83" s="268" t="str">
        <f t="shared" si="98"/>
        <v/>
      </c>
      <c r="AF83" s="268" t="str">
        <f t="shared" si="98"/>
        <v/>
      </c>
      <c r="AG83" s="268" t="str">
        <f t="shared" si="98"/>
        <v/>
      </c>
      <c r="AH83" s="268" t="str">
        <f t="shared" si="98"/>
        <v/>
      </c>
      <c r="AI83" s="268" t="str">
        <f t="shared" si="98"/>
        <v/>
      </c>
      <c r="AJ83" s="268" t="str">
        <f t="shared" si="98"/>
        <v/>
      </c>
      <c r="AK83" s="268" t="str">
        <f t="shared" si="98"/>
        <v/>
      </c>
      <c r="AL83" s="268" t="str">
        <f t="shared" si="98"/>
        <v/>
      </c>
      <c r="AM83" s="268" t="str">
        <f t="shared" si="98"/>
        <v/>
      </c>
      <c r="AN83" s="268" t="str">
        <f t="shared" si="98"/>
        <v/>
      </c>
      <c r="AO83" s="268" t="str">
        <f t="shared" si="98"/>
        <v/>
      </c>
      <c r="AP83" s="268" t="str">
        <f t="shared" si="98"/>
        <v/>
      </c>
      <c r="AQ83" s="268" t="str">
        <f t="shared" si="98"/>
        <v/>
      </c>
      <c r="AR83" s="268" t="str">
        <f t="shared" si="98"/>
        <v/>
      </c>
      <c r="AS83" s="268" t="str">
        <f t="shared" si="98"/>
        <v/>
      </c>
      <c r="AT83" s="268" t="str">
        <f t="shared" si="98"/>
        <v/>
      </c>
      <c r="AU83" s="268" t="str">
        <f t="shared" si="98"/>
        <v/>
      </c>
      <c r="AV83" s="268" t="str">
        <f t="shared" si="98"/>
        <v/>
      </c>
      <c r="AW83" s="268" t="str">
        <f t="shared" si="98"/>
        <v/>
      </c>
      <c r="AX83" s="268" t="str">
        <f t="shared" si="98"/>
        <v/>
      </c>
      <c r="AY83" s="268" t="str">
        <f t="shared" si="98"/>
        <v/>
      </c>
      <c r="AZ83" s="268" t="str">
        <f t="shared" si="98"/>
        <v/>
      </c>
      <c r="BA83" s="268" t="str">
        <f t="shared" si="98"/>
        <v/>
      </c>
      <c r="BB83" s="268" t="str">
        <f t="shared" si="98"/>
        <v/>
      </c>
      <c r="BC83" s="268" t="str">
        <f t="shared" si="98"/>
        <v/>
      </c>
      <c r="BD83" s="268" t="str">
        <f t="shared" si="98"/>
        <v/>
      </c>
      <c r="BE83" s="268" t="str">
        <f t="shared" si="98"/>
        <v/>
      </c>
      <c r="BF83" s="268" t="str">
        <f t="shared" si="98"/>
        <v/>
      </c>
      <c r="BG83" s="268" t="str">
        <f t="shared" si="98"/>
        <v/>
      </c>
      <c r="BH83" s="268" t="str">
        <f t="shared" si="98"/>
        <v/>
      </c>
      <c r="BI83" s="268" t="str">
        <f t="shared" si="98"/>
        <v/>
      </c>
      <c r="BJ83" s="268" t="str">
        <f t="shared" si="98"/>
        <v/>
      </c>
      <c r="BK83" s="268" t="str">
        <f t="shared" si="98"/>
        <v/>
      </c>
      <c r="BL83" s="268" t="str">
        <f t="shared" si="98"/>
        <v/>
      </c>
      <c r="BM83" s="268" t="str">
        <f t="shared" si="98"/>
        <v/>
      </c>
      <c r="BN83" s="268" t="str">
        <f t="shared" si="98"/>
        <v/>
      </c>
      <c r="BO83" s="268" t="str">
        <f t="shared" si="98"/>
        <v/>
      </c>
      <c r="BP83" s="268" t="str">
        <f t="shared" si="98"/>
        <v/>
      </c>
      <c r="BQ83" s="268" t="str">
        <f t="shared" si="98"/>
        <v/>
      </c>
      <c r="BR83" s="268" t="str">
        <f t="shared" si="98"/>
        <v/>
      </c>
      <c r="BS83" s="268" t="str">
        <f t="shared" si="98"/>
        <v/>
      </c>
      <c r="BT83" s="268" t="str">
        <f t="shared" si="98"/>
        <v/>
      </c>
      <c r="BU83" s="268" t="str">
        <f t="shared" si="82"/>
        <v/>
      </c>
      <c r="BV83" s="247">
        <v>0.87</v>
      </c>
      <c r="BW83" s="729">
        <f t="shared" si="75"/>
        <v>5324.4</v>
      </c>
      <c r="BX83" s="730">
        <f t="shared" si="76"/>
        <v>41264.1</v>
      </c>
      <c r="BY83" s="731" t="str">
        <f t="shared" si="69"/>
        <v>SR</v>
      </c>
    </row>
    <row r="84" s="698" customFormat="1" customHeight="1" spans="1:77">
      <c r="A84" s="208">
        <v>45999</v>
      </c>
      <c r="B84" s="208">
        <v>46052</v>
      </c>
      <c r="C84" s="211" t="s">
        <v>346</v>
      </c>
      <c r="D84" s="211" t="s">
        <v>347</v>
      </c>
      <c r="E84" s="211" t="s">
        <v>44</v>
      </c>
      <c r="F84" s="732">
        <v>6120</v>
      </c>
      <c r="G84" s="211" t="s">
        <v>327</v>
      </c>
      <c r="H84" s="211" t="str">
        <f>IFERROR(VLOOKUP(E84,名称!A:E,4,0),"")</f>
        <v>二代</v>
      </c>
      <c r="I84" s="268" t="str">
        <f t="shared" ref="I84:BT84" si="99">IF(OR($E84="",I$1=""),"",IF(TRIM(LEFT($E84,MIN(IFERROR(FIND("CDU",UPPER($E84)),999),IFERROR(FIND("BULK",UPPER($E84)),999),IFERROR(FIND("-",$E84),999),IFERROR(FIND("（",$E84),999))-1))=I$1,$F84,""))</f>
        <v/>
      </c>
      <c r="J84" s="268" t="str">
        <f t="shared" si="99"/>
        <v/>
      </c>
      <c r="K84" s="268" t="str">
        <f t="shared" si="99"/>
        <v/>
      </c>
      <c r="L84" s="268" t="str">
        <f t="shared" si="99"/>
        <v/>
      </c>
      <c r="M84" s="268">
        <f t="shared" si="99"/>
        <v>6120</v>
      </c>
      <c r="N84" s="268" t="str">
        <f t="shared" si="99"/>
        <v/>
      </c>
      <c r="O84" s="268" t="str">
        <f t="shared" si="99"/>
        <v/>
      </c>
      <c r="P84" s="268" t="str">
        <f t="shared" si="99"/>
        <v/>
      </c>
      <c r="Q84" s="268" t="str">
        <f t="shared" si="99"/>
        <v/>
      </c>
      <c r="R84" s="268" t="str">
        <f t="shared" si="99"/>
        <v/>
      </c>
      <c r="S84" s="268" t="str">
        <f t="shared" si="99"/>
        <v/>
      </c>
      <c r="T84" s="268" t="str">
        <f t="shared" si="99"/>
        <v/>
      </c>
      <c r="U84" s="268" t="str">
        <f t="shared" si="99"/>
        <v/>
      </c>
      <c r="V84" s="268" t="str">
        <f t="shared" si="99"/>
        <v/>
      </c>
      <c r="W84" s="268" t="str">
        <f t="shared" si="99"/>
        <v/>
      </c>
      <c r="X84" s="268" t="str">
        <f t="shared" si="99"/>
        <v/>
      </c>
      <c r="Y84" s="268" t="str">
        <f t="shared" si="99"/>
        <v/>
      </c>
      <c r="Z84" s="268" t="str">
        <f t="shared" si="99"/>
        <v/>
      </c>
      <c r="AA84" s="268" t="str">
        <f t="shared" si="99"/>
        <v/>
      </c>
      <c r="AB84" s="268" t="str">
        <f t="shared" si="99"/>
        <v/>
      </c>
      <c r="AC84" s="268" t="str">
        <f t="shared" si="99"/>
        <v/>
      </c>
      <c r="AD84" s="268" t="str">
        <f t="shared" si="99"/>
        <v/>
      </c>
      <c r="AE84" s="268" t="str">
        <f t="shared" si="99"/>
        <v/>
      </c>
      <c r="AF84" s="268" t="str">
        <f t="shared" si="99"/>
        <v/>
      </c>
      <c r="AG84" s="268" t="str">
        <f t="shared" si="99"/>
        <v/>
      </c>
      <c r="AH84" s="268" t="str">
        <f t="shared" si="99"/>
        <v/>
      </c>
      <c r="AI84" s="268" t="str">
        <f t="shared" si="99"/>
        <v/>
      </c>
      <c r="AJ84" s="268" t="str">
        <f t="shared" si="99"/>
        <v/>
      </c>
      <c r="AK84" s="268" t="str">
        <f t="shared" si="99"/>
        <v/>
      </c>
      <c r="AL84" s="268" t="str">
        <f t="shared" si="99"/>
        <v/>
      </c>
      <c r="AM84" s="268" t="str">
        <f t="shared" si="99"/>
        <v/>
      </c>
      <c r="AN84" s="268" t="str">
        <f t="shared" si="99"/>
        <v/>
      </c>
      <c r="AO84" s="268" t="str">
        <f t="shared" si="99"/>
        <v/>
      </c>
      <c r="AP84" s="268" t="str">
        <f t="shared" si="99"/>
        <v/>
      </c>
      <c r="AQ84" s="268" t="str">
        <f t="shared" si="99"/>
        <v/>
      </c>
      <c r="AR84" s="268" t="str">
        <f t="shared" si="99"/>
        <v/>
      </c>
      <c r="AS84" s="268" t="str">
        <f t="shared" si="99"/>
        <v/>
      </c>
      <c r="AT84" s="268" t="str">
        <f t="shared" si="99"/>
        <v/>
      </c>
      <c r="AU84" s="268" t="str">
        <f t="shared" si="99"/>
        <v/>
      </c>
      <c r="AV84" s="268" t="str">
        <f t="shared" si="99"/>
        <v/>
      </c>
      <c r="AW84" s="268" t="str">
        <f t="shared" si="99"/>
        <v/>
      </c>
      <c r="AX84" s="268" t="str">
        <f t="shared" si="99"/>
        <v/>
      </c>
      <c r="AY84" s="268" t="str">
        <f t="shared" si="99"/>
        <v/>
      </c>
      <c r="AZ84" s="268" t="str">
        <f t="shared" si="99"/>
        <v/>
      </c>
      <c r="BA84" s="268" t="str">
        <f t="shared" si="99"/>
        <v/>
      </c>
      <c r="BB84" s="268" t="str">
        <f t="shared" si="99"/>
        <v/>
      </c>
      <c r="BC84" s="268" t="str">
        <f t="shared" si="99"/>
        <v/>
      </c>
      <c r="BD84" s="268" t="str">
        <f t="shared" si="99"/>
        <v/>
      </c>
      <c r="BE84" s="268" t="str">
        <f t="shared" si="99"/>
        <v/>
      </c>
      <c r="BF84" s="268" t="str">
        <f t="shared" si="99"/>
        <v/>
      </c>
      <c r="BG84" s="268" t="str">
        <f t="shared" si="99"/>
        <v/>
      </c>
      <c r="BH84" s="268" t="str">
        <f t="shared" si="99"/>
        <v/>
      </c>
      <c r="BI84" s="268" t="str">
        <f t="shared" si="99"/>
        <v/>
      </c>
      <c r="BJ84" s="268" t="str">
        <f t="shared" si="99"/>
        <v/>
      </c>
      <c r="BK84" s="268" t="str">
        <f t="shared" si="99"/>
        <v/>
      </c>
      <c r="BL84" s="268" t="str">
        <f t="shared" si="99"/>
        <v/>
      </c>
      <c r="BM84" s="268" t="str">
        <f t="shared" si="99"/>
        <v/>
      </c>
      <c r="BN84" s="268" t="str">
        <f t="shared" si="99"/>
        <v/>
      </c>
      <c r="BO84" s="268" t="str">
        <f t="shared" si="99"/>
        <v/>
      </c>
      <c r="BP84" s="268" t="str">
        <f t="shared" si="99"/>
        <v/>
      </c>
      <c r="BQ84" s="268" t="str">
        <f t="shared" si="99"/>
        <v/>
      </c>
      <c r="BR84" s="268" t="str">
        <f t="shared" si="99"/>
        <v/>
      </c>
      <c r="BS84" s="268" t="str">
        <f t="shared" si="99"/>
        <v/>
      </c>
      <c r="BT84" s="268" t="str">
        <f t="shared" si="99"/>
        <v/>
      </c>
      <c r="BU84" s="268" t="str">
        <f t="shared" si="82"/>
        <v/>
      </c>
      <c r="BV84" s="247">
        <v>0.63</v>
      </c>
      <c r="BW84" s="729">
        <f t="shared" si="75"/>
        <v>3855.6</v>
      </c>
      <c r="BX84" s="730">
        <f t="shared" si="76"/>
        <v>29880.9</v>
      </c>
      <c r="BY84" s="731" t="str">
        <f t="shared" si="69"/>
        <v>SR</v>
      </c>
    </row>
    <row r="85" s="698" customFormat="1" customHeight="1" spans="1:77">
      <c r="A85" s="208">
        <v>45999</v>
      </c>
      <c r="B85" s="208">
        <v>46052</v>
      </c>
      <c r="C85" s="211" t="s">
        <v>346</v>
      </c>
      <c r="D85" s="211" t="s">
        <v>347</v>
      </c>
      <c r="E85" s="211" t="s">
        <v>38</v>
      </c>
      <c r="F85" s="732">
        <v>1320</v>
      </c>
      <c r="G85" s="211" t="s">
        <v>327</v>
      </c>
      <c r="H85" s="211" t="str">
        <f>IFERROR(VLOOKUP(E85,名称!A:E,4,0),"")</f>
        <v>二代</v>
      </c>
      <c r="I85" s="268" t="str">
        <f t="shared" ref="I85:BT85" si="100">IF(OR($E85="",I$1=""),"",IF(TRIM(LEFT($E85,MIN(IFERROR(FIND("CDU",UPPER($E85)),999),IFERROR(FIND("BULK",UPPER($E85)),999),IFERROR(FIND("-",$E85),999),IFERROR(FIND("（",$E85),999))-1))=I$1,$F85,""))</f>
        <v/>
      </c>
      <c r="J85" s="268" t="str">
        <f t="shared" si="100"/>
        <v/>
      </c>
      <c r="K85" s="268" t="str">
        <f t="shared" si="100"/>
        <v/>
      </c>
      <c r="L85" s="268" t="str">
        <f t="shared" si="100"/>
        <v/>
      </c>
      <c r="M85" s="268" t="str">
        <f t="shared" si="100"/>
        <v/>
      </c>
      <c r="N85" s="268" t="str">
        <f t="shared" si="100"/>
        <v/>
      </c>
      <c r="O85" s="268" t="str">
        <f t="shared" si="100"/>
        <v/>
      </c>
      <c r="P85" s="268" t="str">
        <f t="shared" si="100"/>
        <v/>
      </c>
      <c r="Q85" s="268" t="str">
        <f t="shared" si="100"/>
        <v/>
      </c>
      <c r="R85" s="268" t="str">
        <f t="shared" si="100"/>
        <v/>
      </c>
      <c r="S85" s="268" t="str">
        <f t="shared" si="100"/>
        <v/>
      </c>
      <c r="T85" s="268">
        <f t="shared" si="100"/>
        <v>1320</v>
      </c>
      <c r="U85" s="268" t="str">
        <f t="shared" si="100"/>
        <v/>
      </c>
      <c r="V85" s="268" t="str">
        <f t="shared" si="100"/>
        <v/>
      </c>
      <c r="W85" s="268" t="str">
        <f t="shared" si="100"/>
        <v/>
      </c>
      <c r="X85" s="268" t="str">
        <f t="shared" si="100"/>
        <v/>
      </c>
      <c r="Y85" s="268" t="str">
        <f t="shared" si="100"/>
        <v/>
      </c>
      <c r="Z85" s="268" t="str">
        <f t="shared" si="100"/>
        <v/>
      </c>
      <c r="AA85" s="268" t="str">
        <f t="shared" si="100"/>
        <v/>
      </c>
      <c r="AB85" s="268" t="str">
        <f t="shared" si="100"/>
        <v/>
      </c>
      <c r="AC85" s="268" t="str">
        <f t="shared" si="100"/>
        <v/>
      </c>
      <c r="AD85" s="268" t="str">
        <f t="shared" si="100"/>
        <v/>
      </c>
      <c r="AE85" s="268" t="str">
        <f t="shared" si="100"/>
        <v/>
      </c>
      <c r="AF85" s="268" t="str">
        <f t="shared" si="100"/>
        <v/>
      </c>
      <c r="AG85" s="268" t="str">
        <f t="shared" si="100"/>
        <v/>
      </c>
      <c r="AH85" s="268" t="str">
        <f t="shared" si="100"/>
        <v/>
      </c>
      <c r="AI85" s="268" t="str">
        <f t="shared" si="100"/>
        <v/>
      </c>
      <c r="AJ85" s="268" t="str">
        <f t="shared" si="100"/>
        <v/>
      </c>
      <c r="AK85" s="268" t="str">
        <f t="shared" si="100"/>
        <v/>
      </c>
      <c r="AL85" s="268" t="str">
        <f t="shared" si="100"/>
        <v/>
      </c>
      <c r="AM85" s="268" t="str">
        <f t="shared" si="100"/>
        <v/>
      </c>
      <c r="AN85" s="268" t="str">
        <f t="shared" si="100"/>
        <v/>
      </c>
      <c r="AO85" s="268" t="str">
        <f t="shared" si="100"/>
        <v/>
      </c>
      <c r="AP85" s="268" t="str">
        <f t="shared" si="100"/>
        <v/>
      </c>
      <c r="AQ85" s="268" t="str">
        <f t="shared" si="100"/>
        <v/>
      </c>
      <c r="AR85" s="268" t="str">
        <f t="shared" si="100"/>
        <v/>
      </c>
      <c r="AS85" s="268" t="str">
        <f t="shared" si="100"/>
        <v/>
      </c>
      <c r="AT85" s="268" t="str">
        <f t="shared" si="100"/>
        <v/>
      </c>
      <c r="AU85" s="268" t="str">
        <f t="shared" si="100"/>
        <v/>
      </c>
      <c r="AV85" s="268" t="str">
        <f t="shared" si="100"/>
        <v/>
      </c>
      <c r="AW85" s="268" t="str">
        <f t="shared" si="100"/>
        <v/>
      </c>
      <c r="AX85" s="268" t="str">
        <f t="shared" si="100"/>
        <v/>
      </c>
      <c r="AY85" s="268" t="str">
        <f t="shared" si="100"/>
        <v/>
      </c>
      <c r="AZ85" s="268" t="str">
        <f t="shared" si="100"/>
        <v/>
      </c>
      <c r="BA85" s="268" t="str">
        <f t="shared" si="100"/>
        <v/>
      </c>
      <c r="BB85" s="268" t="str">
        <f t="shared" si="100"/>
        <v/>
      </c>
      <c r="BC85" s="268" t="str">
        <f t="shared" si="100"/>
        <v/>
      </c>
      <c r="BD85" s="268" t="str">
        <f t="shared" si="100"/>
        <v/>
      </c>
      <c r="BE85" s="268" t="str">
        <f t="shared" si="100"/>
        <v/>
      </c>
      <c r="BF85" s="268" t="str">
        <f t="shared" si="100"/>
        <v/>
      </c>
      <c r="BG85" s="268" t="str">
        <f t="shared" si="100"/>
        <v/>
      </c>
      <c r="BH85" s="268" t="str">
        <f t="shared" si="100"/>
        <v/>
      </c>
      <c r="BI85" s="268" t="str">
        <f t="shared" si="100"/>
        <v/>
      </c>
      <c r="BJ85" s="268" t="str">
        <f t="shared" si="100"/>
        <v/>
      </c>
      <c r="BK85" s="268" t="str">
        <f t="shared" si="100"/>
        <v/>
      </c>
      <c r="BL85" s="268" t="str">
        <f t="shared" si="100"/>
        <v/>
      </c>
      <c r="BM85" s="268" t="str">
        <f t="shared" si="100"/>
        <v/>
      </c>
      <c r="BN85" s="268" t="str">
        <f t="shared" si="100"/>
        <v/>
      </c>
      <c r="BO85" s="268" t="str">
        <f t="shared" si="100"/>
        <v/>
      </c>
      <c r="BP85" s="268" t="str">
        <f t="shared" si="100"/>
        <v/>
      </c>
      <c r="BQ85" s="268" t="str">
        <f t="shared" si="100"/>
        <v/>
      </c>
      <c r="BR85" s="268" t="str">
        <f t="shared" si="100"/>
        <v/>
      </c>
      <c r="BS85" s="268" t="str">
        <f t="shared" si="100"/>
        <v/>
      </c>
      <c r="BT85" s="268" t="str">
        <f t="shared" si="100"/>
        <v/>
      </c>
      <c r="BU85" s="268" t="str">
        <f t="shared" si="82"/>
        <v/>
      </c>
      <c r="BV85" s="247">
        <v>3.12</v>
      </c>
      <c r="BW85" s="729">
        <f t="shared" si="75"/>
        <v>4118.4</v>
      </c>
      <c r="BX85" s="730">
        <f t="shared" si="76"/>
        <v>31917.6</v>
      </c>
      <c r="BY85" s="731" t="str">
        <f t="shared" si="69"/>
        <v>SR</v>
      </c>
    </row>
    <row r="86" s="698" customFormat="1" customHeight="1" spans="1:77">
      <c r="A86" s="208">
        <v>45999</v>
      </c>
      <c r="B86" s="208">
        <v>46052</v>
      </c>
      <c r="C86" s="211" t="s">
        <v>346</v>
      </c>
      <c r="D86" s="211" t="s">
        <v>347</v>
      </c>
      <c r="E86" s="211" t="s">
        <v>41</v>
      </c>
      <c r="F86" s="732">
        <v>840</v>
      </c>
      <c r="G86" s="211" t="s">
        <v>327</v>
      </c>
      <c r="H86" s="211" t="str">
        <f>IFERROR(VLOOKUP(E86,名称!A:E,4,0),"")</f>
        <v>二代</v>
      </c>
      <c r="I86" s="268" t="str">
        <f t="shared" ref="I86:BT86" si="101">IF(OR($E86="",I$1=""),"",IF(TRIM(LEFT($E86,MIN(IFERROR(FIND("CDU",UPPER($E86)),999),IFERROR(FIND("BULK",UPPER($E86)),999),IFERROR(FIND("-",$E86),999),IFERROR(FIND("（",$E86),999))-1))=I$1,$F86,""))</f>
        <v/>
      </c>
      <c r="J86" s="268" t="str">
        <f t="shared" si="101"/>
        <v/>
      </c>
      <c r="K86" s="268" t="str">
        <f t="shared" si="101"/>
        <v/>
      </c>
      <c r="L86" s="268" t="str">
        <f t="shared" si="101"/>
        <v/>
      </c>
      <c r="M86" s="268" t="str">
        <f t="shared" si="101"/>
        <v/>
      </c>
      <c r="N86" s="268" t="str">
        <f t="shared" si="101"/>
        <v/>
      </c>
      <c r="O86" s="268" t="str">
        <f t="shared" si="101"/>
        <v/>
      </c>
      <c r="P86" s="268" t="str">
        <f t="shared" si="101"/>
        <v/>
      </c>
      <c r="Q86" s="268" t="str">
        <f t="shared" si="101"/>
        <v/>
      </c>
      <c r="R86" s="268" t="str">
        <f t="shared" si="101"/>
        <v/>
      </c>
      <c r="S86" s="268" t="str">
        <f t="shared" si="101"/>
        <v/>
      </c>
      <c r="T86" s="268" t="str">
        <f t="shared" si="101"/>
        <v/>
      </c>
      <c r="U86" s="268" t="str">
        <f t="shared" si="101"/>
        <v/>
      </c>
      <c r="V86" s="268" t="str">
        <f t="shared" si="101"/>
        <v/>
      </c>
      <c r="W86" s="268">
        <f t="shared" si="101"/>
        <v>840</v>
      </c>
      <c r="X86" s="268" t="str">
        <f t="shared" si="101"/>
        <v/>
      </c>
      <c r="Y86" s="268" t="str">
        <f t="shared" si="101"/>
        <v/>
      </c>
      <c r="Z86" s="268" t="str">
        <f t="shared" si="101"/>
        <v/>
      </c>
      <c r="AA86" s="268" t="str">
        <f t="shared" si="101"/>
        <v/>
      </c>
      <c r="AB86" s="268" t="str">
        <f t="shared" si="101"/>
        <v/>
      </c>
      <c r="AC86" s="268" t="str">
        <f t="shared" si="101"/>
        <v/>
      </c>
      <c r="AD86" s="268" t="str">
        <f t="shared" si="101"/>
        <v/>
      </c>
      <c r="AE86" s="268" t="str">
        <f t="shared" si="101"/>
        <v/>
      </c>
      <c r="AF86" s="268" t="str">
        <f t="shared" si="101"/>
        <v/>
      </c>
      <c r="AG86" s="268" t="str">
        <f t="shared" si="101"/>
        <v/>
      </c>
      <c r="AH86" s="268" t="str">
        <f t="shared" si="101"/>
        <v/>
      </c>
      <c r="AI86" s="268" t="str">
        <f t="shared" si="101"/>
        <v/>
      </c>
      <c r="AJ86" s="268" t="str">
        <f t="shared" si="101"/>
        <v/>
      </c>
      <c r="AK86" s="268" t="str">
        <f t="shared" si="101"/>
        <v/>
      </c>
      <c r="AL86" s="268" t="str">
        <f t="shared" si="101"/>
        <v/>
      </c>
      <c r="AM86" s="268" t="str">
        <f t="shared" si="101"/>
        <v/>
      </c>
      <c r="AN86" s="268" t="str">
        <f t="shared" si="101"/>
        <v/>
      </c>
      <c r="AO86" s="268" t="str">
        <f t="shared" si="101"/>
        <v/>
      </c>
      <c r="AP86" s="268" t="str">
        <f t="shared" si="101"/>
        <v/>
      </c>
      <c r="AQ86" s="268" t="str">
        <f t="shared" si="101"/>
        <v/>
      </c>
      <c r="AR86" s="268" t="str">
        <f t="shared" si="101"/>
        <v/>
      </c>
      <c r="AS86" s="268" t="str">
        <f t="shared" si="101"/>
        <v/>
      </c>
      <c r="AT86" s="268" t="str">
        <f t="shared" si="101"/>
        <v/>
      </c>
      <c r="AU86" s="268" t="str">
        <f t="shared" si="101"/>
        <v/>
      </c>
      <c r="AV86" s="268" t="str">
        <f t="shared" si="101"/>
        <v/>
      </c>
      <c r="AW86" s="268" t="str">
        <f t="shared" si="101"/>
        <v/>
      </c>
      <c r="AX86" s="268" t="str">
        <f t="shared" si="101"/>
        <v/>
      </c>
      <c r="AY86" s="268" t="str">
        <f t="shared" si="101"/>
        <v/>
      </c>
      <c r="AZ86" s="268" t="str">
        <f t="shared" si="101"/>
        <v/>
      </c>
      <c r="BA86" s="268" t="str">
        <f t="shared" si="101"/>
        <v/>
      </c>
      <c r="BB86" s="268" t="str">
        <f t="shared" si="101"/>
        <v/>
      </c>
      <c r="BC86" s="268" t="str">
        <f t="shared" si="101"/>
        <v/>
      </c>
      <c r="BD86" s="268" t="str">
        <f t="shared" si="101"/>
        <v/>
      </c>
      <c r="BE86" s="268" t="str">
        <f t="shared" si="101"/>
        <v/>
      </c>
      <c r="BF86" s="268" t="str">
        <f t="shared" si="101"/>
        <v/>
      </c>
      <c r="BG86" s="268" t="str">
        <f t="shared" si="101"/>
        <v/>
      </c>
      <c r="BH86" s="268" t="str">
        <f t="shared" si="101"/>
        <v/>
      </c>
      <c r="BI86" s="268" t="str">
        <f t="shared" si="101"/>
        <v/>
      </c>
      <c r="BJ86" s="268" t="str">
        <f t="shared" si="101"/>
        <v/>
      </c>
      <c r="BK86" s="268" t="str">
        <f t="shared" si="101"/>
        <v/>
      </c>
      <c r="BL86" s="268" t="str">
        <f t="shared" si="101"/>
        <v/>
      </c>
      <c r="BM86" s="268" t="str">
        <f t="shared" si="101"/>
        <v/>
      </c>
      <c r="BN86" s="268" t="str">
        <f t="shared" si="101"/>
        <v/>
      </c>
      <c r="BO86" s="268" t="str">
        <f t="shared" si="101"/>
        <v/>
      </c>
      <c r="BP86" s="268" t="str">
        <f t="shared" si="101"/>
        <v/>
      </c>
      <c r="BQ86" s="268" t="str">
        <f t="shared" si="101"/>
        <v/>
      </c>
      <c r="BR86" s="268" t="str">
        <f t="shared" si="101"/>
        <v/>
      </c>
      <c r="BS86" s="268" t="str">
        <f t="shared" si="101"/>
        <v/>
      </c>
      <c r="BT86" s="268" t="str">
        <f t="shared" si="101"/>
        <v/>
      </c>
      <c r="BU86" s="268" t="str">
        <f t="shared" si="82"/>
        <v/>
      </c>
      <c r="BV86" s="247">
        <v>1.49</v>
      </c>
      <c r="BW86" s="729">
        <f t="shared" si="75"/>
        <v>1251.6</v>
      </c>
      <c r="BX86" s="730">
        <f t="shared" si="76"/>
        <v>9699.9</v>
      </c>
      <c r="BY86" s="731" t="str">
        <f t="shared" si="69"/>
        <v>SR</v>
      </c>
    </row>
    <row r="87" s="698" customFormat="1" customHeight="1" spans="1:77">
      <c r="A87" s="208">
        <v>45999</v>
      </c>
      <c r="B87" s="208">
        <v>46052</v>
      </c>
      <c r="C87" s="211" t="s">
        <v>346</v>
      </c>
      <c r="D87" s="211" t="s">
        <v>347</v>
      </c>
      <c r="E87" s="211" t="s">
        <v>34</v>
      </c>
      <c r="F87" s="732">
        <v>1284</v>
      </c>
      <c r="G87" s="211" t="s">
        <v>327</v>
      </c>
      <c r="H87" s="211" t="str">
        <f>IFERROR(VLOOKUP(E87,名称!A:E,4,0),"")</f>
        <v>二代</v>
      </c>
      <c r="I87" s="268" t="str">
        <f t="shared" ref="I87:BT87" si="102">IF(OR($E87="",I$1=""),"",IF(TRIM(LEFT($E87,MIN(IFERROR(FIND("CDU",UPPER($E87)),999),IFERROR(FIND("BULK",UPPER($E87)),999),IFERROR(FIND("-",$E87),999),IFERROR(FIND("（",$E87),999))-1))=I$1,$F87,""))</f>
        <v/>
      </c>
      <c r="J87" s="268" t="str">
        <f t="shared" si="102"/>
        <v/>
      </c>
      <c r="K87" s="268" t="str">
        <f t="shared" si="102"/>
        <v/>
      </c>
      <c r="L87" s="268" t="str">
        <f t="shared" si="102"/>
        <v/>
      </c>
      <c r="M87" s="268" t="str">
        <f t="shared" si="102"/>
        <v/>
      </c>
      <c r="N87" s="268" t="str">
        <f t="shared" si="102"/>
        <v/>
      </c>
      <c r="O87" s="268" t="str">
        <f t="shared" si="102"/>
        <v/>
      </c>
      <c r="P87" s="268" t="str">
        <f t="shared" si="102"/>
        <v/>
      </c>
      <c r="Q87" s="268" t="str">
        <f t="shared" si="102"/>
        <v/>
      </c>
      <c r="R87" s="268" t="str">
        <f t="shared" si="102"/>
        <v/>
      </c>
      <c r="S87" s="268" t="str">
        <f t="shared" si="102"/>
        <v/>
      </c>
      <c r="T87" s="268" t="str">
        <f t="shared" si="102"/>
        <v/>
      </c>
      <c r="U87" s="268" t="str">
        <f t="shared" si="102"/>
        <v/>
      </c>
      <c r="V87" s="268" t="str">
        <f t="shared" si="102"/>
        <v/>
      </c>
      <c r="W87" s="268" t="str">
        <f t="shared" si="102"/>
        <v/>
      </c>
      <c r="X87" s="268">
        <f t="shared" si="102"/>
        <v>1284</v>
      </c>
      <c r="Y87" s="268" t="str">
        <f t="shared" si="102"/>
        <v/>
      </c>
      <c r="Z87" s="268" t="str">
        <f t="shared" si="102"/>
        <v/>
      </c>
      <c r="AA87" s="268" t="str">
        <f t="shared" si="102"/>
        <v/>
      </c>
      <c r="AB87" s="268" t="str">
        <f t="shared" si="102"/>
        <v/>
      </c>
      <c r="AC87" s="268" t="str">
        <f t="shared" si="102"/>
        <v/>
      </c>
      <c r="AD87" s="268" t="str">
        <f t="shared" si="102"/>
        <v/>
      </c>
      <c r="AE87" s="268" t="str">
        <f t="shared" si="102"/>
        <v/>
      </c>
      <c r="AF87" s="268" t="str">
        <f t="shared" si="102"/>
        <v/>
      </c>
      <c r="AG87" s="268" t="str">
        <f t="shared" si="102"/>
        <v/>
      </c>
      <c r="AH87" s="268" t="str">
        <f t="shared" si="102"/>
        <v/>
      </c>
      <c r="AI87" s="268" t="str">
        <f t="shared" si="102"/>
        <v/>
      </c>
      <c r="AJ87" s="268" t="str">
        <f t="shared" si="102"/>
        <v/>
      </c>
      <c r="AK87" s="268" t="str">
        <f t="shared" si="102"/>
        <v/>
      </c>
      <c r="AL87" s="268" t="str">
        <f t="shared" si="102"/>
        <v/>
      </c>
      <c r="AM87" s="268" t="str">
        <f t="shared" si="102"/>
        <v/>
      </c>
      <c r="AN87" s="268" t="str">
        <f t="shared" si="102"/>
        <v/>
      </c>
      <c r="AO87" s="268" t="str">
        <f t="shared" si="102"/>
        <v/>
      </c>
      <c r="AP87" s="268" t="str">
        <f t="shared" si="102"/>
        <v/>
      </c>
      <c r="AQ87" s="268" t="str">
        <f t="shared" si="102"/>
        <v/>
      </c>
      <c r="AR87" s="268" t="str">
        <f t="shared" si="102"/>
        <v/>
      </c>
      <c r="AS87" s="268" t="str">
        <f t="shared" si="102"/>
        <v/>
      </c>
      <c r="AT87" s="268" t="str">
        <f t="shared" si="102"/>
        <v/>
      </c>
      <c r="AU87" s="268" t="str">
        <f t="shared" si="102"/>
        <v/>
      </c>
      <c r="AV87" s="268" t="str">
        <f t="shared" si="102"/>
        <v/>
      </c>
      <c r="AW87" s="268" t="str">
        <f t="shared" si="102"/>
        <v/>
      </c>
      <c r="AX87" s="268" t="str">
        <f t="shared" si="102"/>
        <v/>
      </c>
      <c r="AY87" s="268" t="str">
        <f t="shared" si="102"/>
        <v/>
      </c>
      <c r="AZ87" s="268" t="str">
        <f t="shared" si="102"/>
        <v/>
      </c>
      <c r="BA87" s="268" t="str">
        <f t="shared" si="102"/>
        <v/>
      </c>
      <c r="BB87" s="268" t="str">
        <f t="shared" si="102"/>
        <v/>
      </c>
      <c r="BC87" s="268" t="str">
        <f t="shared" si="102"/>
        <v/>
      </c>
      <c r="BD87" s="268" t="str">
        <f t="shared" si="102"/>
        <v/>
      </c>
      <c r="BE87" s="268" t="str">
        <f t="shared" si="102"/>
        <v/>
      </c>
      <c r="BF87" s="268" t="str">
        <f t="shared" si="102"/>
        <v/>
      </c>
      <c r="BG87" s="268" t="str">
        <f t="shared" si="102"/>
        <v/>
      </c>
      <c r="BH87" s="268" t="str">
        <f t="shared" si="102"/>
        <v/>
      </c>
      <c r="BI87" s="268" t="str">
        <f t="shared" si="102"/>
        <v/>
      </c>
      <c r="BJ87" s="268" t="str">
        <f t="shared" si="102"/>
        <v/>
      </c>
      <c r="BK87" s="268" t="str">
        <f t="shared" si="102"/>
        <v/>
      </c>
      <c r="BL87" s="268" t="str">
        <f t="shared" si="102"/>
        <v/>
      </c>
      <c r="BM87" s="268" t="str">
        <f t="shared" si="102"/>
        <v/>
      </c>
      <c r="BN87" s="268" t="str">
        <f t="shared" si="102"/>
        <v/>
      </c>
      <c r="BO87" s="268" t="str">
        <f t="shared" si="102"/>
        <v/>
      </c>
      <c r="BP87" s="268" t="str">
        <f t="shared" si="102"/>
        <v/>
      </c>
      <c r="BQ87" s="268" t="str">
        <f t="shared" si="102"/>
        <v/>
      </c>
      <c r="BR87" s="268" t="str">
        <f t="shared" si="102"/>
        <v/>
      </c>
      <c r="BS87" s="268" t="str">
        <f t="shared" si="102"/>
        <v/>
      </c>
      <c r="BT87" s="268" t="str">
        <f t="shared" si="102"/>
        <v/>
      </c>
      <c r="BU87" s="268" t="str">
        <f t="shared" si="82"/>
        <v/>
      </c>
      <c r="BV87" s="247">
        <v>1.49</v>
      </c>
      <c r="BW87" s="729">
        <f t="shared" si="75"/>
        <v>1913.16</v>
      </c>
      <c r="BX87" s="730">
        <f t="shared" si="76"/>
        <v>14826.99</v>
      </c>
      <c r="BY87" s="731" t="str">
        <f t="shared" si="69"/>
        <v>SR</v>
      </c>
    </row>
    <row r="88" s="698" customFormat="1" customHeight="1" spans="1:77">
      <c r="A88" s="208">
        <v>46000</v>
      </c>
      <c r="B88" s="208">
        <v>46053</v>
      </c>
      <c r="C88" s="211">
        <v>21011533</v>
      </c>
      <c r="D88" s="211" t="s">
        <v>348</v>
      </c>
      <c r="E88" s="211" t="s">
        <v>38</v>
      </c>
      <c r="F88" s="732">
        <f>3840+160</f>
        <v>4000</v>
      </c>
      <c r="G88" s="211" t="s">
        <v>327</v>
      </c>
      <c r="H88" s="211" t="str">
        <f>IFERROR(VLOOKUP(E88,名称!A:E,4,0),"")</f>
        <v>二代</v>
      </c>
      <c r="I88" s="268" t="str">
        <f t="shared" ref="I88:BT88" si="103">IF(OR($E88="",I$1=""),"",IF(TRIM(LEFT($E88,MIN(IFERROR(FIND("CDU",UPPER($E88)),999),IFERROR(FIND("BULK",UPPER($E88)),999),IFERROR(FIND("-",$E88),999),IFERROR(FIND("（",$E88),999))-1))=I$1,$F88,""))</f>
        <v/>
      </c>
      <c r="J88" s="268" t="str">
        <f t="shared" si="103"/>
        <v/>
      </c>
      <c r="K88" s="268" t="str">
        <f t="shared" si="103"/>
        <v/>
      </c>
      <c r="L88" s="268" t="str">
        <f t="shared" si="103"/>
        <v/>
      </c>
      <c r="M88" s="268" t="str">
        <f t="shared" si="103"/>
        <v/>
      </c>
      <c r="N88" s="268" t="str">
        <f t="shared" si="103"/>
        <v/>
      </c>
      <c r="O88" s="268" t="str">
        <f t="shared" si="103"/>
        <v/>
      </c>
      <c r="P88" s="268" t="str">
        <f t="shared" si="103"/>
        <v/>
      </c>
      <c r="Q88" s="268" t="str">
        <f t="shared" si="103"/>
        <v/>
      </c>
      <c r="R88" s="268" t="str">
        <f t="shared" si="103"/>
        <v/>
      </c>
      <c r="S88" s="268" t="str">
        <f t="shared" si="103"/>
        <v/>
      </c>
      <c r="T88" s="268">
        <f t="shared" si="103"/>
        <v>4000</v>
      </c>
      <c r="U88" s="268" t="str">
        <f t="shared" si="103"/>
        <v/>
      </c>
      <c r="V88" s="268" t="str">
        <f t="shared" si="103"/>
        <v/>
      </c>
      <c r="W88" s="268" t="str">
        <f t="shared" si="103"/>
        <v/>
      </c>
      <c r="X88" s="268" t="str">
        <f t="shared" si="103"/>
        <v/>
      </c>
      <c r="Y88" s="268" t="str">
        <f t="shared" si="103"/>
        <v/>
      </c>
      <c r="Z88" s="268" t="str">
        <f t="shared" si="103"/>
        <v/>
      </c>
      <c r="AA88" s="268" t="str">
        <f t="shared" si="103"/>
        <v/>
      </c>
      <c r="AB88" s="268" t="str">
        <f t="shared" si="103"/>
        <v/>
      </c>
      <c r="AC88" s="268" t="str">
        <f t="shared" si="103"/>
        <v/>
      </c>
      <c r="AD88" s="268" t="str">
        <f t="shared" si="103"/>
        <v/>
      </c>
      <c r="AE88" s="268" t="str">
        <f t="shared" si="103"/>
        <v/>
      </c>
      <c r="AF88" s="268" t="str">
        <f t="shared" si="103"/>
        <v/>
      </c>
      <c r="AG88" s="268" t="str">
        <f t="shared" si="103"/>
        <v/>
      </c>
      <c r="AH88" s="268" t="str">
        <f t="shared" si="103"/>
        <v/>
      </c>
      <c r="AI88" s="268" t="str">
        <f t="shared" si="103"/>
        <v/>
      </c>
      <c r="AJ88" s="268" t="str">
        <f t="shared" si="103"/>
        <v/>
      </c>
      <c r="AK88" s="268" t="str">
        <f t="shared" si="103"/>
        <v/>
      </c>
      <c r="AL88" s="268" t="str">
        <f t="shared" si="103"/>
        <v/>
      </c>
      <c r="AM88" s="268" t="str">
        <f t="shared" si="103"/>
        <v/>
      </c>
      <c r="AN88" s="268" t="str">
        <f t="shared" si="103"/>
        <v/>
      </c>
      <c r="AO88" s="268" t="str">
        <f t="shared" si="103"/>
        <v/>
      </c>
      <c r="AP88" s="268" t="str">
        <f t="shared" si="103"/>
        <v/>
      </c>
      <c r="AQ88" s="268" t="str">
        <f t="shared" si="103"/>
        <v/>
      </c>
      <c r="AR88" s="268" t="str">
        <f t="shared" si="103"/>
        <v/>
      </c>
      <c r="AS88" s="268" t="str">
        <f t="shared" si="103"/>
        <v/>
      </c>
      <c r="AT88" s="268" t="str">
        <f t="shared" si="103"/>
        <v/>
      </c>
      <c r="AU88" s="268" t="str">
        <f t="shared" si="103"/>
        <v/>
      </c>
      <c r="AV88" s="268" t="str">
        <f t="shared" si="103"/>
        <v/>
      </c>
      <c r="AW88" s="268" t="str">
        <f t="shared" si="103"/>
        <v/>
      </c>
      <c r="AX88" s="268" t="str">
        <f t="shared" si="103"/>
        <v/>
      </c>
      <c r="AY88" s="268" t="str">
        <f t="shared" si="103"/>
        <v/>
      </c>
      <c r="AZ88" s="268" t="str">
        <f t="shared" si="103"/>
        <v/>
      </c>
      <c r="BA88" s="268" t="str">
        <f t="shared" si="103"/>
        <v/>
      </c>
      <c r="BB88" s="268" t="str">
        <f t="shared" si="103"/>
        <v/>
      </c>
      <c r="BC88" s="268" t="str">
        <f t="shared" si="103"/>
        <v/>
      </c>
      <c r="BD88" s="268" t="str">
        <f t="shared" si="103"/>
        <v/>
      </c>
      <c r="BE88" s="268" t="str">
        <f t="shared" si="103"/>
        <v/>
      </c>
      <c r="BF88" s="268" t="str">
        <f t="shared" si="103"/>
        <v/>
      </c>
      <c r="BG88" s="268" t="str">
        <f t="shared" si="103"/>
        <v/>
      </c>
      <c r="BH88" s="268" t="str">
        <f t="shared" si="103"/>
        <v/>
      </c>
      <c r="BI88" s="268" t="str">
        <f t="shared" si="103"/>
        <v/>
      </c>
      <c r="BJ88" s="268" t="str">
        <f t="shared" si="103"/>
        <v/>
      </c>
      <c r="BK88" s="268" t="str">
        <f t="shared" si="103"/>
        <v/>
      </c>
      <c r="BL88" s="268" t="str">
        <f t="shared" si="103"/>
        <v/>
      </c>
      <c r="BM88" s="268" t="str">
        <f t="shared" si="103"/>
        <v/>
      </c>
      <c r="BN88" s="268" t="str">
        <f t="shared" si="103"/>
        <v/>
      </c>
      <c r="BO88" s="268" t="str">
        <f t="shared" si="103"/>
        <v/>
      </c>
      <c r="BP88" s="268" t="str">
        <f t="shared" si="103"/>
        <v/>
      </c>
      <c r="BQ88" s="268" t="str">
        <f t="shared" si="103"/>
        <v/>
      </c>
      <c r="BR88" s="268" t="str">
        <f t="shared" si="103"/>
        <v/>
      </c>
      <c r="BS88" s="268" t="str">
        <f t="shared" si="103"/>
        <v/>
      </c>
      <c r="BT88" s="268" t="str">
        <f t="shared" si="103"/>
        <v/>
      </c>
      <c r="BU88" s="268" t="str">
        <f t="shared" si="82"/>
        <v/>
      </c>
      <c r="BV88" s="247">
        <v>3.23</v>
      </c>
      <c r="BW88" s="729">
        <f t="shared" si="75"/>
        <v>12920</v>
      </c>
      <c r="BX88" s="730">
        <f t="shared" si="76"/>
        <v>100130</v>
      </c>
      <c r="BY88" s="731" t="str">
        <f t="shared" si="69"/>
        <v>SR</v>
      </c>
    </row>
    <row r="89" s="698" customFormat="1" customHeight="1" spans="1:77">
      <c r="A89" s="208">
        <v>46000</v>
      </c>
      <c r="B89" s="208">
        <v>46053</v>
      </c>
      <c r="C89" s="211">
        <v>21011533</v>
      </c>
      <c r="D89" s="211" t="s">
        <v>348</v>
      </c>
      <c r="E89" s="211" t="s">
        <v>53</v>
      </c>
      <c r="F89" s="732">
        <v>12000</v>
      </c>
      <c r="G89" s="211" t="s">
        <v>327</v>
      </c>
      <c r="H89" s="211" t="str">
        <f>IFERROR(VLOOKUP(E89,名称!A:E,4,0),"")</f>
        <v>二代</v>
      </c>
      <c r="I89" s="268" t="str">
        <f t="shared" ref="I89:BT89" si="104">IF(OR($E89="",I$1=""),"",IF(TRIM(LEFT($E89,MIN(IFERROR(FIND("CDU",UPPER($E89)),999),IFERROR(FIND("BULK",UPPER($E89)),999),IFERROR(FIND("-",$E89),999),IFERROR(FIND("（",$E89),999))-1))=I$1,$F89,""))</f>
        <v/>
      </c>
      <c r="J89" s="268" t="str">
        <f t="shared" si="104"/>
        <v/>
      </c>
      <c r="K89" s="268" t="str">
        <f t="shared" si="104"/>
        <v/>
      </c>
      <c r="L89" s="268" t="str">
        <f t="shared" si="104"/>
        <v/>
      </c>
      <c r="M89" s="268" t="str">
        <f t="shared" si="104"/>
        <v/>
      </c>
      <c r="N89" s="268" t="str">
        <f t="shared" si="104"/>
        <v/>
      </c>
      <c r="O89" s="268" t="str">
        <f t="shared" si="104"/>
        <v/>
      </c>
      <c r="P89" s="268" t="str">
        <f t="shared" si="104"/>
        <v/>
      </c>
      <c r="Q89" s="268" t="str">
        <f t="shared" si="104"/>
        <v/>
      </c>
      <c r="R89" s="268" t="str">
        <f t="shared" si="104"/>
        <v/>
      </c>
      <c r="S89" s="268" t="str">
        <f t="shared" si="104"/>
        <v/>
      </c>
      <c r="T89" s="268" t="str">
        <f t="shared" si="104"/>
        <v/>
      </c>
      <c r="U89" s="268" t="str">
        <f t="shared" si="104"/>
        <v/>
      </c>
      <c r="V89" s="268" t="str">
        <f t="shared" si="104"/>
        <v/>
      </c>
      <c r="W89" s="268" t="str">
        <f t="shared" si="104"/>
        <v/>
      </c>
      <c r="X89" s="268" t="str">
        <f t="shared" si="104"/>
        <v/>
      </c>
      <c r="Y89" s="268" t="str">
        <f t="shared" si="104"/>
        <v/>
      </c>
      <c r="Z89" s="268" t="str">
        <f t="shared" si="104"/>
        <v/>
      </c>
      <c r="AA89" s="268">
        <f t="shared" si="104"/>
        <v>12000</v>
      </c>
      <c r="AB89" s="268" t="str">
        <f t="shared" si="104"/>
        <v/>
      </c>
      <c r="AC89" s="268" t="str">
        <f t="shared" si="104"/>
        <v/>
      </c>
      <c r="AD89" s="268" t="str">
        <f t="shared" si="104"/>
        <v/>
      </c>
      <c r="AE89" s="268" t="str">
        <f t="shared" si="104"/>
        <v/>
      </c>
      <c r="AF89" s="268" t="str">
        <f t="shared" si="104"/>
        <v/>
      </c>
      <c r="AG89" s="268" t="str">
        <f t="shared" si="104"/>
        <v/>
      </c>
      <c r="AH89" s="268" t="str">
        <f t="shared" si="104"/>
        <v/>
      </c>
      <c r="AI89" s="268" t="str">
        <f t="shared" si="104"/>
        <v/>
      </c>
      <c r="AJ89" s="268" t="str">
        <f t="shared" si="104"/>
        <v/>
      </c>
      <c r="AK89" s="268" t="str">
        <f t="shared" si="104"/>
        <v/>
      </c>
      <c r="AL89" s="268" t="str">
        <f t="shared" si="104"/>
        <v/>
      </c>
      <c r="AM89" s="268" t="str">
        <f t="shared" si="104"/>
        <v/>
      </c>
      <c r="AN89" s="268" t="str">
        <f t="shared" si="104"/>
        <v/>
      </c>
      <c r="AO89" s="268" t="str">
        <f t="shared" si="104"/>
        <v/>
      </c>
      <c r="AP89" s="268" t="str">
        <f t="shared" si="104"/>
        <v/>
      </c>
      <c r="AQ89" s="268" t="str">
        <f t="shared" si="104"/>
        <v/>
      </c>
      <c r="AR89" s="268" t="str">
        <f t="shared" si="104"/>
        <v/>
      </c>
      <c r="AS89" s="268" t="str">
        <f t="shared" si="104"/>
        <v/>
      </c>
      <c r="AT89" s="268" t="str">
        <f t="shared" si="104"/>
        <v/>
      </c>
      <c r="AU89" s="268" t="str">
        <f t="shared" si="104"/>
        <v/>
      </c>
      <c r="AV89" s="268" t="str">
        <f t="shared" si="104"/>
        <v/>
      </c>
      <c r="AW89" s="268" t="str">
        <f t="shared" si="104"/>
        <v/>
      </c>
      <c r="AX89" s="268" t="str">
        <f t="shared" si="104"/>
        <v/>
      </c>
      <c r="AY89" s="268" t="str">
        <f t="shared" si="104"/>
        <v/>
      </c>
      <c r="AZ89" s="268" t="str">
        <f t="shared" si="104"/>
        <v/>
      </c>
      <c r="BA89" s="268" t="str">
        <f t="shared" si="104"/>
        <v/>
      </c>
      <c r="BB89" s="268" t="str">
        <f t="shared" si="104"/>
        <v/>
      </c>
      <c r="BC89" s="268" t="str">
        <f t="shared" si="104"/>
        <v/>
      </c>
      <c r="BD89" s="268" t="str">
        <f t="shared" si="104"/>
        <v/>
      </c>
      <c r="BE89" s="268" t="str">
        <f t="shared" si="104"/>
        <v/>
      </c>
      <c r="BF89" s="268" t="str">
        <f t="shared" si="104"/>
        <v/>
      </c>
      <c r="BG89" s="268" t="str">
        <f t="shared" si="104"/>
        <v/>
      </c>
      <c r="BH89" s="268" t="str">
        <f t="shared" si="104"/>
        <v/>
      </c>
      <c r="BI89" s="268" t="str">
        <f t="shared" si="104"/>
        <v/>
      </c>
      <c r="BJ89" s="268" t="str">
        <f t="shared" si="104"/>
        <v/>
      </c>
      <c r="BK89" s="268" t="str">
        <f t="shared" si="104"/>
        <v/>
      </c>
      <c r="BL89" s="268" t="str">
        <f t="shared" si="104"/>
        <v/>
      </c>
      <c r="BM89" s="268" t="str">
        <f t="shared" si="104"/>
        <v/>
      </c>
      <c r="BN89" s="268" t="str">
        <f t="shared" si="104"/>
        <v/>
      </c>
      <c r="BO89" s="268" t="str">
        <f t="shared" si="104"/>
        <v/>
      </c>
      <c r="BP89" s="268" t="str">
        <f t="shared" si="104"/>
        <v/>
      </c>
      <c r="BQ89" s="268" t="str">
        <f t="shared" si="104"/>
        <v/>
      </c>
      <c r="BR89" s="268" t="str">
        <f t="shared" si="104"/>
        <v/>
      </c>
      <c r="BS89" s="268" t="str">
        <f t="shared" si="104"/>
        <v/>
      </c>
      <c r="BT89" s="268" t="str">
        <f t="shared" si="104"/>
        <v/>
      </c>
      <c r="BU89" s="268" t="str">
        <f t="shared" si="82"/>
        <v/>
      </c>
      <c r="BV89" s="247">
        <v>0.64</v>
      </c>
      <c r="BW89" s="729">
        <f t="shared" si="75"/>
        <v>7680</v>
      </c>
      <c r="BX89" s="730">
        <f t="shared" si="76"/>
        <v>59520</v>
      </c>
      <c r="BY89" s="731" t="str">
        <f t="shared" ref="BY89:BY120" si="105">MID(E89,1,2)</f>
        <v>JS</v>
      </c>
    </row>
    <row r="90" s="698" customFormat="1" customHeight="1" spans="1:77">
      <c r="A90" s="208">
        <v>46000</v>
      </c>
      <c r="B90" s="208">
        <v>46053</v>
      </c>
      <c r="C90" s="211">
        <v>21011533</v>
      </c>
      <c r="D90" s="211" t="s">
        <v>348</v>
      </c>
      <c r="E90" s="211" t="s">
        <v>35</v>
      </c>
      <c r="F90" s="732">
        <v>8016</v>
      </c>
      <c r="G90" s="211" t="s">
        <v>327</v>
      </c>
      <c r="H90" s="211" t="str">
        <f>IFERROR(VLOOKUP(E90,名称!A:E,4,0),"")</f>
        <v>二代</v>
      </c>
      <c r="I90" s="268" t="str">
        <f t="shared" ref="I90:BT90" si="106">IF(OR($E90="",I$1=""),"",IF(TRIM(LEFT($E90,MIN(IFERROR(FIND("CDU",UPPER($E90)),999),IFERROR(FIND("BULK",UPPER($E90)),999),IFERROR(FIND("-",$E90),999),IFERROR(FIND("（",$E90),999))-1))=I$1,$F90,""))</f>
        <v/>
      </c>
      <c r="J90" s="268" t="str">
        <f t="shared" si="106"/>
        <v/>
      </c>
      <c r="K90" s="268">
        <f t="shared" si="106"/>
        <v>8016</v>
      </c>
      <c r="L90" s="268" t="str">
        <f t="shared" si="106"/>
        <v/>
      </c>
      <c r="M90" s="268" t="str">
        <f t="shared" si="106"/>
        <v/>
      </c>
      <c r="N90" s="268" t="str">
        <f t="shared" si="106"/>
        <v/>
      </c>
      <c r="O90" s="268" t="str">
        <f t="shared" si="106"/>
        <v/>
      </c>
      <c r="P90" s="268" t="str">
        <f t="shared" si="106"/>
        <v/>
      </c>
      <c r="Q90" s="268" t="str">
        <f t="shared" si="106"/>
        <v/>
      </c>
      <c r="R90" s="268" t="str">
        <f t="shared" si="106"/>
        <v/>
      </c>
      <c r="S90" s="268" t="str">
        <f t="shared" si="106"/>
        <v/>
      </c>
      <c r="T90" s="268" t="str">
        <f t="shared" si="106"/>
        <v/>
      </c>
      <c r="U90" s="268" t="str">
        <f t="shared" si="106"/>
        <v/>
      </c>
      <c r="V90" s="268" t="str">
        <f t="shared" si="106"/>
        <v/>
      </c>
      <c r="W90" s="268" t="str">
        <f t="shared" si="106"/>
        <v/>
      </c>
      <c r="X90" s="268" t="str">
        <f t="shared" si="106"/>
        <v/>
      </c>
      <c r="Y90" s="268" t="str">
        <f t="shared" si="106"/>
        <v/>
      </c>
      <c r="Z90" s="268" t="str">
        <f t="shared" si="106"/>
        <v/>
      </c>
      <c r="AA90" s="268" t="str">
        <f t="shared" si="106"/>
        <v/>
      </c>
      <c r="AB90" s="268" t="str">
        <f t="shared" si="106"/>
        <v/>
      </c>
      <c r="AC90" s="268" t="str">
        <f t="shared" si="106"/>
        <v/>
      </c>
      <c r="AD90" s="268" t="str">
        <f t="shared" si="106"/>
        <v/>
      </c>
      <c r="AE90" s="268" t="str">
        <f t="shared" si="106"/>
        <v/>
      </c>
      <c r="AF90" s="268" t="str">
        <f t="shared" si="106"/>
        <v/>
      </c>
      <c r="AG90" s="268" t="str">
        <f t="shared" si="106"/>
        <v/>
      </c>
      <c r="AH90" s="268" t="str">
        <f t="shared" si="106"/>
        <v/>
      </c>
      <c r="AI90" s="268" t="str">
        <f t="shared" si="106"/>
        <v/>
      </c>
      <c r="AJ90" s="268" t="str">
        <f t="shared" si="106"/>
        <v/>
      </c>
      <c r="AK90" s="268" t="str">
        <f t="shared" si="106"/>
        <v/>
      </c>
      <c r="AL90" s="268" t="str">
        <f t="shared" si="106"/>
        <v/>
      </c>
      <c r="AM90" s="268" t="str">
        <f t="shared" si="106"/>
        <v/>
      </c>
      <c r="AN90" s="268" t="str">
        <f t="shared" si="106"/>
        <v/>
      </c>
      <c r="AO90" s="268" t="str">
        <f t="shared" si="106"/>
        <v/>
      </c>
      <c r="AP90" s="268" t="str">
        <f t="shared" si="106"/>
        <v/>
      </c>
      <c r="AQ90" s="268" t="str">
        <f t="shared" si="106"/>
        <v/>
      </c>
      <c r="AR90" s="268" t="str">
        <f t="shared" si="106"/>
        <v/>
      </c>
      <c r="AS90" s="268" t="str">
        <f t="shared" si="106"/>
        <v/>
      </c>
      <c r="AT90" s="268" t="str">
        <f t="shared" si="106"/>
        <v/>
      </c>
      <c r="AU90" s="268" t="str">
        <f t="shared" si="106"/>
        <v/>
      </c>
      <c r="AV90" s="268" t="str">
        <f t="shared" si="106"/>
        <v/>
      </c>
      <c r="AW90" s="268" t="str">
        <f t="shared" si="106"/>
        <v/>
      </c>
      <c r="AX90" s="268" t="str">
        <f t="shared" si="106"/>
        <v/>
      </c>
      <c r="AY90" s="268" t="str">
        <f t="shared" si="106"/>
        <v/>
      </c>
      <c r="AZ90" s="268" t="str">
        <f t="shared" si="106"/>
        <v/>
      </c>
      <c r="BA90" s="268" t="str">
        <f t="shared" si="106"/>
        <v/>
      </c>
      <c r="BB90" s="268" t="str">
        <f t="shared" si="106"/>
        <v/>
      </c>
      <c r="BC90" s="268" t="str">
        <f t="shared" si="106"/>
        <v/>
      </c>
      <c r="BD90" s="268" t="str">
        <f t="shared" si="106"/>
        <v/>
      </c>
      <c r="BE90" s="268" t="str">
        <f t="shared" si="106"/>
        <v/>
      </c>
      <c r="BF90" s="268" t="str">
        <f t="shared" si="106"/>
        <v/>
      </c>
      <c r="BG90" s="268" t="str">
        <f t="shared" si="106"/>
        <v/>
      </c>
      <c r="BH90" s="268" t="str">
        <f t="shared" si="106"/>
        <v/>
      </c>
      <c r="BI90" s="268" t="str">
        <f t="shared" si="106"/>
        <v/>
      </c>
      <c r="BJ90" s="268" t="str">
        <f t="shared" si="106"/>
        <v/>
      </c>
      <c r="BK90" s="268" t="str">
        <f t="shared" si="106"/>
        <v/>
      </c>
      <c r="BL90" s="268" t="str">
        <f t="shared" si="106"/>
        <v/>
      </c>
      <c r="BM90" s="268" t="str">
        <f t="shared" si="106"/>
        <v/>
      </c>
      <c r="BN90" s="268" t="str">
        <f t="shared" si="106"/>
        <v/>
      </c>
      <c r="BO90" s="268" t="str">
        <f t="shared" si="106"/>
        <v/>
      </c>
      <c r="BP90" s="268" t="str">
        <f t="shared" si="106"/>
        <v/>
      </c>
      <c r="BQ90" s="268" t="str">
        <f t="shared" si="106"/>
        <v/>
      </c>
      <c r="BR90" s="268" t="str">
        <f t="shared" si="106"/>
        <v/>
      </c>
      <c r="BS90" s="268" t="str">
        <f t="shared" si="106"/>
        <v/>
      </c>
      <c r="BT90" s="268" t="str">
        <f t="shared" si="106"/>
        <v/>
      </c>
      <c r="BU90" s="268" t="str">
        <f t="shared" si="82"/>
        <v/>
      </c>
      <c r="BV90" s="247">
        <v>0.9</v>
      </c>
      <c r="BW90" s="729">
        <f t="shared" si="75"/>
        <v>7214.4</v>
      </c>
      <c r="BX90" s="730">
        <f t="shared" si="76"/>
        <v>55911.6</v>
      </c>
      <c r="BY90" s="731" t="str">
        <f t="shared" si="105"/>
        <v>SR</v>
      </c>
    </row>
    <row r="91" s="698" customFormat="1" customHeight="1" spans="1:77">
      <c r="A91" s="208">
        <v>46002</v>
      </c>
      <c r="B91" s="208">
        <v>46055</v>
      </c>
      <c r="C91" s="211"/>
      <c r="D91" s="211" t="s">
        <v>349</v>
      </c>
      <c r="E91" s="211" t="s">
        <v>38</v>
      </c>
      <c r="F91" s="732">
        <v>660</v>
      </c>
      <c r="G91" s="211" t="s">
        <v>327</v>
      </c>
      <c r="H91" s="211" t="str">
        <f>IFERROR(VLOOKUP(E91,名称!A:E,4,0),"")</f>
        <v>二代</v>
      </c>
      <c r="I91" s="268" t="str">
        <f t="shared" ref="I91:BT91" si="107">IF(OR($E91="",I$1=""),"",IF(TRIM(LEFT($E91,MIN(IFERROR(FIND("CDU",UPPER($E91)),999),IFERROR(FIND("BULK",UPPER($E91)),999),IFERROR(FIND("-",$E91),999),IFERROR(FIND("（",$E91),999))-1))=I$1,$F91,""))</f>
        <v/>
      </c>
      <c r="J91" s="268" t="str">
        <f t="shared" si="107"/>
        <v/>
      </c>
      <c r="K91" s="268" t="str">
        <f t="shared" si="107"/>
        <v/>
      </c>
      <c r="L91" s="268" t="str">
        <f t="shared" si="107"/>
        <v/>
      </c>
      <c r="M91" s="268" t="str">
        <f t="shared" si="107"/>
        <v/>
      </c>
      <c r="N91" s="268" t="str">
        <f t="shared" si="107"/>
        <v/>
      </c>
      <c r="O91" s="268" t="str">
        <f t="shared" si="107"/>
        <v/>
      </c>
      <c r="P91" s="268" t="str">
        <f t="shared" si="107"/>
        <v/>
      </c>
      <c r="Q91" s="268" t="str">
        <f t="shared" si="107"/>
        <v/>
      </c>
      <c r="R91" s="268" t="str">
        <f t="shared" si="107"/>
        <v/>
      </c>
      <c r="S91" s="268" t="str">
        <f t="shared" si="107"/>
        <v/>
      </c>
      <c r="T91" s="268">
        <f t="shared" si="107"/>
        <v>660</v>
      </c>
      <c r="U91" s="268" t="str">
        <f t="shared" si="107"/>
        <v/>
      </c>
      <c r="V91" s="268" t="str">
        <f t="shared" si="107"/>
        <v/>
      </c>
      <c r="W91" s="268" t="str">
        <f t="shared" si="107"/>
        <v/>
      </c>
      <c r="X91" s="268" t="str">
        <f t="shared" si="107"/>
        <v/>
      </c>
      <c r="Y91" s="268" t="str">
        <f t="shared" si="107"/>
        <v/>
      </c>
      <c r="Z91" s="268" t="str">
        <f t="shared" si="107"/>
        <v/>
      </c>
      <c r="AA91" s="268" t="str">
        <f t="shared" si="107"/>
        <v/>
      </c>
      <c r="AB91" s="268" t="str">
        <f t="shared" si="107"/>
        <v/>
      </c>
      <c r="AC91" s="268" t="str">
        <f t="shared" si="107"/>
        <v/>
      </c>
      <c r="AD91" s="268" t="str">
        <f t="shared" si="107"/>
        <v/>
      </c>
      <c r="AE91" s="268" t="str">
        <f t="shared" si="107"/>
        <v/>
      </c>
      <c r="AF91" s="268" t="str">
        <f t="shared" si="107"/>
        <v/>
      </c>
      <c r="AG91" s="268" t="str">
        <f t="shared" si="107"/>
        <v/>
      </c>
      <c r="AH91" s="268" t="str">
        <f t="shared" si="107"/>
        <v/>
      </c>
      <c r="AI91" s="268" t="str">
        <f t="shared" si="107"/>
        <v/>
      </c>
      <c r="AJ91" s="268" t="str">
        <f t="shared" si="107"/>
        <v/>
      </c>
      <c r="AK91" s="268" t="str">
        <f t="shared" si="107"/>
        <v/>
      </c>
      <c r="AL91" s="268" t="str">
        <f t="shared" si="107"/>
        <v/>
      </c>
      <c r="AM91" s="268" t="str">
        <f t="shared" si="107"/>
        <v/>
      </c>
      <c r="AN91" s="268" t="str">
        <f t="shared" si="107"/>
        <v/>
      </c>
      <c r="AO91" s="268" t="str">
        <f t="shared" si="107"/>
        <v/>
      </c>
      <c r="AP91" s="268" t="str">
        <f t="shared" si="107"/>
        <v/>
      </c>
      <c r="AQ91" s="268" t="str">
        <f t="shared" si="107"/>
        <v/>
      </c>
      <c r="AR91" s="268" t="str">
        <f t="shared" si="107"/>
        <v/>
      </c>
      <c r="AS91" s="268" t="str">
        <f t="shared" si="107"/>
        <v/>
      </c>
      <c r="AT91" s="268" t="str">
        <f t="shared" si="107"/>
        <v/>
      </c>
      <c r="AU91" s="268" t="str">
        <f t="shared" si="107"/>
        <v/>
      </c>
      <c r="AV91" s="268" t="str">
        <f t="shared" si="107"/>
        <v/>
      </c>
      <c r="AW91" s="268" t="str">
        <f t="shared" si="107"/>
        <v/>
      </c>
      <c r="AX91" s="268" t="str">
        <f t="shared" si="107"/>
        <v/>
      </c>
      <c r="AY91" s="268" t="str">
        <f t="shared" si="107"/>
        <v/>
      </c>
      <c r="AZ91" s="268" t="str">
        <f t="shared" si="107"/>
        <v/>
      </c>
      <c r="BA91" s="268" t="str">
        <f t="shared" si="107"/>
        <v/>
      </c>
      <c r="BB91" s="268" t="str">
        <f t="shared" si="107"/>
        <v/>
      </c>
      <c r="BC91" s="268" t="str">
        <f t="shared" si="107"/>
        <v/>
      </c>
      <c r="BD91" s="268" t="str">
        <f t="shared" si="107"/>
        <v/>
      </c>
      <c r="BE91" s="268" t="str">
        <f t="shared" si="107"/>
        <v/>
      </c>
      <c r="BF91" s="268" t="str">
        <f t="shared" si="107"/>
        <v/>
      </c>
      <c r="BG91" s="268" t="str">
        <f t="shared" si="107"/>
        <v/>
      </c>
      <c r="BH91" s="268" t="str">
        <f t="shared" si="107"/>
        <v/>
      </c>
      <c r="BI91" s="268" t="str">
        <f t="shared" si="107"/>
        <v/>
      </c>
      <c r="BJ91" s="268" t="str">
        <f t="shared" si="107"/>
        <v/>
      </c>
      <c r="BK91" s="268" t="str">
        <f t="shared" si="107"/>
        <v/>
      </c>
      <c r="BL91" s="268" t="str">
        <f t="shared" si="107"/>
        <v/>
      </c>
      <c r="BM91" s="268" t="str">
        <f t="shared" si="107"/>
        <v/>
      </c>
      <c r="BN91" s="268" t="str">
        <f t="shared" si="107"/>
        <v/>
      </c>
      <c r="BO91" s="268" t="str">
        <f t="shared" si="107"/>
        <v/>
      </c>
      <c r="BP91" s="268" t="str">
        <f t="shared" si="107"/>
        <v/>
      </c>
      <c r="BQ91" s="268" t="str">
        <f t="shared" si="107"/>
        <v/>
      </c>
      <c r="BR91" s="268" t="str">
        <f t="shared" si="107"/>
        <v/>
      </c>
      <c r="BS91" s="268" t="str">
        <f t="shared" si="107"/>
        <v/>
      </c>
      <c r="BT91" s="268" t="str">
        <f t="shared" si="107"/>
        <v/>
      </c>
      <c r="BU91" s="268" t="str">
        <f t="shared" si="82"/>
        <v/>
      </c>
      <c r="BV91" s="247">
        <v>3.23</v>
      </c>
      <c r="BW91" s="729">
        <f t="shared" ref="BW91:BW119" si="108">SUM(I91:BU91)*BV91</f>
        <v>2131.8</v>
      </c>
      <c r="BX91" s="730">
        <f t="shared" ref="BX91:BX119" si="109">BW91*7.75</f>
        <v>16521.45</v>
      </c>
      <c r="BY91" s="731" t="str">
        <f t="shared" si="105"/>
        <v>SR</v>
      </c>
    </row>
    <row r="92" s="698" customFormat="1" customHeight="1" spans="1:77">
      <c r="A92" s="208">
        <v>46002</v>
      </c>
      <c r="B92" s="208">
        <v>46055</v>
      </c>
      <c r="C92" s="211"/>
      <c r="D92" s="211" t="s">
        <v>349</v>
      </c>
      <c r="E92" s="211" t="s">
        <v>37</v>
      </c>
      <c r="F92" s="732">
        <v>720</v>
      </c>
      <c r="G92" s="211" t="s">
        <v>327</v>
      </c>
      <c r="H92" s="211" t="str">
        <f>IFERROR(VLOOKUP(E92,名称!A:E,4,0),"")</f>
        <v>二代</v>
      </c>
      <c r="I92" s="268" t="str">
        <f t="shared" ref="I92:BT92" si="110">IF(OR($E92="",I$1=""),"",IF(TRIM(LEFT($E92,MIN(IFERROR(FIND("CDU",UPPER($E92)),999),IFERROR(FIND("BULK",UPPER($E92)),999),IFERROR(FIND("-",$E92),999),IFERROR(FIND("（",$E92),999))-1))=I$1,$F92,""))</f>
        <v/>
      </c>
      <c r="J92" s="268" t="str">
        <f t="shared" si="110"/>
        <v/>
      </c>
      <c r="K92" s="268" t="str">
        <f t="shared" si="110"/>
        <v/>
      </c>
      <c r="L92" s="268" t="str">
        <f t="shared" si="110"/>
        <v/>
      </c>
      <c r="M92" s="268" t="str">
        <f t="shared" si="110"/>
        <v/>
      </c>
      <c r="N92" s="268" t="str">
        <f t="shared" si="110"/>
        <v/>
      </c>
      <c r="O92" s="268" t="str">
        <f t="shared" si="110"/>
        <v/>
      </c>
      <c r="P92" s="268" t="str">
        <f t="shared" si="110"/>
        <v/>
      </c>
      <c r="Q92" s="268" t="str">
        <f t="shared" si="110"/>
        <v/>
      </c>
      <c r="R92" s="268">
        <f t="shared" si="110"/>
        <v>720</v>
      </c>
      <c r="S92" s="268" t="str">
        <f t="shared" si="110"/>
        <v/>
      </c>
      <c r="T92" s="268" t="str">
        <f t="shared" si="110"/>
        <v/>
      </c>
      <c r="U92" s="268" t="str">
        <f t="shared" si="110"/>
        <v/>
      </c>
      <c r="V92" s="268" t="str">
        <f t="shared" si="110"/>
        <v/>
      </c>
      <c r="W92" s="268" t="str">
        <f t="shared" si="110"/>
        <v/>
      </c>
      <c r="X92" s="268" t="str">
        <f t="shared" si="110"/>
        <v/>
      </c>
      <c r="Y92" s="268" t="str">
        <f t="shared" si="110"/>
        <v/>
      </c>
      <c r="Z92" s="268" t="str">
        <f t="shared" si="110"/>
        <v/>
      </c>
      <c r="AA92" s="268" t="str">
        <f t="shared" si="110"/>
        <v/>
      </c>
      <c r="AB92" s="268" t="str">
        <f t="shared" si="110"/>
        <v/>
      </c>
      <c r="AC92" s="268" t="str">
        <f t="shared" si="110"/>
        <v/>
      </c>
      <c r="AD92" s="268" t="str">
        <f t="shared" si="110"/>
        <v/>
      </c>
      <c r="AE92" s="268" t="str">
        <f t="shared" si="110"/>
        <v/>
      </c>
      <c r="AF92" s="268" t="str">
        <f t="shared" si="110"/>
        <v/>
      </c>
      <c r="AG92" s="268" t="str">
        <f t="shared" si="110"/>
        <v/>
      </c>
      <c r="AH92" s="268" t="str">
        <f t="shared" si="110"/>
        <v/>
      </c>
      <c r="AI92" s="268" t="str">
        <f t="shared" si="110"/>
        <v/>
      </c>
      <c r="AJ92" s="268" t="str">
        <f t="shared" si="110"/>
        <v/>
      </c>
      <c r="AK92" s="268" t="str">
        <f t="shared" si="110"/>
        <v/>
      </c>
      <c r="AL92" s="268" t="str">
        <f t="shared" si="110"/>
        <v/>
      </c>
      <c r="AM92" s="268" t="str">
        <f t="shared" si="110"/>
        <v/>
      </c>
      <c r="AN92" s="268" t="str">
        <f t="shared" si="110"/>
        <v/>
      </c>
      <c r="AO92" s="268" t="str">
        <f t="shared" si="110"/>
        <v/>
      </c>
      <c r="AP92" s="268" t="str">
        <f t="shared" si="110"/>
        <v/>
      </c>
      <c r="AQ92" s="268" t="str">
        <f t="shared" si="110"/>
        <v/>
      </c>
      <c r="AR92" s="268" t="str">
        <f t="shared" si="110"/>
        <v/>
      </c>
      <c r="AS92" s="268" t="str">
        <f t="shared" si="110"/>
        <v/>
      </c>
      <c r="AT92" s="268" t="str">
        <f t="shared" si="110"/>
        <v/>
      </c>
      <c r="AU92" s="268" t="str">
        <f t="shared" si="110"/>
        <v/>
      </c>
      <c r="AV92" s="268" t="str">
        <f t="shared" si="110"/>
        <v/>
      </c>
      <c r="AW92" s="268" t="str">
        <f t="shared" si="110"/>
        <v/>
      </c>
      <c r="AX92" s="268" t="str">
        <f t="shared" si="110"/>
        <v/>
      </c>
      <c r="AY92" s="268" t="str">
        <f t="shared" si="110"/>
        <v/>
      </c>
      <c r="AZ92" s="268" t="str">
        <f t="shared" si="110"/>
        <v/>
      </c>
      <c r="BA92" s="268" t="str">
        <f t="shared" si="110"/>
        <v/>
      </c>
      <c r="BB92" s="268" t="str">
        <f t="shared" si="110"/>
        <v/>
      </c>
      <c r="BC92" s="268" t="str">
        <f t="shared" si="110"/>
        <v/>
      </c>
      <c r="BD92" s="268" t="str">
        <f t="shared" si="110"/>
        <v/>
      </c>
      <c r="BE92" s="268" t="str">
        <f t="shared" si="110"/>
        <v/>
      </c>
      <c r="BF92" s="268" t="str">
        <f t="shared" si="110"/>
        <v/>
      </c>
      <c r="BG92" s="268" t="str">
        <f t="shared" si="110"/>
        <v/>
      </c>
      <c r="BH92" s="268" t="str">
        <f t="shared" si="110"/>
        <v/>
      </c>
      <c r="BI92" s="268" t="str">
        <f t="shared" si="110"/>
        <v/>
      </c>
      <c r="BJ92" s="268" t="str">
        <f t="shared" si="110"/>
        <v/>
      </c>
      <c r="BK92" s="268" t="str">
        <f t="shared" si="110"/>
        <v/>
      </c>
      <c r="BL92" s="268" t="str">
        <f t="shared" si="110"/>
        <v/>
      </c>
      <c r="BM92" s="268" t="str">
        <f t="shared" si="110"/>
        <v/>
      </c>
      <c r="BN92" s="268" t="str">
        <f t="shared" si="110"/>
        <v/>
      </c>
      <c r="BO92" s="268" t="str">
        <f t="shared" si="110"/>
        <v/>
      </c>
      <c r="BP92" s="268" t="str">
        <f t="shared" si="110"/>
        <v/>
      </c>
      <c r="BQ92" s="268" t="str">
        <f t="shared" si="110"/>
        <v/>
      </c>
      <c r="BR92" s="268" t="str">
        <f t="shared" si="110"/>
        <v/>
      </c>
      <c r="BS92" s="268" t="str">
        <f t="shared" si="110"/>
        <v/>
      </c>
      <c r="BT92" s="268" t="str">
        <f t="shared" si="110"/>
        <v/>
      </c>
      <c r="BU92" s="268" t="str">
        <f t="shared" si="82"/>
        <v/>
      </c>
      <c r="BV92" s="247">
        <v>2.09</v>
      </c>
      <c r="BW92" s="729">
        <f t="shared" si="108"/>
        <v>1504.8</v>
      </c>
      <c r="BX92" s="730">
        <f t="shared" si="109"/>
        <v>11662.2</v>
      </c>
      <c r="BY92" s="731" t="str">
        <f t="shared" si="105"/>
        <v>SR</v>
      </c>
    </row>
    <row r="93" s="698" customFormat="1" customHeight="1" spans="1:77">
      <c r="A93" s="208">
        <v>46002</v>
      </c>
      <c r="B93" s="208">
        <v>46055</v>
      </c>
      <c r="C93" s="211"/>
      <c r="D93" s="211" t="s">
        <v>349</v>
      </c>
      <c r="E93" s="211" t="s">
        <v>65</v>
      </c>
      <c r="F93" s="732">
        <v>3240</v>
      </c>
      <c r="G93" s="211" t="s">
        <v>327</v>
      </c>
      <c r="H93" s="211" t="str">
        <f>IFERROR(VLOOKUP(E93,名称!A:E,4,0),"")</f>
        <v>二代</v>
      </c>
      <c r="I93" s="268" t="str">
        <f t="shared" ref="I93:BT93" si="111">IF(OR($E93="",I$1=""),"",IF(TRIM(LEFT($E93,MIN(IFERROR(FIND("CDU",UPPER($E93)),999),IFERROR(FIND("BULK",UPPER($E93)),999),IFERROR(FIND("-",$E93),999),IFERROR(FIND("（",$E93),999))-1))=I$1,$F93,""))</f>
        <v/>
      </c>
      <c r="J93" s="268" t="str">
        <f t="shared" si="111"/>
        <v/>
      </c>
      <c r="K93" s="268" t="str">
        <f t="shared" si="111"/>
        <v/>
      </c>
      <c r="L93" s="268" t="str">
        <f t="shared" si="111"/>
        <v/>
      </c>
      <c r="M93" s="268" t="str">
        <f t="shared" si="111"/>
        <v/>
      </c>
      <c r="N93" s="268" t="str">
        <f t="shared" si="111"/>
        <v/>
      </c>
      <c r="O93" s="268" t="str">
        <f t="shared" si="111"/>
        <v/>
      </c>
      <c r="P93" s="268" t="str">
        <f t="shared" si="111"/>
        <v/>
      </c>
      <c r="Q93" s="268">
        <f t="shared" si="111"/>
        <v>3240</v>
      </c>
      <c r="R93" s="268" t="str">
        <f t="shared" si="111"/>
        <v/>
      </c>
      <c r="S93" s="268" t="str">
        <f t="shared" si="111"/>
        <v/>
      </c>
      <c r="T93" s="268" t="str">
        <f t="shared" si="111"/>
        <v/>
      </c>
      <c r="U93" s="268" t="str">
        <f t="shared" si="111"/>
        <v/>
      </c>
      <c r="V93" s="268" t="str">
        <f t="shared" si="111"/>
        <v/>
      </c>
      <c r="W93" s="268" t="str">
        <f t="shared" si="111"/>
        <v/>
      </c>
      <c r="X93" s="268" t="str">
        <f t="shared" si="111"/>
        <v/>
      </c>
      <c r="Y93" s="268" t="str">
        <f t="shared" si="111"/>
        <v/>
      </c>
      <c r="Z93" s="268" t="str">
        <f t="shared" si="111"/>
        <v/>
      </c>
      <c r="AA93" s="268" t="str">
        <f t="shared" si="111"/>
        <v/>
      </c>
      <c r="AB93" s="268" t="str">
        <f t="shared" si="111"/>
        <v/>
      </c>
      <c r="AC93" s="268" t="str">
        <f t="shared" si="111"/>
        <v/>
      </c>
      <c r="AD93" s="268" t="str">
        <f t="shared" si="111"/>
        <v/>
      </c>
      <c r="AE93" s="268" t="str">
        <f t="shared" si="111"/>
        <v/>
      </c>
      <c r="AF93" s="268" t="str">
        <f t="shared" si="111"/>
        <v/>
      </c>
      <c r="AG93" s="268" t="str">
        <f t="shared" si="111"/>
        <v/>
      </c>
      <c r="AH93" s="268" t="str">
        <f t="shared" si="111"/>
        <v/>
      </c>
      <c r="AI93" s="268" t="str">
        <f t="shared" si="111"/>
        <v/>
      </c>
      <c r="AJ93" s="268" t="str">
        <f t="shared" si="111"/>
        <v/>
      </c>
      <c r="AK93" s="268" t="str">
        <f t="shared" si="111"/>
        <v/>
      </c>
      <c r="AL93" s="268" t="str">
        <f t="shared" si="111"/>
        <v/>
      </c>
      <c r="AM93" s="268" t="str">
        <f t="shared" si="111"/>
        <v/>
      </c>
      <c r="AN93" s="268" t="str">
        <f t="shared" si="111"/>
        <v/>
      </c>
      <c r="AO93" s="268" t="str">
        <f t="shared" si="111"/>
        <v/>
      </c>
      <c r="AP93" s="268" t="str">
        <f t="shared" si="111"/>
        <v/>
      </c>
      <c r="AQ93" s="268" t="str">
        <f t="shared" si="111"/>
        <v/>
      </c>
      <c r="AR93" s="268" t="str">
        <f t="shared" si="111"/>
        <v/>
      </c>
      <c r="AS93" s="268" t="str">
        <f t="shared" si="111"/>
        <v/>
      </c>
      <c r="AT93" s="268" t="str">
        <f t="shared" si="111"/>
        <v/>
      </c>
      <c r="AU93" s="268" t="str">
        <f t="shared" si="111"/>
        <v/>
      </c>
      <c r="AV93" s="268" t="str">
        <f t="shared" si="111"/>
        <v/>
      </c>
      <c r="AW93" s="268" t="str">
        <f t="shared" si="111"/>
        <v/>
      </c>
      <c r="AX93" s="268" t="str">
        <f t="shared" si="111"/>
        <v/>
      </c>
      <c r="AY93" s="268" t="str">
        <f t="shared" si="111"/>
        <v/>
      </c>
      <c r="AZ93" s="268" t="str">
        <f t="shared" si="111"/>
        <v/>
      </c>
      <c r="BA93" s="268" t="str">
        <f t="shared" si="111"/>
        <v/>
      </c>
      <c r="BB93" s="268" t="str">
        <f t="shared" si="111"/>
        <v/>
      </c>
      <c r="BC93" s="268" t="str">
        <f t="shared" si="111"/>
        <v/>
      </c>
      <c r="BD93" s="268" t="str">
        <f t="shared" si="111"/>
        <v/>
      </c>
      <c r="BE93" s="268" t="str">
        <f t="shared" si="111"/>
        <v/>
      </c>
      <c r="BF93" s="268" t="str">
        <f t="shared" si="111"/>
        <v/>
      </c>
      <c r="BG93" s="268" t="str">
        <f t="shared" si="111"/>
        <v/>
      </c>
      <c r="BH93" s="268" t="str">
        <f t="shared" si="111"/>
        <v/>
      </c>
      <c r="BI93" s="268" t="str">
        <f t="shared" si="111"/>
        <v/>
      </c>
      <c r="BJ93" s="268" t="str">
        <f t="shared" si="111"/>
        <v/>
      </c>
      <c r="BK93" s="268" t="str">
        <f t="shared" si="111"/>
        <v/>
      </c>
      <c r="BL93" s="268" t="str">
        <f t="shared" si="111"/>
        <v/>
      </c>
      <c r="BM93" s="268" t="str">
        <f t="shared" si="111"/>
        <v/>
      </c>
      <c r="BN93" s="268" t="str">
        <f t="shared" si="111"/>
        <v/>
      </c>
      <c r="BO93" s="268" t="str">
        <f t="shared" si="111"/>
        <v/>
      </c>
      <c r="BP93" s="268" t="str">
        <f t="shared" si="111"/>
        <v/>
      </c>
      <c r="BQ93" s="268" t="str">
        <f t="shared" si="111"/>
        <v/>
      </c>
      <c r="BR93" s="268" t="str">
        <f t="shared" si="111"/>
        <v/>
      </c>
      <c r="BS93" s="268" t="str">
        <f t="shared" si="111"/>
        <v/>
      </c>
      <c r="BT93" s="268" t="str">
        <f t="shared" si="111"/>
        <v/>
      </c>
      <c r="BU93" s="268" t="str">
        <f t="shared" si="82"/>
        <v/>
      </c>
      <c r="BV93" s="247">
        <v>0.65</v>
      </c>
      <c r="BW93" s="729">
        <f t="shared" si="108"/>
        <v>2106</v>
      </c>
      <c r="BX93" s="730">
        <f t="shared" si="109"/>
        <v>16321.5</v>
      </c>
      <c r="BY93" s="731" t="str">
        <f t="shared" si="105"/>
        <v>SR</v>
      </c>
    </row>
    <row r="94" s="698" customFormat="1" customHeight="1" spans="1:77">
      <c r="A94" s="208">
        <v>46003</v>
      </c>
      <c r="B94" s="208">
        <v>46052</v>
      </c>
      <c r="C94" s="211" t="s">
        <v>350</v>
      </c>
      <c r="D94" s="211" t="s">
        <v>351</v>
      </c>
      <c r="E94" s="211" t="s">
        <v>38</v>
      </c>
      <c r="F94" s="732">
        <v>1500</v>
      </c>
      <c r="G94" s="211" t="s">
        <v>327</v>
      </c>
      <c r="H94" s="211" t="str">
        <f>IFERROR(VLOOKUP(E94,名称!A:E,4,0),"")</f>
        <v>二代</v>
      </c>
      <c r="I94" s="268" t="str">
        <f t="shared" ref="I94:BT94" si="112">IF(OR($E94="",I$1=""),"",IF(TRIM(LEFT($E94,MIN(IFERROR(FIND("CDU",UPPER($E94)),999),IFERROR(FIND("BULK",UPPER($E94)),999),IFERROR(FIND("-",$E94),999),IFERROR(FIND("（",$E94),999))-1))=I$1,$F94,""))</f>
        <v/>
      </c>
      <c r="J94" s="268" t="str">
        <f t="shared" si="112"/>
        <v/>
      </c>
      <c r="K94" s="268" t="str">
        <f t="shared" si="112"/>
        <v/>
      </c>
      <c r="L94" s="268" t="str">
        <f t="shared" si="112"/>
        <v/>
      </c>
      <c r="M94" s="268" t="str">
        <f t="shared" si="112"/>
        <v/>
      </c>
      <c r="N94" s="268" t="str">
        <f t="shared" si="112"/>
        <v/>
      </c>
      <c r="O94" s="268" t="str">
        <f t="shared" si="112"/>
        <v/>
      </c>
      <c r="P94" s="268" t="str">
        <f t="shared" si="112"/>
        <v/>
      </c>
      <c r="Q94" s="268" t="str">
        <f t="shared" si="112"/>
        <v/>
      </c>
      <c r="R94" s="268" t="str">
        <f t="shared" si="112"/>
        <v/>
      </c>
      <c r="S94" s="268" t="str">
        <f t="shared" si="112"/>
        <v/>
      </c>
      <c r="T94" s="268">
        <f t="shared" si="112"/>
        <v>1500</v>
      </c>
      <c r="U94" s="268" t="str">
        <f t="shared" si="112"/>
        <v/>
      </c>
      <c r="V94" s="268" t="str">
        <f t="shared" si="112"/>
        <v/>
      </c>
      <c r="W94" s="268" t="str">
        <f t="shared" si="112"/>
        <v/>
      </c>
      <c r="X94" s="268" t="str">
        <f t="shared" si="112"/>
        <v/>
      </c>
      <c r="Y94" s="268" t="str">
        <f t="shared" si="112"/>
        <v/>
      </c>
      <c r="Z94" s="268" t="str">
        <f t="shared" si="112"/>
        <v/>
      </c>
      <c r="AA94" s="268" t="str">
        <f t="shared" si="112"/>
        <v/>
      </c>
      <c r="AB94" s="268" t="str">
        <f t="shared" si="112"/>
        <v/>
      </c>
      <c r="AC94" s="268" t="str">
        <f t="shared" si="112"/>
        <v/>
      </c>
      <c r="AD94" s="268" t="str">
        <f t="shared" si="112"/>
        <v/>
      </c>
      <c r="AE94" s="268" t="str">
        <f t="shared" si="112"/>
        <v/>
      </c>
      <c r="AF94" s="268" t="str">
        <f t="shared" si="112"/>
        <v/>
      </c>
      <c r="AG94" s="268" t="str">
        <f t="shared" si="112"/>
        <v/>
      </c>
      <c r="AH94" s="268" t="str">
        <f t="shared" si="112"/>
        <v/>
      </c>
      <c r="AI94" s="268" t="str">
        <f t="shared" si="112"/>
        <v/>
      </c>
      <c r="AJ94" s="268" t="str">
        <f t="shared" si="112"/>
        <v/>
      </c>
      <c r="AK94" s="268" t="str">
        <f t="shared" si="112"/>
        <v/>
      </c>
      <c r="AL94" s="268" t="str">
        <f t="shared" si="112"/>
        <v/>
      </c>
      <c r="AM94" s="268" t="str">
        <f t="shared" si="112"/>
        <v/>
      </c>
      <c r="AN94" s="268" t="str">
        <f t="shared" si="112"/>
        <v/>
      </c>
      <c r="AO94" s="268" t="str">
        <f t="shared" si="112"/>
        <v/>
      </c>
      <c r="AP94" s="268" t="str">
        <f t="shared" si="112"/>
        <v/>
      </c>
      <c r="AQ94" s="268" t="str">
        <f t="shared" si="112"/>
        <v/>
      </c>
      <c r="AR94" s="268" t="str">
        <f t="shared" si="112"/>
        <v/>
      </c>
      <c r="AS94" s="268" t="str">
        <f t="shared" si="112"/>
        <v/>
      </c>
      <c r="AT94" s="268" t="str">
        <f t="shared" si="112"/>
        <v/>
      </c>
      <c r="AU94" s="268" t="str">
        <f t="shared" si="112"/>
        <v/>
      </c>
      <c r="AV94" s="268" t="str">
        <f t="shared" si="112"/>
        <v/>
      </c>
      <c r="AW94" s="268" t="str">
        <f t="shared" si="112"/>
        <v/>
      </c>
      <c r="AX94" s="268" t="str">
        <f t="shared" si="112"/>
        <v/>
      </c>
      <c r="AY94" s="268" t="str">
        <f t="shared" si="112"/>
        <v/>
      </c>
      <c r="AZ94" s="268" t="str">
        <f t="shared" si="112"/>
        <v/>
      </c>
      <c r="BA94" s="268" t="str">
        <f t="shared" si="112"/>
        <v/>
      </c>
      <c r="BB94" s="268" t="str">
        <f t="shared" si="112"/>
        <v/>
      </c>
      <c r="BC94" s="268" t="str">
        <f t="shared" si="112"/>
        <v/>
      </c>
      <c r="BD94" s="268" t="str">
        <f t="shared" si="112"/>
        <v/>
      </c>
      <c r="BE94" s="268" t="str">
        <f t="shared" si="112"/>
        <v/>
      </c>
      <c r="BF94" s="268" t="str">
        <f t="shared" si="112"/>
        <v/>
      </c>
      <c r="BG94" s="268" t="str">
        <f t="shared" si="112"/>
        <v/>
      </c>
      <c r="BH94" s="268" t="str">
        <f t="shared" si="112"/>
        <v/>
      </c>
      <c r="BI94" s="268" t="str">
        <f t="shared" si="112"/>
        <v/>
      </c>
      <c r="BJ94" s="268" t="str">
        <f t="shared" si="112"/>
        <v/>
      </c>
      <c r="BK94" s="268" t="str">
        <f t="shared" si="112"/>
        <v/>
      </c>
      <c r="BL94" s="268" t="str">
        <f t="shared" si="112"/>
        <v/>
      </c>
      <c r="BM94" s="268" t="str">
        <f t="shared" si="112"/>
        <v/>
      </c>
      <c r="BN94" s="268" t="str">
        <f t="shared" si="112"/>
        <v/>
      </c>
      <c r="BO94" s="268" t="str">
        <f t="shared" si="112"/>
        <v/>
      </c>
      <c r="BP94" s="268" t="str">
        <f t="shared" si="112"/>
        <v/>
      </c>
      <c r="BQ94" s="268" t="str">
        <f t="shared" si="112"/>
        <v/>
      </c>
      <c r="BR94" s="268" t="str">
        <f t="shared" si="112"/>
        <v/>
      </c>
      <c r="BS94" s="268" t="str">
        <f t="shared" si="112"/>
        <v/>
      </c>
      <c r="BT94" s="268" t="str">
        <f t="shared" si="112"/>
        <v/>
      </c>
      <c r="BU94" s="268" t="str">
        <f t="shared" si="82"/>
        <v/>
      </c>
      <c r="BV94" s="247">
        <v>3.23</v>
      </c>
      <c r="BW94" s="729">
        <f t="shared" si="108"/>
        <v>4845</v>
      </c>
      <c r="BX94" s="730">
        <f t="shared" si="109"/>
        <v>37548.75</v>
      </c>
      <c r="BY94" s="731" t="str">
        <f t="shared" si="105"/>
        <v>SR</v>
      </c>
    </row>
    <row r="95" s="698" customFormat="1" customHeight="1" spans="1:77">
      <c r="A95" s="208">
        <v>46003</v>
      </c>
      <c r="B95" s="208">
        <v>46052</v>
      </c>
      <c r="C95" s="211" t="s">
        <v>350</v>
      </c>
      <c r="D95" s="211" t="s">
        <v>351</v>
      </c>
      <c r="E95" s="211" t="s">
        <v>37</v>
      </c>
      <c r="F95" s="732">
        <v>2004</v>
      </c>
      <c r="G95" s="211" t="s">
        <v>327</v>
      </c>
      <c r="H95" s="211" t="str">
        <f>IFERROR(VLOOKUP(E95,名称!A:E,4,0),"")</f>
        <v>二代</v>
      </c>
      <c r="I95" s="268" t="str">
        <f t="shared" ref="I95:BT95" si="113">IF(OR($E95="",I$1=""),"",IF(TRIM(LEFT($E95,MIN(IFERROR(FIND("CDU",UPPER($E95)),999),IFERROR(FIND("BULK",UPPER($E95)),999),IFERROR(FIND("-",$E95),999),IFERROR(FIND("（",$E95),999))-1))=I$1,$F95,""))</f>
        <v/>
      </c>
      <c r="J95" s="268" t="str">
        <f t="shared" si="113"/>
        <v/>
      </c>
      <c r="K95" s="268" t="str">
        <f t="shared" si="113"/>
        <v/>
      </c>
      <c r="L95" s="268" t="str">
        <f t="shared" si="113"/>
        <v/>
      </c>
      <c r="M95" s="268" t="str">
        <f t="shared" si="113"/>
        <v/>
      </c>
      <c r="N95" s="268" t="str">
        <f t="shared" si="113"/>
        <v/>
      </c>
      <c r="O95" s="268" t="str">
        <f t="shared" si="113"/>
        <v/>
      </c>
      <c r="P95" s="268" t="str">
        <f t="shared" si="113"/>
        <v/>
      </c>
      <c r="Q95" s="268" t="str">
        <f t="shared" si="113"/>
        <v/>
      </c>
      <c r="R95" s="268">
        <f t="shared" si="113"/>
        <v>2004</v>
      </c>
      <c r="S95" s="268" t="str">
        <f t="shared" si="113"/>
        <v/>
      </c>
      <c r="T95" s="268" t="str">
        <f t="shared" si="113"/>
        <v/>
      </c>
      <c r="U95" s="268" t="str">
        <f t="shared" si="113"/>
        <v/>
      </c>
      <c r="V95" s="268" t="str">
        <f t="shared" si="113"/>
        <v/>
      </c>
      <c r="W95" s="268" t="str">
        <f t="shared" si="113"/>
        <v/>
      </c>
      <c r="X95" s="268" t="str">
        <f t="shared" si="113"/>
        <v/>
      </c>
      <c r="Y95" s="268" t="str">
        <f t="shared" si="113"/>
        <v/>
      </c>
      <c r="Z95" s="268" t="str">
        <f t="shared" si="113"/>
        <v/>
      </c>
      <c r="AA95" s="268" t="str">
        <f t="shared" si="113"/>
        <v/>
      </c>
      <c r="AB95" s="268" t="str">
        <f t="shared" si="113"/>
        <v/>
      </c>
      <c r="AC95" s="268" t="str">
        <f t="shared" si="113"/>
        <v/>
      </c>
      <c r="AD95" s="268" t="str">
        <f t="shared" si="113"/>
        <v/>
      </c>
      <c r="AE95" s="268" t="str">
        <f t="shared" si="113"/>
        <v/>
      </c>
      <c r="AF95" s="268" t="str">
        <f t="shared" si="113"/>
        <v/>
      </c>
      <c r="AG95" s="268" t="str">
        <f t="shared" si="113"/>
        <v/>
      </c>
      <c r="AH95" s="268" t="str">
        <f t="shared" si="113"/>
        <v/>
      </c>
      <c r="AI95" s="268" t="str">
        <f t="shared" si="113"/>
        <v/>
      </c>
      <c r="AJ95" s="268" t="str">
        <f t="shared" si="113"/>
        <v/>
      </c>
      <c r="AK95" s="268" t="str">
        <f t="shared" si="113"/>
        <v/>
      </c>
      <c r="AL95" s="268" t="str">
        <f t="shared" si="113"/>
        <v/>
      </c>
      <c r="AM95" s="268" t="str">
        <f t="shared" si="113"/>
        <v/>
      </c>
      <c r="AN95" s="268" t="str">
        <f t="shared" si="113"/>
        <v/>
      </c>
      <c r="AO95" s="268" t="str">
        <f t="shared" si="113"/>
        <v/>
      </c>
      <c r="AP95" s="268" t="str">
        <f t="shared" si="113"/>
        <v/>
      </c>
      <c r="AQ95" s="268" t="str">
        <f t="shared" si="113"/>
        <v/>
      </c>
      <c r="AR95" s="268" t="str">
        <f t="shared" si="113"/>
        <v/>
      </c>
      <c r="AS95" s="268" t="str">
        <f t="shared" si="113"/>
        <v/>
      </c>
      <c r="AT95" s="268" t="str">
        <f t="shared" si="113"/>
        <v/>
      </c>
      <c r="AU95" s="268" t="str">
        <f t="shared" si="113"/>
        <v/>
      </c>
      <c r="AV95" s="268" t="str">
        <f t="shared" si="113"/>
        <v/>
      </c>
      <c r="AW95" s="268" t="str">
        <f t="shared" si="113"/>
        <v/>
      </c>
      <c r="AX95" s="268" t="str">
        <f t="shared" si="113"/>
        <v/>
      </c>
      <c r="AY95" s="268" t="str">
        <f t="shared" si="113"/>
        <v/>
      </c>
      <c r="AZ95" s="268" t="str">
        <f t="shared" si="113"/>
        <v/>
      </c>
      <c r="BA95" s="268" t="str">
        <f t="shared" si="113"/>
        <v/>
      </c>
      <c r="BB95" s="268" t="str">
        <f t="shared" si="113"/>
        <v/>
      </c>
      <c r="BC95" s="268" t="str">
        <f t="shared" si="113"/>
        <v/>
      </c>
      <c r="BD95" s="268" t="str">
        <f t="shared" si="113"/>
        <v/>
      </c>
      <c r="BE95" s="268" t="str">
        <f t="shared" si="113"/>
        <v/>
      </c>
      <c r="BF95" s="268" t="str">
        <f t="shared" si="113"/>
        <v/>
      </c>
      <c r="BG95" s="268" t="str">
        <f t="shared" si="113"/>
        <v/>
      </c>
      <c r="BH95" s="268" t="str">
        <f t="shared" si="113"/>
        <v/>
      </c>
      <c r="BI95" s="268" t="str">
        <f t="shared" si="113"/>
        <v/>
      </c>
      <c r="BJ95" s="268" t="str">
        <f t="shared" si="113"/>
        <v/>
      </c>
      <c r="BK95" s="268" t="str">
        <f t="shared" si="113"/>
        <v/>
      </c>
      <c r="BL95" s="268" t="str">
        <f t="shared" si="113"/>
        <v/>
      </c>
      <c r="BM95" s="268" t="str">
        <f t="shared" si="113"/>
        <v/>
      </c>
      <c r="BN95" s="268" t="str">
        <f t="shared" si="113"/>
        <v/>
      </c>
      <c r="BO95" s="268" t="str">
        <f t="shared" si="113"/>
        <v/>
      </c>
      <c r="BP95" s="268" t="str">
        <f t="shared" si="113"/>
        <v/>
      </c>
      <c r="BQ95" s="268" t="str">
        <f t="shared" si="113"/>
        <v/>
      </c>
      <c r="BR95" s="268" t="str">
        <f t="shared" si="113"/>
        <v/>
      </c>
      <c r="BS95" s="268" t="str">
        <f t="shared" si="113"/>
        <v/>
      </c>
      <c r="BT95" s="268" t="str">
        <f t="shared" si="113"/>
        <v/>
      </c>
      <c r="BU95" s="268" t="str">
        <f t="shared" si="82"/>
        <v/>
      </c>
      <c r="BV95" s="247">
        <v>2.09</v>
      </c>
      <c r="BW95" s="729">
        <f t="shared" si="108"/>
        <v>4188.36</v>
      </c>
      <c r="BX95" s="730">
        <f t="shared" si="109"/>
        <v>32459.79</v>
      </c>
      <c r="BY95" s="731" t="str">
        <f t="shared" si="105"/>
        <v>SR</v>
      </c>
    </row>
    <row r="96" s="698" customFormat="1" customHeight="1" spans="1:77">
      <c r="A96" s="208">
        <v>46003</v>
      </c>
      <c r="B96" s="208">
        <v>46052</v>
      </c>
      <c r="C96" s="211" t="s">
        <v>350</v>
      </c>
      <c r="D96" s="211" t="s">
        <v>351</v>
      </c>
      <c r="E96" s="211" t="s">
        <v>62</v>
      </c>
      <c r="F96" s="732">
        <v>3000</v>
      </c>
      <c r="G96" s="211" t="s">
        <v>327</v>
      </c>
      <c r="H96" s="211" t="str">
        <f>IFERROR(VLOOKUP(E96,名称!A:E,4,0),"")</f>
        <v>二代</v>
      </c>
      <c r="I96" s="268" t="str">
        <f t="shared" ref="I96:BT96" si="114">IF(OR($E96="",I$1=""),"",IF(TRIM(LEFT($E96,MIN(IFERROR(FIND("CDU",UPPER($E96)),999),IFERROR(FIND("BULK",UPPER($E96)),999),IFERROR(FIND("-",$E96),999),IFERROR(FIND("（",$E96),999))-1))=I$1,$F96,""))</f>
        <v/>
      </c>
      <c r="J96" s="268" t="str">
        <f t="shared" si="114"/>
        <v/>
      </c>
      <c r="K96" s="268" t="str">
        <f t="shared" si="114"/>
        <v/>
      </c>
      <c r="L96" s="268" t="str">
        <f t="shared" si="114"/>
        <v/>
      </c>
      <c r="M96" s="268" t="str">
        <f t="shared" si="114"/>
        <v/>
      </c>
      <c r="N96" s="268" t="str">
        <f t="shared" si="114"/>
        <v/>
      </c>
      <c r="O96" s="268">
        <f t="shared" si="114"/>
        <v>3000</v>
      </c>
      <c r="P96" s="268" t="str">
        <f t="shared" si="114"/>
        <v/>
      </c>
      <c r="Q96" s="268" t="str">
        <f t="shared" si="114"/>
        <v/>
      </c>
      <c r="R96" s="268" t="str">
        <f t="shared" si="114"/>
        <v/>
      </c>
      <c r="S96" s="268" t="str">
        <f t="shared" si="114"/>
        <v/>
      </c>
      <c r="T96" s="268" t="str">
        <f t="shared" si="114"/>
        <v/>
      </c>
      <c r="U96" s="268" t="str">
        <f t="shared" si="114"/>
        <v/>
      </c>
      <c r="V96" s="268" t="str">
        <f t="shared" si="114"/>
        <v/>
      </c>
      <c r="W96" s="268" t="str">
        <f t="shared" si="114"/>
        <v/>
      </c>
      <c r="X96" s="268" t="str">
        <f t="shared" si="114"/>
        <v/>
      </c>
      <c r="Y96" s="268" t="str">
        <f t="shared" si="114"/>
        <v/>
      </c>
      <c r="Z96" s="268" t="str">
        <f t="shared" si="114"/>
        <v/>
      </c>
      <c r="AA96" s="268" t="str">
        <f t="shared" si="114"/>
        <v/>
      </c>
      <c r="AB96" s="268" t="str">
        <f t="shared" si="114"/>
        <v/>
      </c>
      <c r="AC96" s="268" t="str">
        <f t="shared" si="114"/>
        <v/>
      </c>
      <c r="AD96" s="268" t="str">
        <f t="shared" si="114"/>
        <v/>
      </c>
      <c r="AE96" s="268" t="str">
        <f t="shared" si="114"/>
        <v/>
      </c>
      <c r="AF96" s="268" t="str">
        <f t="shared" si="114"/>
        <v/>
      </c>
      <c r="AG96" s="268" t="str">
        <f t="shared" si="114"/>
        <v/>
      </c>
      <c r="AH96" s="268" t="str">
        <f t="shared" si="114"/>
        <v/>
      </c>
      <c r="AI96" s="268" t="str">
        <f t="shared" si="114"/>
        <v/>
      </c>
      <c r="AJ96" s="268" t="str">
        <f t="shared" si="114"/>
        <v/>
      </c>
      <c r="AK96" s="268" t="str">
        <f t="shared" si="114"/>
        <v/>
      </c>
      <c r="AL96" s="268" t="str">
        <f t="shared" si="114"/>
        <v/>
      </c>
      <c r="AM96" s="268" t="str">
        <f t="shared" si="114"/>
        <v/>
      </c>
      <c r="AN96" s="268" t="str">
        <f t="shared" si="114"/>
        <v/>
      </c>
      <c r="AO96" s="268" t="str">
        <f t="shared" si="114"/>
        <v/>
      </c>
      <c r="AP96" s="268" t="str">
        <f t="shared" si="114"/>
        <v/>
      </c>
      <c r="AQ96" s="268" t="str">
        <f t="shared" si="114"/>
        <v/>
      </c>
      <c r="AR96" s="268" t="str">
        <f t="shared" si="114"/>
        <v/>
      </c>
      <c r="AS96" s="268" t="str">
        <f t="shared" si="114"/>
        <v/>
      </c>
      <c r="AT96" s="268" t="str">
        <f t="shared" si="114"/>
        <v/>
      </c>
      <c r="AU96" s="268" t="str">
        <f t="shared" si="114"/>
        <v/>
      </c>
      <c r="AV96" s="268" t="str">
        <f t="shared" si="114"/>
        <v/>
      </c>
      <c r="AW96" s="268" t="str">
        <f t="shared" si="114"/>
        <v/>
      </c>
      <c r="AX96" s="268" t="str">
        <f t="shared" si="114"/>
        <v/>
      </c>
      <c r="AY96" s="268" t="str">
        <f t="shared" si="114"/>
        <v/>
      </c>
      <c r="AZ96" s="268" t="str">
        <f t="shared" si="114"/>
        <v/>
      </c>
      <c r="BA96" s="268" t="str">
        <f t="shared" si="114"/>
        <v/>
      </c>
      <c r="BB96" s="268" t="str">
        <f t="shared" si="114"/>
        <v/>
      </c>
      <c r="BC96" s="268" t="str">
        <f t="shared" si="114"/>
        <v/>
      </c>
      <c r="BD96" s="268" t="str">
        <f t="shared" si="114"/>
        <v/>
      </c>
      <c r="BE96" s="268" t="str">
        <f t="shared" si="114"/>
        <v/>
      </c>
      <c r="BF96" s="268" t="str">
        <f t="shared" si="114"/>
        <v/>
      </c>
      <c r="BG96" s="268" t="str">
        <f t="shared" si="114"/>
        <v/>
      </c>
      <c r="BH96" s="268" t="str">
        <f t="shared" si="114"/>
        <v/>
      </c>
      <c r="BI96" s="268" t="str">
        <f t="shared" si="114"/>
        <v/>
      </c>
      <c r="BJ96" s="268" t="str">
        <f t="shared" si="114"/>
        <v/>
      </c>
      <c r="BK96" s="268" t="str">
        <f t="shared" si="114"/>
        <v/>
      </c>
      <c r="BL96" s="268" t="str">
        <f t="shared" si="114"/>
        <v/>
      </c>
      <c r="BM96" s="268" t="str">
        <f t="shared" si="114"/>
        <v/>
      </c>
      <c r="BN96" s="268" t="str">
        <f t="shared" si="114"/>
        <v/>
      </c>
      <c r="BO96" s="268" t="str">
        <f t="shared" si="114"/>
        <v/>
      </c>
      <c r="BP96" s="268" t="str">
        <f t="shared" si="114"/>
        <v/>
      </c>
      <c r="BQ96" s="268" t="str">
        <f t="shared" si="114"/>
        <v/>
      </c>
      <c r="BR96" s="268" t="str">
        <f t="shared" si="114"/>
        <v/>
      </c>
      <c r="BS96" s="268" t="str">
        <f t="shared" si="114"/>
        <v/>
      </c>
      <c r="BT96" s="268" t="str">
        <f t="shared" si="114"/>
        <v/>
      </c>
      <c r="BU96" s="268" t="str">
        <f t="shared" si="82"/>
        <v/>
      </c>
      <c r="BV96" s="247">
        <v>0.65</v>
      </c>
      <c r="BW96" s="729">
        <f t="shared" si="108"/>
        <v>1950</v>
      </c>
      <c r="BX96" s="730">
        <f t="shared" si="109"/>
        <v>15112.5</v>
      </c>
      <c r="BY96" s="731" t="str">
        <f t="shared" si="105"/>
        <v>SR</v>
      </c>
    </row>
    <row r="97" s="698" customFormat="1" customHeight="1" spans="1:77">
      <c r="A97" s="208">
        <v>46003</v>
      </c>
      <c r="B97" s="208">
        <v>46052</v>
      </c>
      <c r="C97" s="211" t="s">
        <v>350</v>
      </c>
      <c r="D97" s="211" t="s">
        <v>351</v>
      </c>
      <c r="E97" s="211" t="s">
        <v>44</v>
      </c>
      <c r="F97" s="732">
        <v>4008</v>
      </c>
      <c r="G97" s="211" t="s">
        <v>327</v>
      </c>
      <c r="H97" s="211" t="str">
        <f>IFERROR(VLOOKUP(E97,名称!A:E,4,0),"")</f>
        <v>二代</v>
      </c>
      <c r="I97" s="268" t="str">
        <f t="shared" ref="I97:BT97" si="115">IF(OR($E97="",I$1=""),"",IF(TRIM(LEFT($E97,MIN(IFERROR(FIND("CDU",UPPER($E97)),999),IFERROR(FIND("BULK",UPPER($E97)),999),IFERROR(FIND("-",$E97),999),IFERROR(FIND("（",$E97),999))-1))=I$1,$F97,""))</f>
        <v/>
      </c>
      <c r="J97" s="268" t="str">
        <f t="shared" si="115"/>
        <v/>
      </c>
      <c r="K97" s="268" t="str">
        <f t="shared" si="115"/>
        <v/>
      </c>
      <c r="L97" s="268" t="str">
        <f t="shared" si="115"/>
        <v/>
      </c>
      <c r="M97" s="268">
        <f t="shared" si="115"/>
        <v>4008</v>
      </c>
      <c r="N97" s="268" t="str">
        <f t="shared" si="115"/>
        <v/>
      </c>
      <c r="O97" s="268" t="str">
        <f t="shared" si="115"/>
        <v/>
      </c>
      <c r="P97" s="268" t="str">
        <f t="shared" si="115"/>
        <v/>
      </c>
      <c r="Q97" s="268" t="str">
        <f t="shared" si="115"/>
        <v/>
      </c>
      <c r="R97" s="268" t="str">
        <f t="shared" si="115"/>
        <v/>
      </c>
      <c r="S97" s="268" t="str">
        <f t="shared" si="115"/>
        <v/>
      </c>
      <c r="T97" s="268" t="str">
        <f t="shared" si="115"/>
        <v/>
      </c>
      <c r="U97" s="268" t="str">
        <f t="shared" si="115"/>
        <v/>
      </c>
      <c r="V97" s="268" t="str">
        <f t="shared" si="115"/>
        <v/>
      </c>
      <c r="W97" s="268" t="str">
        <f t="shared" si="115"/>
        <v/>
      </c>
      <c r="X97" s="268" t="str">
        <f t="shared" si="115"/>
        <v/>
      </c>
      <c r="Y97" s="268" t="str">
        <f t="shared" si="115"/>
        <v/>
      </c>
      <c r="Z97" s="268" t="str">
        <f t="shared" si="115"/>
        <v/>
      </c>
      <c r="AA97" s="268" t="str">
        <f t="shared" si="115"/>
        <v/>
      </c>
      <c r="AB97" s="268" t="str">
        <f t="shared" si="115"/>
        <v/>
      </c>
      <c r="AC97" s="268" t="str">
        <f t="shared" si="115"/>
        <v/>
      </c>
      <c r="AD97" s="268" t="str">
        <f t="shared" si="115"/>
        <v/>
      </c>
      <c r="AE97" s="268" t="str">
        <f t="shared" si="115"/>
        <v/>
      </c>
      <c r="AF97" s="268" t="str">
        <f t="shared" si="115"/>
        <v/>
      </c>
      <c r="AG97" s="268" t="str">
        <f t="shared" si="115"/>
        <v/>
      </c>
      <c r="AH97" s="268" t="str">
        <f t="shared" si="115"/>
        <v/>
      </c>
      <c r="AI97" s="268" t="str">
        <f t="shared" si="115"/>
        <v/>
      </c>
      <c r="AJ97" s="268" t="str">
        <f t="shared" si="115"/>
        <v/>
      </c>
      <c r="AK97" s="268" t="str">
        <f t="shared" si="115"/>
        <v/>
      </c>
      <c r="AL97" s="268" t="str">
        <f t="shared" si="115"/>
        <v/>
      </c>
      <c r="AM97" s="268" t="str">
        <f t="shared" si="115"/>
        <v/>
      </c>
      <c r="AN97" s="268" t="str">
        <f t="shared" si="115"/>
        <v/>
      </c>
      <c r="AO97" s="268" t="str">
        <f t="shared" si="115"/>
        <v/>
      </c>
      <c r="AP97" s="268" t="str">
        <f t="shared" si="115"/>
        <v/>
      </c>
      <c r="AQ97" s="268" t="str">
        <f t="shared" si="115"/>
        <v/>
      </c>
      <c r="AR97" s="268" t="str">
        <f t="shared" si="115"/>
        <v/>
      </c>
      <c r="AS97" s="268" t="str">
        <f t="shared" si="115"/>
        <v/>
      </c>
      <c r="AT97" s="268" t="str">
        <f t="shared" si="115"/>
        <v/>
      </c>
      <c r="AU97" s="268" t="str">
        <f t="shared" si="115"/>
        <v/>
      </c>
      <c r="AV97" s="268" t="str">
        <f t="shared" si="115"/>
        <v/>
      </c>
      <c r="AW97" s="268" t="str">
        <f t="shared" si="115"/>
        <v/>
      </c>
      <c r="AX97" s="268" t="str">
        <f t="shared" si="115"/>
        <v/>
      </c>
      <c r="AY97" s="268" t="str">
        <f t="shared" si="115"/>
        <v/>
      </c>
      <c r="AZ97" s="268" t="str">
        <f t="shared" si="115"/>
        <v/>
      </c>
      <c r="BA97" s="268" t="str">
        <f t="shared" si="115"/>
        <v/>
      </c>
      <c r="BB97" s="268" t="str">
        <f t="shared" si="115"/>
        <v/>
      </c>
      <c r="BC97" s="268" t="str">
        <f t="shared" si="115"/>
        <v/>
      </c>
      <c r="BD97" s="268" t="str">
        <f t="shared" si="115"/>
        <v/>
      </c>
      <c r="BE97" s="268" t="str">
        <f t="shared" si="115"/>
        <v/>
      </c>
      <c r="BF97" s="268" t="str">
        <f t="shared" si="115"/>
        <v/>
      </c>
      <c r="BG97" s="268" t="str">
        <f t="shared" si="115"/>
        <v/>
      </c>
      <c r="BH97" s="268" t="str">
        <f t="shared" si="115"/>
        <v/>
      </c>
      <c r="BI97" s="268" t="str">
        <f t="shared" si="115"/>
        <v/>
      </c>
      <c r="BJ97" s="268" t="str">
        <f t="shared" si="115"/>
        <v/>
      </c>
      <c r="BK97" s="268" t="str">
        <f t="shared" si="115"/>
        <v/>
      </c>
      <c r="BL97" s="268" t="str">
        <f t="shared" si="115"/>
        <v/>
      </c>
      <c r="BM97" s="268" t="str">
        <f t="shared" si="115"/>
        <v/>
      </c>
      <c r="BN97" s="268" t="str">
        <f t="shared" si="115"/>
        <v/>
      </c>
      <c r="BO97" s="268" t="str">
        <f t="shared" si="115"/>
        <v/>
      </c>
      <c r="BP97" s="268" t="str">
        <f t="shared" si="115"/>
        <v/>
      </c>
      <c r="BQ97" s="268" t="str">
        <f t="shared" si="115"/>
        <v/>
      </c>
      <c r="BR97" s="268" t="str">
        <f t="shared" si="115"/>
        <v/>
      </c>
      <c r="BS97" s="268" t="str">
        <f t="shared" si="115"/>
        <v/>
      </c>
      <c r="BT97" s="268" t="str">
        <f t="shared" si="115"/>
        <v/>
      </c>
      <c r="BU97" s="268" t="str">
        <f t="shared" si="82"/>
        <v/>
      </c>
      <c r="BV97" s="247">
        <v>0.65</v>
      </c>
      <c r="BW97" s="729">
        <f t="shared" si="108"/>
        <v>2605.2</v>
      </c>
      <c r="BX97" s="730">
        <f t="shared" si="109"/>
        <v>20190.3</v>
      </c>
      <c r="BY97" s="731" t="str">
        <f t="shared" si="105"/>
        <v>SR</v>
      </c>
    </row>
    <row r="98" s="698" customFormat="1" customHeight="1" spans="1:77">
      <c r="A98" s="208">
        <v>46003</v>
      </c>
      <c r="B98" s="208">
        <v>46052</v>
      </c>
      <c r="C98" s="211" t="s">
        <v>350</v>
      </c>
      <c r="D98" s="211" t="s">
        <v>351</v>
      </c>
      <c r="E98" s="211" t="s">
        <v>40</v>
      </c>
      <c r="F98" s="732">
        <v>3000</v>
      </c>
      <c r="G98" s="211" t="s">
        <v>327</v>
      </c>
      <c r="H98" s="211" t="str">
        <f>IFERROR(VLOOKUP(E98,名称!A:E,4,0),"")</f>
        <v>二代</v>
      </c>
      <c r="I98" s="268" t="str">
        <f t="shared" ref="I98:BT98" si="116">IF(OR($E98="",I$1=""),"",IF(TRIM(LEFT($E98,MIN(IFERROR(FIND("CDU",UPPER($E98)),999),IFERROR(FIND("BULK",UPPER($E98)),999),IFERROR(FIND("-",$E98),999),IFERROR(FIND("（",$E98),999))-1))=I$1,$F98,""))</f>
        <v/>
      </c>
      <c r="J98" s="268" t="str">
        <f t="shared" si="116"/>
        <v/>
      </c>
      <c r="K98" s="268">
        <f t="shared" si="116"/>
        <v>3000</v>
      </c>
      <c r="L98" s="268" t="str">
        <f t="shared" si="116"/>
        <v/>
      </c>
      <c r="M98" s="268" t="str">
        <f t="shared" si="116"/>
        <v/>
      </c>
      <c r="N98" s="268" t="str">
        <f t="shared" si="116"/>
        <v/>
      </c>
      <c r="O98" s="268" t="str">
        <f t="shared" si="116"/>
        <v/>
      </c>
      <c r="P98" s="268" t="str">
        <f t="shared" si="116"/>
        <v/>
      </c>
      <c r="Q98" s="268" t="str">
        <f t="shared" si="116"/>
        <v/>
      </c>
      <c r="R98" s="268" t="str">
        <f t="shared" si="116"/>
        <v/>
      </c>
      <c r="S98" s="268" t="str">
        <f t="shared" si="116"/>
        <v/>
      </c>
      <c r="T98" s="268" t="str">
        <f t="shared" si="116"/>
        <v/>
      </c>
      <c r="U98" s="268" t="str">
        <f t="shared" si="116"/>
        <v/>
      </c>
      <c r="V98" s="268" t="str">
        <f t="shared" si="116"/>
        <v/>
      </c>
      <c r="W98" s="268" t="str">
        <f t="shared" si="116"/>
        <v/>
      </c>
      <c r="X98" s="268" t="str">
        <f t="shared" si="116"/>
        <v/>
      </c>
      <c r="Y98" s="268" t="str">
        <f t="shared" si="116"/>
        <v/>
      </c>
      <c r="Z98" s="268" t="str">
        <f t="shared" si="116"/>
        <v/>
      </c>
      <c r="AA98" s="268" t="str">
        <f t="shared" si="116"/>
        <v/>
      </c>
      <c r="AB98" s="268" t="str">
        <f t="shared" si="116"/>
        <v/>
      </c>
      <c r="AC98" s="268" t="str">
        <f t="shared" si="116"/>
        <v/>
      </c>
      <c r="AD98" s="268" t="str">
        <f t="shared" si="116"/>
        <v/>
      </c>
      <c r="AE98" s="268" t="str">
        <f t="shared" si="116"/>
        <v/>
      </c>
      <c r="AF98" s="268" t="str">
        <f t="shared" si="116"/>
        <v/>
      </c>
      <c r="AG98" s="268" t="str">
        <f t="shared" si="116"/>
        <v/>
      </c>
      <c r="AH98" s="268" t="str">
        <f t="shared" si="116"/>
        <v/>
      </c>
      <c r="AI98" s="268" t="str">
        <f t="shared" si="116"/>
        <v/>
      </c>
      <c r="AJ98" s="268" t="str">
        <f t="shared" si="116"/>
        <v/>
      </c>
      <c r="AK98" s="268" t="str">
        <f t="shared" si="116"/>
        <v/>
      </c>
      <c r="AL98" s="268" t="str">
        <f t="shared" si="116"/>
        <v/>
      </c>
      <c r="AM98" s="268" t="str">
        <f t="shared" si="116"/>
        <v/>
      </c>
      <c r="AN98" s="268" t="str">
        <f t="shared" si="116"/>
        <v/>
      </c>
      <c r="AO98" s="268" t="str">
        <f t="shared" si="116"/>
        <v/>
      </c>
      <c r="AP98" s="268" t="str">
        <f t="shared" si="116"/>
        <v/>
      </c>
      <c r="AQ98" s="268" t="str">
        <f t="shared" si="116"/>
        <v/>
      </c>
      <c r="AR98" s="268" t="str">
        <f t="shared" si="116"/>
        <v/>
      </c>
      <c r="AS98" s="268" t="str">
        <f t="shared" si="116"/>
        <v/>
      </c>
      <c r="AT98" s="268" t="str">
        <f t="shared" si="116"/>
        <v/>
      </c>
      <c r="AU98" s="268" t="str">
        <f t="shared" si="116"/>
        <v/>
      </c>
      <c r="AV98" s="268" t="str">
        <f t="shared" si="116"/>
        <v/>
      </c>
      <c r="AW98" s="268" t="str">
        <f t="shared" si="116"/>
        <v/>
      </c>
      <c r="AX98" s="268" t="str">
        <f t="shared" si="116"/>
        <v/>
      </c>
      <c r="AY98" s="268" t="str">
        <f t="shared" si="116"/>
        <v/>
      </c>
      <c r="AZ98" s="268" t="str">
        <f t="shared" si="116"/>
        <v/>
      </c>
      <c r="BA98" s="268" t="str">
        <f t="shared" si="116"/>
        <v/>
      </c>
      <c r="BB98" s="268" t="str">
        <f t="shared" si="116"/>
        <v/>
      </c>
      <c r="BC98" s="268" t="str">
        <f t="shared" si="116"/>
        <v/>
      </c>
      <c r="BD98" s="268" t="str">
        <f t="shared" si="116"/>
        <v/>
      </c>
      <c r="BE98" s="268" t="str">
        <f t="shared" si="116"/>
        <v/>
      </c>
      <c r="BF98" s="268" t="str">
        <f t="shared" si="116"/>
        <v/>
      </c>
      <c r="BG98" s="268" t="str">
        <f t="shared" si="116"/>
        <v/>
      </c>
      <c r="BH98" s="268" t="str">
        <f t="shared" si="116"/>
        <v/>
      </c>
      <c r="BI98" s="268" t="str">
        <f t="shared" si="116"/>
        <v/>
      </c>
      <c r="BJ98" s="268" t="str">
        <f t="shared" si="116"/>
        <v/>
      </c>
      <c r="BK98" s="268" t="str">
        <f t="shared" si="116"/>
        <v/>
      </c>
      <c r="BL98" s="268" t="str">
        <f t="shared" si="116"/>
        <v/>
      </c>
      <c r="BM98" s="268" t="str">
        <f t="shared" si="116"/>
        <v/>
      </c>
      <c r="BN98" s="268" t="str">
        <f t="shared" si="116"/>
        <v/>
      </c>
      <c r="BO98" s="268" t="str">
        <f t="shared" si="116"/>
        <v/>
      </c>
      <c r="BP98" s="268" t="str">
        <f t="shared" si="116"/>
        <v/>
      </c>
      <c r="BQ98" s="268" t="str">
        <f t="shared" si="116"/>
        <v/>
      </c>
      <c r="BR98" s="268" t="str">
        <f t="shared" si="116"/>
        <v/>
      </c>
      <c r="BS98" s="268" t="str">
        <f t="shared" si="116"/>
        <v/>
      </c>
      <c r="BT98" s="268" t="str">
        <f t="shared" si="116"/>
        <v/>
      </c>
      <c r="BU98" s="268" t="str">
        <f t="shared" si="82"/>
        <v/>
      </c>
      <c r="BV98" s="247">
        <v>0.79</v>
      </c>
      <c r="BW98" s="729">
        <f t="shared" si="108"/>
        <v>2370</v>
      </c>
      <c r="BX98" s="730">
        <f t="shared" si="109"/>
        <v>18367.5</v>
      </c>
      <c r="BY98" s="731" t="str">
        <f t="shared" si="105"/>
        <v>SR</v>
      </c>
    </row>
    <row r="99" s="698" customFormat="1" customHeight="1" spans="1:77">
      <c r="A99" s="208">
        <v>46009</v>
      </c>
      <c r="B99" s="208">
        <v>46052</v>
      </c>
      <c r="C99" s="211" t="s">
        <v>352</v>
      </c>
      <c r="D99" s="211" t="s">
        <v>353</v>
      </c>
      <c r="E99" s="211" t="s">
        <v>40</v>
      </c>
      <c r="F99" s="732">
        <v>2400</v>
      </c>
      <c r="G99" s="211" t="s">
        <v>327</v>
      </c>
      <c r="H99" s="211" t="str">
        <f>IFERROR(VLOOKUP(E99,名称!A:E,4,0),"")</f>
        <v>二代</v>
      </c>
      <c r="I99" s="268" t="str">
        <f t="shared" ref="I99:BT99" si="117">IF(OR($E99="",I$1=""),"",IF(TRIM(LEFT($E99,MIN(IFERROR(FIND("CDU",UPPER($E99)),999),IFERROR(FIND("BULK",UPPER($E99)),999),IFERROR(FIND("-",$E99),999),IFERROR(FIND("（",$E99),999))-1))=I$1,$F99,""))</f>
        <v/>
      </c>
      <c r="J99" s="268" t="str">
        <f t="shared" si="117"/>
        <v/>
      </c>
      <c r="K99" s="268">
        <f t="shared" si="117"/>
        <v>2400</v>
      </c>
      <c r="L99" s="268" t="str">
        <f t="shared" si="117"/>
        <v/>
      </c>
      <c r="M99" s="268" t="str">
        <f t="shared" si="117"/>
        <v/>
      </c>
      <c r="N99" s="268" t="str">
        <f t="shared" si="117"/>
        <v/>
      </c>
      <c r="O99" s="268" t="str">
        <f t="shared" si="117"/>
        <v/>
      </c>
      <c r="P99" s="268" t="str">
        <f t="shared" si="117"/>
        <v/>
      </c>
      <c r="Q99" s="268" t="str">
        <f t="shared" si="117"/>
        <v/>
      </c>
      <c r="R99" s="268" t="str">
        <f t="shared" si="117"/>
        <v/>
      </c>
      <c r="S99" s="268" t="str">
        <f t="shared" si="117"/>
        <v/>
      </c>
      <c r="T99" s="268" t="str">
        <f t="shared" si="117"/>
        <v/>
      </c>
      <c r="U99" s="268" t="str">
        <f t="shared" si="117"/>
        <v/>
      </c>
      <c r="V99" s="268" t="str">
        <f t="shared" si="117"/>
        <v/>
      </c>
      <c r="W99" s="268" t="str">
        <f t="shared" si="117"/>
        <v/>
      </c>
      <c r="X99" s="268" t="str">
        <f t="shared" si="117"/>
        <v/>
      </c>
      <c r="Y99" s="268" t="str">
        <f t="shared" si="117"/>
        <v/>
      </c>
      <c r="Z99" s="268" t="str">
        <f t="shared" si="117"/>
        <v/>
      </c>
      <c r="AA99" s="268" t="str">
        <f t="shared" si="117"/>
        <v/>
      </c>
      <c r="AB99" s="268" t="str">
        <f t="shared" si="117"/>
        <v/>
      </c>
      <c r="AC99" s="268" t="str">
        <f t="shared" si="117"/>
        <v/>
      </c>
      <c r="AD99" s="268" t="str">
        <f t="shared" si="117"/>
        <v/>
      </c>
      <c r="AE99" s="268" t="str">
        <f t="shared" si="117"/>
        <v/>
      </c>
      <c r="AF99" s="268" t="str">
        <f t="shared" si="117"/>
        <v/>
      </c>
      <c r="AG99" s="268" t="str">
        <f t="shared" si="117"/>
        <v/>
      </c>
      <c r="AH99" s="268" t="str">
        <f t="shared" si="117"/>
        <v/>
      </c>
      <c r="AI99" s="268" t="str">
        <f t="shared" si="117"/>
        <v/>
      </c>
      <c r="AJ99" s="268" t="str">
        <f t="shared" si="117"/>
        <v/>
      </c>
      <c r="AK99" s="268" t="str">
        <f t="shared" si="117"/>
        <v/>
      </c>
      <c r="AL99" s="268" t="str">
        <f t="shared" si="117"/>
        <v/>
      </c>
      <c r="AM99" s="268" t="str">
        <f t="shared" si="117"/>
        <v/>
      </c>
      <c r="AN99" s="268" t="str">
        <f t="shared" si="117"/>
        <v/>
      </c>
      <c r="AO99" s="268" t="str">
        <f t="shared" si="117"/>
        <v/>
      </c>
      <c r="AP99" s="268" t="str">
        <f t="shared" si="117"/>
        <v/>
      </c>
      <c r="AQ99" s="268" t="str">
        <f t="shared" si="117"/>
        <v/>
      </c>
      <c r="AR99" s="268" t="str">
        <f t="shared" si="117"/>
        <v/>
      </c>
      <c r="AS99" s="268" t="str">
        <f t="shared" si="117"/>
        <v/>
      </c>
      <c r="AT99" s="268" t="str">
        <f t="shared" si="117"/>
        <v/>
      </c>
      <c r="AU99" s="268" t="str">
        <f t="shared" si="117"/>
        <v/>
      </c>
      <c r="AV99" s="268" t="str">
        <f t="shared" si="117"/>
        <v/>
      </c>
      <c r="AW99" s="268" t="str">
        <f t="shared" si="117"/>
        <v/>
      </c>
      <c r="AX99" s="268" t="str">
        <f t="shared" si="117"/>
        <v/>
      </c>
      <c r="AY99" s="268" t="str">
        <f t="shared" si="117"/>
        <v/>
      </c>
      <c r="AZ99" s="268" t="str">
        <f t="shared" si="117"/>
        <v/>
      </c>
      <c r="BA99" s="268" t="str">
        <f t="shared" si="117"/>
        <v/>
      </c>
      <c r="BB99" s="268" t="str">
        <f t="shared" si="117"/>
        <v/>
      </c>
      <c r="BC99" s="268" t="str">
        <f t="shared" si="117"/>
        <v/>
      </c>
      <c r="BD99" s="268" t="str">
        <f t="shared" si="117"/>
        <v/>
      </c>
      <c r="BE99" s="268" t="str">
        <f t="shared" si="117"/>
        <v/>
      </c>
      <c r="BF99" s="268" t="str">
        <f t="shared" si="117"/>
        <v/>
      </c>
      <c r="BG99" s="268" t="str">
        <f t="shared" si="117"/>
        <v/>
      </c>
      <c r="BH99" s="268" t="str">
        <f t="shared" si="117"/>
        <v/>
      </c>
      <c r="BI99" s="268" t="str">
        <f t="shared" si="117"/>
        <v/>
      </c>
      <c r="BJ99" s="268" t="str">
        <f t="shared" si="117"/>
        <v/>
      </c>
      <c r="BK99" s="268" t="str">
        <f t="shared" si="117"/>
        <v/>
      </c>
      <c r="BL99" s="268" t="str">
        <f t="shared" si="117"/>
        <v/>
      </c>
      <c r="BM99" s="268" t="str">
        <f t="shared" si="117"/>
        <v/>
      </c>
      <c r="BN99" s="268" t="str">
        <f t="shared" si="117"/>
        <v/>
      </c>
      <c r="BO99" s="268" t="str">
        <f t="shared" si="117"/>
        <v/>
      </c>
      <c r="BP99" s="268" t="str">
        <f t="shared" si="117"/>
        <v/>
      </c>
      <c r="BQ99" s="268" t="str">
        <f t="shared" si="117"/>
        <v/>
      </c>
      <c r="BR99" s="268" t="str">
        <f t="shared" si="117"/>
        <v/>
      </c>
      <c r="BS99" s="268" t="str">
        <f t="shared" si="117"/>
        <v/>
      </c>
      <c r="BT99" s="268" t="str">
        <f t="shared" si="117"/>
        <v/>
      </c>
      <c r="BU99" s="268" t="str">
        <f t="shared" si="82"/>
        <v/>
      </c>
      <c r="BV99" s="247">
        <v>0.78</v>
      </c>
      <c r="BW99" s="729">
        <f t="shared" si="108"/>
        <v>1872</v>
      </c>
      <c r="BX99" s="730">
        <f t="shared" si="109"/>
        <v>14508</v>
      </c>
      <c r="BY99" s="731" t="str">
        <f t="shared" si="105"/>
        <v>SR</v>
      </c>
    </row>
    <row r="100" s="698" customFormat="1" customHeight="1" spans="1:77">
      <c r="A100" s="208">
        <v>46009</v>
      </c>
      <c r="B100" s="208">
        <v>46052</v>
      </c>
      <c r="C100" s="211" t="s">
        <v>352</v>
      </c>
      <c r="D100" s="211" t="s">
        <v>353</v>
      </c>
      <c r="E100" s="211" t="s">
        <v>44</v>
      </c>
      <c r="F100" s="732">
        <v>1920</v>
      </c>
      <c r="G100" s="211" t="s">
        <v>327</v>
      </c>
      <c r="H100" s="211" t="str">
        <f>IFERROR(VLOOKUP(E100,名称!A:E,4,0),"")</f>
        <v>二代</v>
      </c>
      <c r="I100" s="268" t="str">
        <f t="shared" ref="I100:BT100" si="118">IF(OR($E100="",I$1=""),"",IF(TRIM(LEFT($E100,MIN(IFERROR(FIND("CDU",UPPER($E100)),999),IFERROR(FIND("BULK",UPPER($E100)),999),IFERROR(FIND("-",$E100),999),IFERROR(FIND("（",$E100),999))-1))=I$1,$F100,""))</f>
        <v/>
      </c>
      <c r="J100" s="268" t="str">
        <f t="shared" si="118"/>
        <v/>
      </c>
      <c r="K100" s="268" t="str">
        <f t="shared" si="118"/>
        <v/>
      </c>
      <c r="L100" s="268" t="str">
        <f t="shared" si="118"/>
        <v/>
      </c>
      <c r="M100" s="268">
        <f t="shared" si="118"/>
        <v>1920</v>
      </c>
      <c r="N100" s="268" t="str">
        <f t="shared" si="118"/>
        <v/>
      </c>
      <c r="O100" s="268" t="str">
        <f t="shared" si="118"/>
        <v/>
      </c>
      <c r="P100" s="268" t="str">
        <f t="shared" si="118"/>
        <v/>
      </c>
      <c r="Q100" s="268" t="str">
        <f t="shared" si="118"/>
        <v/>
      </c>
      <c r="R100" s="268" t="str">
        <f t="shared" si="118"/>
        <v/>
      </c>
      <c r="S100" s="268" t="str">
        <f t="shared" si="118"/>
        <v/>
      </c>
      <c r="T100" s="268" t="str">
        <f t="shared" si="118"/>
        <v/>
      </c>
      <c r="U100" s="268" t="str">
        <f t="shared" si="118"/>
        <v/>
      </c>
      <c r="V100" s="268" t="str">
        <f t="shared" si="118"/>
        <v/>
      </c>
      <c r="W100" s="268" t="str">
        <f t="shared" si="118"/>
        <v/>
      </c>
      <c r="X100" s="268" t="str">
        <f t="shared" si="118"/>
        <v/>
      </c>
      <c r="Y100" s="268" t="str">
        <f t="shared" si="118"/>
        <v/>
      </c>
      <c r="Z100" s="268" t="str">
        <f t="shared" si="118"/>
        <v/>
      </c>
      <c r="AA100" s="268" t="str">
        <f t="shared" si="118"/>
        <v/>
      </c>
      <c r="AB100" s="268" t="str">
        <f t="shared" si="118"/>
        <v/>
      </c>
      <c r="AC100" s="268" t="str">
        <f t="shared" si="118"/>
        <v/>
      </c>
      <c r="AD100" s="268" t="str">
        <f t="shared" si="118"/>
        <v/>
      </c>
      <c r="AE100" s="268" t="str">
        <f t="shared" si="118"/>
        <v/>
      </c>
      <c r="AF100" s="268" t="str">
        <f t="shared" si="118"/>
        <v/>
      </c>
      <c r="AG100" s="268" t="str">
        <f t="shared" si="118"/>
        <v/>
      </c>
      <c r="AH100" s="268" t="str">
        <f t="shared" si="118"/>
        <v/>
      </c>
      <c r="AI100" s="268" t="str">
        <f t="shared" si="118"/>
        <v/>
      </c>
      <c r="AJ100" s="268" t="str">
        <f t="shared" si="118"/>
        <v/>
      </c>
      <c r="AK100" s="268" t="str">
        <f t="shared" si="118"/>
        <v/>
      </c>
      <c r="AL100" s="268" t="str">
        <f t="shared" si="118"/>
        <v/>
      </c>
      <c r="AM100" s="268" t="str">
        <f t="shared" si="118"/>
        <v/>
      </c>
      <c r="AN100" s="268" t="str">
        <f t="shared" si="118"/>
        <v/>
      </c>
      <c r="AO100" s="268" t="str">
        <f t="shared" si="118"/>
        <v/>
      </c>
      <c r="AP100" s="268" t="str">
        <f t="shared" si="118"/>
        <v/>
      </c>
      <c r="AQ100" s="268" t="str">
        <f t="shared" si="118"/>
        <v/>
      </c>
      <c r="AR100" s="268" t="str">
        <f t="shared" si="118"/>
        <v/>
      </c>
      <c r="AS100" s="268" t="str">
        <f t="shared" si="118"/>
        <v/>
      </c>
      <c r="AT100" s="268" t="str">
        <f t="shared" si="118"/>
        <v/>
      </c>
      <c r="AU100" s="268" t="str">
        <f t="shared" si="118"/>
        <v/>
      </c>
      <c r="AV100" s="268" t="str">
        <f t="shared" si="118"/>
        <v/>
      </c>
      <c r="AW100" s="268" t="str">
        <f t="shared" si="118"/>
        <v/>
      </c>
      <c r="AX100" s="268" t="str">
        <f t="shared" si="118"/>
        <v/>
      </c>
      <c r="AY100" s="268" t="str">
        <f t="shared" si="118"/>
        <v/>
      </c>
      <c r="AZ100" s="268" t="str">
        <f t="shared" si="118"/>
        <v/>
      </c>
      <c r="BA100" s="268" t="str">
        <f t="shared" si="118"/>
        <v/>
      </c>
      <c r="BB100" s="268" t="str">
        <f t="shared" si="118"/>
        <v/>
      </c>
      <c r="BC100" s="268" t="str">
        <f t="shared" si="118"/>
        <v/>
      </c>
      <c r="BD100" s="268" t="str">
        <f t="shared" si="118"/>
        <v/>
      </c>
      <c r="BE100" s="268" t="str">
        <f t="shared" si="118"/>
        <v/>
      </c>
      <c r="BF100" s="268" t="str">
        <f t="shared" si="118"/>
        <v/>
      </c>
      <c r="BG100" s="268" t="str">
        <f t="shared" si="118"/>
        <v/>
      </c>
      <c r="BH100" s="268" t="str">
        <f t="shared" si="118"/>
        <v/>
      </c>
      <c r="BI100" s="268" t="str">
        <f t="shared" si="118"/>
        <v/>
      </c>
      <c r="BJ100" s="268" t="str">
        <f t="shared" si="118"/>
        <v/>
      </c>
      <c r="BK100" s="268" t="str">
        <f t="shared" si="118"/>
        <v/>
      </c>
      <c r="BL100" s="268" t="str">
        <f t="shared" si="118"/>
        <v/>
      </c>
      <c r="BM100" s="268" t="str">
        <f t="shared" si="118"/>
        <v/>
      </c>
      <c r="BN100" s="268" t="str">
        <f t="shared" si="118"/>
        <v/>
      </c>
      <c r="BO100" s="268" t="str">
        <f t="shared" si="118"/>
        <v/>
      </c>
      <c r="BP100" s="268" t="str">
        <f t="shared" si="118"/>
        <v/>
      </c>
      <c r="BQ100" s="268" t="str">
        <f t="shared" si="118"/>
        <v/>
      </c>
      <c r="BR100" s="268" t="str">
        <f t="shared" si="118"/>
        <v/>
      </c>
      <c r="BS100" s="268" t="str">
        <f t="shared" si="118"/>
        <v/>
      </c>
      <c r="BT100" s="268" t="str">
        <f t="shared" si="118"/>
        <v/>
      </c>
      <c r="BU100" s="268" t="str">
        <f t="shared" si="82"/>
        <v/>
      </c>
      <c r="BV100" s="247">
        <v>0.61</v>
      </c>
      <c r="BW100" s="729">
        <f t="shared" si="108"/>
        <v>1171.2</v>
      </c>
      <c r="BX100" s="730">
        <f t="shared" si="109"/>
        <v>9076.8</v>
      </c>
      <c r="BY100" s="731" t="str">
        <f t="shared" si="105"/>
        <v>SR</v>
      </c>
    </row>
    <row r="101" s="698" customFormat="1" customHeight="1" spans="1:77">
      <c r="A101" s="208">
        <v>46009</v>
      </c>
      <c r="B101" s="208">
        <v>46052</v>
      </c>
      <c r="C101" s="211" t="s">
        <v>352</v>
      </c>
      <c r="D101" s="211" t="s">
        <v>353</v>
      </c>
      <c r="E101" s="211" t="s">
        <v>37</v>
      </c>
      <c r="F101" s="732">
        <v>1440</v>
      </c>
      <c r="G101" s="211" t="s">
        <v>327</v>
      </c>
      <c r="H101" s="211" t="str">
        <f>IFERROR(VLOOKUP(E101,名称!A:E,4,0),"")</f>
        <v>二代</v>
      </c>
      <c r="I101" s="268" t="str">
        <f t="shared" ref="I101:BT101" si="119">IF(OR($E101="",I$1=""),"",IF(TRIM(LEFT($E101,MIN(IFERROR(FIND("CDU",UPPER($E101)),999),IFERROR(FIND("BULK",UPPER($E101)),999),IFERROR(FIND("-",$E101),999),IFERROR(FIND("（",$E101),999))-1))=I$1,$F101,""))</f>
        <v/>
      </c>
      <c r="J101" s="268" t="str">
        <f t="shared" si="119"/>
        <v/>
      </c>
      <c r="K101" s="268" t="str">
        <f t="shared" si="119"/>
        <v/>
      </c>
      <c r="L101" s="268" t="str">
        <f t="shared" si="119"/>
        <v/>
      </c>
      <c r="M101" s="268" t="str">
        <f t="shared" si="119"/>
        <v/>
      </c>
      <c r="N101" s="268" t="str">
        <f t="shared" si="119"/>
        <v/>
      </c>
      <c r="O101" s="268" t="str">
        <f t="shared" si="119"/>
        <v/>
      </c>
      <c r="P101" s="268" t="str">
        <f t="shared" si="119"/>
        <v/>
      </c>
      <c r="Q101" s="268" t="str">
        <f t="shared" si="119"/>
        <v/>
      </c>
      <c r="R101" s="268">
        <f t="shared" si="119"/>
        <v>1440</v>
      </c>
      <c r="S101" s="268" t="str">
        <f t="shared" si="119"/>
        <v/>
      </c>
      <c r="T101" s="268" t="str">
        <f t="shared" si="119"/>
        <v/>
      </c>
      <c r="U101" s="268" t="str">
        <f t="shared" si="119"/>
        <v/>
      </c>
      <c r="V101" s="268" t="str">
        <f t="shared" si="119"/>
        <v/>
      </c>
      <c r="W101" s="268" t="str">
        <f t="shared" si="119"/>
        <v/>
      </c>
      <c r="X101" s="268" t="str">
        <f t="shared" si="119"/>
        <v/>
      </c>
      <c r="Y101" s="268" t="str">
        <f t="shared" si="119"/>
        <v/>
      </c>
      <c r="Z101" s="268" t="str">
        <f t="shared" si="119"/>
        <v/>
      </c>
      <c r="AA101" s="268" t="str">
        <f t="shared" si="119"/>
        <v/>
      </c>
      <c r="AB101" s="268" t="str">
        <f t="shared" si="119"/>
        <v/>
      </c>
      <c r="AC101" s="268" t="str">
        <f t="shared" si="119"/>
        <v/>
      </c>
      <c r="AD101" s="268" t="str">
        <f t="shared" si="119"/>
        <v/>
      </c>
      <c r="AE101" s="268" t="str">
        <f t="shared" si="119"/>
        <v/>
      </c>
      <c r="AF101" s="268" t="str">
        <f t="shared" si="119"/>
        <v/>
      </c>
      <c r="AG101" s="268" t="str">
        <f t="shared" si="119"/>
        <v/>
      </c>
      <c r="AH101" s="268" t="str">
        <f t="shared" si="119"/>
        <v/>
      </c>
      <c r="AI101" s="268" t="str">
        <f t="shared" si="119"/>
        <v/>
      </c>
      <c r="AJ101" s="268" t="str">
        <f t="shared" si="119"/>
        <v/>
      </c>
      <c r="AK101" s="268" t="str">
        <f t="shared" si="119"/>
        <v/>
      </c>
      <c r="AL101" s="268" t="str">
        <f t="shared" si="119"/>
        <v/>
      </c>
      <c r="AM101" s="268" t="str">
        <f t="shared" si="119"/>
        <v/>
      </c>
      <c r="AN101" s="268" t="str">
        <f t="shared" si="119"/>
        <v/>
      </c>
      <c r="AO101" s="268" t="str">
        <f t="shared" si="119"/>
        <v/>
      </c>
      <c r="AP101" s="268" t="str">
        <f t="shared" si="119"/>
        <v/>
      </c>
      <c r="AQ101" s="268" t="str">
        <f t="shared" si="119"/>
        <v/>
      </c>
      <c r="AR101" s="268" t="str">
        <f t="shared" si="119"/>
        <v/>
      </c>
      <c r="AS101" s="268" t="str">
        <f t="shared" si="119"/>
        <v/>
      </c>
      <c r="AT101" s="268" t="str">
        <f t="shared" si="119"/>
        <v/>
      </c>
      <c r="AU101" s="268" t="str">
        <f t="shared" si="119"/>
        <v/>
      </c>
      <c r="AV101" s="268" t="str">
        <f t="shared" si="119"/>
        <v/>
      </c>
      <c r="AW101" s="268" t="str">
        <f t="shared" si="119"/>
        <v/>
      </c>
      <c r="AX101" s="268" t="str">
        <f t="shared" si="119"/>
        <v/>
      </c>
      <c r="AY101" s="268" t="str">
        <f t="shared" si="119"/>
        <v/>
      </c>
      <c r="AZ101" s="268" t="str">
        <f t="shared" si="119"/>
        <v/>
      </c>
      <c r="BA101" s="268" t="str">
        <f t="shared" si="119"/>
        <v/>
      </c>
      <c r="BB101" s="268" t="str">
        <f t="shared" si="119"/>
        <v/>
      </c>
      <c r="BC101" s="268" t="str">
        <f t="shared" si="119"/>
        <v/>
      </c>
      <c r="BD101" s="268" t="str">
        <f t="shared" si="119"/>
        <v/>
      </c>
      <c r="BE101" s="268" t="str">
        <f t="shared" si="119"/>
        <v/>
      </c>
      <c r="BF101" s="268" t="str">
        <f t="shared" si="119"/>
        <v/>
      </c>
      <c r="BG101" s="268" t="str">
        <f t="shared" si="119"/>
        <v/>
      </c>
      <c r="BH101" s="268" t="str">
        <f t="shared" si="119"/>
        <v/>
      </c>
      <c r="BI101" s="268" t="str">
        <f t="shared" si="119"/>
        <v/>
      </c>
      <c r="BJ101" s="268" t="str">
        <f t="shared" si="119"/>
        <v/>
      </c>
      <c r="BK101" s="268" t="str">
        <f t="shared" si="119"/>
        <v/>
      </c>
      <c r="BL101" s="268" t="str">
        <f t="shared" si="119"/>
        <v/>
      </c>
      <c r="BM101" s="268" t="str">
        <f t="shared" si="119"/>
        <v/>
      </c>
      <c r="BN101" s="268" t="str">
        <f t="shared" si="119"/>
        <v/>
      </c>
      <c r="BO101" s="268" t="str">
        <f t="shared" si="119"/>
        <v/>
      </c>
      <c r="BP101" s="268" t="str">
        <f t="shared" si="119"/>
        <v/>
      </c>
      <c r="BQ101" s="268" t="str">
        <f t="shared" si="119"/>
        <v/>
      </c>
      <c r="BR101" s="268" t="str">
        <f t="shared" si="119"/>
        <v/>
      </c>
      <c r="BS101" s="268" t="str">
        <f t="shared" si="119"/>
        <v/>
      </c>
      <c r="BT101" s="268" t="str">
        <f t="shared" si="119"/>
        <v/>
      </c>
      <c r="BU101" s="268" t="str">
        <f t="shared" si="82"/>
        <v/>
      </c>
      <c r="BV101" s="247">
        <v>2.02</v>
      </c>
      <c r="BW101" s="729">
        <f t="shared" si="108"/>
        <v>2908.8</v>
      </c>
      <c r="BX101" s="730">
        <f t="shared" si="109"/>
        <v>22543.2</v>
      </c>
      <c r="BY101" s="731" t="str">
        <f t="shared" si="105"/>
        <v>SR</v>
      </c>
    </row>
    <row r="102" s="698" customFormat="1" customHeight="1" spans="1:77">
      <c r="A102" s="208">
        <v>46009</v>
      </c>
      <c r="B102" s="208">
        <v>46052</v>
      </c>
      <c r="C102" s="211" t="s">
        <v>352</v>
      </c>
      <c r="D102" s="211" t="s">
        <v>353</v>
      </c>
      <c r="E102" s="211" t="s">
        <v>38</v>
      </c>
      <c r="F102" s="732">
        <v>1008</v>
      </c>
      <c r="G102" s="211" t="s">
        <v>327</v>
      </c>
      <c r="H102" s="211" t="str">
        <f>IFERROR(VLOOKUP(E102,名称!A:E,4,0),"")</f>
        <v>二代</v>
      </c>
      <c r="I102" s="268" t="str">
        <f t="shared" ref="I102:BT102" si="120">IF(OR($E102="",I$1=""),"",IF(TRIM(LEFT($E102,MIN(IFERROR(FIND("CDU",UPPER($E102)),999),IFERROR(FIND("BULK",UPPER($E102)),999),IFERROR(FIND("-",$E102),999),IFERROR(FIND("（",$E102),999))-1))=I$1,$F102,""))</f>
        <v/>
      </c>
      <c r="J102" s="268" t="str">
        <f t="shared" si="120"/>
        <v/>
      </c>
      <c r="K102" s="268" t="str">
        <f t="shared" si="120"/>
        <v/>
      </c>
      <c r="L102" s="268" t="str">
        <f t="shared" si="120"/>
        <v/>
      </c>
      <c r="M102" s="268" t="str">
        <f t="shared" si="120"/>
        <v/>
      </c>
      <c r="N102" s="268" t="str">
        <f t="shared" si="120"/>
        <v/>
      </c>
      <c r="O102" s="268" t="str">
        <f t="shared" si="120"/>
        <v/>
      </c>
      <c r="P102" s="268" t="str">
        <f t="shared" si="120"/>
        <v/>
      </c>
      <c r="Q102" s="268" t="str">
        <f t="shared" si="120"/>
        <v/>
      </c>
      <c r="R102" s="268" t="str">
        <f t="shared" si="120"/>
        <v/>
      </c>
      <c r="S102" s="268" t="str">
        <f t="shared" si="120"/>
        <v/>
      </c>
      <c r="T102" s="268">
        <f t="shared" si="120"/>
        <v>1008</v>
      </c>
      <c r="U102" s="268" t="str">
        <f t="shared" si="120"/>
        <v/>
      </c>
      <c r="V102" s="268" t="str">
        <f t="shared" si="120"/>
        <v/>
      </c>
      <c r="W102" s="268" t="str">
        <f t="shared" si="120"/>
        <v/>
      </c>
      <c r="X102" s="268" t="str">
        <f t="shared" si="120"/>
        <v/>
      </c>
      <c r="Y102" s="268" t="str">
        <f t="shared" si="120"/>
        <v/>
      </c>
      <c r="Z102" s="268" t="str">
        <f t="shared" si="120"/>
        <v/>
      </c>
      <c r="AA102" s="268" t="str">
        <f t="shared" si="120"/>
        <v/>
      </c>
      <c r="AB102" s="268" t="str">
        <f t="shared" si="120"/>
        <v/>
      </c>
      <c r="AC102" s="268" t="str">
        <f t="shared" si="120"/>
        <v/>
      </c>
      <c r="AD102" s="268" t="str">
        <f t="shared" si="120"/>
        <v/>
      </c>
      <c r="AE102" s="268" t="str">
        <f t="shared" si="120"/>
        <v/>
      </c>
      <c r="AF102" s="268" t="str">
        <f t="shared" si="120"/>
        <v/>
      </c>
      <c r="AG102" s="268" t="str">
        <f t="shared" si="120"/>
        <v/>
      </c>
      <c r="AH102" s="268" t="str">
        <f t="shared" si="120"/>
        <v/>
      </c>
      <c r="AI102" s="268" t="str">
        <f t="shared" si="120"/>
        <v/>
      </c>
      <c r="AJ102" s="268" t="str">
        <f t="shared" si="120"/>
        <v/>
      </c>
      <c r="AK102" s="268" t="str">
        <f t="shared" si="120"/>
        <v/>
      </c>
      <c r="AL102" s="268" t="str">
        <f t="shared" si="120"/>
        <v/>
      </c>
      <c r="AM102" s="268" t="str">
        <f t="shared" si="120"/>
        <v/>
      </c>
      <c r="AN102" s="268" t="str">
        <f t="shared" si="120"/>
        <v/>
      </c>
      <c r="AO102" s="268" t="str">
        <f t="shared" si="120"/>
        <v/>
      </c>
      <c r="AP102" s="268" t="str">
        <f t="shared" si="120"/>
        <v/>
      </c>
      <c r="AQ102" s="268" t="str">
        <f t="shared" si="120"/>
        <v/>
      </c>
      <c r="AR102" s="268" t="str">
        <f t="shared" si="120"/>
        <v/>
      </c>
      <c r="AS102" s="268" t="str">
        <f t="shared" si="120"/>
        <v/>
      </c>
      <c r="AT102" s="268" t="str">
        <f t="shared" si="120"/>
        <v/>
      </c>
      <c r="AU102" s="268" t="str">
        <f t="shared" si="120"/>
        <v/>
      </c>
      <c r="AV102" s="268" t="str">
        <f t="shared" si="120"/>
        <v/>
      </c>
      <c r="AW102" s="268" t="str">
        <f t="shared" si="120"/>
        <v/>
      </c>
      <c r="AX102" s="268" t="str">
        <f t="shared" si="120"/>
        <v/>
      </c>
      <c r="AY102" s="268" t="str">
        <f t="shared" si="120"/>
        <v/>
      </c>
      <c r="AZ102" s="268" t="str">
        <f t="shared" si="120"/>
        <v/>
      </c>
      <c r="BA102" s="268" t="str">
        <f t="shared" si="120"/>
        <v/>
      </c>
      <c r="BB102" s="268" t="str">
        <f t="shared" si="120"/>
        <v/>
      </c>
      <c r="BC102" s="268" t="str">
        <f t="shared" si="120"/>
        <v/>
      </c>
      <c r="BD102" s="268" t="str">
        <f t="shared" si="120"/>
        <v/>
      </c>
      <c r="BE102" s="268" t="str">
        <f t="shared" si="120"/>
        <v/>
      </c>
      <c r="BF102" s="268" t="str">
        <f t="shared" si="120"/>
        <v/>
      </c>
      <c r="BG102" s="268" t="str">
        <f t="shared" si="120"/>
        <v/>
      </c>
      <c r="BH102" s="268" t="str">
        <f t="shared" si="120"/>
        <v/>
      </c>
      <c r="BI102" s="268" t="str">
        <f t="shared" si="120"/>
        <v/>
      </c>
      <c r="BJ102" s="268" t="str">
        <f t="shared" si="120"/>
        <v/>
      </c>
      <c r="BK102" s="268" t="str">
        <f t="shared" si="120"/>
        <v/>
      </c>
      <c r="BL102" s="268" t="str">
        <f t="shared" si="120"/>
        <v/>
      </c>
      <c r="BM102" s="268" t="str">
        <f t="shared" si="120"/>
        <v/>
      </c>
      <c r="BN102" s="268" t="str">
        <f t="shared" si="120"/>
        <v/>
      </c>
      <c r="BO102" s="268" t="str">
        <f t="shared" si="120"/>
        <v/>
      </c>
      <c r="BP102" s="268" t="str">
        <f t="shared" si="120"/>
        <v/>
      </c>
      <c r="BQ102" s="268" t="str">
        <f t="shared" si="120"/>
        <v/>
      </c>
      <c r="BR102" s="268" t="str">
        <f t="shared" si="120"/>
        <v/>
      </c>
      <c r="BS102" s="268" t="str">
        <f t="shared" si="120"/>
        <v/>
      </c>
      <c r="BT102" s="268" t="str">
        <f t="shared" si="120"/>
        <v/>
      </c>
      <c r="BU102" s="268" t="str">
        <f t="shared" si="82"/>
        <v/>
      </c>
      <c r="BV102" s="247">
        <v>3.09</v>
      </c>
      <c r="BW102" s="729">
        <f t="shared" si="108"/>
        <v>3114.72</v>
      </c>
      <c r="BX102" s="730">
        <f t="shared" si="109"/>
        <v>24139.08</v>
      </c>
      <c r="BY102" s="731" t="str">
        <f t="shared" si="105"/>
        <v>SR</v>
      </c>
    </row>
    <row r="103" s="698" customFormat="1" customHeight="1" spans="1:77">
      <c r="A103" s="208">
        <v>46009</v>
      </c>
      <c r="B103" s="208">
        <v>46052</v>
      </c>
      <c r="C103" s="211" t="s">
        <v>352</v>
      </c>
      <c r="D103" s="211" t="s">
        <v>353</v>
      </c>
      <c r="E103" s="211" t="s">
        <v>65</v>
      </c>
      <c r="F103" s="732">
        <v>2016</v>
      </c>
      <c r="G103" s="211" t="s">
        <v>327</v>
      </c>
      <c r="H103" s="211" t="str">
        <f>IFERROR(VLOOKUP(E103,名称!A:E,4,0),"")</f>
        <v>二代</v>
      </c>
      <c r="I103" s="268" t="str">
        <f t="shared" ref="I103:BT103" si="121">IF(OR($E103="",I$1=""),"",IF(TRIM(LEFT($E103,MIN(IFERROR(FIND("CDU",UPPER($E103)),999),IFERROR(FIND("BULK",UPPER($E103)),999),IFERROR(FIND("-",$E103),999),IFERROR(FIND("（",$E103),999))-1))=I$1,$F103,""))</f>
        <v/>
      </c>
      <c r="J103" s="268" t="str">
        <f t="shared" si="121"/>
        <v/>
      </c>
      <c r="K103" s="268" t="str">
        <f t="shared" si="121"/>
        <v/>
      </c>
      <c r="L103" s="268" t="str">
        <f t="shared" si="121"/>
        <v/>
      </c>
      <c r="M103" s="268" t="str">
        <f t="shared" si="121"/>
        <v/>
      </c>
      <c r="N103" s="268" t="str">
        <f t="shared" si="121"/>
        <v/>
      </c>
      <c r="O103" s="268" t="str">
        <f t="shared" si="121"/>
        <v/>
      </c>
      <c r="P103" s="268" t="str">
        <f t="shared" si="121"/>
        <v/>
      </c>
      <c r="Q103" s="268">
        <f t="shared" si="121"/>
        <v>2016</v>
      </c>
      <c r="R103" s="268" t="str">
        <f t="shared" si="121"/>
        <v/>
      </c>
      <c r="S103" s="268" t="str">
        <f t="shared" si="121"/>
        <v/>
      </c>
      <c r="T103" s="268" t="str">
        <f t="shared" si="121"/>
        <v/>
      </c>
      <c r="U103" s="268" t="str">
        <f t="shared" si="121"/>
        <v/>
      </c>
      <c r="V103" s="268" t="str">
        <f t="shared" si="121"/>
        <v/>
      </c>
      <c r="W103" s="268" t="str">
        <f t="shared" si="121"/>
        <v/>
      </c>
      <c r="X103" s="268" t="str">
        <f t="shared" si="121"/>
        <v/>
      </c>
      <c r="Y103" s="268" t="str">
        <f t="shared" si="121"/>
        <v/>
      </c>
      <c r="Z103" s="268" t="str">
        <f t="shared" si="121"/>
        <v/>
      </c>
      <c r="AA103" s="268" t="str">
        <f t="shared" si="121"/>
        <v/>
      </c>
      <c r="AB103" s="268" t="str">
        <f t="shared" si="121"/>
        <v/>
      </c>
      <c r="AC103" s="268" t="str">
        <f t="shared" si="121"/>
        <v/>
      </c>
      <c r="AD103" s="268" t="str">
        <f t="shared" si="121"/>
        <v/>
      </c>
      <c r="AE103" s="268" t="str">
        <f t="shared" si="121"/>
        <v/>
      </c>
      <c r="AF103" s="268" t="str">
        <f t="shared" si="121"/>
        <v/>
      </c>
      <c r="AG103" s="268" t="str">
        <f t="shared" si="121"/>
        <v/>
      </c>
      <c r="AH103" s="268" t="str">
        <f t="shared" si="121"/>
        <v/>
      </c>
      <c r="AI103" s="268" t="str">
        <f t="shared" si="121"/>
        <v/>
      </c>
      <c r="AJ103" s="268" t="str">
        <f t="shared" si="121"/>
        <v/>
      </c>
      <c r="AK103" s="268" t="str">
        <f t="shared" si="121"/>
        <v/>
      </c>
      <c r="AL103" s="268" t="str">
        <f t="shared" si="121"/>
        <v/>
      </c>
      <c r="AM103" s="268" t="str">
        <f t="shared" si="121"/>
        <v/>
      </c>
      <c r="AN103" s="268" t="str">
        <f t="shared" si="121"/>
        <v/>
      </c>
      <c r="AO103" s="268" t="str">
        <f t="shared" si="121"/>
        <v/>
      </c>
      <c r="AP103" s="268" t="str">
        <f t="shared" si="121"/>
        <v/>
      </c>
      <c r="AQ103" s="268" t="str">
        <f t="shared" si="121"/>
        <v/>
      </c>
      <c r="AR103" s="268" t="str">
        <f t="shared" si="121"/>
        <v/>
      </c>
      <c r="AS103" s="268" t="str">
        <f t="shared" si="121"/>
        <v/>
      </c>
      <c r="AT103" s="268" t="str">
        <f t="shared" si="121"/>
        <v/>
      </c>
      <c r="AU103" s="268" t="str">
        <f t="shared" si="121"/>
        <v/>
      </c>
      <c r="AV103" s="268" t="str">
        <f t="shared" si="121"/>
        <v/>
      </c>
      <c r="AW103" s="268" t="str">
        <f t="shared" si="121"/>
        <v/>
      </c>
      <c r="AX103" s="268" t="str">
        <f t="shared" si="121"/>
        <v/>
      </c>
      <c r="AY103" s="268" t="str">
        <f t="shared" si="121"/>
        <v/>
      </c>
      <c r="AZ103" s="268" t="str">
        <f t="shared" si="121"/>
        <v/>
      </c>
      <c r="BA103" s="268" t="str">
        <f t="shared" si="121"/>
        <v/>
      </c>
      <c r="BB103" s="268" t="str">
        <f t="shared" si="121"/>
        <v/>
      </c>
      <c r="BC103" s="268" t="str">
        <f t="shared" si="121"/>
        <v/>
      </c>
      <c r="BD103" s="268" t="str">
        <f t="shared" si="121"/>
        <v/>
      </c>
      <c r="BE103" s="268" t="str">
        <f t="shared" si="121"/>
        <v/>
      </c>
      <c r="BF103" s="268" t="str">
        <f t="shared" si="121"/>
        <v/>
      </c>
      <c r="BG103" s="268" t="str">
        <f t="shared" si="121"/>
        <v/>
      </c>
      <c r="BH103" s="268" t="str">
        <f t="shared" si="121"/>
        <v/>
      </c>
      <c r="BI103" s="268" t="str">
        <f t="shared" si="121"/>
        <v/>
      </c>
      <c r="BJ103" s="268" t="str">
        <f t="shared" si="121"/>
        <v/>
      </c>
      <c r="BK103" s="268" t="str">
        <f t="shared" si="121"/>
        <v/>
      </c>
      <c r="BL103" s="268" t="str">
        <f t="shared" si="121"/>
        <v/>
      </c>
      <c r="BM103" s="268" t="str">
        <f t="shared" si="121"/>
        <v/>
      </c>
      <c r="BN103" s="268" t="str">
        <f t="shared" si="121"/>
        <v/>
      </c>
      <c r="BO103" s="268" t="str">
        <f t="shared" si="121"/>
        <v/>
      </c>
      <c r="BP103" s="268" t="str">
        <f t="shared" si="121"/>
        <v/>
      </c>
      <c r="BQ103" s="268" t="str">
        <f t="shared" si="121"/>
        <v/>
      </c>
      <c r="BR103" s="268" t="str">
        <f t="shared" si="121"/>
        <v/>
      </c>
      <c r="BS103" s="268" t="str">
        <f t="shared" si="121"/>
        <v/>
      </c>
      <c r="BT103" s="268" t="str">
        <f t="shared" si="121"/>
        <v/>
      </c>
      <c r="BU103" s="268" t="str">
        <f t="shared" si="82"/>
        <v/>
      </c>
      <c r="BV103" s="247">
        <v>0.61</v>
      </c>
      <c r="BW103" s="729">
        <f t="shared" si="108"/>
        <v>1229.76</v>
      </c>
      <c r="BX103" s="730">
        <f t="shared" si="109"/>
        <v>9530.64</v>
      </c>
      <c r="BY103" s="731" t="str">
        <f t="shared" si="105"/>
        <v>SR</v>
      </c>
    </row>
    <row r="104" s="698" customFormat="1" customHeight="1" spans="1:77">
      <c r="A104" s="208">
        <v>46009</v>
      </c>
      <c r="B104" s="208">
        <v>46052</v>
      </c>
      <c r="C104" s="211" t="s">
        <v>352</v>
      </c>
      <c r="D104" s="211" t="s">
        <v>353</v>
      </c>
      <c r="E104" s="211" t="s">
        <v>64</v>
      </c>
      <c r="F104" s="732">
        <v>2400</v>
      </c>
      <c r="G104" s="211" t="s">
        <v>327</v>
      </c>
      <c r="H104" s="211" t="str">
        <f>IFERROR(VLOOKUP(E104,名称!A:E,4,0),"")</f>
        <v>二代</v>
      </c>
      <c r="I104" s="268" t="str">
        <f t="shared" ref="I104:BT104" si="122">IF(OR($E104="",I$1=""),"",IF(TRIM(LEFT($E104,MIN(IFERROR(FIND("CDU",UPPER($E104)),999),IFERROR(FIND("BULK",UPPER($E104)),999),IFERROR(FIND("-",$E104),999),IFERROR(FIND("（",$E104),999))-1))=I$1,$F104,""))</f>
        <v/>
      </c>
      <c r="J104" s="268" t="str">
        <f t="shared" si="122"/>
        <v/>
      </c>
      <c r="K104" s="268" t="str">
        <f t="shared" si="122"/>
        <v/>
      </c>
      <c r="L104" s="268" t="str">
        <f t="shared" si="122"/>
        <v/>
      </c>
      <c r="M104" s="268" t="str">
        <f t="shared" si="122"/>
        <v/>
      </c>
      <c r="N104" s="268" t="str">
        <f t="shared" si="122"/>
        <v/>
      </c>
      <c r="O104" s="268" t="str">
        <f t="shared" si="122"/>
        <v/>
      </c>
      <c r="P104" s="268">
        <f t="shared" si="122"/>
        <v>2400</v>
      </c>
      <c r="Q104" s="268" t="str">
        <f t="shared" si="122"/>
        <v/>
      </c>
      <c r="R104" s="268" t="str">
        <f t="shared" si="122"/>
        <v/>
      </c>
      <c r="S104" s="268" t="str">
        <f t="shared" si="122"/>
        <v/>
      </c>
      <c r="T104" s="268" t="str">
        <f t="shared" si="122"/>
        <v/>
      </c>
      <c r="U104" s="268" t="str">
        <f t="shared" si="122"/>
        <v/>
      </c>
      <c r="V104" s="268" t="str">
        <f t="shared" si="122"/>
        <v/>
      </c>
      <c r="W104" s="268" t="str">
        <f t="shared" si="122"/>
        <v/>
      </c>
      <c r="X104" s="268" t="str">
        <f t="shared" si="122"/>
        <v/>
      </c>
      <c r="Y104" s="268" t="str">
        <f t="shared" si="122"/>
        <v/>
      </c>
      <c r="Z104" s="268" t="str">
        <f t="shared" si="122"/>
        <v/>
      </c>
      <c r="AA104" s="268" t="str">
        <f t="shared" si="122"/>
        <v/>
      </c>
      <c r="AB104" s="268" t="str">
        <f t="shared" si="122"/>
        <v/>
      </c>
      <c r="AC104" s="268" t="str">
        <f t="shared" si="122"/>
        <v/>
      </c>
      <c r="AD104" s="268" t="str">
        <f t="shared" si="122"/>
        <v/>
      </c>
      <c r="AE104" s="268" t="str">
        <f t="shared" si="122"/>
        <v/>
      </c>
      <c r="AF104" s="268" t="str">
        <f t="shared" si="122"/>
        <v/>
      </c>
      <c r="AG104" s="268" t="str">
        <f t="shared" si="122"/>
        <v/>
      </c>
      <c r="AH104" s="268" t="str">
        <f t="shared" si="122"/>
        <v/>
      </c>
      <c r="AI104" s="268" t="str">
        <f t="shared" si="122"/>
        <v/>
      </c>
      <c r="AJ104" s="268" t="str">
        <f t="shared" si="122"/>
        <v/>
      </c>
      <c r="AK104" s="268" t="str">
        <f t="shared" si="122"/>
        <v/>
      </c>
      <c r="AL104" s="268" t="str">
        <f t="shared" si="122"/>
        <v/>
      </c>
      <c r="AM104" s="268" t="str">
        <f t="shared" si="122"/>
        <v/>
      </c>
      <c r="AN104" s="268" t="str">
        <f t="shared" si="122"/>
        <v/>
      </c>
      <c r="AO104" s="268" t="str">
        <f t="shared" si="122"/>
        <v/>
      </c>
      <c r="AP104" s="268" t="str">
        <f t="shared" si="122"/>
        <v/>
      </c>
      <c r="AQ104" s="268" t="str">
        <f t="shared" si="122"/>
        <v/>
      </c>
      <c r="AR104" s="268" t="str">
        <f t="shared" si="122"/>
        <v/>
      </c>
      <c r="AS104" s="268" t="str">
        <f t="shared" si="122"/>
        <v/>
      </c>
      <c r="AT104" s="268" t="str">
        <f t="shared" si="122"/>
        <v/>
      </c>
      <c r="AU104" s="268" t="str">
        <f t="shared" si="122"/>
        <v/>
      </c>
      <c r="AV104" s="268" t="str">
        <f t="shared" si="122"/>
        <v/>
      </c>
      <c r="AW104" s="268" t="str">
        <f t="shared" si="122"/>
        <v/>
      </c>
      <c r="AX104" s="268" t="str">
        <f t="shared" si="122"/>
        <v/>
      </c>
      <c r="AY104" s="268" t="str">
        <f t="shared" si="122"/>
        <v/>
      </c>
      <c r="AZ104" s="268" t="str">
        <f t="shared" si="122"/>
        <v/>
      </c>
      <c r="BA104" s="268" t="str">
        <f t="shared" si="122"/>
        <v/>
      </c>
      <c r="BB104" s="268" t="str">
        <f t="shared" si="122"/>
        <v/>
      </c>
      <c r="BC104" s="268" t="str">
        <f t="shared" si="122"/>
        <v/>
      </c>
      <c r="BD104" s="268" t="str">
        <f t="shared" si="122"/>
        <v/>
      </c>
      <c r="BE104" s="268" t="str">
        <f t="shared" si="122"/>
        <v/>
      </c>
      <c r="BF104" s="268" t="str">
        <f t="shared" si="122"/>
        <v/>
      </c>
      <c r="BG104" s="268" t="str">
        <f t="shared" si="122"/>
        <v/>
      </c>
      <c r="BH104" s="268" t="str">
        <f t="shared" si="122"/>
        <v/>
      </c>
      <c r="BI104" s="268" t="str">
        <f t="shared" si="122"/>
        <v/>
      </c>
      <c r="BJ104" s="268" t="str">
        <f t="shared" si="122"/>
        <v/>
      </c>
      <c r="BK104" s="268" t="str">
        <f t="shared" si="122"/>
        <v/>
      </c>
      <c r="BL104" s="268" t="str">
        <f t="shared" si="122"/>
        <v/>
      </c>
      <c r="BM104" s="268" t="str">
        <f t="shared" si="122"/>
        <v/>
      </c>
      <c r="BN104" s="268" t="str">
        <f t="shared" si="122"/>
        <v/>
      </c>
      <c r="BO104" s="268" t="str">
        <f t="shared" si="122"/>
        <v/>
      </c>
      <c r="BP104" s="268" t="str">
        <f t="shared" si="122"/>
        <v/>
      </c>
      <c r="BQ104" s="268" t="str">
        <f t="shared" si="122"/>
        <v/>
      </c>
      <c r="BR104" s="268" t="str">
        <f t="shared" si="122"/>
        <v/>
      </c>
      <c r="BS104" s="268" t="str">
        <f t="shared" si="122"/>
        <v/>
      </c>
      <c r="BT104" s="268" t="str">
        <f t="shared" si="122"/>
        <v/>
      </c>
      <c r="BU104" s="268" t="str">
        <f t="shared" si="82"/>
        <v/>
      </c>
      <c r="BV104" s="247">
        <v>0.61</v>
      </c>
      <c r="BW104" s="729">
        <f t="shared" si="108"/>
        <v>1464</v>
      </c>
      <c r="BX104" s="730">
        <f t="shared" si="109"/>
        <v>11346</v>
      </c>
      <c r="BY104" s="731" t="str">
        <f t="shared" si="105"/>
        <v>SR</v>
      </c>
    </row>
    <row r="105" s="698" customFormat="1" customHeight="1" spans="1:77">
      <c r="A105" s="208">
        <v>46009</v>
      </c>
      <c r="B105" s="208">
        <v>46052</v>
      </c>
      <c r="C105" s="211" t="s">
        <v>352</v>
      </c>
      <c r="D105" s="211" t="s">
        <v>353</v>
      </c>
      <c r="E105" s="211" t="s">
        <v>62</v>
      </c>
      <c r="F105" s="732">
        <v>2400</v>
      </c>
      <c r="G105" s="211" t="s">
        <v>327</v>
      </c>
      <c r="H105" s="211" t="str">
        <f>IFERROR(VLOOKUP(E105,名称!A:E,4,0),"")</f>
        <v>二代</v>
      </c>
      <c r="I105" s="268" t="str">
        <f t="shared" ref="I105:BT105" si="123">IF(OR($E105="",I$1=""),"",IF(TRIM(LEFT($E105,MIN(IFERROR(FIND("CDU",UPPER($E105)),999),IFERROR(FIND("BULK",UPPER($E105)),999),IFERROR(FIND("-",$E105),999),IFERROR(FIND("（",$E105),999))-1))=I$1,$F105,""))</f>
        <v/>
      </c>
      <c r="J105" s="268" t="str">
        <f t="shared" si="123"/>
        <v/>
      </c>
      <c r="K105" s="268" t="str">
        <f t="shared" si="123"/>
        <v/>
      </c>
      <c r="L105" s="268" t="str">
        <f t="shared" si="123"/>
        <v/>
      </c>
      <c r="M105" s="268" t="str">
        <f t="shared" si="123"/>
        <v/>
      </c>
      <c r="N105" s="268" t="str">
        <f t="shared" si="123"/>
        <v/>
      </c>
      <c r="O105" s="268">
        <f t="shared" si="123"/>
        <v>2400</v>
      </c>
      <c r="P105" s="268" t="str">
        <f t="shared" si="123"/>
        <v/>
      </c>
      <c r="Q105" s="268" t="str">
        <f t="shared" si="123"/>
        <v/>
      </c>
      <c r="R105" s="268" t="str">
        <f t="shared" si="123"/>
        <v/>
      </c>
      <c r="S105" s="268" t="str">
        <f t="shared" si="123"/>
        <v/>
      </c>
      <c r="T105" s="268" t="str">
        <f t="shared" si="123"/>
        <v/>
      </c>
      <c r="U105" s="268" t="str">
        <f t="shared" si="123"/>
        <v/>
      </c>
      <c r="V105" s="268" t="str">
        <f t="shared" si="123"/>
        <v/>
      </c>
      <c r="W105" s="268" t="str">
        <f t="shared" si="123"/>
        <v/>
      </c>
      <c r="X105" s="268" t="str">
        <f t="shared" si="123"/>
        <v/>
      </c>
      <c r="Y105" s="268" t="str">
        <f t="shared" si="123"/>
        <v/>
      </c>
      <c r="Z105" s="268" t="str">
        <f t="shared" si="123"/>
        <v/>
      </c>
      <c r="AA105" s="268" t="str">
        <f t="shared" si="123"/>
        <v/>
      </c>
      <c r="AB105" s="268" t="str">
        <f t="shared" si="123"/>
        <v/>
      </c>
      <c r="AC105" s="268" t="str">
        <f t="shared" si="123"/>
        <v/>
      </c>
      <c r="AD105" s="268" t="str">
        <f t="shared" si="123"/>
        <v/>
      </c>
      <c r="AE105" s="268" t="str">
        <f t="shared" si="123"/>
        <v/>
      </c>
      <c r="AF105" s="268" t="str">
        <f t="shared" si="123"/>
        <v/>
      </c>
      <c r="AG105" s="268" t="str">
        <f t="shared" si="123"/>
        <v/>
      </c>
      <c r="AH105" s="268" t="str">
        <f t="shared" si="123"/>
        <v/>
      </c>
      <c r="AI105" s="268" t="str">
        <f t="shared" si="123"/>
        <v/>
      </c>
      <c r="AJ105" s="268" t="str">
        <f t="shared" si="123"/>
        <v/>
      </c>
      <c r="AK105" s="268" t="str">
        <f t="shared" si="123"/>
        <v/>
      </c>
      <c r="AL105" s="268" t="str">
        <f t="shared" si="123"/>
        <v/>
      </c>
      <c r="AM105" s="268" t="str">
        <f t="shared" si="123"/>
        <v/>
      </c>
      <c r="AN105" s="268" t="str">
        <f t="shared" si="123"/>
        <v/>
      </c>
      <c r="AO105" s="268" t="str">
        <f t="shared" si="123"/>
        <v/>
      </c>
      <c r="AP105" s="268" t="str">
        <f t="shared" si="123"/>
        <v/>
      </c>
      <c r="AQ105" s="268" t="str">
        <f t="shared" si="123"/>
        <v/>
      </c>
      <c r="AR105" s="268" t="str">
        <f t="shared" si="123"/>
        <v/>
      </c>
      <c r="AS105" s="268" t="str">
        <f t="shared" si="123"/>
        <v/>
      </c>
      <c r="AT105" s="268" t="str">
        <f t="shared" si="123"/>
        <v/>
      </c>
      <c r="AU105" s="268" t="str">
        <f t="shared" si="123"/>
        <v/>
      </c>
      <c r="AV105" s="268" t="str">
        <f t="shared" si="123"/>
        <v/>
      </c>
      <c r="AW105" s="268" t="str">
        <f t="shared" si="123"/>
        <v/>
      </c>
      <c r="AX105" s="268" t="str">
        <f t="shared" si="123"/>
        <v/>
      </c>
      <c r="AY105" s="268" t="str">
        <f t="shared" si="123"/>
        <v/>
      </c>
      <c r="AZ105" s="268" t="str">
        <f t="shared" si="123"/>
        <v/>
      </c>
      <c r="BA105" s="268" t="str">
        <f t="shared" si="123"/>
        <v/>
      </c>
      <c r="BB105" s="268" t="str">
        <f t="shared" si="123"/>
        <v/>
      </c>
      <c r="BC105" s="268" t="str">
        <f t="shared" si="123"/>
        <v/>
      </c>
      <c r="BD105" s="268" t="str">
        <f t="shared" si="123"/>
        <v/>
      </c>
      <c r="BE105" s="268" t="str">
        <f t="shared" si="123"/>
        <v/>
      </c>
      <c r="BF105" s="268" t="str">
        <f t="shared" si="123"/>
        <v/>
      </c>
      <c r="BG105" s="268" t="str">
        <f t="shared" si="123"/>
        <v/>
      </c>
      <c r="BH105" s="268" t="str">
        <f t="shared" si="123"/>
        <v/>
      </c>
      <c r="BI105" s="268" t="str">
        <f t="shared" si="123"/>
        <v/>
      </c>
      <c r="BJ105" s="268" t="str">
        <f t="shared" si="123"/>
        <v/>
      </c>
      <c r="BK105" s="268" t="str">
        <f t="shared" si="123"/>
        <v/>
      </c>
      <c r="BL105" s="268" t="str">
        <f t="shared" si="123"/>
        <v/>
      </c>
      <c r="BM105" s="268" t="str">
        <f t="shared" si="123"/>
        <v/>
      </c>
      <c r="BN105" s="268" t="str">
        <f t="shared" si="123"/>
        <v/>
      </c>
      <c r="BO105" s="268" t="str">
        <f t="shared" si="123"/>
        <v/>
      </c>
      <c r="BP105" s="268" t="str">
        <f t="shared" si="123"/>
        <v/>
      </c>
      <c r="BQ105" s="268" t="str">
        <f t="shared" si="123"/>
        <v/>
      </c>
      <c r="BR105" s="268" t="str">
        <f t="shared" si="123"/>
        <v/>
      </c>
      <c r="BS105" s="268" t="str">
        <f t="shared" si="123"/>
        <v/>
      </c>
      <c r="BT105" s="268" t="str">
        <f t="shared" si="123"/>
        <v/>
      </c>
      <c r="BU105" s="268" t="str">
        <f t="shared" si="82"/>
        <v/>
      </c>
      <c r="BV105" s="247">
        <v>0.61</v>
      </c>
      <c r="BW105" s="729">
        <f t="shared" si="108"/>
        <v>1464</v>
      </c>
      <c r="BX105" s="730">
        <f t="shared" si="109"/>
        <v>11346</v>
      </c>
      <c r="BY105" s="731" t="str">
        <f t="shared" si="105"/>
        <v>SR</v>
      </c>
    </row>
    <row r="106" s="698" customFormat="1" customHeight="1" spans="1:77">
      <c r="A106" s="208">
        <v>46009</v>
      </c>
      <c r="B106" s="208">
        <v>46052</v>
      </c>
      <c r="C106" s="211" t="s">
        <v>352</v>
      </c>
      <c r="D106" s="211" t="s">
        <v>353</v>
      </c>
      <c r="E106" s="211" t="s">
        <v>79</v>
      </c>
      <c r="F106" s="732">
        <v>3000</v>
      </c>
      <c r="G106" s="211" t="s">
        <v>327</v>
      </c>
      <c r="H106" s="211" t="str">
        <f>IFERROR(VLOOKUP(E106,名称!A:E,4,0),"")</f>
        <v>二代</v>
      </c>
      <c r="I106" s="268" t="str">
        <f t="shared" ref="I106:BT106" si="124">IF(OR($E106="",I$1=""),"",IF(TRIM(LEFT($E106,MIN(IFERROR(FIND("CDU",UPPER($E106)),999),IFERROR(FIND("BULK",UPPER($E106)),999),IFERROR(FIND("-",$E106),999),IFERROR(FIND("（",$E106),999))-1))=I$1,$F106,""))</f>
        <v/>
      </c>
      <c r="J106" s="268" t="str">
        <f t="shared" si="124"/>
        <v/>
      </c>
      <c r="K106" s="268" t="str">
        <f t="shared" si="124"/>
        <v/>
      </c>
      <c r="L106" s="268" t="str">
        <f t="shared" si="124"/>
        <v/>
      </c>
      <c r="M106" s="268" t="str">
        <f t="shared" si="124"/>
        <v/>
      </c>
      <c r="N106" s="268" t="str">
        <f t="shared" si="124"/>
        <v/>
      </c>
      <c r="O106" s="268" t="str">
        <f t="shared" si="124"/>
        <v/>
      </c>
      <c r="P106" s="268" t="str">
        <f t="shared" si="124"/>
        <v/>
      </c>
      <c r="Q106" s="268" t="str">
        <f t="shared" si="124"/>
        <v/>
      </c>
      <c r="R106" s="268" t="str">
        <f t="shared" si="124"/>
        <v/>
      </c>
      <c r="S106" s="268" t="str">
        <f t="shared" si="124"/>
        <v/>
      </c>
      <c r="T106" s="268" t="str">
        <f t="shared" si="124"/>
        <v/>
      </c>
      <c r="U106" s="268" t="str">
        <f t="shared" si="124"/>
        <v/>
      </c>
      <c r="V106" s="268" t="str">
        <f t="shared" si="124"/>
        <v/>
      </c>
      <c r="W106" s="268" t="str">
        <f t="shared" si="124"/>
        <v/>
      </c>
      <c r="X106" s="268" t="str">
        <f t="shared" si="124"/>
        <v/>
      </c>
      <c r="Y106" s="268">
        <f t="shared" si="124"/>
        <v>3000</v>
      </c>
      <c r="Z106" s="268" t="str">
        <f t="shared" si="124"/>
        <v/>
      </c>
      <c r="AA106" s="268" t="str">
        <f t="shared" si="124"/>
        <v/>
      </c>
      <c r="AB106" s="268" t="str">
        <f t="shared" si="124"/>
        <v/>
      </c>
      <c r="AC106" s="268" t="str">
        <f t="shared" si="124"/>
        <v/>
      </c>
      <c r="AD106" s="268" t="str">
        <f t="shared" si="124"/>
        <v/>
      </c>
      <c r="AE106" s="268" t="str">
        <f t="shared" si="124"/>
        <v/>
      </c>
      <c r="AF106" s="268" t="str">
        <f t="shared" si="124"/>
        <v/>
      </c>
      <c r="AG106" s="268" t="str">
        <f t="shared" si="124"/>
        <v/>
      </c>
      <c r="AH106" s="268" t="str">
        <f t="shared" si="124"/>
        <v/>
      </c>
      <c r="AI106" s="268" t="str">
        <f t="shared" si="124"/>
        <v/>
      </c>
      <c r="AJ106" s="268" t="str">
        <f t="shared" si="124"/>
        <v/>
      </c>
      <c r="AK106" s="268" t="str">
        <f t="shared" si="124"/>
        <v/>
      </c>
      <c r="AL106" s="268" t="str">
        <f t="shared" si="124"/>
        <v/>
      </c>
      <c r="AM106" s="268" t="str">
        <f t="shared" si="124"/>
        <v/>
      </c>
      <c r="AN106" s="268" t="str">
        <f t="shared" si="124"/>
        <v/>
      </c>
      <c r="AO106" s="268" t="str">
        <f t="shared" si="124"/>
        <v/>
      </c>
      <c r="AP106" s="268" t="str">
        <f t="shared" si="124"/>
        <v/>
      </c>
      <c r="AQ106" s="268" t="str">
        <f t="shared" si="124"/>
        <v/>
      </c>
      <c r="AR106" s="268" t="str">
        <f t="shared" si="124"/>
        <v/>
      </c>
      <c r="AS106" s="268" t="str">
        <f t="shared" si="124"/>
        <v/>
      </c>
      <c r="AT106" s="268" t="str">
        <f t="shared" si="124"/>
        <v/>
      </c>
      <c r="AU106" s="268" t="str">
        <f t="shared" si="124"/>
        <v/>
      </c>
      <c r="AV106" s="268" t="str">
        <f t="shared" si="124"/>
        <v/>
      </c>
      <c r="AW106" s="268" t="str">
        <f t="shared" si="124"/>
        <v/>
      </c>
      <c r="AX106" s="268" t="str">
        <f t="shared" si="124"/>
        <v/>
      </c>
      <c r="AY106" s="268" t="str">
        <f t="shared" si="124"/>
        <v/>
      </c>
      <c r="AZ106" s="268" t="str">
        <f t="shared" si="124"/>
        <v/>
      </c>
      <c r="BA106" s="268" t="str">
        <f t="shared" si="124"/>
        <v/>
      </c>
      <c r="BB106" s="268" t="str">
        <f t="shared" si="124"/>
        <v/>
      </c>
      <c r="BC106" s="268" t="str">
        <f t="shared" si="124"/>
        <v/>
      </c>
      <c r="BD106" s="268" t="str">
        <f t="shared" si="124"/>
        <v/>
      </c>
      <c r="BE106" s="268" t="str">
        <f t="shared" si="124"/>
        <v/>
      </c>
      <c r="BF106" s="268" t="str">
        <f t="shared" si="124"/>
        <v/>
      </c>
      <c r="BG106" s="268" t="str">
        <f t="shared" si="124"/>
        <v/>
      </c>
      <c r="BH106" s="268" t="str">
        <f t="shared" si="124"/>
        <v/>
      </c>
      <c r="BI106" s="268" t="str">
        <f t="shared" si="124"/>
        <v/>
      </c>
      <c r="BJ106" s="268" t="str">
        <f t="shared" si="124"/>
        <v/>
      </c>
      <c r="BK106" s="268" t="str">
        <f t="shared" si="124"/>
        <v/>
      </c>
      <c r="BL106" s="268" t="str">
        <f t="shared" si="124"/>
        <v/>
      </c>
      <c r="BM106" s="268" t="str">
        <f t="shared" si="124"/>
        <v/>
      </c>
      <c r="BN106" s="268" t="str">
        <f t="shared" si="124"/>
        <v/>
      </c>
      <c r="BO106" s="268" t="str">
        <f t="shared" si="124"/>
        <v/>
      </c>
      <c r="BP106" s="268" t="str">
        <f t="shared" si="124"/>
        <v/>
      </c>
      <c r="BQ106" s="268" t="str">
        <f t="shared" si="124"/>
        <v/>
      </c>
      <c r="BR106" s="268" t="str">
        <f t="shared" si="124"/>
        <v/>
      </c>
      <c r="BS106" s="268" t="str">
        <f t="shared" si="124"/>
        <v/>
      </c>
      <c r="BT106" s="268" t="str">
        <f t="shared" si="124"/>
        <v/>
      </c>
      <c r="BU106" s="268" t="str">
        <f t="shared" si="82"/>
        <v/>
      </c>
      <c r="BV106" s="247">
        <v>1.56</v>
      </c>
      <c r="BW106" s="729">
        <f t="shared" si="108"/>
        <v>4680</v>
      </c>
      <c r="BX106" s="730">
        <f t="shared" si="109"/>
        <v>36270</v>
      </c>
      <c r="BY106" s="731" t="str">
        <f t="shared" si="105"/>
        <v>SR</v>
      </c>
    </row>
    <row r="107" s="698" customFormat="1" customHeight="1" spans="1:77">
      <c r="A107" s="208">
        <v>46009</v>
      </c>
      <c r="B107" s="208">
        <v>46052</v>
      </c>
      <c r="C107" s="211" t="s">
        <v>352</v>
      </c>
      <c r="D107" s="211" t="s">
        <v>353</v>
      </c>
      <c r="E107" s="211" t="s">
        <v>74</v>
      </c>
      <c r="F107" s="732">
        <v>2400</v>
      </c>
      <c r="G107" s="211" t="s">
        <v>327</v>
      </c>
      <c r="H107" s="211" t="str">
        <f>IFERROR(VLOOKUP(E107,名称!A:E,4,0),"")</f>
        <v>二代</v>
      </c>
      <c r="I107" s="268" t="str">
        <f t="shared" ref="I107:BT107" si="125">IF(OR($E107="",I$1=""),"",IF(TRIM(LEFT($E107,MIN(IFERROR(FIND("CDU",UPPER($E107)),999),IFERROR(FIND("BULK",UPPER($E107)),999),IFERROR(FIND("-",$E107),999),IFERROR(FIND("（",$E107),999))-1))=I$1,$F107,""))</f>
        <v/>
      </c>
      <c r="J107" s="268" t="str">
        <f t="shared" si="125"/>
        <v/>
      </c>
      <c r="K107" s="268" t="str">
        <f t="shared" si="125"/>
        <v/>
      </c>
      <c r="L107" s="268" t="str">
        <f t="shared" si="125"/>
        <v/>
      </c>
      <c r="M107" s="268" t="str">
        <f t="shared" si="125"/>
        <v/>
      </c>
      <c r="N107" s="268" t="str">
        <f t="shared" si="125"/>
        <v/>
      </c>
      <c r="O107" s="268" t="str">
        <f t="shared" si="125"/>
        <v/>
      </c>
      <c r="P107" s="268" t="str">
        <f t="shared" si="125"/>
        <v/>
      </c>
      <c r="Q107" s="268" t="str">
        <f t="shared" si="125"/>
        <v/>
      </c>
      <c r="R107" s="268" t="str">
        <f t="shared" si="125"/>
        <v/>
      </c>
      <c r="S107" s="268" t="str">
        <f t="shared" si="125"/>
        <v/>
      </c>
      <c r="T107" s="268" t="str">
        <f t="shared" si="125"/>
        <v/>
      </c>
      <c r="U107" s="268" t="str">
        <f t="shared" si="125"/>
        <v/>
      </c>
      <c r="V107" s="268" t="str">
        <f t="shared" si="125"/>
        <v/>
      </c>
      <c r="W107" s="268" t="str">
        <f t="shared" si="125"/>
        <v/>
      </c>
      <c r="X107" s="268">
        <f t="shared" si="125"/>
        <v>2400</v>
      </c>
      <c r="Y107" s="268" t="str">
        <f t="shared" si="125"/>
        <v/>
      </c>
      <c r="Z107" s="268" t="str">
        <f t="shared" si="125"/>
        <v/>
      </c>
      <c r="AA107" s="268" t="str">
        <f t="shared" si="125"/>
        <v/>
      </c>
      <c r="AB107" s="268" t="str">
        <f t="shared" si="125"/>
        <v/>
      </c>
      <c r="AC107" s="268" t="str">
        <f t="shared" si="125"/>
        <v/>
      </c>
      <c r="AD107" s="268" t="str">
        <f t="shared" si="125"/>
        <v/>
      </c>
      <c r="AE107" s="268" t="str">
        <f t="shared" si="125"/>
        <v/>
      </c>
      <c r="AF107" s="268" t="str">
        <f t="shared" si="125"/>
        <v/>
      </c>
      <c r="AG107" s="268" t="str">
        <f t="shared" si="125"/>
        <v/>
      </c>
      <c r="AH107" s="268" t="str">
        <f t="shared" si="125"/>
        <v/>
      </c>
      <c r="AI107" s="268" t="str">
        <f t="shared" si="125"/>
        <v/>
      </c>
      <c r="AJ107" s="268" t="str">
        <f t="shared" si="125"/>
        <v/>
      </c>
      <c r="AK107" s="268" t="str">
        <f t="shared" si="125"/>
        <v/>
      </c>
      <c r="AL107" s="268" t="str">
        <f t="shared" si="125"/>
        <v/>
      </c>
      <c r="AM107" s="268" t="str">
        <f t="shared" si="125"/>
        <v/>
      </c>
      <c r="AN107" s="268" t="str">
        <f t="shared" si="125"/>
        <v/>
      </c>
      <c r="AO107" s="268" t="str">
        <f t="shared" si="125"/>
        <v/>
      </c>
      <c r="AP107" s="268" t="str">
        <f t="shared" si="125"/>
        <v/>
      </c>
      <c r="AQ107" s="268" t="str">
        <f t="shared" si="125"/>
        <v/>
      </c>
      <c r="AR107" s="268" t="str">
        <f t="shared" si="125"/>
        <v/>
      </c>
      <c r="AS107" s="268" t="str">
        <f t="shared" si="125"/>
        <v/>
      </c>
      <c r="AT107" s="268" t="str">
        <f t="shared" si="125"/>
        <v/>
      </c>
      <c r="AU107" s="268" t="str">
        <f t="shared" si="125"/>
        <v/>
      </c>
      <c r="AV107" s="268" t="str">
        <f t="shared" si="125"/>
        <v/>
      </c>
      <c r="AW107" s="268" t="str">
        <f t="shared" si="125"/>
        <v/>
      </c>
      <c r="AX107" s="268" t="str">
        <f t="shared" si="125"/>
        <v/>
      </c>
      <c r="AY107" s="268" t="str">
        <f t="shared" si="125"/>
        <v/>
      </c>
      <c r="AZ107" s="268" t="str">
        <f t="shared" si="125"/>
        <v/>
      </c>
      <c r="BA107" s="268" t="str">
        <f t="shared" si="125"/>
        <v/>
      </c>
      <c r="BB107" s="268" t="str">
        <f t="shared" si="125"/>
        <v/>
      </c>
      <c r="BC107" s="268" t="str">
        <f t="shared" si="125"/>
        <v/>
      </c>
      <c r="BD107" s="268" t="str">
        <f t="shared" si="125"/>
        <v/>
      </c>
      <c r="BE107" s="268" t="str">
        <f t="shared" si="125"/>
        <v/>
      </c>
      <c r="BF107" s="268" t="str">
        <f t="shared" si="125"/>
        <v/>
      </c>
      <c r="BG107" s="268" t="str">
        <f t="shared" si="125"/>
        <v/>
      </c>
      <c r="BH107" s="268" t="str">
        <f t="shared" si="125"/>
        <v/>
      </c>
      <c r="BI107" s="268" t="str">
        <f t="shared" si="125"/>
        <v/>
      </c>
      <c r="BJ107" s="268" t="str">
        <f t="shared" si="125"/>
        <v/>
      </c>
      <c r="BK107" s="268" t="str">
        <f t="shared" si="125"/>
        <v/>
      </c>
      <c r="BL107" s="268" t="str">
        <f t="shared" si="125"/>
        <v/>
      </c>
      <c r="BM107" s="268" t="str">
        <f t="shared" si="125"/>
        <v/>
      </c>
      <c r="BN107" s="268" t="str">
        <f t="shared" si="125"/>
        <v/>
      </c>
      <c r="BO107" s="268" t="str">
        <f t="shared" si="125"/>
        <v/>
      </c>
      <c r="BP107" s="268" t="str">
        <f t="shared" si="125"/>
        <v/>
      </c>
      <c r="BQ107" s="268" t="str">
        <f t="shared" si="125"/>
        <v/>
      </c>
      <c r="BR107" s="268" t="str">
        <f t="shared" si="125"/>
        <v/>
      </c>
      <c r="BS107" s="268" t="str">
        <f t="shared" si="125"/>
        <v/>
      </c>
      <c r="BT107" s="268" t="str">
        <f t="shared" si="125"/>
        <v/>
      </c>
      <c r="BU107" s="268" t="str">
        <f t="shared" si="82"/>
        <v/>
      </c>
      <c r="BV107" s="247">
        <v>1.58</v>
      </c>
      <c r="BW107" s="729">
        <f t="shared" si="108"/>
        <v>3792</v>
      </c>
      <c r="BX107" s="730">
        <f t="shared" si="109"/>
        <v>29388</v>
      </c>
      <c r="BY107" s="731" t="str">
        <f t="shared" si="105"/>
        <v>SR</v>
      </c>
    </row>
    <row r="108" s="698" customFormat="1" customHeight="1" spans="1:77">
      <c r="A108" s="208">
        <v>46011</v>
      </c>
      <c r="B108" s="208">
        <v>46036</v>
      </c>
      <c r="C108" s="211"/>
      <c r="D108" s="211" t="s">
        <v>354</v>
      </c>
      <c r="E108" s="211" t="s">
        <v>45</v>
      </c>
      <c r="F108" s="732">
        <v>27000</v>
      </c>
      <c r="G108" s="211" t="s">
        <v>327</v>
      </c>
      <c r="H108" s="211" t="str">
        <f>IFERROR(VLOOKUP(E108,名称!A:E,4,0),"")</f>
        <v>二代</v>
      </c>
      <c r="I108" s="268" t="str">
        <f t="shared" ref="I108:BT108" si="126">IF(OR($E108="",I$1=""),"",IF(TRIM(LEFT($E108,MIN(IFERROR(FIND("CDU",UPPER($E108)),999),IFERROR(FIND("BULK",UPPER($E108)),999),IFERROR(FIND("-",$E108),999),IFERROR(FIND("（",$E108),999))-1))=I$1,$F108,""))</f>
        <v/>
      </c>
      <c r="J108" s="268">
        <f t="shared" si="126"/>
        <v>27000</v>
      </c>
      <c r="K108" s="268" t="str">
        <f t="shared" si="126"/>
        <v/>
      </c>
      <c r="L108" s="268" t="str">
        <f t="shared" si="126"/>
        <v/>
      </c>
      <c r="M108" s="268" t="str">
        <f t="shared" si="126"/>
        <v/>
      </c>
      <c r="N108" s="268" t="str">
        <f t="shared" si="126"/>
        <v/>
      </c>
      <c r="O108" s="268" t="str">
        <f t="shared" si="126"/>
        <v/>
      </c>
      <c r="P108" s="268" t="str">
        <f t="shared" si="126"/>
        <v/>
      </c>
      <c r="Q108" s="268" t="str">
        <f t="shared" si="126"/>
        <v/>
      </c>
      <c r="R108" s="268" t="str">
        <f t="shared" si="126"/>
        <v/>
      </c>
      <c r="S108" s="268" t="str">
        <f t="shared" si="126"/>
        <v/>
      </c>
      <c r="T108" s="268" t="str">
        <f t="shared" si="126"/>
        <v/>
      </c>
      <c r="U108" s="268" t="str">
        <f t="shared" si="126"/>
        <v/>
      </c>
      <c r="V108" s="268" t="str">
        <f t="shared" si="126"/>
        <v/>
      </c>
      <c r="W108" s="268" t="str">
        <f t="shared" si="126"/>
        <v/>
      </c>
      <c r="X108" s="268" t="str">
        <f t="shared" si="126"/>
        <v/>
      </c>
      <c r="Y108" s="268" t="str">
        <f t="shared" si="126"/>
        <v/>
      </c>
      <c r="Z108" s="268" t="str">
        <f t="shared" si="126"/>
        <v/>
      </c>
      <c r="AA108" s="268" t="str">
        <f t="shared" si="126"/>
        <v/>
      </c>
      <c r="AB108" s="268" t="str">
        <f t="shared" si="126"/>
        <v/>
      </c>
      <c r="AC108" s="268" t="str">
        <f t="shared" si="126"/>
        <v/>
      </c>
      <c r="AD108" s="268" t="str">
        <f t="shared" si="126"/>
        <v/>
      </c>
      <c r="AE108" s="268" t="str">
        <f t="shared" si="126"/>
        <v/>
      </c>
      <c r="AF108" s="268" t="str">
        <f t="shared" si="126"/>
        <v/>
      </c>
      <c r="AG108" s="268" t="str">
        <f t="shared" si="126"/>
        <v/>
      </c>
      <c r="AH108" s="268" t="str">
        <f t="shared" si="126"/>
        <v/>
      </c>
      <c r="AI108" s="268" t="str">
        <f t="shared" si="126"/>
        <v/>
      </c>
      <c r="AJ108" s="268" t="str">
        <f t="shared" si="126"/>
        <v/>
      </c>
      <c r="AK108" s="268" t="str">
        <f t="shared" si="126"/>
        <v/>
      </c>
      <c r="AL108" s="268" t="str">
        <f t="shared" si="126"/>
        <v/>
      </c>
      <c r="AM108" s="268" t="str">
        <f t="shared" si="126"/>
        <v/>
      </c>
      <c r="AN108" s="268" t="str">
        <f t="shared" si="126"/>
        <v/>
      </c>
      <c r="AO108" s="268" t="str">
        <f t="shared" si="126"/>
        <v/>
      </c>
      <c r="AP108" s="268" t="str">
        <f t="shared" si="126"/>
        <v/>
      </c>
      <c r="AQ108" s="268" t="str">
        <f t="shared" si="126"/>
        <v/>
      </c>
      <c r="AR108" s="268" t="str">
        <f t="shared" si="126"/>
        <v/>
      </c>
      <c r="AS108" s="268" t="str">
        <f t="shared" si="126"/>
        <v/>
      </c>
      <c r="AT108" s="268" t="str">
        <f t="shared" si="126"/>
        <v/>
      </c>
      <c r="AU108" s="268" t="str">
        <f t="shared" si="126"/>
        <v/>
      </c>
      <c r="AV108" s="268" t="str">
        <f t="shared" si="126"/>
        <v/>
      </c>
      <c r="AW108" s="268" t="str">
        <f t="shared" si="126"/>
        <v/>
      </c>
      <c r="AX108" s="268" t="str">
        <f t="shared" si="126"/>
        <v/>
      </c>
      <c r="AY108" s="268" t="str">
        <f t="shared" si="126"/>
        <v/>
      </c>
      <c r="AZ108" s="268" t="str">
        <f t="shared" si="126"/>
        <v/>
      </c>
      <c r="BA108" s="268" t="str">
        <f t="shared" si="126"/>
        <v/>
      </c>
      <c r="BB108" s="268" t="str">
        <f t="shared" si="126"/>
        <v/>
      </c>
      <c r="BC108" s="268" t="str">
        <f t="shared" si="126"/>
        <v/>
      </c>
      <c r="BD108" s="268" t="str">
        <f t="shared" si="126"/>
        <v/>
      </c>
      <c r="BE108" s="268" t="str">
        <f t="shared" si="126"/>
        <v/>
      </c>
      <c r="BF108" s="268" t="str">
        <f t="shared" si="126"/>
        <v/>
      </c>
      <c r="BG108" s="268" t="str">
        <f t="shared" si="126"/>
        <v/>
      </c>
      <c r="BH108" s="268" t="str">
        <f t="shared" si="126"/>
        <v/>
      </c>
      <c r="BI108" s="268" t="str">
        <f t="shared" si="126"/>
        <v/>
      </c>
      <c r="BJ108" s="268" t="str">
        <f t="shared" si="126"/>
        <v/>
      </c>
      <c r="BK108" s="268" t="str">
        <f t="shared" si="126"/>
        <v/>
      </c>
      <c r="BL108" s="268" t="str">
        <f t="shared" si="126"/>
        <v/>
      </c>
      <c r="BM108" s="268" t="str">
        <f t="shared" si="126"/>
        <v/>
      </c>
      <c r="BN108" s="268" t="str">
        <f t="shared" si="126"/>
        <v/>
      </c>
      <c r="BO108" s="268" t="str">
        <f t="shared" si="126"/>
        <v/>
      </c>
      <c r="BP108" s="268" t="str">
        <f t="shared" si="126"/>
        <v/>
      </c>
      <c r="BQ108" s="268" t="str">
        <f t="shared" si="126"/>
        <v/>
      </c>
      <c r="BR108" s="268" t="str">
        <f t="shared" si="126"/>
        <v/>
      </c>
      <c r="BS108" s="268" t="str">
        <f t="shared" si="126"/>
        <v/>
      </c>
      <c r="BT108" s="268" t="str">
        <f t="shared" si="126"/>
        <v/>
      </c>
      <c r="BU108" s="268" t="str">
        <f t="shared" si="82"/>
        <v/>
      </c>
      <c r="BV108" s="247">
        <v>0.31</v>
      </c>
      <c r="BW108" s="729">
        <f t="shared" si="108"/>
        <v>8370</v>
      </c>
      <c r="BX108" s="730">
        <f t="shared" si="109"/>
        <v>64867.5</v>
      </c>
      <c r="BY108" s="731" t="str">
        <f t="shared" si="105"/>
        <v>SR</v>
      </c>
    </row>
    <row r="109" s="698" customFormat="1" customHeight="1" spans="1:77">
      <c r="A109" s="208">
        <v>46013</v>
      </c>
      <c r="B109" s="208">
        <v>46139</v>
      </c>
      <c r="C109" s="211" t="s">
        <v>355</v>
      </c>
      <c r="D109" s="211" t="s">
        <v>356</v>
      </c>
      <c r="E109" s="211" t="s">
        <v>44</v>
      </c>
      <c r="F109" s="732">
        <v>2016</v>
      </c>
      <c r="G109" s="211" t="s">
        <v>270</v>
      </c>
      <c r="H109" s="211" t="str">
        <f>IFERROR(VLOOKUP(E109,名称!A:E,4,0),"")</f>
        <v>二代</v>
      </c>
      <c r="I109" s="268" t="str">
        <f t="shared" ref="I109:BT109" si="127">IF(OR($E109="",I$1=""),"",IF(TRIM(LEFT($E109,MIN(IFERROR(FIND("CDU",UPPER($E109)),999),IFERROR(FIND("BULK",UPPER($E109)),999),IFERROR(FIND("-",$E109),999),IFERROR(FIND("（",$E109),999))-1))=I$1,$F109,""))</f>
        <v/>
      </c>
      <c r="J109" s="268" t="str">
        <f t="shared" si="127"/>
        <v/>
      </c>
      <c r="K109" s="268" t="str">
        <f t="shared" si="127"/>
        <v/>
      </c>
      <c r="L109" s="268" t="str">
        <f t="shared" si="127"/>
        <v/>
      </c>
      <c r="M109" s="268">
        <f t="shared" si="127"/>
        <v>2016</v>
      </c>
      <c r="N109" s="268" t="str">
        <f t="shared" si="127"/>
        <v/>
      </c>
      <c r="O109" s="268" t="str">
        <f t="shared" si="127"/>
        <v/>
      </c>
      <c r="P109" s="268" t="str">
        <f t="shared" si="127"/>
        <v/>
      </c>
      <c r="Q109" s="268" t="str">
        <f t="shared" si="127"/>
        <v/>
      </c>
      <c r="R109" s="268" t="str">
        <f t="shared" si="127"/>
        <v/>
      </c>
      <c r="S109" s="268" t="str">
        <f t="shared" si="127"/>
        <v/>
      </c>
      <c r="T109" s="268" t="str">
        <f t="shared" si="127"/>
        <v/>
      </c>
      <c r="U109" s="268" t="str">
        <f t="shared" si="127"/>
        <v/>
      </c>
      <c r="V109" s="268" t="str">
        <f t="shared" si="127"/>
        <v/>
      </c>
      <c r="W109" s="268" t="str">
        <f t="shared" si="127"/>
        <v/>
      </c>
      <c r="X109" s="268" t="str">
        <f t="shared" si="127"/>
        <v/>
      </c>
      <c r="Y109" s="268" t="str">
        <f t="shared" si="127"/>
        <v/>
      </c>
      <c r="Z109" s="268" t="str">
        <f t="shared" si="127"/>
        <v/>
      </c>
      <c r="AA109" s="268" t="str">
        <f t="shared" si="127"/>
        <v/>
      </c>
      <c r="AB109" s="268" t="str">
        <f t="shared" si="127"/>
        <v/>
      </c>
      <c r="AC109" s="268" t="str">
        <f t="shared" si="127"/>
        <v/>
      </c>
      <c r="AD109" s="268" t="str">
        <f t="shared" si="127"/>
        <v/>
      </c>
      <c r="AE109" s="268" t="str">
        <f t="shared" si="127"/>
        <v/>
      </c>
      <c r="AF109" s="268" t="str">
        <f t="shared" si="127"/>
        <v/>
      </c>
      <c r="AG109" s="268" t="str">
        <f t="shared" si="127"/>
        <v/>
      </c>
      <c r="AH109" s="268" t="str">
        <f t="shared" si="127"/>
        <v/>
      </c>
      <c r="AI109" s="268" t="str">
        <f t="shared" si="127"/>
        <v/>
      </c>
      <c r="AJ109" s="268" t="str">
        <f t="shared" si="127"/>
        <v/>
      </c>
      <c r="AK109" s="268" t="str">
        <f t="shared" si="127"/>
        <v/>
      </c>
      <c r="AL109" s="268" t="str">
        <f t="shared" si="127"/>
        <v/>
      </c>
      <c r="AM109" s="268" t="str">
        <f t="shared" si="127"/>
        <v/>
      </c>
      <c r="AN109" s="268" t="str">
        <f t="shared" si="127"/>
        <v/>
      </c>
      <c r="AO109" s="268" t="str">
        <f t="shared" si="127"/>
        <v/>
      </c>
      <c r="AP109" s="268" t="str">
        <f t="shared" si="127"/>
        <v/>
      </c>
      <c r="AQ109" s="268" t="str">
        <f t="shared" si="127"/>
        <v/>
      </c>
      <c r="AR109" s="268" t="str">
        <f t="shared" si="127"/>
        <v/>
      </c>
      <c r="AS109" s="268" t="str">
        <f t="shared" si="127"/>
        <v/>
      </c>
      <c r="AT109" s="268" t="str">
        <f t="shared" si="127"/>
        <v/>
      </c>
      <c r="AU109" s="268" t="str">
        <f t="shared" si="127"/>
        <v/>
      </c>
      <c r="AV109" s="268" t="str">
        <f t="shared" si="127"/>
        <v/>
      </c>
      <c r="AW109" s="268" t="str">
        <f t="shared" si="127"/>
        <v/>
      </c>
      <c r="AX109" s="268" t="str">
        <f t="shared" si="127"/>
        <v/>
      </c>
      <c r="AY109" s="268" t="str">
        <f t="shared" si="127"/>
        <v/>
      </c>
      <c r="AZ109" s="268" t="str">
        <f t="shared" si="127"/>
        <v/>
      </c>
      <c r="BA109" s="268" t="str">
        <f t="shared" si="127"/>
        <v/>
      </c>
      <c r="BB109" s="268" t="str">
        <f t="shared" si="127"/>
        <v/>
      </c>
      <c r="BC109" s="268" t="str">
        <f t="shared" si="127"/>
        <v/>
      </c>
      <c r="BD109" s="268" t="str">
        <f t="shared" si="127"/>
        <v/>
      </c>
      <c r="BE109" s="268" t="str">
        <f t="shared" si="127"/>
        <v/>
      </c>
      <c r="BF109" s="268" t="str">
        <f t="shared" si="127"/>
        <v/>
      </c>
      <c r="BG109" s="268" t="str">
        <f t="shared" si="127"/>
        <v/>
      </c>
      <c r="BH109" s="268" t="str">
        <f t="shared" si="127"/>
        <v/>
      </c>
      <c r="BI109" s="268" t="str">
        <f t="shared" si="127"/>
        <v/>
      </c>
      <c r="BJ109" s="268" t="str">
        <f t="shared" si="127"/>
        <v/>
      </c>
      <c r="BK109" s="268" t="str">
        <f t="shared" si="127"/>
        <v/>
      </c>
      <c r="BL109" s="268" t="str">
        <f t="shared" si="127"/>
        <v/>
      </c>
      <c r="BM109" s="268" t="str">
        <f t="shared" si="127"/>
        <v/>
      </c>
      <c r="BN109" s="268" t="str">
        <f t="shared" si="127"/>
        <v/>
      </c>
      <c r="BO109" s="268" t="str">
        <f t="shared" si="127"/>
        <v/>
      </c>
      <c r="BP109" s="268" t="str">
        <f t="shared" si="127"/>
        <v/>
      </c>
      <c r="BQ109" s="268" t="str">
        <f t="shared" si="127"/>
        <v/>
      </c>
      <c r="BR109" s="268" t="str">
        <f t="shared" si="127"/>
        <v/>
      </c>
      <c r="BS109" s="268" t="str">
        <f t="shared" si="127"/>
        <v/>
      </c>
      <c r="BT109" s="268" t="str">
        <f t="shared" si="127"/>
        <v/>
      </c>
      <c r="BU109" s="268" t="str">
        <f t="shared" si="82"/>
        <v/>
      </c>
      <c r="BV109" s="247">
        <v>0.61</v>
      </c>
      <c r="BW109" s="729">
        <f t="shared" si="108"/>
        <v>1229.76</v>
      </c>
      <c r="BX109" s="730">
        <f t="shared" si="109"/>
        <v>9530.64</v>
      </c>
      <c r="BY109" s="731" t="str">
        <f t="shared" si="105"/>
        <v>SR</v>
      </c>
    </row>
    <row r="110" s="698" customFormat="1" customHeight="1" spans="1:77">
      <c r="A110" s="208">
        <v>46013</v>
      </c>
      <c r="B110" s="208">
        <v>46058</v>
      </c>
      <c r="C110" s="211" t="s">
        <v>357</v>
      </c>
      <c r="D110" s="211" t="s">
        <v>358</v>
      </c>
      <c r="E110" s="211" t="s">
        <v>26</v>
      </c>
      <c r="F110" s="732">
        <v>25002</v>
      </c>
      <c r="G110" s="211" t="s">
        <v>270</v>
      </c>
      <c r="H110" s="211" t="str">
        <f>IFERROR(VLOOKUP(E110,名称!A:E,4,0),"")</f>
        <v>二代</v>
      </c>
      <c r="I110" s="268" t="str">
        <f t="shared" ref="I110:BT110" si="128">IF(OR($E110="",I$1=""),"",IF(TRIM(LEFT($E110,MIN(IFERROR(FIND("CDU",UPPER($E110)),999),IFERROR(FIND("BULK",UPPER($E110)),999),IFERROR(FIND("-",$E110),999),IFERROR(FIND("（",$E110),999))-1))=I$1,$F110,""))</f>
        <v/>
      </c>
      <c r="J110" s="268" t="str">
        <f t="shared" si="128"/>
        <v/>
      </c>
      <c r="K110" s="268" t="str">
        <f t="shared" si="128"/>
        <v/>
      </c>
      <c r="L110" s="268" t="str">
        <f t="shared" si="128"/>
        <v/>
      </c>
      <c r="M110" s="268" t="str">
        <f t="shared" si="128"/>
        <v/>
      </c>
      <c r="N110" s="268" t="str">
        <f t="shared" si="128"/>
        <v/>
      </c>
      <c r="O110" s="268" t="str">
        <f t="shared" si="128"/>
        <v/>
      </c>
      <c r="P110" s="268" t="str">
        <f t="shared" si="128"/>
        <v/>
      </c>
      <c r="Q110" s="268" t="str">
        <f t="shared" si="128"/>
        <v/>
      </c>
      <c r="R110" s="268" t="str">
        <f t="shared" si="128"/>
        <v/>
      </c>
      <c r="S110" s="268">
        <f t="shared" si="128"/>
        <v>25002</v>
      </c>
      <c r="T110" s="268" t="str">
        <f t="shared" si="128"/>
        <v/>
      </c>
      <c r="U110" s="268" t="str">
        <f t="shared" si="128"/>
        <v/>
      </c>
      <c r="V110" s="268" t="str">
        <f t="shared" si="128"/>
        <v/>
      </c>
      <c r="W110" s="268" t="str">
        <f t="shared" si="128"/>
        <v/>
      </c>
      <c r="X110" s="268" t="str">
        <f t="shared" si="128"/>
        <v/>
      </c>
      <c r="Y110" s="268" t="str">
        <f t="shared" si="128"/>
        <v/>
      </c>
      <c r="Z110" s="268" t="str">
        <f t="shared" si="128"/>
        <v/>
      </c>
      <c r="AA110" s="268" t="str">
        <f t="shared" si="128"/>
        <v/>
      </c>
      <c r="AB110" s="268" t="str">
        <f t="shared" si="128"/>
        <v/>
      </c>
      <c r="AC110" s="268" t="str">
        <f t="shared" si="128"/>
        <v/>
      </c>
      <c r="AD110" s="268" t="str">
        <f t="shared" si="128"/>
        <v/>
      </c>
      <c r="AE110" s="268" t="str">
        <f t="shared" si="128"/>
        <v/>
      </c>
      <c r="AF110" s="268" t="str">
        <f t="shared" si="128"/>
        <v/>
      </c>
      <c r="AG110" s="268" t="str">
        <f t="shared" si="128"/>
        <v/>
      </c>
      <c r="AH110" s="268" t="str">
        <f t="shared" si="128"/>
        <v/>
      </c>
      <c r="AI110" s="268" t="str">
        <f t="shared" si="128"/>
        <v/>
      </c>
      <c r="AJ110" s="268" t="str">
        <f t="shared" si="128"/>
        <v/>
      </c>
      <c r="AK110" s="268" t="str">
        <f t="shared" si="128"/>
        <v/>
      </c>
      <c r="AL110" s="268" t="str">
        <f t="shared" si="128"/>
        <v/>
      </c>
      <c r="AM110" s="268" t="str">
        <f t="shared" si="128"/>
        <v/>
      </c>
      <c r="AN110" s="268" t="str">
        <f t="shared" si="128"/>
        <v/>
      </c>
      <c r="AO110" s="268" t="str">
        <f t="shared" si="128"/>
        <v/>
      </c>
      <c r="AP110" s="268" t="str">
        <f t="shared" si="128"/>
        <v/>
      </c>
      <c r="AQ110" s="268" t="str">
        <f t="shared" si="128"/>
        <v/>
      </c>
      <c r="AR110" s="268" t="str">
        <f t="shared" si="128"/>
        <v/>
      </c>
      <c r="AS110" s="268" t="str">
        <f t="shared" si="128"/>
        <v/>
      </c>
      <c r="AT110" s="268" t="str">
        <f t="shared" si="128"/>
        <v/>
      </c>
      <c r="AU110" s="268" t="str">
        <f t="shared" si="128"/>
        <v/>
      </c>
      <c r="AV110" s="268" t="str">
        <f t="shared" si="128"/>
        <v/>
      </c>
      <c r="AW110" s="268" t="str">
        <f t="shared" si="128"/>
        <v/>
      </c>
      <c r="AX110" s="268" t="str">
        <f t="shared" si="128"/>
        <v/>
      </c>
      <c r="AY110" s="268" t="str">
        <f t="shared" si="128"/>
        <v/>
      </c>
      <c r="AZ110" s="268" t="str">
        <f t="shared" si="128"/>
        <v/>
      </c>
      <c r="BA110" s="268" t="str">
        <f t="shared" si="128"/>
        <v/>
      </c>
      <c r="BB110" s="268" t="str">
        <f t="shared" si="128"/>
        <v/>
      </c>
      <c r="BC110" s="268" t="str">
        <f t="shared" si="128"/>
        <v/>
      </c>
      <c r="BD110" s="268" t="str">
        <f t="shared" si="128"/>
        <v/>
      </c>
      <c r="BE110" s="268" t="str">
        <f t="shared" si="128"/>
        <v/>
      </c>
      <c r="BF110" s="268" t="str">
        <f t="shared" si="128"/>
        <v/>
      </c>
      <c r="BG110" s="268" t="str">
        <f t="shared" si="128"/>
        <v/>
      </c>
      <c r="BH110" s="268" t="str">
        <f t="shared" si="128"/>
        <v/>
      </c>
      <c r="BI110" s="268" t="str">
        <f t="shared" si="128"/>
        <v/>
      </c>
      <c r="BJ110" s="268" t="str">
        <f t="shared" si="128"/>
        <v/>
      </c>
      <c r="BK110" s="268" t="str">
        <f t="shared" si="128"/>
        <v/>
      </c>
      <c r="BL110" s="268" t="str">
        <f t="shared" si="128"/>
        <v/>
      </c>
      <c r="BM110" s="268" t="str">
        <f t="shared" si="128"/>
        <v/>
      </c>
      <c r="BN110" s="268" t="str">
        <f t="shared" si="128"/>
        <v/>
      </c>
      <c r="BO110" s="268" t="str">
        <f t="shared" si="128"/>
        <v/>
      </c>
      <c r="BP110" s="268" t="str">
        <f t="shared" si="128"/>
        <v/>
      </c>
      <c r="BQ110" s="268" t="str">
        <f t="shared" si="128"/>
        <v/>
      </c>
      <c r="BR110" s="268" t="str">
        <f t="shared" si="128"/>
        <v/>
      </c>
      <c r="BS110" s="268" t="str">
        <f t="shared" si="128"/>
        <v/>
      </c>
      <c r="BT110" s="268" t="str">
        <f t="shared" si="128"/>
        <v/>
      </c>
      <c r="BU110" s="268" t="str">
        <f t="shared" si="82"/>
        <v/>
      </c>
      <c r="BV110" s="247">
        <v>2.14</v>
      </c>
      <c r="BW110" s="729">
        <f t="shared" si="108"/>
        <v>53504.28</v>
      </c>
      <c r="BX110" s="730">
        <f t="shared" si="109"/>
        <v>414658.17</v>
      </c>
      <c r="BY110" s="731" t="str">
        <f t="shared" si="105"/>
        <v>SR</v>
      </c>
    </row>
    <row r="111" s="698" customFormat="1" customHeight="1" spans="1:77">
      <c r="A111" s="208">
        <v>46013</v>
      </c>
      <c r="B111" s="208">
        <v>46058</v>
      </c>
      <c r="C111" s="211" t="s">
        <v>359</v>
      </c>
      <c r="D111" s="211" t="s">
        <v>360</v>
      </c>
      <c r="E111" s="211" t="s">
        <v>43</v>
      </c>
      <c r="F111" s="732">
        <v>30000</v>
      </c>
      <c r="G111" s="211" t="s">
        <v>270</v>
      </c>
      <c r="H111" s="211" t="str">
        <f>IFERROR(VLOOKUP(E111,名称!A:E,4,0),"")</f>
        <v>二代</v>
      </c>
      <c r="I111" s="268" t="str">
        <f t="shared" ref="I111:BT111" si="129">IF(OR($E111="",I$1=""),"",IF(TRIM(LEFT($E111,MIN(IFERROR(FIND("CDU",UPPER($E111)),999),IFERROR(FIND("BULK",UPPER($E111)),999),IFERROR(FIND("-",$E111),999),IFERROR(FIND("（",$E111),999))-1))=I$1,$F111,""))</f>
        <v/>
      </c>
      <c r="J111" s="268" t="str">
        <f t="shared" si="129"/>
        <v/>
      </c>
      <c r="K111" s="268" t="str">
        <f t="shared" si="129"/>
        <v/>
      </c>
      <c r="L111" s="268" t="str">
        <f t="shared" si="129"/>
        <v/>
      </c>
      <c r="M111" s="268" t="str">
        <f t="shared" si="129"/>
        <v/>
      </c>
      <c r="N111" s="268">
        <f t="shared" si="129"/>
        <v>30000</v>
      </c>
      <c r="O111" s="268" t="str">
        <f t="shared" si="129"/>
        <v/>
      </c>
      <c r="P111" s="268" t="str">
        <f t="shared" si="129"/>
        <v/>
      </c>
      <c r="Q111" s="268" t="str">
        <f t="shared" si="129"/>
        <v/>
      </c>
      <c r="R111" s="268" t="str">
        <f t="shared" si="129"/>
        <v/>
      </c>
      <c r="S111" s="268" t="str">
        <f t="shared" si="129"/>
        <v/>
      </c>
      <c r="T111" s="268" t="str">
        <f t="shared" si="129"/>
        <v/>
      </c>
      <c r="U111" s="268" t="str">
        <f t="shared" si="129"/>
        <v/>
      </c>
      <c r="V111" s="268" t="str">
        <f t="shared" si="129"/>
        <v/>
      </c>
      <c r="W111" s="268" t="str">
        <f t="shared" si="129"/>
        <v/>
      </c>
      <c r="X111" s="268" t="str">
        <f t="shared" si="129"/>
        <v/>
      </c>
      <c r="Y111" s="268" t="str">
        <f t="shared" si="129"/>
        <v/>
      </c>
      <c r="Z111" s="268" t="str">
        <f t="shared" si="129"/>
        <v/>
      </c>
      <c r="AA111" s="268" t="str">
        <f t="shared" si="129"/>
        <v/>
      </c>
      <c r="AB111" s="268" t="str">
        <f t="shared" si="129"/>
        <v/>
      </c>
      <c r="AC111" s="268" t="str">
        <f t="shared" si="129"/>
        <v/>
      </c>
      <c r="AD111" s="268" t="str">
        <f t="shared" si="129"/>
        <v/>
      </c>
      <c r="AE111" s="268" t="str">
        <f t="shared" si="129"/>
        <v/>
      </c>
      <c r="AF111" s="268" t="str">
        <f t="shared" si="129"/>
        <v/>
      </c>
      <c r="AG111" s="268" t="str">
        <f t="shared" si="129"/>
        <v/>
      </c>
      <c r="AH111" s="268" t="str">
        <f t="shared" si="129"/>
        <v/>
      </c>
      <c r="AI111" s="268" t="str">
        <f t="shared" si="129"/>
        <v/>
      </c>
      <c r="AJ111" s="268" t="str">
        <f t="shared" si="129"/>
        <v/>
      </c>
      <c r="AK111" s="268" t="str">
        <f t="shared" si="129"/>
        <v/>
      </c>
      <c r="AL111" s="268" t="str">
        <f t="shared" si="129"/>
        <v/>
      </c>
      <c r="AM111" s="268" t="str">
        <f t="shared" si="129"/>
        <v/>
      </c>
      <c r="AN111" s="268" t="str">
        <f t="shared" si="129"/>
        <v/>
      </c>
      <c r="AO111" s="268" t="str">
        <f t="shared" si="129"/>
        <v/>
      </c>
      <c r="AP111" s="268" t="str">
        <f t="shared" si="129"/>
        <v/>
      </c>
      <c r="AQ111" s="268" t="str">
        <f t="shared" si="129"/>
        <v/>
      </c>
      <c r="AR111" s="268" t="str">
        <f t="shared" si="129"/>
        <v/>
      </c>
      <c r="AS111" s="268" t="str">
        <f t="shared" si="129"/>
        <v/>
      </c>
      <c r="AT111" s="268" t="str">
        <f t="shared" si="129"/>
        <v/>
      </c>
      <c r="AU111" s="268" t="str">
        <f t="shared" si="129"/>
        <v/>
      </c>
      <c r="AV111" s="268" t="str">
        <f t="shared" si="129"/>
        <v/>
      </c>
      <c r="AW111" s="268" t="str">
        <f t="shared" si="129"/>
        <v/>
      </c>
      <c r="AX111" s="268" t="str">
        <f t="shared" si="129"/>
        <v/>
      </c>
      <c r="AY111" s="268" t="str">
        <f t="shared" si="129"/>
        <v/>
      </c>
      <c r="AZ111" s="268" t="str">
        <f t="shared" si="129"/>
        <v/>
      </c>
      <c r="BA111" s="268" t="str">
        <f t="shared" si="129"/>
        <v/>
      </c>
      <c r="BB111" s="268" t="str">
        <f t="shared" si="129"/>
        <v/>
      </c>
      <c r="BC111" s="268" t="str">
        <f t="shared" si="129"/>
        <v/>
      </c>
      <c r="BD111" s="268" t="str">
        <f t="shared" si="129"/>
        <v/>
      </c>
      <c r="BE111" s="268" t="str">
        <f t="shared" si="129"/>
        <v/>
      </c>
      <c r="BF111" s="268" t="str">
        <f t="shared" si="129"/>
        <v/>
      </c>
      <c r="BG111" s="268" t="str">
        <f t="shared" si="129"/>
        <v/>
      </c>
      <c r="BH111" s="268" t="str">
        <f t="shared" si="129"/>
        <v/>
      </c>
      <c r="BI111" s="268" t="str">
        <f t="shared" si="129"/>
        <v/>
      </c>
      <c r="BJ111" s="268" t="str">
        <f t="shared" si="129"/>
        <v/>
      </c>
      <c r="BK111" s="268" t="str">
        <f t="shared" si="129"/>
        <v/>
      </c>
      <c r="BL111" s="268" t="str">
        <f t="shared" si="129"/>
        <v/>
      </c>
      <c r="BM111" s="268" t="str">
        <f t="shared" si="129"/>
        <v/>
      </c>
      <c r="BN111" s="268" t="str">
        <f t="shared" si="129"/>
        <v/>
      </c>
      <c r="BO111" s="268" t="str">
        <f t="shared" si="129"/>
        <v/>
      </c>
      <c r="BP111" s="268" t="str">
        <f t="shared" si="129"/>
        <v/>
      </c>
      <c r="BQ111" s="268" t="str">
        <f t="shared" si="129"/>
        <v/>
      </c>
      <c r="BR111" s="268" t="str">
        <f t="shared" si="129"/>
        <v/>
      </c>
      <c r="BS111" s="268" t="str">
        <f t="shared" si="129"/>
        <v/>
      </c>
      <c r="BT111" s="268" t="str">
        <f t="shared" si="129"/>
        <v/>
      </c>
      <c r="BU111" s="268" t="str">
        <f t="shared" si="82"/>
        <v/>
      </c>
      <c r="BV111" s="247">
        <v>0.61</v>
      </c>
      <c r="BW111" s="729">
        <f t="shared" si="108"/>
        <v>18300</v>
      </c>
      <c r="BX111" s="730">
        <f t="shared" si="109"/>
        <v>141825</v>
      </c>
      <c r="BY111" s="731" t="str">
        <f t="shared" si="105"/>
        <v>SR</v>
      </c>
    </row>
    <row r="112" s="698" customFormat="1" customHeight="1" spans="1:77">
      <c r="A112" s="208">
        <v>46013</v>
      </c>
      <c r="B112" s="208">
        <v>46058</v>
      </c>
      <c r="C112" s="211" t="s">
        <v>361</v>
      </c>
      <c r="D112" s="211" t="s">
        <v>362</v>
      </c>
      <c r="E112" s="211" t="s">
        <v>43</v>
      </c>
      <c r="F112" s="732">
        <v>25008</v>
      </c>
      <c r="G112" s="211" t="s">
        <v>270</v>
      </c>
      <c r="H112" s="211" t="str">
        <f>IFERROR(VLOOKUP(E112,名称!A:E,4,0),"")</f>
        <v>二代</v>
      </c>
      <c r="I112" s="268" t="str">
        <f t="shared" ref="I112:BT112" si="130">IF(OR($E112="",I$1=""),"",IF(TRIM(LEFT($E112,MIN(IFERROR(FIND("CDU",UPPER($E112)),999),IFERROR(FIND("BULK",UPPER($E112)),999),IFERROR(FIND("-",$E112),999),IFERROR(FIND("（",$E112),999))-1))=I$1,$F112,""))</f>
        <v/>
      </c>
      <c r="J112" s="268" t="str">
        <f t="shared" si="130"/>
        <v/>
      </c>
      <c r="K112" s="268" t="str">
        <f t="shared" si="130"/>
        <v/>
      </c>
      <c r="L112" s="268" t="str">
        <f t="shared" si="130"/>
        <v/>
      </c>
      <c r="M112" s="268" t="str">
        <f t="shared" si="130"/>
        <v/>
      </c>
      <c r="N112" s="268">
        <f t="shared" si="130"/>
        <v>25008</v>
      </c>
      <c r="O112" s="268" t="str">
        <f t="shared" si="130"/>
        <v/>
      </c>
      <c r="P112" s="268" t="str">
        <f t="shared" si="130"/>
        <v/>
      </c>
      <c r="Q112" s="268" t="str">
        <f t="shared" si="130"/>
        <v/>
      </c>
      <c r="R112" s="268" t="str">
        <f t="shared" si="130"/>
        <v/>
      </c>
      <c r="S112" s="268" t="str">
        <f t="shared" si="130"/>
        <v/>
      </c>
      <c r="T112" s="268" t="str">
        <f t="shared" si="130"/>
        <v/>
      </c>
      <c r="U112" s="268" t="str">
        <f t="shared" si="130"/>
        <v/>
      </c>
      <c r="V112" s="268" t="str">
        <f t="shared" si="130"/>
        <v/>
      </c>
      <c r="W112" s="268" t="str">
        <f t="shared" si="130"/>
        <v/>
      </c>
      <c r="X112" s="268" t="str">
        <f t="shared" si="130"/>
        <v/>
      </c>
      <c r="Y112" s="268" t="str">
        <f t="shared" si="130"/>
        <v/>
      </c>
      <c r="Z112" s="268" t="str">
        <f t="shared" si="130"/>
        <v/>
      </c>
      <c r="AA112" s="268" t="str">
        <f t="shared" si="130"/>
        <v/>
      </c>
      <c r="AB112" s="268" t="str">
        <f t="shared" si="130"/>
        <v/>
      </c>
      <c r="AC112" s="268" t="str">
        <f t="shared" si="130"/>
        <v/>
      </c>
      <c r="AD112" s="268" t="str">
        <f t="shared" si="130"/>
        <v/>
      </c>
      <c r="AE112" s="268" t="str">
        <f t="shared" si="130"/>
        <v/>
      </c>
      <c r="AF112" s="268" t="str">
        <f t="shared" si="130"/>
        <v/>
      </c>
      <c r="AG112" s="268" t="str">
        <f t="shared" si="130"/>
        <v/>
      </c>
      <c r="AH112" s="268" t="str">
        <f t="shared" si="130"/>
        <v/>
      </c>
      <c r="AI112" s="268" t="str">
        <f t="shared" si="130"/>
        <v/>
      </c>
      <c r="AJ112" s="268" t="str">
        <f t="shared" si="130"/>
        <v/>
      </c>
      <c r="AK112" s="268" t="str">
        <f t="shared" si="130"/>
        <v/>
      </c>
      <c r="AL112" s="268" t="str">
        <f t="shared" si="130"/>
        <v/>
      </c>
      <c r="AM112" s="268" t="str">
        <f t="shared" si="130"/>
        <v/>
      </c>
      <c r="AN112" s="268" t="str">
        <f t="shared" si="130"/>
        <v/>
      </c>
      <c r="AO112" s="268" t="str">
        <f t="shared" si="130"/>
        <v/>
      </c>
      <c r="AP112" s="268" t="str">
        <f t="shared" si="130"/>
        <v/>
      </c>
      <c r="AQ112" s="268" t="str">
        <f t="shared" si="130"/>
        <v/>
      </c>
      <c r="AR112" s="268" t="str">
        <f t="shared" si="130"/>
        <v/>
      </c>
      <c r="AS112" s="268" t="str">
        <f t="shared" si="130"/>
        <v/>
      </c>
      <c r="AT112" s="268" t="str">
        <f t="shared" si="130"/>
        <v/>
      </c>
      <c r="AU112" s="268" t="str">
        <f t="shared" si="130"/>
        <v/>
      </c>
      <c r="AV112" s="268" t="str">
        <f t="shared" si="130"/>
        <v/>
      </c>
      <c r="AW112" s="268" t="str">
        <f t="shared" si="130"/>
        <v/>
      </c>
      <c r="AX112" s="268" t="str">
        <f t="shared" si="130"/>
        <v/>
      </c>
      <c r="AY112" s="268" t="str">
        <f t="shared" si="130"/>
        <v/>
      </c>
      <c r="AZ112" s="268" t="str">
        <f t="shared" si="130"/>
        <v/>
      </c>
      <c r="BA112" s="268" t="str">
        <f t="shared" si="130"/>
        <v/>
      </c>
      <c r="BB112" s="268" t="str">
        <f t="shared" si="130"/>
        <v/>
      </c>
      <c r="BC112" s="268" t="str">
        <f t="shared" si="130"/>
        <v/>
      </c>
      <c r="BD112" s="268" t="str">
        <f t="shared" si="130"/>
        <v/>
      </c>
      <c r="BE112" s="268" t="str">
        <f t="shared" si="130"/>
        <v/>
      </c>
      <c r="BF112" s="268" t="str">
        <f t="shared" si="130"/>
        <v/>
      </c>
      <c r="BG112" s="268" t="str">
        <f t="shared" si="130"/>
        <v/>
      </c>
      <c r="BH112" s="268" t="str">
        <f t="shared" si="130"/>
        <v/>
      </c>
      <c r="BI112" s="268" t="str">
        <f t="shared" si="130"/>
        <v/>
      </c>
      <c r="BJ112" s="268" t="str">
        <f t="shared" si="130"/>
        <v/>
      </c>
      <c r="BK112" s="268" t="str">
        <f t="shared" si="130"/>
        <v/>
      </c>
      <c r="BL112" s="268" t="str">
        <f t="shared" si="130"/>
        <v/>
      </c>
      <c r="BM112" s="268" t="str">
        <f t="shared" si="130"/>
        <v/>
      </c>
      <c r="BN112" s="268" t="str">
        <f t="shared" si="130"/>
        <v/>
      </c>
      <c r="BO112" s="268" t="str">
        <f t="shared" si="130"/>
        <v/>
      </c>
      <c r="BP112" s="268" t="str">
        <f t="shared" si="130"/>
        <v/>
      </c>
      <c r="BQ112" s="268" t="str">
        <f t="shared" si="130"/>
        <v/>
      </c>
      <c r="BR112" s="268" t="str">
        <f t="shared" si="130"/>
        <v/>
      </c>
      <c r="BS112" s="268" t="str">
        <f t="shared" si="130"/>
        <v/>
      </c>
      <c r="BT112" s="268" t="str">
        <f t="shared" si="130"/>
        <v/>
      </c>
      <c r="BU112" s="268" t="str">
        <f t="shared" si="82"/>
        <v/>
      </c>
      <c r="BV112" s="247">
        <v>0.61</v>
      </c>
      <c r="BW112" s="729">
        <f t="shared" si="108"/>
        <v>15254.88</v>
      </c>
      <c r="BX112" s="730">
        <f t="shared" si="109"/>
        <v>118225.32</v>
      </c>
      <c r="BY112" s="731" t="str">
        <f t="shared" si="105"/>
        <v>SR</v>
      </c>
    </row>
    <row r="113" s="698" customFormat="1" customHeight="1" spans="1:77">
      <c r="A113" s="208">
        <v>46013</v>
      </c>
      <c r="B113" s="208">
        <v>46086</v>
      </c>
      <c r="C113" s="211" t="s">
        <v>363</v>
      </c>
      <c r="D113" s="211" t="s">
        <v>364</v>
      </c>
      <c r="E113" s="211" t="s">
        <v>43</v>
      </c>
      <c r="F113" s="732">
        <v>25008</v>
      </c>
      <c r="G113" s="211" t="s">
        <v>270</v>
      </c>
      <c r="H113" s="211" t="str">
        <f>IFERROR(VLOOKUP(E113,名称!A:E,4,0),"")</f>
        <v>二代</v>
      </c>
      <c r="I113" s="268" t="str">
        <f t="shared" ref="I113:BT113" si="131">IF(OR($E113="",I$1=""),"",IF(TRIM(LEFT($E113,MIN(IFERROR(FIND("CDU",UPPER($E113)),999),IFERROR(FIND("BULK",UPPER($E113)),999),IFERROR(FIND("-",$E113),999),IFERROR(FIND("（",$E113),999))-1))=I$1,$F113,""))</f>
        <v/>
      </c>
      <c r="J113" s="268" t="str">
        <f t="shared" si="131"/>
        <v/>
      </c>
      <c r="K113" s="268" t="str">
        <f t="shared" si="131"/>
        <v/>
      </c>
      <c r="L113" s="268" t="str">
        <f t="shared" si="131"/>
        <v/>
      </c>
      <c r="M113" s="268" t="str">
        <f t="shared" si="131"/>
        <v/>
      </c>
      <c r="N113" s="268">
        <f t="shared" si="131"/>
        <v>25008</v>
      </c>
      <c r="O113" s="268" t="str">
        <f t="shared" si="131"/>
        <v/>
      </c>
      <c r="P113" s="268" t="str">
        <f t="shared" si="131"/>
        <v/>
      </c>
      <c r="Q113" s="268" t="str">
        <f t="shared" si="131"/>
        <v/>
      </c>
      <c r="R113" s="268" t="str">
        <f t="shared" si="131"/>
        <v/>
      </c>
      <c r="S113" s="268" t="str">
        <f t="shared" si="131"/>
        <v/>
      </c>
      <c r="T113" s="268" t="str">
        <f t="shared" si="131"/>
        <v/>
      </c>
      <c r="U113" s="268" t="str">
        <f t="shared" si="131"/>
        <v/>
      </c>
      <c r="V113" s="268" t="str">
        <f t="shared" si="131"/>
        <v/>
      </c>
      <c r="W113" s="268" t="str">
        <f t="shared" si="131"/>
        <v/>
      </c>
      <c r="X113" s="268" t="str">
        <f t="shared" si="131"/>
        <v/>
      </c>
      <c r="Y113" s="268" t="str">
        <f t="shared" si="131"/>
        <v/>
      </c>
      <c r="Z113" s="268" t="str">
        <f t="shared" si="131"/>
        <v/>
      </c>
      <c r="AA113" s="268" t="str">
        <f t="shared" si="131"/>
        <v/>
      </c>
      <c r="AB113" s="268" t="str">
        <f t="shared" si="131"/>
        <v/>
      </c>
      <c r="AC113" s="268" t="str">
        <f t="shared" si="131"/>
        <v/>
      </c>
      <c r="AD113" s="268" t="str">
        <f t="shared" si="131"/>
        <v/>
      </c>
      <c r="AE113" s="268" t="str">
        <f t="shared" si="131"/>
        <v/>
      </c>
      <c r="AF113" s="268" t="str">
        <f t="shared" si="131"/>
        <v/>
      </c>
      <c r="AG113" s="268" t="str">
        <f t="shared" si="131"/>
        <v/>
      </c>
      <c r="AH113" s="268" t="str">
        <f t="shared" si="131"/>
        <v/>
      </c>
      <c r="AI113" s="268" t="str">
        <f t="shared" si="131"/>
        <v/>
      </c>
      <c r="AJ113" s="268" t="str">
        <f t="shared" si="131"/>
        <v/>
      </c>
      <c r="AK113" s="268" t="str">
        <f t="shared" si="131"/>
        <v/>
      </c>
      <c r="AL113" s="268" t="str">
        <f t="shared" si="131"/>
        <v/>
      </c>
      <c r="AM113" s="268" t="str">
        <f t="shared" si="131"/>
        <v/>
      </c>
      <c r="AN113" s="268" t="str">
        <f t="shared" si="131"/>
        <v/>
      </c>
      <c r="AO113" s="268" t="str">
        <f t="shared" si="131"/>
        <v/>
      </c>
      <c r="AP113" s="268" t="str">
        <f t="shared" si="131"/>
        <v/>
      </c>
      <c r="AQ113" s="268" t="str">
        <f t="shared" si="131"/>
        <v/>
      </c>
      <c r="AR113" s="268" t="str">
        <f t="shared" si="131"/>
        <v/>
      </c>
      <c r="AS113" s="268" t="str">
        <f t="shared" si="131"/>
        <v/>
      </c>
      <c r="AT113" s="268" t="str">
        <f t="shared" si="131"/>
        <v/>
      </c>
      <c r="AU113" s="268" t="str">
        <f t="shared" si="131"/>
        <v/>
      </c>
      <c r="AV113" s="268" t="str">
        <f t="shared" si="131"/>
        <v/>
      </c>
      <c r="AW113" s="268" t="str">
        <f t="shared" si="131"/>
        <v/>
      </c>
      <c r="AX113" s="268" t="str">
        <f t="shared" si="131"/>
        <v/>
      </c>
      <c r="AY113" s="268" t="str">
        <f t="shared" si="131"/>
        <v/>
      </c>
      <c r="AZ113" s="268" t="str">
        <f t="shared" si="131"/>
        <v/>
      </c>
      <c r="BA113" s="268" t="str">
        <f t="shared" si="131"/>
        <v/>
      </c>
      <c r="BB113" s="268" t="str">
        <f t="shared" si="131"/>
        <v/>
      </c>
      <c r="BC113" s="268" t="str">
        <f t="shared" si="131"/>
        <v/>
      </c>
      <c r="BD113" s="268" t="str">
        <f t="shared" si="131"/>
        <v/>
      </c>
      <c r="BE113" s="268" t="str">
        <f t="shared" si="131"/>
        <v/>
      </c>
      <c r="BF113" s="268" t="str">
        <f t="shared" si="131"/>
        <v/>
      </c>
      <c r="BG113" s="268" t="str">
        <f t="shared" si="131"/>
        <v/>
      </c>
      <c r="BH113" s="268" t="str">
        <f t="shared" si="131"/>
        <v/>
      </c>
      <c r="BI113" s="268" t="str">
        <f t="shared" si="131"/>
        <v/>
      </c>
      <c r="BJ113" s="268" t="str">
        <f t="shared" si="131"/>
        <v/>
      </c>
      <c r="BK113" s="268" t="str">
        <f t="shared" si="131"/>
        <v/>
      </c>
      <c r="BL113" s="268" t="str">
        <f t="shared" si="131"/>
        <v/>
      </c>
      <c r="BM113" s="268" t="str">
        <f t="shared" si="131"/>
        <v/>
      </c>
      <c r="BN113" s="268" t="str">
        <f t="shared" si="131"/>
        <v/>
      </c>
      <c r="BO113" s="268" t="str">
        <f t="shared" si="131"/>
        <v/>
      </c>
      <c r="BP113" s="268" t="str">
        <f t="shared" si="131"/>
        <v/>
      </c>
      <c r="BQ113" s="268" t="str">
        <f t="shared" si="131"/>
        <v/>
      </c>
      <c r="BR113" s="268" t="str">
        <f t="shared" si="131"/>
        <v/>
      </c>
      <c r="BS113" s="268" t="str">
        <f t="shared" si="131"/>
        <v/>
      </c>
      <c r="BT113" s="268" t="str">
        <f t="shared" si="131"/>
        <v/>
      </c>
      <c r="BU113" s="268" t="str">
        <f t="shared" si="82"/>
        <v/>
      </c>
      <c r="BV113" s="247">
        <v>0.61</v>
      </c>
      <c r="BW113" s="729">
        <f t="shared" si="108"/>
        <v>15254.88</v>
      </c>
      <c r="BX113" s="730">
        <f t="shared" si="109"/>
        <v>118225.32</v>
      </c>
      <c r="BY113" s="731" t="str">
        <f t="shared" si="105"/>
        <v>SR</v>
      </c>
    </row>
    <row r="114" s="698" customFormat="1" customHeight="1" spans="1:77">
      <c r="A114" s="208">
        <v>46013</v>
      </c>
      <c r="B114" s="208">
        <v>46058</v>
      </c>
      <c r="C114" s="211" t="s">
        <v>365</v>
      </c>
      <c r="D114" s="211" t="s">
        <v>366</v>
      </c>
      <c r="E114" s="211" t="s">
        <v>26</v>
      </c>
      <c r="F114" s="732">
        <v>5004</v>
      </c>
      <c r="G114" s="211" t="s">
        <v>270</v>
      </c>
      <c r="H114" s="211" t="str">
        <f>IFERROR(VLOOKUP(E114,名称!A:E,4,0),"")</f>
        <v>二代</v>
      </c>
      <c r="I114" s="268" t="str">
        <f t="shared" ref="I114:BT114" si="132">IF(OR($E114="",I$1=""),"",IF(TRIM(LEFT($E114,MIN(IFERROR(FIND("CDU",UPPER($E114)),999),IFERROR(FIND("BULK",UPPER($E114)),999),IFERROR(FIND("-",$E114),999),IFERROR(FIND("（",$E114),999))-1))=I$1,$F114,""))</f>
        <v/>
      </c>
      <c r="J114" s="268" t="str">
        <f t="shared" si="132"/>
        <v/>
      </c>
      <c r="K114" s="268" t="str">
        <f t="shared" si="132"/>
        <v/>
      </c>
      <c r="L114" s="268" t="str">
        <f t="shared" si="132"/>
        <v/>
      </c>
      <c r="M114" s="268" t="str">
        <f t="shared" si="132"/>
        <v/>
      </c>
      <c r="N114" s="268" t="str">
        <f t="shared" si="132"/>
        <v/>
      </c>
      <c r="O114" s="268" t="str">
        <f t="shared" si="132"/>
        <v/>
      </c>
      <c r="P114" s="268" t="str">
        <f t="shared" si="132"/>
        <v/>
      </c>
      <c r="Q114" s="268" t="str">
        <f t="shared" si="132"/>
        <v/>
      </c>
      <c r="R114" s="268" t="str">
        <f t="shared" si="132"/>
        <v/>
      </c>
      <c r="S114" s="268">
        <f t="shared" si="132"/>
        <v>5004</v>
      </c>
      <c r="T114" s="268" t="str">
        <f t="shared" si="132"/>
        <v/>
      </c>
      <c r="U114" s="268" t="str">
        <f t="shared" si="132"/>
        <v/>
      </c>
      <c r="V114" s="268" t="str">
        <f t="shared" si="132"/>
        <v/>
      </c>
      <c r="W114" s="268" t="str">
        <f t="shared" si="132"/>
        <v/>
      </c>
      <c r="X114" s="268" t="str">
        <f t="shared" si="132"/>
        <v/>
      </c>
      <c r="Y114" s="268" t="str">
        <f t="shared" si="132"/>
        <v/>
      </c>
      <c r="Z114" s="268" t="str">
        <f t="shared" si="132"/>
        <v/>
      </c>
      <c r="AA114" s="268" t="str">
        <f t="shared" si="132"/>
        <v/>
      </c>
      <c r="AB114" s="268" t="str">
        <f t="shared" si="132"/>
        <v/>
      </c>
      <c r="AC114" s="268" t="str">
        <f t="shared" si="132"/>
        <v/>
      </c>
      <c r="AD114" s="268" t="str">
        <f t="shared" si="132"/>
        <v/>
      </c>
      <c r="AE114" s="268" t="str">
        <f t="shared" si="132"/>
        <v/>
      </c>
      <c r="AF114" s="268" t="str">
        <f t="shared" si="132"/>
        <v/>
      </c>
      <c r="AG114" s="268" t="str">
        <f t="shared" si="132"/>
        <v/>
      </c>
      <c r="AH114" s="268" t="str">
        <f t="shared" si="132"/>
        <v/>
      </c>
      <c r="AI114" s="268" t="str">
        <f t="shared" si="132"/>
        <v/>
      </c>
      <c r="AJ114" s="268" t="str">
        <f t="shared" si="132"/>
        <v/>
      </c>
      <c r="AK114" s="268" t="str">
        <f t="shared" si="132"/>
        <v/>
      </c>
      <c r="AL114" s="268" t="str">
        <f t="shared" si="132"/>
        <v/>
      </c>
      <c r="AM114" s="268" t="str">
        <f t="shared" si="132"/>
        <v/>
      </c>
      <c r="AN114" s="268" t="str">
        <f t="shared" si="132"/>
        <v/>
      </c>
      <c r="AO114" s="268" t="str">
        <f t="shared" si="132"/>
        <v/>
      </c>
      <c r="AP114" s="268" t="str">
        <f t="shared" si="132"/>
        <v/>
      </c>
      <c r="AQ114" s="268" t="str">
        <f t="shared" si="132"/>
        <v/>
      </c>
      <c r="AR114" s="268" t="str">
        <f t="shared" si="132"/>
        <v/>
      </c>
      <c r="AS114" s="268" t="str">
        <f t="shared" si="132"/>
        <v/>
      </c>
      <c r="AT114" s="268" t="str">
        <f t="shared" si="132"/>
        <v/>
      </c>
      <c r="AU114" s="268" t="str">
        <f t="shared" si="132"/>
        <v/>
      </c>
      <c r="AV114" s="268" t="str">
        <f t="shared" si="132"/>
        <v/>
      </c>
      <c r="AW114" s="268" t="str">
        <f t="shared" si="132"/>
        <v/>
      </c>
      <c r="AX114" s="268" t="str">
        <f t="shared" si="132"/>
        <v/>
      </c>
      <c r="AY114" s="268" t="str">
        <f t="shared" si="132"/>
        <v/>
      </c>
      <c r="AZ114" s="268" t="str">
        <f t="shared" si="132"/>
        <v/>
      </c>
      <c r="BA114" s="268" t="str">
        <f t="shared" si="132"/>
        <v/>
      </c>
      <c r="BB114" s="268" t="str">
        <f t="shared" si="132"/>
        <v/>
      </c>
      <c r="BC114" s="268" t="str">
        <f t="shared" si="132"/>
        <v/>
      </c>
      <c r="BD114" s="268" t="str">
        <f t="shared" si="132"/>
        <v/>
      </c>
      <c r="BE114" s="268" t="str">
        <f t="shared" si="132"/>
        <v/>
      </c>
      <c r="BF114" s="268" t="str">
        <f t="shared" si="132"/>
        <v/>
      </c>
      <c r="BG114" s="268" t="str">
        <f t="shared" si="132"/>
        <v/>
      </c>
      <c r="BH114" s="268" t="str">
        <f t="shared" si="132"/>
        <v/>
      </c>
      <c r="BI114" s="268" t="str">
        <f t="shared" si="132"/>
        <v/>
      </c>
      <c r="BJ114" s="268" t="str">
        <f t="shared" si="132"/>
        <v/>
      </c>
      <c r="BK114" s="268" t="str">
        <f t="shared" si="132"/>
        <v/>
      </c>
      <c r="BL114" s="268" t="str">
        <f t="shared" si="132"/>
        <v/>
      </c>
      <c r="BM114" s="268" t="str">
        <f t="shared" si="132"/>
        <v/>
      </c>
      <c r="BN114" s="268" t="str">
        <f t="shared" si="132"/>
        <v/>
      </c>
      <c r="BO114" s="268" t="str">
        <f t="shared" si="132"/>
        <v/>
      </c>
      <c r="BP114" s="268" t="str">
        <f t="shared" si="132"/>
        <v/>
      </c>
      <c r="BQ114" s="268" t="str">
        <f t="shared" si="132"/>
        <v/>
      </c>
      <c r="BR114" s="268" t="str">
        <f t="shared" si="132"/>
        <v/>
      </c>
      <c r="BS114" s="268" t="str">
        <f t="shared" si="132"/>
        <v/>
      </c>
      <c r="BT114" s="268" t="str">
        <f t="shared" si="132"/>
        <v/>
      </c>
      <c r="BU114" s="268" t="str">
        <f t="shared" si="82"/>
        <v/>
      </c>
      <c r="BV114" s="247">
        <v>2.14</v>
      </c>
      <c r="BW114" s="729">
        <f t="shared" si="108"/>
        <v>10708.56</v>
      </c>
      <c r="BX114" s="730">
        <f t="shared" si="109"/>
        <v>82991.34</v>
      </c>
      <c r="BY114" s="731" t="str">
        <f t="shared" si="105"/>
        <v>SR</v>
      </c>
    </row>
    <row r="115" s="698" customFormat="1" customHeight="1" spans="1:77">
      <c r="A115" s="208">
        <v>46013</v>
      </c>
      <c r="B115" s="208">
        <v>46058</v>
      </c>
      <c r="C115" s="211" t="s">
        <v>367</v>
      </c>
      <c r="D115" s="211" t="s">
        <v>368</v>
      </c>
      <c r="E115" s="211" t="s">
        <v>26</v>
      </c>
      <c r="F115" s="732">
        <v>5004</v>
      </c>
      <c r="G115" s="211" t="s">
        <v>270</v>
      </c>
      <c r="H115" s="211" t="str">
        <f>IFERROR(VLOOKUP(E115,名称!A:E,4,0),"")</f>
        <v>二代</v>
      </c>
      <c r="I115" s="268" t="str">
        <f t="shared" ref="I115:BT115" si="133">IF(OR($E115="",I$1=""),"",IF(TRIM(LEFT($E115,MIN(IFERROR(FIND("CDU",UPPER($E115)),999),IFERROR(FIND("BULK",UPPER($E115)),999),IFERROR(FIND("-",$E115),999),IFERROR(FIND("（",$E115),999))-1))=I$1,$F115,""))</f>
        <v/>
      </c>
      <c r="J115" s="268" t="str">
        <f t="shared" si="133"/>
        <v/>
      </c>
      <c r="K115" s="268" t="str">
        <f t="shared" si="133"/>
        <v/>
      </c>
      <c r="L115" s="268" t="str">
        <f t="shared" si="133"/>
        <v/>
      </c>
      <c r="M115" s="268" t="str">
        <f t="shared" si="133"/>
        <v/>
      </c>
      <c r="N115" s="268" t="str">
        <f t="shared" si="133"/>
        <v/>
      </c>
      <c r="O115" s="268" t="str">
        <f t="shared" si="133"/>
        <v/>
      </c>
      <c r="P115" s="268" t="str">
        <f t="shared" si="133"/>
        <v/>
      </c>
      <c r="Q115" s="268" t="str">
        <f t="shared" si="133"/>
        <v/>
      </c>
      <c r="R115" s="268" t="str">
        <f t="shared" si="133"/>
        <v/>
      </c>
      <c r="S115" s="268">
        <f t="shared" si="133"/>
        <v>5004</v>
      </c>
      <c r="T115" s="268" t="str">
        <f t="shared" si="133"/>
        <v/>
      </c>
      <c r="U115" s="268" t="str">
        <f t="shared" si="133"/>
        <v/>
      </c>
      <c r="V115" s="268" t="str">
        <f t="shared" si="133"/>
        <v/>
      </c>
      <c r="W115" s="268" t="str">
        <f t="shared" si="133"/>
        <v/>
      </c>
      <c r="X115" s="268" t="str">
        <f t="shared" si="133"/>
        <v/>
      </c>
      <c r="Y115" s="268" t="str">
        <f t="shared" si="133"/>
        <v/>
      </c>
      <c r="Z115" s="268" t="str">
        <f t="shared" si="133"/>
        <v/>
      </c>
      <c r="AA115" s="268" t="str">
        <f t="shared" si="133"/>
        <v/>
      </c>
      <c r="AB115" s="268" t="str">
        <f t="shared" si="133"/>
        <v/>
      </c>
      <c r="AC115" s="268" t="str">
        <f t="shared" si="133"/>
        <v/>
      </c>
      <c r="AD115" s="268" t="str">
        <f t="shared" si="133"/>
        <v/>
      </c>
      <c r="AE115" s="268" t="str">
        <f t="shared" si="133"/>
        <v/>
      </c>
      <c r="AF115" s="268" t="str">
        <f t="shared" si="133"/>
        <v/>
      </c>
      <c r="AG115" s="268" t="str">
        <f t="shared" si="133"/>
        <v/>
      </c>
      <c r="AH115" s="268" t="str">
        <f t="shared" si="133"/>
        <v/>
      </c>
      <c r="AI115" s="268" t="str">
        <f t="shared" si="133"/>
        <v/>
      </c>
      <c r="AJ115" s="268" t="str">
        <f t="shared" si="133"/>
        <v/>
      </c>
      <c r="AK115" s="268" t="str">
        <f t="shared" si="133"/>
        <v/>
      </c>
      <c r="AL115" s="268" t="str">
        <f t="shared" si="133"/>
        <v/>
      </c>
      <c r="AM115" s="268" t="str">
        <f t="shared" si="133"/>
        <v/>
      </c>
      <c r="AN115" s="268" t="str">
        <f t="shared" si="133"/>
        <v/>
      </c>
      <c r="AO115" s="268" t="str">
        <f t="shared" si="133"/>
        <v/>
      </c>
      <c r="AP115" s="268" t="str">
        <f t="shared" si="133"/>
        <v/>
      </c>
      <c r="AQ115" s="268" t="str">
        <f t="shared" si="133"/>
        <v/>
      </c>
      <c r="AR115" s="268" t="str">
        <f t="shared" si="133"/>
        <v/>
      </c>
      <c r="AS115" s="268" t="str">
        <f t="shared" si="133"/>
        <v/>
      </c>
      <c r="AT115" s="268" t="str">
        <f t="shared" si="133"/>
        <v/>
      </c>
      <c r="AU115" s="268" t="str">
        <f t="shared" si="133"/>
        <v/>
      </c>
      <c r="AV115" s="268" t="str">
        <f t="shared" si="133"/>
        <v/>
      </c>
      <c r="AW115" s="268" t="str">
        <f t="shared" si="133"/>
        <v/>
      </c>
      <c r="AX115" s="268" t="str">
        <f t="shared" si="133"/>
        <v/>
      </c>
      <c r="AY115" s="268" t="str">
        <f t="shared" si="133"/>
        <v/>
      </c>
      <c r="AZ115" s="268" t="str">
        <f t="shared" si="133"/>
        <v/>
      </c>
      <c r="BA115" s="268" t="str">
        <f t="shared" si="133"/>
        <v/>
      </c>
      <c r="BB115" s="268" t="str">
        <f t="shared" si="133"/>
        <v/>
      </c>
      <c r="BC115" s="268" t="str">
        <f t="shared" si="133"/>
        <v/>
      </c>
      <c r="BD115" s="268" t="str">
        <f t="shared" si="133"/>
        <v/>
      </c>
      <c r="BE115" s="268" t="str">
        <f t="shared" si="133"/>
        <v/>
      </c>
      <c r="BF115" s="268" t="str">
        <f t="shared" si="133"/>
        <v/>
      </c>
      <c r="BG115" s="268" t="str">
        <f t="shared" si="133"/>
        <v/>
      </c>
      <c r="BH115" s="268" t="str">
        <f t="shared" si="133"/>
        <v/>
      </c>
      <c r="BI115" s="268" t="str">
        <f t="shared" si="133"/>
        <v/>
      </c>
      <c r="BJ115" s="268" t="str">
        <f t="shared" si="133"/>
        <v/>
      </c>
      <c r="BK115" s="268" t="str">
        <f t="shared" si="133"/>
        <v/>
      </c>
      <c r="BL115" s="268" t="str">
        <f t="shared" si="133"/>
        <v/>
      </c>
      <c r="BM115" s="268" t="str">
        <f t="shared" si="133"/>
        <v/>
      </c>
      <c r="BN115" s="268" t="str">
        <f t="shared" si="133"/>
        <v/>
      </c>
      <c r="BO115" s="268" t="str">
        <f t="shared" si="133"/>
        <v/>
      </c>
      <c r="BP115" s="268" t="str">
        <f t="shared" si="133"/>
        <v/>
      </c>
      <c r="BQ115" s="268" t="str">
        <f t="shared" si="133"/>
        <v/>
      </c>
      <c r="BR115" s="268" t="str">
        <f t="shared" si="133"/>
        <v/>
      </c>
      <c r="BS115" s="268" t="str">
        <f t="shared" si="133"/>
        <v/>
      </c>
      <c r="BT115" s="268" t="str">
        <f t="shared" si="133"/>
        <v/>
      </c>
      <c r="BU115" s="268" t="str">
        <f t="shared" si="82"/>
        <v/>
      </c>
      <c r="BV115" s="247">
        <v>2.14</v>
      </c>
      <c r="BW115" s="729">
        <f t="shared" si="108"/>
        <v>10708.56</v>
      </c>
      <c r="BX115" s="730">
        <f t="shared" si="109"/>
        <v>82991.34</v>
      </c>
      <c r="BY115" s="731" t="str">
        <f t="shared" si="105"/>
        <v>SR</v>
      </c>
    </row>
    <row r="116" s="698" customFormat="1" customHeight="1" spans="1:77">
      <c r="A116" s="208">
        <v>46014</v>
      </c>
      <c r="B116" s="208">
        <v>46078</v>
      </c>
      <c r="C116" s="211" t="s">
        <v>369</v>
      </c>
      <c r="D116" s="211" t="s">
        <v>370</v>
      </c>
      <c r="E116" s="211" t="s">
        <v>44</v>
      </c>
      <c r="F116" s="732">
        <v>10008</v>
      </c>
      <c r="G116" s="211" t="s">
        <v>270</v>
      </c>
      <c r="H116" s="211" t="str">
        <f>IFERROR(VLOOKUP(E116,名称!A:E,4,0),"")</f>
        <v>二代</v>
      </c>
      <c r="I116" s="268" t="str">
        <f t="shared" ref="I116:BT116" si="134">IF(OR($E116="",I$1=""),"",IF(TRIM(LEFT($E116,MIN(IFERROR(FIND("CDU",UPPER($E116)),999),IFERROR(FIND("BULK",UPPER($E116)),999),IFERROR(FIND("-",$E116),999),IFERROR(FIND("（",$E116),999))-1))=I$1,$F116,""))</f>
        <v/>
      </c>
      <c r="J116" s="268" t="str">
        <f t="shared" si="134"/>
        <v/>
      </c>
      <c r="K116" s="268" t="str">
        <f t="shared" si="134"/>
        <v/>
      </c>
      <c r="L116" s="268" t="str">
        <f t="shared" si="134"/>
        <v/>
      </c>
      <c r="M116" s="268">
        <f t="shared" si="134"/>
        <v>10008</v>
      </c>
      <c r="N116" s="268" t="str">
        <f t="shared" si="134"/>
        <v/>
      </c>
      <c r="O116" s="268" t="str">
        <f t="shared" si="134"/>
        <v/>
      </c>
      <c r="P116" s="268" t="str">
        <f t="shared" si="134"/>
        <v/>
      </c>
      <c r="Q116" s="268" t="str">
        <f t="shared" si="134"/>
        <v/>
      </c>
      <c r="R116" s="268" t="str">
        <f t="shared" si="134"/>
        <v/>
      </c>
      <c r="S116" s="268" t="str">
        <f t="shared" si="134"/>
        <v/>
      </c>
      <c r="T116" s="268" t="str">
        <f t="shared" si="134"/>
        <v/>
      </c>
      <c r="U116" s="268" t="str">
        <f t="shared" si="134"/>
        <v/>
      </c>
      <c r="V116" s="268" t="str">
        <f t="shared" si="134"/>
        <v/>
      </c>
      <c r="W116" s="268" t="str">
        <f t="shared" si="134"/>
        <v/>
      </c>
      <c r="X116" s="268" t="str">
        <f t="shared" si="134"/>
        <v/>
      </c>
      <c r="Y116" s="268" t="str">
        <f t="shared" si="134"/>
        <v/>
      </c>
      <c r="Z116" s="268" t="str">
        <f t="shared" si="134"/>
        <v/>
      </c>
      <c r="AA116" s="268" t="str">
        <f t="shared" si="134"/>
        <v/>
      </c>
      <c r="AB116" s="268" t="str">
        <f t="shared" si="134"/>
        <v/>
      </c>
      <c r="AC116" s="268" t="str">
        <f t="shared" si="134"/>
        <v/>
      </c>
      <c r="AD116" s="268" t="str">
        <f t="shared" si="134"/>
        <v/>
      </c>
      <c r="AE116" s="268" t="str">
        <f t="shared" si="134"/>
        <v/>
      </c>
      <c r="AF116" s="268" t="str">
        <f t="shared" si="134"/>
        <v/>
      </c>
      <c r="AG116" s="268" t="str">
        <f t="shared" si="134"/>
        <v/>
      </c>
      <c r="AH116" s="268" t="str">
        <f t="shared" si="134"/>
        <v/>
      </c>
      <c r="AI116" s="268" t="str">
        <f t="shared" si="134"/>
        <v/>
      </c>
      <c r="AJ116" s="268" t="str">
        <f t="shared" si="134"/>
        <v/>
      </c>
      <c r="AK116" s="268" t="str">
        <f t="shared" si="134"/>
        <v/>
      </c>
      <c r="AL116" s="268" t="str">
        <f t="shared" si="134"/>
        <v/>
      </c>
      <c r="AM116" s="268" t="str">
        <f t="shared" si="134"/>
        <v/>
      </c>
      <c r="AN116" s="268" t="str">
        <f t="shared" si="134"/>
        <v/>
      </c>
      <c r="AO116" s="268" t="str">
        <f t="shared" si="134"/>
        <v/>
      </c>
      <c r="AP116" s="268" t="str">
        <f t="shared" si="134"/>
        <v/>
      </c>
      <c r="AQ116" s="268" t="str">
        <f t="shared" si="134"/>
        <v/>
      </c>
      <c r="AR116" s="268" t="str">
        <f t="shared" si="134"/>
        <v/>
      </c>
      <c r="AS116" s="268" t="str">
        <f t="shared" si="134"/>
        <v/>
      </c>
      <c r="AT116" s="268" t="str">
        <f t="shared" si="134"/>
        <v/>
      </c>
      <c r="AU116" s="268" t="str">
        <f t="shared" si="134"/>
        <v/>
      </c>
      <c r="AV116" s="268" t="str">
        <f t="shared" si="134"/>
        <v/>
      </c>
      <c r="AW116" s="268" t="str">
        <f t="shared" si="134"/>
        <v/>
      </c>
      <c r="AX116" s="268" t="str">
        <f t="shared" si="134"/>
        <v/>
      </c>
      <c r="AY116" s="268" t="str">
        <f t="shared" si="134"/>
        <v/>
      </c>
      <c r="AZ116" s="268" t="str">
        <f t="shared" si="134"/>
        <v/>
      </c>
      <c r="BA116" s="268" t="str">
        <f t="shared" si="134"/>
        <v/>
      </c>
      <c r="BB116" s="268" t="str">
        <f t="shared" si="134"/>
        <v/>
      </c>
      <c r="BC116" s="268" t="str">
        <f t="shared" si="134"/>
        <v/>
      </c>
      <c r="BD116" s="268" t="str">
        <f t="shared" si="134"/>
        <v/>
      </c>
      <c r="BE116" s="268" t="str">
        <f t="shared" si="134"/>
        <v/>
      </c>
      <c r="BF116" s="268" t="str">
        <f t="shared" si="134"/>
        <v/>
      </c>
      <c r="BG116" s="268" t="str">
        <f t="shared" si="134"/>
        <v/>
      </c>
      <c r="BH116" s="268" t="str">
        <f t="shared" si="134"/>
        <v/>
      </c>
      <c r="BI116" s="268" t="str">
        <f t="shared" si="134"/>
        <v/>
      </c>
      <c r="BJ116" s="268" t="str">
        <f t="shared" si="134"/>
        <v/>
      </c>
      <c r="BK116" s="268" t="str">
        <f t="shared" si="134"/>
        <v/>
      </c>
      <c r="BL116" s="268" t="str">
        <f t="shared" si="134"/>
        <v/>
      </c>
      <c r="BM116" s="268" t="str">
        <f t="shared" si="134"/>
        <v/>
      </c>
      <c r="BN116" s="268" t="str">
        <f t="shared" si="134"/>
        <v/>
      </c>
      <c r="BO116" s="268" t="str">
        <f t="shared" si="134"/>
        <v/>
      </c>
      <c r="BP116" s="268" t="str">
        <f t="shared" si="134"/>
        <v/>
      </c>
      <c r="BQ116" s="268" t="str">
        <f t="shared" si="134"/>
        <v/>
      </c>
      <c r="BR116" s="268" t="str">
        <f t="shared" si="134"/>
        <v/>
      </c>
      <c r="BS116" s="268" t="str">
        <f t="shared" si="134"/>
        <v/>
      </c>
      <c r="BT116" s="268" t="str">
        <f t="shared" si="134"/>
        <v/>
      </c>
      <c r="BU116" s="268" t="str">
        <f t="shared" si="82"/>
        <v/>
      </c>
      <c r="BV116" s="247">
        <v>0.61</v>
      </c>
      <c r="BW116" s="729">
        <f t="shared" si="108"/>
        <v>6104.88</v>
      </c>
      <c r="BX116" s="730">
        <f t="shared" si="109"/>
        <v>47312.82</v>
      </c>
      <c r="BY116" s="731" t="str">
        <f t="shared" si="105"/>
        <v>SR</v>
      </c>
    </row>
    <row r="117" s="698" customFormat="1" customHeight="1" spans="1:77">
      <c r="A117" s="208">
        <v>46014</v>
      </c>
      <c r="B117" s="208">
        <v>46078</v>
      </c>
      <c r="C117" s="211" t="s">
        <v>371</v>
      </c>
      <c r="D117" s="211" t="s">
        <v>372</v>
      </c>
      <c r="E117" s="211" t="s">
        <v>44</v>
      </c>
      <c r="F117" s="732">
        <v>10008</v>
      </c>
      <c r="G117" s="211" t="s">
        <v>270</v>
      </c>
      <c r="H117" s="211" t="str">
        <f>IFERROR(VLOOKUP(E117,名称!A:E,4,0),"")</f>
        <v>二代</v>
      </c>
      <c r="I117" s="268" t="str">
        <f t="shared" ref="I117:BT117" si="135">IF(OR($E117="",I$1=""),"",IF(TRIM(LEFT($E117,MIN(IFERROR(FIND("CDU",UPPER($E117)),999),IFERROR(FIND("BULK",UPPER($E117)),999),IFERROR(FIND("-",$E117),999),IFERROR(FIND("（",$E117),999))-1))=I$1,$F117,""))</f>
        <v/>
      </c>
      <c r="J117" s="268" t="str">
        <f t="shared" si="135"/>
        <v/>
      </c>
      <c r="K117" s="268" t="str">
        <f t="shared" si="135"/>
        <v/>
      </c>
      <c r="L117" s="268" t="str">
        <f t="shared" si="135"/>
        <v/>
      </c>
      <c r="M117" s="268">
        <f t="shared" si="135"/>
        <v>10008</v>
      </c>
      <c r="N117" s="268" t="str">
        <f t="shared" si="135"/>
        <v/>
      </c>
      <c r="O117" s="268" t="str">
        <f t="shared" si="135"/>
        <v/>
      </c>
      <c r="P117" s="268" t="str">
        <f t="shared" si="135"/>
        <v/>
      </c>
      <c r="Q117" s="268" t="str">
        <f t="shared" si="135"/>
        <v/>
      </c>
      <c r="R117" s="268" t="str">
        <f t="shared" si="135"/>
        <v/>
      </c>
      <c r="S117" s="268" t="str">
        <f t="shared" si="135"/>
        <v/>
      </c>
      <c r="T117" s="268" t="str">
        <f t="shared" si="135"/>
        <v/>
      </c>
      <c r="U117" s="268" t="str">
        <f t="shared" si="135"/>
        <v/>
      </c>
      <c r="V117" s="268" t="str">
        <f t="shared" si="135"/>
        <v/>
      </c>
      <c r="W117" s="268" t="str">
        <f t="shared" si="135"/>
        <v/>
      </c>
      <c r="X117" s="268" t="str">
        <f t="shared" si="135"/>
        <v/>
      </c>
      <c r="Y117" s="268" t="str">
        <f t="shared" si="135"/>
        <v/>
      </c>
      <c r="Z117" s="268" t="str">
        <f t="shared" si="135"/>
        <v/>
      </c>
      <c r="AA117" s="268" t="str">
        <f t="shared" si="135"/>
        <v/>
      </c>
      <c r="AB117" s="268" t="str">
        <f t="shared" si="135"/>
        <v/>
      </c>
      <c r="AC117" s="268" t="str">
        <f t="shared" si="135"/>
        <v/>
      </c>
      <c r="AD117" s="268" t="str">
        <f t="shared" si="135"/>
        <v/>
      </c>
      <c r="AE117" s="268" t="str">
        <f t="shared" si="135"/>
        <v/>
      </c>
      <c r="AF117" s="268" t="str">
        <f t="shared" si="135"/>
        <v/>
      </c>
      <c r="AG117" s="268" t="str">
        <f t="shared" si="135"/>
        <v/>
      </c>
      <c r="AH117" s="268" t="str">
        <f t="shared" si="135"/>
        <v/>
      </c>
      <c r="AI117" s="268" t="str">
        <f t="shared" si="135"/>
        <v/>
      </c>
      <c r="AJ117" s="268" t="str">
        <f t="shared" si="135"/>
        <v/>
      </c>
      <c r="AK117" s="268" t="str">
        <f t="shared" si="135"/>
        <v/>
      </c>
      <c r="AL117" s="268" t="str">
        <f t="shared" si="135"/>
        <v/>
      </c>
      <c r="AM117" s="268" t="str">
        <f t="shared" si="135"/>
        <v/>
      </c>
      <c r="AN117" s="268" t="str">
        <f t="shared" si="135"/>
        <v/>
      </c>
      <c r="AO117" s="268" t="str">
        <f t="shared" si="135"/>
        <v/>
      </c>
      <c r="AP117" s="268" t="str">
        <f t="shared" si="135"/>
        <v/>
      </c>
      <c r="AQ117" s="268" t="str">
        <f t="shared" si="135"/>
        <v/>
      </c>
      <c r="AR117" s="268" t="str">
        <f t="shared" si="135"/>
        <v/>
      </c>
      <c r="AS117" s="268" t="str">
        <f t="shared" si="135"/>
        <v/>
      </c>
      <c r="AT117" s="268" t="str">
        <f t="shared" si="135"/>
        <v/>
      </c>
      <c r="AU117" s="268" t="str">
        <f t="shared" si="135"/>
        <v/>
      </c>
      <c r="AV117" s="268" t="str">
        <f t="shared" si="135"/>
        <v/>
      </c>
      <c r="AW117" s="268" t="str">
        <f t="shared" si="135"/>
        <v/>
      </c>
      <c r="AX117" s="268" t="str">
        <f t="shared" si="135"/>
        <v/>
      </c>
      <c r="AY117" s="268" t="str">
        <f t="shared" si="135"/>
        <v/>
      </c>
      <c r="AZ117" s="268" t="str">
        <f t="shared" si="135"/>
        <v/>
      </c>
      <c r="BA117" s="268" t="str">
        <f t="shared" si="135"/>
        <v/>
      </c>
      <c r="BB117" s="268" t="str">
        <f t="shared" si="135"/>
        <v/>
      </c>
      <c r="BC117" s="268" t="str">
        <f t="shared" si="135"/>
        <v/>
      </c>
      <c r="BD117" s="268" t="str">
        <f t="shared" si="135"/>
        <v/>
      </c>
      <c r="BE117" s="268" t="str">
        <f t="shared" si="135"/>
        <v/>
      </c>
      <c r="BF117" s="268" t="str">
        <f t="shared" si="135"/>
        <v/>
      </c>
      <c r="BG117" s="268" t="str">
        <f t="shared" si="135"/>
        <v/>
      </c>
      <c r="BH117" s="268" t="str">
        <f t="shared" si="135"/>
        <v/>
      </c>
      <c r="BI117" s="268" t="str">
        <f t="shared" si="135"/>
        <v/>
      </c>
      <c r="BJ117" s="268" t="str">
        <f t="shared" si="135"/>
        <v/>
      </c>
      <c r="BK117" s="268" t="str">
        <f t="shared" si="135"/>
        <v/>
      </c>
      <c r="BL117" s="268" t="str">
        <f t="shared" si="135"/>
        <v/>
      </c>
      <c r="BM117" s="268" t="str">
        <f t="shared" si="135"/>
        <v/>
      </c>
      <c r="BN117" s="268" t="str">
        <f t="shared" si="135"/>
        <v/>
      </c>
      <c r="BO117" s="268" t="str">
        <f t="shared" si="135"/>
        <v/>
      </c>
      <c r="BP117" s="268" t="str">
        <f t="shared" si="135"/>
        <v/>
      </c>
      <c r="BQ117" s="268" t="str">
        <f t="shared" si="135"/>
        <v/>
      </c>
      <c r="BR117" s="268" t="str">
        <f t="shared" si="135"/>
        <v/>
      </c>
      <c r="BS117" s="268" t="str">
        <f t="shared" si="135"/>
        <v/>
      </c>
      <c r="BT117" s="268" t="str">
        <f t="shared" si="135"/>
        <v/>
      </c>
      <c r="BU117" s="268" t="str">
        <f t="shared" si="82"/>
        <v/>
      </c>
      <c r="BV117" s="247">
        <v>0.61</v>
      </c>
      <c r="BW117" s="729">
        <f t="shared" si="108"/>
        <v>6104.88</v>
      </c>
      <c r="BX117" s="730">
        <f t="shared" si="109"/>
        <v>47312.82</v>
      </c>
      <c r="BY117" s="731" t="str">
        <f t="shared" si="105"/>
        <v>SR</v>
      </c>
    </row>
    <row r="118" s="698" customFormat="1" customHeight="1" spans="1:77">
      <c r="A118" s="208">
        <v>46014</v>
      </c>
      <c r="B118" s="208">
        <v>46058</v>
      </c>
      <c r="C118" s="211" t="s">
        <v>373</v>
      </c>
      <c r="D118" s="211" t="s">
        <v>374</v>
      </c>
      <c r="E118" s="211" t="s">
        <v>44</v>
      </c>
      <c r="F118" s="732">
        <v>15000</v>
      </c>
      <c r="G118" s="211" t="s">
        <v>270</v>
      </c>
      <c r="H118" s="211" t="str">
        <f>IFERROR(VLOOKUP(E118,名称!A:E,4,0),"")</f>
        <v>二代</v>
      </c>
      <c r="I118" s="268" t="str">
        <f t="shared" ref="I118:BT118" si="136">IF(OR($E118="",I$1=""),"",IF(TRIM(LEFT($E118,MIN(IFERROR(FIND("CDU",UPPER($E118)),999),IFERROR(FIND("BULK",UPPER($E118)),999),IFERROR(FIND("-",$E118),999),IFERROR(FIND("（",$E118),999))-1))=I$1,$F118,""))</f>
        <v/>
      </c>
      <c r="J118" s="268" t="str">
        <f t="shared" si="136"/>
        <v/>
      </c>
      <c r="K118" s="268" t="str">
        <f t="shared" si="136"/>
        <v/>
      </c>
      <c r="L118" s="268" t="str">
        <f t="shared" si="136"/>
        <v/>
      </c>
      <c r="M118" s="268">
        <f t="shared" si="136"/>
        <v>15000</v>
      </c>
      <c r="N118" s="268" t="str">
        <f t="shared" si="136"/>
        <v/>
      </c>
      <c r="O118" s="268" t="str">
        <f t="shared" si="136"/>
        <v/>
      </c>
      <c r="P118" s="268" t="str">
        <f t="shared" si="136"/>
        <v/>
      </c>
      <c r="Q118" s="268" t="str">
        <f t="shared" si="136"/>
        <v/>
      </c>
      <c r="R118" s="268" t="str">
        <f t="shared" si="136"/>
        <v/>
      </c>
      <c r="S118" s="268" t="str">
        <f t="shared" si="136"/>
        <v/>
      </c>
      <c r="T118" s="268" t="str">
        <f t="shared" si="136"/>
        <v/>
      </c>
      <c r="U118" s="268" t="str">
        <f t="shared" si="136"/>
        <v/>
      </c>
      <c r="V118" s="268" t="str">
        <f t="shared" si="136"/>
        <v/>
      </c>
      <c r="W118" s="268" t="str">
        <f t="shared" si="136"/>
        <v/>
      </c>
      <c r="X118" s="268" t="str">
        <f t="shared" si="136"/>
        <v/>
      </c>
      <c r="Y118" s="268" t="str">
        <f t="shared" si="136"/>
        <v/>
      </c>
      <c r="Z118" s="268" t="str">
        <f t="shared" si="136"/>
        <v/>
      </c>
      <c r="AA118" s="268" t="str">
        <f t="shared" si="136"/>
        <v/>
      </c>
      <c r="AB118" s="268" t="str">
        <f t="shared" si="136"/>
        <v/>
      </c>
      <c r="AC118" s="268" t="str">
        <f t="shared" si="136"/>
        <v/>
      </c>
      <c r="AD118" s="268" t="str">
        <f t="shared" si="136"/>
        <v/>
      </c>
      <c r="AE118" s="268" t="str">
        <f t="shared" si="136"/>
        <v/>
      </c>
      <c r="AF118" s="268" t="str">
        <f t="shared" si="136"/>
        <v/>
      </c>
      <c r="AG118" s="268" t="str">
        <f t="shared" si="136"/>
        <v/>
      </c>
      <c r="AH118" s="268" t="str">
        <f t="shared" si="136"/>
        <v/>
      </c>
      <c r="AI118" s="268" t="str">
        <f t="shared" si="136"/>
        <v/>
      </c>
      <c r="AJ118" s="268" t="str">
        <f t="shared" si="136"/>
        <v/>
      </c>
      <c r="AK118" s="268" t="str">
        <f t="shared" si="136"/>
        <v/>
      </c>
      <c r="AL118" s="268" t="str">
        <f t="shared" si="136"/>
        <v/>
      </c>
      <c r="AM118" s="268" t="str">
        <f t="shared" si="136"/>
        <v/>
      </c>
      <c r="AN118" s="268" t="str">
        <f t="shared" si="136"/>
        <v/>
      </c>
      <c r="AO118" s="268" t="str">
        <f t="shared" si="136"/>
        <v/>
      </c>
      <c r="AP118" s="268" t="str">
        <f t="shared" si="136"/>
        <v/>
      </c>
      <c r="AQ118" s="268" t="str">
        <f t="shared" si="136"/>
        <v/>
      </c>
      <c r="AR118" s="268" t="str">
        <f t="shared" si="136"/>
        <v/>
      </c>
      <c r="AS118" s="268" t="str">
        <f t="shared" si="136"/>
        <v/>
      </c>
      <c r="AT118" s="268" t="str">
        <f t="shared" si="136"/>
        <v/>
      </c>
      <c r="AU118" s="268" t="str">
        <f t="shared" si="136"/>
        <v/>
      </c>
      <c r="AV118" s="268" t="str">
        <f t="shared" si="136"/>
        <v/>
      </c>
      <c r="AW118" s="268" t="str">
        <f t="shared" si="136"/>
        <v/>
      </c>
      <c r="AX118" s="268" t="str">
        <f t="shared" si="136"/>
        <v/>
      </c>
      <c r="AY118" s="268" t="str">
        <f t="shared" si="136"/>
        <v/>
      </c>
      <c r="AZ118" s="268" t="str">
        <f t="shared" si="136"/>
        <v/>
      </c>
      <c r="BA118" s="268" t="str">
        <f t="shared" si="136"/>
        <v/>
      </c>
      <c r="BB118" s="268" t="str">
        <f t="shared" si="136"/>
        <v/>
      </c>
      <c r="BC118" s="268" t="str">
        <f t="shared" si="136"/>
        <v/>
      </c>
      <c r="BD118" s="268" t="str">
        <f t="shared" si="136"/>
        <v/>
      </c>
      <c r="BE118" s="268" t="str">
        <f t="shared" si="136"/>
        <v/>
      </c>
      <c r="BF118" s="268" t="str">
        <f t="shared" si="136"/>
        <v/>
      </c>
      <c r="BG118" s="268" t="str">
        <f t="shared" si="136"/>
        <v/>
      </c>
      <c r="BH118" s="268" t="str">
        <f t="shared" si="136"/>
        <v/>
      </c>
      <c r="BI118" s="268" t="str">
        <f t="shared" si="136"/>
        <v/>
      </c>
      <c r="BJ118" s="268" t="str">
        <f t="shared" si="136"/>
        <v/>
      </c>
      <c r="BK118" s="268" t="str">
        <f t="shared" si="136"/>
        <v/>
      </c>
      <c r="BL118" s="268" t="str">
        <f t="shared" si="136"/>
        <v/>
      </c>
      <c r="BM118" s="268" t="str">
        <f t="shared" si="136"/>
        <v/>
      </c>
      <c r="BN118" s="268" t="str">
        <f t="shared" si="136"/>
        <v/>
      </c>
      <c r="BO118" s="268" t="str">
        <f t="shared" si="136"/>
        <v/>
      </c>
      <c r="BP118" s="268" t="str">
        <f t="shared" si="136"/>
        <v/>
      </c>
      <c r="BQ118" s="268" t="str">
        <f t="shared" si="136"/>
        <v/>
      </c>
      <c r="BR118" s="268" t="str">
        <f t="shared" si="136"/>
        <v/>
      </c>
      <c r="BS118" s="268" t="str">
        <f t="shared" si="136"/>
        <v/>
      </c>
      <c r="BT118" s="268" t="str">
        <f t="shared" si="136"/>
        <v/>
      </c>
      <c r="BU118" s="268" t="str">
        <f t="shared" si="82"/>
        <v/>
      </c>
      <c r="BV118" s="247">
        <v>0.61</v>
      </c>
      <c r="BW118" s="729">
        <f t="shared" si="108"/>
        <v>9150</v>
      </c>
      <c r="BX118" s="730">
        <f t="shared" si="109"/>
        <v>70912.5</v>
      </c>
      <c r="BY118" s="731" t="str">
        <f t="shared" si="105"/>
        <v>SR</v>
      </c>
    </row>
    <row r="119" s="698" customFormat="1" customHeight="1" spans="1:77">
      <c r="A119" s="208">
        <v>46015</v>
      </c>
      <c r="B119" s="208">
        <v>46079</v>
      </c>
      <c r="C119" s="211" t="s">
        <v>375</v>
      </c>
      <c r="D119" s="211" t="s">
        <v>376</v>
      </c>
      <c r="E119" s="211" t="s">
        <v>35</v>
      </c>
      <c r="F119" s="732">
        <v>12000</v>
      </c>
      <c r="G119" s="211" t="s">
        <v>377</v>
      </c>
      <c r="H119" s="211" t="str">
        <f>IFERROR(VLOOKUP(E119,名称!A:E,4,0),"")</f>
        <v>二代</v>
      </c>
      <c r="I119" s="268" t="str">
        <f t="shared" ref="I119:BT119" si="137">IF(OR($E119="",I$1=""),"",IF(TRIM(LEFT($E119,MIN(IFERROR(FIND("CDU",UPPER($E119)),999),IFERROR(FIND("BULK",UPPER($E119)),999),IFERROR(FIND("-",$E119),999),IFERROR(FIND("（",$E119),999))-1))=I$1,$F119,""))</f>
        <v/>
      </c>
      <c r="J119" s="268" t="str">
        <f t="shared" si="137"/>
        <v/>
      </c>
      <c r="K119" s="268">
        <f t="shared" si="137"/>
        <v>12000</v>
      </c>
      <c r="L119" s="268" t="str">
        <f t="shared" si="137"/>
        <v/>
      </c>
      <c r="M119" s="268" t="str">
        <f t="shared" si="137"/>
        <v/>
      </c>
      <c r="N119" s="268" t="str">
        <f t="shared" si="137"/>
        <v/>
      </c>
      <c r="O119" s="268" t="str">
        <f t="shared" si="137"/>
        <v/>
      </c>
      <c r="P119" s="268" t="str">
        <f t="shared" si="137"/>
        <v/>
      </c>
      <c r="Q119" s="268" t="str">
        <f t="shared" si="137"/>
        <v/>
      </c>
      <c r="R119" s="268" t="str">
        <f t="shared" si="137"/>
        <v/>
      </c>
      <c r="S119" s="268" t="str">
        <f t="shared" si="137"/>
        <v/>
      </c>
      <c r="T119" s="268" t="str">
        <f t="shared" si="137"/>
        <v/>
      </c>
      <c r="U119" s="268" t="str">
        <f t="shared" si="137"/>
        <v/>
      </c>
      <c r="V119" s="268" t="str">
        <f t="shared" si="137"/>
        <v/>
      </c>
      <c r="W119" s="268" t="str">
        <f t="shared" si="137"/>
        <v/>
      </c>
      <c r="X119" s="268" t="str">
        <f t="shared" si="137"/>
        <v/>
      </c>
      <c r="Y119" s="268" t="str">
        <f t="shared" si="137"/>
        <v/>
      </c>
      <c r="Z119" s="268" t="str">
        <f t="shared" si="137"/>
        <v/>
      </c>
      <c r="AA119" s="268" t="str">
        <f t="shared" si="137"/>
        <v/>
      </c>
      <c r="AB119" s="268" t="str">
        <f t="shared" si="137"/>
        <v/>
      </c>
      <c r="AC119" s="268" t="str">
        <f t="shared" si="137"/>
        <v/>
      </c>
      <c r="AD119" s="268" t="str">
        <f t="shared" si="137"/>
        <v/>
      </c>
      <c r="AE119" s="268" t="str">
        <f t="shared" si="137"/>
        <v/>
      </c>
      <c r="AF119" s="268" t="str">
        <f t="shared" si="137"/>
        <v/>
      </c>
      <c r="AG119" s="268" t="str">
        <f t="shared" si="137"/>
        <v/>
      </c>
      <c r="AH119" s="268" t="str">
        <f t="shared" si="137"/>
        <v/>
      </c>
      <c r="AI119" s="268" t="str">
        <f t="shared" si="137"/>
        <v/>
      </c>
      <c r="AJ119" s="268" t="str">
        <f t="shared" si="137"/>
        <v/>
      </c>
      <c r="AK119" s="268" t="str">
        <f t="shared" si="137"/>
        <v/>
      </c>
      <c r="AL119" s="268" t="str">
        <f t="shared" si="137"/>
        <v/>
      </c>
      <c r="AM119" s="268" t="str">
        <f t="shared" si="137"/>
        <v/>
      </c>
      <c r="AN119" s="268" t="str">
        <f t="shared" si="137"/>
        <v/>
      </c>
      <c r="AO119" s="268" t="str">
        <f t="shared" si="137"/>
        <v/>
      </c>
      <c r="AP119" s="268" t="str">
        <f t="shared" si="137"/>
        <v/>
      </c>
      <c r="AQ119" s="268" t="str">
        <f t="shared" si="137"/>
        <v/>
      </c>
      <c r="AR119" s="268" t="str">
        <f t="shared" si="137"/>
        <v/>
      </c>
      <c r="AS119" s="268" t="str">
        <f t="shared" si="137"/>
        <v/>
      </c>
      <c r="AT119" s="268" t="str">
        <f t="shared" si="137"/>
        <v/>
      </c>
      <c r="AU119" s="268" t="str">
        <f t="shared" si="137"/>
        <v/>
      </c>
      <c r="AV119" s="268" t="str">
        <f t="shared" si="137"/>
        <v/>
      </c>
      <c r="AW119" s="268" t="str">
        <f t="shared" si="137"/>
        <v/>
      </c>
      <c r="AX119" s="268" t="str">
        <f t="shared" si="137"/>
        <v/>
      </c>
      <c r="AY119" s="268" t="str">
        <f t="shared" si="137"/>
        <v/>
      </c>
      <c r="AZ119" s="268" t="str">
        <f t="shared" si="137"/>
        <v/>
      </c>
      <c r="BA119" s="268" t="str">
        <f t="shared" si="137"/>
        <v/>
      </c>
      <c r="BB119" s="268" t="str">
        <f t="shared" si="137"/>
        <v/>
      </c>
      <c r="BC119" s="268" t="str">
        <f t="shared" si="137"/>
        <v/>
      </c>
      <c r="BD119" s="268" t="str">
        <f t="shared" si="137"/>
        <v/>
      </c>
      <c r="BE119" s="268" t="str">
        <f t="shared" si="137"/>
        <v/>
      </c>
      <c r="BF119" s="268" t="str">
        <f t="shared" si="137"/>
        <v/>
      </c>
      <c r="BG119" s="268" t="str">
        <f t="shared" si="137"/>
        <v/>
      </c>
      <c r="BH119" s="268" t="str">
        <f t="shared" si="137"/>
        <v/>
      </c>
      <c r="BI119" s="268" t="str">
        <f t="shared" si="137"/>
        <v/>
      </c>
      <c r="BJ119" s="268" t="str">
        <f t="shared" si="137"/>
        <v/>
      </c>
      <c r="BK119" s="268" t="str">
        <f t="shared" si="137"/>
        <v/>
      </c>
      <c r="BL119" s="268" t="str">
        <f t="shared" si="137"/>
        <v/>
      </c>
      <c r="BM119" s="268" t="str">
        <f t="shared" si="137"/>
        <v/>
      </c>
      <c r="BN119" s="268" t="str">
        <f t="shared" si="137"/>
        <v/>
      </c>
      <c r="BO119" s="268" t="str">
        <f t="shared" si="137"/>
        <v/>
      </c>
      <c r="BP119" s="268" t="str">
        <f t="shared" si="137"/>
        <v/>
      </c>
      <c r="BQ119" s="268" t="str">
        <f t="shared" si="137"/>
        <v/>
      </c>
      <c r="BR119" s="268" t="str">
        <f t="shared" si="137"/>
        <v/>
      </c>
      <c r="BS119" s="268" t="str">
        <f t="shared" si="137"/>
        <v/>
      </c>
      <c r="BT119" s="268" t="str">
        <f t="shared" si="137"/>
        <v/>
      </c>
      <c r="BU119" s="268" t="str">
        <f t="shared" si="82"/>
        <v/>
      </c>
      <c r="BV119" s="247">
        <v>0.85</v>
      </c>
      <c r="BW119" s="729">
        <f t="shared" si="108"/>
        <v>10200</v>
      </c>
      <c r="BX119" s="730">
        <f t="shared" si="109"/>
        <v>79050</v>
      </c>
      <c r="BY119" s="731" t="str">
        <f t="shared" si="105"/>
        <v>SR</v>
      </c>
    </row>
    <row r="120" s="698" customFormat="1" customHeight="1" spans="1:77">
      <c r="A120" s="208">
        <v>46015</v>
      </c>
      <c r="B120" s="208">
        <v>46079</v>
      </c>
      <c r="C120" s="211" t="s">
        <v>375</v>
      </c>
      <c r="D120" s="211" t="s">
        <v>376</v>
      </c>
      <c r="E120" s="211" t="s">
        <v>36</v>
      </c>
      <c r="F120" s="732">
        <v>12006</v>
      </c>
      <c r="G120" s="211" t="s">
        <v>377</v>
      </c>
      <c r="H120" s="211" t="str">
        <f>IFERROR(VLOOKUP(E120,名称!A:E,4,0),"")</f>
        <v>二代</v>
      </c>
      <c r="I120" s="268" t="str">
        <f t="shared" ref="I120:BT120" si="138">IF(OR($E120="",I$1=""),"",IF(TRIM(LEFT($E120,MIN(IFERROR(FIND("CDU",UPPER($E120)),999),IFERROR(FIND("BULK",UPPER($E120)),999),IFERROR(FIND("-",$E120),999),IFERROR(FIND("（",$E120),999))-1))=I$1,$F120,""))</f>
        <v/>
      </c>
      <c r="J120" s="268" t="str">
        <f t="shared" si="138"/>
        <v/>
      </c>
      <c r="K120" s="268">
        <f t="shared" si="138"/>
        <v>12006</v>
      </c>
      <c r="L120" s="268" t="str">
        <f t="shared" si="138"/>
        <v/>
      </c>
      <c r="M120" s="268" t="str">
        <f t="shared" si="138"/>
        <v/>
      </c>
      <c r="N120" s="268" t="str">
        <f t="shared" si="138"/>
        <v/>
      </c>
      <c r="O120" s="268" t="str">
        <f t="shared" si="138"/>
        <v/>
      </c>
      <c r="P120" s="268" t="str">
        <f t="shared" si="138"/>
        <v/>
      </c>
      <c r="Q120" s="268" t="str">
        <f t="shared" si="138"/>
        <v/>
      </c>
      <c r="R120" s="268" t="str">
        <f t="shared" si="138"/>
        <v/>
      </c>
      <c r="S120" s="268" t="str">
        <f t="shared" si="138"/>
        <v/>
      </c>
      <c r="T120" s="268" t="str">
        <f t="shared" si="138"/>
        <v/>
      </c>
      <c r="U120" s="268" t="str">
        <f t="shared" si="138"/>
        <v/>
      </c>
      <c r="V120" s="268" t="str">
        <f t="shared" si="138"/>
        <v/>
      </c>
      <c r="W120" s="268" t="str">
        <f t="shared" si="138"/>
        <v/>
      </c>
      <c r="X120" s="268" t="str">
        <f t="shared" si="138"/>
        <v/>
      </c>
      <c r="Y120" s="268" t="str">
        <f t="shared" si="138"/>
        <v/>
      </c>
      <c r="Z120" s="268" t="str">
        <f t="shared" si="138"/>
        <v/>
      </c>
      <c r="AA120" s="268" t="str">
        <f t="shared" si="138"/>
        <v/>
      </c>
      <c r="AB120" s="268" t="str">
        <f t="shared" si="138"/>
        <v/>
      </c>
      <c r="AC120" s="268" t="str">
        <f t="shared" si="138"/>
        <v/>
      </c>
      <c r="AD120" s="268" t="str">
        <f t="shared" si="138"/>
        <v/>
      </c>
      <c r="AE120" s="268" t="str">
        <f t="shared" si="138"/>
        <v/>
      </c>
      <c r="AF120" s="268" t="str">
        <f t="shared" si="138"/>
        <v/>
      </c>
      <c r="AG120" s="268" t="str">
        <f t="shared" si="138"/>
        <v/>
      </c>
      <c r="AH120" s="268" t="str">
        <f t="shared" si="138"/>
        <v/>
      </c>
      <c r="AI120" s="268" t="str">
        <f t="shared" si="138"/>
        <v/>
      </c>
      <c r="AJ120" s="268" t="str">
        <f t="shared" si="138"/>
        <v/>
      </c>
      <c r="AK120" s="268" t="str">
        <f t="shared" si="138"/>
        <v/>
      </c>
      <c r="AL120" s="268" t="str">
        <f t="shared" si="138"/>
        <v/>
      </c>
      <c r="AM120" s="268" t="str">
        <f t="shared" si="138"/>
        <v/>
      </c>
      <c r="AN120" s="268" t="str">
        <f t="shared" si="138"/>
        <v/>
      </c>
      <c r="AO120" s="268" t="str">
        <f t="shared" si="138"/>
        <v/>
      </c>
      <c r="AP120" s="268" t="str">
        <f t="shared" si="138"/>
        <v/>
      </c>
      <c r="AQ120" s="268" t="str">
        <f t="shared" si="138"/>
        <v/>
      </c>
      <c r="AR120" s="268" t="str">
        <f t="shared" si="138"/>
        <v/>
      </c>
      <c r="AS120" s="268" t="str">
        <f t="shared" si="138"/>
        <v/>
      </c>
      <c r="AT120" s="268" t="str">
        <f t="shared" si="138"/>
        <v/>
      </c>
      <c r="AU120" s="268" t="str">
        <f t="shared" si="138"/>
        <v/>
      </c>
      <c r="AV120" s="268" t="str">
        <f t="shared" si="138"/>
        <v/>
      </c>
      <c r="AW120" s="268" t="str">
        <f t="shared" si="138"/>
        <v/>
      </c>
      <c r="AX120" s="268" t="str">
        <f t="shared" si="138"/>
        <v/>
      </c>
      <c r="AY120" s="268" t="str">
        <f t="shared" si="138"/>
        <v/>
      </c>
      <c r="AZ120" s="268" t="str">
        <f t="shared" si="138"/>
        <v/>
      </c>
      <c r="BA120" s="268" t="str">
        <f t="shared" si="138"/>
        <v/>
      </c>
      <c r="BB120" s="268" t="str">
        <f t="shared" si="138"/>
        <v/>
      </c>
      <c r="BC120" s="268" t="str">
        <f t="shared" si="138"/>
        <v/>
      </c>
      <c r="BD120" s="268" t="str">
        <f t="shared" si="138"/>
        <v/>
      </c>
      <c r="BE120" s="268" t="str">
        <f t="shared" si="138"/>
        <v/>
      </c>
      <c r="BF120" s="268" t="str">
        <f t="shared" si="138"/>
        <v/>
      </c>
      <c r="BG120" s="268" t="str">
        <f t="shared" si="138"/>
        <v/>
      </c>
      <c r="BH120" s="268" t="str">
        <f t="shared" si="138"/>
        <v/>
      </c>
      <c r="BI120" s="268" t="str">
        <f t="shared" si="138"/>
        <v/>
      </c>
      <c r="BJ120" s="268" t="str">
        <f t="shared" si="138"/>
        <v/>
      </c>
      <c r="BK120" s="268" t="str">
        <f t="shared" si="138"/>
        <v/>
      </c>
      <c r="BL120" s="268" t="str">
        <f t="shared" si="138"/>
        <v/>
      </c>
      <c r="BM120" s="268" t="str">
        <f t="shared" si="138"/>
        <v/>
      </c>
      <c r="BN120" s="268" t="str">
        <f t="shared" si="138"/>
        <v/>
      </c>
      <c r="BO120" s="268" t="str">
        <f t="shared" si="138"/>
        <v/>
      </c>
      <c r="BP120" s="268" t="str">
        <f t="shared" si="138"/>
        <v/>
      </c>
      <c r="BQ120" s="268" t="str">
        <f t="shared" si="138"/>
        <v/>
      </c>
      <c r="BR120" s="268" t="str">
        <f t="shared" si="138"/>
        <v/>
      </c>
      <c r="BS120" s="268" t="str">
        <f t="shared" si="138"/>
        <v/>
      </c>
      <c r="BT120" s="268" t="str">
        <f t="shared" si="138"/>
        <v/>
      </c>
      <c r="BU120" s="268" t="str">
        <f t="shared" si="82"/>
        <v/>
      </c>
      <c r="BV120" s="247">
        <v>0.83</v>
      </c>
      <c r="BW120" s="729">
        <f t="shared" ref="BW120:BW168" si="139">SUM(I120:BU120)*BV120</f>
        <v>9964.98</v>
      </c>
      <c r="BX120" s="730">
        <f t="shared" ref="BX120:BX173" si="140">BW120*7.75</f>
        <v>77228.6</v>
      </c>
      <c r="BY120" s="731" t="str">
        <f t="shared" si="105"/>
        <v>SR</v>
      </c>
    </row>
    <row r="121" s="698" customFormat="1" customHeight="1" spans="1:77">
      <c r="A121" s="208">
        <v>46015</v>
      </c>
      <c r="B121" s="208">
        <v>46079</v>
      </c>
      <c r="C121" s="211" t="s">
        <v>375</v>
      </c>
      <c r="D121" s="211" t="s">
        <v>376</v>
      </c>
      <c r="E121" s="211" t="s">
        <v>37</v>
      </c>
      <c r="F121" s="732">
        <v>12000</v>
      </c>
      <c r="G121" s="211" t="s">
        <v>377</v>
      </c>
      <c r="H121" s="211" t="str">
        <f>IFERROR(VLOOKUP(E121,名称!A:E,4,0),"")</f>
        <v>二代</v>
      </c>
      <c r="I121" s="268" t="str">
        <f t="shared" ref="I121:BT121" si="141">IF(OR($E121="",I$1=""),"",IF(TRIM(LEFT($E121,MIN(IFERROR(FIND("CDU",UPPER($E121)),999),IFERROR(FIND("BULK",UPPER($E121)),999),IFERROR(FIND("-",$E121),999),IFERROR(FIND("（",$E121),999))-1))=I$1,$F121,""))</f>
        <v/>
      </c>
      <c r="J121" s="268" t="str">
        <f t="shared" si="141"/>
        <v/>
      </c>
      <c r="K121" s="268" t="str">
        <f t="shared" si="141"/>
        <v/>
      </c>
      <c r="L121" s="268" t="str">
        <f t="shared" si="141"/>
        <v/>
      </c>
      <c r="M121" s="268" t="str">
        <f t="shared" si="141"/>
        <v/>
      </c>
      <c r="N121" s="268" t="str">
        <f t="shared" si="141"/>
        <v/>
      </c>
      <c r="O121" s="268" t="str">
        <f t="shared" si="141"/>
        <v/>
      </c>
      <c r="P121" s="268" t="str">
        <f t="shared" si="141"/>
        <v/>
      </c>
      <c r="Q121" s="268" t="str">
        <f t="shared" si="141"/>
        <v/>
      </c>
      <c r="R121" s="268">
        <f t="shared" si="141"/>
        <v>12000</v>
      </c>
      <c r="S121" s="268" t="str">
        <f t="shared" si="141"/>
        <v/>
      </c>
      <c r="T121" s="268" t="str">
        <f t="shared" si="141"/>
        <v/>
      </c>
      <c r="U121" s="268" t="str">
        <f t="shared" si="141"/>
        <v/>
      </c>
      <c r="V121" s="268" t="str">
        <f t="shared" si="141"/>
        <v/>
      </c>
      <c r="W121" s="268" t="str">
        <f t="shared" si="141"/>
        <v/>
      </c>
      <c r="X121" s="268" t="str">
        <f t="shared" si="141"/>
        <v/>
      </c>
      <c r="Y121" s="268" t="str">
        <f t="shared" si="141"/>
        <v/>
      </c>
      <c r="Z121" s="268" t="str">
        <f t="shared" si="141"/>
        <v/>
      </c>
      <c r="AA121" s="268" t="str">
        <f t="shared" si="141"/>
        <v/>
      </c>
      <c r="AB121" s="268" t="str">
        <f t="shared" si="141"/>
        <v/>
      </c>
      <c r="AC121" s="268" t="str">
        <f t="shared" si="141"/>
        <v/>
      </c>
      <c r="AD121" s="268" t="str">
        <f t="shared" si="141"/>
        <v/>
      </c>
      <c r="AE121" s="268" t="str">
        <f t="shared" si="141"/>
        <v/>
      </c>
      <c r="AF121" s="268" t="str">
        <f t="shared" si="141"/>
        <v/>
      </c>
      <c r="AG121" s="268" t="str">
        <f t="shared" si="141"/>
        <v/>
      </c>
      <c r="AH121" s="268" t="str">
        <f t="shared" si="141"/>
        <v/>
      </c>
      <c r="AI121" s="268" t="str">
        <f t="shared" si="141"/>
        <v/>
      </c>
      <c r="AJ121" s="268" t="str">
        <f t="shared" si="141"/>
        <v/>
      </c>
      <c r="AK121" s="268" t="str">
        <f t="shared" si="141"/>
        <v/>
      </c>
      <c r="AL121" s="268" t="str">
        <f t="shared" si="141"/>
        <v/>
      </c>
      <c r="AM121" s="268" t="str">
        <f t="shared" si="141"/>
        <v/>
      </c>
      <c r="AN121" s="268" t="str">
        <f t="shared" si="141"/>
        <v/>
      </c>
      <c r="AO121" s="268" t="str">
        <f t="shared" si="141"/>
        <v/>
      </c>
      <c r="AP121" s="268" t="str">
        <f t="shared" si="141"/>
        <v/>
      </c>
      <c r="AQ121" s="268" t="str">
        <f t="shared" si="141"/>
        <v/>
      </c>
      <c r="AR121" s="268" t="str">
        <f t="shared" si="141"/>
        <v/>
      </c>
      <c r="AS121" s="268" t="str">
        <f t="shared" si="141"/>
        <v/>
      </c>
      <c r="AT121" s="268" t="str">
        <f t="shared" si="141"/>
        <v/>
      </c>
      <c r="AU121" s="268" t="str">
        <f t="shared" si="141"/>
        <v/>
      </c>
      <c r="AV121" s="268" t="str">
        <f t="shared" si="141"/>
        <v/>
      </c>
      <c r="AW121" s="268" t="str">
        <f t="shared" si="141"/>
        <v/>
      </c>
      <c r="AX121" s="268" t="str">
        <f t="shared" si="141"/>
        <v/>
      </c>
      <c r="AY121" s="268" t="str">
        <f t="shared" si="141"/>
        <v/>
      </c>
      <c r="AZ121" s="268" t="str">
        <f t="shared" si="141"/>
        <v/>
      </c>
      <c r="BA121" s="268" t="str">
        <f t="shared" si="141"/>
        <v/>
      </c>
      <c r="BB121" s="268" t="str">
        <f t="shared" si="141"/>
        <v/>
      </c>
      <c r="BC121" s="268" t="str">
        <f t="shared" si="141"/>
        <v/>
      </c>
      <c r="BD121" s="268" t="str">
        <f t="shared" si="141"/>
        <v/>
      </c>
      <c r="BE121" s="268" t="str">
        <f t="shared" si="141"/>
        <v/>
      </c>
      <c r="BF121" s="268" t="str">
        <f t="shared" si="141"/>
        <v/>
      </c>
      <c r="BG121" s="268" t="str">
        <f t="shared" si="141"/>
        <v/>
      </c>
      <c r="BH121" s="268" t="str">
        <f t="shared" si="141"/>
        <v/>
      </c>
      <c r="BI121" s="268" t="str">
        <f t="shared" si="141"/>
        <v/>
      </c>
      <c r="BJ121" s="268" t="str">
        <f t="shared" si="141"/>
        <v/>
      </c>
      <c r="BK121" s="268" t="str">
        <f t="shared" si="141"/>
        <v/>
      </c>
      <c r="BL121" s="268" t="str">
        <f t="shared" si="141"/>
        <v/>
      </c>
      <c r="BM121" s="268" t="str">
        <f t="shared" si="141"/>
        <v/>
      </c>
      <c r="BN121" s="268" t="str">
        <f t="shared" si="141"/>
        <v/>
      </c>
      <c r="BO121" s="268" t="str">
        <f t="shared" si="141"/>
        <v/>
      </c>
      <c r="BP121" s="268" t="str">
        <f t="shared" si="141"/>
        <v/>
      </c>
      <c r="BQ121" s="268" t="str">
        <f t="shared" si="141"/>
        <v/>
      </c>
      <c r="BR121" s="268" t="str">
        <f t="shared" si="141"/>
        <v/>
      </c>
      <c r="BS121" s="268" t="str">
        <f t="shared" si="141"/>
        <v/>
      </c>
      <c r="BT121" s="268" t="str">
        <f t="shared" si="141"/>
        <v/>
      </c>
      <c r="BU121" s="268" t="str">
        <f t="shared" si="82"/>
        <v/>
      </c>
      <c r="BV121" s="247">
        <v>2.02</v>
      </c>
      <c r="BW121" s="729">
        <f t="shared" si="139"/>
        <v>24240</v>
      </c>
      <c r="BX121" s="730">
        <f t="shared" si="140"/>
        <v>187860</v>
      </c>
      <c r="BY121" s="731" t="str">
        <f t="shared" ref="BY121:BY173" si="142">MID(E121,1,2)</f>
        <v>SR</v>
      </c>
    </row>
    <row r="122" s="698" customFormat="1" customHeight="1" spans="1:77">
      <c r="A122" s="208">
        <v>46015</v>
      </c>
      <c r="B122" s="208">
        <v>46062</v>
      </c>
      <c r="C122" s="211"/>
      <c r="D122" s="211" t="s">
        <v>378</v>
      </c>
      <c r="E122" s="211" t="s">
        <v>40</v>
      </c>
      <c r="F122" s="732">
        <v>1200</v>
      </c>
      <c r="G122" s="211" t="s">
        <v>327</v>
      </c>
      <c r="H122" s="211" t="str">
        <f>IFERROR(VLOOKUP(E122,名称!A:E,4,0),"")</f>
        <v>二代</v>
      </c>
      <c r="I122" s="268" t="str">
        <f t="shared" ref="I122:BT122" si="143">IF(OR($E122="",I$1=""),"",IF(TRIM(LEFT($E122,MIN(IFERROR(FIND("CDU",UPPER($E122)),999),IFERROR(FIND("BULK",UPPER($E122)),999),IFERROR(FIND("-",$E122),999),IFERROR(FIND("（",$E122),999))-1))=I$1,$F122,""))</f>
        <v/>
      </c>
      <c r="J122" s="268" t="str">
        <f t="shared" si="143"/>
        <v/>
      </c>
      <c r="K122" s="268">
        <f t="shared" si="143"/>
        <v>1200</v>
      </c>
      <c r="L122" s="268" t="str">
        <f t="shared" si="143"/>
        <v/>
      </c>
      <c r="M122" s="268" t="str">
        <f t="shared" si="143"/>
        <v/>
      </c>
      <c r="N122" s="268" t="str">
        <f t="shared" si="143"/>
        <v/>
      </c>
      <c r="O122" s="268" t="str">
        <f t="shared" si="143"/>
        <v/>
      </c>
      <c r="P122" s="268" t="str">
        <f t="shared" si="143"/>
        <v/>
      </c>
      <c r="Q122" s="268" t="str">
        <f t="shared" si="143"/>
        <v/>
      </c>
      <c r="R122" s="268" t="str">
        <f t="shared" si="143"/>
        <v/>
      </c>
      <c r="S122" s="268" t="str">
        <f t="shared" si="143"/>
        <v/>
      </c>
      <c r="T122" s="268" t="str">
        <f t="shared" si="143"/>
        <v/>
      </c>
      <c r="U122" s="268" t="str">
        <f t="shared" si="143"/>
        <v/>
      </c>
      <c r="V122" s="268" t="str">
        <f t="shared" si="143"/>
        <v/>
      </c>
      <c r="W122" s="268" t="str">
        <f t="shared" si="143"/>
        <v/>
      </c>
      <c r="X122" s="268" t="str">
        <f t="shared" si="143"/>
        <v/>
      </c>
      <c r="Y122" s="268" t="str">
        <f t="shared" si="143"/>
        <v/>
      </c>
      <c r="Z122" s="268" t="str">
        <f t="shared" si="143"/>
        <v/>
      </c>
      <c r="AA122" s="268" t="str">
        <f t="shared" si="143"/>
        <v/>
      </c>
      <c r="AB122" s="268" t="str">
        <f t="shared" si="143"/>
        <v/>
      </c>
      <c r="AC122" s="268" t="str">
        <f t="shared" si="143"/>
        <v/>
      </c>
      <c r="AD122" s="268" t="str">
        <f t="shared" si="143"/>
        <v/>
      </c>
      <c r="AE122" s="268" t="str">
        <f t="shared" si="143"/>
        <v/>
      </c>
      <c r="AF122" s="268" t="str">
        <f t="shared" si="143"/>
        <v/>
      </c>
      <c r="AG122" s="268" t="str">
        <f t="shared" si="143"/>
        <v/>
      </c>
      <c r="AH122" s="268" t="str">
        <f t="shared" si="143"/>
        <v/>
      </c>
      <c r="AI122" s="268" t="str">
        <f t="shared" si="143"/>
        <v/>
      </c>
      <c r="AJ122" s="268" t="str">
        <f t="shared" si="143"/>
        <v/>
      </c>
      <c r="AK122" s="268" t="str">
        <f t="shared" si="143"/>
        <v/>
      </c>
      <c r="AL122" s="268" t="str">
        <f t="shared" si="143"/>
        <v/>
      </c>
      <c r="AM122" s="268" t="str">
        <f t="shared" si="143"/>
        <v/>
      </c>
      <c r="AN122" s="268" t="str">
        <f t="shared" si="143"/>
        <v/>
      </c>
      <c r="AO122" s="268" t="str">
        <f t="shared" si="143"/>
        <v/>
      </c>
      <c r="AP122" s="268" t="str">
        <f t="shared" si="143"/>
        <v/>
      </c>
      <c r="AQ122" s="268" t="str">
        <f t="shared" si="143"/>
        <v/>
      </c>
      <c r="AR122" s="268" t="str">
        <f t="shared" si="143"/>
        <v/>
      </c>
      <c r="AS122" s="268" t="str">
        <f t="shared" si="143"/>
        <v/>
      </c>
      <c r="AT122" s="268" t="str">
        <f t="shared" si="143"/>
        <v/>
      </c>
      <c r="AU122" s="268" t="str">
        <f t="shared" si="143"/>
        <v/>
      </c>
      <c r="AV122" s="268" t="str">
        <f t="shared" si="143"/>
        <v/>
      </c>
      <c r="AW122" s="268" t="str">
        <f t="shared" si="143"/>
        <v/>
      </c>
      <c r="AX122" s="268" t="str">
        <f t="shared" si="143"/>
        <v/>
      </c>
      <c r="AY122" s="268" t="str">
        <f t="shared" si="143"/>
        <v/>
      </c>
      <c r="AZ122" s="268" t="str">
        <f t="shared" si="143"/>
        <v/>
      </c>
      <c r="BA122" s="268" t="str">
        <f t="shared" si="143"/>
        <v/>
      </c>
      <c r="BB122" s="268" t="str">
        <f t="shared" si="143"/>
        <v/>
      </c>
      <c r="BC122" s="268" t="str">
        <f t="shared" si="143"/>
        <v/>
      </c>
      <c r="BD122" s="268" t="str">
        <f t="shared" si="143"/>
        <v/>
      </c>
      <c r="BE122" s="268" t="str">
        <f t="shared" si="143"/>
        <v/>
      </c>
      <c r="BF122" s="268" t="str">
        <f t="shared" si="143"/>
        <v/>
      </c>
      <c r="BG122" s="268" t="str">
        <f t="shared" si="143"/>
        <v/>
      </c>
      <c r="BH122" s="268" t="str">
        <f t="shared" si="143"/>
        <v/>
      </c>
      <c r="BI122" s="268" t="str">
        <f t="shared" si="143"/>
        <v/>
      </c>
      <c r="BJ122" s="268" t="str">
        <f t="shared" si="143"/>
        <v/>
      </c>
      <c r="BK122" s="268" t="str">
        <f t="shared" si="143"/>
        <v/>
      </c>
      <c r="BL122" s="268" t="str">
        <f t="shared" si="143"/>
        <v/>
      </c>
      <c r="BM122" s="268" t="str">
        <f t="shared" si="143"/>
        <v/>
      </c>
      <c r="BN122" s="268" t="str">
        <f t="shared" si="143"/>
        <v/>
      </c>
      <c r="BO122" s="268" t="str">
        <f t="shared" si="143"/>
        <v/>
      </c>
      <c r="BP122" s="268" t="str">
        <f t="shared" si="143"/>
        <v/>
      </c>
      <c r="BQ122" s="268" t="str">
        <f t="shared" si="143"/>
        <v/>
      </c>
      <c r="BR122" s="268" t="str">
        <f t="shared" si="143"/>
        <v/>
      </c>
      <c r="BS122" s="268" t="str">
        <f t="shared" si="143"/>
        <v/>
      </c>
      <c r="BT122" s="268" t="str">
        <f t="shared" si="143"/>
        <v/>
      </c>
      <c r="BU122" s="268" t="str">
        <f t="shared" si="82"/>
        <v/>
      </c>
      <c r="BV122" s="247">
        <v>0.78</v>
      </c>
      <c r="BW122" s="729">
        <f t="shared" si="139"/>
        <v>936</v>
      </c>
      <c r="BX122" s="730">
        <f t="shared" si="140"/>
        <v>7254</v>
      </c>
      <c r="BY122" s="731" t="str">
        <f t="shared" si="142"/>
        <v>SR</v>
      </c>
    </row>
    <row r="123" s="698" customFormat="1" customHeight="1" spans="1:77">
      <c r="A123" s="208">
        <v>46015</v>
      </c>
      <c r="B123" s="208">
        <v>46062</v>
      </c>
      <c r="C123" s="211"/>
      <c r="D123" s="211" t="s">
        <v>378</v>
      </c>
      <c r="E123" s="211" t="s">
        <v>44</v>
      </c>
      <c r="F123" s="732">
        <v>2400</v>
      </c>
      <c r="G123" s="211" t="s">
        <v>327</v>
      </c>
      <c r="H123" s="211" t="str">
        <f>IFERROR(VLOOKUP(E123,名称!A:E,4,0),"")</f>
        <v>二代</v>
      </c>
      <c r="I123" s="268" t="str">
        <f t="shared" ref="I123:BT123" si="144">IF(OR($E123="",I$1=""),"",IF(TRIM(LEFT($E123,MIN(IFERROR(FIND("CDU",UPPER($E123)),999),IFERROR(FIND("BULK",UPPER($E123)),999),IFERROR(FIND("-",$E123),999),IFERROR(FIND("（",$E123),999))-1))=I$1,$F123,""))</f>
        <v/>
      </c>
      <c r="J123" s="268" t="str">
        <f t="shared" si="144"/>
        <v/>
      </c>
      <c r="K123" s="268" t="str">
        <f t="shared" si="144"/>
        <v/>
      </c>
      <c r="L123" s="268" t="str">
        <f t="shared" si="144"/>
        <v/>
      </c>
      <c r="M123" s="268">
        <f t="shared" si="144"/>
        <v>2400</v>
      </c>
      <c r="N123" s="268" t="str">
        <f t="shared" si="144"/>
        <v/>
      </c>
      <c r="O123" s="268" t="str">
        <f t="shared" si="144"/>
        <v/>
      </c>
      <c r="P123" s="268" t="str">
        <f t="shared" si="144"/>
        <v/>
      </c>
      <c r="Q123" s="268" t="str">
        <f t="shared" si="144"/>
        <v/>
      </c>
      <c r="R123" s="268" t="str">
        <f t="shared" si="144"/>
        <v/>
      </c>
      <c r="S123" s="268" t="str">
        <f t="shared" si="144"/>
        <v/>
      </c>
      <c r="T123" s="268" t="str">
        <f t="shared" si="144"/>
        <v/>
      </c>
      <c r="U123" s="268" t="str">
        <f t="shared" si="144"/>
        <v/>
      </c>
      <c r="V123" s="268" t="str">
        <f t="shared" si="144"/>
        <v/>
      </c>
      <c r="W123" s="268" t="str">
        <f t="shared" si="144"/>
        <v/>
      </c>
      <c r="X123" s="268" t="str">
        <f t="shared" si="144"/>
        <v/>
      </c>
      <c r="Y123" s="268" t="str">
        <f t="shared" si="144"/>
        <v/>
      </c>
      <c r="Z123" s="268" t="str">
        <f t="shared" si="144"/>
        <v/>
      </c>
      <c r="AA123" s="268" t="str">
        <f t="shared" si="144"/>
        <v/>
      </c>
      <c r="AB123" s="268" t="str">
        <f t="shared" si="144"/>
        <v/>
      </c>
      <c r="AC123" s="268" t="str">
        <f t="shared" si="144"/>
        <v/>
      </c>
      <c r="AD123" s="268" t="str">
        <f t="shared" si="144"/>
        <v/>
      </c>
      <c r="AE123" s="268" t="str">
        <f t="shared" si="144"/>
        <v/>
      </c>
      <c r="AF123" s="268" t="str">
        <f t="shared" si="144"/>
        <v/>
      </c>
      <c r="AG123" s="268" t="str">
        <f t="shared" si="144"/>
        <v/>
      </c>
      <c r="AH123" s="268" t="str">
        <f t="shared" si="144"/>
        <v/>
      </c>
      <c r="AI123" s="268" t="str">
        <f t="shared" si="144"/>
        <v/>
      </c>
      <c r="AJ123" s="268" t="str">
        <f t="shared" si="144"/>
        <v/>
      </c>
      <c r="AK123" s="268" t="str">
        <f t="shared" si="144"/>
        <v/>
      </c>
      <c r="AL123" s="268" t="str">
        <f t="shared" si="144"/>
        <v/>
      </c>
      <c r="AM123" s="268" t="str">
        <f t="shared" si="144"/>
        <v/>
      </c>
      <c r="AN123" s="268" t="str">
        <f t="shared" si="144"/>
        <v/>
      </c>
      <c r="AO123" s="268" t="str">
        <f t="shared" si="144"/>
        <v/>
      </c>
      <c r="AP123" s="268" t="str">
        <f t="shared" si="144"/>
        <v/>
      </c>
      <c r="AQ123" s="268" t="str">
        <f t="shared" si="144"/>
        <v/>
      </c>
      <c r="AR123" s="268" t="str">
        <f t="shared" si="144"/>
        <v/>
      </c>
      <c r="AS123" s="268" t="str">
        <f t="shared" si="144"/>
        <v/>
      </c>
      <c r="AT123" s="268" t="str">
        <f t="shared" si="144"/>
        <v/>
      </c>
      <c r="AU123" s="268" t="str">
        <f t="shared" si="144"/>
        <v/>
      </c>
      <c r="AV123" s="268" t="str">
        <f t="shared" si="144"/>
        <v/>
      </c>
      <c r="AW123" s="268" t="str">
        <f t="shared" si="144"/>
        <v/>
      </c>
      <c r="AX123" s="268" t="str">
        <f t="shared" si="144"/>
        <v/>
      </c>
      <c r="AY123" s="268" t="str">
        <f t="shared" si="144"/>
        <v/>
      </c>
      <c r="AZ123" s="268" t="str">
        <f t="shared" si="144"/>
        <v/>
      </c>
      <c r="BA123" s="268" t="str">
        <f t="shared" si="144"/>
        <v/>
      </c>
      <c r="BB123" s="268" t="str">
        <f t="shared" si="144"/>
        <v/>
      </c>
      <c r="BC123" s="268" t="str">
        <f t="shared" si="144"/>
        <v/>
      </c>
      <c r="BD123" s="268" t="str">
        <f t="shared" si="144"/>
        <v/>
      </c>
      <c r="BE123" s="268" t="str">
        <f t="shared" si="144"/>
        <v/>
      </c>
      <c r="BF123" s="268" t="str">
        <f t="shared" si="144"/>
        <v/>
      </c>
      <c r="BG123" s="268" t="str">
        <f t="shared" si="144"/>
        <v/>
      </c>
      <c r="BH123" s="268" t="str">
        <f t="shared" si="144"/>
        <v/>
      </c>
      <c r="BI123" s="268" t="str">
        <f t="shared" si="144"/>
        <v/>
      </c>
      <c r="BJ123" s="268" t="str">
        <f t="shared" si="144"/>
        <v/>
      </c>
      <c r="BK123" s="268" t="str">
        <f t="shared" si="144"/>
        <v/>
      </c>
      <c r="BL123" s="268" t="str">
        <f t="shared" si="144"/>
        <v/>
      </c>
      <c r="BM123" s="268" t="str">
        <f t="shared" si="144"/>
        <v/>
      </c>
      <c r="BN123" s="268" t="str">
        <f t="shared" si="144"/>
        <v/>
      </c>
      <c r="BO123" s="268" t="str">
        <f t="shared" si="144"/>
        <v/>
      </c>
      <c r="BP123" s="268" t="str">
        <f t="shared" si="144"/>
        <v/>
      </c>
      <c r="BQ123" s="268" t="str">
        <f t="shared" si="144"/>
        <v/>
      </c>
      <c r="BR123" s="268" t="str">
        <f t="shared" si="144"/>
        <v/>
      </c>
      <c r="BS123" s="268" t="str">
        <f t="shared" si="144"/>
        <v/>
      </c>
      <c r="BT123" s="268" t="str">
        <f t="shared" si="144"/>
        <v/>
      </c>
      <c r="BU123" s="268" t="str">
        <f t="shared" si="82"/>
        <v/>
      </c>
      <c r="BV123" s="247">
        <v>0.61</v>
      </c>
      <c r="BW123" s="729">
        <f t="shared" si="139"/>
        <v>1464</v>
      </c>
      <c r="BX123" s="730">
        <f t="shared" si="140"/>
        <v>11346</v>
      </c>
      <c r="BY123" s="731" t="str">
        <f t="shared" si="142"/>
        <v>SR</v>
      </c>
    </row>
    <row r="124" s="698" customFormat="1" customHeight="1" spans="1:77">
      <c r="A124" s="208">
        <v>46015</v>
      </c>
      <c r="B124" s="208">
        <v>46062</v>
      </c>
      <c r="C124" s="211"/>
      <c r="D124" s="211" t="s">
        <v>378</v>
      </c>
      <c r="E124" s="211" t="s">
        <v>37</v>
      </c>
      <c r="F124" s="732">
        <v>960</v>
      </c>
      <c r="G124" s="211" t="s">
        <v>327</v>
      </c>
      <c r="H124" s="211" t="str">
        <f>IFERROR(VLOOKUP(E124,名称!A:E,4,0),"")</f>
        <v>二代</v>
      </c>
      <c r="I124" s="268" t="str">
        <f t="shared" ref="I124:BT124" si="145">IF(OR($E124="",I$1=""),"",IF(TRIM(LEFT($E124,MIN(IFERROR(FIND("CDU",UPPER($E124)),999),IFERROR(FIND("BULK",UPPER($E124)),999),IFERROR(FIND("-",$E124),999),IFERROR(FIND("（",$E124),999))-1))=I$1,$F124,""))</f>
        <v/>
      </c>
      <c r="J124" s="268" t="str">
        <f t="shared" si="145"/>
        <v/>
      </c>
      <c r="K124" s="268" t="str">
        <f t="shared" si="145"/>
        <v/>
      </c>
      <c r="L124" s="268" t="str">
        <f t="shared" si="145"/>
        <v/>
      </c>
      <c r="M124" s="268" t="str">
        <f t="shared" si="145"/>
        <v/>
      </c>
      <c r="N124" s="268" t="str">
        <f t="shared" si="145"/>
        <v/>
      </c>
      <c r="O124" s="268" t="str">
        <f t="shared" si="145"/>
        <v/>
      </c>
      <c r="P124" s="268" t="str">
        <f t="shared" si="145"/>
        <v/>
      </c>
      <c r="Q124" s="268" t="str">
        <f t="shared" si="145"/>
        <v/>
      </c>
      <c r="R124" s="268">
        <f t="shared" si="145"/>
        <v>960</v>
      </c>
      <c r="S124" s="268" t="str">
        <f t="shared" si="145"/>
        <v/>
      </c>
      <c r="T124" s="268" t="str">
        <f t="shared" si="145"/>
        <v/>
      </c>
      <c r="U124" s="268" t="str">
        <f t="shared" si="145"/>
        <v/>
      </c>
      <c r="V124" s="268" t="str">
        <f t="shared" si="145"/>
        <v/>
      </c>
      <c r="W124" s="268" t="str">
        <f t="shared" si="145"/>
        <v/>
      </c>
      <c r="X124" s="268" t="str">
        <f t="shared" si="145"/>
        <v/>
      </c>
      <c r="Y124" s="268" t="str">
        <f t="shared" si="145"/>
        <v/>
      </c>
      <c r="Z124" s="268" t="str">
        <f t="shared" si="145"/>
        <v/>
      </c>
      <c r="AA124" s="268" t="str">
        <f t="shared" si="145"/>
        <v/>
      </c>
      <c r="AB124" s="268" t="str">
        <f t="shared" si="145"/>
        <v/>
      </c>
      <c r="AC124" s="268" t="str">
        <f t="shared" si="145"/>
        <v/>
      </c>
      <c r="AD124" s="268" t="str">
        <f t="shared" si="145"/>
        <v/>
      </c>
      <c r="AE124" s="268" t="str">
        <f t="shared" si="145"/>
        <v/>
      </c>
      <c r="AF124" s="268" t="str">
        <f t="shared" si="145"/>
        <v/>
      </c>
      <c r="AG124" s="268" t="str">
        <f t="shared" si="145"/>
        <v/>
      </c>
      <c r="AH124" s="268" t="str">
        <f t="shared" si="145"/>
        <v/>
      </c>
      <c r="AI124" s="268" t="str">
        <f t="shared" si="145"/>
        <v/>
      </c>
      <c r="AJ124" s="268" t="str">
        <f t="shared" si="145"/>
        <v/>
      </c>
      <c r="AK124" s="268" t="str">
        <f t="shared" si="145"/>
        <v/>
      </c>
      <c r="AL124" s="268" t="str">
        <f t="shared" si="145"/>
        <v/>
      </c>
      <c r="AM124" s="268" t="str">
        <f t="shared" si="145"/>
        <v/>
      </c>
      <c r="AN124" s="268" t="str">
        <f t="shared" si="145"/>
        <v/>
      </c>
      <c r="AO124" s="268" t="str">
        <f t="shared" si="145"/>
        <v/>
      </c>
      <c r="AP124" s="268" t="str">
        <f t="shared" si="145"/>
        <v/>
      </c>
      <c r="AQ124" s="268" t="str">
        <f t="shared" si="145"/>
        <v/>
      </c>
      <c r="AR124" s="268" t="str">
        <f t="shared" si="145"/>
        <v/>
      </c>
      <c r="AS124" s="268" t="str">
        <f t="shared" si="145"/>
        <v/>
      </c>
      <c r="AT124" s="268" t="str">
        <f t="shared" si="145"/>
        <v/>
      </c>
      <c r="AU124" s="268" t="str">
        <f t="shared" si="145"/>
        <v/>
      </c>
      <c r="AV124" s="268" t="str">
        <f t="shared" si="145"/>
        <v/>
      </c>
      <c r="AW124" s="268" t="str">
        <f t="shared" si="145"/>
        <v/>
      </c>
      <c r="AX124" s="268" t="str">
        <f t="shared" si="145"/>
        <v/>
      </c>
      <c r="AY124" s="268" t="str">
        <f t="shared" si="145"/>
        <v/>
      </c>
      <c r="AZ124" s="268" t="str">
        <f t="shared" si="145"/>
        <v/>
      </c>
      <c r="BA124" s="268" t="str">
        <f t="shared" si="145"/>
        <v/>
      </c>
      <c r="BB124" s="268" t="str">
        <f t="shared" si="145"/>
        <v/>
      </c>
      <c r="BC124" s="268" t="str">
        <f t="shared" si="145"/>
        <v/>
      </c>
      <c r="BD124" s="268" t="str">
        <f t="shared" si="145"/>
        <v/>
      </c>
      <c r="BE124" s="268" t="str">
        <f t="shared" si="145"/>
        <v/>
      </c>
      <c r="BF124" s="268" t="str">
        <f t="shared" si="145"/>
        <v/>
      </c>
      <c r="BG124" s="268" t="str">
        <f t="shared" si="145"/>
        <v/>
      </c>
      <c r="BH124" s="268" t="str">
        <f t="shared" si="145"/>
        <v/>
      </c>
      <c r="BI124" s="268" t="str">
        <f t="shared" si="145"/>
        <v/>
      </c>
      <c r="BJ124" s="268" t="str">
        <f t="shared" si="145"/>
        <v/>
      </c>
      <c r="BK124" s="268" t="str">
        <f t="shared" si="145"/>
        <v/>
      </c>
      <c r="BL124" s="268" t="str">
        <f t="shared" si="145"/>
        <v/>
      </c>
      <c r="BM124" s="268" t="str">
        <f t="shared" si="145"/>
        <v/>
      </c>
      <c r="BN124" s="268" t="str">
        <f t="shared" si="145"/>
        <v/>
      </c>
      <c r="BO124" s="268" t="str">
        <f t="shared" si="145"/>
        <v/>
      </c>
      <c r="BP124" s="268" t="str">
        <f t="shared" si="145"/>
        <v/>
      </c>
      <c r="BQ124" s="268" t="str">
        <f t="shared" si="145"/>
        <v/>
      </c>
      <c r="BR124" s="268" t="str">
        <f t="shared" si="145"/>
        <v/>
      </c>
      <c r="BS124" s="268" t="str">
        <f t="shared" si="145"/>
        <v/>
      </c>
      <c r="BT124" s="268" t="str">
        <f t="shared" si="145"/>
        <v/>
      </c>
      <c r="BU124" s="268" t="str">
        <f t="shared" si="82"/>
        <v/>
      </c>
      <c r="BV124" s="247">
        <v>2.02</v>
      </c>
      <c r="BW124" s="729">
        <f t="shared" si="139"/>
        <v>1939.2</v>
      </c>
      <c r="BX124" s="730">
        <f t="shared" si="140"/>
        <v>15028.8</v>
      </c>
      <c r="BY124" s="731" t="str">
        <f t="shared" si="142"/>
        <v>SR</v>
      </c>
    </row>
    <row r="125" s="698" customFormat="1" customHeight="1" spans="1:77">
      <c r="A125" s="208">
        <v>46015</v>
      </c>
      <c r="B125" s="208">
        <v>46062</v>
      </c>
      <c r="C125" s="211"/>
      <c r="D125" s="211" t="s">
        <v>378</v>
      </c>
      <c r="E125" s="211" t="s">
        <v>38</v>
      </c>
      <c r="F125" s="732">
        <v>600</v>
      </c>
      <c r="G125" s="211" t="s">
        <v>327</v>
      </c>
      <c r="H125" s="211" t="str">
        <f>IFERROR(VLOOKUP(E125,名称!A:E,4,0),"")</f>
        <v>二代</v>
      </c>
      <c r="I125" s="268" t="str">
        <f t="shared" ref="I125:BT125" si="146">IF(OR($E125="",I$1=""),"",IF(TRIM(LEFT($E125,MIN(IFERROR(FIND("CDU",UPPER($E125)),999),IFERROR(FIND("BULK",UPPER($E125)),999),IFERROR(FIND("-",$E125),999),IFERROR(FIND("（",$E125),999))-1))=I$1,$F125,""))</f>
        <v/>
      </c>
      <c r="J125" s="268" t="str">
        <f t="shared" si="146"/>
        <v/>
      </c>
      <c r="K125" s="268" t="str">
        <f t="shared" si="146"/>
        <v/>
      </c>
      <c r="L125" s="268" t="str">
        <f t="shared" si="146"/>
        <v/>
      </c>
      <c r="M125" s="268" t="str">
        <f t="shared" si="146"/>
        <v/>
      </c>
      <c r="N125" s="268" t="str">
        <f t="shared" si="146"/>
        <v/>
      </c>
      <c r="O125" s="268" t="str">
        <f t="shared" si="146"/>
        <v/>
      </c>
      <c r="P125" s="268" t="str">
        <f t="shared" si="146"/>
        <v/>
      </c>
      <c r="Q125" s="268" t="str">
        <f t="shared" si="146"/>
        <v/>
      </c>
      <c r="R125" s="268" t="str">
        <f t="shared" si="146"/>
        <v/>
      </c>
      <c r="S125" s="268" t="str">
        <f t="shared" si="146"/>
        <v/>
      </c>
      <c r="T125" s="268">
        <f t="shared" si="146"/>
        <v>600</v>
      </c>
      <c r="U125" s="268" t="str">
        <f t="shared" si="146"/>
        <v/>
      </c>
      <c r="V125" s="268" t="str">
        <f t="shared" si="146"/>
        <v/>
      </c>
      <c r="W125" s="268" t="str">
        <f t="shared" si="146"/>
        <v/>
      </c>
      <c r="X125" s="268" t="str">
        <f t="shared" si="146"/>
        <v/>
      </c>
      <c r="Y125" s="268" t="str">
        <f t="shared" si="146"/>
        <v/>
      </c>
      <c r="Z125" s="268" t="str">
        <f t="shared" si="146"/>
        <v/>
      </c>
      <c r="AA125" s="268" t="str">
        <f t="shared" si="146"/>
        <v/>
      </c>
      <c r="AB125" s="268" t="str">
        <f t="shared" si="146"/>
        <v/>
      </c>
      <c r="AC125" s="268" t="str">
        <f t="shared" si="146"/>
        <v/>
      </c>
      <c r="AD125" s="268" t="str">
        <f t="shared" si="146"/>
        <v/>
      </c>
      <c r="AE125" s="268" t="str">
        <f t="shared" si="146"/>
        <v/>
      </c>
      <c r="AF125" s="268" t="str">
        <f t="shared" si="146"/>
        <v/>
      </c>
      <c r="AG125" s="268" t="str">
        <f t="shared" si="146"/>
        <v/>
      </c>
      <c r="AH125" s="268" t="str">
        <f t="shared" si="146"/>
        <v/>
      </c>
      <c r="AI125" s="268" t="str">
        <f t="shared" si="146"/>
        <v/>
      </c>
      <c r="AJ125" s="268" t="str">
        <f t="shared" si="146"/>
        <v/>
      </c>
      <c r="AK125" s="268" t="str">
        <f t="shared" si="146"/>
        <v/>
      </c>
      <c r="AL125" s="268" t="str">
        <f t="shared" si="146"/>
        <v/>
      </c>
      <c r="AM125" s="268" t="str">
        <f t="shared" si="146"/>
        <v/>
      </c>
      <c r="AN125" s="268" t="str">
        <f t="shared" si="146"/>
        <v/>
      </c>
      <c r="AO125" s="268" t="str">
        <f t="shared" si="146"/>
        <v/>
      </c>
      <c r="AP125" s="268" t="str">
        <f t="shared" si="146"/>
        <v/>
      </c>
      <c r="AQ125" s="268" t="str">
        <f t="shared" si="146"/>
        <v/>
      </c>
      <c r="AR125" s="268" t="str">
        <f t="shared" si="146"/>
        <v/>
      </c>
      <c r="AS125" s="268" t="str">
        <f t="shared" si="146"/>
        <v/>
      </c>
      <c r="AT125" s="268" t="str">
        <f t="shared" si="146"/>
        <v/>
      </c>
      <c r="AU125" s="268" t="str">
        <f t="shared" si="146"/>
        <v/>
      </c>
      <c r="AV125" s="268" t="str">
        <f t="shared" si="146"/>
        <v/>
      </c>
      <c r="AW125" s="268" t="str">
        <f t="shared" si="146"/>
        <v/>
      </c>
      <c r="AX125" s="268" t="str">
        <f t="shared" si="146"/>
        <v/>
      </c>
      <c r="AY125" s="268" t="str">
        <f t="shared" si="146"/>
        <v/>
      </c>
      <c r="AZ125" s="268" t="str">
        <f t="shared" si="146"/>
        <v/>
      </c>
      <c r="BA125" s="268" t="str">
        <f t="shared" si="146"/>
        <v/>
      </c>
      <c r="BB125" s="268" t="str">
        <f t="shared" si="146"/>
        <v/>
      </c>
      <c r="BC125" s="268" t="str">
        <f t="shared" si="146"/>
        <v/>
      </c>
      <c r="BD125" s="268" t="str">
        <f t="shared" si="146"/>
        <v/>
      </c>
      <c r="BE125" s="268" t="str">
        <f t="shared" si="146"/>
        <v/>
      </c>
      <c r="BF125" s="268" t="str">
        <f t="shared" si="146"/>
        <v/>
      </c>
      <c r="BG125" s="268" t="str">
        <f t="shared" si="146"/>
        <v/>
      </c>
      <c r="BH125" s="268" t="str">
        <f t="shared" si="146"/>
        <v/>
      </c>
      <c r="BI125" s="268" t="str">
        <f t="shared" si="146"/>
        <v/>
      </c>
      <c r="BJ125" s="268" t="str">
        <f t="shared" si="146"/>
        <v/>
      </c>
      <c r="BK125" s="268" t="str">
        <f t="shared" si="146"/>
        <v/>
      </c>
      <c r="BL125" s="268" t="str">
        <f t="shared" si="146"/>
        <v/>
      </c>
      <c r="BM125" s="268" t="str">
        <f t="shared" si="146"/>
        <v/>
      </c>
      <c r="BN125" s="268" t="str">
        <f t="shared" si="146"/>
        <v/>
      </c>
      <c r="BO125" s="268" t="str">
        <f t="shared" si="146"/>
        <v/>
      </c>
      <c r="BP125" s="268" t="str">
        <f t="shared" si="146"/>
        <v/>
      </c>
      <c r="BQ125" s="268" t="str">
        <f t="shared" si="146"/>
        <v/>
      </c>
      <c r="BR125" s="268" t="str">
        <f t="shared" si="146"/>
        <v/>
      </c>
      <c r="BS125" s="268" t="str">
        <f t="shared" si="146"/>
        <v/>
      </c>
      <c r="BT125" s="268" t="str">
        <f t="shared" si="146"/>
        <v/>
      </c>
      <c r="BU125" s="268" t="str">
        <f t="shared" si="82"/>
        <v/>
      </c>
      <c r="BV125" s="247">
        <v>3.09</v>
      </c>
      <c r="BW125" s="729">
        <f t="shared" si="139"/>
        <v>1854</v>
      </c>
      <c r="BX125" s="730">
        <f t="shared" si="140"/>
        <v>14368.5</v>
      </c>
      <c r="BY125" s="731" t="str">
        <f t="shared" si="142"/>
        <v>SR</v>
      </c>
    </row>
    <row r="126" s="698" customFormat="1" customHeight="1" spans="1:77">
      <c r="A126" s="208">
        <v>46015</v>
      </c>
      <c r="B126" s="208">
        <v>46062</v>
      </c>
      <c r="C126" s="211"/>
      <c r="D126" s="211" t="s">
        <v>378</v>
      </c>
      <c r="E126" s="211" t="s">
        <v>73</v>
      </c>
      <c r="F126" s="732">
        <v>1920</v>
      </c>
      <c r="G126" s="211" t="s">
        <v>327</v>
      </c>
      <c r="H126" s="211" t="str">
        <f>IFERROR(VLOOKUP(E126,名称!A:E,4,0),"")</f>
        <v>二代</v>
      </c>
      <c r="I126" s="268" t="str">
        <f t="shared" ref="I126:BT126" si="147">IF(OR($E126="",I$1=""),"",IF(TRIM(LEFT($E126,MIN(IFERROR(FIND("CDU",UPPER($E126)),999),IFERROR(FIND("BULK",UPPER($E126)),999),IFERROR(FIND("-",$E126),999),IFERROR(FIND("（",$E126),999))-1))=I$1,$F126,""))</f>
        <v/>
      </c>
      <c r="J126" s="268" t="str">
        <f t="shared" si="147"/>
        <v/>
      </c>
      <c r="K126" s="268" t="str">
        <f t="shared" si="147"/>
        <v/>
      </c>
      <c r="L126" s="268" t="str">
        <f t="shared" si="147"/>
        <v/>
      </c>
      <c r="M126" s="268" t="str">
        <f t="shared" si="147"/>
        <v/>
      </c>
      <c r="N126" s="268" t="str">
        <f t="shared" si="147"/>
        <v/>
      </c>
      <c r="O126" s="268" t="str">
        <f t="shared" si="147"/>
        <v/>
      </c>
      <c r="P126" s="268" t="str">
        <f t="shared" si="147"/>
        <v/>
      </c>
      <c r="Q126" s="268" t="str">
        <f t="shared" si="147"/>
        <v/>
      </c>
      <c r="R126" s="268" t="str">
        <f t="shared" si="147"/>
        <v/>
      </c>
      <c r="S126" s="268" t="str">
        <f t="shared" si="147"/>
        <v/>
      </c>
      <c r="T126" s="268" t="str">
        <f t="shared" si="147"/>
        <v/>
      </c>
      <c r="U126" s="268" t="str">
        <f t="shared" si="147"/>
        <v/>
      </c>
      <c r="V126" s="268" t="str">
        <f t="shared" si="147"/>
        <v/>
      </c>
      <c r="W126" s="268">
        <f t="shared" si="147"/>
        <v>1920</v>
      </c>
      <c r="X126" s="268" t="str">
        <f t="shared" si="147"/>
        <v/>
      </c>
      <c r="Y126" s="268" t="str">
        <f t="shared" si="147"/>
        <v/>
      </c>
      <c r="Z126" s="268" t="str">
        <f t="shared" si="147"/>
        <v/>
      </c>
      <c r="AA126" s="268" t="str">
        <f t="shared" si="147"/>
        <v/>
      </c>
      <c r="AB126" s="268" t="str">
        <f t="shared" si="147"/>
        <v/>
      </c>
      <c r="AC126" s="268" t="str">
        <f t="shared" si="147"/>
        <v/>
      </c>
      <c r="AD126" s="268" t="str">
        <f t="shared" si="147"/>
        <v/>
      </c>
      <c r="AE126" s="268" t="str">
        <f t="shared" si="147"/>
        <v/>
      </c>
      <c r="AF126" s="268" t="str">
        <f t="shared" si="147"/>
        <v/>
      </c>
      <c r="AG126" s="268" t="str">
        <f t="shared" si="147"/>
        <v/>
      </c>
      <c r="AH126" s="268" t="str">
        <f t="shared" si="147"/>
        <v/>
      </c>
      <c r="AI126" s="268" t="str">
        <f t="shared" si="147"/>
        <v/>
      </c>
      <c r="AJ126" s="268" t="str">
        <f t="shared" si="147"/>
        <v/>
      </c>
      <c r="AK126" s="268" t="str">
        <f t="shared" si="147"/>
        <v/>
      </c>
      <c r="AL126" s="268" t="str">
        <f t="shared" si="147"/>
        <v/>
      </c>
      <c r="AM126" s="268" t="str">
        <f t="shared" si="147"/>
        <v/>
      </c>
      <c r="AN126" s="268" t="str">
        <f t="shared" si="147"/>
        <v/>
      </c>
      <c r="AO126" s="268" t="str">
        <f t="shared" si="147"/>
        <v/>
      </c>
      <c r="AP126" s="268" t="str">
        <f t="shared" si="147"/>
        <v/>
      </c>
      <c r="AQ126" s="268" t="str">
        <f t="shared" si="147"/>
        <v/>
      </c>
      <c r="AR126" s="268" t="str">
        <f t="shared" si="147"/>
        <v/>
      </c>
      <c r="AS126" s="268" t="str">
        <f t="shared" si="147"/>
        <v/>
      </c>
      <c r="AT126" s="268" t="str">
        <f t="shared" si="147"/>
        <v/>
      </c>
      <c r="AU126" s="268" t="str">
        <f t="shared" si="147"/>
        <v/>
      </c>
      <c r="AV126" s="268" t="str">
        <f t="shared" si="147"/>
        <v/>
      </c>
      <c r="AW126" s="268" t="str">
        <f t="shared" si="147"/>
        <v/>
      </c>
      <c r="AX126" s="268" t="str">
        <f t="shared" si="147"/>
        <v/>
      </c>
      <c r="AY126" s="268" t="str">
        <f t="shared" si="147"/>
        <v/>
      </c>
      <c r="AZ126" s="268" t="str">
        <f t="shared" si="147"/>
        <v/>
      </c>
      <c r="BA126" s="268" t="str">
        <f t="shared" si="147"/>
        <v/>
      </c>
      <c r="BB126" s="268" t="str">
        <f t="shared" si="147"/>
        <v/>
      </c>
      <c r="BC126" s="268" t="str">
        <f t="shared" si="147"/>
        <v/>
      </c>
      <c r="BD126" s="268" t="str">
        <f t="shared" si="147"/>
        <v/>
      </c>
      <c r="BE126" s="268" t="str">
        <f t="shared" si="147"/>
        <v/>
      </c>
      <c r="BF126" s="268" t="str">
        <f t="shared" si="147"/>
        <v/>
      </c>
      <c r="BG126" s="268" t="str">
        <f t="shared" si="147"/>
        <v/>
      </c>
      <c r="BH126" s="268" t="str">
        <f t="shared" si="147"/>
        <v/>
      </c>
      <c r="BI126" s="268" t="str">
        <f t="shared" si="147"/>
        <v/>
      </c>
      <c r="BJ126" s="268" t="str">
        <f t="shared" si="147"/>
        <v/>
      </c>
      <c r="BK126" s="268" t="str">
        <f t="shared" si="147"/>
        <v/>
      </c>
      <c r="BL126" s="268" t="str">
        <f t="shared" si="147"/>
        <v/>
      </c>
      <c r="BM126" s="268" t="str">
        <f t="shared" si="147"/>
        <v/>
      </c>
      <c r="BN126" s="268" t="str">
        <f t="shared" si="147"/>
        <v/>
      </c>
      <c r="BO126" s="268" t="str">
        <f t="shared" si="147"/>
        <v/>
      </c>
      <c r="BP126" s="268" t="str">
        <f t="shared" si="147"/>
        <v/>
      </c>
      <c r="BQ126" s="268" t="str">
        <f t="shared" si="147"/>
        <v/>
      </c>
      <c r="BR126" s="268" t="str">
        <f t="shared" si="147"/>
        <v/>
      </c>
      <c r="BS126" s="268" t="str">
        <f t="shared" si="147"/>
        <v/>
      </c>
      <c r="BT126" s="268" t="str">
        <f t="shared" si="147"/>
        <v/>
      </c>
      <c r="BU126" s="268" t="str">
        <f t="shared" si="82"/>
        <v/>
      </c>
      <c r="BV126" s="247">
        <v>1.58</v>
      </c>
      <c r="BW126" s="729">
        <f t="shared" si="139"/>
        <v>3033.6</v>
      </c>
      <c r="BX126" s="730">
        <f t="shared" si="140"/>
        <v>23510.4</v>
      </c>
      <c r="BY126" s="731" t="str">
        <f t="shared" si="142"/>
        <v>SR</v>
      </c>
    </row>
    <row r="127" s="698" customFormat="1" customHeight="1" spans="1:77">
      <c r="A127" s="208">
        <v>46015</v>
      </c>
      <c r="B127" s="208">
        <v>46062</v>
      </c>
      <c r="C127" s="211"/>
      <c r="D127" s="211" t="s">
        <v>378</v>
      </c>
      <c r="E127" s="211" t="s">
        <v>69</v>
      </c>
      <c r="F127" s="732">
        <v>300</v>
      </c>
      <c r="G127" s="211" t="s">
        <v>327</v>
      </c>
      <c r="H127" s="211" t="str">
        <f>IFERROR(VLOOKUP(E127,名称!A:E,4,0),"")</f>
        <v>二代</v>
      </c>
      <c r="I127" s="268" t="str">
        <f t="shared" ref="I127:BT127" si="148">IF(OR($E127="",I$1=""),"",IF(TRIM(LEFT($E127,MIN(IFERROR(FIND("CDU",UPPER($E127)),999),IFERROR(FIND("BULK",UPPER($E127)),999),IFERROR(FIND("-",$E127),999),IFERROR(FIND("（",$E127),999))-1))=I$1,$F127,""))</f>
        <v/>
      </c>
      <c r="J127" s="268" t="str">
        <f t="shared" si="148"/>
        <v/>
      </c>
      <c r="K127" s="268" t="str">
        <f t="shared" si="148"/>
        <v/>
      </c>
      <c r="L127" s="268" t="str">
        <f t="shared" si="148"/>
        <v/>
      </c>
      <c r="M127" s="268" t="str">
        <f t="shared" si="148"/>
        <v/>
      </c>
      <c r="N127" s="268" t="str">
        <f t="shared" si="148"/>
        <v/>
      </c>
      <c r="O127" s="268" t="str">
        <f t="shared" si="148"/>
        <v/>
      </c>
      <c r="P127" s="268" t="str">
        <f t="shared" si="148"/>
        <v/>
      </c>
      <c r="Q127" s="268" t="str">
        <f t="shared" si="148"/>
        <v/>
      </c>
      <c r="R127" s="268" t="str">
        <f t="shared" si="148"/>
        <v/>
      </c>
      <c r="S127" s="268" t="str">
        <f t="shared" si="148"/>
        <v/>
      </c>
      <c r="T127" s="268" t="str">
        <f t="shared" si="148"/>
        <v/>
      </c>
      <c r="U127" s="268">
        <f t="shared" si="148"/>
        <v>300</v>
      </c>
      <c r="V127" s="268" t="str">
        <f t="shared" si="148"/>
        <v/>
      </c>
      <c r="W127" s="268" t="str">
        <f t="shared" si="148"/>
        <v/>
      </c>
      <c r="X127" s="268" t="str">
        <f t="shared" si="148"/>
        <v/>
      </c>
      <c r="Y127" s="268" t="str">
        <f t="shared" si="148"/>
        <v/>
      </c>
      <c r="Z127" s="268" t="str">
        <f t="shared" si="148"/>
        <v/>
      </c>
      <c r="AA127" s="268" t="str">
        <f t="shared" si="148"/>
        <v/>
      </c>
      <c r="AB127" s="268" t="str">
        <f t="shared" si="148"/>
        <v/>
      </c>
      <c r="AC127" s="268" t="str">
        <f t="shared" si="148"/>
        <v/>
      </c>
      <c r="AD127" s="268" t="str">
        <f t="shared" si="148"/>
        <v/>
      </c>
      <c r="AE127" s="268" t="str">
        <f t="shared" si="148"/>
        <v/>
      </c>
      <c r="AF127" s="268" t="str">
        <f t="shared" si="148"/>
        <v/>
      </c>
      <c r="AG127" s="268" t="str">
        <f t="shared" si="148"/>
        <v/>
      </c>
      <c r="AH127" s="268" t="str">
        <f t="shared" si="148"/>
        <v/>
      </c>
      <c r="AI127" s="268" t="str">
        <f t="shared" si="148"/>
        <v/>
      </c>
      <c r="AJ127" s="268" t="str">
        <f t="shared" si="148"/>
        <v/>
      </c>
      <c r="AK127" s="268" t="str">
        <f t="shared" si="148"/>
        <v/>
      </c>
      <c r="AL127" s="268" t="str">
        <f t="shared" si="148"/>
        <v/>
      </c>
      <c r="AM127" s="268" t="str">
        <f t="shared" si="148"/>
        <v/>
      </c>
      <c r="AN127" s="268" t="str">
        <f t="shared" si="148"/>
        <v/>
      </c>
      <c r="AO127" s="268" t="str">
        <f t="shared" si="148"/>
        <v/>
      </c>
      <c r="AP127" s="268" t="str">
        <f t="shared" si="148"/>
        <v/>
      </c>
      <c r="AQ127" s="268" t="str">
        <f t="shared" si="148"/>
        <v/>
      </c>
      <c r="AR127" s="268" t="str">
        <f t="shared" si="148"/>
        <v/>
      </c>
      <c r="AS127" s="268" t="str">
        <f t="shared" si="148"/>
        <v/>
      </c>
      <c r="AT127" s="268" t="str">
        <f t="shared" si="148"/>
        <v/>
      </c>
      <c r="AU127" s="268" t="str">
        <f t="shared" si="148"/>
        <v/>
      </c>
      <c r="AV127" s="268" t="str">
        <f t="shared" si="148"/>
        <v/>
      </c>
      <c r="AW127" s="268" t="str">
        <f t="shared" si="148"/>
        <v/>
      </c>
      <c r="AX127" s="268" t="str">
        <f t="shared" si="148"/>
        <v/>
      </c>
      <c r="AY127" s="268" t="str">
        <f t="shared" si="148"/>
        <v/>
      </c>
      <c r="AZ127" s="268" t="str">
        <f t="shared" si="148"/>
        <v/>
      </c>
      <c r="BA127" s="268" t="str">
        <f t="shared" si="148"/>
        <v/>
      </c>
      <c r="BB127" s="268" t="str">
        <f t="shared" si="148"/>
        <v/>
      </c>
      <c r="BC127" s="268" t="str">
        <f t="shared" si="148"/>
        <v/>
      </c>
      <c r="BD127" s="268" t="str">
        <f t="shared" si="148"/>
        <v/>
      </c>
      <c r="BE127" s="268" t="str">
        <f t="shared" si="148"/>
        <v/>
      </c>
      <c r="BF127" s="268" t="str">
        <f t="shared" si="148"/>
        <v/>
      </c>
      <c r="BG127" s="268" t="str">
        <f t="shared" si="148"/>
        <v/>
      </c>
      <c r="BH127" s="268" t="str">
        <f t="shared" si="148"/>
        <v/>
      </c>
      <c r="BI127" s="268" t="str">
        <f t="shared" si="148"/>
        <v/>
      </c>
      <c r="BJ127" s="268" t="str">
        <f t="shared" si="148"/>
        <v/>
      </c>
      <c r="BK127" s="268" t="str">
        <f t="shared" si="148"/>
        <v/>
      </c>
      <c r="BL127" s="268" t="str">
        <f t="shared" si="148"/>
        <v/>
      </c>
      <c r="BM127" s="268" t="str">
        <f t="shared" si="148"/>
        <v/>
      </c>
      <c r="BN127" s="268" t="str">
        <f t="shared" si="148"/>
        <v/>
      </c>
      <c r="BO127" s="268" t="str">
        <f t="shared" si="148"/>
        <v/>
      </c>
      <c r="BP127" s="268" t="str">
        <f t="shared" si="148"/>
        <v/>
      </c>
      <c r="BQ127" s="268" t="str">
        <f t="shared" si="148"/>
        <v/>
      </c>
      <c r="BR127" s="268" t="str">
        <f t="shared" si="148"/>
        <v/>
      </c>
      <c r="BS127" s="268" t="str">
        <f t="shared" si="148"/>
        <v/>
      </c>
      <c r="BT127" s="268" t="str">
        <f t="shared" si="148"/>
        <v/>
      </c>
      <c r="BU127" s="268" t="str">
        <f t="shared" si="82"/>
        <v/>
      </c>
      <c r="BV127" s="247">
        <v>9.15</v>
      </c>
      <c r="BW127" s="729">
        <f t="shared" si="139"/>
        <v>2745</v>
      </c>
      <c r="BX127" s="730">
        <f t="shared" si="140"/>
        <v>21273.75</v>
      </c>
      <c r="BY127" s="731" t="str">
        <f t="shared" si="142"/>
        <v>SR</v>
      </c>
    </row>
    <row r="128" s="698" customFormat="1" customHeight="1" spans="1:77">
      <c r="A128" s="208">
        <v>46015</v>
      </c>
      <c r="B128" s="208">
        <v>46062</v>
      </c>
      <c r="C128" s="211"/>
      <c r="D128" s="211" t="s">
        <v>378</v>
      </c>
      <c r="E128" s="211" t="s">
        <v>53</v>
      </c>
      <c r="F128" s="732">
        <v>1440</v>
      </c>
      <c r="G128" s="211" t="s">
        <v>327</v>
      </c>
      <c r="H128" s="211" t="str">
        <f>IFERROR(VLOOKUP(E128,名称!A:E,4,0),"")</f>
        <v>二代</v>
      </c>
      <c r="I128" s="268" t="str">
        <f t="shared" ref="I128:BT128" si="149">IF(OR($E128="",I$1=""),"",IF(TRIM(LEFT($E128,MIN(IFERROR(FIND("CDU",UPPER($E128)),999),IFERROR(FIND("BULK",UPPER($E128)),999),IFERROR(FIND("-",$E128),999),IFERROR(FIND("（",$E128),999))-1))=I$1,$F128,""))</f>
        <v/>
      </c>
      <c r="J128" s="268" t="str">
        <f t="shared" si="149"/>
        <v/>
      </c>
      <c r="K128" s="268" t="str">
        <f t="shared" si="149"/>
        <v/>
      </c>
      <c r="L128" s="268" t="str">
        <f t="shared" si="149"/>
        <v/>
      </c>
      <c r="M128" s="268" t="str">
        <f t="shared" si="149"/>
        <v/>
      </c>
      <c r="N128" s="268" t="str">
        <f t="shared" si="149"/>
        <v/>
      </c>
      <c r="O128" s="268" t="str">
        <f t="shared" si="149"/>
        <v/>
      </c>
      <c r="P128" s="268" t="str">
        <f t="shared" si="149"/>
        <v/>
      </c>
      <c r="Q128" s="268" t="str">
        <f t="shared" si="149"/>
        <v/>
      </c>
      <c r="R128" s="268" t="str">
        <f t="shared" si="149"/>
        <v/>
      </c>
      <c r="S128" s="268" t="str">
        <f t="shared" si="149"/>
        <v/>
      </c>
      <c r="T128" s="268" t="str">
        <f t="shared" si="149"/>
        <v/>
      </c>
      <c r="U128" s="268" t="str">
        <f t="shared" si="149"/>
        <v/>
      </c>
      <c r="V128" s="268" t="str">
        <f t="shared" si="149"/>
        <v/>
      </c>
      <c r="W128" s="268" t="str">
        <f t="shared" si="149"/>
        <v/>
      </c>
      <c r="X128" s="268" t="str">
        <f t="shared" si="149"/>
        <v/>
      </c>
      <c r="Y128" s="268" t="str">
        <f t="shared" si="149"/>
        <v/>
      </c>
      <c r="Z128" s="268" t="str">
        <f t="shared" si="149"/>
        <v/>
      </c>
      <c r="AA128" s="268">
        <f t="shared" si="149"/>
        <v>1440</v>
      </c>
      <c r="AB128" s="268" t="str">
        <f t="shared" si="149"/>
        <v/>
      </c>
      <c r="AC128" s="268" t="str">
        <f t="shared" si="149"/>
        <v/>
      </c>
      <c r="AD128" s="268" t="str">
        <f t="shared" si="149"/>
        <v/>
      </c>
      <c r="AE128" s="268" t="str">
        <f t="shared" si="149"/>
        <v/>
      </c>
      <c r="AF128" s="268" t="str">
        <f t="shared" si="149"/>
        <v/>
      </c>
      <c r="AG128" s="268" t="str">
        <f t="shared" si="149"/>
        <v/>
      </c>
      <c r="AH128" s="268" t="str">
        <f t="shared" si="149"/>
        <v/>
      </c>
      <c r="AI128" s="268" t="str">
        <f t="shared" si="149"/>
        <v/>
      </c>
      <c r="AJ128" s="268" t="str">
        <f t="shared" si="149"/>
        <v/>
      </c>
      <c r="AK128" s="268" t="str">
        <f t="shared" si="149"/>
        <v/>
      </c>
      <c r="AL128" s="268" t="str">
        <f t="shared" si="149"/>
        <v/>
      </c>
      <c r="AM128" s="268" t="str">
        <f t="shared" si="149"/>
        <v/>
      </c>
      <c r="AN128" s="268" t="str">
        <f t="shared" si="149"/>
        <v/>
      </c>
      <c r="AO128" s="268" t="str">
        <f t="shared" si="149"/>
        <v/>
      </c>
      <c r="AP128" s="268" t="str">
        <f t="shared" si="149"/>
        <v/>
      </c>
      <c r="AQ128" s="268" t="str">
        <f t="shared" si="149"/>
        <v/>
      </c>
      <c r="AR128" s="268" t="str">
        <f t="shared" si="149"/>
        <v/>
      </c>
      <c r="AS128" s="268" t="str">
        <f t="shared" si="149"/>
        <v/>
      </c>
      <c r="AT128" s="268" t="str">
        <f t="shared" si="149"/>
        <v/>
      </c>
      <c r="AU128" s="268" t="str">
        <f t="shared" si="149"/>
        <v/>
      </c>
      <c r="AV128" s="268" t="str">
        <f t="shared" si="149"/>
        <v/>
      </c>
      <c r="AW128" s="268" t="str">
        <f t="shared" si="149"/>
        <v/>
      </c>
      <c r="AX128" s="268" t="str">
        <f t="shared" si="149"/>
        <v/>
      </c>
      <c r="AY128" s="268" t="str">
        <f t="shared" si="149"/>
        <v/>
      </c>
      <c r="AZ128" s="268" t="str">
        <f t="shared" si="149"/>
        <v/>
      </c>
      <c r="BA128" s="268" t="str">
        <f t="shared" si="149"/>
        <v/>
      </c>
      <c r="BB128" s="268" t="str">
        <f t="shared" si="149"/>
        <v/>
      </c>
      <c r="BC128" s="268" t="str">
        <f t="shared" si="149"/>
        <v/>
      </c>
      <c r="BD128" s="268" t="str">
        <f t="shared" si="149"/>
        <v/>
      </c>
      <c r="BE128" s="268" t="str">
        <f t="shared" si="149"/>
        <v/>
      </c>
      <c r="BF128" s="268" t="str">
        <f t="shared" si="149"/>
        <v/>
      </c>
      <c r="BG128" s="268" t="str">
        <f t="shared" si="149"/>
        <v/>
      </c>
      <c r="BH128" s="268" t="str">
        <f t="shared" si="149"/>
        <v/>
      </c>
      <c r="BI128" s="268" t="str">
        <f t="shared" si="149"/>
        <v/>
      </c>
      <c r="BJ128" s="268" t="str">
        <f t="shared" si="149"/>
        <v/>
      </c>
      <c r="BK128" s="268" t="str">
        <f t="shared" si="149"/>
        <v/>
      </c>
      <c r="BL128" s="268" t="str">
        <f t="shared" si="149"/>
        <v/>
      </c>
      <c r="BM128" s="268" t="str">
        <f t="shared" si="149"/>
        <v/>
      </c>
      <c r="BN128" s="268" t="str">
        <f t="shared" si="149"/>
        <v/>
      </c>
      <c r="BO128" s="268" t="str">
        <f t="shared" si="149"/>
        <v/>
      </c>
      <c r="BP128" s="268" t="str">
        <f t="shared" si="149"/>
        <v/>
      </c>
      <c r="BQ128" s="268" t="str">
        <f t="shared" si="149"/>
        <v/>
      </c>
      <c r="BR128" s="268" t="str">
        <f t="shared" si="149"/>
        <v/>
      </c>
      <c r="BS128" s="268" t="str">
        <f t="shared" si="149"/>
        <v/>
      </c>
      <c r="BT128" s="268" t="str">
        <f t="shared" si="149"/>
        <v/>
      </c>
      <c r="BU128" s="268" t="str">
        <f t="shared" si="82"/>
        <v/>
      </c>
      <c r="BV128" s="247">
        <v>0.59</v>
      </c>
      <c r="BW128" s="729">
        <f t="shared" si="139"/>
        <v>849.6</v>
      </c>
      <c r="BX128" s="730">
        <f t="shared" si="140"/>
        <v>6584.4</v>
      </c>
      <c r="BY128" s="731" t="str">
        <f t="shared" si="142"/>
        <v>JS</v>
      </c>
    </row>
    <row r="129" s="698" customFormat="1" customHeight="1" spans="1:77">
      <c r="A129" s="208">
        <v>46015</v>
      </c>
      <c r="B129" s="208">
        <v>46062</v>
      </c>
      <c r="C129" s="211"/>
      <c r="D129" s="211" t="s">
        <v>378</v>
      </c>
      <c r="E129" s="211" t="s">
        <v>28</v>
      </c>
      <c r="F129" s="732">
        <v>1392</v>
      </c>
      <c r="G129" s="211" t="s">
        <v>327</v>
      </c>
      <c r="H129" s="211" t="str">
        <f>IFERROR(VLOOKUP(E129,名称!A:E,4,0),"")</f>
        <v>二代</v>
      </c>
      <c r="I129" s="268" t="str">
        <f t="shared" ref="I129:BT129" si="150">IF(OR($E129="",I$1=""),"",IF(TRIM(LEFT($E129,MIN(IFERROR(FIND("CDU",UPPER($E129)),999),IFERROR(FIND("BULK",UPPER($E129)),999),IFERROR(FIND("-",$E129),999),IFERROR(FIND("（",$E129),999))-1))=I$1,$F129,""))</f>
        <v/>
      </c>
      <c r="J129" s="268" t="str">
        <f t="shared" si="150"/>
        <v/>
      </c>
      <c r="K129" s="268" t="str">
        <f t="shared" si="150"/>
        <v/>
      </c>
      <c r="L129" s="268" t="str">
        <f t="shared" si="150"/>
        <v/>
      </c>
      <c r="M129" s="268" t="str">
        <f t="shared" si="150"/>
        <v/>
      </c>
      <c r="N129" s="268" t="str">
        <f t="shared" si="150"/>
        <v/>
      </c>
      <c r="O129" s="268" t="str">
        <f t="shared" si="150"/>
        <v/>
      </c>
      <c r="P129" s="268" t="str">
        <f t="shared" si="150"/>
        <v/>
      </c>
      <c r="Q129" s="268" t="str">
        <f t="shared" si="150"/>
        <v/>
      </c>
      <c r="R129" s="268" t="str">
        <f t="shared" si="150"/>
        <v/>
      </c>
      <c r="S129" s="268" t="str">
        <f t="shared" si="150"/>
        <v/>
      </c>
      <c r="T129" s="268" t="str">
        <f t="shared" si="150"/>
        <v/>
      </c>
      <c r="U129" s="268" t="str">
        <f t="shared" si="150"/>
        <v/>
      </c>
      <c r="V129" s="268" t="str">
        <f t="shared" si="150"/>
        <v/>
      </c>
      <c r="W129" s="268" t="str">
        <f t="shared" si="150"/>
        <v/>
      </c>
      <c r="X129" s="268" t="str">
        <f t="shared" si="150"/>
        <v/>
      </c>
      <c r="Y129" s="268" t="str">
        <f t="shared" si="150"/>
        <v/>
      </c>
      <c r="Z129" s="268" t="str">
        <f t="shared" si="150"/>
        <v/>
      </c>
      <c r="AA129" s="268" t="str">
        <f t="shared" si="150"/>
        <v/>
      </c>
      <c r="AB129" s="268">
        <f t="shared" si="150"/>
        <v>1392</v>
      </c>
      <c r="AC129" s="268" t="str">
        <f t="shared" si="150"/>
        <v/>
      </c>
      <c r="AD129" s="268" t="str">
        <f t="shared" si="150"/>
        <v/>
      </c>
      <c r="AE129" s="268" t="str">
        <f t="shared" si="150"/>
        <v/>
      </c>
      <c r="AF129" s="268" t="str">
        <f t="shared" si="150"/>
        <v/>
      </c>
      <c r="AG129" s="268" t="str">
        <f t="shared" si="150"/>
        <v/>
      </c>
      <c r="AH129" s="268" t="str">
        <f t="shared" si="150"/>
        <v/>
      </c>
      <c r="AI129" s="268" t="str">
        <f t="shared" si="150"/>
        <v/>
      </c>
      <c r="AJ129" s="268" t="str">
        <f t="shared" si="150"/>
        <v/>
      </c>
      <c r="AK129" s="268" t="str">
        <f t="shared" si="150"/>
        <v/>
      </c>
      <c r="AL129" s="268" t="str">
        <f t="shared" si="150"/>
        <v/>
      </c>
      <c r="AM129" s="268" t="str">
        <f t="shared" si="150"/>
        <v/>
      </c>
      <c r="AN129" s="268" t="str">
        <f t="shared" si="150"/>
        <v/>
      </c>
      <c r="AO129" s="268" t="str">
        <f t="shared" si="150"/>
        <v/>
      </c>
      <c r="AP129" s="268" t="str">
        <f t="shared" si="150"/>
        <v/>
      </c>
      <c r="AQ129" s="268" t="str">
        <f t="shared" si="150"/>
        <v/>
      </c>
      <c r="AR129" s="268" t="str">
        <f t="shared" si="150"/>
        <v/>
      </c>
      <c r="AS129" s="268" t="str">
        <f t="shared" si="150"/>
        <v/>
      </c>
      <c r="AT129" s="268" t="str">
        <f t="shared" si="150"/>
        <v/>
      </c>
      <c r="AU129" s="268" t="str">
        <f t="shared" si="150"/>
        <v/>
      </c>
      <c r="AV129" s="268" t="str">
        <f t="shared" si="150"/>
        <v/>
      </c>
      <c r="AW129" s="268" t="str">
        <f t="shared" si="150"/>
        <v/>
      </c>
      <c r="AX129" s="268" t="str">
        <f t="shared" si="150"/>
        <v/>
      </c>
      <c r="AY129" s="268" t="str">
        <f t="shared" si="150"/>
        <v/>
      </c>
      <c r="AZ129" s="268" t="str">
        <f t="shared" si="150"/>
        <v/>
      </c>
      <c r="BA129" s="268" t="str">
        <f t="shared" si="150"/>
        <v/>
      </c>
      <c r="BB129" s="268" t="str">
        <f t="shared" si="150"/>
        <v/>
      </c>
      <c r="BC129" s="268" t="str">
        <f t="shared" si="150"/>
        <v/>
      </c>
      <c r="BD129" s="268" t="str">
        <f t="shared" si="150"/>
        <v/>
      </c>
      <c r="BE129" s="268" t="str">
        <f t="shared" si="150"/>
        <v/>
      </c>
      <c r="BF129" s="268" t="str">
        <f t="shared" si="150"/>
        <v/>
      </c>
      <c r="BG129" s="268" t="str">
        <f t="shared" si="150"/>
        <v/>
      </c>
      <c r="BH129" s="268" t="str">
        <f t="shared" si="150"/>
        <v/>
      </c>
      <c r="BI129" s="268" t="str">
        <f t="shared" si="150"/>
        <v/>
      </c>
      <c r="BJ129" s="268" t="str">
        <f t="shared" si="150"/>
        <v/>
      </c>
      <c r="BK129" s="268" t="str">
        <f t="shared" si="150"/>
        <v/>
      </c>
      <c r="BL129" s="268" t="str">
        <f t="shared" si="150"/>
        <v/>
      </c>
      <c r="BM129" s="268" t="str">
        <f t="shared" si="150"/>
        <v/>
      </c>
      <c r="BN129" s="268" t="str">
        <f t="shared" si="150"/>
        <v/>
      </c>
      <c r="BO129" s="268" t="str">
        <f t="shared" si="150"/>
        <v/>
      </c>
      <c r="BP129" s="268" t="str">
        <f t="shared" si="150"/>
        <v/>
      </c>
      <c r="BQ129" s="268" t="str">
        <f t="shared" si="150"/>
        <v/>
      </c>
      <c r="BR129" s="268" t="str">
        <f t="shared" si="150"/>
        <v/>
      </c>
      <c r="BS129" s="268" t="str">
        <f t="shared" si="150"/>
        <v/>
      </c>
      <c r="BT129" s="268" t="str">
        <f t="shared" si="150"/>
        <v/>
      </c>
      <c r="BU129" s="268" t="str">
        <f t="shared" si="82"/>
        <v/>
      </c>
      <c r="BV129" s="247">
        <v>1.24</v>
      </c>
      <c r="BW129" s="729">
        <f t="shared" si="139"/>
        <v>1726.08</v>
      </c>
      <c r="BX129" s="730">
        <f t="shared" si="140"/>
        <v>13377.12</v>
      </c>
      <c r="BY129" s="731" t="str">
        <f t="shared" si="142"/>
        <v>JS</v>
      </c>
    </row>
    <row r="130" s="698" customFormat="1" customHeight="1" spans="1:77">
      <c r="A130" s="208">
        <v>46015</v>
      </c>
      <c r="B130" s="208">
        <v>46062</v>
      </c>
      <c r="C130" s="211"/>
      <c r="D130" s="211" t="s">
        <v>378</v>
      </c>
      <c r="E130" s="211" t="s">
        <v>65</v>
      </c>
      <c r="F130" s="732">
        <v>2400</v>
      </c>
      <c r="G130" s="211" t="s">
        <v>327</v>
      </c>
      <c r="H130" s="211" t="str">
        <f>IFERROR(VLOOKUP(E130,名称!A:E,4,0),"")</f>
        <v>二代</v>
      </c>
      <c r="I130" s="268" t="str">
        <f t="shared" ref="I130:BT130" si="151">IF(OR($E130="",I$1=""),"",IF(TRIM(LEFT($E130,MIN(IFERROR(FIND("CDU",UPPER($E130)),999),IFERROR(FIND("BULK",UPPER($E130)),999),IFERROR(FIND("-",$E130),999),IFERROR(FIND("（",$E130),999))-1))=I$1,$F130,""))</f>
        <v/>
      </c>
      <c r="J130" s="268" t="str">
        <f t="shared" si="151"/>
        <v/>
      </c>
      <c r="K130" s="268" t="str">
        <f t="shared" si="151"/>
        <v/>
      </c>
      <c r="L130" s="268" t="str">
        <f t="shared" si="151"/>
        <v/>
      </c>
      <c r="M130" s="268" t="str">
        <f t="shared" si="151"/>
        <v/>
      </c>
      <c r="N130" s="268" t="str">
        <f t="shared" si="151"/>
        <v/>
      </c>
      <c r="O130" s="268" t="str">
        <f t="shared" si="151"/>
        <v/>
      </c>
      <c r="P130" s="268" t="str">
        <f t="shared" si="151"/>
        <v/>
      </c>
      <c r="Q130" s="268">
        <f t="shared" si="151"/>
        <v>2400</v>
      </c>
      <c r="R130" s="268" t="str">
        <f t="shared" si="151"/>
        <v/>
      </c>
      <c r="S130" s="268" t="str">
        <f t="shared" si="151"/>
        <v/>
      </c>
      <c r="T130" s="268" t="str">
        <f t="shared" si="151"/>
        <v/>
      </c>
      <c r="U130" s="268" t="str">
        <f t="shared" si="151"/>
        <v/>
      </c>
      <c r="V130" s="268" t="str">
        <f t="shared" si="151"/>
        <v/>
      </c>
      <c r="W130" s="268" t="str">
        <f t="shared" si="151"/>
        <v/>
      </c>
      <c r="X130" s="268" t="str">
        <f t="shared" si="151"/>
        <v/>
      </c>
      <c r="Y130" s="268" t="str">
        <f t="shared" si="151"/>
        <v/>
      </c>
      <c r="Z130" s="268" t="str">
        <f t="shared" si="151"/>
        <v/>
      </c>
      <c r="AA130" s="268" t="str">
        <f t="shared" si="151"/>
        <v/>
      </c>
      <c r="AB130" s="268" t="str">
        <f t="shared" si="151"/>
        <v/>
      </c>
      <c r="AC130" s="268" t="str">
        <f t="shared" si="151"/>
        <v/>
      </c>
      <c r="AD130" s="268" t="str">
        <f t="shared" si="151"/>
        <v/>
      </c>
      <c r="AE130" s="268" t="str">
        <f t="shared" si="151"/>
        <v/>
      </c>
      <c r="AF130" s="268" t="str">
        <f t="shared" si="151"/>
        <v/>
      </c>
      <c r="AG130" s="268" t="str">
        <f t="shared" si="151"/>
        <v/>
      </c>
      <c r="AH130" s="268" t="str">
        <f t="shared" si="151"/>
        <v/>
      </c>
      <c r="AI130" s="268" t="str">
        <f t="shared" si="151"/>
        <v/>
      </c>
      <c r="AJ130" s="268" t="str">
        <f t="shared" si="151"/>
        <v/>
      </c>
      <c r="AK130" s="268" t="str">
        <f t="shared" si="151"/>
        <v/>
      </c>
      <c r="AL130" s="268" t="str">
        <f t="shared" si="151"/>
        <v/>
      </c>
      <c r="AM130" s="268" t="str">
        <f t="shared" si="151"/>
        <v/>
      </c>
      <c r="AN130" s="268" t="str">
        <f t="shared" si="151"/>
        <v/>
      </c>
      <c r="AO130" s="268" t="str">
        <f t="shared" si="151"/>
        <v/>
      </c>
      <c r="AP130" s="268" t="str">
        <f t="shared" si="151"/>
        <v/>
      </c>
      <c r="AQ130" s="268" t="str">
        <f t="shared" si="151"/>
        <v/>
      </c>
      <c r="AR130" s="268" t="str">
        <f t="shared" si="151"/>
        <v/>
      </c>
      <c r="AS130" s="268" t="str">
        <f t="shared" si="151"/>
        <v/>
      </c>
      <c r="AT130" s="268" t="str">
        <f t="shared" si="151"/>
        <v/>
      </c>
      <c r="AU130" s="268" t="str">
        <f t="shared" si="151"/>
        <v/>
      </c>
      <c r="AV130" s="268" t="str">
        <f t="shared" si="151"/>
        <v/>
      </c>
      <c r="AW130" s="268" t="str">
        <f t="shared" si="151"/>
        <v/>
      </c>
      <c r="AX130" s="268" t="str">
        <f t="shared" si="151"/>
        <v/>
      </c>
      <c r="AY130" s="268" t="str">
        <f t="shared" si="151"/>
        <v/>
      </c>
      <c r="AZ130" s="268" t="str">
        <f t="shared" si="151"/>
        <v/>
      </c>
      <c r="BA130" s="268" t="str">
        <f t="shared" si="151"/>
        <v/>
      </c>
      <c r="BB130" s="268" t="str">
        <f t="shared" si="151"/>
        <v/>
      </c>
      <c r="BC130" s="268" t="str">
        <f t="shared" si="151"/>
        <v/>
      </c>
      <c r="BD130" s="268" t="str">
        <f t="shared" si="151"/>
        <v/>
      </c>
      <c r="BE130" s="268" t="str">
        <f t="shared" si="151"/>
        <v/>
      </c>
      <c r="BF130" s="268" t="str">
        <f t="shared" si="151"/>
        <v/>
      </c>
      <c r="BG130" s="268" t="str">
        <f t="shared" si="151"/>
        <v/>
      </c>
      <c r="BH130" s="268" t="str">
        <f t="shared" si="151"/>
        <v/>
      </c>
      <c r="BI130" s="268" t="str">
        <f t="shared" si="151"/>
        <v/>
      </c>
      <c r="BJ130" s="268" t="str">
        <f t="shared" si="151"/>
        <v/>
      </c>
      <c r="BK130" s="268" t="str">
        <f t="shared" si="151"/>
        <v/>
      </c>
      <c r="BL130" s="268" t="str">
        <f t="shared" si="151"/>
        <v/>
      </c>
      <c r="BM130" s="268" t="str">
        <f t="shared" si="151"/>
        <v/>
      </c>
      <c r="BN130" s="268" t="str">
        <f t="shared" si="151"/>
        <v/>
      </c>
      <c r="BO130" s="268" t="str">
        <f t="shared" si="151"/>
        <v/>
      </c>
      <c r="BP130" s="268" t="str">
        <f t="shared" si="151"/>
        <v/>
      </c>
      <c r="BQ130" s="268" t="str">
        <f t="shared" si="151"/>
        <v/>
      </c>
      <c r="BR130" s="268" t="str">
        <f t="shared" si="151"/>
        <v/>
      </c>
      <c r="BS130" s="268" t="str">
        <f t="shared" si="151"/>
        <v/>
      </c>
      <c r="BT130" s="268" t="str">
        <f t="shared" si="151"/>
        <v/>
      </c>
      <c r="BU130" s="268" t="str">
        <f t="shared" si="82"/>
        <v/>
      </c>
      <c r="BV130" s="247">
        <v>0.61</v>
      </c>
      <c r="BW130" s="729">
        <f t="shared" si="139"/>
        <v>1464</v>
      </c>
      <c r="BX130" s="730">
        <f t="shared" si="140"/>
        <v>11346</v>
      </c>
      <c r="BY130" s="731" t="str">
        <f t="shared" si="142"/>
        <v>SR</v>
      </c>
    </row>
    <row r="131" s="698" customFormat="1" customHeight="1" spans="1:77">
      <c r="A131" s="208">
        <v>46015</v>
      </c>
      <c r="B131" s="208">
        <v>46062</v>
      </c>
      <c r="C131" s="211"/>
      <c r="D131" s="211" t="s">
        <v>378</v>
      </c>
      <c r="E131" s="211" t="s">
        <v>62</v>
      </c>
      <c r="F131" s="732">
        <v>1440</v>
      </c>
      <c r="G131" s="211" t="s">
        <v>327</v>
      </c>
      <c r="H131" s="211" t="str">
        <f>IFERROR(VLOOKUP(E131,名称!A:E,4,0),"")</f>
        <v>二代</v>
      </c>
      <c r="I131" s="268" t="str">
        <f t="shared" ref="I131:BT131" si="152">IF(OR($E131="",I$1=""),"",IF(TRIM(LEFT($E131,MIN(IFERROR(FIND("CDU",UPPER($E131)),999),IFERROR(FIND("BULK",UPPER($E131)),999),IFERROR(FIND("-",$E131),999),IFERROR(FIND("（",$E131),999))-1))=I$1,$F131,""))</f>
        <v/>
      </c>
      <c r="J131" s="268" t="str">
        <f t="shared" si="152"/>
        <v/>
      </c>
      <c r="K131" s="268" t="str">
        <f t="shared" si="152"/>
        <v/>
      </c>
      <c r="L131" s="268" t="str">
        <f t="shared" si="152"/>
        <v/>
      </c>
      <c r="M131" s="268" t="str">
        <f t="shared" si="152"/>
        <v/>
      </c>
      <c r="N131" s="268" t="str">
        <f t="shared" si="152"/>
        <v/>
      </c>
      <c r="O131" s="268">
        <f t="shared" si="152"/>
        <v>1440</v>
      </c>
      <c r="P131" s="268" t="str">
        <f t="shared" si="152"/>
        <v/>
      </c>
      <c r="Q131" s="268" t="str">
        <f t="shared" si="152"/>
        <v/>
      </c>
      <c r="R131" s="268" t="str">
        <f t="shared" si="152"/>
        <v/>
      </c>
      <c r="S131" s="268" t="str">
        <f t="shared" si="152"/>
        <v/>
      </c>
      <c r="T131" s="268" t="str">
        <f t="shared" si="152"/>
        <v/>
      </c>
      <c r="U131" s="268" t="str">
        <f t="shared" si="152"/>
        <v/>
      </c>
      <c r="V131" s="268" t="str">
        <f t="shared" si="152"/>
        <v/>
      </c>
      <c r="W131" s="268" t="str">
        <f t="shared" si="152"/>
        <v/>
      </c>
      <c r="X131" s="268" t="str">
        <f t="shared" si="152"/>
        <v/>
      </c>
      <c r="Y131" s="268" t="str">
        <f t="shared" si="152"/>
        <v/>
      </c>
      <c r="Z131" s="268" t="str">
        <f t="shared" si="152"/>
        <v/>
      </c>
      <c r="AA131" s="268" t="str">
        <f t="shared" si="152"/>
        <v/>
      </c>
      <c r="AB131" s="268" t="str">
        <f t="shared" si="152"/>
        <v/>
      </c>
      <c r="AC131" s="268" t="str">
        <f t="shared" si="152"/>
        <v/>
      </c>
      <c r="AD131" s="268" t="str">
        <f t="shared" si="152"/>
        <v/>
      </c>
      <c r="AE131" s="268" t="str">
        <f t="shared" si="152"/>
        <v/>
      </c>
      <c r="AF131" s="268" t="str">
        <f t="shared" si="152"/>
        <v/>
      </c>
      <c r="AG131" s="268" t="str">
        <f t="shared" si="152"/>
        <v/>
      </c>
      <c r="AH131" s="268" t="str">
        <f t="shared" si="152"/>
        <v/>
      </c>
      <c r="AI131" s="268" t="str">
        <f t="shared" si="152"/>
        <v/>
      </c>
      <c r="AJ131" s="268" t="str">
        <f t="shared" si="152"/>
        <v/>
      </c>
      <c r="AK131" s="268" t="str">
        <f t="shared" si="152"/>
        <v/>
      </c>
      <c r="AL131" s="268" t="str">
        <f t="shared" si="152"/>
        <v/>
      </c>
      <c r="AM131" s="268" t="str">
        <f t="shared" si="152"/>
        <v/>
      </c>
      <c r="AN131" s="268" t="str">
        <f t="shared" si="152"/>
        <v/>
      </c>
      <c r="AO131" s="268" t="str">
        <f t="shared" si="152"/>
        <v/>
      </c>
      <c r="AP131" s="268" t="str">
        <f t="shared" si="152"/>
        <v/>
      </c>
      <c r="AQ131" s="268" t="str">
        <f t="shared" si="152"/>
        <v/>
      </c>
      <c r="AR131" s="268" t="str">
        <f t="shared" si="152"/>
        <v/>
      </c>
      <c r="AS131" s="268" t="str">
        <f t="shared" si="152"/>
        <v/>
      </c>
      <c r="AT131" s="268" t="str">
        <f t="shared" si="152"/>
        <v/>
      </c>
      <c r="AU131" s="268" t="str">
        <f t="shared" si="152"/>
        <v/>
      </c>
      <c r="AV131" s="268" t="str">
        <f t="shared" si="152"/>
        <v/>
      </c>
      <c r="AW131" s="268" t="str">
        <f t="shared" si="152"/>
        <v/>
      </c>
      <c r="AX131" s="268" t="str">
        <f t="shared" si="152"/>
        <v/>
      </c>
      <c r="AY131" s="268" t="str">
        <f t="shared" si="152"/>
        <v/>
      </c>
      <c r="AZ131" s="268" t="str">
        <f t="shared" si="152"/>
        <v/>
      </c>
      <c r="BA131" s="268" t="str">
        <f t="shared" si="152"/>
        <v/>
      </c>
      <c r="BB131" s="268" t="str">
        <f t="shared" si="152"/>
        <v/>
      </c>
      <c r="BC131" s="268" t="str">
        <f t="shared" si="152"/>
        <v/>
      </c>
      <c r="BD131" s="268" t="str">
        <f t="shared" si="152"/>
        <v/>
      </c>
      <c r="BE131" s="268" t="str">
        <f t="shared" si="152"/>
        <v/>
      </c>
      <c r="BF131" s="268" t="str">
        <f t="shared" si="152"/>
        <v/>
      </c>
      <c r="BG131" s="268" t="str">
        <f t="shared" si="152"/>
        <v/>
      </c>
      <c r="BH131" s="268" t="str">
        <f t="shared" si="152"/>
        <v/>
      </c>
      <c r="BI131" s="268" t="str">
        <f t="shared" si="152"/>
        <v/>
      </c>
      <c r="BJ131" s="268" t="str">
        <f t="shared" si="152"/>
        <v/>
      </c>
      <c r="BK131" s="268" t="str">
        <f t="shared" si="152"/>
        <v/>
      </c>
      <c r="BL131" s="268" t="str">
        <f t="shared" si="152"/>
        <v/>
      </c>
      <c r="BM131" s="268" t="str">
        <f t="shared" si="152"/>
        <v/>
      </c>
      <c r="BN131" s="268" t="str">
        <f t="shared" si="152"/>
        <v/>
      </c>
      <c r="BO131" s="268" t="str">
        <f t="shared" si="152"/>
        <v/>
      </c>
      <c r="BP131" s="268" t="str">
        <f t="shared" si="152"/>
        <v/>
      </c>
      <c r="BQ131" s="268" t="str">
        <f t="shared" si="152"/>
        <v/>
      </c>
      <c r="BR131" s="268" t="str">
        <f t="shared" si="152"/>
        <v/>
      </c>
      <c r="BS131" s="268" t="str">
        <f t="shared" si="152"/>
        <v/>
      </c>
      <c r="BT131" s="268" t="str">
        <f t="shared" si="152"/>
        <v/>
      </c>
      <c r="BU131" s="268" t="str">
        <f t="shared" ref="BU131:BU194" si="153">IF(OR($E131="",BU$1=""),"",IF(TRIM(LEFT($E131,MIN(IFERROR(FIND("CDU",UPPER($E131)),999),IFERROR(FIND("BULK",UPPER($E131)),999),IFERROR(FIND("-",$E131),999),IFERROR(FIND("（",$E131),999))-1))=BU$1,$F131,""))</f>
        <v/>
      </c>
      <c r="BV131" s="247">
        <v>0.61</v>
      </c>
      <c r="BW131" s="729">
        <f t="shared" si="139"/>
        <v>878.4</v>
      </c>
      <c r="BX131" s="730">
        <f t="shared" si="140"/>
        <v>6807.6</v>
      </c>
      <c r="BY131" s="731" t="str">
        <f t="shared" si="142"/>
        <v>SR</v>
      </c>
    </row>
    <row r="132" s="698" customFormat="1" customHeight="1" spans="1:77">
      <c r="A132" s="208">
        <v>46015</v>
      </c>
      <c r="B132" s="208">
        <v>46062</v>
      </c>
      <c r="C132" s="211"/>
      <c r="D132" s="211" t="s">
        <v>378</v>
      </c>
      <c r="E132" s="211" t="s">
        <v>43</v>
      </c>
      <c r="F132" s="732">
        <v>1440</v>
      </c>
      <c r="G132" s="211" t="s">
        <v>327</v>
      </c>
      <c r="H132" s="211" t="str">
        <f>IFERROR(VLOOKUP(E132,名称!A:E,4,0),"")</f>
        <v>二代</v>
      </c>
      <c r="I132" s="268" t="str">
        <f t="shared" ref="I132:BT132" si="154">IF(OR($E132="",I$1=""),"",IF(TRIM(LEFT($E132,MIN(IFERROR(FIND("CDU",UPPER($E132)),999),IFERROR(FIND("BULK",UPPER($E132)),999),IFERROR(FIND("-",$E132),999),IFERROR(FIND("（",$E132),999))-1))=I$1,$F132,""))</f>
        <v/>
      </c>
      <c r="J132" s="268" t="str">
        <f t="shared" si="154"/>
        <v/>
      </c>
      <c r="K132" s="268" t="str">
        <f t="shared" si="154"/>
        <v/>
      </c>
      <c r="L132" s="268" t="str">
        <f t="shared" si="154"/>
        <v/>
      </c>
      <c r="M132" s="268" t="str">
        <f t="shared" si="154"/>
        <v/>
      </c>
      <c r="N132" s="268">
        <f t="shared" si="154"/>
        <v>1440</v>
      </c>
      <c r="O132" s="268" t="str">
        <f t="shared" si="154"/>
        <v/>
      </c>
      <c r="P132" s="268" t="str">
        <f t="shared" si="154"/>
        <v/>
      </c>
      <c r="Q132" s="268" t="str">
        <f t="shared" si="154"/>
        <v/>
      </c>
      <c r="R132" s="268" t="str">
        <f t="shared" si="154"/>
        <v/>
      </c>
      <c r="S132" s="268" t="str">
        <f t="shared" si="154"/>
        <v/>
      </c>
      <c r="T132" s="268" t="str">
        <f t="shared" si="154"/>
        <v/>
      </c>
      <c r="U132" s="268" t="str">
        <f t="shared" si="154"/>
        <v/>
      </c>
      <c r="V132" s="268" t="str">
        <f t="shared" si="154"/>
        <v/>
      </c>
      <c r="W132" s="268" t="str">
        <f t="shared" si="154"/>
        <v/>
      </c>
      <c r="X132" s="268" t="str">
        <f t="shared" si="154"/>
        <v/>
      </c>
      <c r="Y132" s="268" t="str">
        <f t="shared" si="154"/>
        <v/>
      </c>
      <c r="Z132" s="268" t="str">
        <f t="shared" si="154"/>
        <v/>
      </c>
      <c r="AA132" s="268" t="str">
        <f t="shared" si="154"/>
        <v/>
      </c>
      <c r="AB132" s="268" t="str">
        <f t="shared" si="154"/>
        <v/>
      </c>
      <c r="AC132" s="268" t="str">
        <f t="shared" si="154"/>
        <v/>
      </c>
      <c r="AD132" s="268" t="str">
        <f t="shared" si="154"/>
        <v/>
      </c>
      <c r="AE132" s="268" t="str">
        <f t="shared" si="154"/>
        <v/>
      </c>
      <c r="AF132" s="268" t="str">
        <f t="shared" si="154"/>
        <v/>
      </c>
      <c r="AG132" s="268" t="str">
        <f t="shared" si="154"/>
        <v/>
      </c>
      <c r="AH132" s="268" t="str">
        <f t="shared" si="154"/>
        <v/>
      </c>
      <c r="AI132" s="268" t="str">
        <f t="shared" si="154"/>
        <v/>
      </c>
      <c r="AJ132" s="268" t="str">
        <f t="shared" si="154"/>
        <v/>
      </c>
      <c r="AK132" s="268" t="str">
        <f t="shared" si="154"/>
        <v/>
      </c>
      <c r="AL132" s="268" t="str">
        <f t="shared" si="154"/>
        <v/>
      </c>
      <c r="AM132" s="268" t="str">
        <f t="shared" si="154"/>
        <v/>
      </c>
      <c r="AN132" s="268" t="str">
        <f t="shared" si="154"/>
        <v/>
      </c>
      <c r="AO132" s="268" t="str">
        <f t="shared" si="154"/>
        <v/>
      </c>
      <c r="AP132" s="268" t="str">
        <f t="shared" si="154"/>
        <v/>
      </c>
      <c r="AQ132" s="268" t="str">
        <f t="shared" si="154"/>
        <v/>
      </c>
      <c r="AR132" s="268" t="str">
        <f t="shared" si="154"/>
        <v/>
      </c>
      <c r="AS132" s="268" t="str">
        <f t="shared" si="154"/>
        <v/>
      </c>
      <c r="AT132" s="268" t="str">
        <f t="shared" si="154"/>
        <v/>
      </c>
      <c r="AU132" s="268" t="str">
        <f t="shared" si="154"/>
        <v/>
      </c>
      <c r="AV132" s="268" t="str">
        <f t="shared" si="154"/>
        <v/>
      </c>
      <c r="AW132" s="268" t="str">
        <f t="shared" si="154"/>
        <v/>
      </c>
      <c r="AX132" s="268" t="str">
        <f t="shared" si="154"/>
        <v/>
      </c>
      <c r="AY132" s="268" t="str">
        <f t="shared" si="154"/>
        <v/>
      </c>
      <c r="AZ132" s="268" t="str">
        <f t="shared" si="154"/>
        <v/>
      </c>
      <c r="BA132" s="268" t="str">
        <f t="shared" si="154"/>
        <v/>
      </c>
      <c r="BB132" s="268" t="str">
        <f t="shared" si="154"/>
        <v/>
      </c>
      <c r="BC132" s="268" t="str">
        <f t="shared" si="154"/>
        <v/>
      </c>
      <c r="BD132" s="268" t="str">
        <f t="shared" si="154"/>
        <v/>
      </c>
      <c r="BE132" s="268" t="str">
        <f t="shared" si="154"/>
        <v/>
      </c>
      <c r="BF132" s="268" t="str">
        <f t="shared" si="154"/>
        <v/>
      </c>
      <c r="BG132" s="268" t="str">
        <f t="shared" si="154"/>
        <v/>
      </c>
      <c r="BH132" s="268" t="str">
        <f t="shared" si="154"/>
        <v/>
      </c>
      <c r="BI132" s="268" t="str">
        <f t="shared" si="154"/>
        <v/>
      </c>
      <c r="BJ132" s="268" t="str">
        <f t="shared" si="154"/>
        <v/>
      </c>
      <c r="BK132" s="268" t="str">
        <f t="shared" si="154"/>
        <v/>
      </c>
      <c r="BL132" s="268" t="str">
        <f t="shared" si="154"/>
        <v/>
      </c>
      <c r="BM132" s="268" t="str">
        <f t="shared" si="154"/>
        <v/>
      </c>
      <c r="BN132" s="268" t="str">
        <f t="shared" si="154"/>
        <v/>
      </c>
      <c r="BO132" s="268" t="str">
        <f t="shared" si="154"/>
        <v/>
      </c>
      <c r="BP132" s="268" t="str">
        <f t="shared" si="154"/>
        <v/>
      </c>
      <c r="BQ132" s="268" t="str">
        <f t="shared" si="154"/>
        <v/>
      </c>
      <c r="BR132" s="268" t="str">
        <f t="shared" si="154"/>
        <v/>
      </c>
      <c r="BS132" s="268" t="str">
        <f t="shared" si="154"/>
        <v/>
      </c>
      <c r="BT132" s="268" t="str">
        <f t="shared" si="154"/>
        <v/>
      </c>
      <c r="BU132" s="268" t="str">
        <f t="shared" si="153"/>
        <v/>
      </c>
      <c r="BV132" s="247">
        <v>0.61</v>
      </c>
      <c r="BW132" s="729">
        <f t="shared" si="139"/>
        <v>878.4</v>
      </c>
      <c r="BX132" s="730">
        <f t="shared" si="140"/>
        <v>6807.6</v>
      </c>
      <c r="BY132" s="731" t="str">
        <f t="shared" si="142"/>
        <v>SR</v>
      </c>
    </row>
    <row r="133" s="698" customFormat="1" customHeight="1" spans="1:77">
      <c r="A133" s="208">
        <v>46015</v>
      </c>
      <c r="B133" s="208">
        <v>46062</v>
      </c>
      <c r="C133" s="211"/>
      <c r="D133" s="211" t="s">
        <v>378</v>
      </c>
      <c r="E133" s="211" t="s">
        <v>74</v>
      </c>
      <c r="F133" s="732">
        <v>1200</v>
      </c>
      <c r="G133" s="211" t="s">
        <v>327</v>
      </c>
      <c r="H133" s="211" t="str">
        <f>IFERROR(VLOOKUP(E133,名称!A:E,4,0),"")</f>
        <v>二代</v>
      </c>
      <c r="I133" s="268" t="str">
        <f t="shared" ref="I133:BT133" si="155">IF(OR($E133="",I$1=""),"",IF(TRIM(LEFT($E133,MIN(IFERROR(FIND("CDU",UPPER($E133)),999),IFERROR(FIND("BULK",UPPER($E133)),999),IFERROR(FIND("-",$E133),999),IFERROR(FIND("（",$E133),999))-1))=I$1,$F133,""))</f>
        <v/>
      </c>
      <c r="J133" s="268" t="str">
        <f t="shared" si="155"/>
        <v/>
      </c>
      <c r="K133" s="268" t="str">
        <f t="shared" si="155"/>
        <v/>
      </c>
      <c r="L133" s="268" t="str">
        <f t="shared" si="155"/>
        <v/>
      </c>
      <c r="M133" s="268" t="str">
        <f t="shared" si="155"/>
        <v/>
      </c>
      <c r="N133" s="268" t="str">
        <f t="shared" si="155"/>
        <v/>
      </c>
      <c r="O133" s="268" t="str">
        <f t="shared" si="155"/>
        <v/>
      </c>
      <c r="P133" s="268" t="str">
        <f t="shared" si="155"/>
        <v/>
      </c>
      <c r="Q133" s="268" t="str">
        <f t="shared" si="155"/>
        <v/>
      </c>
      <c r="R133" s="268" t="str">
        <f t="shared" si="155"/>
        <v/>
      </c>
      <c r="S133" s="268" t="str">
        <f t="shared" si="155"/>
        <v/>
      </c>
      <c r="T133" s="268" t="str">
        <f t="shared" si="155"/>
        <v/>
      </c>
      <c r="U133" s="268" t="str">
        <f t="shared" si="155"/>
        <v/>
      </c>
      <c r="V133" s="268" t="str">
        <f t="shared" si="155"/>
        <v/>
      </c>
      <c r="W133" s="268" t="str">
        <f t="shared" si="155"/>
        <v/>
      </c>
      <c r="X133" s="268">
        <f t="shared" si="155"/>
        <v>1200</v>
      </c>
      <c r="Y133" s="268" t="str">
        <f t="shared" si="155"/>
        <v/>
      </c>
      <c r="Z133" s="268" t="str">
        <f t="shared" si="155"/>
        <v/>
      </c>
      <c r="AA133" s="268" t="str">
        <f t="shared" si="155"/>
        <v/>
      </c>
      <c r="AB133" s="268" t="str">
        <f t="shared" si="155"/>
        <v/>
      </c>
      <c r="AC133" s="268" t="str">
        <f t="shared" si="155"/>
        <v/>
      </c>
      <c r="AD133" s="268" t="str">
        <f t="shared" si="155"/>
        <v/>
      </c>
      <c r="AE133" s="268" t="str">
        <f t="shared" si="155"/>
        <v/>
      </c>
      <c r="AF133" s="268" t="str">
        <f t="shared" si="155"/>
        <v/>
      </c>
      <c r="AG133" s="268" t="str">
        <f t="shared" si="155"/>
        <v/>
      </c>
      <c r="AH133" s="268" t="str">
        <f t="shared" si="155"/>
        <v/>
      </c>
      <c r="AI133" s="268" t="str">
        <f t="shared" si="155"/>
        <v/>
      </c>
      <c r="AJ133" s="268" t="str">
        <f t="shared" si="155"/>
        <v/>
      </c>
      <c r="AK133" s="268" t="str">
        <f t="shared" si="155"/>
        <v/>
      </c>
      <c r="AL133" s="268" t="str">
        <f t="shared" si="155"/>
        <v/>
      </c>
      <c r="AM133" s="268" t="str">
        <f t="shared" si="155"/>
        <v/>
      </c>
      <c r="AN133" s="268" t="str">
        <f t="shared" si="155"/>
        <v/>
      </c>
      <c r="AO133" s="268" t="str">
        <f t="shared" si="155"/>
        <v/>
      </c>
      <c r="AP133" s="268" t="str">
        <f t="shared" si="155"/>
        <v/>
      </c>
      <c r="AQ133" s="268" t="str">
        <f t="shared" si="155"/>
        <v/>
      </c>
      <c r="AR133" s="268" t="str">
        <f t="shared" si="155"/>
        <v/>
      </c>
      <c r="AS133" s="268" t="str">
        <f t="shared" si="155"/>
        <v/>
      </c>
      <c r="AT133" s="268" t="str">
        <f t="shared" si="155"/>
        <v/>
      </c>
      <c r="AU133" s="268" t="str">
        <f t="shared" si="155"/>
        <v/>
      </c>
      <c r="AV133" s="268" t="str">
        <f t="shared" si="155"/>
        <v/>
      </c>
      <c r="AW133" s="268" t="str">
        <f t="shared" si="155"/>
        <v/>
      </c>
      <c r="AX133" s="268" t="str">
        <f t="shared" si="155"/>
        <v/>
      </c>
      <c r="AY133" s="268" t="str">
        <f t="shared" si="155"/>
        <v/>
      </c>
      <c r="AZ133" s="268" t="str">
        <f t="shared" si="155"/>
        <v/>
      </c>
      <c r="BA133" s="268" t="str">
        <f t="shared" si="155"/>
        <v/>
      </c>
      <c r="BB133" s="268" t="str">
        <f t="shared" si="155"/>
        <v/>
      </c>
      <c r="BC133" s="268" t="str">
        <f t="shared" si="155"/>
        <v/>
      </c>
      <c r="BD133" s="268" t="str">
        <f t="shared" si="155"/>
        <v/>
      </c>
      <c r="BE133" s="268" t="str">
        <f t="shared" si="155"/>
        <v/>
      </c>
      <c r="BF133" s="268" t="str">
        <f t="shared" si="155"/>
        <v/>
      </c>
      <c r="BG133" s="268" t="str">
        <f t="shared" si="155"/>
        <v/>
      </c>
      <c r="BH133" s="268" t="str">
        <f t="shared" si="155"/>
        <v/>
      </c>
      <c r="BI133" s="268" t="str">
        <f t="shared" si="155"/>
        <v/>
      </c>
      <c r="BJ133" s="268" t="str">
        <f t="shared" si="155"/>
        <v/>
      </c>
      <c r="BK133" s="268" t="str">
        <f t="shared" si="155"/>
        <v/>
      </c>
      <c r="BL133" s="268" t="str">
        <f t="shared" si="155"/>
        <v/>
      </c>
      <c r="BM133" s="268" t="str">
        <f t="shared" si="155"/>
        <v/>
      </c>
      <c r="BN133" s="268" t="str">
        <f t="shared" si="155"/>
        <v/>
      </c>
      <c r="BO133" s="268" t="str">
        <f t="shared" si="155"/>
        <v/>
      </c>
      <c r="BP133" s="268" t="str">
        <f t="shared" si="155"/>
        <v/>
      </c>
      <c r="BQ133" s="268" t="str">
        <f t="shared" si="155"/>
        <v/>
      </c>
      <c r="BR133" s="268" t="str">
        <f t="shared" si="155"/>
        <v/>
      </c>
      <c r="BS133" s="268" t="str">
        <f t="shared" si="155"/>
        <v/>
      </c>
      <c r="BT133" s="268" t="str">
        <f t="shared" si="155"/>
        <v/>
      </c>
      <c r="BU133" s="268" t="str">
        <f t="shared" si="153"/>
        <v/>
      </c>
      <c r="BV133" s="247">
        <v>1.58</v>
      </c>
      <c r="BW133" s="729">
        <f t="shared" si="139"/>
        <v>1896</v>
      </c>
      <c r="BX133" s="730">
        <f t="shared" si="140"/>
        <v>14694</v>
      </c>
      <c r="BY133" s="731" t="str">
        <f t="shared" si="142"/>
        <v>SR</v>
      </c>
    </row>
    <row r="134" s="698" customFormat="1" customHeight="1" spans="1:77">
      <c r="A134" s="208">
        <v>46015</v>
      </c>
      <c r="B134" s="208">
        <v>46059</v>
      </c>
      <c r="C134" s="211" t="s">
        <v>379</v>
      </c>
      <c r="D134" s="211" t="s">
        <v>380</v>
      </c>
      <c r="E134" s="211" t="s">
        <v>35</v>
      </c>
      <c r="F134" s="732">
        <v>2640</v>
      </c>
      <c r="G134" s="211" t="s">
        <v>327</v>
      </c>
      <c r="H134" s="211" t="str">
        <f>IFERROR(VLOOKUP(E134,名称!A:E,4,0),"")</f>
        <v>二代</v>
      </c>
      <c r="I134" s="268" t="str">
        <f t="shared" ref="I134:BT134" si="156">IF(OR($E134="",I$1=""),"",IF(TRIM(LEFT($E134,MIN(IFERROR(FIND("CDU",UPPER($E134)),999),IFERROR(FIND("BULK",UPPER($E134)),999),IFERROR(FIND("-",$E134),999),IFERROR(FIND("（",$E134),999))-1))=I$1,$F134,""))</f>
        <v/>
      </c>
      <c r="J134" s="268" t="str">
        <f t="shared" si="156"/>
        <v/>
      </c>
      <c r="K134" s="268">
        <f t="shared" si="156"/>
        <v>2640</v>
      </c>
      <c r="L134" s="268" t="str">
        <f t="shared" si="156"/>
        <v/>
      </c>
      <c r="M134" s="268" t="str">
        <f t="shared" si="156"/>
        <v/>
      </c>
      <c r="N134" s="268" t="str">
        <f t="shared" si="156"/>
        <v/>
      </c>
      <c r="O134" s="268" t="str">
        <f t="shared" si="156"/>
        <v/>
      </c>
      <c r="P134" s="268" t="str">
        <f t="shared" si="156"/>
        <v/>
      </c>
      <c r="Q134" s="268" t="str">
        <f t="shared" si="156"/>
        <v/>
      </c>
      <c r="R134" s="268" t="str">
        <f t="shared" si="156"/>
        <v/>
      </c>
      <c r="S134" s="268" t="str">
        <f t="shared" si="156"/>
        <v/>
      </c>
      <c r="T134" s="268" t="str">
        <f t="shared" si="156"/>
        <v/>
      </c>
      <c r="U134" s="268" t="str">
        <f t="shared" si="156"/>
        <v/>
      </c>
      <c r="V134" s="268" t="str">
        <f t="shared" si="156"/>
        <v/>
      </c>
      <c r="W134" s="268" t="str">
        <f t="shared" si="156"/>
        <v/>
      </c>
      <c r="X134" s="268" t="str">
        <f t="shared" si="156"/>
        <v/>
      </c>
      <c r="Y134" s="268" t="str">
        <f t="shared" si="156"/>
        <v/>
      </c>
      <c r="Z134" s="268" t="str">
        <f t="shared" si="156"/>
        <v/>
      </c>
      <c r="AA134" s="268" t="str">
        <f t="shared" si="156"/>
        <v/>
      </c>
      <c r="AB134" s="268" t="str">
        <f t="shared" si="156"/>
        <v/>
      </c>
      <c r="AC134" s="268" t="str">
        <f t="shared" si="156"/>
        <v/>
      </c>
      <c r="AD134" s="268" t="str">
        <f t="shared" si="156"/>
        <v/>
      </c>
      <c r="AE134" s="268" t="str">
        <f t="shared" si="156"/>
        <v/>
      </c>
      <c r="AF134" s="268" t="str">
        <f t="shared" si="156"/>
        <v/>
      </c>
      <c r="AG134" s="268" t="str">
        <f t="shared" si="156"/>
        <v/>
      </c>
      <c r="AH134" s="268" t="str">
        <f t="shared" si="156"/>
        <v/>
      </c>
      <c r="AI134" s="268" t="str">
        <f t="shared" si="156"/>
        <v/>
      </c>
      <c r="AJ134" s="268" t="str">
        <f t="shared" si="156"/>
        <v/>
      </c>
      <c r="AK134" s="268" t="str">
        <f t="shared" si="156"/>
        <v/>
      </c>
      <c r="AL134" s="268" t="str">
        <f t="shared" si="156"/>
        <v/>
      </c>
      <c r="AM134" s="268" t="str">
        <f t="shared" si="156"/>
        <v/>
      </c>
      <c r="AN134" s="268" t="str">
        <f t="shared" si="156"/>
        <v/>
      </c>
      <c r="AO134" s="268" t="str">
        <f t="shared" si="156"/>
        <v/>
      </c>
      <c r="AP134" s="268" t="str">
        <f t="shared" si="156"/>
        <v/>
      </c>
      <c r="AQ134" s="268" t="str">
        <f t="shared" si="156"/>
        <v/>
      </c>
      <c r="AR134" s="268" t="str">
        <f t="shared" si="156"/>
        <v/>
      </c>
      <c r="AS134" s="268" t="str">
        <f t="shared" si="156"/>
        <v/>
      </c>
      <c r="AT134" s="268" t="str">
        <f t="shared" si="156"/>
        <v/>
      </c>
      <c r="AU134" s="268" t="str">
        <f t="shared" si="156"/>
        <v/>
      </c>
      <c r="AV134" s="268" t="str">
        <f t="shared" si="156"/>
        <v/>
      </c>
      <c r="AW134" s="268" t="str">
        <f t="shared" si="156"/>
        <v/>
      </c>
      <c r="AX134" s="268" t="str">
        <f t="shared" si="156"/>
        <v/>
      </c>
      <c r="AY134" s="268" t="str">
        <f t="shared" si="156"/>
        <v/>
      </c>
      <c r="AZ134" s="268" t="str">
        <f t="shared" si="156"/>
        <v/>
      </c>
      <c r="BA134" s="268" t="str">
        <f t="shared" si="156"/>
        <v/>
      </c>
      <c r="BB134" s="268" t="str">
        <f t="shared" si="156"/>
        <v/>
      </c>
      <c r="BC134" s="268" t="str">
        <f t="shared" si="156"/>
        <v/>
      </c>
      <c r="BD134" s="268" t="str">
        <f t="shared" si="156"/>
        <v/>
      </c>
      <c r="BE134" s="268" t="str">
        <f t="shared" si="156"/>
        <v/>
      </c>
      <c r="BF134" s="268" t="str">
        <f t="shared" si="156"/>
        <v/>
      </c>
      <c r="BG134" s="268" t="str">
        <f t="shared" si="156"/>
        <v/>
      </c>
      <c r="BH134" s="268" t="str">
        <f t="shared" si="156"/>
        <v/>
      </c>
      <c r="BI134" s="268" t="str">
        <f t="shared" si="156"/>
        <v/>
      </c>
      <c r="BJ134" s="268" t="str">
        <f t="shared" si="156"/>
        <v/>
      </c>
      <c r="BK134" s="268" t="str">
        <f t="shared" si="156"/>
        <v/>
      </c>
      <c r="BL134" s="268" t="str">
        <f t="shared" si="156"/>
        <v/>
      </c>
      <c r="BM134" s="268" t="str">
        <f t="shared" si="156"/>
        <v/>
      </c>
      <c r="BN134" s="268" t="str">
        <f t="shared" si="156"/>
        <v/>
      </c>
      <c r="BO134" s="268" t="str">
        <f t="shared" si="156"/>
        <v/>
      </c>
      <c r="BP134" s="268" t="str">
        <f t="shared" si="156"/>
        <v/>
      </c>
      <c r="BQ134" s="268" t="str">
        <f t="shared" si="156"/>
        <v/>
      </c>
      <c r="BR134" s="268" t="str">
        <f t="shared" si="156"/>
        <v/>
      </c>
      <c r="BS134" s="268" t="str">
        <f t="shared" si="156"/>
        <v/>
      </c>
      <c r="BT134" s="268" t="str">
        <f t="shared" si="156"/>
        <v/>
      </c>
      <c r="BU134" s="268" t="str">
        <f t="shared" si="153"/>
        <v/>
      </c>
      <c r="BV134" s="247">
        <v>0.87</v>
      </c>
      <c r="BW134" s="729">
        <f t="shared" si="139"/>
        <v>2296.8</v>
      </c>
      <c r="BX134" s="730">
        <f t="shared" si="140"/>
        <v>17800.2</v>
      </c>
      <c r="BY134" s="731" t="str">
        <f t="shared" si="142"/>
        <v>SR</v>
      </c>
    </row>
    <row r="135" s="698" customFormat="1" customHeight="1" spans="1:77">
      <c r="A135" s="208">
        <v>46015</v>
      </c>
      <c r="B135" s="208">
        <v>46059</v>
      </c>
      <c r="C135" s="211" t="s">
        <v>379</v>
      </c>
      <c r="D135" s="211" t="s">
        <v>380</v>
      </c>
      <c r="E135" s="211" t="s">
        <v>37</v>
      </c>
      <c r="F135" s="732">
        <v>1200</v>
      </c>
      <c r="G135" s="211" t="s">
        <v>327</v>
      </c>
      <c r="H135" s="211" t="str">
        <f>IFERROR(VLOOKUP(E135,名称!A:E,4,0),"")</f>
        <v>二代</v>
      </c>
      <c r="I135" s="268" t="str">
        <f t="shared" ref="I135:BT135" si="157">IF(OR($E135="",I$1=""),"",IF(TRIM(LEFT($E135,MIN(IFERROR(FIND("CDU",UPPER($E135)),999),IFERROR(FIND("BULK",UPPER($E135)),999),IFERROR(FIND("-",$E135),999),IFERROR(FIND("（",$E135),999))-1))=I$1,$F135,""))</f>
        <v/>
      </c>
      <c r="J135" s="268" t="str">
        <f t="shared" si="157"/>
        <v/>
      </c>
      <c r="K135" s="268" t="str">
        <f t="shared" si="157"/>
        <v/>
      </c>
      <c r="L135" s="268" t="str">
        <f t="shared" si="157"/>
        <v/>
      </c>
      <c r="M135" s="268" t="str">
        <f t="shared" si="157"/>
        <v/>
      </c>
      <c r="N135" s="268" t="str">
        <f t="shared" si="157"/>
        <v/>
      </c>
      <c r="O135" s="268" t="str">
        <f t="shared" si="157"/>
        <v/>
      </c>
      <c r="P135" s="268" t="str">
        <f t="shared" si="157"/>
        <v/>
      </c>
      <c r="Q135" s="268" t="str">
        <f t="shared" si="157"/>
        <v/>
      </c>
      <c r="R135" s="268">
        <f t="shared" si="157"/>
        <v>1200</v>
      </c>
      <c r="S135" s="268" t="str">
        <f t="shared" si="157"/>
        <v/>
      </c>
      <c r="T135" s="268" t="str">
        <f t="shared" si="157"/>
        <v/>
      </c>
      <c r="U135" s="268" t="str">
        <f t="shared" si="157"/>
        <v/>
      </c>
      <c r="V135" s="268" t="str">
        <f t="shared" si="157"/>
        <v/>
      </c>
      <c r="W135" s="268" t="str">
        <f t="shared" si="157"/>
        <v/>
      </c>
      <c r="X135" s="268" t="str">
        <f t="shared" si="157"/>
        <v/>
      </c>
      <c r="Y135" s="268" t="str">
        <f t="shared" si="157"/>
        <v/>
      </c>
      <c r="Z135" s="268" t="str">
        <f t="shared" si="157"/>
        <v/>
      </c>
      <c r="AA135" s="268" t="str">
        <f t="shared" si="157"/>
        <v/>
      </c>
      <c r="AB135" s="268" t="str">
        <f t="shared" si="157"/>
        <v/>
      </c>
      <c r="AC135" s="268" t="str">
        <f t="shared" si="157"/>
        <v/>
      </c>
      <c r="AD135" s="268" t="str">
        <f t="shared" si="157"/>
        <v/>
      </c>
      <c r="AE135" s="268" t="str">
        <f t="shared" si="157"/>
        <v/>
      </c>
      <c r="AF135" s="268" t="str">
        <f t="shared" si="157"/>
        <v/>
      </c>
      <c r="AG135" s="268" t="str">
        <f t="shared" si="157"/>
        <v/>
      </c>
      <c r="AH135" s="268" t="str">
        <f t="shared" si="157"/>
        <v/>
      </c>
      <c r="AI135" s="268" t="str">
        <f t="shared" si="157"/>
        <v/>
      </c>
      <c r="AJ135" s="268" t="str">
        <f t="shared" si="157"/>
        <v/>
      </c>
      <c r="AK135" s="268" t="str">
        <f t="shared" si="157"/>
        <v/>
      </c>
      <c r="AL135" s="268" t="str">
        <f t="shared" si="157"/>
        <v/>
      </c>
      <c r="AM135" s="268" t="str">
        <f t="shared" si="157"/>
        <v/>
      </c>
      <c r="AN135" s="268" t="str">
        <f t="shared" si="157"/>
        <v/>
      </c>
      <c r="AO135" s="268" t="str">
        <f t="shared" si="157"/>
        <v/>
      </c>
      <c r="AP135" s="268" t="str">
        <f t="shared" si="157"/>
        <v/>
      </c>
      <c r="AQ135" s="268" t="str">
        <f t="shared" si="157"/>
        <v/>
      </c>
      <c r="AR135" s="268" t="str">
        <f t="shared" si="157"/>
        <v/>
      </c>
      <c r="AS135" s="268" t="str">
        <f t="shared" si="157"/>
        <v/>
      </c>
      <c r="AT135" s="268" t="str">
        <f t="shared" si="157"/>
        <v/>
      </c>
      <c r="AU135" s="268" t="str">
        <f t="shared" si="157"/>
        <v/>
      </c>
      <c r="AV135" s="268" t="str">
        <f t="shared" si="157"/>
        <v/>
      </c>
      <c r="AW135" s="268" t="str">
        <f t="shared" si="157"/>
        <v/>
      </c>
      <c r="AX135" s="268" t="str">
        <f t="shared" si="157"/>
        <v/>
      </c>
      <c r="AY135" s="268" t="str">
        <f t="shared" si="157"/>
        <v/>
      </c>
      <c r="AZ135" s="268" t="str">
        <f t="shared" si="157"/>
        <v/>
      </c>
      <c r="BA135" s="268" t="str">
        <f t="shared" si="157"/>
        <v/>
      </c>
      <c r="BB135" s="268" t="str">
        <f t="shared" si="157"/>
        <v/>
      </c>
      <c r="BC135" s="268" t="str">
        <f t="shared" si="157"/>
        <v/>
      </c>
      <c r="BD135" s="268" t="str">
        <f t="shared" si="157"/>
        <v/>
      </c>
      <c r="BE135" s="268" t="str">
        <f t="shared" si="157"/>
        <v/>
      </c>
      <c r="BF135" s="268" t="str">
        <f t="shared" si="157"/>
        <v/>
      </c>
      <c r="BG135" s="268" t="str">
        <f t="shared" si="157"/>
        <v/>
      </c>
      <c r="BH135" s="268" t="str">
        <f t="shared" si="157"/>
        <v/>
      </c>
      <c r="BI135" s="268" t="str">
        <f t="shared" si="157"/>
        <v/>
      </c>
      <c r="BJ135" s="268" t="str">
        <f t="shared" si="157"/>
        <v/>
      </c>
      <c r="BK135" s="268" t="str">
        <f t="shared" si="157"/>
        <v/>
      </c>
      <c r="BL135" s="268" t="str">
        <f t="shared" si="157"/>
        <v/>
      </c>
      <c r="BM135" s="268" t="str">
        <f t="shared" si="157"/>
        <v/>
      </c>
      <c r="BN135" s="268" t="str">
        <f t="shared" si="157"/>
        <v/>
      </c>
      <c r="BO135" s="268" t="str">
        <f t="shared" si="157"/>
        <v/>
      </c>
      <c r="BP135" s="268" t="str">
        <f t="shared" si="157"/>
        <v/>
      </c>
      <c r="BQ135" s="268" t="str">
        <f t="shared" si="157"/>
        <v/>
      </c>
      <c r="BR135" s="268" t="str">
        <f t="shared" si="157"/>
        <v/>
      </c>
      <c r="BS135" s="268" t="str">
        <f t="shared" si="157"/>
        <v/>
      </c>
      <c r="BT135" s="268" t="str">
        <f t="shared" si="157"/>
        <v/>
      </c>
      <c r="BU135" s="268" t="str">
        <f t="shared" si="153"/>
        <v/>
      </c>
      <c r="BV135" s="247">
        <v>2.04</v>
      </c>
      <c r="BW135" s="729">
        <f t="shared" si="139"/>
        <v>2448</v>
      </c>
      <c r="BX135" s="730">
        <f t="shared" si="140"/>
        <v>18972</v>
      </c>
      <c r="BY135" s="731" t="str">
        <f t="shared" si="142"/>
        <v>SR</v>
      </c>
    </row>
    <row r="136" s="698" customFormat="1" customHeight="1" spans="1:77">
      <c r="A136" s="208">
        <v>46015</v>
      </c>
      <c r="B136" s="208">
        <v>46059</v>
      </c>
      <c r="C136" s="211" t="s">
        <v>379</v>
      </c>
      <c r="D136" s="211" t="s">
        <v>380</v>
      </c>
      <c r="E136" s="211" t="s">
        <v>38</v>
      </c>
      <c r="F136" s="732">
        <v>720</v>
      </c>
      <c r="G136" s="211" t="s">
        <v>327</v>
      </c>
      <c r="H136" s="211" t="str">
        <f>IFERROR(VLOOKUP(E136,名称!A:E,4,0),"")</f>
        <v>二代</v>
      </c>
      <c r="I136" s="268" t="str">
        <f t="shared" ref="I136:BT136" si="158">IF(OR($E136="",I$1=""),"",IF(TRIM(LEFT($E136,MIN(IFERROR(FIND("CDU",UPPER($E136)),999),IFERROR(FIND("BULK",UPPER($E136)),999),IFERROR(FIND("-",$E136),999),IFERROR(FIND("（",$E136),999))-1))=I$1,$F136,""))</f>
        <v/>
      </c>
      <c r="J136" s="268" t="str">
        <f t="shared" si="158"/>
        <v/>
      </c>
      <c r="K136" s="268" t="str">
        <f t="shared" si="158"/>
        <v/>
      </c>
      <c r="L136" s="268" t="str">
        <f t="shared" si="158"/>
        <v/>
      </c>
      <c r="M136" s="268" t="str">
        <f t="shared" si="158"/>
        <v/>
      </c>
      <c r="N136" s="268" t="str">
        <f t="shared" si="158"/>
        <v/>
      </c>
      <c r="O136" s="268" t="str">
        <f t="shared" si="158"/>
        <v/>
      </c>
      <c r="P136" s="268" t="str">
        <f t="shared" si="158"/>
        <v/>
      </c>
      <c r="Q136" s="268" t="str">
        <f t="shared" si="158"/>
        <v/>
      </c>
      <c r="R136" s="268" t="str">
        <f t="shared" si="158"/>
        <v/>
      </c>
      <c r="S136" s="268" t="str">
        <f t="shared" si="158"/>
        <v/>
      </c>
      <c r="T136" s="268">
        <f t="shared" si="158"/>
        <v>720</v>
      </c>
      <c r="U136" s="268" t="str">
        <f t="shared" si="158"/>
        <v/>
      </c>
      <c r="V136" s="268" t="str">
        <f t="shared" si="158"/>
        <v/>
      </c>
      <c r="W136" s="268" t="str">
        <f t="shared" si="158"/>
        <v/>
      </c>
      <c r="X136" s="268" t="str">
        <f t="shared" si="158"/>
        <v/>
      </c>
      <c r="Y136" s="268" t="str">
        <f t="shared" si="158"/>
        <v/>
      </c>
      <c r="Z136" s="268" t="str">
        <f t="shared" si="158"/>
        <v/>
      </c>
      <c r="AA136" s="268" t="str">
        <f t="shared" si="158"/>
        <v/>
      </c>
      <c r="AB136" s="268" t="str">
        <f t="shared" si="158"/>
        <v/>
      </c>
      <c r="AC136" s="268" t="str">
        <f t="shared" si="158"/>
        <v/>
      </c>
      <c r="AD136" s="268" t="str">
        <f t="shared" si="158"/>
        <v/>
      </c>
      <c r="AE136" s="268" t="str">
        <f t="shared" si="158"/>
        <v/>
      </c>
      <c r="AF136" s="268" t="str">
        <f t="shared" si="158"/>
        <v/>
      </c>
      <c r="AG136" s="268" t="str">
        <f t="shared" si="158"/>
        <v/>
      </c>
      <c r="AH136" s="268" t="str">
        <f t="shared" si="158"/>
        <v/>
      </c>
      <c r="AI136" s="268" t="str">
        <f t="shared" si="158"/>
        <v/>
      </c>
      <c r="AJ136" s="268" t="str">
        <f t="shared" si="158"/>
        <v/>
      </c>
      <c r="AK136" s="268" t="str">
        <f t="shared" si="158"/>
        <v/>
      </c>
      <c r="AL136" s="268" t="str">
        <f t="shared" si="158"/>
        <v/>
      </c>
      <c r="AM136" s="268" t="str">
        <f t="shared" si="158"/>
        <v/>
      </c>
      <c r="AN136" s="268" t="str">
        <f t="shared" si="158"/>
        <v/>
      </c>
      <c r="AO136" s="268" t="str">
        <f t="shared" si="158"/>
        <v/>
      </c>
      <c r="AP136" s="268" t="str">
        <f t="shared" si="158"/>
        <v/>
      </c>
      <c r="AQ136" s="268" t="str">
        <f t="shared" si="158"/>
        <v/>
      </c>
      <c r="AR136" s="268" t="str">
        <f t="shared" si="158"/>
        <v/>
      </c>
      <c r="AS136" s="268" t="str">
        <f t="shared" si="158"/>
        <v/>
      </c>
      <c r="AT136" s="268" t="str">
        <f t="shared" si="158"/>
        <v/>
      </c>
      <c r="AU136" s="268" t="str">
        <f t="shared" si="158"/>
        <v/>
      </c>
      <c r="AV136" s="268" t="str">
        <f t="shared" si="158"/>
        <v/>
      </c>
      <c r="AW136" s="268" t="str">
        <f t="shared" si="158"/>
        <v/>
      </c>
      <c r="AX136" s="268" t="str">
        <f t="shared" si="158"/>
        <v/>
      </c>
      <c r="AY136" s="268" t="str">
        <f t="shared" si="158"/>
        <v/>
      </c>
      <c r="AZ136" s="268" t="str">
        <f t="shared" si="158"/>
        <v/>
      </c>
      <c r="BA136" s="268" t="str">
        <f t="shared" si="158"/>
        <v/>
      </c>
      <c r="BB136" s="268" t="str">
        <f t="shared" si="158"/>
        <v/>
      </c>
      <c r="BC136" s="268" t="str">
        <f t="shared" si="158"/>
        <v/>
      </c>
      <c r="BD136" s="268" t="str">
        <f t="shared" si="158"/>
        <v/>
      </c>
      <c r="BE136" s="268" t="str">
        <f t="shared" si="158"/>
        <v/>
      </c>
      <c r="BF136" s="268" t="str">
        <f t="shared" si="158"/>
        <v/>
      </c>
      <c r="BG136" s="268" t="str">
        <f t="shared" si="158"/>
        <v/>
      </c>
      <c r="BH136" s="268" t="str">
        <f t="shared" si="158"/>
        <v/>
      </c>
      <c r="BI136" s="268" t="str">
        <f t="shared" si="158"/>
        <v/>
      </c>
      <c r="BJ136" s="268" t="str">
        <f t="shared" si="158"/>
        <v/>
      </c>
      <c r="BK136" s="268" t="str">
        <f t="shared" si="158"/>
        <v/>
      </c>
      <c r="BL136" s="268" t="str">
        <f t="shared" si="158"/>
        <v/>
      </c>
      <c r="BM136" s="268" t="str">
        <f t="shared" si="158"/>
        <v/>
      </c>
      <c r="BN136" s="268" t="str">
        <f t="shared" si="158"/>
        <v/>
      </c>
      <c r="BO136" s="268" t="str">
        <f t="shared" si="158"/>
        <v/>
      </c>
      <c r="BP136" s="268" t="str">
        <f t="shared" si="158"/>
        <v/>
      </c>
      <c r="BQ136" s="268" t="str">
        <f t="shared" si="158"/>
        <v/>
      </c>
      <c r="BR136" s="268" t="str">
        <f t="shared" si="158"/>
        <v/>
      </c>
      <c r="BS136" s="268" t="str">
        <f t="shared" si="158"/>
        <v/>
      </c>
      <c r="BT136" s="268" t="str">
        <f t="shared" si="158"/>
        <v/>
      </c>
      <c r="BU136" s="268" t="str">
        <f t="shared" si="153"/>
        <v/>
      </c>
      <c r="BV136" s="247">
        <v>3.12</v>
      </c>
      <c r="BW136" s="729">
        <f t="shared" si="139"/>
        <v>2246.4</v>
      </c>
      <c r="BX136" s="730">
        <f t="shared" si="140"/>
        <v>17409.6</v>
      </c>
      <c r="BY136" s="731" t="str">
        <f t="shared" si="142"/>
        <v>SR</v>
      </c>
    </row>
    <row r="137" s="698" customFormat="1" customHeight="1" spans="1:77">
      <c r="A137" s="208">
        <v>46015</v>
      </c>
      <c r="B137" s="208">
        <v>46059</v>
      </c>
      <c r="C137" s="211" t="s">
        <v>379</v>
      </c>
      <c r="D137" s="211" t="s">
        <v>380</v>
      </c>
      <c r="E137" s="211" t="s">
        <v>69</v>
      </c>
      <c r="F137" s="732">
        <v>370</v>
      </c>
      <c r="G137" s="211" t="s">
        <v>327</v>
      </c>
      <c r="H137" s="211" t="str">
        <f>IFERROR(VLOOKUP(E137,名称!A:E,4,0),"")</f>
        <v>二代</v>
      </c>
      <c r="I137" s="268" t="str">
        <f t="shared" ref="I137:BT137" si="159">IF(OR($E137="",I$1=""),"",IF(TRIM(LEFT($E137,MIN(IFERROR(FIND("CDU",UPPER($E137)),999),IFERROR(FIND("BULK",UPPER($E137)),999),IFERROR(FIND("-",$E137),999),IFERROR(FIND("（",$E137),999))-1))=I$1,$F137,""))</f>
        <v/>
      </c>
      <c r="J137" s="268" t="str">
        <f t="shared" si="159"/>
        <v/>
      </c>
      <c r="K137" s="268" t="str">
        <f t="shared" si="159"/>
        <v/>
      </c>
      <c r="L137" s="268" t="str">
        <f t="shared" si="159"/>
        <v/>
      </c>
      <c r="M137" s="268" t="str">
        <f t="shared" si="159"/>
        <v/>
      </c>
      <c r="N137" s="268" t="str">
        <f t="shared" si="159"/>
        <v/>
      </c>
      <c r="O137" s="268" t="str">
        <f t="shared" si="159"/>
        <v/>
      </c>
      <c r="P137" s="268" t="str">
        <f t="shared" si="159"/>
        <v/>
      </c>
      <c r="Q137" s="268" t="str">
        <f t="shared" si="159"/>
        <v/>
      </c>
      <c r="R137" s="268" t="str">
        <f t="shared" si="159"/>
        <v/>
      </c>
      <c r="S137" s="268" t="str">
        <f t="shared" si="159"/>
        <v/>
      </c>
      <c r="T137" s="268" t="str">
        <f t="shared" si="159"/>
        <v/>
      </c>
      <c r="U137" s="268">
        <f t="shared" si="159"/>
        <v>370</v>
      </c>
      <c r="V137" s="268" t="str">
        <f t="shared" si="159"/>
        <v/>
      </c>
      <c r="W137" s="268" t="str">
        <f t="shared" si="159"/>
        <v/>
      </c>
      <c r="X137" s="268" t="str">
        <f t="shared" si="159"/>
        <v/>
      </c>
      <c r="Y137" s="268" t="str">
        <f t="shared" si="159"/>
        <v/>
      </c>
      <c r="Z137" s="268" t="str">
        <f t="shared" si="159"/>
        <v/>
      </c>
      <c r="AA137" s="268" t="str">
        <f t="shared" si="159"/>
        <v/>
      </c>
      <c r="AB137" s="268" t="str">
        <f t="shared" si="159"/>
        <v/>
      </c>
      <c r="AC137" s="268" t="str">
        <f t="shared" si="159"/>
        <v/>
      </c>
      <c r="AD137" s="268" t="str">
        <f t="shared" si="159"/>
        <v/>
      </c>
      <c r="AE137" s="268" t="str">
        <f t="shared" si="159"/>
        <v/>
      </c>
      <c r="AF137" s="268" t="str">
        <f t="shared" si="159"/>
        <v/>
      </c>
      <c r="AG137" s="268" t="str">
        <f t="shared" si="159"/>
        <v/>
      </c>
      <c r="AH137" s="268" t="str">
        <f t="shared" si="159"/>
        <v/>
      </c>
      <c r="AI137" s="268" t="str">
        <f t="shared" si="159"/>
        <v/>
      </c>
      <c r="AJ137" s="268" t="str">
        <f t="shared" si="159"/>
        <v/>
      </c>
      <c r="AK137" s="268" t="str">
        <f t="shared" si="159"/>
        <v/>
      </c>
      <c r="AL137" s="268" t="str">
        <f t="shared" si="159"/>
        <v/>
      </c>
      <c r="AM137" s="268" t="str">
        <f t="shared" si="159"/>
        <v/>
      </c>
      <c r="AN137" s="268" t="str">
        <f t="shared" si="159"/>
        <v/>
      </c>
      <c r="AO137" s="268" t="str">
        <f t="shared" si="159"/>
        <v/>
      </c>
      <c r="AP137" s="268" t="str">
        <f t="shared" si="159"/>
        <v/>
      </c>
      <c r="AQ137" s="268" t="str">
        <f t="shared" si="159"/>
        <v/>
      </c>
      <c r="AR137" s="268" t="str">
        <f t="shared" si="159"/>
        <v/>
      </c>
      <c r="AS137" s="268" t="str">
        <f t="shared" si="159"/>
        <v/>
      </c>
      <c r="AT137" s="268" t="str">
        <f t="shared" si="159"/>
        <v/>
      </c>
      <c r="AU137" s="268" t="str">
        <f t="shared" si="159"/>
        <v/>
      </c>
      <c r="AV137" s="268" t="str">
        <f t="shared" si="159"/>
        <v/>
      </c>
      <c r="AW137" s="268" t="str">
        <f t="shared" si="159"/>
        <v/>
      </c>
      <c r="AX137" s="268" t="str">
        <f t="shared" si="159"/>
        <v/>
      </c>
      <c r="AY137" s="268" t="str">
        <f t="shared" si="159"/>
        <v/>
      </c>
      <c r="AZ137" s="268" t="str">
        <f t="shared" si="159"/>
        <v/>
      </c>
      <c r="BA137" s="268" t="str">
        <f t="shared" si="159"/>
        <v/>
      </c>
      <c r="BB137" s="268" t="str">
        <f t="shared" si="159"/>
        <v/>
      </c>
      <c r="BC137" s="268" t="str">
        <f t="shared" si="159"/>
        <v/>
      </c>
      <c r="BD137" s="268" t="str">
        <f t="shared" si="159"/>
        <v/>
      </c>
      <c r="BE137" s="268" t="str">
        <f t="shared" si="159"/>
        <v/>
      </c>
      <c r="BF137" s="268" t="str">
        <f t="shared" si="159"/>
        <v/>
      </c>
      <c r="BG137" s="268" t="str">
        <f t="shared" si="159"/>
        <v/>
      </c>
      <c r="BH137" s="268" t="str">
        <f t="shared" si="159"/>
        <v/>
      </c>
      <c r="BI137" s="268" t="str">
        <f t="shared" si="159"/>
        <v/>
      </c>
      <c r="BJ137" s="268" t="str">
        <f t="shared" si="159"/>
        <v/>
      </c>
      <c r="BK137" s="268" t="str">
        <f t="shared" si="159"/>
        <v/>
      </c>
      <c r="BL137" s="268" t="str">
        <f t="shared" si="159"/>
        <v/>
      </c>
      <c r="BM137" s="268" t="str">
        <f t="shared" si="159"/>
        <v/>
      </c>
      <c r="BN137" s="268" t="str">
        <f t="shared" si="159"/>
        <v/>
      </c>
      <c r="BO137" s="268" t="str">
        <f t="shared" si="159"/>
        <v/>
      </c>
      <c r="BP137" s="268" t="str">
        <f t="shared" si="159"/>
        <v/>
      </c>
      <c r="BQ137" s="268" t="str">
        <f t="shared" si="159"/>
        <v/>
      </c>
      <c r="BR137" s="268" t="str">
        <f t="shared" si="159"/>
        <v/>
      </c>
      <c r="BS137" s="268" t="str">
        <f t="shared" si="159"/>
        <v/>
      </c>
      <c r="BT137" s="268" t="str">
        <f t="shared" si="159"/>
        <v/>
      </c>
      <c r="BU137" s="268" t="str">
        <f t="shared" si="153"/>
        <v/>
      </c>
      <c r="BV137" s="247">
        <v>9.42</v>
      </c>
      <c r="BW137" s="729">
        <f t="shared" si="139"/>
        <v>3485.4</v>
      </c>
      <c r="BX137" s="730">
        <f t="shared" si="140"/>
        <v>27011.85</v>
      </c>
      <c r="BY137" s="731" t="str">
        <f t="shared" si="142"/>
        <v>SR</v>
      </c>
    </row>
    <row r="138" s="698" customFormat="1" customHeight="1" spans="1:77">
      <c r="A138" s="208">
        <v>46015</v>
      </c>
      <c r="B138" s="208">
        <v>46059</v>
      </c>
      <c r="C138" s="211" t="s">
        <v>379</v>
      </c>
      <c r="D138" s="211" t="s">
        <v>380</v>
      </c>
      <c r="E138" s="211" t="s">
        <v>53</v>
      </c>
      <c r="F138" s="732">
        <v>2400</v>
      </c>
      <c r="G138" s="211" t="s">
        <v>327</v>
      </c>
      <c r="H138" s="211" t="str">
        <f>IFERROR(VLOOKUP(E138,名称!A:E,4,0),"")</f>
        <v>二代</v>
      </c>
      <c r="I138" s="268" t="str">
        <f t="shared" ref="I138:BT138" si="160">IF(OR($E138="",I$1=""),"",IF(TRIM(LEFT($E138,MIN(IFERROR(FIND("CDU",UPPER($E138)),999),IFERROR(FIND("BULK",UPPER($E138)),999),IFERROR(FIND("-",$E138),999),IFERROR(FIND("（",$E138),999))-1))=I$1,$F138,""))</f>
        <v/>
      </c>
      <c r="J138" s="268" t="str">
        <f t="shared" si="160"/>
        <v/>
      </c>
      <c r="K138" s="268" t="str">
        <f t="shared" si="160"/>
        <v/>
      </c>
      <c r="L138" s="268" t="str">
        <f t="shared" si="160"/>
        <v/>
      </c>
      <c r="M138" s="268" t="str">
        <f t="shared" si="160"/>
        <v/>
      </c>
      <c r="N138" s="268" t="str">
        <f t="shared" si="160"/>
        <v/>
      </c>
      <c r="O138" s="268" t="str">
        <f t="shared" si="160"/>
        <v/>
      </c>
      <c r="P138" s="268" t="str">
        <f t="shared" si="160"/>
        <v/>
      </c>
      <c r="Q138" s="268" t="str">
        <f t="shared" si="160"/>
        <v/>
      </c>
      <c r="R138" s="268" t="str">
        <f t="shared" si="160"/>
        <v/>
      </c>
      <c r="S138" s="268" t="str">
        <f t="shared" si="160"/>
        <v/>
      </c>
      <c r="T138" s="268" t="str">
        <f t="shared" si="160"/>
        <v/>
      </c>
      <c r="U138" s="268" t="str">
        <f t="shared" si="160"/>
        <v/>
      </c>
      <c r="V138" s="268" t="str">
        <f t="shared" si="160"/>
        <v/>
      </c>
      <c r="W138" s="268" t="str">
        <f t="shared" si="160"/>
        <v/>
      </c>
      <c r="X138" s="268" t="str">
        <f t="shared" si="160"/>
        <v/>
      </c>
      <c r="Y138" s="268" t="str">
        <f t="shared" si="160"/>
        <v/>
      </c>
      <c r="Z138" s="268" t="str">
        <f t="shared" si="160"/>
        <v/>
      </c>
      <c r="AA138" s="268">
        <f t="shared" si="160"/>
        <v>2400</v>
      </c>
      <c r="AB138" s="268" t="str">
        <f t="shared" si="160"/>
        <v/>
      </c>
      <c r="AC138" s="268" t="str">
        <f t="shared" si="160"/>
        <v/>
      </c>
      <c r="AD138" s="268" t="str">
        <f t="shared" si="160"/>
        <v/>
      </c>
      <c r="AE138" s="268" t="str">
        <f t="shared" si="160"/>
        <v/>
      </c>
      <c r="AF138" s="268" t="str">
        <f t="shared" si="160"/>
        <v/>
      </c>
      <c r="AG138" s="268" t="str">
        <f t="shared" si="160"/>
        <v/>
      </c>
      <c r="AH138" s="268" t="str">
        <f t="shared" si="160"/>
        <v/>
      </c>
      <c r="AI138" s="268" t="str">
        <f t="shared" si="160"/>
        <v/>
      </c>
      <c r="AJ138" s="268" t="str">
        <f t="shared" si="160"/>
        <v/>
      </c>
      <c r="AK138" s="268" t="str">
        <f t="shared" si="160"/>
        <v/>
      </c>
      <c r="AL138" s="268" t="str">
        <f t="shared" si="160"/>
        <v/>
      </c>
      <c r="AM138" s="268" t="str">
        <f t="shared" si="160"/>
        <v/>
      </c>
      <c r="AN138" s="268" t="str">
        <f t="shared" si="160"/>
        <v/>
      </c>
      <c r="AO138" s="268" t="str">
        <f t="shared" si="160"/>
        <v/>
      </c>
      <c r="AP138" s="268" t="str">
        <f t="shared" si="160"/>
        <v/>
      </c>
      <c r="AQ138" s="268" t="str">
        <f t="shared" si="160"/>
        <v/>
      </c>
      <c r="AR138" s="268" t="str">
        <f t="shared" si="160"/>
        <v/>
      </c>
      <c r="AS138" s="268" t="str">
        <f t="shared" si="160"/>
        <v/>
      </c>
      <c r="AT138" s="268" t="str">
        <f t="shared" si="160"/>
        <v/>
      </c>
      <c r="AU138" s="268" t="str">
        <f t="shared" si="160"/>
        <v/>
      </c>
      <c r="AV138" s="268" t="str">
        <f t="shared" si="160"/>
        <v/>
      </c>
      <c r="AW138" s="268" t="str">
        <f t="shared" si="160"/>
        <v/>
      </c>
      <c r="AX138" s="268" t="str">
        <f t="shared" si="160"/>
        <v/>
      </c>
      <c r="AY138" s="268" t="str">
        <f t="shared" si="160"/>
        <v/>
      </c>
      <c r="AZ138" s="268" t="str">
        <f t="shared" si="160"/>
        <v/>
      </c>
      <c r="BA138" s="268" t="str">
        <f t="shared" si="160"/>
        <v/>
      </c>
      <c r="BB138" s="268" t="str">
        <f t="shared" si="160"/>
        <v/>
      </c>
      <c r="BC138" s="268" t="str">
        <f t="shared" si="160"/>
        <v/>
      </c>
      <c r="BD138" s="268" t="str">
        <f t="shared" si="160"/>
        <v/>
      </c>
      <c r="BE138" s="268" t="str">
        <f t="shared" si="160"/>
        <v/>
      </c>
      <c r="BF138" s="268" t="str">
        <f t="shared" si="160"/>
        <v/>
      </c>
      <c r="BG138" s="268" t="str">
        <f t="shared" si="160"/>
        <v/>
      </c>
      <c r="BH138" s="268" t="str">
        <f t="shared" si="160"/>
        <v/>
      </c>
      <c r="BI138" s="268" t="str">
        <f t="shared" si="160"/>
        <v/>
      </c>
      <c r="BJ138" s="268" t="str">
        <f t="shared" si="160"/>
        <v/>
      </c>
      <c r="BK138" s="268" t="str">
        <f t="shared" si="160"/>
        <v/>
      </c>
      <c r="BL138" s="268" t="str">
        <f t="shared" si="160"/>
        <v/>
      </c>
      <c r="BM138" s="268" t="str">
        <f t="shared" si="160"/>
        <v/>
      </c>
      <c r="BN138" s="268" t="str">
        <f t="shared" si="160"/>
        <v/>
      </c>
      <c r="BO138" s="268" t="str">
        <f t="shared" si="160"/>
        <v/>
      </c>
      <c r="BP138" s="268" t="str">
        <f t="shared" si="160"/>
        <v/>
      </c>
      <c r="BQ138" s="268" t="str">
        <f t="shared" si="160"/>
        <v/>
      </c>
      <c r="BR138" s="268" t="str">
        <f t="shared" si="160"/>
        <v/>
      </c>
      <c r="BS138" s="268" t="str">
        <f t="shared" si="160"/>
        <v/>
      </c>
      <c r="BT138" s="268" t="str">
        <f t="shared" si="160"/>
        <v/>
      </c>
      <c r="BU138" s="268" t="str">
        <f t="shared" si="153"/>
        <v/>
      </c>
      <c r="BV138" s="247">
        <v>0.61</v>
      </c>
      <c r="BW138" s="729">
        <f t="shared" si="139"/>
        <v>1464</v>
      </c>
      <c r="BX138" s="730">
        <f t="shared" si="140"/>
        <v>11346</v>
      </c>
      <c r="BY138" s="731" t="str">
        <f t="shared" si="142"/>
        <v>JS</v>
      </c>
    </row>
    <row r="139" s="698" customFormat="1" customHeight="1" spans="1:77">
      <c r="A139" s="208">
        <v>46015</v>
      </c>
      <c r="B139" s="208">
        <v>46059</v>
      </c>
      <c r="C139" s="211" t="s">
        <v>379</v>
      </c>
      <c r="D139" s="211" t="s">
        <v>380</v>
      </c>
      <c r="E139" s="211" t="s">
        <v>28</v>
      </c>
      <c r="F139" s="732">
        <v>960</v>
      </c>
      <c r="G139" s="211" t="s">
        <v>327</v>
      </c>
      <c r="H139" s="211" t="str">
        <f>IFERROR(VLOOKUP(E139,名称!A:E,4,0),"")</f>
        <v>二代</v>
      </c>
      <c r="I139" s="268" t="str">
        <f t="shared" ref="I139:BT139" si="161">IF(OR($E139="",I$1=""),"",IF(TRIM(LEFT($E139,MIN(IFERROR(FIND("CDU",UPPER($E139)),999),IFERROR(FIND("BULK",UPPER($E139)),999),IFERROR(FIND("-",$E139),999),IFERROR(FIND("（",$E139),999))-1))=I$1,$F139,""))</f>
        <v/>
      </c>
      <c r="J139" s="268" t="str">
        <f t="shared" si="161"/>
        <v/>
      </c>
      <c r="K139" s="268" t="str">
        <f t="shared" si="161"/>
        <v/>
      </c>
      <c r="L139" s="268" t="str">
        <f t="shared" si="161"/>
        <v/>
      </c>
      <c r="M139" s="268" t="str">
        <f t="shared" si="161"/>
        <v/>
      </c>
      <c r="N139" s="268" t="str">
        <f t="shared" si="161"/>
        <v/>
      </c>
      <c r="O139" s="268" t="str">
        <f t="shared" si="161"/>
        <v/>
      </c>
      <c r="P139" s="268" t="str">
        <f t="shared" si="161"/>
        <v/>
      </c>
      <c r="Q139" s="268" t="str">
        <f t="shared" si="161"/>
        <v/>
      </c>
      <c r="R139" s="268" t="str">
        <f t="shared" si="161"/>
        <v/>
      </c>
      <c r="S139" s="268" t="str">
        <f t="shared" si="161"/>
        <v/>
      </c>
      <c r="T139" s="268" t="str">
        <f t="shared" si="161"/>
        <v/>
      </c>
      <c r="U139" s="268" t="str">
        <f t="shared" si="161"/>
        <v/>
      </c>
      <c r="V139" s="268" t="str">
        <f t="shared" si="161"/>
        <v/>
      </c>
      <c r="W139" s="268" t="str">
        <f t="shared" si="161"/>
        <v/>
      </c>
      <c r="X139" s="268" t="str">
        <f t="shared" si="161"/>
        <v/>
      </c>
      <c r="Y139" s="268" t="str">
        <f t="shared" si="161"/>
        <v/>
      </c>
      <c r="Z139" s="268" t="str">
        <f t="shared" si="161"/>
        <v/>
      </c>
      <c r="AA139" s="268" t="str">
        <f t="shared" si="161"/>
        <v/>
      </c>
      <c r="AB139" s="268">
        <f t="shared" si="161"/>
        <v>960</v>
      </c>
      <c r="AC139" s="268" t="str">
        <f t="shared" si="161"/>
        <v/>
      </c>
      <c r="AD139" s="268" t="str">
        <f t="shared" si="161"/>
        <v/>
      </c>
      <c r="AE139" s="268" t="str">
        <f t="shared" si="161"/>
        <v/>
      </c>
      <c r="AF139" s="268" t="str">
        <f t="shared" si="161"/>
        <v/>
      </c>
      <c r="AG139" s="268" t="str">
        <f t="shared" si="161"/>
        <v/>
      </c>
      <c r="AH139" s="268" t="str">
        <f t="shared" si="161"/>
        <v/>
      </c>
      <c r="AI139" s="268" t="str">
        <f t="shared" si="161"/>
        <v/>
      </c>
      <c r="AJ139" s="268" t="str">
        <f t="shared" si="161"/>
        <v/>
      </c>
      <c r="AK139" s="268" t="str">
        <f t="shared" si="161"/>
        <v/>
      </c>
      <c r="AL139" s="268" t="str">
        <f t="shared" si="161"/>
        <v/>
      </c>
      <c r="AM139" s="268" t="str">
        <f t="shared" si="161"/>
        <v/>
      </c>
      <c r="AN139" s="268" t="str">
        <f t="shared" si="161"/>
        <v/>
      </c>
      <c r="AO139" s="268" t="str">
        <f t="shared" si="161"/>
        <v/>
      </c>
      <c r="AP139" s="268" t="str">
        <f t="shared" si="161"/>
        <v/>
      </c>
      <c r="AQ139" s="268" t="str">
        <f t="shared" si="161"/>
        <v/>
      </c>
      <c r="AR139" s="268" t="str">
        <f t="shared" si="161"/>
        <v/>
      </c>
      <c r="AS139" s="268" t="str">
        <f t="shared" si="161"/>
        <v/>
      </c>
      <c r="AT139" s="268" t="str">
        <f t="shared" si="161"/>
        <v/>
      </c>
      <c r="AU139" s="268" t="str">
        <f t="shared" si="161"/>
        <v/>
      </c>
      <c r="AV139" s="268" t="str">
        <f t="shared" si="161"/>
        <v/>
      </c>
      <c r="AW139" s="268" t="str">
        <f t="shared" si="161"/>
        <v/>
      </c>
      <c r="AX139" s="268" t="str">
        <f t="shared" si="161"/>
        <v/>
      </c>
      <c r="AY139" s="268" t="str">
        <f t="shared" si="161"/>
        <v/>
      </c>
      <c r="AZ139" s="268" t="str">
        <f t="shared" si="161"/>
        <v/>
      </c>
      <c r="BA139" s="268" t="str">
        <f t="shared" si="161"/>
        <v/>
      </c>
      <c r="BB139" s="268" t="str">
        <f t="shared" si="161"/>
        <v/>
      </c>
      <c r="BC139" s="268" t="str">
        <f t="shared" si="161"/>
        <v/>
      </c>
      <c r="BD139" s="268" t="str">
        <f t="shared" si="161"/>
        <v/>
      </c>
      <c r="BE139" s="268" t="str">
        <f t="shared" si="161"/>
        <v/>
      </c>
      <c r="BF139" s="268" t="str">
        <f t="shared" si="161"/>
        <v/>
      </c>
      <c r="BG139" s="268" t="str">
        <f t="shared" si="161"/>
        <v/>
      </c>
      <c r="BH139" s="268" t="str">
        <f t="shared" si="161"/>
        <v/>
      </c>
      <c r="BI139" s="268" t="str">
        <f t="shared" si="161"/>
        <v/>
      </c>
      <c r="BJ139" s="268" t="str">
        <f t="shared" si="161"/>
        <v/>
      </c>
      <c r="BK139" s="268" t="str">
        <f t="shared" si="161"/>
        <v/>
      </c>
      <c r="BL139" s="268" t="str">
        <f t="shared" si="161"/>
        <v/>
      </c>
      <c r="BM139" s="268" t="str">
        <f t="shared" si="161"/>
        <v/>
      </c>
      <c r="BN139" s="268" t="str">
        <f t="shared" si="161"/>
        <v/>
      </c>
      <c r="BO139" s="268" t="str">
        <f t="shared" si="161"/>
        <v/>
      </c>
      <c r="BP139" s="268" t="str">
        <f t="shared" si="161"/>
        <v/>
      </c>
      <c r="BQ139" s="268" t="str">
        <f t="shared" si="161"/>
        <v/>
      </c>
      <c r="BR139" s="268" t="str">
        <f t="shared" si="161"/>
        <v/>
      </c>
      <c r="BS139" s="268" t="str">
        <f t="shared" si="161"/>
        <v/>
      </c>
      <c r="BT139" s="268" t="str">
        <f t="shared" si="161"/>
        <v/>
      </c>
      <c r="BU139" s="268" t="str">
        <f t="shared" si="153"/>
        <v/>
      </c>
      <c r="BV139" s="247">
        <v>1.27</v>
      </c>
      <c r="BW139" s="729">
        <f t="shared" si="139"/>
        <v>1219.2</v>
      </c>
      <c r="BX139" s="730">
        <f t="shared" si="140"/>
        <v>9448.8</v>
      </c>
      <c r="BY139" s="731" t="str">
        <f t="shared" si="142"/>
        <v>JS</v>
      </c>
    </row>
    <row r="140" s="698" customFormat="1" customHeight="1" spans="1:77">
      <c r="A140" s="208">
        <v>46015</v>
      </c>
      <c r="B140" s="208">
        <v>46059</v>
      </c>
      <c r="C140" s="211" t="s">
        <v>379</v>
      </c>
      <c r="D140" s="211" t="s">
        <v>380</v>
      </c>
      <c r="E140" s="211" t="s">
        <v>65</v>
      </c>
      <c r="F140" s="732">
        <v>1800</v>
      </c>
      <c r="G140" s="211" t="s">
        <v>327</v>
      </c>
      <c r="H140" s="211" t="str">
        <f>IFERROR(VLOOKUP(E140,名称!A:E,4,0),"")</f>
        <v>二代</v>
      </c>
      <c r="I140" s="268" t="str">
        <f t="shared" ref="I140:BT140" si="162">IF(OR($E140="",I$1=""),"",IF(TRIM(LEFT($E140,MIN(IFERROR(FIND("CDU",UPPER($E140)),999),IFERROR(FIND("BULK",UPPER($E140)),999),IFERROR(FIND("-",$E140),999),IFERROR(FIND("（",$E140),999))-1))=I$1,$F140,""))</f>
        <v/>
      </c>
      <c r="J140" s="268" t="str">
        <f t="shared" si="162"/>
        <v/>
      </c>
      <c r="K140" s="268" t="str">
        <f t="shared" si="162"/>
        <v/>
      </c>
      <c r="L140" s="268" t="str">
        <f t="shared" si="162"/>
        <v/>
      </c>
      <c r="M140" s="268" t="str">
        <f t="shared" si="162"/>
        <v/>
      </c>
      <c r="N140" s="268" t="str">
        <f t="shared" si="162"/>
        <v/>
      </c>
      <c r="O140" s="268" t="str">
        <f t="shared" si="162"/>
        <v/>
      </c>
      <c r="P140" s="268" t="str">
        <f t="shared" si="162"/>
        <v/>
      </c>
      <c r="Q140" s="268">
        <f t="shared" si="162"/>
        <v>1800</v>
      </c>
      <c r="R140" s="268" t="str">
        <f t="shared" si="162"/>
        <v/>
      </c>
      <c r="S140" s="268" t="str">
        <f t="shared" si="162"/>
        <v/>
      </c>
      <c r="T140" s="268" t="str">
        <f t="shared" si="162"/>
        <v/>
      </c>
      <c r="U140" s="268" t="str">
        <f t="shared" si="162"/>
        <v/>
      </c>
      <c r="V140" s="268" t="str">
        <f t="shared" si="162"/>
        <v/>
      </c>
      <c r="W140" s="268" t="str">
        <f t="shared" si="162"/>
        <v/>
      </c>
      <c r="X140" s="268" t="str">
        <f t="shared" si="162"/>
        <v/>
      </c>
      <c r="Y140" s="268" t="str">
        <f t="shared" si="162"/>
        <v/>
      </c>
      <c r="Z140" s="268" t="str">
        <f t="shared" si="162"/>
        <v/>
      </c>
      <c r="AA140" s="268" t="str">
        <f t="shared" si="162"/>
        <v/>
      </c>
      <c r="AB140" s="268" t="str">
        <f t="shared" si="162"/>
        <v/>
      </c>
      <c r="AC140" s="268" t="str">
        <f t="shared" si="162"/>
        <v/>
      </c>
      <c r="AD140" s="268" t="str">
        <f t="shared" si="162"/>
        <v/>
      </c>
      <c r="AE140" s="268" t="str">
        <f t="shared" si="162"/>
        <v/>
      </c>
      <c r="AF140" s="268" t="str">
        <f t="shared" si="162"/>
        <v/>
      </c>
      <c r="AG140" s="268" t="str">
        <f t="shared" si="162"/>
        <v/>
      </c>
      <c r="AH140" s="268" t="str">
        <f t="shared" si="162"/>
        <v/>
      </c>
      <c r="AI140" s="268" t="str">
        <f t="shared" si="162"/>
        <v/>
      </c>
      <c r="AJ140" s="268" t="str">
        <f t="shared" si="162"/>
        <v/>
      </c>
      <c r="AK140" s="268" t="str">
        <f t="shared" si="162"/>
        <v/>
      </c>
      <c r="AL140" s="268" t="str">
        <f t="shared" si="162"/>
        <v/>
      </c>
      <c r="AM140" s="268" t="str">
        <f t="shared" si="162"/>
        <v/>
      </c>
      <c r="AN140" s="268" t="str">
        <f t="shared" si="162"/>
        <v/>
      </c>
      <c r="AO140" s="268" t="str">
        <f t="shared" si="162"/>
        <v/>
      </c>
      <c r="AP140" s="268" t="str">
        <f t="shared" si="162"/>
        <v/>
      </c>
      <c r="AQ140" s="268" t="str">
        <f t="shared" si="162"/>
        <v/>
      </c>
      <c r="AR140" s="268" t="str">
        <f t="shared" si="162"/>
        <v/>
      </c>
      <c r="AS140" s="268" t="str">
        <f t="shared" si="162"/>
        <v/>
      </c>
      <c r="AT140" s="268" t="str">
        <f t="shared" si="162"/>
        <v/>
      </c>
      <c r="AU140" s="268" t="str">
        <f t="shared" si="162"/>
        <v/>
      </c>
      <c r="AV140" s="268" t="str">
        <f t="shared" si="162"/>
        <v/>
      </c>
      <c r="AW140" s="268" t="str">
        <f t="shared" si="162"/>
        <v/>
      </c>
      <c r="AX140" s="268" t="str">
        <f t="shared" si="162"/>
        <v/>
      </c>
      <c r="AY140" s="268" t="str">
        <f t="shared" si="162"/>
        <v/>
      </c>
      <c r="AZ140" s="268" t="str">
        <f t="shared" si="162"/>
        <v/>
      </c>
      <c r="BA140" s="268" t="str">
        <f t="shared" si="162"/>
        <v/>
      </c>
      <c r="BB140" s="268" t="str">
        <f t="shared" si="162"/>
        <v/>
      </c>
      <c r="BC140" s="268" t="str">
        <f t="shared" si="162"/>
        <v/>
      </c>
      <c r="BD140" s="268" t="str">
        <f t="shared" si="162"/>
        <v/>
      </c>
      <c r="BE140" s="268" t="str">
        <f t="shared" si="162"/>
        <v/>
      </c>
      <c r="BF140" s="268" t="str">
        <f t="shared" si="162"/>
        <v/>
      </c>
      <c r="BG140" s="268" t="str">
        <f t="shared" si="162"/>
        <v/>
      </c>
      <c r="BH140" s="268" t="str">
        <f t="shared" si="162"/>
        <v/>
      </c>
      <c r="BI140" s="268" t="str">
        <f t="shared" si="162"/>
        <v/>
      </c>
      <c r="BJ140" s="268" t="str">
        <f t="shared" si="162"/>
        <v/>
      </c>
      <c r="BK140" s="268" t="str">
        <f t="shared" si="162"/>
        <v/>
      </c>
      <c r="BL140" s="268" t="str">
        <f t="shared" si="162"/>
        <v/>
      </c>
      <c r="BM140" s="268" t="str">
        <f t="shared" si="162"/>
        <v/>
      </c>
      <c r="BN140" s="268" t="str">
        <f t="shared" si="162"/>
        <v/>
      </c>
      <c r="BO140" s="268" t="str">
        <f t="shared" si="162"/>
        <v/>
      </c>
      <c r="BP140" s="268" t="str">
        <f t="shared" si="162"/>
        <v/>
      </c>
      <c r="BQ140" s="268" t="str">
        <f t="shared" si="162"/>
        <v/>
      </c>
      <c r="BR140" s="268" t="str">
        <f t="shared" si="162"/>
        <v/>
      </c>
      <c r="BS140" s="268" t="str">
        <f t="shared" si="162"/>
        <v/>
      </c>
      <c r="BT140" s="268" t="str">
        <f t="shared" si="162"/>
        <v/>
      </c>
      <c r="BU140" s="268" t="str">
        <f t="shared" si="153"/>
        <v/>
      </c>
      <c r="BV140" s="247">
        <v>0.63</v>
      </c>
      <c r="BW140" s="729">
        <f t="shared" si="139"/>
        <v>1134</v>
      </c>
      <c r="BX140" s="730">
        <f t="shared" si="140"/>
        <v>8788.5</v>
      </c>
      <c r="BY140" s="731" t="str">
        <f t="shared" si="142"/>
        <v>SR</v>
      </c>
    </row>
    <row r="141" s="698" customFormat="1" customHeight="1" spans="1:77">
      <c r="A141" s="208">
        <v>46015</v>
      </c>
      <c r="B141" s="208">
        <v>46059</v>
      </c>
      <c r="C141" s="211" t="s">
        <v>379</v>
      </c>
      <c r="D141" s="211" t="s">
        <v>380</v>
      </c>
      <c r="E141" s="211" t="s">
        <v>64</v>
      </c>
      <c r="F141" s="732">
        <v>720</v>
      </c>
      <c r="G141" s="211" t="s">
        <v>327</v>
      </c>
      <c r="H141" s="211" t="str">
        <f>IFERROR(VLOOKUP(E141,名称!A:E,4,0),"")</f>
        <v>二代</v>
      </c>
      <c r="I141" s="268" t="str">
        <f t="shared" ref="I141:BT141" si="163">IF(OR($E141="",I$1=""),"",IF(TRIM(LEFT($E141,MIN(IFERROR(FIND("CDU",UPPER($E141)),999),IFERROR(FIND("BULK",UPPER($E141)),999),IFERROR(FIND("-",$E141),999),IFERROR(FIND("（",$E141),999))-1))=I$1,$F141,""))</f>
        <v/>
      </c>
      <c r="J141" s="268" t="str">
        <f t="shared" si="163"/>
        <v/>
      </c>
      <c r="K141" s="268" t="str">
        <f t="shared" si="163"/>
        <v/>
      </c>
      <c r="L141" s="268" t="str">
        <f t="shared" si="163"/>
        <v/>
      </c>
      <c r="M141" s="268" t="str">
        <f t="shared" si="163"/>
        <v/>
      </c>
      <c r="N141" s="268" t="str">
        <f t="shared" si="163"/>
        <v/>
      </c>
      <c r="O141" s="268" t="str">
        <f t="shared" si="163"/>
        <v/>
      </c>
      <c r="P141" s="268">
        <f t="shared" si="163"/>
        <v>720</v>
      </c>
      <c r="Q141" s="268" t="str">
        <f t="shared" si="163"/>
        <v/>
      </c>
      <c r="R141" s="268" t="str">
        <f t="shared" si="163"/>
        <v/>
      </c>
      <c r="S141" s="268" t="str">
        <f t="shared" si="163"/>
        <v/>
      </c>
      <c r="T141" s="268" t="str">
        <f t="shared" si="163"/>
        <v/>
      </c>
      <c r="U141" s="268" t="str">
        <f t="shared" si="163"/>
        <v/>
      </c>
      <c r="V141" s="268" t="str">
        <f t="shared" si="163"/>
        <v/>
      </c>
      <c r="W141" s="268" t="str">
        <f t="shared" si="163"/>
        <v/>
      </c>
      <c r="X141" s="268" t="str">
        <f t="shared" si="163"/>
        <v/>
      </c>
      <c r="Y141" s="268" t="str">
        <f t="shared" si="163"/>
        <v/>
      </c>
      <c r="Z141" s="268" t="str">
        <f t="shared" si="163"/>
        <v/>
      </c>
      <c r="AA141" s="268" t="str">
        <f t="shared" si="163"/>
        <v/>
      </c>
      <c r="AB141" s="268" t="str">
        <f t="shared" si="163"/>
        <v/>
      </c>
      <c r="AC141" s="268" t="str">
        <f t="shared" si="163"/>
        <v/>
      </c>
      <c r="AD141" s="268" t="str">
        <f t="shared" si="163"/>
        <v/>
      </c>
      <c r="AE141" s="268" t="str">
        <f t="shared" si="163"/>
        <v/>
      </c>
      <c r="AF141" s="268" t="str">
        <f t="shared" si="163"/>
        <v/>
      </c>
      <c r="AG141" s="268" t="str">
        <f t="shared" si="163"/>
        <v/>
      </c>
      <c r="AH141" s="268" t="str">
        <f t="shared" si="163"/>
        <v/>
      </c>
      <c r="AI141" s="268" t="str">
        <f t="shared" si="163"/>
        <v/>
      </c>
      <c r="AJ141" s="268" t="str">
        <f t="shared" si="163"/>
        <v/>
      </c>
      <c r="AK141" s="268" t="str">
        <f t="shared" si="163"/>
        <v/>
      </c>
      <c r="AL141" s="268" t="str">
        <f t="shared" si="163"/>
        <v/>
      </c>
      <c r="AM141" s="268" t="str">
        <f t="shared" si="163"/>
        <v/>
      </c>
      <c r="AN141" s="268" t="str">
        <f t="shared" si="163"/>
        <v/>
      </c>
      <c r="AO141" s="268" t="str">
        <f t="shared" si="163"/>
        <v/>
      </c>
      <c r="AP141" s="268" t="str">
        <f t="shared" si="163"/>
        <v/>
      </c>
      <c r="AQ141" s="268" t="str">
        <f t="shared" si="163"/>
        <v/>
      </c>
      <c r="AR141" s="268" t="str">
        <f t="shared" si="163"/>
        <v/>
      </c>
      <c r="AS141" s="268" t="str">
        <f t="shared" si="163"/>
        <v/>
      </c>
      <c r="AT141" s="268" t="str">
        <f t="shared" si="163"/>
        <v/>
      </c>
      <c r="AU141" s="268" t="str">
        <f t="shared" si="163"/>
        <v/>
      </c>
      <c r="AV141" s="268" t="str">
        <f t="shared" si="163"/>
        <v/>
      </c>
      <c r="AW141" s="268" t="str">
        <f t="shared" si="163"/>
        <v/>
      </c>
      <c r="AX141" s="268" t="str">
        <f t="shared" si="163"/>
        <v/>
      </c>
      <c r="AY141" s="268" t="str">
        <f t="shared" si="163"/>
        <v/>
      </c>
      <c r="AZ141" s="268" t="str">
        <f t="shared" si="163"/>
        <v/>
      </c>
      <c r="BA141" s="268" t="str">
        <f t="shared" si="163"/>
        <v/>
      </c>
      <c r="BB141" s="268" t="str">
        <f t="shared" si="163"/>
        <v/>
      </c>
      <c r="BC141" s="268" t="str">
        <f t="shared" si="163"/>
        <v/>
      </c>
      <c r="BD141" s="268" t="str">
        <f t="shared" si="163"/>
        <v/>
      </c>
      <c r="BE141" s="268" t="str">
        <f t="shared" si="163"/>
        <v/>
      </c>
      <c r="BF141" s="268" t="str">
        <f t="shared" si="163"/>
        <v/>
      </c>
      <c r="BG141" s="268" t="str">
        <f t="shared" si="163"/>
        <v/>
      </c>
      <c r="BH141" s="268" t="str">
        <f t="shared" si="163"/>
        <v/>
      </c>
      <c r="BI141" s="268" t="str">
        <f t="shared" si="163"/>
        <v/>
      </c>
      <c r="BJ141" s="268" t="str">
        <f t="shared" si="163"/>
        <v/>
      </c>
      <c r="BK141" s="268" t="str">
        <f t="shared" si="163"/>
        <v/>
      </c>
      <c r="BL141" s="268" t="str">
        <f t="shared" si="163"/>
        <v/>
      </c>
      <c r="BM141" s="268" t="str">
        <f t="shared" si="163"/>
        <v/>
      </c>
      <c r="BN141" s="268" t="str">
        <f t="shared" si="163"/>
        <v/>
      </c>
      <c r="BO141" s="268" t="str">
        <f t="shared" si="163"/>
        <v/>
      </c>
      <c r="BP141" s="268" t="str">
        <f t="shared" si="163"/>
        <v/>
      </c>
      <c r="BQ141" s="268" t="str">
        <f t="shared" si="163"/>
        <v/>
      </c>
      <c r="BR141" s="268" t="str">
        <f t="shared" si="163"/>
        <v/>
      </c>
      <c r="BS141" s="268" t="str">
        <f t="shared" si="163"/>
        <v/>
      </c>
      <c r="BT141" s="268" t="str">
        <f t="shared" si="163"/>
        <v/>
      </c>
      <c r="BU141" s="268" t="str">
        <f t="shared" si="153"/>
        <v/>
      </c>
      <c r="BV141" s="247">
        <v>0.63</v>
      </c>
      <c r="BW141" s="729">
        <f t="shared" si="139"/>
        <v>453.6</v>
      </c>
      <c r="BX141" s="730">
        <f t="shared" si="140"/>
        <v>3515.4</v>
      </c>
      <c r="BY141" s="731" t="str">
        <f t="shared" si="142"/>
        <v>SR</v>
      </c>
    </row>
    <row r="142" s="698" customFormat="1" customHeight="1" spans="1:77">
      <c r="A142" s="208">
        <v>46015</v>
      </c>
      <c r="B142" s="208">
        <v>46059</v>
      </c>
      <c r="C142" s="211" t="s">
        <v>379</v>
      </c>
      <c r="D142" s="211" t="s">
        <v>380</v>
      </c>
      <c r="E142" s="211" t="s">
        <v>62</v>
      </c>
      <c r="F142" s="732">
        <v>720</v>
      </c>
      <c r="G142" s="211" t="s">
        <v>327</v>
      </c>
      <c r="H142" s="211" t="str">
        <f>IFERROR(VLOOKUP(E142,名称!A:E,4,0),"")</f>
        <v>二代</v>
      </c>
      <c r="I142" s="268" t="str">
        <f t="shared" ref="I142:BT142" si="164">IF(OR($E142="",I$1=""),"",IF(TRIM(LEFT($E142,MIN(IFERROR(FIND("CDU",UPPER($E142)),999),IFERROR(FIND("BULK",UPPER($E142)),999),IFERROR(FIND("-",$E142),999),IFERROR(FIND("（",$E142),999))-1))=I$1,$F142,""))</f>
        <v/>
      </c>
      <c r="J142" s="268" t="str">
        <f t="shared" si="164"/>
        <v/>
      </c>
      <c r="K142" s="268" t="str">
        <f t="shared" si="164"/>
        <v/>
      </c>
      <c r="L142" s="268" t="str">
        <f t="shared" si="164"/>
        <v/>
      </c>
      <c r="M142" s="268" t="str">
        <f t="shared" si="164"/>
        <v/>
      </c>
      <c r="N142" s="268" t="str">
        <f t="shared" si="164"/>
        <v/>
      </c>
      <c r="O142" s="268">
        <f t="shared" si="164"/>
        <v>720</v>
      </c>
      <c r="P142" s="268" t="str">
        <f t="shared" si="164"/>
        <v/>
      </c>
      <c r="Q142" s="268" t="str">
        <f t="shared" si="164"/>
        <v/>
      </c>
      <c r="R142" s="268" t="str">
        <f t="shared" si="164"/>
        <v/>
      </c>
      <c r="S142" s="268" t="str">
        <f t="shared" si="164"/>
        <v/>
      </c>
      <c r="T142" s="268" t="str">
        <f t="shared" si="164"/>
        <v/>
      </c>
      <c r="U142" s="268" t="str">
        <f t="shared" si="164"/>
        <v/>
      </c>
      <c r="V142" s="268" t="str">
        <f t="shared" si="164"/>
        <v/>
      </c>
      <c r="W142" s="268" t="str">
        <f t="shared" si="164"/>
        <v/>
      </c>
      <c r="X142" s="268" t="str">
        <f t="shared" si="164"/>
        <v/>
      </c>
      <c r="Y142" s="268" t="str">
        <f t="shared" si="164"/>
        <v/>
      </c>
      <c r="Z142" s="268" t="str">
        <f t="shared" si="164"/>
        <v/>
      </c>
      <c r="AA142" s="268" t="str">
        <f t="shared" si="164"/>
        <v/>
      </c>
      <c r="AB142" s="268" t="str">
        <f t="shared" si="164"/>
        <v/>
      </c>
      <c r="AC142" s="268" t="str">
        <f t="shared" si="164"/>
        <v/>
      </c>
      <c r="AD142" s="268" t="str">
        <f t="shared" si="164"/>
        <v/>
      </c>
      <c r="AE142" s="268" t="str">
        <f t="shared" si="164"/>
        <v/>
      </c>
      <c r="AF142" s="268" t="str">
        <f t="shared" si="164"/>
        <v/>
      </c>
      <c r="AG142" s="268" t="str">
        <f t="shared" si="164"/>
        <v/>
      </c>
      <c r="AH142" s="268" t="str">
        <f t="shared" si="164"/>
        <v/>
      </c>
      <c r="AI142" s="268" t="str">
        <f t="shared" si="164"/>
        <v/>
      </c>
      <c r="AJ142" s="268" t="str">
        <f t="shared" si="164"/>
        <v/>
      </c>
      <c r="AK142" s="268" t="str">
        <f t="shared" si="164"/>
        <v/>
      </c>
      <c r="AL142" s="268" t="str">
        <f t="shared" si="164"/>
        <v/>
      </c>
      <c r="AM142" s="268" t="str">
        <f t="shared" si="164"/>
        <v/>
      </c>
      <c r="AN142" s="268" t="str">
        <f t="shared" si="164"/>
        <v/>
      </c>
      <c r="AO142" s="268" t="str">
        <f t="shared" si="164"/>
        <v/>
      </c>
      <c r="AP142" s="268" t="str">
        <f t="shared" si="164"/>
        <v/>
      </c>
      <c r="AQ142" s="268" t="str">
        <f t="shared" si="164"/>
        <v/>
      </c>
      <c r="AR142" s="268" t="str">
        <f t="shared" si="164"/>
        <v/>
      </c>
      <c r="AS142" s="268" t="str">
        <f t="shared" si="164"/>
        <v/>
      </c>
      <c r="AT142" s="268" t="str">
        <f t="shared" si="164"/>
        <v/>
      </c>
      <c r="AU142" s="268" t="str">
        <f t="shared" si="164"/>
        <v/>
      </c>
      <c r="AV142" s="268" t="str">
        <f t="shared" si="164"/>
        <v/>
      </c>
      <c r="AW142" s="268" t="str">
        <f t="shared" si="164"/>
        <v/>
      </c>
      <c r="AX142" s="268" t="str">
        <f t="shared" si="164"/>
        <v/>
      </c>
      <c r="AY142" s="268" t="str">
        <f t="shared" si="164"/>
        <v/>
      </c>
      <c r="AZ142" s="268" t="str">
        <f t="shared" si="164"/>
        <v/>
      </c>
      <c r="BA142" s="268" t="str">
        <f t="shared" si="164"/>
        <v/>
      </c>
      <c r="BB142" s="268" t="str">
        <f t="shared" si="164"/>
        <v/>
      </c>
      <c r="BC142" s="268" t="str">
        <f t="shared" si="164"/>
        <v/>
      </c>
      <c r="BD142" s="268" t="str">
        <f t="shared" si="164"/>
        <v/>
      </c>
      <c r="BE142" s="268" t="str">
        <f t="shared" si="164"/>
        <v/>
      </c>
      <c r="BF142" s="268" t="str">
        <f t="shared" si="164"/>
        <v/>
      </c>
      <c r="BG142" s="268" t="str">
        <f t="shared" si="164"/>
        <v/>
      </c>
      <c r="BH142" s="268" t="str">
        <f t="shared" si="164"/>
        <v/>
      </c>
      <c r="BI142" s="268" t="str">
        <f t="shared" si="164"/>
        <v/>
      </c>
      <c r="BJ142" s="268" t="str">
        <f t="shared" si="164"/>
        <v/>
      </c>
      <c r="BK142" s="268" t="str">
        <f t="shared" si="164"/>
        <v/>
      </c>
      <c r="BL142" s="268" t="str">
        <f t="shared" si="164"/>
        <v/>
      </c>
      <c r="BM142" s="268" t="str">
        <f t="shared" si="164"/>
        <v/>
      </c>
      <c r="BN142" s="268" t="str">
        <f t="shared" si="164"/>
        <v/>
      </c>
      <c r="BO142" s="268" t="str">
        <f t="shared" si="164"/>
        <v/>
      </c>
      <c r="BP142" s="268" t="str">
        <f t="shared" si="164"/>
        <v/>
      </c>
      <c r="BQ142" s="268" t="str">
        <f t="shared" si="164"/>
        <v/>
      </c>
      <c r="BR142" s="268" t="str">
        <f t="shared" si="164"/>
        <v/>
      </c>
      <c r="BS142" s="268" t="str">
        <f t="shared" si="164"/>
        <v/>
      </c>
      <c r="BT142" s="268" t="str">
        <f t="shared" si="164"/>
        <v/>
      </c>
      <c r="BU142" s="268" t="str">
        <f t="shared" si="153"/>
        <v/>
      </c>
      <c r="BV142" s="247">
        <v>0.63</v>
      </c>
      <c r="BW142" s="729">
        <f t="shared" si="139"/>
        <v>453.6</v>
      </c>
      <c r="BX142" s="730">
        <f t="shared" si="140"/>
        <v>3515.4</v>
      </c>
      <c r="BY142" s="731" t="str">
        <f t="shared" si="142"/>
        <v>SR</v>
      </c>
    </row>
    <row r="143" s="698" customFormat="1" customHeight="1" spans="1:77">
      <c r="A143" s="208">
        <v>46015</v>
      </c>
      <c r="B143" s="208">
        <v>46059</v>
      </c>
      <c r="C143" s="211" t="s">
        <v>379</v>
      </c>
      <c r="D143" s="211" t="s">
        <v>380</v>
      </c>
      <c r="E143" s="211" t="s">
        <v>79</v>
      </c>
      <c r="F143" s="732">
        <v>720</v>
      </c>
      <c r="G143" s="211" t="s">
        <v>327</v>
      </c>
      <c r="H143" s="211" t="str">
        <f>IFERROR(VLOOKUP(E143,名称!A:E,4,0),"")</f>
        <v>二代</v>
      </c>
      <c r="I143" s="268" t="str">
        <f t="shared" ref="I143:BT143" si="165">IF(OR($E143="",I$1=""),"",IF(TRIM(LEFT($E143,MIN(IFERROR(FIND("CDU",UPPER($E143)),999),IFERROR(FIND("BULK",UPPER($E143)),999),IFERROR(FIND("-",$E143),999),IFERROR(FIND("（",$E143),999))-1))=I$1,$F143,""))</f>
        <v/>
      </c>
      <c r="J143" s="268" t="str">
        <f t="shared" si="165"/>
        <v/>
      </c>
      <c r="K143" s="268" t="str">
        <f t="shared" si="165"/>
        <v/>
      </c>
      <c r="L143" s="268" t="str">
        <f t="shared" si="165"/>
        <v/>
      </c>
      <c r="M143" s="268" t="str">
        <f t="shared" si="165"/>
        <v/>
      </c>
      <c r="N143" s="268" t="str">
        <f t="shared" si="165"/>
        <v/>
      </c>
      <c r="O143" s="268" t="str">
        <f t="shared" si="165"/>
        <v/>
      </c>
      <c r="P143" s="268" t="str">
        <f t="shared" si="165"/>
        <v/>
      </c>
      <c r="Q143" s="268" t="str">
        <f t="shared" si="165"/>
        <v/>
      </c>
      <c r="R143" s="268" t="str">
        <f t="shared" si="165"/>
        <v/>
      </c>
      <c r="S143" s="268" t="str">
        <f t="shared" si="165"/>
        <v/>
      </c>
      <c r="T143" s="268" t="str">
        <f t="shared" si="165"/>
        <v/>
      </c>
      <c r="U143" s="268" t="str">
        <f t="shared" si="165"/>
        <v/>
      </c>
      <c r="V143" s="268" t="str">
        <f t="shared" si="165"/>
        <v/>
      </c>
      <c r="W143" s="268" t="str">
        <f t="shared" si="165"/>
        <v/>
      </c>
      <c r="X143" s="268" t="str">
        <f t="shared" si="165"/>
        <v/>
      </c>
      <c r="Y143" s="268">
        <f t="shared" si="165"/>
        <v>720</v>
      </c>
      <c r="Z143" s="268" t="str">
        <f t="shared" si="165"/>
        <v/>
      </c>
      <c r="AA143" s="268" t="str">
        <f t="shared" si="165"/>
        <v/>
      </c>
      <c r="AB143" s="268" t="str">
        <f t="shared" si="165"/>
        <v/>
      </c>
      <c r="AC143" s="268" t="str">
        <f t="shared" si="165"/>
        <v/>
      </c>
      <c r="AD143" s="268" t="str">
        <f t="shared" si="165"/>
        <v/>
      </c>
      <c r="AE143" s="268" t="str">
        <f t="shared" si="165"/>
        <v/>
      </c>
      <c r="AF143" s="268" t="str">
        <f t="shared" si="165"/>
        <v/>
      </c>
      <c r="AG143" s="268" t="str">
        <f t="shared" si="165"/>
        <v/>
      </c>
      <c r="AH143" s="268" t="str">
        <f t="shared" si="165"/>
        <v/>
      </c>
      <c r="AI143" s="268" t="str">
        <f t="shared" si="165"/>
        <v/>
      </c>
      <c r="AJ143" s="268" t="str">
        <f t="shared" si="165"/>
        <v/>
      </c>
      <c r="AK143" s="268" t="str">
        <f t="shared" si="165"/>
        <v/>
      </c>
      <c r="AL143" s="268" t="str">
        <f t="shared" si="165"/>
        <v/>
      </c>
      <c r="AM143" s="268" t="str">
        <f t="shared" si="165"/>
        <v/>
      </c>
      <c r="AN143" s="268" t="str">
        <f t="shared" si="165"/>
        <v/>
      </c>
      <c r="AO143" s="268" t="str">
        <f t="shared" si="165"/>
        <v/>
      </c>
      <c r="AP143" s="268" t="str">
        <f t="shared" si="165"/>
        <v/>
      </c>
      <c r="AQ143" s="268" t="str">
        <f t="shared" si="165"/>
        <v/>
      </c>
      <c r="AR143" s="268" t="str">
        <f t="shared" si="165"/>
        <v/>
      </c>
      <c r="AS143" s="268" t="str">
        <f t="shared" si="165"/>
        <v/>
      </c>
      <c r="AT143" s="268" t="str">
        <f t="shared" si="165"/>
        <v/>
      </c>
      <c r="AU143" s="268" t="str">
        <f t="shared" si="165"/>
        <v/>
      </c>
      <c r="AV143" s="268" t="str">
        <f t="shared" si="165"/>
        <v/>
      </c>
      <c r="AW143" s="268" t="str">
        <f t="shared" si="165"/>
        <v/>
      </c>
      <c r="AX143" s="268" t="str">
        <f t="shared" si="165"/>
        <v/>
      </c>
      <c r="AY143" s="268" t="str">
        <f t="shared" si="165"/>
        <v/>
      </c>
      <c r="AZ143" s="268" t="str">
        <f t="shared" si="165"/>
        <v/>
      </c>
      <c r="BA143" s="268" t="str">
        <f t="shared" si="165"/>
        <v/>
      </c>
      <c r="BB143" s="268" t="str">
        <f t="shared" si="165"/>
        <v/>
      </c>
      <c r="BC143" s="268" t="str">
        <f t="shared" si="165"/>
        <v/>
      </c>
      <c r="BD143" s="268" t="str">
        <f t="shared" si="165"/>
        <v/>
      </c>
      <c r="BE143" s="268" t="str">
        <f t="shared" si="165"/>
        <v/>
      </c>
      <c r="BF143" s="268" t="str">
        <f t="shared" si="165"/>
        <v/>
      </c>
      <c r="BG143" s="268" t="str">
        <f t="shared" si="165"/>
        <v/>
      </c>
      <c r="BH143" s="268" t="str">
        <f t="shared" si="165"/>
        <v/>
      </c>
      <c r="BI143" s="268" t="str">
        <f t="shared" si="165"/>
        <v/>
      </c>
      <c r="BJ143" s="268" t="str">
        <f t="shared" si="165"/>
        <v/>
      </c>
      <c r="BK143" s="268" t="str">
        <f t="shared" si="165"/>
        <v/>
      </c>
      <c r="BL143" s="268" t="str">
        <f t="shared" si="165"/>
        <v/>
      </c>
      <c r="BM143" s="268" t="str">
        <f t="shared" si="165"/>
        <v/>
      </c>
      <c r="BN143" s="268" t="str">
        <f t="shared" si="165"/>
        <v/>
      </c>
      <c r="BO143" s="268" t="str">
        <f t="shared" si="165"/>
        <v/>
      </c>
      <c r="BP143" s="268" t="str">
        <f t="shared" si="165"/>
        <v/>
      </c>
      <c r="BQ143" s="268" t="str">
        <f t="shared" si="165"/>
        <v/>
      </c>
      <c r="BR143" s="268" t="str">
        <f t="shared" si="165"/>
        <v/>
      </c>
      <c r="BS143" s="268" t="str">
        <f t="shared" si="165"/>
        <v/>
      </c>
      <c r="BT143" s="268" t="str">
        <f t="shared" si="165"/>
        <v/>
      </c>
      <c r="BU143" s="268" t="str">
        <f t="shared" si="153"/>
        <v/>
      </c>
      <c r="BV143" s="247">
        <v>1.58</v>
      </c>
      <c r="BW143" s="729">
        <f t="shared" si="139"/>
        <v>1137.6</v>
      </c>
      <c r="BX143" s="730">
        <f t="shared" si="140"/>
        <v>8816.4</v>
      </c>
      <c r="BY143" s="731" t="str">
        <f t="shared" si="142"/>
        <v>SR</v>
      </c>
    </row>
    <row r="144" s="698" customFormat="1" customHeight="1" spans="1:77">
      <c r="A144" s="208">
        <v>46015</v>
      </c>
      <c r="B144" s="208">
        <v>46059</v>
      </c>
      <c r="C144" s="211" t="s">
        <v>379</v>
      </c>
      <c r="D144" s="211" t="s">
        <v>380</v>
      </c>
      <c r="E144" s="211" t="s">
        <v>43</v>
      </c>
      <c r="F144" s="732">
        <v>1440</v>
      </c>
      <c r="G144" s="211" t="s">
        <v>327</v>
      </c>
      <c r="H144" s="211" t="str">
        <f>IFERROR(VLOOKUP(E144,名称!A:E,4,0),"")</f>
        <v>二代</v>
      </c>
      <c r="I144" s="268" t="str">
        <f t="shared" ref="I144:BT144" si="166">IF(OR($E144="",I$1=""),"",IF(TRIM(LEFT($E144,MIN(IFERROR(FIND("CDU",UPPER($E144)),999),IFERROR(FIND("BULK",UPPER($E144)),999),IFERROR(FIND("-",$E144),999),IFERROR(FIND("（",$E144),999))-1))=I$1,$F144,""))</f>
        <v/>
      </c>
      <c r="J144" s="268" t="str">
        <f t="shared" si="166"/>
        <v/>
      </c>
      <c r="K144" s="268" t="str">
        <f t="shared" si="166"/>
        <v/>
      </c>
      <c r="L144" s="268" t="str">
        <f t="shared" si="166"/>
        <v/>
      </c>
      <c r="M144" s="268" t="str">
        <f t="shared" si="166"/>
        <v/>
      </c>
      <c r="N144" s="268">
        <f t="shared" si="166"/>
        <v>1440</v>
      </c>
      <c r="O144" s="268" t="str">
        <f t="shared" si="166"/>
        <v/>
      </c>
      <c r="P144" s="268" t="str">
        <f t="shared" si="166"/>
        <v/>
      </c>
      <c r="Q144" s="268" t="str">
        <f t="shared" si="166"/>
        <v/>
      </c>
      <c r="R144" s="268" t="str">
        <f t="shared" si="166"/>
        <v/>
      </c>
      <c r="S144" s="268" t="str">
        <f t="shared" si="166"/>
        <v/>
      </c>
      <c r="T144" s="268" t="str">
        <f t="shared" si="166"/>
        <v/>
      </c>
      <c r="U144" s="268" t="str">
        <f t="shared" si="166"/>
        <v/>
      </c>
      <c r="V144" s="268" t="str">
        <f t="shared" si="166"/>
        <v/>
      </c>
      <c r="W144" s="268" t="str">
        <f t="shared" si="166"/>
        <v/>
      </c>
      <c r="X144" s="268" t="str">
        <f t="shared" si="166"/>
        <v/>
      </c>
      <c r="Y144" s="268" t="str">
        <f t="shared" si="166"/>
        <v/>
      </c>
      <c r="Z144" s="268" t="str">
        <f t="shared" si="166"/>
        <v/>
      </c>
      <c r="AA144" s="268" t="str">
        <f t="shared" si="166"/>
        <v/>
      </c>
      <c r="AB144" s="268" t="str">
        <f t="shared" si="166"/>
        <v/>
      </c>
      <c r="AC144" s="268" t="str">
        <f t="shared" si="166"/>
        <v/>
      </c>
      <c r="AD144" s="268" t="str">
        <f t="shared" si="166"/>
        <v/>
      </c>
      <c r="AE144" s="268" t="str">
        <f t="shared" si="166"/>
        <v/>
      </c>
      <c r="AF144" s="268" t="str">
        <f t="shared" si="166"/>
        <v/>
      </c>
      <c r="AG144" s="268" t="str">
        <f t="shared" si="166"/>
        <v/>
      </c>
      <c r="AH144" s="268" t="str">
        <f t="shared" si="166"/>
        <v/>
      </c>
      <c r="AI144" s="268" t="str">
        <f t="shared" si="166"/>
        <v/>
      </c>
      <c r="AJ144" s="268" t="str">
        <f t="shared" si="166"/>
        <v/>
      </c>
      <c r="AK144" s="268" t="str">
        <f t="shared" si="166"/>
        <v/>
      </c>
      <c r="AL144" s="268" t="str">
        <f t="shared" si="166"/>
        <v/>
      </c>
      <c r="AM144" s="268" t="str">
        <f t="shared" si="166"/>
        <v/>
      </c>
      <c r="AN144" s="268" t="str">
        <f t="shared" si="166"/>
        <v/>
      </c>
      <c r="AO144" s="268" t="str">
        <f t="shared" si="166"/>
        <v/>
      </c>
      <c r="AP144" s="268" t="str">
        <f t="shared" si="166"/>
        <v/>
      </c>
      <c r="AQ144" s="268" t="str">
        <f t="shared" si="166"/>
        <v/>
      </c>
      <c r="AR144" s="268" t="str">
        <f t="shared" si="166"/>
        <v/>
      </c>
      <c r="AS144" s="268" t="str">
        <f t="shared" si="166"/>
        <v/>
      </c>
      <c r="AT144" s="268" t="str">
        <f t="shared" si="166"/>
        <v/>
      </c>
      <c r="AU144" s="268" t="str">
        <f t="shared" si="166"/>
        <v/>
      </c>
      <c r="AV144" s="268" t="str">
        <f t="shared" si="166"/>
        <v/>
      </c>
      <c r="AW144" s="268" t="str">
        <f t="shared" si="166"/>
        <v/>
      </c>
      <c r="AX144" s="268" t="str">
        <f t="shared" si="166"/>
        <v/>
      </c>
      <c r="AY144" s="268" t="str">
        <f t="shared" si="166"/>
        <v/>
      </c>
      <c r="AZ144" s="268" t="str">
        <f t="shared" si="166"/>
        <v/>
      </c>
      <c r="BA144" s="268" t="str">
        <f t="shared" si="166"/>
        <v/>
      </c>
      <c r="BB144" s="268" t="str">
        <f t="shared" si="166"/>
        <v/>
      </c>
      <c r="BC144" s="268" t="str">
        <f t="shared" si="166"/>
        <v/>
      </c>
      <c r="BD144" s="268" t="str">
        <f t="shared" si="166"/>
        <v/>
      </c>
      <c r="BE144" s="268" t="str">
        <f t="shared" si="166"/>
        <v/>
      </c>
      <c r="BF144" s="268" t="str">
        <f t="shared" si="166"/>
        <v/>
      </c>
      <c r="BG144" s="268" t="str">
        <f t="shared" si="166"/>
        <v/>
      </c>
      <c r="BH144" s="268" t="str">
        <f t="shared" si="166"/>
        <v/>
      </c>
      <c r="BI144" s="268" t="str">
        <f t="shared" si="166"/>
        <v/>
      </c>
      <c r="BJ144" s="268" t="str">
        <f t="shared" si="166"/>
        <v/>
      </c>
      <c r="BK144" s="268" t="str">
        <f t="shared" si="166"/>
        <v/>
      </c>
      <c r="BL144" s="268" t="str">
        <f t="shared" si="166"/>
        <v/>
      </c>
      <c r="BM144" s="268" t="str">
        <f t="shared" si="166"/>
        <v/>
      </c>
      <c r="BN144" s="268" t="str">
        <f t="shared" si="166"/>
        <v/>
      </c>
      <c r="BO144" s="268" t="str">
        <f t="shared" si="166"/>
        <v/>
      </c>
      <c r="BP144" s="268" t="str">
        <f t="shared" si="166"/>
        <v/>
      </c>
      <c r="BQ144" s="268" t="str">
        <f t="shared" si="166"/>
        <v/>
      </c>
      <c r="BR144" s="268" t="str">
        <f t="shared" si="166"/>
        <v/>
      </c>
      <c r="BS144" s="268" t="str">
        <f t="shared" si="166"/>
        <v/>
      </c>
      <c r="BT144" s="268" t="str">
        <f t="shared" si="166"/>
        <v/>
      </c>
      <c r="BU144" s="268" t="str">
        <f t="shared" si="153"/>
        <v/>
      </c>
      <c r="BV144" s="247">
        <v>0.63</v>
      </c>
      <c r="BW144" s="729">
        <f t="shared" si="139"/>
        <v>907.2</v>
      </c>
      <c r="BX144" s="730">
        <f t="shared" si="140"/>
        <v>7030.8</v>
      </c>
      <c r="BY144" s="731" t="str">
        <f t="shared" si="142"/>
        <v>SR</v>
      </c>
    </row>
    <row r="145" s="698" customFormat="1" customHeight="1" spans="1:77">
      <c r="A145" s="208">
        <v>46015</v>
      </c>
      <c r="B145" s="208">
        <v>46059</v>
      </c>
      <c r="C145" s="211" t="s">
        <v>379</v>
      </c>
      <c r="D145" s="211" t="s">
        <v>380</v>
      </c>
      <c r="E145" s="211" t="s">
        <v>74</v>
      </c>
      <c r="F145" s="732">
        <v>1440</v>
      </c>
      <c r="G145" s="211" t="s">
        <v>327</v>
      </c>
      <c r="H145" s="211" t="str">
        <f>IFERROR(VLOOKUP(E145,名称!A:E,4,0),"")</f>
        <v>二代</v>
      </c>
      <c r="I145" s="268" t="str">
        <f t="shared" ref="I145:BT145" si="167">IF(OR($E145="",I$1=""),"",IF(TRIM(LEFT($E145,MIN(IFERROR(FIND("CDU",UPPER($E145)),999),IFERROR(FIND("BULK",UPPER($E145)),999),IFERROR(FIND("-",$E145),999),IFERROR(FIND("（",$E145),999))-1))=I$1,$F145,""))</f>
        <v/>
      </c>
      <c r="J145" s="268" t="str">
        <f t="shared" si="167"/>
        <v/>
      </c>
      <c r="K145" s="268" t="str">
        <f t="shared" si="167"/>
        <v/>
      </c>
      <c r="L145" s="268" t="str">
        <f t="shared" si="167"/>
        <v/>
      </c>
      <c r="M145" s="268" t="str">
        <f t="shared" si="167"/>
        <v/>
      </c>
      <c r="N145" s="268" t="str">
        <f t="shared" si="167"/>
        <v/>
      </c>
      <c r="O145" s="268" t="str">
        <f t="shared" si="167"/>
        <v/>
      </c>
      <c r="P145" s="268" t="str">
        <f t="shared" si="167"/>
        <v/>
      </c>
      <c r="Q145" s="268" t="str">
        <f t="shared" si="167"/>
        <v/>
      </c>
      <c r="R145" s="268" t="str">
        <f t="shared" si="167"/>
        <v/>
      </c>
      <c r="S145" s="268" t="str">
        <f t="shared" si="167"/>
        <v/>
      </c>
      <c r="T145" s="268" t="str">
        <f t="shared" si="167"/>
        <v/>
      </c>
      <c r="U145" s="268" t="str">
        <f t="shared" si="167"/>
        <v/>
      </c>
      <c r="V145" s="268" t="str">
        <f t="shared" si="167"/>
        <v/>
      </c>
      <c r="W145" s="268" t="str">
        <f t="shared" si="167"/>
        <v/>
      </c>
      <c r="X145" s="268">
        <f t="shared" si="167"/>
        <v>1440</v>
      </c>
      <c r="Y145" s="268" t="str">
        <f t="shared" si="167"/>
        <v/>
      </c>
      <c r="Z145" s="268" t="str">
        <f t="shared" si="167"/>
        <v/>
      </c>
      <c r="AA145" s="268" t="str">
        <f t="shared" si="167"/>
        <v/>
      </c>
      <c r="AB145" s="268" t="str">
        <f t="shared" si="167"/>
        <v/>
      </c>
      <c r="AC145" s="268" t="str">
        <f t="shared" si="167"/>
        <v/>
      </c>
      <c r="AD145" s="268" t="str">
        <f t="shared" si="167"/>
        <v/>
      </c>
      <c r="AE145" s="268" t="str">
        <f t="shared" si="167"/>
        <v/>
      </c>
      <c r="AF145" s="268" t="str">
        <f t="shared" si="167"/>
        <v/>
      </c>
      <c r="AG145" s="268" t="str">
        <f t="shared" si="167"/>
        <v/>
      </c>
      <c r="AH145" s="268" t="str">
        <f t="shared" si="167"/>
        <v/>
      </c>
      <c r="AI145" s="268" t="str">
        <f t="shared" si="167"/>
        <v/>
      </c>
      <c r="AJ145" s="268" t="str">
        <f t="shared" si="167"/>
        <v/>
      </c>
      <c r="AK145" s="268" t="str">
        <f t="shared" si="167"/>
        <v/>
      </c>
      <c r="AL145" s="268" t="str">
        <f t="shared" si="167"/>
        <v/>
      </c>
      <c r="AM145" s="268" t="str">
        <f t="shared" si="167"/>
        <v/>
      </c>
      <c r="AN145" s="268" t="str">
        <f t="shared" si="167"/>
        <v/>
      </c>
      <c r="AO145" s="268" t="str">
        <f t="shared" si="167"/>
        <v/>
      </c>
      <c r="AP145" s="268" t="str">
        <f t="shared" si="167"/>
        <v/>
      </c>
      <c r="AQ145" s="268" t="str">
        <f t="shared" si="167"/>
        <v/>
      </c>
      <c r="AR145" s="268" t="str">
        <f t="shared" si="167"/>
        <v/>
      </c>
      <c r="AS145" s="268" t="str">
        <f t="shared" si="167"/>
        <v/>
      </c>
      <c r="AT145" s="268" t="str">
        <f t="shared" si="167"/>
        <v/>
      </c>
      <c r="AU145" s="268" t="str">
        <f t="shared" si="167"/>
        <v/>
      </c>
      <c r="AV145" s="268" t="str">
        <f t="shared" si="167"/>
        <v/>
      </c>
      <c r="AW145" s="268" t="str">
        <f t="shared" si="167"/>
        <v/>
      </c>
      <c r="AX145" s="268" t="str">
        <f t="shared" si="167"/>
        <v/>
      </c>
      <c r="AY145" s="268" t="str">
        <f t="shared" si="167"/>
        <v/>
      </c>
      <c r="AZ145" s="268" t="str">
        <f t="shared" si="167"/>
        <v/>
      </c>
      <c r="BA145" s="268" t="str">
        <f t="shared" si="167"/>
        <v/>
      </c>
      <c r="BB145" s="268" t="str">
        <f t="shared" si="167"/>
        <v/>
      </c>
      <c r="BC145" s="268" t="str">
        <f t="shared" si="167"/>
        <v/>
      </c>
      <c r="BD145" s="268" t="str">
        <f t="shared" si="167"/>
        <v/>
      </c>
      <c r="BE145" s="268" t="str">
        <f t="shared" si="167"/>
        <v/>
      </c>
      <c r="BF145" s="268" t="str">
        <f t="shared" si="167"/>
        <v/>
      </c>
      <c r="BG145" s="268" t="str">
        <f t="shared" si="167"/>
        <v/>
      </c>
      <c r="BH145" s="268" t="str">
        <f t="shared" si="167"/>
        <v/>
      </c>
      <c r="BI145" s="268" t="str">
        <f t="shared" si="167"/>
        <v/>
      </c>
      <c r="BJ145" s="268" t="str">
        <f t="shared" si="167"/>
        <v/>
      </c>
      <c r="BK145" s="268" t="str">
        <f t="shared" si="167"/>
        <v/>
      </c>
      <c r="BL145" s="268" t="str">
        <f t="shared" si="167"/>
        <v/>
      </c>
      <c r="BM145" s="268" t="str">
        <f t="shared" si="167"/>
        <v/>
      </c>
      <c r="BN145" s="268" t="str">
        <f t="shared" si="167"/>
        <v/>
      </c>
      <c r="BO145" s="268" t="str">
        <f t="shared" si="167"/>
        <v/>
      </c>
      <c r="BP145" s="268" t="str">
        <f t="shared" si="167"/>
        <v/>
      </c>
      <c r="BQ145" s="268" t="str">
        <f t="shared" si="167"/>
        <v/>
      </c>
      <c r="BR145" s="268" t="str">
        <f t="shared" si="167"/>
        <v/>
      </c>
      <c r="BS145" s="268" t="str">
        <f t="shared" si="167"/>
        <v/>
      </c>
      <c r="BT145" s="268" t="str">
        <f t="shared" si="167"/>
        <v/>
      </c>
      <c r="BU145" s="268" t="str">
        <f t="shared" si="153"/>
        <v/>
      </c>
      <c r="BV145" s="247">
        <v>1.6</v>
      </c>
      <c r="BW145" s="729">
        <f t="shared" si="139"/>
        <v>2304</v>
      </c>
      <c r="BX145" s="730">
        <f t="shared" si="140"/>
        <v>17856</v>
      </c>
      <c r="BY145" s="731" t="str">
        <f t="shared" si="142"/>
        <v>SR</v>
      </c>
    </row>
    <row r="146" s="698" customFormat="1" customHeight="1" spans="1:77">
      <c r="A146" s="208">
        <v>46015</v>
      </c>
      <c r="B146" s="208">
        <v>46064</v>
      </c>
      <c r="C146" s="211" t="s">
        <v>381</v>
      </c>
      <c r="D146" s="211" t="s">
        <v>382</v>
      </c>
      <c r="E146" s="211" t="s">
        <v>40</v>
      </c>
      <c r="F146" s="732">
        <v>1248</v>
      </c>
      <c r="G146" s="211" t="s">
        <v>327</v>
      </c>
      <c r="H146" s="211" t="str">
        <f>IFERROR(VLOOKUP(E146,名称!A:E,4,0),"")</f>
        <v>二代</v>
      </c>
      <c r="I146" s="268" t="str">
        <f t="shared" ref="I146:BT146" si="168">IF(OR($E146="",I$1=""),"",IF(TRIM(LEFT($E146,MIN(IFERROR(FIND("CDU",UPPER($E146)),999),IFERROR(FIND("BULK",UPPER($E146)),999),IFERROR(FIND("-",$E146),999),IFERROR(FIND("（",$E146),999))-1))=I$1,$F146,""))</f>
        <v/>
      </c>
      <c r="J146" s="268" t="str">
        <f t="shared" si="168"/>
        <v/>
      </c>
      <c r="K146" s="268">
        <f t="shared" si="168"/>
        <v>1248</v>
      </c>
      <c r="L146" s="268" t="str">
        <f t="shared" si="168"/>
        <v/>
      </c>
      <c r="M146" s="268" t="str">
        <f t="shared" si="168"/>
        <v/>
      </c>
      <c r="N146" s="268" t="str">
        <f t="shared" si="168"/>
        <v/>
      </c>
      <c r="O146" s="268" t="str">
        <f t="shared" si="168"/>
        <v/>
      </c>
      <c r="P146" s="268" t="str">
        <f t="shared" si="168"/>
        <v/>
      </c>
      <c r="Q146" s="268" t="str">
        <f t="shared" si="168"/>
        <v/>
      </c>
      <c r="R146" s="268" t="str">
        <f t="shared" si="168"/>
        <v/>
      </c>
      <c r="S146" s="268" t="str">
        <f t="shared" si="168"/>
        <v/>
      </c>
      <c r="T146" s="268" t="str">
        <f t="shared" si="168"/>
        <v/>
      </c>
      <c r="U146" s="268" t="str">
        <f t="shared" si="168"/>
        <v/>
      </c>
      <c r="V146" s="268" t="str">
        <f t="shared" si="168"/>
        <v/>
      </c>
      <c r="W146" s="268" t="str">
        <f t="shared" si="168"/>
        <v/>
      </c>
      <c r="X146" s="268" t="str">
        <f t="shared" si="168"/>
        <v/>
      </c>
      <c r="Y146" s="268" t="str">
        <f t="shared" si="168"/>
        <v/>
      </c>
      <c r="Z146" s="268" t="str">
        <f t="shared" si="168"/>
        <v/>
      </c>
      <c r="AA146" s="268" t="str">
        <f t="shared" si="168"/>
        <v/>
      </c>
      <c r="AB146" s="268" t="str">
        <f t="shared" si="168"/>
        <v/>
      </c>
      <c r="AC146" s="268" t="str">
        <f t="shared" si="168"/>
        <v/>
      </c>
      <c r="AD146" s="268" t="str">
        <f t="shared" si="168"/>
        <v/>
      </c>
      <c r="AE146" s="268" t="str">
        <f t="shared" si="168"/>
        <v/>
      </c>
      <c r="AF146" s="268" t="str">
        <f t="shared" si="168"/>
        <v/>
      </c>
      <c r="AG146" s="268" t="str">
        <f t="shared" si="168"/>
        <v/>
      </c>
      <c r="AH146" s="268" t="str">
        <f t="shared" si="168"/>
        <v/>
      </c>
      <c r="AI146" s="268" t="str">
        <f t="shared" si="168"/>
        <v/>
      </c>
      <c r="AJ146" s="268" t="str">
        <f t="shared" si="168"/>
        <v/>
      </c>
      <c r="AK146" s="268" t="str">
        <f t="shared" si="168"/>
        <v/>
      </c>
      <c r="AL146" s="268" t="str">
        <f t="shared" si="168"/>
        <v/>
      </c>
      <c r="AM146" s="268" t="str">
        <f t="shared" si="168"/>
        <v/>
      </c>
      <c r="AN146" s="268" t="str">
        <f t="shared" si="168"/>
        <v/>
      </c>
      <c r="AO146" s="268" t="str">
        <f t="shared" si="168"/>
        <v/>
      </c>
      <c r="AP146" s="268" t="str">
        <f t="shared" si="168"/>
        <v/>
      </c>
      <c r="AQ146" s="268" t="str">
        <f t="shared" si="168"/>
        <v/>
      </c>
      <c r="AR146" s="268" t="str">
        <f t="shared" si="168"/>
        <v/>
      </c>
      <c r="AS146" s="268" t="str">
        <f t="shared" si="168"/>
        <v/>
      </c>
      <c r="AT146" s="268" t="str">
        <f t="shared" si="168"/>
        <v/>
      </c>
      <c r="AU146" s="268" t="str">
        <f t="shared" si="168"/>
        <v/>
      </c>
      <c r="AV146" s="268" t="str">
        <f t="shared" si="168"/>
        <v/>
      </c>
      <c r="AW146" s="268" t="str">
        <f t="shared" si="168"/>
        <v/>
      </c>
      <c r="AX146" s="268" t="str">
        <f t="shared" si="168"/>
        <v/>
      </c>
      <c r="AY146" s="268" t="str">
        <f t="shared" si="168"/>
        <v/>
      </c>
      <c r="AZ146" s="268" t="str">
        <f t="shared" si="168"/>
        <v/>
      </c>
      <c r="BA146" s="268" t="str">
        <f t="shared" si="168"/>
        <v/>
      </c>
      <c r="BB146" s="268" t="str">
        <f t="shared" si="168"/>
        <v/>
      </c>
      <c r="BC146" s="268" t="str">
        <f t="shared" si="168"/>
        <v/>
      </c>
      <c r="BD146" s="268" t="str">
        <f t="shared" si="168"/>
        <v/>
      </c>
      <c r="BE146" s="268" t="str">
        <f t="shared" si="168"/>
        <v/>
      </c>
      <c r="BF146" s="268" t="str">
        <f t="shared" si="168"/>
        <v/>
      </c>
      <c r="BG146" s="268" t="str">
        <f t="shared" si="168"/>
        <v/>
      </c>
      <c r="BH146" s="268" t="str">
        <f t="shared" si="168"/>
        <v/>
      </c>
      <c r="BI146" s="268" t="str">
        <f t="shared" si="168"/>
        <v/>
      </c>
      <c r="BJ146" s="268" t="str">
        <f t="shared" si="168"/>
        <v/>
      </c>
      <c r="BK146" s="268" t="str">
        <f t="shared" si="168"/>
        <v/>
      </c>
      <c r="BL146" s="268" t="str">
        <f t="shared" si="168"/>
        <v/>
      </c>
      <c r="BM146" s="268" t="str">
        <f t="shared" si="168"/>
        <v/>
      </c>
      <c r="BN146" s="268" t="str">
        <f t="shared" si="168"/>
        <v/>
      </c>
      <c r="BO146" s="268" t="str">
        <f t="shared" si="168"/>
        <v/>
      </c>
      <c r="BP146" s="268" t="str">
        <f t="shared" si="168"/>
        <v/>
      </c>
      <c r="BQ146" s="268" t="str">
        <f t="shared" si="168"/>
        <v/>
      </c>
      <c r="BR146" s="268" t="str">
        <f t="shared" si="168"/>
        <v/>
      </c>
      <c r="BS146" s="268" t="str">
        <f t="shared" si="168"/>
        <v/>
      </c>
      <c r="BT146" s="268" t="str">
        <f t="shared" si="168"/>
        <v/>
      </c>
      <c r="BU146" s="268" t="str">
        <f t="shared" si="153"/>
        <v/>
      </c>
      <c r="BV146" s="247">
        <v>0.78</v>
      </c>
      <c r="BW146" s="729">
        <f t="shared" si="139"/>
        <v>973.44</v>
      </c>
      <c r="BX146" s="730">
        <f t="shared" si="140"/>
        <v>7544.16</v>
      </c>
      <c r="BY146" s="731" t="str">
        <f t="shared" si="142"/>
        <v>SR</v>
      </c>
    </row>
    <row r="147" s="698" customFormat="1" customHeight="1" spans="1:77">
      <c r="A147" s="208">
        <v>46015</v>
      </c>
      <c r="B147" s="208">
        <v>46064</v>
      </c>
      <c r="C147" s="211" t="s">
        <v>381</v>
      </c>
      <c r="D147" s="211" t="s">
        <v>382</v>
      </c>
      <c r="E147" s="211" t="s">
        <v>44</v>
      </c>
      <c r="F147" s="732">
        <v>1848</v>
      </c>
      <c r="G147" s="211" t="s">
        <v>327</v>
      </c>
      <c r="H147" s="211" t="str">
        <f>IFERROR(VLOOKUP(E147,名称!A:E,4,0),"")</f>
        <v>二代</v>
      </c>
      <c r="I147" s="268" t="str">
        <f t="shared" ref="I147:BT147" si="169">IF(OR($E147="",I$1=""),"",IF(TRIM(LEFT($E147,MIN(IFERROR(FIND("CDU",UPPER($E147)),999),IFERROR(FIND("BULK",UPPER($E147)),999),IFERROR(FIND("-",$E147),999),IFERROR(FIND("（",$E147),999))-1))=I$1,$F147,""))</f>
        <v/>
      </c>
      <c r="J147" s="268" t="str">
        <f t="shared" si="169"/>
        <v/>
      </c>
      <c r="K147" s="268" t="str">
        <f t="shared" si="169"/>
        <v/>
      </c>
      <c r="L147" s="268" t="str">
        <f t="shared" si="169"/>
        <v/>
      </c>
      <c r="M147" s="268">
        <f t="shared" si="169"/>
        <v>1848</v>
      </c>
      <c r="N147" s="268" t="str">
        <f t="shared" si="169"/>
        <v/>
      </c>
      <c r="O147" s="268" t="str">
        <f t="shared" si="169"/>
        <v/>
      </c>
      <c r="P147" s="268" t="str">
        <f t="shared" si="169"/>
        <v/>
      </c>
      <c r="Q147" s="268" t="str">
        <f t="shared" si="169"/>
        <v/>
      </c>
      <c r="R147" s="268" t="str">
        <f t="shared" si="169"/>
        <v/>
      </c>
      <c r="S147" s="268" t="str">
        <f t="shared" si="169"/>
        <v/>
      </c>
      <c r="T147" s="268" t="str">
        <f t="shared" si="169"/>
        <v/>
      </c>
      <c r="U147" s="268" t="str">
        <f t="shared" si="169"/>
        <v/>
      </c>
      <c r="V147" s="268" t="str">
        <f t="shared" si="169"/>
        <v/>
      </c>
      <c r="W147" s="268" t="str">
        <f t="shared" si="169"/>
        <v/>
      </c>
      <c r="X147" s="268" t="str">
        <f t="shared" si="169"/>
        <v/>
      </c>
      <c r="Y147" s="268" t="str">
        <f t="shared" si="169"/>
        <v/>
      </c>
      <c r="Z147" s="268" t="str">
        <f t="shared" si="169"/>
        <v/>
      </c>
      <c r="AA147" s="268" t="str">
        <f t="shared" si="169"/>
        <v/>
      </c>
      <c r="AB147" s="268" t="str">
        <f t="shared" si="169"/>
        <v/>
      </c>
      <c r="AC147" s="268" t="str">
        <f t="shared" si="169"/>
        <v/>
      </c>
      <c r="AD147" s="268" t="str">
        <f t="shared" si="169"/>
        <v/>
      </c>
      <c r="AE147" s="268" t="str">
        <f t="shared" si="169"/>
        <v/>
      </c>
      <c r="AF147" s="268" t="str">
        <f t="shared" si="169"/>
        <v/>
      </c>
      <c r="AG147" s="268" t="str">
        <f t="shared" si="169"/>
        <v/>
      </c>
      <c r="AH147" s="268" t="str">
        <f t="shared" si="169"/>
        <v/>
      </c>
      <c r="AI147" s="268" t="str">
        <f t="shared" si="169"/>
        <v/>
      </c>
      <c r="AJ147" s="268" t="str">
        <f t="shared" si="169"/>
        <v/>
      </c>
      <c r="AK147" s="268" t="str">
        <f t="shared" si="169"/>
        <v/>
      </c>
      <c r="AL147" s="268" t="str">
        <f t="shared" si="169"/>
        <v/>
      </c>
      <c r="AM147" s="268" t="str">
        <f t="shared" si="169"/>
        <v/>
      </c>
      <c r="AN147" s="268" t="str">
        <f t="shared" si="169"/>
        <v/>
      </c>
      <c r="AO147" s="268" t="str">
        <f t="shared" si="169"/>
        <v/>
      </c>
      <c r="AP147" s="268" t="str">
        <f t="shared" si="169"/>
        <v/>
      </c>
      <c r="AQ147" s="268" t="str">
        <f t="shared" si="169"/>
        <v/>
      </c>
      <c r="AR147" s="268" t="str">
        <f t="shared" si="169"/>
        <v/>
      </c>
      <c r="AS147" s="268" t="str">
        <f t="shared" si="169"/>
        <v/>
      </c>
      <c r="AT147" s="268" t="str">
        <f t="shared" si="169"/>
        <v/>
      </c>
      <c r="AU147" s="268" t="str">
        <f t="shared" si="169"/>
        <v/>
      </c>
      <c r="AV147" s="268" t="str">
        <f t="shared" si="169"/>
        <v/>
      </c>
      <c r="AW147" s="268" t="str">
        <f t="shared" si="169"/>
        <v/>
      </c>
      <c r="AX147" s="268" t="str">
        <f t="shared" si="169"/>
        <v/>
      </c>
      <c r="AY147" s="268" t="str">
        <f t="shared" si="169"/>
        <v/>
      </c>
      <c r="AZ147" s="268" t="str">
        <f t="shared" si="169"/>
        <v/>
      </c>
      <c r="BA147" s="268" t="str">
        <f t="shared" si="169"/>
        <v/>
      </c>
      <c r="BB147" s="268" t="str">
        <f t="shared" si="169"/>
        <v/>
      </c>
      <c r="BC147" s="268" t="str">
        <f t="shared" si="169"/>
        <v/>
      </c>
      <c r="BD147" s="268" t="str">
        <f t="shared" si="169"/>
        <v/>
      </c>
      <c r="BE147" s="268" t="str">
        <f t="shared" si="169"/>
        <v/>
      </c>
      <c r="BF147" s="268" t="str">
        <f t="shared" si="169"/>
        <v/>
      </c>
      <c r="BG147" s="268" t="str">
        <f t="shared" si="169"/>
        <v/>
      </c>
      <c r="BH147" s="268" t="str">
        <f t="shared" si="169"/>
        <v/>
      </c>
      <c r="BI147" s="268" t="str">
        <f t="shared" si="169"/>
        <v/>
      </c>
      <c r="BJ147" s="268" t="str">
        <f t="shared" si="169"/>
        <v/>
      </c>
      <c r="BK147" s="268" t="str">
        <f t="shared" si="169"/>
        <v/>
      </c>
      <c r="BL147" s="268" t="str">
        <f t="shared" si="169"/>
        <v/>
      </c>
      <c r="BM147" s="268" t="str">
        <f t="shared" si="169"/>
        <v/>
      </c>
      <c r="BN147" s="268" t="str">
        <f t="shared" si="169"/>
        <v/>
      </c>
      <c r="BO147" s="268" t="str">
        <f t="shared" si="169"/>
        <v/>
      </c>
      <c r="BP147" s="268" t="str">
        <f t="shared" si="169"/>
        <v/>
      </c>
      <c r="BQ147" s="268" t="str">
        <f t="shared" si="169"/>
        <v/>
      </c>
      <c r="BR147" s="268" t="str">
        <f t="shared" si="169"/>
        <v/>
      </c>
      <c r="BS147" s="268" t="str">
        <f t="shared" si="169"/>
        <v/>
      </c>
      <c r="BT147" s="268" t="str">
        <f t="shared" si="169"/>
        <v/>
      </c>
      <c r="BU147" s="268" t="str">
        <f t="shared" si="153"/>
        <v/>
      </c>
      <c r="BV147" s="247">
        <v>0.63</v>
      </c>
      <c r="BW147" s="729">
        <f t="shared" si="139"/>
        <v>1164.24</v>
      </c>
      <c r="BX147" s="730">
        <f t="shared" si="140"/>
        <v>9022.86</v>
      </c>
      <c r="BY147" s="731" t="str">
        <f t="shared" si="142"/>
        <v>SR</v>
      </c>
    </row>
    <row r="148" s="698" customFormat="1" customHeight="1" spans="1:77">
      <c r="A148" s="208">
        <v>46015</v>
      </c>
      <c r="B148" s="208">
        <v>46064</v>
      </c>
      <c r="C148" s="211" t="s">
        <v>381</v>
      </c>
      <c r="D148" s="211" t="s">
        <v>382</v>
      </c>
      <c r="E148" s="211" t="s">
        <v>37</v>
      </c>
      <c r="F148" s="732">
        <v>828</v>
      </c>
      <c r="G148" s="211" t="s">
        <v>327</v>
      </c>
      <c r="H148" s="211" t="str">
        <f>IFERROR(VLOOKUP(E148,名称!A:E,4,0),"")</f>
        <v>二代</v>
      </c>
      <c r="I148" s="268" t="str">
        <f t="shared" ref="I148:BT148" si="170">IF(OR($E148="",I$1=""),"",IF(TRIM(LEFT($E148,MIN(IFERROR(FIND("CDU",UPPER($E148)),999),IFERROR(FIND("BULK",UPPER($E148)),999),IFERROR(FIND("-",$E148),999),IFERROR(FIND("（",$E148),999))-1))=I$1,$F148,""))</f>
        <v/>
      </c>
      <c r="J148" s="268" t="str">
        <f t="shared" si="170"/>
        <v/>
      </c>
      <c r="K148" s="268" t="str">
        <f t="shared" si="170"/>
        <v/>
      </c>
      <c r="L148" s="268" t="str">
        <f t="shared" si="170"/>
        <v/>
      </c>
      <c r="M148" s="268" t="str">
        <f t="shared" si="170"/>
        <v/>
      </c>
      <c r="N148" s="268" t="str">
        <f t="shared" si="170"/>
        <v/>
      </c>
      <c r="O148" s="268" t="str">
        <f t="shared" si="170"/>
        <v/>
      </c>
      <c r="P148" s="268" t="str">
        <f t="shared" si="170"/>
        <v/>
      </c>
      <c r="Q148" s="268" t="str">
        <f t="shared" si="170"/>
        <v/>
      </c>
      <c r="R148" s="268">
        <f t="shared" si="170"/>
        <v>828</v>
      </c>
      <c r="S148" s="268" t="str">
        <f t="shared" si="170"/>
        <v/>
      </c>
      <c r="T148" s="268" t="str">
        <f t="shared" si="170"/>
        <v/>
      </c>
      <c r="U148" s="268" t="str">
        <f t="shared" si="170"/>
        <v/>
      </c>
      <c r="V148" s="268" t="str">
        <f t="shared" si="170"/>
        <v/>
      </c>
      <c r="W148" s="268" t="str">
        <f t="shared" si="170"/>
        <v/>
      </c>
      <c r="X148" s="268" t="str">
        <f t="shared" si="170"/>
        <v/>
      </c>
      <c r="Y148" s="268" t="str">
        <f t="shared" si="170"/>
        <v/>
      </c>
      <c r="Z148" s="268" t="str">
        <f t="shared" si="170"/>
        <v/>
      </c>
      <c r="AA148" s="268" t="str">
        <f t="shared" si="170"/>
        <v/>
      </c>
      <c r="AB148" s="268" t="str">
        <f t="shared" si="170"/>
        <v/>
      </c>
      <c r="AC148" s="268" t="str">
        <f t="shared" si="170"/>
        <v/>
      </c>
      <c r="AD148" s="268" t="str">
        <f t="shared" si="170"/>
        <v/>
      </c>
      <c r="AE148" s="268" t="str">
        <f t="shared" si="170"/>
        <v/>
      </c>
      <c r="AF148" s="268" t="str">
        <f t="shared" si="170"/>
        <v/>
      </c>
      <c r="AG148" s="268" t="str">
        <f t="shared" si="170"/>
        <v/>
      </c>
      <c r="AH148" s="268" t="str">
        <f t="shared" si="170"/>
        <v/>
      </c>
      <c r="AI148" s="268" t="str">
        <f t="shared" si="170"/>
        <v/>
      </c>
      <c r="AJ148" s="268" t="str">
        <f t="shared" si="170"/>
        <v/>
      </c>
      <c r="AK148" s="268" t="str">
        <f t="shared" si="170"/>
        <v/>
      </c>
      <c r="AL148" s="268" t="str">
        <f t="shared" si="170"/>
        <v/>
      </c>
      <c r="AM148" s="268" t="str">
        <f t="shared" si="170"/>
        <v/>
      </c>
      <c r="AN148" s="268" t="str">
        <f t="shared" si="170"/>
        <v/>
      </c>
      <c r="AO148" s="268" t="str">
        <f t="shared" si="170"/>
        <v/>
      </c>
      <c r="AP148" s="268" t="str">
        <f t="shared" si="170"/>
        <v/>
      </c>
      <c r="AQ148" s="268" t="str">
        <f t="shared" si="170"/>
        <v/>
      </c>
      <c r="AR148" s="268" t="str">
        <f t="shared" si="170"/>
        <v/>
      </c>
      <c r="AS148" s="268" t="str">
        <f t="shared" si="170"/>
        <v/>
      </c>
      <c r="AT148" s="268" t="str">
        <f t="shared" si="170"/>
        <v/>
      </c>
      <c r="AU148" s="268" t="str">
        <f t="shared" si="170"/>
        <v/>
      </c>
      <c r="AV148" s="268" t="str">
        <f t="shared" si="170"/>
        <v/>
      </c>
      <c r="AW148" s="268" t="str">
        <f t="shared" si="170"/>
        <v/>
      </c>
      <c r="AX148" s="268" t="str">
        <f t="shared" si="170"/>
        <v/>
      </c>
      <c r="AY148" s="268" t="str">
        <f t="shared" si="170"/>
        <v/>
      </c>
      <c r="AZ148" s="268" t="str">
        <f t="shared" si="170"/>
        <v/>
      </c>
      <c r="BA148" s="268" t="str">
        <f t="shared" si="170"/>
        <v/>
      </c>
      <c r="BB148" s="268" t="str">
        <f t="shared" si="170"/>
        <v/>
      </c>
      <c r="BC148" s="268" t="str">
        <f t="shared" si="170"/>
        <v/>
      </c>
      <c r="BD148" s="268" t="str">
        <f t="shared" si="170"/>
        <v/>
      </c>
      <c r="BE148" s="268" t="str">
        <f t="shared" si="170"/>
        <v/>
      </c>
      <c r="BF148" s="268" t="str">
        <f t="shared" si="170"/>
        <v/>
      </c>
      <c r="BG148" s="268" t="str">
        <f t="shared" si="170"/>
        <v/>
      </c>
      <c r="BH148" s="268" t="str">
        <f t="shared" si="170"/>
        <v/>
      </c>
      <c r="BI148" s="268" t="str">
        <f t="shared" si="170"/>
        <v/>
      </c>
      <c r="BJ148" s="268" t="str">
        <f t="shared" si="170"/>
        <v/>
      </c>
      <c r="BK148" s="268" t="str">
        <f t="shared" si="170"/>
        <v/>
      </c>
      <c r="BL148" s="268" t="str">
        <f t="shared" si="170"/>
        <v/>
      </c>
      <c r="BM148" s="268" t="str">
        <f t="shared" si="170"/>
        <v/>
      </c>
      <c r="BN148" s="268" t="str">
        <f t="shared" si="170"/>
        <v/>
      </c>
      <c r="BO148" s="268" t="str">
        <f t="shared" si="170"/>
        <v/>
      </c>
      <c r="BP148" s="268" t="str">
        <f t="shared" si="170"/>
        <v/>
      </c>
      <c r="BQ148" s="268" t="str">
        <f t="shared" si="170"/>
        <v/>
      </c>
      <c r="BR148" s="268" t="str">
        <f t="shared" si="170"/>
        <v/>
      </c>
      <c r="BS148" s="268" t="str">
        <f t="shared" si="170"/>
        <v/>
      </c>
      <c r="BT148" s="268" t="str">
        <f t="shared" si="170"/>
        <v/>
      </c>
      <c r="BU148" s="268" t="str">
        <f t="shared" si="153"/>
        <v/>
      </c>
      <c r="BV148" s="247">
        <v>2.04</v>
      </c>
      <c r="BW148" s="729">
        <f t="shared" si="139"/>
        <v>1689.12</v>
      </c>
      <c r="BX148" s="730">
        <f t="shared" si="140"/>
        <v>13090.68</v>
      </c>
      <c r="BY148" s="731" t="str">
        <f t="shared" si="142"/>
        <v>SR</v>
      </c>
    </row>
    <row r="149" s="698" customFormat="1" customHeight="1" spans="1:77">
      <c r="A149" s="208">
        <v>46015</v>
      </c>
      <c r="B149" s="208">
        <v>46064</v>
      </c>
      <c r="C149" s="211" t="s">
        <v>381</v>
      </c>
      <c r="D149" s="211" t="s">
        <v>382</v>
      </c>
      <c r="E149" s="211" t="s">
        <v>38</v>
      </c>
      <c r="F149" s="732">
        <v>480</v>
      </c>
      <c r="G149" s="211" t="s">
        <v>327</v>
      </c>
      <c r="H149" s="211" t="str">
        <f>IFERROR(VLOOKUP(E149,名称!A:E,4,0),"")</f>
        <v>二代</v>
      </c>
      <c r="I149" s="268" t="str">
        <f t="shared" ref="I149:BT149" si="171">IF(OR($E149="",I$1=""),"",IF(TRIM(LEFT($E149,MIN(IFERROR(FIND("CDU",UPPER($E149)),999),IFERROR(FIND("BULK",UPPER($E149)),999),IFERROR(FIND("-",$E149),999),IFERROR(FIND("（",$E149),999))-1))=I$1,$F149,""))</f>
        <v/>
      </c>
      <c r="J149" s="268" t="str">
        <f t="shared" si="171"/>
        <v/>
      </c>
      <c r="K149" s="268" t="str">
        <f t="shared" si="171"/>
        <v/>
      </c>
      <c r="L149" s="268" t="str">
        <f t="shared" si="171"/>
        <v/>
      </c>
      <c r="M149" s="268" t="str">
        <f t="shared" si="171"/>
        <v/>
      </c>
      <c r="N149" s="268" t="str">
        <f t="shared" si="171"/>
        <v/>
      </c>
      <c r="O149" s="268" t="str">
        <f t="shared" si="171"/>
        <v/>
      </c>
      <c r="P149" s="268" t="str">
        <f t="shared" si="171"/>
        <v/>
      </c>
      <c r="Q149" s="268" t="str">
        <f t="shared" si="171"/>
        <v/>
      </c>
      <c r="R149" s="268" t="str">
        <f t="shared" si="171"/>
        <v/>
      </c>
      <c r="S149" s="268" t="str">
        <f t="shared" si="171"/>
        <v/>
      </c>
      <c r="T149" s="268">
        <f t="shared" si="171"/>
        <v>480</v>
      </c>
      <c r="U149" s="268" t="str">
        <f t="shared" si="171"/>
        <v/>
      </c>
      <c r="V149" s="268" t="str">
        <f t="shared" si="171"/>
        <v/>
      </c>
      <c r="W149" s="268" t="str">
        <f t="shared" si="171"/>
        <v/>
      </c>
      <c r="X149" s="268" t="str">
        <f t="shared" si="171"/>
        <v/>
      </c>
      <c r="Y149" s="268" t="str">
        <f t="shared" si="171"/>
        <v/>
      </c>
      <c r="Z149" s="268" t="str">
        <f t="shared" si="171"/>
        <v/>
      </c>
      <c r="AA149" s="268" t="str">
        <f t="shared" si="171"/>
        <v/>
      </c>
      <c r="AB149" s="268" t="str">
        <f t="shared" si="171"/>
        <v/>
      </c>
      <c r="AC149" s="268" t="str">
        <f t="shared" si="171"/>
        <v/>
      </c>
      <c r="AD149" s="268" t="str">
        <f t="shared" si="171"/>
        <v/>
      </c>
      <c r="AE149" s="268" t="str">
        <f t="shared" si="171"/>
        <v/>
      </c>
      <c r="AF149" s="268" t="str">
        <f t="shared" si="171"/>
        <v/>
      </c>
      <c r="AG149" s="268" t="str">
        <f t="shared" si="171"/>
        <v/>
      </c>
      <c r="AH149" s="268" t="str">
        <f t="shared" si="171"/>
        <v/>
      </c>
      <c r="AI149" s="268" t="str">
        <f t="shared" si="171"/>
        <v/>
      </c>
      <c r="AJ149" s="268" t="str">
        <f t="shared" si="171"/>
        <v/>
      </c>
      <c r="AK149" s="268" t="str">
        <f t="shared" si="171"/>
        <v/>
      </c>
      <c r="AL149" s="268" t="str">
        <f t="shared" si="171"/>
        <v/>
      </c>
      <c r="AM149" s="268" t="str">
        <f t="shared" si="171"/>
        <v/>
      </c>
      <c r="AN149" s="268" t="str">
        <f t="shared" si="171"/>
        <v/>
      </c>
      <c r="AO149" s="268" t="str">
        <f t="shared" si="171"/>
        <v/>
      </c>
      <c r="AP149" s="268" t="str">
        <f t="shared" si="171"/>
        <v/>
      </c>
      <c r="AQ149" s="268" t="str">
        <f t="shared" si="171"/>
        <v/>
      </c>
      <c r="AR149" s="268" t="str">
        <f t="shared" si="171"/>
        <v/>
      </c>
      <c r="AS149" s="268" t="str">
        <f t="shared" si="171"/>
        <v/>
      </c>
      <c r="AT149" s="268" t="str">
        <f t="shared" si="171"/>
        <v/>
      </c>
      <c r="AU149" s="268" t="str">
        <f t="shared" si="171"/>
        <v/>
      </c>
      <c r="AV149" s="268" t="str">
        <f t="shared" si="171"/>
        <v/>
      </c>
      <c r="AW149" s="268" t="str">
        <f t="shared" si="171"/>
        <v/>
      </c>
      <c r="AX149" s="268" t="str">
        <f t="shared" si="171"/>
        <v/>
      </c>
      <c r="AY149" s="268" t="str">
        <f t="shared" si="171"/>
        <v/>
      </c>
      <c r="AZ149" s="268" t="str">
        <f t="shared" si="171"/>
        <v/>
      </c>
      <c r="BA149" s="268" t="str">
        <f t="shared" si="171"/>
        <v/>
      </c>
      <c r="BB149" s="268" t="str">
        <f t="shared" si="171"/>
        <v/>
      </c>
      <c r="BC149" s="268" t="str">
        <f t="shared" si="171"/>
        <v/>
      </c>
      <c r="BD149" s="268" t="str">
        <f t="shared" si="171"/>
        <v/>
      </c>
      <c r="BE149" s="268" t="str">
        <f t="shared" si="171"/>
        <v/>
      </c>
      <c r="BF149" s="268" t="str">
        <f t="shared" si="171"/>
        <v/>
      </c>
      <c r="BG149" s="268" t="str">
        <f t="shared" si="171"/>
        <v/>
      </c>
      <c r="BH149" s="268" t="str">
        <f t="shared" si="171"/>
        <v/>
      </c>
      <c r="BI149" s="268" t="str">
        <f t="shared" si="171"/>
        <v/>
      </c>
      <c r="BJ149" s="268" t="str">
        <f t="shared" si="171"/>
        <v/>
      </c>
      <c r="BK149" s="268" t="str">
        <f t="shared" si="171"/>
        <v/>
      </c>
      <c r="BL149" s="268" t="str">
        <f t="shared" si="171"/>
        <v/>
      </c>
      <c r="BM149" s="268" t="str">
        <f t="shared" si="171"/>
        <v/>
      </c>
      <c r="BN149" s="268" t="str">
        <f t="shared" si="171"/>
        <v/>
      </c>
      <c r="BO149" s="268" t="str">
        <f t="shared" si="171"/>
        <v/>
      </c>
      <c r="BP149" s="268" t="str">
        <f t="shared" si="171"/>
        <v/>
      </c>
      <c r="BQ149" s="268" t="str">
        <f t="shared" si="171"/>
        <v/>
      </c>
      <c r="BR149" s="268" t="str">
        <f t="shared" si="171"/>
        <v/>
      </c>
      <c r="BS149" s="268" t="str">
        <f t="shared" si="171"/>
        <v/>
      </c>
      <c r="BT149" s="268" t="str">
        <f t="shared" si="171"/>
        <v/>
      </c>
      <c r="BU149" s="268" t="str">
        <f t="shared" si="153"/>
        <v/>
      </c>
      <c r="BV149" s="247">
        <v>3.12</v>
      </c>
      <c r="BW149" s="729">
        <f t="shared" si="139"/>
        <v>1497.6</v>
      </c>
      <c r="BX149" s="730">
        <f t="shared" si="140"/>
        <v>11606.4</v>
      </c>
      <c r="BY149" s="731" t="str">
        <f t="shared" si="142"/>
        <v>SR</v>
      </c>
    </row>
    <row r="150" s="698" customFormat="1" customHeight="1" spans="1:77">
      <c r="A150" s="208">
        <v>46015</v>
      </c>
      <c r="B150" s="208">
        <v>46064</v>
      </c>
      <c r="C150" s="211" t="s">
        <v>381</v>
      </c>
      <c r="D150" s="211" t="s">
        <v>382</v>
      </c>
      <c r="E150" s="211" t="s">
        <v>73</v>
      </c>
      <c r="F150" s="732">
        <v>780</v>
      </c>
      <c r="G150" s="211" t="s">
        <v>327</v>
      </c>
      <c r="H150" s="211" t="str">
        <f>IFERROR(VLOOKUP(E150,名称!A:E,4,0),"")</f>
        <v>二代</v>
      </c>
      <c r="I150" s="268" t="str">
        <f t="shared" ref="I150:BT150" si="172">IF(OR($E150="",I$1=""),"",IF(TRIM(LEFT($E150,MIN(IFERROR(FIND("CDU",UPPER($E150)),999),IFERROR(FIND("BULK",UPPER($E150)),999),IFERROR(FIND("-",$E150),999),IFERROR(FIND("（",$E150),999))-1))=I$1,$F150,""))</f>
        <v/>
      </c>
      <c r="J150" s="268" t="str">
        <f t="shared" si="172"/>
        <v/>
      </c>
      <c r="K150" s="268" t="str">
        <f t="shared" si="172"/>
        <v/>
      </c>
      <c r="L150" s="268" t="str">
        <f t="shared" si="172"/>
        <v/>
      </c>
      <c r="M150" s="268" t="str">
        <f t="shared" si="172"/>
        <v/>
      </c>
      <c r="N150" s="268" t="str">
        <f t="shared" si="172"/>
        <v/>
      </c>
      <c r="O150" s="268" t="str">
        <f t="shared" si="172"/>
        <v/>
      </c>
      <c r="P150" s="268" t="str">
        <f t="shared" si="172"/>
        <v/>
      </c>
      <c r="Q150" s="268" t="str">
        <f t="shared" si="172"/>
        <v/>
      </c>
      <c r="R150" s="268" t="str">
        <f t="shared" si="172"/>
        <v/>
      </c>
      <c r="S150" s="268" t="str">
        <f t="shared" si="172"/>
        <v/>
      </c>
      <c r="T150" s="268" t="str">
        <f t="shared" si="172"/>
        <v/>
      </c>
      <c r="U150" s="268" t="str">
        <f t="shared" si="172"/>
        <v/>
      </c>
      <c r="V150" s="268" t="str">
        <f t="shared" si="172"/>
        <v/>
      </c>
      <c r="W150" s="268">
        <f t="shared" si="172"/>
        <v>780</v>
      </c>
      <c r="X150" s="268" t="str">
        <f t="shared" si="172"/>
        <v/>
      </c>
      <c r="Y150" s="268" t="str">
        <f t="shared" si="172"/>
        <v/>
      </c>
      <c r="Z150" s="268" t="str">
        <f t="shared" si="172"/>
        <v/>
      </c>
      <c r="AA150" s="268" t="str">
        <f t="shared" si="172"/>
        <v/>
      </c>
      <c r="AB150" s="268" t="str">
        <f t="shared" si="172"/>
        <v/>
      </c>
      <c r="AC150" s="268" t="str">
        <f t="shared" si="172"/>
        <v/>
      </c>
      <c r="AD150" s="268" t="str">
        <f t="shared" si="172"/>
        <v/>
      </c>
      <c r="AE150" s="268" t="str">
        <f t="shared" si="172"/>
        <v/>
      </c>
      <c r="AF150" s="268" t="str">
        <f t="shared" si="172"/>
        <v/>
      </c>
      <c r="AG150" s="268" t="str">
        <f t="shared" si="172"/>
        <v/>
      </c>
      <c r="AH150" s="268" t="str">
        <f t="shared" si="172"/>
        <v/>
      </c>
      <c r="AI150" s="268" t="str">
        <f t="shared" si="172"/>
        <v/>
      </c>
      <c r="AJ150" s="268" t="str">
        <f t="shared" si="172"/>
        <v/>
      </c>
      <c r="AK150" s="268" t="str">
        <f t="shared" si="172"/>
        <v/>
      </c>
      <c r="AL150" s="268" t="str">
        <f t="shared" si="172"/>
        <v/>
      </c>
      <c r="AM150" s="268" t="str">
        <f t="shared" si="172"/>
        <v/>
      </c>
      <c r="AN150" s="268" t="str">
        <f t="shared" si="172"/>
        <v/>
      </c>
      <c r="AO150" s="268" t="str">
        <f t="shared" si="172"/>
        <v/>
      </c>
      <c r="AP150" s="268" t="str">
        <f t="shared" si="172"/>
        <v/>
      </c>
      <c r="AQ150" s="268" t="str">
        <f t="shared" si="172"/>
        <v/>
      </c>
      <c r="AR150" s="268" t="str">
        <f t="shared" si="172"/>
        <v/>
      </c>
      <c r="AS150" s="268" t="str">
        <f t="shared" si="172"/>
        <v/>
      </c>
      <c r="AT150" s="268" t="str">
        <f t="shared" si="172"/>
        <v/>
      </c>
      <c r="AU150" s="268" t="str">
        <f t="shared" si="172"/>
        <v/>
      </c>
      <c r="AV150" s="268" t="str">
        <f t="shared" si="172"/>
        <v/>
      </c>
      <c r="AW150" s="268" t="str">
        <f t="shared" si="172"/>
        <v/>
      </c>
      <c r="AX150" s="268" t="str">
        <f t="shared" si="172"/>
        <v/>
      </c>
      <c r="AY150" s="268" t="str">
        <f t="shared" si="172"/>
        <v/>
      </c>
      <c r="AZ150" s="268" t="str">
        <f t="shared" si="172"/>
        <v/>
      </c>
      <c r="BA150" s="268" t="str">
        <f t="shared" si="172"/>
        <v/>
      </c>
      <c r="BB150" s="268" t="str">
        <f t="shared" si="172"/>
        <v/>
      </c>
      <c r="BC150" s="268" t="str">
        <f t="shared" si="172"/>
        <v/>
      </c>
      <c r="BD150" s="268" t="str">
        <f t="shared" si="172"/>
        <v/>
      </c>
      <c r="BE150" s="268" t="str">
        <f t="shared" si="172"/>
        <v/>
      </c>
      <c r="BF150" s="268" t="str">
        <f t="shared" si="172"/>
        <v/>
      </c>
      <c r="BG150" s="268" t="str">
        <f t="shared" si="172"/>
        <v/>
      </c>
      <c r="BH150" s="268" t="str">
        <f t="shared" si="172"/>
        <v/>
      </c>
      <c r="BI150" s="268" t="str">
        <f t="shared" si="172"/>
        <v/>
      </c>
      <c r="BJ150" s="268" t="str">
        <f t="shared" si="172"/>
        <v/>
      </c>
      <c r="BK150" s="268" t="str">
        <f t="shared" si="172"/>
        <v/>
      </c>
      <c r="BL150" s="268" t="str">
        <f t="shared" si="172"/>
        <v/>
      </c>
      <c r="BM150" s="268" t="str">
        <f t="shared" si="172"/>
        <v/>
      </c>
      <c r="BN150" s="268" t="str">
        <f t="shared" si="172"/>
        <v/>
      </c>
      <c r="BO150" s="268" t="str">
        <f t="shared" si="172"/>
        <v/>
      </c>
      <c r="BP150" s="268" t="str">
        <f t="shared" si="172"/>
        <v/>
      </c>
      <c r="BQ150" s="268" t="str">
        <f t="shared" si="172"/>
        <v/>
      </c>
      <c r="BR150" s="268" t="str">
        <f t="shared" si="172"/>
        <v/>
      </c>
      <c r="BS150" s="268" t="str">
        <f t="shared" si="172"/>
        <v/>
      </c>
      <c r="BT150" s="268" t="str">
        <f t="shared" si="172"/>
        <v/>
      </c>
      <c r="BU150" s="268" t="str">
        <f t="shared" si="153"/>
        <v/>
      </c>
      <c r="BV150" s="247">
        <v>1.6</v>
      </c>
      <c r="BW150" s="729">
        <f t="shared" si="139"/>
        <v>1248</v>
      </c>
      <c r="BX150" s="730">
        <f t="shared" si="140"/>
        <v>9672</v>
      </c>
      <c r="BY150" s="731" t="str">
        <f t="shared" si="142"/>
        <v>SR</v>
      </c>
    </row>
    <row r="151" s="698" customFormat="1" customHeight="1" spans="1:77">
      <c r="A151" s="208">
        <v>46015</v>
      </c>
      <c r="B151" s="208">
        <v>46064</v>
      </c>
      <c r="C151" s="211" t="s">
        <v>381</v>
      </c>
      <c r="D151" s="211" t="s">
        <v>382</v>
      </c>
      <c r="E151" s="211" t="s">
        <v>69</v>
      </c>
      <c r="F151" s="732">
        <v>168</v>
      </c>
      <c r="G151" s="211" t="s">
        <v>327</v>
      </c>
      <c r="H151" s="211" t="str">
        <f>IFERROR(VLOOKUP(E151,名称!A:E,4,0),"")</f>
        <v>二代</v>
      </c>
      <c r="I151" s="268" t="str">
        <f t="shared" ref="I151:BT151" si="173">IF(OR($E151="",I$1=""),"",IF(TRIM(LEFT($E151,MIN(IFERROR(FIND("CDU",UPPER($E151)),999),IFERROR(FIND("BULK",UPPER($E151)),999),IFERROR(FIND("-",$E151),999),IFERROR(FIND("（",$E151),999))-1))=I$1,$F151,""))</f>
        <v/>
      </c>
      <c r="J151" s="268" t="str">
        <f t="shared" si="173"/>
        <v/>
      </c>
      <c r="K151" s="268" t="str">
        <f t="shared" si="173"/>
        <v/>
      </c>
      <c r="L151" s="268" t="str">
        <f t="shared" si="173"/>
        <v/>
      </c>
      <c r="M151" s="268" t="str">
        <f t="shared" si="173"/>
        <v/>
      </c>
      <c r="N151" s="268" t="str">
        <f t="shared" si="173"/>
        <v/>
      </c>
      <c r="O151" s="268" t="str">
        <f t="shared" si="173"/>
        <v/>
      </c>
      <c r="P151" s="268" t="str">
        <f t="shared" si="173"/>
        <v/>
      </c>
      <c r="Q151" s="268" t="str">
        <f t="shared" si="173"/>
        <v/>
      </c>
      <c r="R151" s="268" t="str">
        <f t="shared" si="173"/>
        <v/>
      </c>
      <c r="S151" s="268" t="str">
        <f t="shared" si="173"/>
        <v/>
      </c>
      <c r="T151" s="268" t="str">
        <f t="shared" si="173"/>
        <v/>
      </c>
      <c r="U151" s="268">
        <f t="shared" si="173"/>
        <v>168</v>
      </c>
      <c r="V151" s="268" t="str">
        <f t="shared" si="173"/>
        <v/>
      </c>
      <c r="W151" s="268" t="str">
        <f t="shared" si="173"/>
        <v/>
      </c>
      <c r="X151" s="268" t="str">
        <f t="shared" si="173"/>
        <v/>
      </c>
      <c r="Y151" s="268" t="str">
        <f t="shared" si="173"/>
        <v/>
      </c>
      <c r="Z151" s="268" t="str">
        <f t="shared" si="173"/>
        <v/>
      </c>
      <c r="AA151" s="268" t="str">
        <f t="shared" si="173"/>
        <v/>
      </c>
      <c r="AB151" s="268" t="str">
        <f t="shared" si="173"/>
        <v/>
      </c>
      <c r="AC151" s="268" t="str">
        <f t="shared" si="173"/>
        <v/>
      </c>
      <c r="AD151" s="268" t="str">
        <f t="shared" si="173"/>
        <v/>
      </c>
      <c r="AE151" s="268" t="str">
        <f t="shared" si="173"/>
        <v/>
      </c>
      <c r="AF151" s="268" t="str">
        <f t="shared" si="173"/>
        <v/>
      </c>
      <c r="AG151" s="268" t="str">
        <f t="shared" si="173"/>
        <v/>
      </c>
      <c r="AH151" s="268" t="str">
        <f t="shared" si="173"/>
        <v/>
      </c>
      <c r="AI151" s="268" t="str">
        <f t="shared" si="173"/>
        <v/>
      </c>
      <c r="AJ151" s="268" t="str">
        <f t="shared" si="173"/>
        <v/>
      </c>
      <c r="AK151" s="268" t="str">
        <f t="shared" si="173"/>
        <v/>
      </c>
      <c r="AL151" s="268" t="str">
        <f t="shared" si="173"/>
        <v/>
      </c>
      <c r="AM151" s="268" t="str">
        <f t="shared" si="173"/>
        <v/>
      </c>
      <c r="AN151" s="268" t="str">
        <f t="shared" si="173"/>
        <v/>
      </c>
      <c r="AO151" s="268" t="str">
        <f t="shared" si="173"/>
        <v/>
      </c>
      <c r="AP151" s="268" t="str">
        <f t="shared" si="173"/>
        <v/>
      </c>
      <c r="AQ151" s="268" t="str">
        <f t="shared" si="173"/>
        <v/>
      </c>
      <c r="AR151" s="268" t="str">
        <f t="shared" si="173"/>
        <v/>
      </c>
      <c r="AS151" s="268" t="str">
        <f t="shared" si="173"/>
        <v/>
      </c>
      <c r="AT151" s="268" t="str">
        <f t="shared" si="173"/>
        <v/>
      </c>
      <c r="AU151" s="268" t="str">
        <f t="shared" si="173"/>
        <v/>
      </c>
      <c r="AV151" s="268" t="str">
        <f t="shared" si="173"/>
        <v/>
      </c>
      <c r="AW151" s="268" t="str">
        <f t="shared" si="173"/>
        <v/>
      </c>
      <c r="AX151" s="268" t="str">
        <f t="shared" si="173"/>
        <v/>
      </c>
      <c r="AY151" s="268" t="str">
        <f t="shared" si="173"/>
        <v/>
      </c>
      <c r="AZ151" s="268" t="str">
        <f t="shared" si="173"/>
        <v/>
      </c>
      <c r="BA151" s="268" t="str">
        <f t="shared" si="173"/>
        <v/>
      </c>
      <c r="BB151" s="268" t="str">
        <f t="shared" si="173"/>
        <v/>
      </c>
      <c r="BC151" s="268" t="str">
        <f t="shared" si="173"/>
        <v/>
      </c>
      <c r="BD151" s="268" t="str">
        <f t="shared" si="173"/>
        <v/>
      </c>
      <c r="BE151" s="268" t="str">
        <f t="shared" si="173"/>
        <v/>
      </c>
      <c r="BF151" s="268" t="str">
        <f t="shared" si="173"/>
        <v/>
      </c>
      <c r="BG151" s="268" t="str">
        <f t="shared" si="173"/>
        <v/>
      </c>
      <c r="BH151" s="268" t="str">
        <f t="shared" si="173"/>
        <v/>
      </c>
      <c r="BI151" s="268" t="str">
        <f t="shared" si="173"/>
        <v/>
      </c>
      <c r="BJ151" s="268" t="str">
        <f t="shared" si="173"/>
        <v/>
      </c>
      <c r="BK151" s="268" t="str">
        <f t="shared" si="173"/>
        <v/>
      </c>
      <c r="BL151" s="268" t="str">
        <f t="shared" si="173"/>
        <v/>
      </c>
      <c r="BM151" s="268" t="str">
        <f t="shared" si="173"/>
        <v/>
      </c>
      <c r="BN151" s="268" t="str">
        <f t="shared" si="173"/>
        <v/>
      </c>
      <c r="BO151" s="268" t="str">
        <f t="shared" si="173"/>
        <v/>
      </c>
      <c r="BP151" s="268" t="str">
        <f t="shared" si="173"/>
        <v/>
      </c>
      <c r="BQ151" s="268" t="str">
        <f t="shared" si="173"/>
        <v/>
      </c>
      <c r="BR151" s="268" t="str">
        <f t="shared" si="173"/>
        <v/>
      </c>
      <c r="BS151" s="268" t="str">
        <f t="shared" si="173"/>
        <v/>
      </c>
      <c r="BT151" s="268" t="str">
        <f t="shared" si="173"/>
        <v/>
      </c>
      <c r="BU151" s="268" t="str">
        <f t="shared" si="153"/>
        <v/>
      </c>
      <c r="BV151" s="247">
        <v>9.42</v>
      </c>
      <c r="BW151" s="729">
        <f t="shared" si="139"/>
        <v>1582.56</v>
      </c>
      <c r="BX151" s="730">
        <f t="shared" si="140"/>
        <v>12264.84</v>
      </c>
      <c r="BY151" s="731" t="str">
        <f t="shared" si="142"/>
        <v>SR</v>
      </c>
    </row>
    <row r="152" s="698" customFormat="1" customHeight="1" spans="1:77">
      <c r="A152" s="208">
        <v>46015</v>
      </c>
      <c r="B152" s="208">
        <v>46064</v>
      </c>
      <c r="C152" s="211" t="s">
        <v>381</v>
      </c>
      <c r="D152" s="211" t="s">
        <v>382</v>
      </c>
      <c r="E152" s="211" t="s">
        <v>53</v>
      </c>
      <c r="F152" s="732">
        <v>1848</v>
      </c>
      <c r="G152" s="211" t="s">
        <v>327</v>
      </c>
      <c r="H152" s="211" t="str">
        <f>IFERROR(VLOOKUP(E152,名称!A:E,4,0),"")</f>
        <v>二代</v>
      </c>
      <c r="I152" s="268" t="str">
        <f t="shared" ref="I152:BT152" si="174">IF(OR($E152="",I$1=""),"",IF(TRIM(LEFT($E152,MIN(IFERROR(FIND("CDU",UPPER($E152)),999),IFERROR(FIND("BULK",UPPER($E152)),999),IFERROR(FIND("-",$E152),999),IFERROR(FIND("（",$E152),999))-1))=I$1,$F152,""))</f>
        <v/>
      </c>
      <c r="J152" s="268" t="str">
        <f t="shared" si="174"/>
        <v/>
      </c>
      <c r="K152" s="268" t="str">
        <f t="shared" si="174"/>
        <v/>
      </c>
      <c r="L152" s="268" t="str">
        <f t="shared" si="174"/>
        <v/>
      </c>
      <c r="M152" s="268" t="str">
        <f t="shared" si="174"/>
        <v/>
      </c>
      <c r="N152" s="268" t="str">
        <f t="shared" si="174"/>
        <v/>
      </c>
      <c r="O152" s="268" t="str">
        <f t="shared" si="174"/>
        <v/>
      </c>
      <c r="P152" s="268" t="str">
        <f t="shared" si="174"/>
        <v/>
      </c>
      <c r="Q152" s="268" t="str">
        <f t="shared" si="174"/>
        <v/>
      </c>
      <c r="R152" s="268" t="str">
        <f t="shared" si="174"/>
        <v/>
      </c>
      <c r="S152" s="268" t="str">
        <f t="shared" si="174"/>
        <v/>
      </c>
      <c r="T152" s="268" t="str">
        <f t="shared" si="174"/>
        <v/>
      </c>
      <c r="U152" s="268" t="str">
        <f t="shared" si="174"/>
        <v/>
      </c>
      <c r="V152" s="268" t="str">
        <f t="shared" si="174"/>
        <v/>
      </c>
      <c r="W152" s="268" t="str">
        <f t="shared" si="174"/>
        <v/>
      </c>
      <c r="X152" s="268" t="str">
        <f t="shared" si="174"/>
        <v/>
      </c>
      <c r="Y152" s="268" t="str">
        <f t="shared" si="174"/>
        <v/>
      </c>
      <c r="Z152" s="268" t="str">
        <f t="shared" si="174"/>
        <v/>
      </c>
      <c r="AA152" s="268">
        <f t="shared" si="174"/>
        <v>1848</v>
      </c>
      <c r="AB152" s="268" t="str">
        <f t="shared" si="174"/>
        <v/>
      </c>
      <c r="AC152" s="268" t="str">
        <f t="shared" si="174"/>
        <v/>
      </c>
      <c r="AD152" s="268" t="str">
        <f t="shared" si="174"/>
        <v/>
      </c>
      <c r="AE152" s="268" t="str">
        <f t="shared" si="174"/>
        <v/>
      </c>
      <c r="AF152" s="268" t="str">
        <f t="shared" si="174"/>
        <v/>
      </c>
      <c r="AG152" s="268" t="str">
        <f t="shared" si="174"/>
        <v/>
      </c>
      <c r="AH152" s="268" t="str">
        <f t="shared" si="174"/>
        <v/>
      </c>
      <c r="AI152" s="268" t="str">
        <f t="shared" si="174"/>
        <v/>
      </c>
      <c r="AJ152" s="268" t="str">
        <f t="shared" si="174"/>
        <v/>
      </c>
      <c r="AK152" s="268" t="str">
        <f t="shared" si="174"/>
        <v/>
      </c>
      <c r="AL152" s="268" t="str">
        <f t="shared" si="174"/>
        <v/>
      </c>
      <c r="AM152" s="268" t="str">
        <f t="shared" si="174"/>
        <v/>
      </c>
      <c r="AN152" s="268" t="str">
        <f t="shared" si="174"/>
        <v/>
      </c>
      <c r="AO152" s="268" t="str">
        <f t="shared" si="174"/>
        <v/>
      </c>
      <c r="AP152" s="268" t="str">
        <f t="shared" si="174"/>
        <v/>
      </c>
      <c r="AQ152" s="268" t="str">
        <f t="shared" si="174"/>
        <v/>
      </c>
      <c r="AR152" s="268" t="str">
        <f t="shared" si="174"/>
        <v/>
      </c>
      <c r="AS152" s="268" t="str">
        <f t="shared" si="174"/>
        <v/>
      </c>
      <c r="AT152" s="268" t="str">
        <f t="shared" si="174"/>
        <v/>
      </c>
      <c r="AU152" s="268" t="str">
        <f t="shared" si="174"/>
        <v/>
      </c>
      <c r="AV152" s="268" t="str">
        <f t="shared" si="174"/>
        <v/>
      </c>
      <c r="AW152" s="268" t="str">
        <f t="shared" si="174"/>
        <v/>
      </c>
      <c r="AX152" s="268" t="str">
        <f t="shared" si="174"/>
        <v/>
      </c>
      <c r="AY152" s="268" t="str">
        <f t="shared" si="174"/>
        <v/>
      </c>
      <c r="AZ152" s="268" t="str">
        <f t="shared" si="174"/>
        <v/>
      </c>
      <c r="BA152" s="268" t="str">
        <f t="shared" si="174"/>
        <v/>
      </c>
      <c r="BB152" s="268" t="str">
        <f t="shared" si="174"/>
        <v/>
      </c>
      <c r="BC152" s="268" t="str">
        <f t="shared" si="174"/>
        <v/>
      </c>
      <c r="BD152" s="268" t="str">
        <f t="shared" si="174"/>
        <v/>
      </c>
      <c r="BE152" s="268" t="str">
        <f t="shared" si="174"/>
        <v/>
      </c>
      <c r="BF152" s="268" t="str">
        <f t="shared" si="174"/>
        <v/>
      </c>
      <c r="BG152" s="268" t="str">
        <f t="shared" si="174"/>
        <v/>
      </c>
      <c r="BH152" s="268" t="str">
        <f t="shared" si="174"/>
        <v/>
      </c>
      <c r="BI152" s="268" t="str">
        <f t="shared" si="174"/>
        <v/>
      </c>
      <c r="BJ152" s="268" t="str">
        <f t="shared" si="174"/>
        <v/>
      </c>
      <c r="BK152" s="268" t="str">
        <f t="shared" si="174"/>
        <v/>
      </c>
      <c r="BL152" s="268" t="str">
        <f t="shared" si="174"/>
        <v/>
      </c>
      <c r="BM152" s="268" t="str">
        <f t="shared" si="174"/>
        <v/>
      </c>
      <c r="BN152" s="268" t="str">
        <f t="shared" si="174"/>
        <v/>
      </c>
      <c r="BO152" s="268" t="str">
        <f t="shared" si="174"/>
        <v/>
      </c>
      <c r="BP152" s="268" t="str">
        <f t="shared" si="174"/>
        <v/>
      </c>
      <c r="BQ152" s="268" t="str">
        <f t="shared" si="174"/>
        <v/>
      </c>
      <c r="BR152" s="268" t="str">
        <f t="shared" si="174"/>
        <v/>
      </c>
      <c r="BS152" s="268" t="str">
        <f t="shared" si="174"/>
        <v/>
      </c>
      <c r="BT152" s="268" t="str">
        <f t="shared" si="174"/>
        <v/>
      </c>
      <c r="BU152" s="268" t="str">
        <f t="shared" si="153"/>
        <v/>
      </c>
      <c r="BV152" s="247">
        <v>0.61</v>
      </c>
      <c r="BW152" s="729">
        <f t="shared" si="139"/>
        <v>1127.28</v>
      </c>
      <c r="BX152" s="730">
        <f t="shared" si="140"/>
        <v>8736.42</v>
      </c>
      <c r="BY152" s="731" t="str">
        <f t="shared" si="142"/>
        <v>JS</v>
      </c>
    </row>
    <row r="153" s="698" customFormat="1" customHeight="1" spans="1:77">
      <c r="A153" s="208">
        <v>46015</v>
      </c>
      <c r="B153" s="208">
        <v>46064</v>
      </c>
      <c r="C153" s="211" t="s">
        <v>381</v>
      </c>
      <c r="D153" s="211" t="s">
        <v>382</v>
      </c>
      <c r="E153" s="211" t="s">
        <v>28</v>
      </c>
      <c r="F153" s="732">
        <v>1248</v>
      </c>
      <c r="G153" s="211" t="s">
        <v>327</v>
      </c>
      <c r="H153" s="211" t="str">
        <f>IFERROR(VLOOKUP(E153,名称!A:E,4,0),"")</f>
        <v>二代</v>
      </c>
      <c r="I153" s="268" t="str">
        <f t="shared" ref="I153:BT153" si="175">IF(OR($E153="",I$1=""),"",IF(TRIM(LEFT($E153,MIN(IFERROR(FIND("CDU",UPPER($E153)),999),IFERROR(FIND("BULK",UPPER($E153)),999),IFERROR(FIND("-",$E153),999),IFERROR(FIND("（",$E153),999))-1))=I$1,$F153,""))</f>
        <v/>
      </c>
      <c r="J153" s="268" t="str">
        <f t="shared" si="175"/>
        <v/>
      </c>
      <c r="K153" s="268" t="str">
        <f t="shared" si="175"/>
        <v/>
      </c>
      <c r="L153" s="268" t="str">
        <f t="shared" si="175"/>
        <v/>
      </c>
      <c r="M153" s="268" t="str">
        <f t="shared" si="175"/>
        <v/>
      </c>
      <c r="N153" s="268" t="str">
        <f t="shared" si="175"/>
        <v/>
      </c>
      <c r="O153" s="268" t="str">
        <f t="shared" si="175"/>
        <v/>
      </c>
      <c r="P153" s="268" t="str">
        <f t="shared" si="175"/>
        <v/>
      </c>
      <c r="Q153" s="268" t="str">
        <f t="shared" si="175"/>
        <v/>
      </c>
      <c r="R153" s="268" t="str">
        <f t="shared" si="175"/>
        <v/>
      </c>
      <c r="S153" s="268" t="str">
        <f t="shared" si="175"/>
        <v/>
      </c>
      <c r="T153" s="268" t="str">
        <f t="shared" si="175"/>
        <v/>
      </c>
      <c r="U153" s="268" t="str">
        <f t="shared" si="175"/>
        <v/>
      </c>
      <c r="V153" s="268" t="str">
        <f t="shared" si="175"/>
        <v/>
      </c>
      <c r="W153" s="268" t="str">
        <f t="shared" si="175"/>
        <v/>
      </c>
      <c r="X153" s="268" t="str">
        <f t="shared" si="175"/>
        <v/>
      </c>
      <c r="Y153" s="268" t="str">
        <f t="shared" si="175"/>
        <v/>
      </c>
      <c r="Z153" s="268" t="str">
        <f t="shared" si="175"/>
        <v/>
      </c>
      <c r="AA153" s="268" t="str">
        <f t="shared" si="175"/>
        <v/>
      </c>
      <c r="AB153" s="268">
        <f t="shared" si="175"/>
        <v>1248</v>
      </c>
      <c r="AC153" s="268" t="str">
        <f t="shared" si="175"/>
        <v/>
      </c>
      <c r="AD153" s="268" t="str">
        <f t="shared" si="175"/>
        <v/>
      </c>
      <c r="AE153" s="268" t="str">
        <f t="shared" si="175"/>
        <v/>
      </c>
      <c r="AF153" s="268" t="str">
        <f t="shared" si="175"/>
        <v/>
      </c>
      <c r="AG153" s="268" t="str">
        <f t="shared" si="175"/>
        <v/>
      </c>
      <c r="AH153" s="268" t="str">
        <f t="shared" si="175"/>
        <v/>
      </c>
      <c r="AI153" s="268" t="str">
        <f t="shared" si="175"/>
        <v/>
      </c>
      <c r="AJ153" s="268" t="str">
        <f t="shared" si="175"/>
        <v/>
      </c>
      <c r="AK153" s="268" t="str">
        <f t="shared" si="175"/>
        <v/>
      </c>
      <c r="AL153" s="268" t="str">
        <f t="shared" si="175"/>
        <v/>
      </c>
      <c r="AM153" s="268" t="str">
        <f t="shared" si="175"/>
        <v/>
      </c>
      <c r="AN153" s="268" t="str">
        <f t="shared" si="175"/>
        <v/>
      </c>
      <c r="AO153" s="268" t="str">
        <f t="shared" si="175"/>
        <v/>
      </c>
      <c r="AP153" s="268" t="str">
        <f t="shared" si="175"/>
        <v/>
      </c>
      <c r="AQ153" s="268" t="str">
        <f t="shared" si="175"/>
        <v/>
      </c>
      <c r="AR153" s="268" t="str">
        <f t="shared" si="175"/>
        <v/>
      </c>
      <c r="AS153" s="268" t="str">
        <f t="shared" si="175"/>
        <v/>
      </c>
      <c r="AT153" s="268" t="str">
        <f t="shared" si="175"/>
        <v/>
      </c>
      <c r="AU153" s="268" t="str">
        <f t="shared" si="175"/>
        <v/>
      </c>
      <c r="AV153" s="268" t="str">
        <f t="shared" si="175"/>
        <v/>
      </c>
      <c r="AW153" s="268" t="str">
        <f t="shared" si="175"/>
        <v/>
      </c>
      <c r="AX153" s="268" t="str">
        <f t="shared" si="175"/>
        <v/>
      </c>
      <c r="AY153" s="268" t="str">
        <f t="shared" si="175"/>
        <v/>
      </c>
      <c r="AZ153" s="268" t="str">
        <f t="shared" si="175"/>
        <v/>
      </c>
      <c r="BA153" s="268" t="str">
        <f t="shared" si="175"/>
        <v/>
      </c>
      <c r="BB153" s="268" t="str">
        <f t="shared" si="175"/>
        <v/>
      </c>
      <c r="BC153" s="268" t="str">
        <f t="shared" si="175"/>
        <v/>
      </c>
      <c r="BD153" s="268" t="str">
        <f t="shared" si="175"/>
        <v/>
      </c>
      <c r="BE153" s="268" t="str">
        <f t="shared" si="175"/>
        <v/>
      </c>
      <c r="BF153" s="268" t="str">
        <f t="shared" si="175"/>
        <v/>
      </c>
      <c r="BG153" s="268" t="str">
        <f t="shared" si="175"/>
        <v/>
      </c>
      <c r="BH153" s="268" t="str">
        <f t="shared" si="175"/>
        <v/>
      </c>
      <c r="BI153" s="268" t="str">
        <f t="shared" si="175"/>
        <v/>
      </c>
      <c r="BJ153" s="268" t="str">
        <f t="shared" si="175"/>
        <v/>
      </c>
      <c r="BK153" s="268" t="str">
        <f t="shared" si="175"/>
        <v/>
      </c>
      <c r="BL153" s="268" t="str">
        <f t="shared" si="175"/>
        <v/>
      </c>
      <c r="BM153" s="268" t="str">
        <f t="shared" si="175"/>
        <v/>
      </c>
      <c r="BN153" s="268" t="str">
        <f t="shared" si="175"/>
        <v/>
      </c>
      <c r="BO153" s="268" t="str">
        <f t="shared" si="175"/>
        <v/>
      </c>
      <c r="BP153" s="268" t="str">
        <f t="shared" si="175"/>
        <v/>
      </c>
      <c r="BQ153" s="268" t="str">
        <f t="shared" si="175"/>
        <v/>
      </c>
      <c r="BR153" s="268" t="str">
        <f t="shared" si="175"/>
        <v/>
      </c>
      <c r="BS153" s="268" t="str">
        <f t="shared" si="175"/>
        <v/>
      </c>
      <c r="BT153" s="268" t="str">
        <f t="shared" si="175"/>
        <v/>
      </c>
      <c r="BU153" s="268" t="str">
        <f t="shared" si="153"/>
        <v/>
      </c>
      <c r="BV153" s="247">
        <v>1.27</v>
      </c>
      <c r="BW153" s="729">
        <f t="shared" si="139"/>
        <v>1584.96</v>
      </c>
      <c r="BX153" s="730">
        <f t="shared" si="140"/>
        <v>12283.44</v>
      </c>
      <c r="BY153" s="731" t="str">
        <f t="shared" si="142"/>
        <v>JS</v>
      </c>
    </row>
    <row r="154" s="698" customFormat="1" customHeight="1" spans="1:77">
      <c r="A154" s="208">
        <v>46015</v>
      </c>
      <c r="B154" s="208">
        <v>46064</v>
      </c>
      <c r="C154" s="211" t="s">
        <v>381</v>
      </c>
      <c r="D154" s="211" t="s">
        <v>382</v>
      </c>
      <c r="E154" s="211" t="s">
        <v>79</v>
      </c>
      <c r="F154" s="732">
        <f>312-156</f>
        <v>156</v>
      </c>
      <c r="G154" s="211" t="s">
        <v>327</v>
      </c>
      <c r="H154" s="211" t="str">
        <f>IFERROR(VLOOKUP(E154,名称!A:E,4,0),"")</f>
        <v>二代</v>
      </c>
      <c r="I154" s="268" t="str">
        <f t="shared" ref="I154:BT154" si="176">IF(OR($E154="",I$1=""),"",IF(TRIM(LEFT($E154,MIN(IFERROR(FIND("CDU",UPPER($E154)),999),IFERROR(FIND("BULK",UPPER($E154)),999),IFERROR(FIND("-",$E154),999),IFERROR(FIND("（",$E154),999))-1))=I$1,$F154,""))</f>
        <v/>
      </c>
      <c r="J154" s="268" t="str">
        <f t="shared" si="176"/>
        <v/>
      </c>
      <c r="K154" s="268" t="str">
        <f t="shared" si="176"/>
        <v/>
      </c>
      <c r="L154" s="268" t="str">
        <f t="shared" si="176"/>
        <v/>
      </c>
      <c r="M154" s="268" t="str">
        <f t="shared" si="176"/>
        <v/>
      </c>
      <c r="N154" s="268" t="str">
        <f t="shared" si="176"/>
        <v/>
      </c>
      <c r="O154" s="268" t="str">
        <f t="shared" si="176"/>
        <v/>
      </c>
      <c r="P154" s="268" t="str">
        <f t="shared" si="176"/>
        <v/>
      </c>
      <c r="Q154" s="268" t="str">
        <f t="shared" si="176"/>
        <v/>
      </c>
      <c r="R154" s="268" t="str">
        <f t="shared" si="176"/>
        <v/>
      </c>
      <c r="S154" s="268" t="str">
        <f t="shared" si="176"/>
        <v/>
      </c>
      <c r="T154" s="268" t="str">
        <f t="shared" si="176"/>
        <v/>
      </c>
      <c r="U154" s="268" t="str">
        <f t="shared" si="176"/>
        <v/>
      </c>
      <c r="V154" s="268" t="str">
        <f t="shared" si="176"/>
        <v/>
      </c>
      <c r="W154" s="268" t="str">
        <f t="shared" si="176"/>
        <v/>
      </c>
      <c r="X154" s="268" t="str">
        <f t="shared" si="176"/>
        <v/>
      </c>
      <c r="Y154" s="268">
        <f t="shared" si="176"/>
        <v>156</v>
      </c>
      <c r="Z154" s="268" t="str">
        <f t="shared" si="176"/>
        <v/>
      </c>
      <c r="AA154" s="268" t="str">
        <f t="shared" si="176"/>
        <v/>
      </c>
      <c r="AB154" s="268" t="str">
        <f t="shared" si="176"/>
        <v/>
      </c>
      <c r="AC154" s="268" t="str">
        <f t="shared" si="176"/>
        <v/>
      </c>
      <c r="AD154" s="268" t="str">
        <f t="shared" si="176"/>
        <v/>
      </c>
      <c r="AE154" s="268" t="str">
        <f t="shared" si="176"/>
        <v/>
      </c>
      <c r="AF154" s="268" t="str">
        <f t="shared" si="176"/>
        <v/>
      </c>
      <c r="AG154" s="268" t="str">
        <f t="shared" si="176"/>
        <v/>
      </c>
      <c r="AH154" s="268" t="str">
        <f t="shared" si="176"/>
        <v/>
      </c>
      <c r="AI154" s="268" t="str">
        <f t="shared" si="176"/>
        <v/>
      </c>
      <c r="AJ154" s="268" t="str">
        <f t="shared" si="176"/>
        <v/>
      </c>
      <c r="AK154" s="268" t="str">
        <f t="shared" si="176"/>
        <v/>
      </c>
      <c r="AL154" s="268" t="str">
        <f t="shared" si="176"/>
        <v/>
      </c>
      <c r="AM154" s="268" t="str">
        <f t="shared" si="176"/>
        <v/>
      </c>
      <c r="AN154" s="268" t="str">
        <f t="shared" si="176"/>
        <v/>
      </c>
      <c r="AO154" s="268" t="str">
        <f t="shared" si="176"/>
        <v/>
      </c>
      <c r="AP154" s="268" t="str">
        <f t="shared" si="176"/>
        <v/>
      </c>
      <c r="AQ154" s="268" t="str">
        <f t="shared" si="176"/>
        <v/>
      </c>
      <c r="AR154" s="268" t="str">
        <f t="shared" si="176"/>
        <v/>
      </c>
      <c r="AS154" s="268" t="str">
        <f t="shared" si="176"/>
        <v/>
      </c>
      <c r="AT154" s="268" t="str">
        <f t="shared" si="176"/>
        <v/>
      </c>
      <c r="AU154" s="268" t="str">
        <f t="shared" si="176"/>
        <v/>
      </c>
      <c r="AV154" s="268" t="str">
        <f t="shared" si="176"/>
        <v/>
      </c>
      <c r="AW154" s="268" t="str">
        <f t="shared" si="176"/>
        <v/>
      </c>
      <c r="AX154" s="268" t="str">
        <f t="shared" si="176"/>
        <v/>
      </c>
      <c r="AY154" s="268" t="str">
        <f t="shared" si="176"/>
        <v/>
      </c>
      <c r="AZ154" s="268" t="str">
        <f t="shared" si="176"/>
        <v/>
      </c>
      <c r="BA154" s="268" t="str">
        <f t="shared" si="176"/>
        <v/>
      </c>
      <c r="BB154" s="268" t="str">
        <f t="shared" si="176"/>
        <v/>
      </c>
      <c r="BC154" s="268" t="str">
        <f t="shared" si="176"/>
        <v/>
      </c>
      <c r="BD154" s="268" t="str">
        <f t="shared" si="176"/>
        <v/>
      </c>
      <c r="BE154" s="268" t="str">
        <f t="shared" si="176"/>
        <v/>
      </c>
      <c r="BF154" s="268" t="str">
        <f t="shared" si="176"/>
        <v/>
      </c>
      <c r="BG154" s="268" t="str">
        <f t="shared" si="176"/>
        <v/>
      </c>
      <c r="BH154" s="268" t="str">
        <f t="shared" si="176"/>
        <v/>
      </c>
      <c r="BI154" s="268" t="str">
        <f t="shared" si="176"/>
        <v/>
      </c>
      <c r="BJ154" s="268" t="str">
        <f t="shared" si="176"/>
        <v/>
      </c>
      <c r="BK154" s="268" t="str">
        <f t="shared" si="176"/>
        <v/>
      </c>
      <c r="BL154" s="268" t="str">
        <f t="shared" si="176"/>
        <v/>
      </c>
      <c r="BM154" s="268" t="str">
        <f t="shared" si="176"/>
        <v/>
      </c>
      <c r="BN154" s="268" t="str">
        <f t="shared" si="176"/>
        <v/>
      </c>
      <c r="BO154" s="268" t="str">
        <f t="shared" si="176"/>
        <v/>
      </c>
      <c r="BP154" s="268" t="str">
        <f t="shared" si="176"/>
        <v/>
      </c>
      <c r="BQ154" s="268" t="str">
        <f t="shared" si="176"/>
        <v/>
      </c>
      <c r="BR154" s="268" t="str">
        <f t="shared" si="176"/>
        <v/>
      </c>
      <c r="BS154" s="268" t="str">
        <f t="shared" si="176"/>
        <v/>
      </c>
      <c r="BT154" s="268" t="str">
        <f t="shared" si="176"/>
        <v/>
      </c>
      <c r="BU154" s="268" t="str">
        <f t="shared" si="153"/>
        <v/>
      </c>
      <c r="BV154" s="247">
        <v>1.58</v>
      </c>
      <c r="BW154" s="729">
        <f t="shared" si="139"/>
        <v>246.48</v>
      </c>
      <c r="BX154" s="730">
        <f t="shared" si="140"/>
        <v>1910.22</v>
      </c>
      <c r="BY154" s="731" t="str">
        <f t="shared" si="142"/>
        <v>SR</v>
      </c>
    </row>
    <row r="155" s="698" customFormat="1" customHeight="1" spans="1:77">
      <c r="A155" s="208">
        <v>46015</v>
      </c>
      <c r="B155" s="208">
        <v>46064</v>
      </c>
      <c r="C155" s="211" t="s">
        <v>381</v>
      </c>
      <c r="D155" s="211" t="s">
        <v>382</v>
      </c>
      <c r="E155" s="211" t="s">
        <v>43</v>
      </c>
      <c r="F155" s="732">
        <v>1848</v>
      </c>
      <c r="G155" s="211" t="s">
        <v>327</v>
      </c>
      <c r="H155" s="211" t="str">
        <f>IFERROR(VLOOKUP(E155,名称!A:E,4,0),"")</f>
        <v>二代</v>
      </c>
      <c r="I155" s="268" t="str">
        <f t="shared" ref="I155:BT155" si="177">IF(OR($E155="",I$1=""),"",IF(TRIM(LEFT($E155,MIN(IFERROR(FIND("CDU",UPPER($E155)),999),IFERROR(FIND("BULK",UPPER($E155)),999),IFERROR(FIND("-",$E155),999),IFERROR(FIND("（",$E155),999))-1))=I$1,$F155,""))</f>
        <v/>
      </c>
      <c r="J155" s="268" t="str">
        <f t="shared" si="177"/>
        <v/>
      </c>
      <c r="K155" s="268" t="str">
        <f t="shared" si="177"/>
        <v/>
      </c>
      <c r="L155" s="268" t="str">
        <f t="shared" si="177"/>
        <v/>
      </c>
      <c r="M155" s="268" t="str">
        <f t="shared" si="177"/>
        <v/>
      </c>
      <c r="N155" s="268">
        <f t="shared" si="177"/>
        <v>1848</v>
      </c>
      <c r="O155" s="268" t="str">
        <f t="shared" si="177"/>
        <v/>
      </c>
      <c r="P155" s="268" t="str">
        <f t="shared" si="177"/>
        <v/>
      </c>
      <c r="Q155" s="268" t="str">
        <f t="shared" si="177"/>
        <v/>
      </c>
      <c r="R155" s="268" t="str">
        <f t="shared" si="177"/>
        <v/>
      </c>
      <c r="S155" s="268" t="str">
        <f t="shared" si="177"/>
        <v/>
      </c>
      <c r="T155" s="268" t="str">
        <f t="shared" si="177"/>
        <v/>
      </c>
      <c r="U155" s="268" t="str">
        <f t="shared" si="177"/>
        <v/>
      </c>
      <c r="V155" s="268" t="str">
        <f t="shared" si="177"/>
        <v/>
      </c>
      <c r="W155" s="268" t="str">
        <f t="shared" si="177"/>
        <v/>
      </c>
      <c r="X155" s="268" t="str">
        <f t="shared" si="177"/>
        <v/>
      </c>
      <c r="Y155" s="268" t="str">
        <f t="shared" si="177"/>
        <v/>
      </c>
      <c r="Z155" s="268" t="str">
        <f t="shared" si="177"/>
        <v/>
      </c>
      <c r="AA155" s="268" t="str">
        <f t="shared" si="177"/>
        <v/>
      </c>
      <c r="AB155" s="268" t="str">
        <f t="shared" si="177"/>
        <v/>
      </c>
      <c r="AC155" s="268" t="str">
        <f t="shared" si="177"/>
        <v/>
      </c>
      <c r="AD155" s="268" t="str">
        <f t="shared" si="177"/>
        <v/>
      </c>
      <c r="AE155" s="268" t="str">
        <f t="shared" si="177"/>
        <v/>
      </c>
      <c r="AF155" s="268" t="str">
        <f t="shared" si="177"/>
        <v/>
      </c>
      <c r="AG155" s="268" t="str">
        <f t="shared" si="177"/>
        <v/>
      </c>
      <c r="AH155" s="268" t="str">
        <f t="shared" si="177"/>
        <v/>
      </c>
      <c r="AI155" s="268" t="str">
        <f t="shared" si="177"/>
        <v/>
      </c>
      <c r="AJ155" s="268" t="str">
        <f t="shared" si="177"/>
        <v/>
      </c>
      <c r="AK155" s="268" t="str">
        <f t="shared" si="177"/>
        <v/>
      </c>
      <c r="AL155" s="268" t="str">
        <f t="shared" si="177"/>
        <v/>
      </c>
      <c r="AM155" s="268" t="str">
        <f t="shared" si="177"/>
        <v/>
      </c>
      <c r="AN155" s="268" t="str">
        <f t="shared" si="177"/>
        <v/>
      </c>
      <c r="AO155" s="268" t="str">
        <f t="shared" si="177"/>
        <v/>
      </c>
      <c r="AP155" s="268" t="str">
        <f t="shared" si="177"/>
        <v/>
      </c>
      <c r="AQ155" s="268" t="str">
        <f t="shared" si="177"/>
        <v/>
      </c>
      <c r="AR155" s="268" t="str">
        <f t="shared" si="177"/>
        <v/>
      </c>
      <c r="AS155" s="268" t="str">
        <f t="shared" si="177"/>
        <v/>
      </c>
      <c r="AT155" s="268" t="str">
        <f t="shared" si="177"/>
        <v/>
      </c>
      <c r="AU155" s="268" t="str">
        <f t="shared" si="177"/>
        <v/>
      </c>
      <c r="AV155" s="268" t="str">
        <f t="shared" si="177"/>
        <v/>
      </c>
      <c r="AW155" s="268" t="str">
        <f t="shared" si="177"/>
        <v/>
      </c>
      <c r="AX155" s="268" t="str">
        <f t="shared" si="177"/>
        <v/>
      </c>
      <c r="AY155" s="268" t="str">
        <f t="shared" si="177"/>
        <v/>
      </c>
      <c r="AZ155" s="268" t="str">
        <f t="shared" si="177"/>
        <v/>
      </c>
      <c r="BA155" s="268" t="str">
        <f t="shared" si="177"/>
        <v/>
      </c>
      <c r="BB155" s="268" t="str">
        <f t="shared" si="177"/>
        <v/>
      </c>
      <c r="BC155" s="268" t="str">
        <f t="shared" si="177"/>
        <v/>
      </c>
      <c r="BD155" s="268" t="str">
        <f t="shared" si="177"/>
        <v/>
      </c>
      <c r="BE155" s="268" t="str">
        <f t="shared" si="177"/>
        <v/>
      </c>
      <c r="BF155" s="268" t="str">
        <f t="shared" si="177"/>
        <v/>
      </c>
      <c r="BG155" s="268" t="str">
        <f t="shared" si="177"/>
        <v/>
      </c>
      <c r="BH155" s="268" t="str">
        <f t="shared" si="177"/>
        <v/>
      </c>
      <c r="BI155" s="268" t="str">
        <f t="shared" si="177"/>
        <v/>
      </c>
      <c r="BJ155" s="268" t="str">
        <f t="shared" si="177"/>
        <v/>
      </c>
      <c r="BK155" s="268" t="str">
        <f t="shared" si="177"/>
        <v/>
      </c>
      <c r="BL155" s="268" t="str">
        <f t="shared" si="177"/>
        <v/>
      </c>
      <c r="BM155" s="268" t="str">
        <f t="shared" si="177"/>
        <v/>
      </c>
      <c r="BN155" s="268" t="str">
        <f t="shared" si="177"/>
        <v/>
      </c>
      <c r="BO155" s="268" t="str">
        <f t="shared" si="177"/>
        <v/>
      </c>
      <c r="BP155" s="268" t="str">
        <f t="shared" si="177"/>
        <v/>
      </c>
      <c r="BQ155" s="268" t="str">
        <f t="shared" si="177"/>
        <v/>
      </c>
      <c r="BR155" s="268" t="str">
        <f t="shared" si="177"/>
        <v/>
      </c>
      <c r="BS155" s="268" t="str">
        <f t="shared" si="177"/>
        <v/>
      </c>
      <c r="BT155" s="268" t="str">
        <f t="shared" si="177"/>
        <v/>
      </c>
      <c r="BU155" s="268" t="str">
        <f t="shared" si="153"/>
        <v/>
      </c>
      <c r="BV155" s="247">
        <v>0.63</v>
      </c>
      <c r="BW155" s="729">
        <f t="shared" si="139"/>
        <v>1164.24</v>
      </c>
      <c r="BX155" s="730">
        <f t="shared" si="140"/>
        <v>9022.86</v>
      </c>
      <c r="BY155" s="731" t="str">
        <f t="shared" si="142"/>
        <v>SR</v>
      </c>
    </row>
    <row r="156" s="698" customFormat="1" customHeight="1" spans="1:77">
      <c r="A156" s="208">
        <v>46020</v>
      </c>
      <c r="B156" s="208">
        <v>46052</v>
      </c>
      <c r="C156" s="211"/>
      <c r="D156" s="211" t="s">
        <v>383</v>
      </c>
      <c r="E156" s="211" t="s">
        <v>23</v>
      </c>
      <c r="F156" s="732">
        <v>1000000</v>
      </c>
      <c r="G156" s="211" t="s">
        <v>327</v>
      </c>
      <c r="H156" s="211" t="str">
        <f>IFERROR(VLOOKUP(E156,名称!A:E,4,0),"")</f>
        <v>二代</v>
      </c>
      <c r="I156" s="268">
        <f t="shared" ref="I156:BT156" si="178">IF(OR($E156="",I$1=""),"",IF(TRIM(LEFT($E156,MIN(IFERROR(FIND("CDU",UPPER($E156)),999),IFERROR(FIND("BULK",UPPER($E156)),999),IFERROR(FIND("-",$E156),999),IFERROR(FIND("（",$E156),999))-1))=I$1,$F156,""))</f>
        <v>1000000</v>
      </c>
      <c r="J156" s="268" t="str">
        <f t="shared" si="178"/>
        <v/>
      </c>
      <c r="K156" s="268" t="str">
        <f t="shared" si="178"/>
        <v/>
      </c>
      <c r="L156" s="268" t="str">
        <f t="shared" si="178"/>
        <v/>
      </c>
      <c r="M156" s="268" t="str">
        <f t="shared" si="178"/>
        <v/>
      </c>
      <c r="N156" s="268" t="str">
        <f t="shared" si="178"/>
        <v/>
      </c>
      <c r="O156" s="268" t="str">
        <f t="shared" si="178"/>
        <v/>
      </c>
      <c r="P156" s="268" t="str">
        <f t="shared" si="178"/>
        <v/>
      </c>
      <c r="Q156" s="268" t="str">
        <f t="shared" si="178"/>
        <v/>
      </c>
      <c r="R156" s="268" t="str">
        <f t="shared" si="178"/>
        <v/>
      </c>
      <c r="S156" s="268" t="str">
        <f t="shared" si="178"/>
        <v/>
      </c>
      <c r="T156" s="268" t="str">
        <f t="shared" si="178"/>
        <v/>
      </c>
      <c r="U156" s="268" t="str">
        <f t="shared" si="178"/>
        <v/>
      </c>
      <c r="V156" s="268" t="str">
        <f t="shared" si="178"/>
        <v/>
      </c>
      <c r="W156" s="268" t="str">
        <f t="shared" si="178"/>
        <v/>
      </c>
      <c r="X156" s="268" t="str">
        <f t="shared" si="178"/>
        <v/>
      </c>
      <c r="Y156" s="268" t="str">
        <f t="shared" si="178"/>
        <v/>
      </c>
      <c r="Z156" s="268" t="str">
        <f t="shared" si="178"/>
        <v/>
      </c>
      <c r="AA156" s="268" t="str">
        <f t="shared" si="178"/>
        <v/>
      </c>
      <c r="AB156" s="268" t="str">
        <f t="shared" si="178"/>
        <v/>
      </c>
      <c r="AC156" s="268" t="str">
        <f t="shared" si="178"/>
        <v/>
      </c>
      <c r="AD156" s="268" t="str">
        <f t="shared" si="178"/>
        <v/>
      </c>
      <c r="AE156" s="268" t="str">
        <f t="shared" si="178"/>
        <v/>
      </c>
      <c r="AF156" s="268" t="str">
        <f t="shared" si="178"/>
        <v/>
      </c>
      <c r="AG156" s="268" t="str">
        <f t="shared" si="178"/>
        <v/>
      </c>
      <c r="AH156" s="268" t="str">
        <f t="shared" si="178"/>
        <v/>
      </c>
      <c r="AI156" s="268" t="str">
        <f t="shared" si="178"/>
        <v/>
      </c>
      <c r="AJ156" s="268" t="str">
        <f t="shared" si="178"/>
        <v/>
      </c>
      <c r="AK156" s="268" t="str">
        <f t="shared" si="178"/>
        <v/>
      </c>
      <c r="AL156" s="268" t="str">
        <f t="shared" si="178"/>
        <v/>
      </c>
      <c r="AM156" s="268" t="str">
        <f t="shared" si="178"/>
        <v/>
      </c>
      <c r="AN156" s="268" t="str">
        <f t="shared" si="178"/>
        <v/>
      </c>
      <c r="AO156" s="268" t="str">
        <f t="shared" si="178"/>
        <v/>
      </c>
      <c r="AP156" s="268" t="str">
        <f t="shared" si="178"/>
        <v/>
      </c>
      <c r="AQ156" s="268" t="str">
        <f t="shared" si="178"/>
        <v/>
      </c>
      <c r="AR156" s="268" t="str">
        <f t="shared" si="178"/>
        <v/>
      </c>
      <c r="AS156" s="268" t="str">
        <f t="shared" si="178"/>
        <v/>
      </c>
      <c r="AT156" s="268" t="str">
        <f t="shared" si="178"/>
        <v/>
      </c>
      <c r="AU156" s="268" t="str">
        <f t="shared" si="178"/>
        <v/>
      </c>
      <c r="AV156" s="268" t="str">
        <f t="shared" si="178"/>
        <v/>
      </c>
      <c r="AW156" s="268" t="str">
        <f t="shared" si="178"/>
        <v/>
      </c>
      <c r="AX156" s="268" t="str">
        <f t="shared" si="178"/>
        <v/>
      </c>
      <c r="AY156" s="268" t="str">
        <f t="shared" si="178"/>
        <v/>
      </c>
      <c r="AZ156" s="268" t="str">
        <f t="shared" si="178"/>
        <v/>
      </c>
      <c r="BA156" s="268" t="str">
        <f t="shared" si="178"/>
        <v/>
      </c>
      <c r="BB156" s="268" t="str">
        <f t="shared" si="178"/>
        <v/>
      </c>
      <c r="BC156" s="268" t="str">
        <f t="shared" si="178"/>
        <v/>
      </c>
      <c r="BD156" s="268" t="str">
        <f t="shared" si="178"/>
        <v/>
      </c>
      <c r="BE156" s="268" t="str">
        <f t="shared" si="178"/>
        <v/>
      </c>
      <c r="BF156" s="268" t="str">
        <f t="shared" si="178"/>
        <v/>
      </c>
      <c r="BG156" s="268" t="str">
        <f t="shared" si="178"/>
        <v/>
      </c>
      <c r="BH156" s="268" t="str">
        <f t="shared" si="178"/>
        <v/>
      </c>
      <c r="BI156" s="268" t="str">
        <f t="shared" si="178"/>
        <v/>
      </c>
      <c r="BJ156" s="268" t="str">
        <f t="shared" si="178"/>
        <v/>
      </c>
      <c r="BK156" s="268" t="str">
        <f t="shared" si="178"/>
        <v/>
      </c>
      <c r="BL156" s="268" t="str">
        <f t="shared" si="178"/>
        <v/>
      </c>
      <c r="BM156" s="268" t="str">
        <f t="shared" si="178"/>
        <v/>
      </c>
      <c r="BN156" s="268" t="str">
        <f t="shared" si="178"/>
        <v/>
      </c>
      <c r="BO156" s="268" t="str">
        <f t="shared" si="178"/>
        <v/>
      </c>
      <c r="BP156" s="268" t="str">
        <f t="shared" si="178"/>
        <v/>
      </c>
      <c r="BQ156" s="268" t="str">
        <f t="shared" si="178"/>
        <v/>
      </c>
      <c r="BR156" s="268" t="str">
        <f t="shared" si="178"/>
        <v/>
      </c>
      <c r="BS156" s="268" t="str">
        <f t="shared" si="178"/>
        <v/>
      </c>
      <c r="BT156" s="268" t="str">
        <f t="shared" si="178"/>
        <v/>
      </c>
      <c r="BU156" s="268" t="str">
        <f t="shared" si="153"/>
        <v/>
      </c>
      <c r="BV156" s="247">
        <v>0.01</v>
      </c>
      <c r="BW156" s="729">
        <f>SUM(I156:BU156)*BV156*0.86</f>
        <v>8600</v>
      </c>
      <c r="BX156" s="730">
        <f t="shared" si="140"/>
        <v>66650</v>
      </c>
      <c r="BY156" s="731" t="str">
        <f t="shared" si="142"/>
        <v>SR</v>
      </c>
    </row>
    <row r="157" s="698" customFormat="1" customHeight="1" spans="1:77">
      <c r="A157" s="208">
        <v>46029</v>
      </c>
      <c r="B157" s="208">
        <v>46141</v>
      </c>
      <c r="C157" s="211" t="s">
        <v>384</v>
      </c>
      <c r="D157" s="211" t="s">
        <v>385</v>
      </c>
      <c r="E157" s="211" t="s">
        <v>85</v>
      </c>
      <c r="F157" s="732">
        <v>50016</v>
      </c>
      <c r="G157" s="211" t="s">
        <v>270</v>
      </c>
      <c r="H157" s="211" t="str">
        <f>IFERROR(VLOOKUP(E157,名称!A:E,4,0),"")</f>
        <v>三代</v>
      </c>
      <c r="I157" s="268" t="str">
        <f t="shared" ref="I157:BT157" si="179">IF(OR($E157="",I$1=""),"",IF(TRIM(LEFT($E157,MIN(IFERROR(FIND("CDU",UPPER($E157)),999),IFERROR(FIND("BULK",UPPER($E157)),999),IFERROR(FIND("-",$E157),999),IFERROR(FIND("（",$E157),999))-1))=I$1,$F157,""))</f>
        <v/>
      </c>
      <c r="J157" s="268" t="str">
        <f t="shared" si="179"/>
        <v/>
      </c>
      <c r="K157" s="268" t="str">
        <f t="shared" si="179"/>
        <v/>
      </c>
      <c r="L157" s="268" t="str">
        <f t="shared" si="179"/>
        <v/>
      </c>
      <c r="M157" s="268" t="str">
        <f t="shared" si="179"/>
        <v/>
      </c>
      <c r="N157" s="268" t="str">
        <f t="shared" si="179"/>
        <v/>
      </c>
      <c r="O157" s="268" t="str">
        <f t="shared" si="179"/>
        <v/>
      </c>
      <c r="P157" s="268" t="str">
        <f t="shared" si="179"/>
        <v/>
      </c>
      <c r="Q157" s="268" t="str">
        <f t="shared" si="179"/>
        <v/>
      </c>
      <c r="R157" s="268" t="str">
        <f t="shared" si="179"/>
        <v/>
      </c>
      <c r="S157" s="268" t="str">
        <f t="shared" si="179"/>
        <v/>
      </c>
      <c r="T157" s="268" t="str">
        <f t="shared" si="179"/>
        <v/>
      </c>
      <c r="U157" s="268" t="str">
        <f t="shared" si="179"/>
        <v/>
      </c>
      <c r="V157" s="268" t="str">
        <f t="shared" si="179"/>
        <v/>
      </c>
      <c r="W157" s="268" t="str">
        <f t="shared" si="179"/>
        <v/>
      </c>
      <c r="X157" s="268" t="str">
        <f t="shared" si="179"/>
        <v/>
      </c>
      <c r="Y157" s="268" t="str">
        <f t="shared" si="179"/>
        <v/>
      </c>
      <c r="Z157" s="268" t="str">
        <f t="shared" si="179"/>
        <v/>
      </c>
      <c r="AA157" s="268" t="str">
        <f t="shared" si="179"/>
        <v/>
      </c>
      <c r="AB157" s="268" t="str">
        <f t="shared" si="179"/>
        <v/>
      </c>
      <c r="AC157" s="268" t="str">
        <f t="shared" si="179"/>
        <v/>
      </c>
      <c r="AD157" s="268" t="str">
        <f t="shared" si="179"/>
        <v/>
      </c>
      <c r="AE157" s="268" t="str">
        <f t="shared" si="179"/>
        <v/>
      </c>
      <c r="AF157" s="268" t="str">
        <f t="shared" si="179"/>
        <v/>
      </c>
      <c r="AG157" s="268" t="str">
        <f t="shared" si="179"/>
        <v/>
      </c>
      <c r="AH157" s="268" t="str">
        <f t="shared" si="179"/>
        <v/>
      </c>
      <c r="AI157" s="268" t="str">
        <f t="shared" si="179"/>
        <v/>
      </c>
      <c r="AJ157" s="268" t="str">
        <f t="shared" si="179"/>
        <v/>
      </c>
      <c r="AK157" s="268" t="str">
        <f t="shared" si="179"/>
        <v/>
      </c>
      <c r="AL157" s="268" t="str">
        <f t="shared" si="179"/>
        <v/>
      </c>
      <c r="AM157" s="268" t="str">
        <f t="shared" si="179"/>
        <v/>
      </c>
      <c r="AN157" s="268">
        <f t="shared" si="179"/>
        <v>50016</v>
      </c>
      <c r="AO157" s="268" t="str">
        <f t="shared" si="179"/>
        <v/>
      </c>
      <c r="AP157" s="268" t="str">
        <f t="shared" si="179"/>
        <v/>
      </c>
      <c r="AQ157" s="268" t="str">
        <f t="shared" si="179"/>
        <v/>
      </c>
      <c r="AR157" s="268" t="str">
        <f t="shared" si="179"/>
        <v/>
      </c>
      <c r="AS157" s="268" t="str">
        <f t="shared" si="179"/>
        <v/>
      </c>
      <c r="AT157" s="268" t="str">
        <f t="shared" si="179"/>
        <v/>
      </c>
      <c r="AU157" s="268" t="str">
        <f t="shared" si="179"/>
        <v/>
      </c>
      <c r="AV157" s="268" t="str">
        <f t="shared" si="179"/>
        <v/>
      </c>
      <c r="AW157" s="268" t="str">
        <f t="shared" si="179"/>
        <v/>
      </c>
      <c r="AX157" s="268" t="str">
        <f t="shared" si="179"/>
        <v/>
      </c>
      <c r="AY157" s="268" t="str">
        <f t="shared" si="179"/>
        <v/>
      </c>
      <c r="AZ157" s="268" t="str">
        <f t="shared" si="179"/>
        <v/>
      </c>
      <c r="BA157" s="268" t="str">
        <f t="shared" si="179"/>
        <v/>
      </c>
      <c r="BB157" s="268" t="str">
        <f t="shared" si="179"/>
        <v/>
      </c>
      <c r="BC157" s="268" t="str">
        <f t="shared" si="179"/>
        <v/>
      </c>
      <c r="BD157" s="268" t="str">
        <f t="shared" si="179"/>
        <v/>
      </c>
      <c r="BE157" s="268" t="str">
        <f t="shared" si="179"/>
        <v/>
      </c>
      <c r="BF157" s="268" t="str">
        <f t="shared" si="179"/>
        <v/>
      </c>
      <c r="BG157" s="268" t="str">
        <f t="shared" si="179"/>
        <v/>
      </c>
      <c r="BH157" s="268" t="str">
        <f t="shared" si="179"/>
        <v/>
      </c>
      <c r="BI157" s="268" t="str">
        <f t="shared" si="179"/>
        <v/>
      </c>
      <c r="BJ157" s="268" t="str">
        <f t="shared" si="179"/>
        <v/>
      </c>
      <c r="BK157" s="268" t="str">
        <f t="shared" si="179"/>
        <v/>
      </c>
      <c r="BL157" s="268" t="str">
        <f t="shared" si="179"/>
        <v/>
      </c>
      <c r="BM157" s="268" t="str">
        <f t="shared" si="179"/>
        <v/>
      </c>
      <c r="BN157" s="268" t="str">
        <f t="shared" si="179"/>
        <v/>
      </c>
      <c r="BO157" s="268" t="str">
        <f t="shared" si="179"/>
        <v/>
      </c>
      <c r="BP157" s="268" t="str">
        <f t="shared" si="179"/>
        <v/>
      </c>
      <c r="BQ157" s="268" t="str">
        <f t="shared" si="179"/>
        <v/>
      </c>
      <c r="BR157" s="268" t="str">
        <f t="shared" si="179"/>
        <v/>
      </c>
      <c r="BS157" s="268" t="str">
        <f t="shared" si="179"/>
        <v/>
      </c>
      <c r="BT157" s="268" t="str">
        <f t="shared" si="179"/>
        <v/>
      </c>
      <c r="BU157" s="268" t="str">
        <f t="shared" si="153"/>
        <v/>
      </c>
      <c r="BV157" s="247">
        <v>0.88</v>
      </c>
      <c r="BW157" s="729">
        <f t="shared" ref="BW157:BW173" si="180">SUM(I157:BU157)*BV157</f>
        <v>44014.08</v>
      </c>
      <c r="BX157" s="730">
        <f t="shared" si="140"/>
        <v>341109.12</v>
      </c>
      <c r="BY157" s="731" t="str">
        <f t="shared" si="142"/>
        <v>SR</v>
      </c>
    </row>
    <row r="158" s="698" customFormat="1" customHeight="1" spans="1:77">
      <c r="A158" s="208">
        <v>46029</v>
      </c>
      <c r="B158" s="208">
        <v>46148</v>
      </c>
      <c r="C158" s="211" t="s">
        <v>386</v>
      </c>
      <c r="D158" s="211" t="s">
        <v>387</v>
      </c>
      <c r="E158" s="211" t="s">
        <v>85</v>
      </c>
      <c r="F158" s="732">
        <v>50016</v>
      </c>
      <c r="G158" s="211" t="s">
        <v>270</v>
      </c>
      <c r="H158" s="211" t="str">
        <f>IFERROR(VLOOKUP(E158,名称!A:E,4,0),"")</f>
        <v>三代</v>
      </c>
      <c r="I158" s="268" t="str">
        <f t="shared" ref="I158:BT158" si="181">IF(OR($E158="",I$1=""),"",IF(TRIM(LEFT($E158,MIN(IFERROR(FIND("CDU",UPPER($E158)),999),IFERROR(FIND("BULK",UPPER($E158)),999),IFERROR(FIND("-",$E158),999),IFERROR(FIND("（",$E158),999))-1))=I$1,$F158,""))</f>
        <v/>
      </c>
      <c r="J158" s="268" t="str">
        <f t="shared" si="181"/>
        <v/>
      </c>
      <c r="K158" s="268" t="str">
        <f t="shared" si="181"/>
        <v/>
      </c>
      <c r="L158" s="268" t="str">
        <f t="shared" si="181"/>
        <v/>
      </c>
      <c r="M158" s="268" t="str">
        <f t="shared" si="181"/>
        <v/>
      </c>
      <c r="N158" s="268" t="str">
        <f t="shared" si="181"/>
        <v/>
      </c>
      <c r="O158" s="268" t="str">
        <f t="shared" si="181"/>
        <v/>
      </c>
      <c r="P158" s="268" t="str">
        <f t="shared" si="181"/>
        <v/>
      </c>
      <c r="Q158" s="268" t="str">
        <f t="shared" si="181"/>
        <v/>
      </c>
      <c r="R158" s="268" t="str">
        <f t="shared" si="181"/>
        <v/>
      </c>
      <c r="S158" s="268" t="str">
        <f t="shared" si="181"/>
        <v/>
      </c>
      <c r="T158" s="268" t="str">
        <f t="shared" si="181"/>
        <v/>
      </c>
      <c r="U158" s="268" t="str">
        <f t="shared" si="181"/>
        <v/>
      </c>
      <c r="V158" s="268" t="str">
        <f t="shared" si="181"/>
        <v/>
      </c>
      <c r="W158" s="268" t="str">
        <f t="shared" si="181"/>
        <v/>
      </c>
      <c r="X158" s="268" t="str">
        <f t="shared" si="181"/>
        <v/>
      </c>
      <c r="Y158" s="268" t="str">
        <f t="shared" si="181"/>
        <v/>
      </c>
      <c r="Z158" s="268" t="str">
        <f t="shared" si="181"/>
        <v/>
      </c>
      <c r="AA158" s="268" t="str">
        <f t="shared" si="181"/>
        <v/>
      </c>
      <c r="AB158" s="268" t="str">
        <f t="shared" si="181"/>
        <v/>
      </c>
      <c r="AC158" s="268" t="str">
        <f t="shared" si="181"/>
        <v/>
      </c>
      <c r="AD158" s="268" t="str">
        <f t="shared" si="181"/>
        <v/>
      </c>
      <c r="AE158" s="268" t="str">
        <f t="shared" si="181"/>
        <v/>
      </c>
      <c r="AF158" s="268" t="str">
        <f t="shared" si="181"/>
        <v/>
      </c>
      <c r="AG158" s="268" t="str">
        <f t="shared" si="181"/>
        <v/>
      </c>
      <c r="AH158" s="268" t="str">
        <f t="shared" si="181"/>
        <v/>
      </c>
      <c r="AI158" s="268" t="str">
        <f t="shared" si="181"/>
        <v/>
      </c>
      <c r="AJ158" s="268" t="str">
        <f t="shared" si="181"/>
        <v/>
      </c>
      <c r="AK158" s="268" t="str">
        <f t="shared" si="181"/>
        <v/>
      </c>
      <c r="AL158" s="268" t="str">
        <f t="shared" si="181"/>
        <v/>
      </c>
      <c r="AM158" s="268" t="str">
        <f t="shared" si="181"/>
        <v/>
      </c>
      <c r="AN158" s="268">
        <f t="shared" si="181"/>
        <v>50016</v>
      </c>
      <c r="AO158" s="268" t="str">
        <f t="shared" si="181"/>
        <v/>
      </c>
      <c r="AP158" s="268" t="str">
        <f t="shared" si="181"/>
        <v/>
      </c>
      <c r="AQ158" s="268" t="str">
        <f t="shared" si="181"/>
        <v/>
      </c>
      <c r="AR158" s="268" t="str">
        <f t="shared" si="181"/>
        <v/>
      </c>
      <c r="AS158" s="268" t="str">
        <f t="shared" si="181"/>
        <v/>
      </c>
      <c r="AT158" s="268" t="str">
        <f t="shared" si="181"/>
        <v/>
      </c>
      <c r="AU158" s="268" t="str">
        <f t="shared" si="181"/>
        <v/>
      </c>
      <c r="AV158" s="268" t="str">
        <f t="shared" si="181"/>
        <v/>
      </c>
      <c r="AW158" s="268" t="str">
        <f t="shared" si="181"/>
        <v/>
      </c>
      <c r="AX158" s="268" t="str">
        <f t="shared" si="181"/>
        <v/>
      </c>
      <c r="AY158" s="268" t="str">
        <f t="shared" si="181"/>
        <v/>
      </c>
      <c r="AZ158" s="268" t="str">
        <f t="shared" si="181"/>
        <v/>
      </c>
      <c r="BA158" s="268" t="str">
        <f t="shared" si="181"/>
        <v/>
      </c>
      <c r="BB158" s="268" t="str">
        <f t="shared" si="181"/>
        <v/>
      </c>
      <c r="BC158" s="268" t="str">
        <f t="shared" si="181"/>
        <v/>
      </c>
      <c r="BD158" s="268" t="str">
        <f t="shared" si="181"/>
        <v/>
      </c>
      <c r="BE158" s="268" t="str">
        <f t="shared" si="181"/>
        <v/>
      </c>
      <c r="BF158" s="268" t="str">
        <f t="shared" si="181"/>
        <v/>
      </c>
      <c r="BG158" s="268" t="str">
        <f t="shared" si="181"/>
        <v/>
      </c>
      <c r="BH158" s="268" t="str">
        <f t="shared" si="181"/>
        <v/>
      </c>
      <c r="BI158" s="268" t="str">
        <f t="shared" si="181"/>
        <v/>
      </c>
      <c r="BJ158" s="268" t="str">
        <f t="shared" si="181"/>
        <v/>
      </c>
      <c r="BK158" s="268" t="str">
        <f t="shared" si="181"/>
        <v/>
      </c>
      <c r="BL158" s="268" t="str">
        <f t="shared" si="181"/>
        <v/>
      </c>
      <c r="BM158" s="268" t="str">
        <f t="shared" si="181"/>
        <v/>
      </c>
      <c r="BN158" s="268" t="str">
        <f t="shared" si="181"/>
        <v/>
      </c>
      <c r="BO158" s="268" t="str">
        <f t="shared" si="181"/>
        <v/>
      </c>
      <c r="BP158" s="268" t="str">
        <f t="shared" si="181"/>
        <v/>
      </c>
      <c r="BQ158" s="268" t="str">
        <f t="shared" si="181"/>
        <v/>
      </c>
      <c r="BR158" s="268" t="str">
        <f t="shared" si="181"/>
        <v/>
      </c>
      <c r="BS158" s="268" t="str">
        <f t="shared" si="181"/>
        <v/>
      </c>
      <c r="BT158" s="268" t="str">
        <f t="shared" si="181"/>
        <v/>
      </c>
      <c r="BU158" s="268" t="str">
        <f t="shared" si="153"/>
        <v/>
      </c>
      <c r="BV158" s="353">
        <v>0.88</v>
      </c>
      <c r="BW158" s="729">
        <f t="shared" si="180"/>
        <v>44014.08</v>
      </c>
      <c r="BX158" s="730">
        <f t="shared" si="140"/>
        <v>341109.12</v>
      </c>
      <c r="BY158" s="731" t="str">
        <f t="shared" si="142"/>
        <v>SR</v>
      </c>
    </row>
    <row r="159" s="698" customFormat="1" customHeight="1" spans="1:77">
      <c r="A159" s="208">
        <v>46029</v>
      </c>
      <c r="B159" s="208">
        <v>46162</v>
      </c>
      <c r="C159" s="211" t="s">
        <v>388</v>
      </c>
      <c r="D159" s="211" t="s">
        <v>389</v>
      </c>
      <c r="E159" s="211" t="s">
        <v>85</v>
      </c>
      <c r="F159" s="732">
        <v>21000</v>
      </c>
      <c r="G159" s="211" t="s">
        <v>270</v>
      </c>
      <c r="H159" s="211" t="str">
        <f>IFERROR(VLOOKUP(E159,名称!A:E,4,0),"")</f>
        <v>三代</v>
      </c>
      <c r="I159" s="268" t="str">
        <f t="shared" ref="I159:BT159" si="182">IF(OR($E159="",I$1=""),"",IF(TRIM(LEFT($E159,MIN(IFERROR(FIND("CDU",UPPER($E159)),999),IFERROR(FIND("BULK",UPPER($E159)),999),IFERROR(FIND("-",$E159),999),IFERROR(FIND("（",$E159),999))-1))=I$1,$F159,""))</f>
        <v/>
      </c>
      <c r="J159" s="268" t="str">
        <f t="shared" si="182"/>
        <v/>
      </c>
      <c r="K159" s="268" t="str">
        <f t="shared" si="182"/>
        <v/>
      </c>
      <c r="L159" s="268" t="str">
        <f t="shared" si="182"/>
        <v/>
      </c>
      <c r="M159" s="268" t="str">
        <f t="shared" si="182"/>
        <v/>
      </c>
      <c r="N159" s="268" t="str">
        <f t="shared" si="182"/>
        <v/>
      </c>
      <c r="O159" s="268" t="str">
        <f t="shared" si="182"/>
        <v/>
      </c>
      <c r="P159" s="268" t="str">
        <f t="shared" si="182"/>
        <v/>
      </c>
      <c r="Q159" s="268" t="str">
        <f t="shared" si="182"/>
        <v/>
      </c>
      <c r="R159" s="268" t="str">
        <f t="shared" si="182"/>
        <v/>
      </c>
      <c r="S159" s="268" t="str">
        <f t="shared" si="182"/>
        <v/>
      </c>
      <c r="T159" s="268" t="str">
        <f t="shared" si="182"/>
        <v/>
      </c>
      <c r="U159" s="268" t="str">
        <f t="shared" si="182"/>
        <v/>
      </c>
      <c r="V159" s="268" t="str">
        <f t="shared" si="182"/>
        <v/>
      </c>
      <c r="W159" s="268" t="str">
        <f t="shared" si="182"/>
        <v/>
      </c>
      <c r="X159" s="268" t="str">
        <f t="shared" si="182"/>
        <v/>
      </c>
      <c r="Y159" s="268" t="str">
        <f t="shared" si="182"/>
        <v/>
      </c>
      <c r="Z159" s="268" t="str">
        <f t="shared" si="182"/>
        <v/>
      </c>
      <c r="AA159" s="268" t="str">
        <f t="shared" si="182"/>
        <v/>
      </c>
      <c r="AB159" s="268" t="str">
        <f t="shared" si="182"/>
        <v/>
      </c>
      <c r="AC159" s="268" t="str">
        <f t="shared" si="182"/>
        <v/>
      </c>
      <c r="AD159" s="268" t="str">
        <f t="shared" si="182"/>
        <v/>
      </c>
      <c r="AE159" s="268" t="str">
        <f t="shared" si="182"/>
        <v/>
      </c>
      <c r="AF159" s="268" t="str">
        <f t="shared" si="182"/>
        <v/>
      </c>
      <c r="AG159" s="268" t="str">
        <f t="shared" si="182"/>
        <v/>
      </c>
      <c r="AH159" s="268" t="str">
        <f t="shared" si="182"/>
        <v/>
      </c>
      <c r="AI159" s="268" t="str">
        <f t="shared" si="182"/>
        <v/>
      </c>
      <c r="AJ159" s="268" t="str">
        <f t="shared" si="182"/>
        <v/>
      </c>
      <c r="AK159" s="268" t="str">
        <f t="shared" si="182"/>
        <v/>
      </c>
      <c r="AL159" s="268" t="str">
        <f t="shared" si="182"/>
        <v/>
      </c>
      <c r="AM159" s="268" t="str">
        <f t="shared" si="182"/>
        <v/>
      </c>
      <c r="AN159" s="268">
        <f t="shared" si="182"/>
        <v>21000</v>
      </c>
      <c r="AO159" s="268" t="str">
        <f t="shared" si="182"/>
        <v/>
      </c>
      <c r="AP159" s="268" t="str">
        <f t="shared" si="182"/>
        <v/>
      </c>
      <c r="AQ159" s="268" t="str">
        <f t="shared" si="182"/>
        <v/>
      </c>
      <c r="AR159" s="268" t="str">
        <f t="shared" si="182"/>
        <v/>
      </c>
      <c r="AS159" s="268" t="str">
        <f t="shared" si="182"/>
        <v/>
      </c>
      <c r="AT159" s="268" t="str">
        <f t="shared" si="182"/>
        <v/>
      </c>
      <c r="AU159" s="268" t="str">
        <f t="shared" si="182"/>
        <v/>
      </c>
      <c r="AV159" s="268" t="str">
        <f t="shared" si="182"/>
        <v/>
      </c>
      <c r="AW159" s="268" t="str">
        <f t="shared" si="182"/>
        <v/>
      </c>
      <c r="AX159" s="268" t="str">
        <f t="shared" si="182"/>
        <v/>
      </c>
      <c r="AY159" s="268" t="str">
        <f t="shared" si="182"/>
        <v/>
      </c>
      <c r="AZ159" s="268" t="str">
        <f t="shared" si="182"/>
        <v/>
      </c>
      <c r="BA159" s="268" t="str">
        <f t="shared" si="182"/>
        <v/>
      </c>
      <c r="BB159" s="268" t="str">
        <f t="shared" si="182"/>
        <v/>
      </c>
      <c r="BC159" s="268" t="str">
        <f t="shared" si="182"/>
        <v/>
      </c>
      <c r="BD159" s="268" t="str">
        <f t="shared" si="182"/>
        <v/>
      </c>
      <c r="BE159" s="268" t="str">
        <f t="shared" si="182"/>
        <v/>
      </c>
      <c r="BF159" s="268" t="str">
        <f t="shared" si="182"/>
        <v/>
      </c>
      <c r="BG159" s="268" t="str">
        <f t="shared" si="182"/>
        <v/>
      </c>
      <c r="BH159" s="268" t="str">
        <f t="shared" si="182"/>
        <v/>
      </c>
      <c r="BI159" s="268" t="str">
        <f t="shared" si="182"/>
        <v/>
      </c>
      <c r="BJ159" s="268" t="str">
        <f t="shared" si="182"/>
        <v/>
      </c>
      <c r="BK159" s="268" t="str">
        <f t="shared" si="182"/>
        <v/>
      </c>
      <c r="BL159" s="268" t="str">
        <f t="shared" si="182"/>
        <v/>
      </c>
      <c r="BM159" s="268" t="str">
        <f t="shared" si="182"/>
        <v/>
      </c>
      <c r="BN159" s="268" t="str">
        <f t="shared" si="182"/>
        <v/>
      </c>
      <c r="BO159" s="268" t="str">
        <f t="shared" si="182"/>
        <v/>
      </c>
      <c r="BP159" s="268" t="str">
        <f t="shared" si="182"/>
        <v/>
      </c>
      <c r="BQ159" s="268" t="str">
        <f t="shared" si="182"/>
        <v/>
      </c>
      <c r="BR159" s="268" t="str">
        <f t="shared" si="182"/>
        <v/>
      </c>
      <c r="BS159" s="268" t="str">
        <f t="shared" si="182"/>
        <v/>
      </c>
      <c r="BT159" s="268" t="str">
        <f t="shared" si="182"/>
        <v/>
      </c>
      <c r="BU159" s="268" t="str">
        <f t="shared" si="153"/>
        <v/>
      </c>
      <c r="BV159" s="247">
        <v>0.88</v>
      </c>
      <c r="BW159" s="729">
        <f t="shared" si="180"/>
        <v>18480</v>
      </c>
      <c r="BX159" s="730">
        <f t="shared" si="140"/>
        <v>143220</v>
      </c>
      <c r="BY159" s="731" t="str">
        <f t="shared" si="142"/>
        <v>SR</v>
      </c>
    </row>
    <row r="160" s="698" customFormat="1" customHeight="1" spans="1:77">
      <c r="A160" s="208">
        <v>46031</v>
      </c>
      <c r="B160" s="208">
        <v>46113</v>
      </c>
      <c r="C160" s="211" t="s">
        <v>390</v>
      </c>
      <c r="D160" s="211" t="s">
        <v>391</v>
      </c>
      <c r="E160" s="211" t="s">
        <v>59</v>
      </c>
      <c r="F160" s="732">
        <v>43200</v>
      </c>
      <c r="G160" s="211" t="s">
        <v>270</v>
      </c>
      <c r="H160" s="211" t="str">
        <f>IFERROR(VLOOKUP(E160,名称!A:E,4,0),"")</f>
        <v>三代</v>
      </c>
      <c r="I160" s="268" t="str">
        <f t="shared" ref="I160:BT160" si="183">IF(OR($E160="",I$1=""),"",IF(TRIM(LEFT($E160,MIN(IFERROR(FIND("CDU",UPPER($E160)),999),IFERROR(FIND("BULK",UPPER($E160)),999),IFERROR(FIND("-",$E160),999),IFERROR(FIND("（",$E160),999))-1))=I$1,$F160,""))</f>
        <v/>
      </c>
      <c r="J160" s="268" t="str">
        <f t="shared" si="183"/>
        <v/>
      </c>
      <c r="K160" s="268" t="str">
        <f t="shared" si="183"/>
        <v/>
      </c>
      <c r="L160" s="268" t="str">
        <f t="shared" si="183"/>
        <v/>
      </c>
      <c r="M160" s="268" t="str">
        <f t="shared" si="183"/>
        <v/>
      </c>
      <c r="N160" s="268" t="str">
        <f t="shared" si="183"/>
        <v/>
      </c>
      <c r="O160" s="268" t="str">
        <f t="shared" si="183"/>
        <v/>
      </c>
      <c r="P160" s="268" t="str">
        <f t="shared" si="183"/>
        <v/>
      </c>
      <c r="Q160" s="268" t="str">
        <f t="shared" si="183"/>
        <v/>
      </c>
      <c r="R160" s="268" t="str">
        <f t="shared" si="183"/>
        <v/>
      </c>
      <c r="S160" s="268" t="str">
        <f t="shared" si="183"/>
        <v/>
      </c>
      <c r="T160" s="268" t="str">
        <f t="shared" si="183"/>
        <v/>
      </c>
      <c r="U160" s="268" t="str">
        <f t="shared" si="183"/>
        <v/>
      </c>
      <c r="V160" s="268" t="str">
        <f t="shared" si="183"/>
        <v/>
      </c>
      <c r="W160" s="268" t="str">
        <f t="shared" si="183"/>
        <v/>
      </c>
      <c r="X160" s="268" t="str">
        <f t="shared" si="183"/>
        <v/>
      </c>
      <c r="Y160" s="268" t="str">
        <f t="shared" si="183"/>
        <v/>
      </c>
      <c r="Z160" s="268" t="str">
        <f t="shared" si="183"/>
        <v/>
      </c>
      <c r="AA160" s="268" t="str">
        <f t="shared" si="183"/>
        <v/>
      </c>
      <c r="AB160" s="268" t="str">
        <f t="shared" si="183"/>
        <v/>
      </c>
      <c r="AC160" s="268" t="str">
        <f t="shared" si="183"/>
        <v/>
      </c>
      <c r="AD160" s="268">
        <f t="shared" si="183"/>
        <v>43200</v>
      </c>
      <c r="AE160" s="268" t="str">
        <f t="shared" si="183"/>
        <v/>
      </c>
      <c r="AF160" s="268" t="str">
        <f t="shared" si="183"/>
        <v/>
      </c>
      <c r="AG160" s="268" t="str">
        <f t="shared" si="183"/>
        <v/>
      </c>
      <c r="AH160" s="268" t="str">
        <f t="shared" si="183"/>
        <v/>
      </c>
      <c r="AI160" s="268" t="str">
        <f t="shared" si="183"/>
        <v/>
      </c>
      <c r="AJ160" s="268" t="str">
        <f t="shared" si="183"/>
        <v/>
      </c>
      <c r="AK160" s="268" t="str">
        <f t="shared" si="183"/>
        <v/>
      </c>
      <c r="AL160" s="268" t="str">
        <f t="shared" si="183"/>
        <v/>
      </c>
      <c r="AM160" s="268" t="str">
        <f t="shared" si="183"/>
        <v/>
      </c>
      <c r="AN160" s="268" t="str">
        <f t="shared" si="183"/>
        <v/>
      </c>
      <c r="AO160" s="268" t="str">
        <f t="shared" si="183"/>
        <v/>
      </c>
      <c r="AP160" s="268" t="str">
        <f t="shared" si="183"/>
        <v/>
      </c>
      <c r="AQ160" s="268" t="str">
        <f t="shared" si="183"/>
        <v/>
      </c>
      <c r="AR160" s="268" t="str">
        <f t="shared" si="183"/>
        <v/>
      </c>
      <c r="AS160" s="268" t="str">
        <f t="shared" si="183"/>
        <v/>
      </c>
      <c r="AT160" s="268" t="str">
        <f t="shared" si="183"/>
        <v/>
      </c>
      <c r="AU160" s="268" t="str">
        <f t="shared" si="183"/>
        <v/>
      </c>
      <c r="AV160" s="268" t="str">
        <f t="shared" si="183"/>
        <v/>
      </c>
      <c r="AW160" s="268" t="str">
        <f t="shared" si="183"/>
        <v/>
      </c>
      <c r="AX160" s="268" t="str">
        <f t="shared" si="183"/>
        <v/>
      </c>
      <c r="AY160" s="268" t="str">
        <f t="shared" si="183"/>
        <v/>
      </c>
      <c r="AZ160" s="268" t="str">
        <f t="shared" si="183"/>
        <v/>
      </c>
      <c r="BA160" s="268" t="str">
        <f t="shared" si="183"/>
        <v/>
      </c>
      <c r="BB160" s="268" t="str">
        <f t="shared" si="183"/>
        <v/>
      </c>
      <c r="BC160" s="268" t="str">
        <f t="shared" si="183"/>
        <v/>
      </c>
      <c r="BD160" s="268" t="str">
        <f t="shared" si="183"/>
        <v/>
      </c>
      <c r="BE160" s="268" t="str">
        <f t="shared" si="183"/>
        <v/>
      </c>
      <c r="BF160" s="268" t="str">
        <f t="shared" si="183"/>
        <v/>
      </c>
      <c r="BG160" s="268" t="str">
        <f t="shared" si="183"/>
        <v/>
      </c>
      <c r="BH160" s="268" t="str">
        <f t="shared" si="183"/>
        <v/>
      </c>
      <c r="BI160" s="268" t="str">
        <f t="shared" si="183"/>
        <v/>
      </c>
      <c r="BJ160" s="268" t="str">
        <f t="shared" si="183"/>
        <v/>
      </c>
      <c r="BK160" s="268" t="str">
        <f t="shared" si="183"/>
        <v/>
      </c>
      <c r="BL160" s="268" t="str">
        <f t="shared" si="183"/>
        <v/>
      </c>
      <c r="BM160" s="268" t="str">
        <f t="shared" si="183"/>
        <v/>
      </c>
      <c r="BN160" s="268" t="str">
        <f t="shared" si="183"/>
        <v/>
      </c>
      <c r="BO160" s="268" t="str">
        <f t="shared" si="183"/>
        <v/>
      </c>
      <c r="BP160" s="268" t="str">
        <f t="shared" si="183"/>
        <v/>
      </c>
      <c r="BQ160" s="268" t="str">
        <f t="shared" si="183"/>
        <v/>
      </c>
      <c r="BR160" s="268" t="str">
        <f t="shared" si="183"/>
        <v/>
      </c>
      <c r="BS160" s="268" t="str">
        <f t="shared" si="183"/>
        <v/>
      </c>
      <c r="BT160" s="268" t="str">
        <f t="shared" si="183"/>
        <v/>
      </c>
      <c r="BU160" s="268" t="str">
        <f t="shared" si="153"/>
        <v/>
      </c>
      <c r="BV160" s="247">
        <v>0.61</v>
      </c>
      <c r="BW160" s="729">
        <f t="shared" si="180"/>
        <v>26352</v>
      </c>
      <c r="BX160" s="730">
        <f t="shared" si="140"/>
        <v>204228</v>
      </c>
      <c r="BY160" s="731" t="str">
        <f t="shared" si="142"/>
        <v>SR</v>
      </c>
    </row>
    <row r="161" s="698" customFormat="1" customHeight="1" spans="1:77">
      <c r="A161" s="208">
        <v>46031</v>
      </c>
      <c r="B161" s="208">
        <v>46113</v>
      </c>
      <c r="C161" s="211" t="s">
        <v>392</v>
      </c>
      <c r="D161" s="211" t="s">
        <v>393</v>
      </c>
      <c r="E161" s="211" t="s">
        <v>61</v>
      </c>
      <c r="F161" s="732">
        <v>43200</v>
      </c>
      <c r="G161" s="211" t="s">
        <v>270</v>
      </c>
      <c r="H161" s="211" t="str">
        <f>IFERROR(VLOOKUP(E161,名称!A:E,4,0),"")</f>
        <v>三代</v>
      </c>
      <c r="I161" s="268" t="str">
        <f t="shared" ref="I161:BT161" si="184">IF(OR($E161="",I$1=""),"",IF(TRIM(LEFT($E161,MIN(IFERROR(FIND("CDU",UPPER($E161)),999),IFERROR(FIND("BULK",UPPER($E161)),999),IFERROR(FIND("-",$E161),999),IFERROR(FIND("（",$E161),999))-1))=I$1,$F161,""))</f>
        <v/>
      </c>
      <c r="J161" s="268" t="str">
        <f t="shared" si="184"/>
        <v/>
      </c>
      <c r="K161" s="268" t="str">
        <f t="shared" si="184"/>
        <v/>
      </c>
      <c r="L161" s="268" t="str">
        <f t="shared" si="184"/>
        <v/>
      </c>
      <c r="M161" s="268" t="str">
        <f t="shared" si="184"/>
        <v/>
      </c>
      <c r="N161" s="268" t="str">
        <f t="shared" si="184"/>
        <v/>
      </c>
      <c r="O161" s="268" t="str">
        <f t="shared" si="184"/>
        <v/>
      </c>
      <c r="P161" s="268" t="str">
        <f t="shared" si="184"/>
        <v/>
      </c>
      <c r="Q161" s="268" t="str">
        <f t="shared" si="184"/>
        <v/>
      </c>
      <c r="R161" s="268" t="str">
        <f t="shared" si="184"/>
        <v/>
      </c>
      <c r="S161" s="268" t="str">
        <f t="shared" si="184"/>
        <v/>
      </c>
      <c r="T161" s="268" t="str">
        <f t="shared" si="184"/>
        <v/>
      </c>
      <c r="U161" s="268" t="str">
        <f t="shared" si="184"/>
        <v/>
      </c>
      <c r="V161" s="268" t="str">
        <f t="shared" si="184"/>
        <v/>
      </c>
      <c r="W161" s="268" t="str">
        <f t="shared" si="184"/>
        <v/>
      </c>
      <c r="X161" s="268" t="str">
        <f t="shared" si="184"/>
        <v/>
      </c>
      <c r="Y161" s="268" t="str">
        <f t="shared" si="184"/>
        <v/>
      </c>
      <c r="Z161" s="268" t="str">
        <f t="shared" si="184"/>
        <v/>
      </c>
      <c r="AA161" s="268" t="str">
        <f t="shared" si="184"/>
        <v/>
      </c>
      <c r="AB161" s="268" t="str">
        <f t="shared" si="184"/>
        <v/>
      </c>
      <c r="AC161" s="268" t="str">
        <f t="shared" si="184"/>
        <v/>
      </c>
      <c r="AD161" s="268" t="str">
        <f t="shared" si="184"/>
        <v/>
      </c>
      <c r="AE161" s="268">
        <f t="shared" si="184"/>
        <v>43200</v>
      </c>
      <c r="AF161" s="268" t="str">
        <f t="shared" si="184"/>
        <v/>
      </c>
      <c r="AG161" s="268" t="str">
        <f t="shared" si="184"/>
        <v/>
      </c>
      <c r="AH161" s="268" t="str">
        <f t="shared" si="184"/>
        <v/>
      </c>
      <c r="AI161" s="268" t="str">
        <f t="shared" si="184"/>
        <v/>
      </c>
      <c r="AJ161" s="268" t="str">
        <f t="shared" si="184"/>
        <v/>
      </c>
      <c r="AK161" s="268" t="str">
        <f t="shared" si="184"/>
        <v/>
      </c>
      <c r="AL161" s="268" t="str">
        <f t="shared" si="184"/>
        <v/>
      </c>
      <c r="AM161" s="268" t="str">
        <f t="shared" si="184"/>
        <v/>
      </c>
      <c r="AN161" s="268" t="str">
        <f t="shared" si="184"/>
        <v/>
      </c>
      <c r="AO161" s="268" t="str">
        <f t="shared" si="184"/>
        <v/>
      </c>
      <c r="AP161" s="268" t="str">
        <f t="shared" si="184"/>
        <v/>
      </c>
      <c r="AQ161" s="268" t="str">
        <f t="shared" si="184"/>
        <v/>
      </c>
      <c r="AR161" s="268" t="str">
        <f t="shared" si="184"/>
        <v/>
      </c>
      <c r="AS161" s="268" t="str">
        <f t="shared" si="184"/>
        <v/>
      </c>
      <c r="AT161" s="268" t="str">
        <f t="shared" si="184"/>
        <v/>
      </c>
      <c r="AU161" s="268" t="str">
        <f t="shared" si="184"/>
        <v/>
      </c>
      <c r="AV161" s="268" t="str">
        <f t="shared" si="184"/>
        <v/>
      </c>
      <c r="AW161" s="268" t="str">
        <f t="shared" si="184"/>
        <v/>
      </c>
      <c r="AX161" s="268" t="str">
        <f t="shared" si="184"/>
        <v/>
      </c>
      <c r="AY161" s="268" t="str">
        <f t="shared" si="184"/>
        <v/>
      </c>
      <c r="AZ161" s="268" t="str">
        <f t="shared" si="184"/>
        <v/>
      </c>
      <c r="BA161" s="268" t="str">
        <f t="shared" si="184"/>
        <v/>
      </c>
      <c r="BB161" s="268" t="str">
        <f t="shared" si="184"/>
        <v/>
      </c>
      <c r="BC161" s="268" t="str">
        <f t="shared" si="184"/>
        <v/>
      </c>
      <c r="BD161" s="268" t="str">
        <f t="shared" si="184"/>
        <v/>
      </c>
      <c r="BE161" s="268" t="str">
        <f t="shared" si="184"/>
        <v/>
      </c>
      <c r="BF161" s="268" t="str">
        <f t="shared" si="184"/>
        <v/>
      </c>
      <c r="BG161" s="268" t="str">
        <f t="shared" si="184"/>
        <v/>
      </c>
      <c r="BH161" s="268" t="str">
        <f t="shared" si="184"/>
        <v/>
      </c>
      <c r="BI161" s="268" t="str">
        <f t="shared" si="184"/>
        <v/>
      </c>
      <c r="BJ161" s="268" t="str">
        <f t="shared" si="184"/>
        <v/>
      </c>
      <c r="BK161" s="268" t="str">
        <f t="shared" si="184"/>
        <v/>
      </c>
      <c r="BL161" s="268" t="str">
        <f t="shared" si="184"/>
        <v/>
      </c>
      <c r="BM161" s="268" t="str">
        <f t="shared" si="184"/>
        <v/>
      </c>
      <c r="BN161" s="268" t="str">
        <f t="shared" si="184"/>
        <v/>
      </c>
      <c r="BO161" s="268" t="str">
        <f t="shared" si="184"/>
        <v/>
      </c>
      <c r="BP161" s="268" t="str">
        <f t="shared" si="184"/>
        <v/>
      </c>
      <c r="BQ161" s="268" t="str">
        <f t="shared" si="184"/>
        <v/>
      </c>
      <c r="BR161" s="268" t="str">
        <f t="shared" si="184"/>
        <v/>
      </c>
      <c r="BS161" s="268" t="str">
        <f t="shared" si="184"/>
        <v/>
      </c>
      <c r="BT161" s="268" t="str">
        <f t="shared" si="184"/>
        <v/>
      </c>
      <c r="BU161" s="268" t="str">
        <f t="shared" si="153"/>
        <v/>
      </c>
      <c r="BV161" s="247">
        <v>0.61</v>
      </c>
      <c r="BW161" s="729">
        <f t="shared" si="180"/>
        <v>26352</v>
      </c>
      <c r="BX161" s="730">
        <f t="shared" si="140"/>
        <v>204228</v>
      </c>
      <c r="BY161" s="731" t="str">
        <f t="shared" si="142"/>
        <v>SR</v>
      </c>
    </row>
    <row r="162" s="698" customFormat="1" customHeight="1" spans="1:77">
      <c r="A162" s="208">
        <v>46031</v>
      </c>
      <c r="B162" s="208">
        <v>46171</v>
      </c>
      <c r="C162" s="211" t="s">
        <v>394</v>
      </c>
      <c r="D162" s="211" t="s">
        <v>395</v>
      </c>
      <c r="E162" s="211" t="s">
        <v>61</v>
      </c>
      <c r="F162" s="732">
        <v>10512</v>
      </c>
      <c r="G162" s="211" t="s">
        <v>270</v>
      </c>
      <c r="H162" s="211" t="str">
        <f>IFERROR(VLOOKUP(E162,名称!A:E,4,0),"")</f>
        <v>三代</v>
      </c>
      <c r="I162" s="268" t="str">
        <f t="shared" ref="I162:BT162" si="185">IF(OR($E162="",I$1=""),"",IF(TRIM(LEFT($E162,MIN(IFERROR(FIND("CDU",UPPER($E162)),999),IFERROR(FIND("BULK",UPPER($E162)),999),IFERROR(FIND("-",$E162),999),IFERROR(FIND("（",$E162),999))-1))=I$1,$F162,""))</f>
        <v/>
      </c>
      <c r="J162" s="268" t="str">
        <f t="shared" si="185"/>
        <v/>
      </c>
      <c r="K162" s="268" t="str">
        <f t="shared" si="185"/>
        <v/>
      </c>
      <c r="L162" s="268" t="str">
        <f t="shared" si="185"/>
        <v/>
      </c>
      <c r="M162" s="268" t="str">
        <f t="shared" si="185"/>
        <v/>
      </c>
      <c r="N162" s="268" t="str">
        <f t="shared" si="185"/>
        <v/>
      </c>
      <c r="O162" s="268" t="str">
        <f t="shared" si="185"/>
        <v/>
      </c>
      <c r="P162" s="268" t="str">
        <f t="shared" si="185"/>
        <v/>
      </c>
      <c r="Q162" s="268" t="str">
        <f t="shared" si="185"/>
        <v/>
      </c>
      <c r="R162" s="268" t="str">
        <f t="shared" si="185"/>
        <v/>
      </c>
      <c r="S162" s="268" t="str">
        <f t="shared" si="185"/>
        <v/>
      </c>
      <c r="T162" s="268" t="str">
        <f t="shared" si="185"/>
        <v/>
      </c>
      <c r="U162" s="268" t="str">
        <f t="shared" si="185"/>
        <v/>
      </c>
      <c r="V162" s="268" t="str">
        <f t="shared" si="185"/>
        <v/>
      </c>
      <c r="W162" s="268" t="str">
        <f t="shared" si="185"/>
        <v/>
      </c>
      <c r="X162" s="268" t="str">
        <f t="shared" si="185"/>
        <v/>
      </c>
      <c r="Y162" s="268" t="str">
        <f t="shared" si="185"/>
        <v/>
      </c>
      <c r="Z162" s="268" t="str">
        <f t="shared" si="185"/>
        <v/>
      </c>
      <c r="AA162" s="268" t="str">
        <f t="shared" si="185"/>
        <v/>
      </c>
      <c r="AB162" s="268" t="str">
        <f t="shared" si="185"/>
        <v/>
      </c>
      <c r="AC162" s="268" t="str">
        <f t="shared" si="185"/>
        <v/>
      </c>
      <c r="AD162" s="268" t="str">
        <f t="shared" si="185"/>
        <v/>
      </c>
      <c r="AE162" s="268">
        <f t="shared" si="185"/>
        <v>10512</v>
      </c>
      <c r="AF162" s="268" t="str">
        <f t="shared" si="185"/>
        <v/>
      </c>
      <c r="AG162" s="268" t="str">
        <f t="shared" si="185"/>
        <v/>
      </c>
      <c r="AH162" s="268" t="str">
        <f t="shared" si="185"/>
        <v/>
      </c>
      <c r="AI162" s="268" t="str">
        <f t="shared" si="185"/>
        <v/>
      </c>
      <c r="AJ162" s="268" t="str">
        <f t="shared" si="185"/>
        <v/>
      </c>
      <c r="AK162" s="268" t="str">
        <f t="shared" si="185"/>
        <v/>
      </c>
      <c r="AL162" s="268" t="str">
        <f t="shared" si="185"/>
        <v/>
      </c>
      <c r="AM162" s="268" t="str">
        <f t="shared" si="185"/>
        <v/>
      </c>
      <c r="AN162" s="268" t="str">
        <f t="shared" si="185"/>
        <v/>
      </c>
      <c r="AO162" s="268" t="str">
        <f t="shared" si="185"/>
        <v/>
      </c>
      <c r="AP162" s="268" t="str">
        <f t="shared" si="185"/>
        <v/>
      </c>
      <c r="AQ162" s="268" t="str">
        <f t="shared" si="185"/>
        <v/>
      </c>
      <c r="AR162" s="268" t="str">
        <f t="shared" si="185"/>
        <v/>
      </c>
      <c r="AS162" s="268" t="str">
        <f t="shared" si="185"/>
        <v/>
      </c>
      <c r="AT162" s="268" t="str">
        <f t="shared" si="185"/>
        <v/>
      </c>
      <c r="AU162" s="268" t="str">
        <f t="shared" si="185"/>
        <v/>
      </c>
      <c r="AV162" s="268" t="str">
        <f t="shared" si="185"/>
        <v/>
      </c>
      <c r="AW162" s="268" t="str">
        <f t="shared" si="185"/>
        <v/>
      </c>
      <c r="AX162" s="268" t="str">
        <f t="shared" si="185"/>
        <v/>
      </c>
      <c r="AY162" s="268" t="str">
        <f t="shared" si="185"/>
        <v/>
      </c>
      <c r="AZ162" s="268" t="str">
        <f t="shared" si="185"/>
        <v/>
      </c>
      <c r="BA162" s="268" t="str">
        <f t="shared" si="185"/>
        <v/>
      </c>
      <c r="BB162" s="268" t="str">
        <f t="shared" si="185"/>
        <v/>
      </c>
      <c r="BC162" s="268" t="str">
        <f t="shared" si="185"/>
        <v/>
      </c>
      <c r="BD162" s="268" t="str">
        <f t="shared" si="185"/>
        <v/>
      </c>
      <c r="BE162" s="268" t="str">
        <f t="shared" si="185"/>
        <v/>
      </c>
      <c r="BF162" s="268" t="str">
        <f t="shared" si="185"/>
        <v/>
      </c>
      <c r="BG162" s="268" t="str">
        <f t="shared" si="185"/>
        <v/>
      </c>
      <c r="BH162" s="268" t="str">
        <f t="shared" si="185"/>
        <v/>
      </c>
      <c r="BI162" s="268" t="str">
        <f t="shared" si="185"/>
        <v/>
      </c>
      <c r="BJ162" s="268" t="str">
        <f t="shared" si="185"/>
        <v/>
      </c>
      <c r="BK162" s="268" t="str">
        <f t="shared" si="185"/>
        <v/>
      </c>
      <c r="BL162" s="268" t="str">
        <f t="shared" si="185"/>
        <v/>
      </c>
      <c r="BM162" s="268" t="str">
        <f t="shared" si="185"/>
        <v/>
      </c>
      <c r="BN162" s="268" t="str">
        <f t="shared" si="185"/>
        <v/>
      </c>
      <c r="BO162" s="268" t="str">
        <f t="shared" si="185"/>
        <v/>
      </c>
      <c r="BP162" s="268" t="str">
        <f t="shared" si="185"/>
        <v/>
      </c>
      <c r="BQ162" s="268" t="str">
        <f t="shared" si="185"/>
        <v/>
      </c>
      <c r="BR162" s="268" t="str">
        <f t="shared" si="185"/>
        <v/>
      </c>
      <c r="BS162" s="268" t="str">
        <f t="shared" si="185"/>
        <v/>
      </c>
      <c r="BT162" s="268" t="str">
        <f t="shared" si="185"/>
        <v/>
      </c>
      <c r="BU162" s="268" t="str">
        <f t="shared" si="153"/>
        <v/>
      </c>
      <c r="BV162" s="247">
        <v>0.61</v>
      </c>
      <c r="BW162" s="729">
        <f t="shared" si="180"/>
        <v>6412.32</v>
      </c>
      <c r="BX162" s="730">
        <f t="shared" si="140"/>
        <v>49695.48</v>
      </c>
      <c r="BY162" s="731" t="str">
        <f t="shared" si="142"/>
        <v>SR</v>
      </c>
    </row>
    <row r="163" s="698" customFormat="1" customHeight="1" spans="1:77">
      <c r="A163" s="208">
        <v>46031</v>
      </c>
      <c r="B163" s="208">
        <v>46135</v>
      </c>
      <c r="C163" s="211" t="s">
        <v>396</v>
      </c>
      <c r="D163" s="211" t="s">
        <v>397</v>
      </c>
      <c r="E163" s="211" t="s">
        <v>59</v>
      </c>
      <c r="F163" s="732">
        <v>36000</v>
      </c>
      <c r="G163" s="211" t="s">
        <v>270</v>
      </c>
      <c r="H163" s="211" t="str">
        <f>IFERROR(VLOOKUP(E163,名称!A:E,4,0),"")</f>
        <v>三代</v>
      </c>
      <c r="I163" s="268" t="str">
        <f t="shared" ref="I163:BT163" si="186">IF(OR($E163="",I$1=""),"",IF(TRIM(LEFT($E163,MIN(IFERROR(FIND("CDU",UPPER($E163)),999),IFERROR(FIND("BULK",UPPER($E163)),999),IFERROR(FIND("-",$E163),999),IFERROR(FIND("（",$E163),999))-1))=I$1,$F163,""))</f>
        <v/>
      </c>
      <c r="J163" s="268" t="str">
        <f t="shared" si="186"/>
        <v/>
      </c>
      <c r="K163" s="268" t="str">
        <f t="shared" si="186"/>
        <v/>
      </c>
      <c r="L163" s="268" t="str">
        <f t="shared" si="186"/>
        <v/>
      </c>
      <c r="M163" s="268" t="str">
        <f t="shared" si="186"/>
        <v/>
      </c>
      <c r="N163" s="268" t="str">
        <f t="shared" si="186"/>
        <v/>
      </c>
      <c r="O163" s="268" t="str">
        <f t="shared" si="186"/>
        <v/>
      </c>
      <c r="P163" s="268" t="str">
        <f t="shared" si="186"/>
        <v/>
      </c>
      <c r="Q163" s="268" t="str">
        <f t="shared" si="186"/>
        <v/>
      </c>
      <c r="R163" s="268" t="str">
        <f t="shared" si="186"/>
        <v/>
      </c>
      <c r="S163" s="268" t="str">
        <f t="shared" si="186"/>
        <v/>
      </c>
      <c r="T163" s="268" t="str">
        <f t="shared" si="186"/>
        <v/>
      </c>
      <c r="U163" s="268" t="str">
        <f t="shared" si="186"/>
        <v/>
      </c>
      <c r="V163" s="268" t="str">
        <f t="shared" si="186"/>
        <v/>
      </c>
      <c r="W163" s="268" t="str">
        <f t="shared" si="186"/>
        <v/>
      </c>
      <c r="X163" s="268" t="str">
        <f t="shared" si="186"/>
        <v/>
      </c>
      <c r="Y163" s="268" t="str">
        <f t="shared" si="186"/>
        <v/>
      </c>
      <c r="Z163" s="268" t="str">
        <f t="shared" si="186"/>
        <v/>
      </c>
      <c r="AA163" s="268" t="str">
        <f t="shared" si="186"/>
        <v/>
      </c>
      <c r="AB163" s="268" t="str">
        <f t="shared" si="186"/>
        <v/>
      </c>
      <c r="AC163" s="268" t="str">
        <f t="shared" si="186"/>
        <v/>
      </c>
      <c r="AD163" s="268">
        <f t="shared" si="186"/>
        <v>36000</v>
      </c>
      <c r="AE163" s="268" t="str">
        <f t="shared" si="186"/>
        <v/>
      </c>
      <c r="AF163" s="268" t="str">
        <f t="shared" si="186"/>
        <v/>
      </c>
      <c r="AG163" s="268" t="str">
        <f t="shared" si="186"/>
        <v/>
      </c>
      <c r="AH163" s="268" t="str">
        <f t="shared" si="186"/>
        <v/>
      </c>
      <c r="AI163" s="268" t="str">
        <f t="shared" si="186"/>
        <v/>
      </c>
      <c r="AJ163" s="268" t="str">
        <f t="shared" si="186"/>
        <v/>
      </c>
      <c r="AK163" s="268" t="str">
        <f t="shared" si="186"/>
        <v/>
      </c>
      <c r="AL163" s="268" t="str">
        <f t="shared" si="186"/>
        <v/>
      </c>
      <c r="AM163" s="268" t="str">
        <f t="shared" si="186"/>
        <v/>
      </c>
      <c r="AN163" s="268" t="str">
        <f t="shared" si="186"/>
        <v/>
      </c>
      <c r="AO163" s="268" t="str">
        <f t="shared" si="186"/>
        <v/>
      </c>
      <c r="AP163" s="268" t="str">
        <f t="shared" si="186"/>
        <v/>
      </c>
      <c r="AQ163" s="268" t="str">
        <f t="shared" si="186"/>
        <v/>
      </c>
      <c r="AR163" s="268" t="str">
        <f t="shared" si="186"/>
        <v/>
      </c>
      <c r="AS163" s="268" t="str">
        <f t="shared" si="186"/>
        <v/>
      </c>
      <c r="AT163" s="268" t="str">
        <f t="shared" si="186"/>
        <v/>
      </c>
      <c r="AU163" s="268" t="str">
        <f t="shared" si="186"/>
        <v/>
      </c>
      <c r="AV163" s="268" t="str">
        <f t="shared" si="186"/>
        <v/>
      </c>
      <c r="AW163" s="268" t="str">
        <f t="shared" si="186"/>
        <v/>
      </c>
      <c r="AX163" s="268" t="str">
        <f t="shared" si="186"/>
        <v/>
      </c>
      <c r="AY163" s="268" t="str">
        <f t="shared" si="186"/>
        <v/>
      </c>
      <c r="AZ163" s="268" t="str">
        <f t="shared" si="186"/>
        <v/>
      </c>
      <c r="BA163" s="268" t="str">
        <f t="shared" si="186"/>
        <v/>
      </c>
      <c r="BB163" s="268" t="str">
        <f t="shared" si="186"/>
        <v/>
      </c>
      <c r="BC163" s="268" t="str">
        <f t="shared" si="186"/>
        <v/>
      </c>
      <c r="BD163" s="268" t="str">
        <f t="shared" si="186"/>
        <v/>
      </c>
      <c r="BE163" s="268" t="str">
        <f t="shared" si="186"/>
        <v/>
      </c>
      <c r="BF163" s="268" t="str">
        <f t="shared" si="186"/>
        <v/>
      </c>
      <c r="BG163" s="268" t="str">
        <f t="shared" si="186"/>
        <v/>
      </c>
      <c r="BH163" s="268" t="str">
        <f t="shared" si="186"/>
        <v/>
      </c>
      <c r="BI163" s="268" t="str">
        <f t="shared" si="186"/>
        <v/>
      </c>
      <c r="BJ163" s="268" t="str">
        <f t="shared" si="186"/>
        <v/>
      </c>
      <c r="BK163" s="268" t="str">
        <f t="shared" si="186"/>
        <v/>
      </c>
      <c r="BL163" s="268" t="str">
        <f t="shared" si="186"/>
        <v/>
      </c>
      <c r="BM163" s="268" t="str">
        <f t="shared" si="186"/>
        <v/>
      </c>
      <c r="BN163" s="268" t="str">
        <f t="shared" si="186"/>
        <v/>
      </c>
      <c r="BO163" s="268" t="str">
        <f t="shared" si="186"/>
        <v/>
      </c>
      <c r="BP163" s="268" t="str">
        <f t="shared" si="186"/>
        <v/>
      </c>
      <c r="BQ163" s="268" t="str">
        <f t="shared" si="186"/>
        <v/>
      </c>
      <c r="BR163" s="268" t="str">
        <f t="shared" si="186"/>
        <v/>
      </c>
      <c r="BS163" s="268" t="str">
        <f t="shared" si="186"/>
        <v/>
      </c>
      <c r="BT163" s="268" t="str">
        <f t="shared" si="186"/>
        <v/>
      </c>
      <c r="BU163" s="268" t="str">
        <f t="shared" si="153"/>
        <v/>
      </c>
      <c r="BV163" s="247">
        <v>0.62</v>
      </c>
      <c r="BW163" s="729">
        <f t="shared" si="180"/>
        <v>22320</v>
      </c>
      <c r="BX163" s="730">
        <f t="shared" si="140"/>
        <v>172980</v>
      </c>
      <c r="BY163" s="731" t="str">
        <f t="shared" si="142"/>
        <v>SR</v>
      </c>
    </row>
    <row r="164" s="698" customFormat="1" customHeight="1" spans="1:77">
      <c r="A164" s="208">
        <v>46031</v>
      </c>
      <c r="B164" s="208">
        <v>46142</v>
      </c>
      <c r="C164" s="211" t="s">
        <v>398</v>
      </c>
      <c r="D164" s="211" t="s">
        <v>399</v>
      </c>
      <c r="E164" s="211" t="s">
        <v>59</v>
      </c>
      <c r="F164" s="732">
        <v>14400</v>
      </c>
      <c r="G164" s="211" t="s">
        <v>270</v>
      </c>
      <c r="H164" s="211" t="str">
        <f>IFERROR(VLOOKUP(E164,名称!A:E,4,0),"")</f>
        <v>三代</v>
      </c>
      <c r="I164" s="268" t="str">
        <f t="shared" ref="I164:BT164" si="187">IF(OR($E164="",I$1=""),"",IF(TRIM(LEFT($E164,MIN(IFERROR(FIND("CDU",UPPER($E164)),999),IFERROR(FIND("BULK",UPPER($E164)),999),IFERROR(FIND("-",$E164),999),IFERROR(FIND("（",$E164),999))-1))=I$1,$F164,""))</f>
        <v/>
      </c>
      <c r="J164" s="268" t="str">
        <f t="shared" si="187"/>
        <v/>
      </c>
      <c r="K164" s="268" t="str">
        <f t="shared" si="187"/>
        <v/>
      </c>
      <c r="L164" s="268" t="str">
        <f t="shared" si="187"/>
        <v/>
      </c>
      <c r="M164" s="268" t="str">
        <f t="shared" si="187"/>
        <v/>
      </c>
      <c r="N164" s="268" t="str">
        <f t="shared" si="187"/>
        <v/>
      </c>
      <c r="O164" s="268" t="str">
        <f t="shared" si="187"/>
        <v/>
      </c>
      <c r="P164" s="268" t="str">
        <f t="shared" si="187"/>
        <v/>
      </c>
      <c r="Q164" s="268" t="str">
        <f t="shared" si="187"/>
        <v/>
      </c>
      <c r="R164" s="268" t="str">
        <f t="shared" si="187"/>
        <v/>
      </c>
      <c r="S164" s="268" t="str">
        <f t="shared" si="187"/>
        <v/>
      </c>
      <c r="T164" s="268" t="str">
        <f t="shared" si="187"/>
        <v/>
      </c>
      <c r="U164" s="268" t="str">
        <f t="shared" si="187"/>
        <v/>
      </c>
      <c r="V164" s="268" t="str">
        <f t="shared" si="187"/>
        <v/>
      </c>
      <c r="W164" s="268" t="str">
        <f t="shared" si="187"/>
        <v/>
      </c>
      <c r="X164" s="268" t="str">
        <f t="shared" si="187"/>
        <v/>
      </c>
      <c r="Y164" s="268" t="str">
        <f t="shared" si="187"/>
        <v/>
      </c>
      <c r="Z164" s="268" t="str">
        <f t="shared" si="187"/>
        <v/>
      </c>
      <c r="AA164" s="268" t="str">
        <f t="shared" si="187"/>
        <v/>
      </c>
      <c r="AB164" s="268" t="str">
        <f t="shared" si="187"/>
        <v/>
      </c>
      <c r="AC164" s="268" t="str">
        <f t="shared" si="187"/>
        <v/>
      </c>
      <c r="AD164" s="268">
        <f t="shared" si="187"/>
        <v>14400</v>
      </c>
      <c r="AE164" s="268" t="str">
        <f t="shared" si="187"/>
        <v/>
      </c>
      <c r="AF164" s="268" t="str">
        <f t="shared" si="187"/>
        <v/>
      </c>
      <c r="AG164" s="268" t="str">
        <f t="shared" si="187"/>
        <v/>
      </c>
      <c r="AH164" s="268" t="str">
        <f t="shared" si="187"/>
        <v/>
      </c>
      <c r="AI164" s="268" t="str">
        <f t="shared" si="187"/>
        <v/>
      </c>
      <c r="AJ164" s="268" t="str">
        <f t="shared" si="187"/>
        <v/>
      </c>
      <c r="AK164" s="268" t="str">
        <f t="shared" si="187"/>
        <v/>
      </c>
      <c r="AL164" s="268" t="str">
        <f t="shared" si="187"/>
        <v/>
      </c>
      <c r="AM164" s="268" t="str">
        <f t="shared" si="187"/>
        <v/>
      </c>
      <c r="AN164" s="268" t="str">
        <f t="shared" si="187"/>
        <v/>
      </c>
      <c r="AO164" s="268" t="str">
        <f t="shared" si="187"/>
        <v/>
      </c>
      <c r="AP164" s="268" t="str">
        <f t="shared" si="187"/>
        <v/>
      </c>
      <c r="AQ164" s="268" t="str">
        <f t="shared" si="187"/>
        <v/>
      </c>
      <c r="AR164" s="268" t="str">
        <f t="shared" si="187"/>
        <v/>
      </c>
      <c r="AS164" s="268" t="str">
        <f t="shared" si="187"/>
        <v/>
      </c>
      <c r="AT164" s="268" t="str">
        <f t="shared" si="187"/>
        <v/>
      </c>
      <c r="AU164" s="268" t="str">
        <f t="shared" si="187"/>
        <v/>
      </c>
      <c r="AV164" s="268" t="str">
        <f t="shared" si="187"/>
        <v/>
      </c>
      <c r="AW164" s="268" t="str">
        <f t="shared" si="187"/>
        <v/>
      </c>
      <c r="AX164" s="268" t="str">
        <f t="shared" si="187"/>
        <v/>
      </c>
      <c r="AY164" s="268" t="str">
        <f t="shared" si="187"/>
        <v/>
      </c>
      <c r="AZ164" s="268" t="str">
        <f t="shared" si="187"/>
        <v/>
      </c>
      <c r="BA164" s="268" t="str">
        <f t="shared" si="187"/>
        <v/>
      </c>
      <c r="BB164" s="268" t="str">
        <f t="shared" si="187"/>
        <v/>
      </c>
      <c r="BC164" s="268" t="str">
        <f t="shared" si="187"/>
        <v/>
      </c>
      <c r="BD164" s="268" t="str">
        <f t="shared" si="187"/>
        <v/>
      </c>
      <c r="BE164" s="268" t="str">
        <f t="shared" si="187"/>
        <v/>
      </c>
      <c r="BF164" s="268" t="str">
        <f t="shared" si="187"/>
        <v/>
      </c>
      <c r="BG164" s="268" t="str">
        <f t="shared" si="187"/>
        <v/>
      </c>
      <c r="BH164" s="268" t="str">
        <f t="shared" si="187"/>
        <v/>
      </c>
      <c r="BI164" s="268" t="str">
        <f t="shared" si="187"/>
        <v/>
      </c>
      <c r="BJ164" s="268" t="str">
        <f t="shared" si="187"/>
        <v/>
      </c>
      <c r="BK164" s="268" t="str">
        <f t="shared" si="187"/>
        <v/>
      </c>
      <c r="BL164" s="268" t="str">
        <f t="shared" si="187"/>
        <v/>
      </c>
      <c r="BM164" s="268" t="str">
        <f t="shared" si="187"/>
        <v/>
      </c>
      <c r="BN164" s="268" t="str">
        <f t="shared" si="187"/>
        <v/>
      </c>
      <c r="BO164" s="268" t="str">
        <f t="shared" si="187"/>
        <v/>
      </c>
      <c r="BP164" s="268" t="str">
        <f t="shared" si="187"/>
        <v/>
      </c>
      <c r="BQ164" s="268" t="str">
        <f t="shared" si="187"/>
        <v/>
      </c>
      <c r="BR164" s="268" t="str">
        <f t="shared" si="187"/>
        <v/>
      </c>
      <c r="BS164" s="268" t="str">
        <f t="shared" si="187"/>
        <v/>
      </c>
      <c r="BT164" s="268" t="str">
        <f t="shared" si="187"/>
        <v/>
      </c>
      <c r="BU164" s="268" t="str">
        <f t="shared" si="153"/>
        <v/>
      </c>
      <c r="BV164" s="247">
        <v>0.62</v>
      </c>
      <c r="BW164" s="729">
        <f t="shared" si="180"/>
        <v>8928</v>
      </c>
      <c r="BX164" s="730">
        <f t="shared" si="140"/>
        <v>69192</v>
      </c>
      <c r="BY164" s="731" t="str">
        <f t="shared" si="142"/>
        <v>SR</v>
      </c>
    </row>
    <row r="165" s="698" customFormat="1" customHeight="1" spans="1:77">
      <c r="A165" s="208">
        <v>46031</v>
      </c>
      <c r="B165" s="208">
        <v>46136</v>
      </c>
      <c r="C165" s="211" t="s">
        <v>400</v>
      </c>
      <c r="D165" s="211" t="s">
        <v>401</v>
      </c>
      <c r="E165" s="211" t="s">
        <v>61</v>
      </c>
      <c r="F165" s="732">
        <v>32016</v>
      </c>
      <c r="G165" s="211" t="s">
        <v>270</v>
      </c>
      <c r="H165" s="211" t="str">
        <f>IFERROR(VLOOKUP(E165,名称!A:E,4,0),"")</f>
        <v>三代</v>
      </c>
      <c r="I165" s="268" t="str">
        <f t="shared" ref="I165:BT165" si="188">IF(OR($E165="",I$1=""),"",IF(TRIM(LEFT($E165,MIN(IFERROR(FIND("CDU",UPPER($E165)),999),IFERROR(FIND("BULK",UPPER($E165)),999),IFERROR(FIND("-",$E165),999),IFERROR(FIND("（",$E165),999))-1))=I$1,$F165,""))</f>
        <v/>
      </c>
      <c r="J165" s="268" t="str">
        <f t="shared" si="188"/>
        <v/>
      </c>
      <c r="K165" s="268" t="str">
        <f t="shared" si="188"/>
        <v/>
      </c>
      <c r="L165" s="268" t="str">
        <f t="shared" si="188"/>
        <v/>
      </c>
      <c r="M165" s="268" t="str">
        <f t="shared" si="188"/>
        <v/>
      </c>
      <c r="N165" s="268" t="str">
        <f t="shared" si="188"/>
        <v/>
      </c>
      <c r="O165" s="268" t="str">
        <f t="shared" si="188"/>
        <v/>
      </c>
      <c r="P165" s="268" t="str">
        <f t="shared" si="188"/>
        <v/>
      </c>
      <c r="Q165" s="268" t="str">
        <f t="shared" si="188"/>
        <v/>
      </c>
      <c r="R165" s="268" t="str">
        <f t="shared" si="188"/>
        <v/>
      </c>
      <c r="S165" s="268" t="str">
        <f t="shared" si="188"/>
        <v/>
      </c>
      <c r="T165" s="268" t="str">
        <f t="shared" si="188"/>
        <v/>
      </c>
      <c r="U165" s="268" t="str">
        <f t="shared" si="188"/>
        <v/>
      </c>
      <c r="V165" s="268" t="str">
        <f t="shared" si="188"/>
        <v/>
      </c>
      <c r="W165" s="268" t="str">
        <f t="shared" si="188"/>
        <v/>
      </c>
      <c r="X165" s="268" t="str">
        <f t="shared" si="188"/>
        <v/>
      </c>
      <c r="Y165" s="268" t="str">
        <f t="shared" si="188"/>
        <v/>
      </c>
      <c r="Z165" s="268" t="str">
        <f t="shared" si="188"/>
        <v/>
      </c>
      <c r="AA165" s="268" t="str">
        <f t="shared" si="188"/>
        <v/>
      </c>
      <c r="AB165" s="268" t="str">
        <f t="shared" si="188"/>
        <v/>
      </c>
      <c r="AC165" s="268" t="str">
        <f t="shared" si="188"/>
        <v/>
      </c>
      <c r="AD165" s="268" t="str">
        <f t="shared" si="188"/>
        <v/>
      </c>
      <c r="AE165" s="268">
        <f t="shared" si="188"/>
        <v>32016</v>
      </c>
      <c r="AF165" s="268" t="str">
        <f t="shared" si="188"/>
        <v/>
      </c>
      <c r="AG165" s="268" t="str">
        <f t="shared" si="188"/>
        <v/>
      </c>
      <c r="AH165" s="268" t="str">
        <f t="shared" si="188"/>
        <v/>
      </c>
      <c r="AI165" s="268" t="str">
        <f t="shared" si="188"/>
        <v/>
      </c>
      <c r="AJ165" s="268" t="str">
        <f t="shared" si="188"/>
        <v/>
      </c>
      <c r="AK165" s="268" t="str">
        <f t="shared" si="188"/>
        <v/>
      </c>
      <c r="AL165" s="268" t="str">
        <f t="shared" si="188"/>
        <v/>
      </c>
      <c r="AM165" s="268" t="str">
        <f t="shared" si="188"/>
        <v/>
      </c>
      <c r="AN165" s="268" t="str">
        <f t="shared" si="188"/>
        <v/>
      </c>
      <c r="AO165" s="268" t="str">
        <f t="shared" si="188"/>
        <v/>
      </c>
      <c r="AP165" s="268" t="str">
        <f t="shared" si="188"/>
        <v/>
      </c>
      <c r="AQ165" s="268" t="str">
        <f t="shared" si="188"/>
        <v/>
      </c>
      <c r="AR165" s="268" t="str">
        <f t="shared" si="188"/>
        <v/>
      </c>
      <c r="AS165" s="268" t="str">
        <f t="shared" si="188"/>
        <v/>
      </c>
      <c r="AT165" s="268" t="str">
        <f t="shared" si="188"/>
        <v/>
      </c>
      <c r="AU165" s="268" t="str">
        <f t="shared" si="188"/>
        <v/>
      </c>
      <c r="AV165" s="268" t="str">
        <f t="shared" si="188"/>
        <v/>
      </c>
      <c r="AW165" s="268" t="str">
        <f t="shared" si="188"/>
        <v/>
      </c>
      <c r="AX165" s="268" t="str">
        <f t="shared" si="188"/>
        <v/>
      </c>
      <c r="AY165" s="268" t="str">
        <f t="shared" si="188"/>
        <v/>
      </c>
      <c r="AZ165" s="268" t="str">
        <f t="shared" si="188"/>
        <v/>
      </c>
      <c r="BA165" s="268" t="str">
        <f t="shared" si="188"/>
        <v/>
      </c>
      <c r="BB165" s="268" t="str">
        <f t="shared" si="188"/>
        <v/>
      </c>
      <c r="BC165" s="268" t="str">
        <f t="shared" si="188"/>
        <v/>
      </c>
      <c r="BD165" s="268" t="str">
        <f t="shared" si="188"/>
        <v/>
      </c>
      <c r="BE165" s="268" t="str">
        <f t="shared" si="188"/>
        <v/>
      </c>
      <c r="BF165" s="268" t="str">
        <f t="shared" si="188"/>
        <v/>
      </c>
      <c r="BG165" s="268" t="str">
        <f t="shared" si="188"/>
        <v/>
      </c>
      <c r="BH165" s="268" t="str">
        <f t="shared" si="188"/>
        <v/>
      </c>
      <c r="BI165" s="268" t="str">
        <f t="shared" si="188"/>
        <v/>
      </c>
      <c r="BJ165" s="268" t="str">
        <f t="shared" si="188"/>
        <v/>
      </c>
      <c r="BK165" s="268" t="str">
        <f t="shared" si="188"/>
        <v/>
      </c>
      <c r="BL165" s="268" t="str">
        <f t="shared" si="188"/>
        <v/>
      </c>
      <c r="BM165" s="268" t="str">
        <f t="shared" si="188"/>
        <v/>
      </c>
      <c r="BN165" s="268" t="str">
        <f t="shared" si="188"/>
        <v/>
      </c>
      <c r="BO165" s="268" t="str">
        <f t="shared" si="188"/>
        <v/>
      </c>
      <c r="BP165" s="268" t="str">
        <f t="shared" si="188"/>
        <v/>
      </c>
      <c r="BQ165" s="268" t="str">
        <f t="shared" si="188"/>
        <v/>
      </c>
      <c r="BR165" s="268" t="str">
        <f t="shared" si="188"/>
        <v/>
      </c>
      <c r="BS165" s="268" t="str">
        <f t="shared" si="188"/>
        <v/>
      </c>
      <c r="BT165" s="268" t="str">
        <f t="shared" si="188"/>
        <v/>
      </c>
      <c r="BU165" s="268" t="str">
        <f t="shared" si="153"/>
        <v/>
      </c>
      <c r="BV165" s="247">
        <v>0.61</v>
      </c>
      <c r="BW165" s="729">
        <f t="shared" si="180"/>
        <v>19529.76</v>
      </c>
      <c r="BX165" s="730">
        <f t="shared" si="140"/>
        <v>151355.64</v>
      </c>
      <c r="BY165" s="731" t="str">
        <f t="shared" si="142"/>
        <v>SR</v>
      </c>
    </row>
    <row r="166" s="698" customFormat="1" customHeight="1" spans="1:77">
      <c r="A166" s="208">
        <v>46031</v>
      </c>
      <c r="B166" s="208">
        <v>46142</v>
      </c>
      <c r="C166" s="211" t="s">
        <v>402</v>
      </c>
      <c r="D166" s="211" t="s">
        <v>403</v>
      </c>
      <c r="E166" s="211" t="s">
        <v>61</v>
      </c>
      <c r="F166" s="732">
        <v>12504</v>
      </c>
      <c r="G166" s="211" t="s">
        <v>270</v>
      </c>
      <c r="H166" s="211" t="str">
        <f>IFERROR(VLOOKUP(E166,名称!A:E,4,0),"")</f>
        <v>三代</v>
      </c>
      <c r="I166" s="268" t="str">
        <f t="shared" ref="I166:BT166" si="189">IF(OR($E166="",I$1=""),"",IF(TRIM(LEFT($E166,MIN(IFERROR(FIND("CDU",UPPER($E166)),999),IFERROR(FIND("BULK",UPPER($E166)),999),IFERROR(FIND("-",$E166),999),IFERROR(FIND("（",$E166),999))-1))=I$1,$F166,""))</f>
        <v/>
      </c>
      <c r="J166" s="268" t="str">
        <f t="shared" si="189"/>
        <v/>
      </c>
      <c r="K166" s="268" t="str">
        <f t="shared" si="189"/>
        <v/>
      </c>
      <c r="L166" s="268" t="str">
        <f t="shared" si="189"/>
        <v/>
      </c>
      <c r="M166" s="268" t="str">
        <f t="shared" si="189"/>
        <v/>
      </c>
      <c r="N166" s="268" t="str">
        <f t="shared" si="189"/>
        <v/>
      </c>
      <c r="O166" s="268" t="str">
        <f t="shared" si="189"/>
        <v/>
      </c>
      <c r="P166" s="268" t="str">
        <f t="shared" si="189"/>
        <v/>
      </c>
      <c r="Q166" s="268" t="str">
        <f t="shared" si="189"/>
        <v/>
      </c>
      <c r="R166" s="268" t="str">
        <f t="shared" si="189"/>
        <v/>
      </c>
      <c r="S166" s="268" t="str">
        <f t="shared" si="189"/>
        <v/>
      </c>
      <c r="T166" s="268" t="str">
        <f t="shared" si="189"/>
        <v/>
      </c>
      <c r="U166" s="268" t="str">
        <f t="shared" si="189"/>
        <v/>
      </c>
      <c r="V166" s="268" t="str">
        <f t="shared" si="189"/>
        <v/>
      </c>
      <c r="W166" s="268" t="str">
        <f t="shared" si="189"/>
        <v/>
      </c>
      <c r="X166" s="268" t="str">
        <f t="shared" si="189"/>
        <v/>
      </c>
      <c r="Y166" s="268" t="str">
        <f t="shared" si="189"/>
        <v/>
      </c>
      <c r="Z166" s="268" t="str">
        <f t="shared" si="189"/>
        <v/>
      </c>
      <c r="AA166" s="268" t="str">
        <f t="shared" si="189"/>
        <v/>
      </c>
      <c r="AB166" s="268" t="str">
        <f t="shared" si="189"/>
        <v/>
      </c>
      <c r="AC166" s="268" t="str">
        <f t="shared" si="189"/>
        <v/>
      </c>
      <c r="AD166" s="268" t="str">
        <f t="shared" si="189"/>
        <v/>
      </c>
      <c r="AE166" s="268">
        <f t="shared" si="189"/>
        <v>12504</v>
      </c>
      <c r="AF166" s="268" t="str">
        <f t="shared" si="189"/>
        <v/>
      </c>
      <c r="AG166" s="268" t="str">
        <f t="shared" si="189"/>
        <v/>
      </c>
      <c r="AH166" s="268" t="str">
        <f t="shared" si="189"/>
        <v/>
      </c>
      <c r="AI166" s="268" t="str">
        <f t="shared" si="189"/>
        <v/>
      </c>
      <c r="AJ166" s="268" t="str">
        <f t="shared" si="189"/>
        <v/>
      </c>
      <c r="AK166" s="268" t="str">
        <f t="shared" si="189"/>
        <v/>
      </c>
      <c r="AL166" s="268" t="str">
        <f t="shared" si="189"/>
        <v/>
      </c>
      <c r="AM166" s="268" t="str">
        <f t="shared" si="189"/>
        <v/>
      </c>
      <c r="AN166" s="268" t="str">
        <f t="shared" si="189"/>
        <v/>
      </c>
      <c r="AO166" s="268" t="str">
        <f t="shared" si="189"/>
        <v/>
      </c>
      <c r="AP166" s="268" t="str">
        <f t="shared" si="189"/>
        <v/>
      </c>
      <c r="AQ166" s="268" t="str">
        <f t="shared" si="189"/>
        <v/>
      </c>
      <c r="AR166" s="268" t="str">
        <f t="shared" si="189"/>
        <v/>
      </c>
      <c r="AS166" s="268" t="str">
        <f t="shared" si="189"/>
        <v/>
      </c>
      <c r="AT166" s="268" t="str">
        <f t="shared" si="189"/>
        <v/>
      </c>
      <c r="AU166" s="268" t="str">
        <f t="shared" si="189"/>
        <v/>
      </c>
      <c r="AV166" s="268" t="str">
        <f t="shared" si="189"/>
        <v/>
      </c>
      <c r="AW166" s="268" t="str">
        <f t="shared" si="189"/>
        <v/>
      </c>
      <c r="AX166" s="268" t="str">
        <f t="shared" si="189"/>
        <v/>
      </c>
      <c r="AY166" s="268" t="str">
        <f t="shared" si="189"/>
        <v/>
      </c>
      <c r="AZ166" s="268" t="str">
        <f t="shared" si="189"/>
        <v/>
      </c>
      <c r="BA166" s="268" t="str">
        <f t="shared" si="189"/>
        <v/>
      </c>
      <c r="BB166" s="268" t="str">
        <f t="shared" si="189"/>
        <v/>
      </c>
      <c r="BC166" s="268" t="str">
        <f t="shared" si="189"/>
        <v/>
      </c>
      <c r="BD166" s="268" t="str">
        <f t="shared" si="189"/>
        <v/>
      </c>
      <c r="BE166" s="268" t="str">
        <f t="shared" si="189"/>
        <v/>
      </c>
      <c r="BF166" s="268" t="str">
        <f t="shared" si="189"/>
        <v/>
      </c>
      <c r="BG166" s="268" t="str">
        <f t="shared" si="189"/>
        <v/>
      </c>
      <c r="BH166" s="268" t="str">
        <f t="shared" si="189"/>
        <v/>
      </c>
      <c r="BI166" s="268" t="str">
        <f t="shared" si="189"/>
        <v/>
      </c>
      <c r="BJ166" s="268" t="str">
        <f t="shared" si="189"/>
        <v/>
      </c>
      <c r="BK166" s="268" t="str">
        <f t="shared" si="189"/>
        <v/>
      </c>
      <c r="BL166" s="268" t="str">
        <f t="shared" si="189"/>
        <v/>
      </c>
      <c r="BM166" s="268" t="str">
        <f t="shared" si="189"/>
        <v/>
      </c>
      <c r="BN166" s="268" t="str">
        <f t="shared" si="189"/>
        <v/>
      </c>
      <c r="BO166" s="268" t="str">
        <f t="shared" si="189"/>
        <v/>
      </c>
      <c r="BP166" s="268" t="str">
        <f t="shared" si="189"/>
        <v/>
      </c>
      <c r="BQ166" s="268" t="str">
        <f t="shared" si="189"/>
        <v/>
      </c>
      <c r="BR166" s="268" t="str">
        <f t="shared" si="189"/>
        <v/>
      </c>
      <c r="BS166" s="268" t="str">
        <f t="shared" si="189"/>
        <v/>
      </c>
      <c r="BT166" s="268" t="str">
        <f t="shared" si="189"/>
        <v/>
      </c>
      <c r="BU166" s="268" t="str">
        <f t="shared" si="153"/>
        <v/>
      </c>
      <c r="BV166" s="247">
        <v>0.61</v>
      </c>
      <c r="BW166" s="729">
        <f t="shared" si="180"/>
        <v>7627.44</v>
      </c>
      <c r="BX166" s="730">
        <f t="shared" si="140"/>
        <v>59112.66</v>
      </c>
      <c r="BY166" s="731" t="str">
        <f t="shared" si="142"/>
        <v>SR</v>
      </c>
    </row>
    <row r="167" s="698" customFormat="1" customHeight="1" spans="1:77">
      <c r="A167" s="208">
        <v>46031</v>
      </c>
      <c r="B167" s="208">
        <v>46150</v>
      </c>
      <c r="C167" s="211" t="s">
        <v>404</v>
      </c>
      <c r="D167" s="211" t="s">
        <v>405</v>
      </c>
      <c r="E167" s="211" t="s">
        <v>61</v>
      </c>
      <c r="F167" s="732">
        <v>12504</v>
      </c>
      <c r="G167" s="211" t="s">
        <v>270</v>
      </c>
      <c r="H167" s="211" t="str">
        <f>IFERROR(VLOOKUP(E167,名称!A:E,4,0),"")</f>
        <v>三代</v>
      </c>
      <c r="I167" s="268" t="str">
        <f t="shared" ref="I167:BT167" si="190">IF(OR($E167="",I$1=""),"",IF(TRIM(LEFT($E167,MIN(IFERROR(FIND("CDU",UPPER($E167)),999),IFERROR(FIND("BULK",UPPER($E167)),999),IFERROR(FIND("-",$E167),999),IFERROR(FIND("（",$E167),999))-1))=I$1,$F167,""))</f>
        <v/>
      </c>
      <c r="J167" s="268" t="str">
        <f t="shared" si="190"/>
        <v/>
      </c>
      <c r="K167" s="268" t="str">
        <f t="shared" si="190"/>
        <v/>
      </c>
      <c r="L167" s="268" t="str">
        <f t="shared" si="190"/>
        <v/>
      </c>
      <c r="M167" s="268" t="str">
        <f t="shared" si="190"/>
        <v/>
      </c>
      <c r="N167" s="268" t="str">
        <f t="shared" si="190"/>
        <v/>
      </c>
      <c r="O167" s="268" t="str">
        <f t="shared" si="190"/>
        <v/>
      </c>
      <c r="P167" s="268" t="str">
        <f t="shared" si="190"/>
        <v/>
      </c>
      <c r="Q167" s="268" t="str">
        <f t="shared" si="190"/>
        <v/>
      </c>
      <c r="R167" s="268" t="str">
        <f t="shared" si="190"/>
        <v/>
      </c>
      <c r="S167" s="268" t="str">
        <f t="shared" si="190"/>
        <v/>
      </c>
      <c r="T167" s="268" t="str">
        <f t="shared" si="190"/>
        <v/>
      </c>
      <c r="U167" s="268" t="str">
        <f t="shared" si="190"/>
        <v/>
      </c>
      <c r="V167" s="268" t="str">
        <f t="shared" si="190"/>
        <v/>
      </c>
      <c r="W167" s="268" t="str">
        <f t="shared" si="190"/>
        <v/>
      </c>
      <c r="X167" s="268" t="str">
        <f t="shared" si="190"/>
        <v/>
      </c>
      <c r="Y167" s="268" t="str">
        <f t="shared" si="190"/>
        <v/>
      </c>
      <c r="Z167" s="268" t="str">
        <f t="shared" si="190"/>
        <v/>
      </c>
      <c r="AA167" s="268" t="str">
        <f t="shared" si="190"/>
        <v/>
      </c>
      <c r="AB167" s="268" t="str">
        <f t="shared" si="190"/>
        <v/>
      </c>
      <c r="AC167" s="268" t="str">
        <f t="shared" si="190"/>
        <v/>
      </c>
      <c r="AD167" s="268" t="str">
        <f t="shared" si="190"/>
        <v/>
      </c>
      <c r="AE167" s="268">
        <f t="shared" si="190"/>
        <v>12504</v>
      </c>
      <c r="AF167" s="268" t="str">
        <f t="shared" si="190"/>
        <v/>
      </c>
      <c r="AG167" s="268" t="str">
        <f t="shared" si="190"/>
        <v/>
      </c>
      <c r="AH167" s="268" t="str">
        <f t="shared" si="190"/>
        <v/>
      </c>
      <c r="AI167" s="268" t="str">
        <f t="shared" si="190"/>
        <v/>
      </c>
      <c r="AJ167" s="268" t="str">
        <f t="shared" si="190"/>
        <v/>
      </c>
      <c r="AK167" s="268" t="str">
        <f t="shared" si="190"/>
        <v/>
      </c>
      <c r="AL167" s="268" t="str">
        <f t="shared" si="190"/>
        <v/>
      </c>
      <c r="AM167" s="268" t="str">
        <f t="shared" si="190"/>
        <v/>
      </c>
      <c r="AN167" s="268" t="str">
        <f t="shared" si="190"/>
        <v/>
      </c>
      <c r="AO167" s="268" t="str">
        <f t="shared" si="190"/>
        <v/>
      </c>
      <c r="AP167" s="268" t="str">
        <f t="shared" si="190"/>
        <v/>
      </c>
      <c r="AQ167" s="268" t="str">
        <f t="shared" si="190"/>
        <v/>
      </c>
      <c r="AR167" s="268" t="str">
        <f t="shared" si="190"/>
        <v/>
      </c>
      <c r="AS167" s="268" t="str">
        <f t="shared" si="190"/>
        <v/>
      </c>
      <c r="AT167" s="268" t="str">
        <f t="shared" si="190"/>
        <v/>
      </c>
      <c r="AU167" s="268" t="str">
        <f t="shared" si="190"/>
        <v/>
      </c>
      <c r="AV167" s="268" t="str">
        <f t="shared" si="190"/>
        <v/>
      </c>
      <c r="AW167" s="268" t="str">
        <f t="shared" si="190"/>
        <v/>
      </c>
      <c r="AX167" s="268" t="str">
        <f t="shared" si="190"/>
        <v/>
      </c>
      <c r="AY167" s="268" t="str">
        <f t="shared" si="190"/>
        <v/>
      </c>
      <c r="AZ167" s="268" t="str">
        <f t="shared" si="190"/>
        <v/>
      </c>
      <c r="BA167" s="268" t="str">
        <f t="shared" si="190"/>
        <v/>
      </c>
      <c r="BB167" s="268" t="str">
        <f t="shared" si="190"/>
        <v/>
      </c>
      <c r="BC167" s="268" t="str">
        <f t="shared" si="190"/>
        <v/>
      </c>
      <c r="BD167" s="268" t="str">
        <f t="shared" si="190"/>
        <v/>
      </c>
      <c r="BE167" s="268" t="str">
        <f t="shared" si="190"/>
        <v/>
      </c>
      <c r="BF167" s="268" t="str">
        <f t="shared" si="190"/>
        <v/>
      </c>
      <c r="BG167" s="268" t="str">
        <f t="shared" si="190"/>
        <v/>
      </c>
      <c r="BH167" s="268" t="str">
        <f t="shared" si="190"/>
        <v/>
      </c>
      <c r="BI167" s="268" t="str">
        <f t="shared" si="190"/>
        <v/>
      </c>
      <c r="BJ167" s="268" t="str">
        <f t="shared" si="190"/>
        <v/>
      </c>
      <c r="BK167" s="268" t="str">
        <f t="shared" si="190"/>
        <v/>
      </c>
      <c r="BL167" s="268" t="str">
        <f t="shared" si="190"/>
        <v/>
      </c>
      <c r="BM167" s="268" t="str">
        <f t="shared" si="190"/>
        <v/>
      </c>
      <c r="BN167" s="268" t="str">
        <f t="shared" si="190"/>
        <v/>
      </c>
      <c r="BO167" s="268" t="str">
        <f t="shared" si="190"/>
        <v/>
      </c>
      <c r="BP167" s="268" t="str">
        <f t="shared" si="190"/>
        <v/>
      </c>
      <c r="BQ167" s="268" t="str">
        <f t="shared" si="190"/>
        <v/>
      </c>
      <c r="BR167" s="268" t="str">
        <f t="shared" si="190"/>
        <v/>
      </c>
      <c r="BS167" s="268" t="str">
        <f t="shared" si="190"/>
        <v/>
      </c>
      <c r="BT167" s="268" t="str">
        <f t="shared" si="190"/>
        <v/>
      </c>
      <c r="BU167" s="268" t="str">
        <f t="shared" si="153"/>
        <v/>
      </c>
      <c r="BV167" s="247">
        <v>0.61</v>
      </c>
      <c r="BW167" s="729">
        <f t="shared" si="180"/>
        <v>7627.44</v>
      </c>
      <c r="BX167" s="730">
        <f t="shared" si="140"/>
        <v>59112.66</v>
      </c>
      <c r="BY167" s="731" t="str">
        <f t="shared" si="142"/>
        <v>SR</v>
      </c>
    </row>
    <row r="168" s="698" customFormat="1" customHeight="1" spans="1:77">
      <c r="A168" s="208">
        <v>46031</v>
      </c>
      <c r="B168" s="208">
        <v>46136</v>
      </c>
      <c r="C168" s="211" t="s">
        <v>406</v>
      </c>
      <c r="D168" s="211" t="s">
        <v>407</v>
      </c>
      <c r="E168" s="211" t="s">
        <v>61</v>
      </c>
      <c r="F168" s="732">
        <v>50016</v>
      </c>
      <c r="G168" s="211" t="s">
        <v>270</v>
      </c>
      <c r="H168" s="211" t="str">
        <f>IFERROR(VLOOKUP(E168,名称!A:E,4,0),"")</f>
        <v>三代</v>
      </c>
      <c r="I168" s="268" t="str">
        <f t="shared" ref="I168:BT168" si="191">IF(OR($E168="",I$1=""),"",IF(TRIM(LEFT($E168,MIN(IFERROR(FIND("CDU",UPPER($E168)),999),IFERROR(FIND("BULK",UPPER($E168)),999),IFERROR(FIND("-",$E168),999),IFERROR(FIND("（",$E168),999))-1))=I$1,$F168,""))</f>
        <v/>
      </c>
      <c r="J168" s="268" t="str">
        <f t="shared" si="191"/>
        <v/>
      </c>
      <c r="K168" s="268" t="str">
        <f t="shared" si="191"/>
        <v/>
      </c>
      <c r="L168" s="268" t="str">
        <f t="shared" si="191"/>
        <v/>
      </c>
      <c r="M168" s="268" t="str">
        <f t="shared" si="191"/>
        <v/>
      </c>
      <c r="N168" s="268" t="str">
        <f t="shared" si="191"/>
        <v/>
      </c>
      <c r="O168" s="268" t="str">
        <f t="shared" si="191"/>
        <v/>
      </c>
      <c r="P168" s="268" t="str">
        <f t="shared" si="191"/>
        <v/>
      </c>
      <c r="Q168" s="268" t="str">
        <f t="shared" si="191"/>
        <v/>
      </c>
      <c r="R168" s="268" t="str">
        <f t="shared" si="191"/>
        <v/>
      </c>
      <c r="S168" s="268" t="str">
        <f t="shared" si="191"/>
        <v/>
      </c>
      <c r="T168" s="268" t="str">
        <f t="shared" si="191"/>
        <v/>
      </c>
      <c r="U168" s="268" t="str">
        <f t="shared" si="191"/>
        <v/>
      </c>
      <c r="V168" s="268" t="str">
        <f t="shared" si="191"/>
        <v/>
      </c>
      <c r="W168" s="268" t="str">
        <f t="shared" si="191"/>
        <v/>
      </c>
      <c r="X168" s="268" t="str">
        <f t="shared" si="191"/>
        <v/>
      </c>
      <c r="Y168" s="268" t="str">
        <f t="shared" si="191"/>
        <v/>
      </c>
      <c r="Z168" s="268" t="str">
        <f t="shared" si="191"/>
        <v/>
      </c>
      <c r="AA168" s="268" t="str">
        <f t="shared" si="191"/>
        <v/>
      </c>
      <c r="AB168" s="268" t="str">
        <f t="shared" si="191"/>
        <v/>
      </c>
      <c r="AC168" s="268" t="str">
        <f t="shared" si="191"/>
        <v/>
      </c>
      <c r="AD168" s="268" t="str">
        <f t="shared" si="191"/>
        <v/>
      </c>
      <c r="AE168" s="268">
        <f t="shared" si="191"/>
        <v>50016</v>
      </c>
      <c r="AF168" s="268" t="str">
        <f t="shared" si="191"/>
        <v/>
      </c>
      <c r="AG168" s="268" t="str">
        <f t="shared" si="191"/>
        <v/>
      </c>
      <c r="AH168" s="268" t="str">
        <f t="shared" si="191"/>
        <v/>
      </c>
      <c r="AI168" s="268" t="str">
        <f t="shared" si="191"/>
        <v/>
      </c>
      <c r="AJ168" s="268" t="str">
        <f t="shared" si="191"/>
        <v/>
      </c>
      <c r="AK168" s="268" t="str">
        <f t="shared" si="191"/>
        <v/>
      </c>
      <c r="AL168" s="268" t="str">
        <f t="shared" si="191"/>
        <v/>
      </c>
      <c r="AM168" s="268" t="str">
        <f t="shared" si="191"/>
        <v/>
      </c>
      <c r="AN168" s="268" t="str">
        <f t="shared" si="191"/>
        <v/>
      </c>
      <c r="AO168" s="268" t="str">
        <f t="shared" si="191"/>
        <v/>
      </c>
      <c r="AP168" s="268" t="str">
        <f t="shared" si="191"/>
        <v/>
      </c>
      <c r="AQ168" s="268" t="str">
        <f t="shared" si="191"/>
        <v/>
      </c>
      <c r="AR168" s="268" t="str">
        <f t="shared" si="191"/>
        <v/>
      </c>
      <c r="AS168" s="268" t="str">
        <f t="shared" si="191"/>
        <v/>
      </c>
      <c r="AT168" s="268" t="str">
        <f t="shared" si="191"/>
        <v/>
      </c>
      <c r="AU168" s="268" t="str">
        <f t="shared" si="191"/>
        <v/>
      </c>
      <c r="AV168" s="268" t="str">
        <f t="shared" si="191"/>
        <v/>
      </c>
      <c r="AW168" s="268" t="str">
        <f t="shared" si="191"/>
        <v/>
      </c>
      <c r="AX168" s="268" t="str">
        <f t="shared" si="191"/>
        <v/>
      </c>
      <c r="AY168" s="268" t="str">
        <f t="shared" si="191"/>
        <v/>
      </c>
      <c r="AZ168" s="268" t="str">
        <f t="shared" si="191"/>
        <v/>
      </c>
      <c r="BA168" s="268" t="str">
        <f t="shared" si="191"/>
        <v/>
      </c>
      <c r="BB168" s="268" t="str">
        <f t="shared" si="191"/>
        <v/>
      </c>
      <c r="BC168" s="268" t="str">
        <f t="shared" si="191"/>
        <v/>
      </c>
      <c r="BD168" s="268" t="str">
        <f t="shared" si="191"/>
        <v/>
      </c>
      <c r="BE168" s="268" t="str">
        <f t="shared" si="191"/>
        <v/>
      </c>
      <c r="BF168" s="268" t="str">
        <f t="shared" si="191"/>
        <v/>
      </c>
      <c r="BG168" s="268" t="str">
        <f t="shared" si="191"/>
        <v/>
      </c>
      <c r="BH168" s="268" t="str">
        <f t="shared" si="191"/>
        <v/>
      </c>
      <c r="BI168" s="268" t="str">
        <f t="shared" si="191"/>
        <v/>
      </c>
      <c r="BJ168" s="268" t="str">
        <f t="shared" si="191"/>
        <v/>
      </c>
      <c r="BK168" s="268" t="str">
        <f t="shared" si="191"/>
        <v/>
      </c>
      <c r="BL168" s="268" t="str">
        <f t="shared" si="191"/>
        <v/>
      </c>
      <c r="BM168" s="268" t="str">
        <f t="shared" si="191"/>
        <v/>
      </c>
      <c r="BN168" s="268" t="str">
        <f t="shared" si="191"/>
        <v/>
      </c>
      <c r="BO168" s="268" t="str">
        <f t="shared" si="191"/>
        <v/>
      </c>
      <c r="BP168" s="268" t="str">
        <f t="shared" si="191"/>
        <v/>
      </c>
      <c r="BQ168" s="268" t="str">
        <f t="shared" si="191"/>
        <v/>
      </c>
      <c r="BR168" s="268" t="str">
        <f t="shared" si="191"/>
        <v/>
      </c>
      <c r="BS168" s="268" t="str">
        <f t="shared" si="191"/>
        <v/>
      </c>
      <c r="BT168" s="268" t="str">
        <f t="shared" si="191"/>
        <v/>
      </c>
      <c r="BU168" s="268" t="str">
        <f t="shared" si="153"/>
        <v/>
      </c>
      <c r="BV168" s="247">
        <v>0.61</v>
      </c>
      <c r="BW168" s="729">
        <f t="shared" si="180"/>
        <v>30509.76</v>
      </c>
      <c r="BX168" s="730">
        <f t="shared" si="140"/>
        <v>236450.64</v>
      </c>
      <c r="BY168" s="731" t="str">
        <f t="shared" si="142"/>
        <v>SR</v>
      </c>
    </row>
    <row r="169" s="698" customFormat="1" customHeight="1" spans="1:77">
      <c r="A169" s="208">
        <v>46031</v>
      </c>
      <c r="B169" s="208">
        <v>46142</v>
      </c>
      <c r="C169" s="211" t="s">
        <v>408</v>
      </c>
      <c r="D169" s="194" t="s">
        <v>409</v>
      </c>
      <c r="E169" s="211" t="s">
        <v>61</v>
      </c>
      <c r="F169" s="732">
        <v>50016</v>
      </c>
      <c r="G169" s="211" t="s">
        <v>270</v>
      </c>
      <c r="H169" s="211" t="str">
        <f>IFERROR(VLOOKUP(E169,名称!A:E,4,0),"")</f>
        <v>三代</v>
      </c>
      <c r="I169" s="268" t="str">
        <f t="shared" ref="I169:BT169" si="192">IF(OR($E169="",I$1=""),"",IF(TRIM(LEFT($E169,MIN(IFERROR(FIND("CDU",UPPER($E169)),999),IFERROR(FIND("BULK",UPPER($E169)),999),IFERROR(FIND("-",$E169),999),IFERROR(FIND("（",$E169),999))-1))=I$1,$F169,""))</f>
        <v/>
      </c>
      <c r="J169" s="268" t="str">
        <f t="shared" si="192"/>
        <v/>
      </c>
      <c r="K169" s="268" t="str">
        <f t="shared" si="192"/>
        <v/>
      </c>
      <c r="L169" s="268" t="str">
        <f t="shared" si="192"/>
        <v/>
      </c>
      <c r="M169" s="268" t="str">
        <f t="shared" si="192"/>
        <v/>
      </c>
      <c r="N169" s="268" t="str">
        <f t="shared" si="192"/>
        <v/>
      </c>
      <c r="O169" s="268" t="str">
        <f t="shared" si="192"/>
        <v/>
      </c>
      <c r="P169" s="268" t="str">
        <f t="shared" si="192"/>
        <v/>
      </c>
      <c r="Q169" s="268" t="str">
        <f t="shared" si="192"/>
        <v/>
      </c>
      <c r="R169" s="268" t="str">
        <f t="shared" si="192"/>
        <v/>
      </c>
      <c r="S169" s="268" t="str">
        <f t="shared" si="192"/>
        <v/>
      </c>
      <c r="T169" s="268" t="str">
        <f t="shared" si="192"/>
        <v/>
      </c>
      <c r="U169" s="268" t="str">
        <f t="shared" si="192"/>
        <v/>
      </c>
      <c r="V169" s="268" t="str">
        <f t="shared" si="192"/>
        <v/>
      </c>
      <c r="W169" s="268" t="str">
        <f t="shared" si="192"/>
        <v/>
      </c>
      <c r="X169" s="268" t="str">
        <f t="shared" si="192"/>
        <v/>
      </c>
      <c r="Y169" s="268" t="str">
        <f t="shared" si="192"/>
        <v/>
      </c>
      <c r="Z169" s="268" t="str">
        <f t="shared" si="192"/>
        <v/>
      </c>
      <c r="AA169" s="268" t="str">
        <f t="shared" si="192"/>
        <v/>
      </c>
      <c r="AB169" s="268" t="str">
        <f t="shared" si="192"/>
        <v/>
      </c>
      <c r="AC169" s="268" t="str">
        <f t="shared" si="192"/>
        <v/>
      </c>
      <c r="AD169" s="268" t="str">
        <f t="shared" si="192"/>
        <v/>
      </c>
      <c r="AE169" s="268">
        <f t="shared" si="192"/>
        <v>50016</v>
      </c>
      <c r="AF169" s="268" t="str">
        <f t="shared" si="192"/>
        <v/>
      </c>
      <c r="AG169" s="268" t="str">
        <f t="shared" si="192"/>
        <v/>
      </c>
      <c r="AH169" s="268" t="str">
        <f t="shared" si="192"/>
        <v/>
      </c>
      <c r="AI169" s="268" t="str">
        <f t="shared" si="192"/>
        <v/>
      </c>
      <c r="AJ169" s="268" t="str">
        <f t="shared" si="192"/>
        <v/>
      </c>
      <c r="AK169" s="268" t="str">
        <f t="shared" si="192"/>
        <v/>
      </c>
      <c r="AL169" s="268" t="str">
        <f t="shared" si="192"/>
        <v/>
      </c>
      <c r="AM169" s="268" t="str">
        <f t="shared" si="192"/>
        <v/>
      </c>
      <c r="AN169" s="268" t="str">
        <f t="shared" si="192"/>
        <v/>
      </c>
      <c r="AO169" s="268" t="str">
        <f t="shared" si="192"/>
        <v/>
      </c>
      <c r="AP169" s="268" t="str">
        <f t="shared" si="192"/>
        <v/>
      </c>
      <c r="AQ169" s="268" t="str">
        <f t="shared" si="192"/>
        <v/>
      </c>
      <c r="AR169" s="268" t="str">
        <f t="shared" si="192"/>
        <v/>
      </c>
      <c r="AS169" s="268" t="str">
        <f t="shared" si="192"/>
        <v/>
      </c>
      <c r="AT169" s="268" t="str">
        <f t="shared" si="192"/>
        <v/>
      </c>
      <c r="AU169" s="268" t="str">
        <f t="shared" si="192"/>
        <v/>
      </c>
      <c r="AV169" s="268" t="str">
        <f t="shared" si="192"/>
        <v/>
      </c>
      <c r="AW169" s="268" t="str">
        <f t="shared" si="192"/>
        <v/>
      </c>
      <c r="AX169" s="268" t="str">
        <f t="shared" si="192"/>
        <v/>
      </c>
      <c r="AY169" s="268" t="str">
        <f t="shared" si="192"/>
        <v/>
      </c>
      <c r="AZ169" s="268" t="str">
        <f t="shared" si="192"/>
        <v/>
      </c>
      <c r="BA169" s="268" t="str">
        <f t="shared" si="192"/>
        <v/>
      </c>
      <c r="BB169" s="268" t="str">
        <f t="shared" si="192"/>
        <v/>
      </c>
      <c r="BC169" s="268" t="str">
        <f t="shared" si="192"/>
        <v/>
      </c>
      <c r="BD169" s="268" t="str">
        <f t="shared" si="192"/>
        <v/>
      </c>
      <c r="BE169" s="268" t="str">
        <f t="shared" si="192"/>
        <v/>
      </c>
      <c r="BF169" s="268" t="str">
        <f t="shared" si="192"/>
        <v/>
      </c>
      <c r="BG169" s="268" t="str">
        <f t="shared" si="192"/>
        <v/>
      </c>
      <c r="BH169" s="268" t="str">
        <f t="shared" si="192"/>
        <v/>
      </c>
      <c r="BI169" s="268" t="str">
        <f t="shared" si="192"/>
        <v/>
      </c>
      <c r="BJ169" s="268" t="str">
        <f t="shared" si="192"/>
        <v/>
      </c>
      <c r="BK169" s="268" t="str">
        <f t="shared" si="192"/>
        <v/>
      </c>
      <c r="BL169" s="268" t="str">
        <f t="shared" si="192"/>
        <v/>
      </c>
      <c r="BM169" s="268" t="str">
        <f t="shared" si="192"/>
        <v/>
      </c>
      <c r="BN169" s="268" t="str">
        <f t="shared" si="192"/>
        <v/>
      </c>
      <c r="BO169" s="268" t="str">
        <f t="shared" si="192"/>
        <v/>
      </c>
      <c r="BP169" s="268" t="str">
        <f t="shared" si="192"/>
        <v/>
      </c>
      <c r="BQ169" s="268" t="str">
        <f t="shared" si="192"/>
        <v/>
      </c>
      <c r="BR169" s="268" t="str">
        <f t="shared" si="192"/>
        <v/>
      </c>
      <c r="BS169" s="268" t="str">
        <f t="shared" si="192"/>
        <v/>
      </c>
      <c r="BT169" s="268" t="str">
        <f t="shared" si="192"/>
        <v/>
      </c>
      <c r="BU169" s="268" t="str">
        <f t="shared" si="153"/>
        <v/>
      </c>
      <c r="BV169" s="247">
        <v>0.61</v>
      </c>
      <c r="BW169" s="729">
        <f t="shared" si="180"/>
        <v>30509.76</v>
      </c>
      <c r="BX169" s="730">
        <f t="shared" si="140"/>
        <v>236450.64</v>
      </c>
      <c r="BY169" s="731" t="str">
        <f t="shared" si="142"/>
        <v>SR</v>
      </c>
    </row>
    <row r="170" s="698" customFormat="1" customHeight="1" spans="1:77">
      <c r="A170" s="208">
        <v>46031</v>
      </c>
      <c r="B170" s="208">
        <v>46150</v>
      </c>
      <c r="C170" s="211" t="s">
        <v>410</v>
      </c>
      <c r="D170" s="211" t="s">
        <v>411</v>
      </c>
      <c r="E170" s="211" t="s">
        <v>59</v>
      </c>
      <c r="F170" s="732">
        <v>14400</v>
      </c>
      <c r="G170" s="211" t="s">
        <v>270</v>
      </c>
      <c r="H170" s="211" t="str">
        <f>IFERROR(VLOOKUP(E170,名称!A:E,4,0),"")</f>
        <v>三代</v>
      </c>
      <c r="I170" s="268" t="str">
        <f t="shared" ref="I170:BT170" si="193">IF(OR($E170="",I$1=""),"",IF(TRIM(LEFT($E170,MIN(IFERROR(FIND("CDU",UPPER($E170)),999),IFERROR(FIND("BULK",UPPER($E170)),999),IFERROR(FIND("-",$E170),999),IFERROR(FIND("（",$E170),999))-1))=I$1,$F170,""))</f>
        <v/>
      </c>
      <c r="J170" s="268" t="str">
        <f t="shared" si="193"/>
        <v/>
      </c>
      <c r="K170" s="268" t="str">
        <f t="shared" si="193"/>
        <v/>
      </c>
      <c r="L170" s="268" t="str">
        <f t="shared" si="193"/>
        <v/>
      </c>
      <c r="M170" s="268" t="str">
        <f t="shared" si="193"/>
        <v/>
      </c>
      <c r="N170" s="268" t="str">
        <f t="shared" si="193"/>
        <v/>
      </c>
      <c r="O170" s="268" t="str">
        <f t="shared" si="193"/>
        <v/>
      </c>
      <c r="P170" s="268" t="str">
        <f t="shared" si="193"/>
        <v/>
      </c>
      <c r="Q170" s="268" t="str">
        <f t="shared" si="193"/>
        <v/>
      </c>
      <c r="R170" s="268" t="str">
        <f t="shared" si="193"/>
        <v/>
      </c>
      <c r="S170" s="268" t="str">
        <f t="shared" si="193"/>
        <v/>
      </c>
      <c r="T170" s="268" t="str">
        <f t="shared" si="193"/>
        <v/>
      </c>
      <c r="U170" s="268" t="str">
        <f t="shared" si="193"/>
        <v/>
      </c>
      <c r="V170" s="268" t="str">
        <f t="shared" si="193"/>
        <v/>
      </c>
      <c r="W170" s="268" t="str">
        <f t="shared" si="193"/>
        <v/>
      </c>
      <c r="X170" s="268" t="str">
        <f t="shared" si="193"/>
        <v/>
      </c>
      <c r="Y170" s="268" t="str">
        <f t="shared" si="193"/>
        <v/>
      </c>
      <c r="Z170" s="268" t="str">
        <f t="shared" si="193"/>
        <v/>
      </c>
      <c r="AA170" s="268" t="str">
        <f t="shared" si="193"/>
        <v/>
      </c>
      <c r="AB170" s="268" t="str">
        <f t="shared" si="193"/>
        <v/>
      </c>
      <c r="AC170" s="268" t="str">
        <f t="shared" si="193"/>
        <v/>
      </c>
      <c r="AD170" s="268">
        <f t="shared" si="193"/>
        <v>14400</v>
      </c>
      <c r="AE170" s="268" t="str">
        <f t="shared" si="193"/>
        <v/>
      </c>
      <c r="AF170" s="268" t="str">
        <f t="shared" si="193"/>
        <v/>
      </c>
      <c r="AG170" s="268" t="str">
        <f t="shared" si="193"/>
        <v/>
      </c>
      <c r="AH170" s="268" t="str">
        <f t="shared" si="193"/>
        <v/>
      </c>
      <c r="AI170" s="268" t="str">
        <f t="shared" si="193"/>
        <v/>
      </c>
      <c r="AJ170" s="268" t="str">
        <f t="shared" si="193"/>
        <v/>
      </c>
      <c r="AK170" s="268" t="str">
        <f t="shared" si="193"/>
        <v/>
      </c>
      <c r="AL170" s="268" t="str">
        <f t="shared" si="193"/>
        <v/>
      </c>
      <c r="AM170" s="268" t="str">
        <f t="shared" si="193"/>
        <v/>
      </c>
      <c r="AN170" s="268" t="str">
        <f t="shared" si="193"/>
        <v/>
      </c>
      <c r="AO170" s="268" t="str">
        <f t="shared" si="193"/>
        <v/>
      </c>
      <c r="AP170" s="268" t="str">
        <f t="shared" si="193"/>
        <v/>
      </c>
      <c r="AQ170" s="268" t="str">
        <f t="shared" si="193"/>
        <v/>
      </c>
      <c r="AR170" s="268" t="str">
        <f t="shared" si="193"/>
        <v/>
      </c>
      <c r="AS170" s="268" t="str">
        <f t="shared" si="193"/>
        <v/>
      </c>
      <c r="AT170" s="268" t="str">
        <f t="shared" si="193"/>
        <v/>
      </c>
      <c r="AU170" s="268" t="str">
        <f t="shared" si="193"/>
        <v/>
      </c>
      <c r="AV170" s="268" t="str">
        <f t="shared" si="193"/>
        <v/>
      </c>
      <c r="AW170" s="268" t="str">
        <f t="shared" si="193"/>
        <v/>
      </c>
      <c r="AX170" s="268" t="str">
        <f t="shared" si="193"/>
        <v/>
      </c>
      <c r="AY170" s="268" t="str">
        <f t="shared" si="193"/>
        <v/>
      </c>
      <c r="AZ170" s="268" t="str">
        <f t="shared" si="193"/>
        <v/>
      </c>
      <c r="BA170" s="268" t="str">
        <f t="shared" si="193"/>
        <v/>
      </c>
      <c r="BB170" s="268" t="str">
        <f t="shared" si="193"/>
        <v/>
      </c>
      <c r="BC170" s="268" t="str">
        <f t="shared" si="193"/>
        <v/>
      </c>
      <c r="BD170" s="268" t="str">
        <f t="shared" si="193"/>
        <v/>
      </c>
      <c r="BE170" s="268" t="str">
        <f t="shared" si="193"/>
        <v/>
      </c>
      <c r="BF170" s="268" t="str">
        <f t="shared" si="193"/>
        <v/>
      </c>
      <c r="BG170" s="268" t="str">
        <f t="shared" si="193"/>
        <v/>
      </c>
      <c r="BH170" s="268" t="str">
        <f t="shared" si="193"/>
        <v/>
      </c>
      <c r="BI170" s="268" t="str">
        <f t="shared" si="193"/>
        <v/>
      </c>
      <c r="BJ170" s="268" t="str">
        <f t="shared" si="193"/>
        <v/>
      </c>
      <c r="BK170" s="268" t="str">
        <f t="shared" si="193"/>
        <v/>
      </c>
      <c r="BL170" s="268" t="str">
        <f t="shared" si="193"/>
        <v/>
      </c>
      <c r="BM170" s="268" t="str">
        <f t="shared" si="193"/>
        <v/>
      </c>
      <c r="BN170" s="268" t="str">
        <f t="shared" si="193"/>
        <v/>
      </c>
      <c r="BO170" s="268" t="str">
        <f t="shared" si="193"/>
        <v/>
      </c>
      <c r="BP170" s="268" t="str">
        <f t="shared" si="193"/>
        <v/>
      </c>
      <c r="BQ170" s="268" t="str">
        <f t="shared" si="193"/>
        <v/>
      </c>
      <c r="BR170" s="268" t="str">
        <f t="shared" si="193"/>
        <v/>
      </c>
      <c r="BS170" s="268" t="str">
        <f t="shared" si="193"/>
        <v/>
      </c>
      <c r="BT170" s="268" t="str">
        <f t="shared" si="193"/>
        <v/>
      </c>
      <c r="BU170" s="268" t="str">
        <f t="shared" si="153"/>
        <v/>
      </c>
      <c r="BV170" s="247">
        <v>0.64</v>
      </c>
      <c r="BW170" s="729">
        <f t="shared" si="180"/>
        <v>9216</v>
      </c>
      <c r="BX170" s="730">
        <f t="shared" si="140"/>
        <v>71424</v>
      </c>
      <c r="BY170" s="731" t="str">
        <f t="shared" si="142"/>
        <v>SR</v>
      </c>
    </row>
    <row r="171" s="698" customFormat="1" customHeight="1" spans="1:77">
      <c r="A171" s="208">
        <v>46031</v>
      </c>
      <c r="B171" s="208">
        <v>46150</v>
      </c>
      <c r="C171" s="211" t="s">
        <v>412</v>
      </c>
      <c r="D171" s="211" t="s">
        <v>413</v>
      </c>
      <c r="E171" s="211" t="s">
        <v>61</v>
      </c>
      <c r="F171" s="732">
        <v>21000</v>
      </c>
      <c r="G171" s="211" t="s">
        <v>270</v>
      </c>
      <c r="H171" s="211" t="str">
        <f>IFERROR(VLOOKUP(E171,名称!A:E,4,0),"")</f>
        <v>三代</v>
      </c>
      <c r="I171" s="268" t="str">
        <f t="shared" ref="I171:BT171" si="194">IF(OR($E171="",I$1=""),"",IF(TRIM(LEFT($E171,MIN(IFERROR(FIND("CDU",UPPER($E171)),999),IFERROR(FIND("BULK",UPPER($E171)),999),IFERROR(FIND("-",$E171),999),IFERROR(FIND("（",$E171),999))-1))=I$1,$F171,""))</f>
        <v/>
      </c>
      <c r="J171" s="268" t="str">
        <f t="shared" si="194"/>
        <v/>
      </c>
      <c r="K171" s="268" t="str">
        <f t="shared" si="194"/>
        <v/>
      </c>
      <c r="L171" s="268" t="str">
        <f t="shared" si="194"/>
        <v/>
      </c>
      <c r="M171" s="268" t="str">
        <f t="shared" si="194"/>
        <v/>
      </c>
      <c r="N171" s="268" t="str">
        <f t="shared" si="194"/>
        <v/>
      </c>
      <c r="O171" s="268" t="str">
        <f t="shared" si="194"/>
        <v/>
      </c>
      <c r="P171" s="268" t="str">
        <f t="shared" si="194"/>
        <v/>
      </c>
      <c r="Q171" s="268" t="str">
        <f t="shared" si="194"/>
        <v/>
      </c>
      <c r="R171" s="268" t="str">
        <f t="shared" si="194"/>
        <v/>
      </c>
      <c r="S171" s="268" t="str">
        <f t="shared" si="194"/>
        <v/>
      </c>
      <c r="T171" s="268" t="str">
        <f t="shared" si="194"/>
        <v/>
      </c>
      <c r="U171" s="268" t="str">
        <f t="shared" si="194"/>
        <v/>
      </c>
      <c r="V171" s="268" t="str">
        <f t="shared" si="194"/>
        <v/>
      </c>
      <c r="W171" s="268" t="str">
        <f t="shared" si="194"/>
        <v/>
      </c>
      <c r="X171" s="268" t="str">
        <f t="shared" si="194"/>
        <v/>
      </c>
      <c r="Y171" s="268" t="str">
        <f t="shared" si="194"/>
        <v/>
      </c>
      <c r="Z171" s="268" t="str">
        <f t="shared" si="194"/>
        <v/>
      </c>
      <c r="AA171" s="268" t="str">
        <f t="shared" si="194"/>
        <v/>
      </c>
      <c r="AB171" s="268" t="str">
        <f t="shared" si="194"/>
        <v/>
      </c>
      <c r="AC171" s="268" t="str">
        <f t="shared" si="194"/>
        <v/>
      </c>
      <c r="AD171" s="268" t="str">
        <f t="shared" si="194"/>
        <v/>
      </c>
      <c r="AE171" s="268">
        <f t="shared" si="194"/>
        <v>21000</v>
      </c>
      <c r="AF171" s="268" t="str">
        <f t="shared" si="194"/>
        <v/>
      </c>
      <c r="AG171" s="268" t="str">
        <f t="shared" si="194"/>
        <v/>
      </c>
      <c r="AH171" s="268" t="str">
        <f t="shared" si="194"/>
        <v/>
      </c>
      <c r="AI171" s="268" t="str">
        <f t="shared" si="194"/>
        <v/>
      </c>
      <c r="AJ171" s="268" t="str">
        <f t="shared" si="194"/>
        <v/>
      </c>
      <c r="AK171" s="268" t="str">
        <f t="shared" si="194"/>
        <v/>
      </c>
      <c r="AL171" s="268" t="str">
        <f t="shared" si="194"/>
        <v/>
      </c>
      <c r="AM171" s="268" t="str">
        <f t="shared" si="194"/>
        <v/>
      </c>
      <c r="AN171" s="268" t="str">
        <f t="shared" si="194"/>
        <v/>
      </c>
      <c r="AO171" s="268" t="str">
        <f t="shared" si="194"/>
        <v/>
      </c>
      <c r="AP171" s="268" t="str">
        <f t="shared" si="194"/>
        <v/>
      </c>
      <c r="AQ171" s="268" t="str">
        <f t="shared" si="194"/>
        <v/>
      </c>
      <c r="AR171" s="268" t="str">
        <f t="shared" si="194"/>
        <v/>
      </c>
      <c r="AS171" s="268" t="str">
        <f t="shared" si="194"/>
        <v/>
      </c>
      <c r="AT171" s="268" t="str">
        <f t="shared" si="194"/>
        <v/>
      </c>
      <c r="AU171" s="268" t="str">
        <f t="shared" si="194"/>
        <v/>
      </c>
      <c r="AV171" s="268" t="str">
        <f t="shared" si="194"/>
        <v/>
      </c>
      <c r="AW171" s="268" t="str">
        <f t="shared" si="194"/>
        <v/>
      </c>
      <c r="AX171" s="268" t="str">
        <f t="shared" si="194"/>
        <v/>
      </c>
      <c r="AY171" s="268" t="str">
        <f t="shared" si="194"/>
        <v/>
      </c>
      <c r="AZ171" s="268" t="str">
        <f t="shared" si="194"/>
        <v/>
      </c>
      <c r="BA171" s="268" t="str">
        <f t="shared" si="194"/>
        <v/>
      </c>
      <c r="BB171" s="268" t="str">
        <f t="shared" si="194"/>
        <v/>
      </c>
      <c r="BC171" s="268" t="str">
        <f t="shared" si="194"/>
        <v/>
      </c>
      <c r="BD171" s="268" t="str">
        <f t="shared" si="194"/>
        <v/>
      </c>
      <c r="BE171" s="268" t="str">
        <f t="shared" si="194"/>
        <v/>
      </c>
      <c r="BF171" s="268" t="str">
        <f t="shared" si="194"/>
        <v/>
      </c>
      <c r="BG171" s="268" t="str">
        <f t="shared" si="194"/>
        <v/>
      </c>
      <c r="BH171" s="268" t="str">
        <f t="shared" si="194"/>
        <v/>
      </c>
      <c r="BI171" s="268" t="str">
        <f t="shared" si="194"/>
        <v/>
      </c>
      <c r="BJ171" s="268" t="str">
        <f t="shared" si="194"/>
        <v/>
      </c>
      <c r="BK171" s="268" t="str">
        <f t="shared" si="194"/>
        <v/>
      </c>
      <c r="BL171" s="268" t="str">
        <f t="shared" si="194"/>
        <v/>
      </c>
      <c r="BM171" s="268" t="str">
        <f t="shared" si="194"/>
        <v/>
      </c>
      <c r="BN171" s="268" t="str">
        <f t="shared" si="194"/>
        <v/>
      </c>
      <c r="BO171" s="268" t="str">
        <f t="shared" si="194"/>
        <v/>
      </c>
      <c r="BP171" s="268" t="str">
        <f t="shared" si="194"/>
        <v/>
      </c>
      <c r="BQ171" s="268" t="str">
        <f t="shared" si="194"/>
        <v/>
      </c>
      <c r="BR171" s="268" t="str">
        <f t="shared" si="194"/>
        <v/>
      </c>
      <c r="BS171" s="268" t="str">
        <f t="shared" si="194"/>
        <v/>
      </c>
      <c r="BT171" s="268" t="str">
        <f t="shared" si="194"/>
        <v/>
      </c>
      <c r="BU171" s="268" t="str">
        <f t="shared" si="153"/>
        <v/>
      </c>
      <c r="BV171" s="247">
        <v>0.61</v>
      </c>
      <c r="BW171" s="729">
        <f t="shared" si="180"/>
        <v>12810</v>
      </c>
      <c r="BX171" s="730">
        <f t="shared" si="140"/>
        <v>99277.5</v>
      </c>
      <c r="BY171" s="731" t="str">
        <f t="shared" si="142"/>
        <v>SR</v>
      </c>
    </row>
    <row r="172" s="698" customFormat="1" customHeight="1" spans="1:77">
      <c r="A172" s="208">
        <v>46031</v>
      </c>
      <c r="B172" s="208">
        <v>46157</v>
      </c>
      <c r="C172" s="211" t="s">
        <v>414</v>
      </c>
      <c r="D172" s="211" t="s">
        <v>415</v>
      </c>
      <c r="E172" s="211" t="s">
        <v>61</v>
      </c>
      <c r="F172" s="732">
        <v>21000</v>
      </c>
      <c r="G172" s="211" t="s">
        <v>270</v>
      </c>
      <c r="H172" s="211" t="str">
        <f>IFERROR(VLOOKUP(E172,名称!A:E,4,0),"")</f>
        <v>三代</v>
      </c>
      <c r="I172" s="268" t="str">
        <f t="shared" ref="I172:BT172" si="195">IF(OR($E172="",I$1=""),"",IF(TRIM(LEFT($E172,MIN(IFERROR(FIND("CDU",UPPER($E172)),999),IFERROR(FIND("BULK",UPPER($E172)),999),IFERROR(FIND("-",$E172),999),IFERROR(FIND("（",$E172),999))-1))=I$1,$F172,""))</f>
        <v/>
      </c>
      <c r="J172" s="268" t="str">
        <f t="shared" si="195"/>
        <v/>
      </c>
      <c r="K172" s="268" t="str">
        <f t="shared" si="195"/>
        <v/>
      </c>
      <c r="L172" s="268" t="str">
        <f t="shared" si="195"/>
        <v/>
      </c>
      <c r="M172" s="268" t="str">
        <f t="shared" si="195"/>
        <v/>
      </c>
      <c r="N172" s="268" t="str">
        <f t="shared" si="195"/>
        <v/>
      </c>
      <c r="O172" s="268" t="str">
        <f t="shared" si="195"/>
        <v/>
      </c>
      <c r="P172" s="268" t="str">
        <f t="shared" si="195"/>
        <v/>
      </c>
      <c r="Q172" s="268" t="str">
        <f t="shared" si="195"/>
        <v/>
      </c>
      <c r="R172" s="268" t="str">
        <f t="shared" si="195"/>
        <v/>
      </c>
      <c r="S172" s="268" t="str">
        <f t="shared" si="195"/>
        <v/>
      </c>
      <c r="T172" s="268" t="str">
        <f t="shared" si="195"/>
        <v/>
      </c>
      <c r="U172" s="268" t="str">
        <f t="shared" si="195"/>
        <v/>
      </c>
      <c r="V172" s="268" t="str">
        <f t="shared" si="195"/>
        <v/>
      </c>
      <c r="W172" s="268" t="str">
        <f t="shared" si="195"/>
        <v/>
      </c>
      <c r="X172" s="268" t="str">
        <f t="shared" si="195"/>
        <v/>
      </c>
      <c r="Y172" s="268" t="str">
        <f t="shared" si="195"/>
        <v/>
      </c>
      <c r="Z172" s="268" t="str">
        <f t="shared" si="195"/>
        <v/>
      </c>
      <c r="AA172" s="268" t="str">
        <f t="shared" si="195"/>
        <v/>
      </c>
      <c r="AB172" s="268" t="str">
        <f t="shared" si="195"/>
        <v/>
      </c>
      <c r="AC172" s="268" t="str">
        <f t="shared" si="195"/>
        <v/>
      </c>
      <c r="AD172" s="268" t="str">
        <f t="shared" si="195"/>
        <v/>
      </c>
      <c r="AE172" s="268">
        <f t="shared" si="195"/>
        <v>21000</v>
      </c>
      <c r="AF172" s="268" t="str">
        <f t="shared" si="195"/>
        <v/>
      </c>
      <c r="AG172" s="268" t="str">
        <f t="shared" si="195"/>
        <v/>
      </c>
      <c r="AH172" s="268" t="str">
        <f t="shared" si="195"/>
        <v/>
      </c>
      <c r="AI172" s="268" t="str">
        <f t="shared" si="195"/>
        <v/>
      </c>
      <c r="AJ172" s="268" t="str">
        <f t="shared" si="195"/>
        <v/>
      </c>
      <c r="AK172" s="268" t="str">
        <f t="shared" si="195"/>
        <v/>
      </c>
      <c r="AL172" s="268" t="str">
        <f t="shared" si="195"/>
        <v/>
      </c>
      <c r="AM172" s="268" t="str">
        <f t="shared" si="195"/>
        <v/>
      </c>
      <c r="AN172" s="268" t="str">
        <f t="shared" si="195"/>
        <v/>
      </c>
      <c r="AO172" s="268" t="str">
        <f t="shared" si="195"/>
        <v/>
      </c>
      <c r="AP172" s="268" t="str">
        <f t="shared" si="195"/>
        <v/>
      </c>
      <c r="AQ172" s="268" t="str">
        <f t="shared" si="195"/>
        <v/>
      </c>
      <c r="AR172" s="268" t="str">
        <f t="shared" si="195"/>
        <v/>
      </c>
      <c r="AS172" s="268" t="str">
        <f t="shared" si="195"/>
        <v/>
      </c>
      <c r="AT172" s="268" t="str">
        <f t="shared" si="195"/>
        <v/>
      </c>
      <c r="AU172" s="268" t="str">
        <f t="shared" si="195"/>
        <v/>
      </c>
      <c r="AV172" s="268" t="str">
        <f t="shared" si="195"/>
        <v/>
      </c>
      <c r="AW172" s="268" t="str">
        <f t="shared" si="195"/>
        <v/>
      </c>
      <c r="AX172" s="268" t="str">
        <f t="shared" si="195"/>
        <v/>
      </c>
      <c r="AY172" s="268" t="str">
        <f t="shared" si="195"/>
        <v/>
      </c>
      <c r="AZ172" s="268" t="str">
        <f t="shared" si="195"/>
        <v/>
      </c>
      <c r="BA172" s="268" t="str">
        <f t="shared" si="195"/>
        <v/>
      </c>
      <c r="BB172" s="268" t="str">
        <f t="shared" si="195"/>
        <v/>
      </c>
      <c r="BC172" s="268" t="str">
        <f t="shared" si="195"/>
        <v/>
      </c>
      <c r="BD172" s="268" t="str">
        <f t="shared" si="195"/>
        <v/>
      </c>
      <c r="BE172" s="268" t="str">
        <f t="shared" si="195"/>
        <v/>
      </c>
      <c r="BF172" s="268" t="str">
        <f t="shared" si="195"/>
        <v/>
      </c>
      <c r="BG172" s="268" t="str">
        <f t="shared" si="195"/>
        <v/>
      </c>
      <c r="BH172" s="268" t="str">
        <f t="shared" si="195"/>
        <v/>
      </c>
      <c r="BI172" s="268" t="str">
        <f t="shared" si="195"/>
        <v/>
      </c>
      <c r="BJ172" s="268" t="str">
        <f t="shared" si="195"/>
        <v/>
      </c>
      <c r="BK172" s="268" t="str">
        <f t="shared" si="195"/>
        <v/>
      </c>
      <c r="BL172" s="268" t="str">
        <f t="shared" si="195"/>
        <v/>
      </c>
      <c r="BM172" s="268" t="str">
        <f t="shared" si="195"/>
        <v/>
      </c>
      <c r="BN172" s="268" t="str">
        <f t="shared" si="195"/>
        <v/>
      </c>
      <c r="BO172" s="268" t="str">
        <f t="shared" si="195"/>
        <v/>
      </c>
      <c r="BP172" s="268" t="str">
        <f t="shared" si="195"/>
        <v/>
      </c>
      <c r="BQ172" s="268" t="str">
        <f t="shared" si="195"/>
        <v/>
      </c>
      <c r="BR172" s="268" t="str">
        <f t="shared" si="195"/>
        <v/>
      </c>
      <c r="BS172" s="268" t="str">
        <f t="shared" si="195"/>
        <v/>
      </c>
      <c r="BT172" s="268" t="str">
        <f t="shared" si="195"/>
        <v/>
      </c>
      <c r="BU172" s="268" t="str">
        <f t="shared" si="153"/>
        <v/>
      </c>
      <c r="BV172" s="247">
        <v>0.61</v>
      </c>
      <c r="BW172" s="729">
        <f t="shared" si="180"/>
        <v>12810</v>
      </c>
      <c r="BX172" s="730">
        <f t="shared" si="140"/>
        <v>99277.5</v>
      </c>
      <c r="BY172" s="731" t="str">
        <f t="shared" si="142"/>
        <v>SR</v>
      </c>
    </row>
    <row r="173" s="697" customFormat="1" customHeight="1" spans="1:77">
      <c r="A173" s="116">
        <v>46031</v>
      </c>
      <c r="B173" s="116">
        <v>46164</v>
      </c>
      <c r="C173" s="118" t="s">
        <v>416</v>
      </c>
      <c r="D173" s="118" t="s">
        <v>417</v>
      </c>
      <c r="E173" s="118" t="s">
        <v>61</v>
      </c>
      <c r="F173" s="726">
        <v>21000</v>
      </c>
      <c r="G173" s="118" t="s">
        <v>270</v>
      </c>
      <c r="H173" s="118" t="str">
        <f>IFERROR(VLOOKUP(E173,名称!A:E,4,0),"")</f>
        <v>三代</v>
      </c>
      <c r="I173" s="418" t="str">
        <f t="shared" ref="I173:BT173" si="196">IF(OR($E173="",I$1=""),"",IF(TRIM(LEFT($E173,MIN(IFERROR(FIND("CDU",UPPER($E173)),999),IFERROR(FIND("BULK",UPPER($E173)),999),IFERROR(FIND("-",$E173),999),IFERROR(FIND("（",$E173),999))-1))=I$1,$F173,""))</f>
        <v/>
      </c>
      <c r="J173" s="418" t="str">
        <f t="shared" si="196"/>
        <v/>
      </c>
      <c r="K173" s="418" t="str">
        <f t="shared" si="196"/>
        <v/>
      </c>
      <c r="L173" s="418" t="str">
        <f t="shared" si="196"/>
        <v/>
      </c>
      <c r="M173" s="418" t="str">
        <f t="shared" si="196"/>
        <v/>
      </c>
      <c r="N173" s="418" t="str">
        <f t="shared" si="196"/>
        <v/>
      </c>
      <c r="O173" s="418" t="str">
        <f t="shared" si="196"/>
        <v/>
      </c>
      <c r="P173" s="418" t="str">
        <f t="shared" si="196"/>
        <v/>
      </c>
      <c r="Q173" s="418" t="str">
        <f t="shared" si="196"/>
        <v/>
      </c>
      <c r="R173" s="418" t="str">
        <f t="shared" si="196"/>
        <v/>
      </c>
      <c r="S173" s="418" t="str">
        <f t="shared" si="196"/>
        <v/>
      </c>
      <c r="T173" s="418" t="str">
        <f t="shared" si="196"/>
        <v/>
      </c>
      <c r="U173" s="418" t="str">
        <f t="shared" si="196"/>
        <v/>
      </c>
      <c r="V173" s="418" t="str">
        <f t="shared" si="196"/>
        <v/>
      </c>
      <c r="W173" s="418" t="str">
        <f t="shared" si="196"/>
        <v/>
      </c>
      <c r="X173" s="418" t="str">
        <f t="shared" si="196"/>
        <v/>
      </c>
      <c r="Y173" s="418" t="str">
        <f t="shared" si="196"/>
        <v/>
      </c>
      <c r="Z173" s="418" t="str">
        <f t="shared" si="196"/>
        <v/>
      </c>
      <c r="AA173" s="418" t="str">
        <f t="shared" si="196"/>
        <v/>
      </c>
      <c r="AB173" s="418" t="str">
        <f t="shared" si="196"/>
        <v/>
      </c>
      <c r="AC173" s="418" t="str">
        <f t="shared" si="196"/>
        <v/>
      </c>
      <c r="AD173" s="418" t="str">
        <f t="shared" si="196"/>
        <v/>
      </c>
      <c r="AE173" s="418">
        <f t="shared" si="196"/>
        <v>21000</v>
      </c>
      <c r="AF173" s="418" t="str">
        <f t="shared" si="196"/>
        <v/>
      </c>
      <c r="AG173" s="418" t="str">
        <f t="shared" si="196"/>
        <v/>
      </c>
      <c r="AH173" s="418" t="str">
        <f t="shared" si="196"/>
        <v/>
      </c>
      <c r="AI173" s="418" t="str">
        <f t="shared" si="196"/>
        <v/>
      </c>
      <c r="AJ173" s="418" t="str">
        <f t="shared" si="196"/>
        <v/>
      </c>
      <c r="AK173" s="418" t="str">
        <f t="shared" si="196"/>
        <v/>
      </c>
      <c r="AL173" s="418" t="str">
        <f t="shared" si="196"/>
        <v/>
      </c>
      <c r="AM173" s="418" t="str">
        <f t="shared" si="196"/>
        <v/>
      </c>
      <c r="AN173" s="418" t="str">
        <f t="shared" si="196"/>
        <v/>
      </c>
      <c r="AO173" s="418" t="str">
        <f t="shared" si="196"/>
        <v/>
      </c>
      <c r="AP173" s="418" t="str">
        <f t="shared" si="196"/>
        <v/>
      </c>
      <c r="AQ173" s="418" t="str">
        <f t="shared" si="196"/>
        <v/>
      </c>
      <c r="AR173" s="418" t="str">
        <f t="shared" si="196"/>
        <v/>
      </c>
      <c r="AS173" s="418" t="str">
        <f t="shared" si="196"/>
        <v/>
      </c>
      <c r="AT173" s="418" t="str">
        <f t="shared" si="196"/>
        <v/>
      </c>
      <c r="AU173" s="418" t="str">
        <f t="shared" si="196"/>
        <v/>
      </c>
      <c r="AV173" s="418" t="str">
        <f t="shared" si="196"/>
        <v/>
      </c>
      <c r="AW173" s="418" t="str">
        <f t="shared" si="196"/>
        <v/>
      </c>
      <c r="AX173" s="418" t="str">
        <f t="shared" si="196"/>
        <v/>
      </c>
      <c r="AY173" s="418" t="str">
        <f t="shared" si="196"/>
        <v/>
      </c>
      <c r="AZ173" s="418" t="str">
        <f t="shared" si="196"/>
        <v/>
      </c>
      <c r="BA173" s="418" t="str">
        <f t="shared" si="196"/>
        <v/>
      </c>
      <c r="BB173" s="418" t="str">
        <f t="shared" si="196"/>
        <v/>
      </c>
      <c r="BC173" s="418" t="str">
        <f t="shared" si="196"/>
        <v/>
      </c>
      <c r="BD173" s="418" t="str">
        <f t="shared" si="196"/>
        <v/>
      </c>
      <c r="BE173" s="418" t="str">
        <f t="shared" si="196"/>
        <v/>
      </c>
      <c r="BF173" s="418" t="str">
        <f t="shared" si="196"/>
        <v/>
      </c>
      <c r="BG173" s="418" t="str">
        <f t="shared" si="196"/>
        <v/>
      </c>
      <c r="BH173" s="418" t="str">
        <f t="shared" si="196"/>
        <v/>
      </c>
      <c r="BI173" s="418" t="str">
        <f t="shared" si="196"/>
        <v/>
      </c>
      <c r="BJ173" s="418" t="str">
        <f t="shared" si="196"/>
        <v/>
      </c>
      <c r="BK173" s="418" t="str">
        <f t="shared" si="196"/>
        <v/>
      </c>
      <c r="BL173" s="418" t="str">
        <f t="shared" si="196"/>
        <v/>
      </c>
      <c r="BM173" s="418" t="str">
        <f t="shared" si="196"/>
        <v/>
      </c>
      <c r="BN173" s="418" t="str">
        <f t="shared" si="196"/>
        <v/>
      </c>
      <c r="BO173" s="418" t="str">
        <f t="shared" si="196"/>
        <v/>
      </c>
      <c r="BP173" s="418" t="str">
        <f t="shared" si="196"/>
        <v/>
      </c>
      <c r="BQ173" s="418" t="str">
        <f t="shared" si="196"/>
        <v/>
      </c>
      <c r="BR173" s="418" t="str">
        <f t="shared" si="196"/>
        <v/>
      </c>
      <c r="BS173" s="418" t="str">
        <f t="shared" si="196"/>
        <v/>
      </c>
      <c r="BT173" s="418" t="str">
        <f t="shared" si="196"/>
        <v/>
      </c>
      <c r="BU173" s="418" t="str">
        <f t="shared" si="153"/>
        <v/>
      </c>
      <c r="BV173" s="544">
        <v>0.61</v>
      </c>
      <c r="BW173" s="723">
        <f t="shared" si="180"/>
        <v>12810</v>
      </c>
      <c r="BX173" s="724">
        <f t="shared" si="140"/>
        <v>99277.5</v>
      </c>
      <c r="BY173" s="725" t="str">
        <f t="shared" si="142"/>
        <v>SR</v>
      </c>
    </row>
    <row r="174" s="697" customFormat="1" customHeight="1" spans="1:77">
      <c r="A174" s="116">
        <v>46031</v>
      </c>
      <c r="B174" s="116">
        <v>46120</v>
      </c>
      <c r="C174" s="118" t="s">
        <v>418</v>
      </c>
      <c r="D174" s="118" t="s">
        <v>419</v>
      </c>
      <c r="E174" s="118" t="s">
        <v>55</v>
      </c>
      <c r="F174" s="726">
        <v>3008</v>
      </c>
      <c r="G174" s="118" t="s">
        <v>270</v>
      </c>
      <c r="H174" s="118" t="str">
        <f>IFERROR(VLOOKUP(E174,名称!A:E,4,0),"")</f>
        <v>三代</v>
      </c>
      <c r="I174" s="418" t="str">
        <f t="shared" ref="I174:BT174" si="197">IF(OR($E174="",I$1=""),"",IF(TRIM(LEFT($E174,MIN(IFERROR(FIND("CDU",UPPER($E174)),999),IFERROR(FIND("BULK",UPPER($E174)),999),IFERROR(FIND("-",$E174),999),IFERROR(FIND("（",$E174),999))-1))=I$1,$F174,""))</f>
        <v/>
      </c>
      <c r="J174" s="418" t="str">
        <f t="shared" si="197"/>
        <v/>
      </c>
      <c r="K174" s="418" t="str">
        <f t="shared" si="197"/>
        <v/>
      </c>
      <c r="L174" s="418" t="str">
        <f t="shared" si="197"/>
        <v/>
      </c>
      <c r="M174" s="418" t="str">
        <f t="shared" si="197"/>
        <v/>
      </c>
      <c r="N174" s="418" t="str">
        <f t="shared" si="197"/>
        <v/>
      </c>
      <c r="O174" s="418" t="str">
        <f t="shared" si="197"/>
        <v/>
      </c>
      <c r="P174" s="418" t="str">
        <f t="shared" si="197"/>
        <v/>
      </c>
      <c r="Q174" s="418" t="str">
        <f t="shared" si="197"/>
        <v/>
      </c>
      <c r="R174" s="418" t="str">
        <f t="shared" si="197"/>
        <v/>
      </c>
      <c r="S174" s="418" t="str">
        <f t="shared" si="197"/>
        <v/>
      </c>
      <c r="T174" s="418" t="str">
        <f t="shared" si="197"/>
        <v/>
      </c>
      <c r="U174" s="418" t="str">
        <f t="shared" si="197"/>
        <v/>
      </c>
      <c r="V174" s="418" t="str">
        <f t="shared" si="197"/>
        <v/>
      </c>
      <c r="W174" s="418" t="str">
        <f t="shared" si="197"/>
        <v/>
      </c>
      <c r="X174" s="418" t="str">
        <f t="shared" si="197"/>
        <v/>
      </c>
      <c r="Y174" s="418" t="str">
        <f t="shared" si="197"/>
        <v/>
      </c>
      <c r="Z174" s="418" t="str">
        <f t="shared" si="197"/>
        <v/>
      </c>
      <c r="AA174" s="418" t="str">
        <f t="shared" si="197"/>
        <v/>
      </c>
      <c r="AB174" s="418" t="str">
        <f t="shared" si="197"/>
        <v/>
      </c>
      <c r="AC174" s="418">
        <f t="shared" si="197"/>
        <v>3008</v>
      </c>
      <c r="AD174" s="418" t="str">
        <f t="shared" si="197"/>
        <v/>
      </c>
      <c r="AE174" s="418" t="str">
        <f t="shared" si="197"/>
        <v/>
      </c>
      <c r="AF174" s="418" t="str">
        <f t="shared" si="197"/>
        <v/>
      </c>
      <c r="AG174" s="418" t="str">
        <f t="shared" si="197"/>
        <v/>
      </c>
      <c r="AH174" s="418" t="str">
        <f t="shared" si="197"/>
        <v/>
      </c>
      <c r="AI174" s="418" t="str">
        <f t="shared" si="197"/>
        <v/>
      </c>
      <c r="AJ174" s="418" t="str">
        <f t="shared" si="197"/>
        <v/>
      </c>
      <c r="AK174" s="418" t="str">
        <f t="shared" si="197"/>
        <v/>
      </c>
      <c r="AL174" s="418" t="str">
        <f t="shared" si="197"/>
        <v/>
      </c>
      <c r="AM174" s="418" t="str">
        <f t="shared" si="197"/>
        <v/>
      </c>
      <c r="AN174" s="418" t="str">
        <f t="shared" si="197"/>
        <v/>
      </c>
      <c r="AO174" s="418" t="str">
        <f t="shared" si="197"/>
        <v/>
      </c>
      <c r="AP174" s="418" t="str">
        <f t="shared" si="197"/>
        <v/>
      </c>
      <c r="AQ174" s="418" t="str">
        <f t="shared" si="197"/>
        <v/>
      </c>
      <c r="AR174" s="418" t="str">
        <f t="shared" si="197"/>
        <v/>
      </c>
      <c r="AS174" s="418" t="str">
        <f t="shared" si="197"/>
        <v/>
      </c>
      <c r="AT174" s="418" t="str">
        <f t="shared" si="197"/>
        <v/>
      </c>
      <c r="AU174" s="418" t="str">
        <f t="shared" si="197"/>
        <v/>
      </c>
      <c r="AV174" s="418" t="str">
        <f t="shared" si="197"/>
        <v/>
      </c>
      <c r="AW174" s="418" t="str">
        <f t="shared" si="197"/>
        <v/>
      </c>
      <c r="AX174" s="418" t="str">
        <f t="shared" si="197"/>
        <v/>
      </c>
      <c r="AY174" s="418" t="str">
        <f t="shared" si="197"/>
        <v/>
      </c>
      <c r="AZ174" s="418" t="str">
        <f t="shared" si="197"/>
        <v/>
      </c>
      <c r="BA174" s="418" t="str">
        <f t="shared" si="197"/>
        <v/>
      </c>
      <c r="BB174" s="418" t="str">
        <f t="shared" si="197"/>
        <v/>
      </c>
      <c r="BC174" s="418" t="str">
        <f t="shared" si="197"/>
        <v/>
      </c>
      <c r="BD174" s="418" t="str">
        <f t="shared" si="197"/>
        <v/>
      </c>
      <c r="BE174" s="418" t="str">
        <f t="shared" si="197"/>
        <v/>
      </c>
      <c r="BF174" s="418" t="str">
        <f t="shared" si="197"/>
        <v/>
      </c>
      <c r="BG174" s="418" t="str">
        <f t="shared" si="197"/>
        <v/>
      </c>
      <c r="BH174" s="418" t="str">
        <f t="shared" si="197"/>
        <v/>
      </c>
      <c r="BI174" s="418" t="str">
        <f t="shared" si="197"/>
        <v/>
      </c>
      <c r="BJ174" s="418" t="str">
        <f t="shared" si="197"/>
        <v/>
      </c>
      <c r="BK174" s="418" t="str">
        <f t="shared" si="197"/>
        <v/>
      </c>
      <c r="BL174" s="418" t="str">
        <f t="shared" si="197"/>
        <v/>
      </c>
      <c r="BM174" s="418" t="str">
        <f t="shared" si="197"/>
        <v/>
      </c>
      <c r="BN174" s="418" t="str">
        <f t="shared" si="197"/>
        <v/>
      </c>
      <c r="BO174" s="418" t="str">
        <f t="shared" si="197"/>
        <v/>
      </c>
      <c r="BP174" s="418" t="str">
        <f t="shared" si="197"/>
        <v/>
      </c>
      <c r="BQ174" s="418" t="str">
        <f t="shared" si="197"/>
        <v/>
      </c>
      <c r="BR174" s="418" t="str">
        <f t="shared" si="197"/>
        <v/>
      </c>
      <c r="BS174" s="418" t="str">
        <f t="shared" si="197"/>
        <v/>
      </c>
      <c r="BT174" s="418" t="str">
        <f t="shared" si="197"/>
        <v/>
      </c>
      <c r="BU174" s="418" t="str">
        <f t="shared" si="153"/>
        <v/>
      </c>
      <c r="BV174" s="544">
        <v>0.86</v>
      </c>
      <c r="BW174" s="723">
        <f t="shared" ref="BW174:BW201" si="198">SUM(I174:BU174)*BV174</f>
        <v>2586.88</v>
      </c>
      <c r="BX174" s="724">
        <f t="shared" ref="BX174:BX198" si="199">BW174*7.75</f>
        <v>20048.32</v>
      </c>
      <c r="BY174" s="725" t="str">
        <f t="shared" ref="BY174:BY198" si="200">MID(E174,1,2)</f>
        <v>SR</v>
      </c>
    </row>
    <row r="175" s="698" customFormat="1" customHeight="1" spans="1:77">
      <c r="A175" s="208">
        <v>46031</v>
      </c>
      <c r="B175" s="208">
        <v>46120</v>
      </c>
      <c r="C175" s="211" t="s">
        <v>418</v>
      </c>
      <c r="D175" s="211" t="s">
        <v>419</v>
      </c>
      <c r="E175" s="211" t="s">
        <v>96</v>
      </c>
      <c r="F175" s="732">
        <v>5004</v>
      </c>
      <c r="G175" s="211" t="s">
        <v>270</v>
      </c>
      <c r="H175" s="211" t="str">
        <f>IFERROR(VLOOKUP(E175,名称!A:E,4,0),"")</f>
        <v>三代</v>
      </c>
      <c r="I175" s="268" t="str">
        <f t="shared" ref="I175:BT175" si="201">IF(OR($E175="",I$1=""),"",IF(TRIM(LEFT($E175,MIN(IFERROR(FIND("CDU",UPPER($E175)),999),IFERROR(FIND("BULK",UPPER($E175)),999),IFERROR(FIND("-",$E175),999),IFERROR(FIND("（",$E175),999))-1))=I$1,$F175,""))</f>
        <v/>
      </c>
      <c r="J175" s="268" t="str">
        <f t="shared" si="201"/>
        <v/>
      </c>
      <c r="K175" s="268" t="str">
        <f t="shared" si="201"/>
        <v/>
      </c>
      <c r="L175" s="268" t="str">
        <f t="shared" si="201"/>
        <v/>
      </c>
      <c r="M175" s="268" t="str">
        <f t="shared" si="201"/>
        <v/>
      </c>
      <c r="N175" s="268" t="str">
        <f t="shared" si="201"/>
        <v/>
      </c>
      <c r="O175" s="268" t="str">
        <f t="shared" si="201"/>
        <v/>
      </c>
      <c r="P175" s="268" t="str">
        <f t="shared" si="201"/>
        <v/>
      </c>
      <c r="Q175" s="268" t="str">
        <f t="shared" si="201"/>
        <v/>
      </c>
      <c r="R175" s="268" t="str">
        <f t="shared" si="201"/>
        <v/>
      </c>
      <c r="S175" s="268" t="str">
        <f t="shared" si="201"/>
        <v/>
      </c>
      <c r="T175" s="268" t="str">
        <f t="shared" si="201"/>
        <v/>
      </c>
      <c r="U175" s="268" t="str">
        <f t="shared" si="201"/>
        <v/>
      </c>
      <c r="V175" s="268" t="str">
        <f t="shared" si="201"/>
        <v/>
      </c>
      <c r="W175" s="268" t="str">
        <f t="shared" si="201"/>
        <v/>
      </c>
      <c r="X175" s="268" t="str">
        <f t="shared" si="201"/>
        <v/>
      </c>
      <c r="Y175" s="268" t="str">
        <f t="shared" si="201"/>
        <v/>
      </c>
      <c r="Z175" s="268" t="str">
        <f t="shared" si="201"/>
        <v/>
      </c>
      <c r="AA175" s="268" t="str">
        <f t="shared" si="201"/>
        <v/>
      </c>
      <c r="AB175" s="268" t="str">
        <f t="shared" si="201"/>
        <v/>
      </c>
      <c r="AC175" s="268" t="str">
        <f t="shared" si="201"/>
        <v/>
      </c>
      <c r="AD175" s="268" t="str">
        <f t="shared" si="201"/>
        <v/>
      </c>
      <c r="AE175" s="268" t="str">
        <f t="shared" si="201"/>
        <v/>
      </c>
      <c r="AF175" s="268" t="str">
        <f t="shared" si="201"/>
        <v/>
      </c>
      <c r="AG175" s="268" t="str">
        <f t="shared" si="201"/>
        <v/>
      </c>
      <c r="AH175" s="268" t="str">
        <f t="shared" si="201"/>
        <v/>
      </c>
      <c r="AI175" s="268" t="str">
        <f t="shared" si="201"/>
        <v/>
      </c>
      <c r="AJ175" s="268" t="str">
        <f t="shared" si="201"/>
        <v/>
      </c>
      <c r="AK175" s="268" t="str">
        <f t="shared" si="201"/>
        <v/>
      </c>
      <c r="AL175" s="268" t="str">
        <f t="shared" si="201"/>
        <v/>
      </c>
      <c r="AM175" s="268" t="str">
        <f t="shared" si="201"/>
        <v/>
      </c>
      <c r="AN175" s="268" t="str">
        <f t="shared" si="201"/>
        <v/>
      </c>
      <c r="AO175" s="268" t="str">
        <f t="shared" si="201"/>
        <v/>
      </c>
      <c r="AP175" s="268" t="str">
        <f t="shared" si="201"/>
        <v/>
      </c>
      <c r="AQ175" s="268" t="str">
        <f t="shared" si="201"/>
        <v/>
      </c>
      <c r="AR175" s="268" t="str">
        <f t="shared" si="201"/>
        <v/>
      </c>
      <c r="AS175" s="268" t="str">
        <f t="shared" si="201"/>
        <v/>
      </c>
      <c r="AT175" s="268" t="str">
        <f t="shared" si="201"/>
        <v/>
      </c>
      <c r="AU175" s="268" t="str">
        <f t="shared" si="201"/>
        <v/>
      </c>
      <c r="AV175" s="268" t="str">
        <f t="shared" si="201"/>
        <v/>
      </c>
      <c r="AW175" s="268" t="str">
        <f t="shared" si="201"/>
        <v/>
      </c>
      <c r="AX175" s="268" t="str">
        <f t="shared" si="201"/>
        <v/>
      </c>
      <c r="AY175" s="268" t="str">
        <f t="shared" si="201"/>
        <v/>
      </c>
      <c r="AZ175" s="268" t="str">
        <f t="shared" si="201"/>
        <v/>
      </c>
      <c r="BA175" s="268">
        <f t="shared" si="201"/>
        <v>5004</v>
      </c>
      <c r="BB175" s="268" t="str">
        <f t="shared" si="201"/>
        <v/>
      </c>
      <c r="BC175" s="268" t="str">
        <f t="shared" si="201"/>
        <v/>
      </c>
      <c r="BD175" s="268" t="str">
        <f t="shared" si="201"/>
        <v/>
      </c>
      <c r="BE175" s="268" t="str">
        <f t="shared" si="201"/>
        <v/>
      </c>
      <c r="BF175" s="268" t="str">
        <f t="shared" si="201"/>
        <v/>
      </c>
      <c r="BG175" s="268" t="str">
        <f t="shared" si="201"/>
        <v/>
      </c>
      <c r="BH175" s="268" t="str">
        <f t="shared" si="201"/>
        <v/>
      </c>
      <c r="BI175" s="268" t="str">
        <f t="shared" si="201"/>
        <v/>
      </c>
      <c r="BJ175" s="268" t="str">
        <f t="shared" si="201"/>
        <v/>
      </c>
      <c r="BK175" s="268" t="str">
        <f t="shared" si="201"/>
        <v/>
      </c>
      <c r="BL175" s="268" t="str">
        <f t="shared" si="201"/>
        <v/>
      </c>
      <c r="BM175" s="268" t="str">
        <f t="shared" si="201"/>
        <v/>
      </c>
      <c r="BN175" s="268" t="str">
        <f t="shared" si="201"/>
        <v/>
      </c>
      <c r="BO175" s="268" t="str">
        <f t="shared" si="201"/>
        <v/>
      </c>
      <c r="BP175" s="268" t="str">
        <f t="shared" si="201"/>
        <v/>
      </c>
      <c r="BQ175" s="268" t="str">
        <f t="shared" si="201"/>
        <v/>
      </c>
      <c r="BR175" s="268" t="str">
        <f t="shared" si="201"/>
        <v/>
      </c>
      <c r="BS175" s="268" t="str">
        <f t="shared" si="201"/>
        <v/>
      </c>
      <c r="BT175" s="268" t="str">
        <f t="shared" si="201"/>
        <v/>
      </c>
      <c r="BU175" s="268" t="str">
        <f t="shared" si="153"/>
        <v/>
      </c>
      <c r="BV175" s="247">
        <v>0.6</v>
      </c>
      <c r="BW175" s="729">
        <f t="shared" si="198"/>
        <v>3002.4</v>
      </c>
      <c r="BX175" s="730">
        <f t="shared" si="199"/>
        <v>23268.6</v>
      </c>
      <c r="BY175" s="731" t="str">
        <f t="shared" si="200"/>
        <v>SR</v>
      </c>
    </row>
    <row r="176" s="698" customFormat="1" customHeight="1" spans="1:77">
      <c r="A176" s="208">
        <v>46031</v>
      </c>
      <c r="B176" s="208">
        <v>46120</v>
      </c>
      <c r="C176" s="211" t="s">
        <v>420</v>
      </c>
      <c r="D176" s="211" t="s">
        <v>421</v>
      </c>
      <c r="E176" s="211" t="s">
        <v>67</v>
      </c>
      <c r="F176" s="732">
        <v>3000</v>
      </c>
      <c r="G176" s="211" t="s">
        <v>270</v>
      </c>
      <c r="H176" s="211" t="str">
        <f>IFERROR(VLOOKUP(E176,名称!A:E,4,0),"")</f>
        <v>三代</v>
      </c>
      <c r="I176" s="268" t="str">
        <f t="shared" ref="I176:BT176" si="202">IF(OR($E176="",I$1=""),"",IF(TRIM(LEFT($E176,MIN(IFERROR(FIND("CDU",UPPER($E176)),999),IFERROR(FIND("BULK",UPPER($E176)),999),IFERROR(FIND("-",$E176),999),IFERROR(FIND("（",$E176),999))-1))=I$1,$F176,""))</f>
        <v/>
      </c>
      <c r="J176" s="268" t="str">
        <f t="shared" si="202"/>
        <v/>
      </c>
      <c r="K176" s="268" t="str">
        <f t="shared" si="202"/>
        <v/>
      </c>
      <c r="L176" s="268" t="str">
        <f t="shared" si="202"/>
        <v/>
      </c>
      <c r="M176" s="268" t="str">
        <f t="shared" si="202"/>
        <v/>
      </c>
      <c r="N176" s="268" t="str">
        <f t="shared" si="202"/>
        <v/>
      </c>
      <c r="O176" s="268" t="str">
        <f t="shared" si="202"/>
        <v/>
      </c>
      <c r="P176" s="268" t="str">
        <f t="shared" si="202"/>
        <v/>
      </c>
      <c r="Q176" s="268" t="str">
        <f t="shared" si="202"/>
        <v/>
      </c>
      <c r="R176" s="268" t="str">
        <f t="shared" si="202"/>
        <v/>
      </c>
      <c r="S176" s="268" t="str">
        <f t="shared" si="202"/>
        <v/>
      </c>
      <c r="T176" s="268" t="str">
        <f t="shared" si="202"/>
        <v/>
      </c>
      <c r="U176" s="268" t="str">
        <f t="shared" si="202"/>
        <v/>
      </c>
      <c r="V176" s="268" t="str">
        <f t="shared" si="202"/>
        <v/>
      </c>
      <c r="W176" s="268" t="str">
        <f t="shared" si="202"/>
        <v/>
      </c>
      <c r="X176" s="268" t="str">
        <f t="shared" si="202"/>
        <v/>
      </c>
      <c r="Y176" s="268" t="str">
        <f t="shared" si="202"/>
        <v/>
      </c>
      <c r="Z176" s="268" t="str">
        <f t="shared" si="202"/>
        <v/>
      </c>
      <c r="AA176" s="268" t="str">
        <f t="shared" si="202"/>
        <v/>
      </c>
      <c r="AB176" s="268" t="str">
        <f t="shared" si="202"/>
        <v/>
      </c>
      <c r="AC176" s="268" t="str">
        <f t="shared" si="202"/>
        <v/>
      </c>
      <c r="AD176" s="268" t="str">
        <f t="shared" si="202"/>
        <v/>
      </c>
      <c r="AE176" s="268" t="str">
        <f t="shared" si="202"/>
        <v/>
      </c>
      <c r="AF176" s="268" t="str">
        <f t="shared" si="202"/>
        <v/>
      </c>
      <c r="AG176" s="268">
        <f t="shared" si="202"/>
        <v>3000</v>
      </c>
      <c r="AH176" s="268" t="str">
        <f t="shared" si="202"/>
        <v/>
      </c>
      <c r="AI176" s="268" t="str">
        <f t="shared" si="202"/>
        <v/>
      </c>
      <c r="AJ176" s="268" t="str">
        <f t="shared" si="202"/>
        <v/>
      </c>
      <c r="AK176" s="268" t="str">
        <f t="shared" si="202"/>
        <v/>
      </c>
      <c r="AL176" s="268" t="str">
        <f t="shared" si="202"/>
        <v/>
      </c>
      <c r="AM176" s="268" t="str">
        <f t="shared" si="202"/>
        <v/>
      </c>
      <c r="AN176" s="268" t="str">
        <f t="shared" si="202"/>
        <v/>
      </c>
      <c r="AO176" s="268" t="str">
        <f t="shared" si="202"/>
        <v/>
      </c>
      <c r="AP176" s="268" t="str">
        <f t="shared" si="202"/>
        <v/>
      </c>
      <c r="AQ176" s="268" t="str">
        <f t="shared" si="202"/>
        <v/>
      </c>
      <c r="AR176" s="268" t="str">
        <f t="shared" si="202"/>
        <v/>
      </c>
      <c r="AS176" s="268" t="str">
        <f t="shared" si="202"/>
        <v/>
      </c>
      <c r="AT176" s="268" t="str">
        <f t="shared" si="202"/>
        <v/>
      </c>
      <c r="AU176" s="268" t="str">
        <f t="shared" si="202"/>
        <v/>
      </c>
      <c r="AV176" s="268" t="str">
        <f t="shared" si="202"/>
        <v/>
      </c>
      <c r="AW176" s="268" t="str">
        <f t="shared" si="202"/>
        <v/>
      </c>
      <c r="AX176" s="268" t="str">
        <f t="shared" si="202"/>
        <v/>
      </c>
      <c r="AY176" s="268" t="str">
        <f t="shared" si="202"/>
        <v/>
      </c>
      <c r="AZ176" s="268" t="str">
        <f t="shared" si="202"/>
        <v/>
      </c>
      <c r="BA176" s="268" t="str">
        <f t="shared" si="202"/>
        <v/>
      </c>
      <c r="BB176" s="268" t="str">
        <f t="shared" si="202"/>
        <v/>
      </c>
      <c r="BC176" s="268" t="str">
        <f t="shared" si="202"/>
        <v/>
      </c>
      <c r="BD176" s="268" t="str">
        <f t="shared" si="202"/>
        <v/>
      </c>
      <c r="BE176" s="268" t="str">
        <f t="shared" si="202"/>
        <v/>
      </c>
      <c r="BF176" s="268" t="str">
        <f t="shared" si="202"/>
        <v/>
      </c>
      <c r="BG176" s="268" t="str">
        <f t="shared" si="202"/>
        <v/>
      </c>
      <c r="BH176" s="268" t="str">
        <f t="shared" si="202"/>
        <v/>
      </c>
      <c r="BI176" s="268" t="str">
        <f t="shared" si="202"/>
        <v/>
      </c>
      <c r="BJ176" s="268" t="str">
        <f t="shared" si="202"/>
        <v/>
      </c>
      <c r="BK176" s="268" t="str">
        <f t="shared" si="202"/>
        <v/>
      </c>
      <c r="BL176" s="268" t="str">
        <f t="shared" si="202"/>
        <v/>
      </c>
      <c r="BM176" s="268" t="str">
        <f t="shared" si="202"/>
        <v/>
      </c>
      <c r="BN176" s="268" t="str">
        <f t="shared" si="202"/>
        <v/>
      </c>
      <c r="BO176" s="268" t="str">
        <f t="shared" si="202"/>
        <v/>
      </c>
      <c r="BP176" s="268" t="str">
        <f t="shared" si="202"/>
        <v/>
      </c>
      <c r="BQ176" s="268" t="str">
        <f t="shared" si="202"/>
        <v/>
      </c>
      <c r="BR176" s="268" t="str">
        <f t="shared" si="202"/>
        <v/>
      </c>
      <c r="BS176" s="268" t="str">
        <f t="shared" si="202"/>
        <v/>
      </c>
      <c r="BT176" s="268" t="str">
        <f t="shared" si="202"/>
        <v/>
      </c>
      <c r="BU176" s="268" t="str">
        <f t="shared" si="153"/>
        <v/>
      </c>
      <c r="BV176" s="247">
        <v>2.02</v>
      </c>
      <c r="BW176" s="729">
        <f t="shared" si="198"/>
        <v>6060</v>
      </c>
      <c r="BX176" s="730">
        <f t="shared" si="199"/>
        <v>46965</v>
      </c>
      <c r="BY176" s="731" t="str">
        <f t="shared" si="200"/>
        <v>SR</v>
      </c>
    </row>
    <row r="177" s="698" customFormat="1" customHeight="1" spans="1:77">
      <c r="A177" s="208">
        <v>46031</v>
      </c>
      <c r="B177" s="208">
        <v>46127</v>
      </c>
      <c r="C177" s="211" t="s">
        <v>422</v>
      </c>
      <c r="D177" s="211" t="s">
        <v>423</v>
      </c>
      <c r="E177" s="211" t="s">
        <v>55</v>
      </c>
      <c r="F177" s="732">
        <v>2000</v>
      </c>
      <c r="G177" s="211" t="s">
        <v>270</v>
      </c>
      <c r="H177" s="211" t="str">
        <f>IFERROR(VLOOKUP(E177,名称!A:E,4,0),"")</f>
        <v>三代</v>
      </c>
      <c r="I177" s="268" t="str">
        <f t="shared" ref="I177:BT177" si="203">IF(OR($E177="",I$1=""),"",IF(TRIM(LEFT($E177,MIN(IFERROR(FIND("CDU",UPPER($E177)),999),IFERROR(FIND("BULK",UPPER($E177)),999),IFERROR(FIND("-",$E177),999),IFERROR(FIND("（",$E177),999))-1))=I$1,$F177,""))</f>
        <v/>
      </c>
      <c r="J177" s="268" t="str">
        <f t="shared" si="203"/>
        <v/>
      </c>
      <c r="K177" s="268" t="str">
        <f t="shared" si="203"/>
        <v/>
      </c>
      <c r="L177" s="268" t="str">
        <f t="shared" si="203"/>
        <v/>
      </c>
      <c r="M177" s="268" t="str">
        <f t="shared" si="203"/>
        <v/>
      </c>
      <c r="N177" s="268" t="str">
        <f t="shared" si="203"/>
        <v/>
      </c>
      <c r="O177" s="268" t="str">
        <f t="shared" si="203"/>
        <v/>
      </c>
      <c r="P177" s="268" t="str">
        <f t="shared" si="203"/>
        <v/>
      </c>
      <c r="Q177" s="268" t="str">
        <f t="shared" si="203"/>
        <v/>
      </c>
      <c r="R177" s="268" t="str">
        <f t="shared" si="203"/>
        <v/>
      </c>
      <c r="S177" s="268" t="str">
        <f t="shared" si="203"/>
        <v/>
      </c>
      <c r="T177" s="268" t="str">
        <f t="shared" si="203"/>
        <v/>
      </c>
      <c r="U177" s="268" t="str">
        <f t="shared" si="203"/>
        <v/>
      </c>
      <c r="V177" s="268" t="str">
        <f t="shared" si="203"/>
        <v/>
      </c>
      <c r="W177" s="268" t="str">
        <f t="shared" si="203"/>
        <v/>
      </c>
      <c r="X177" s="268" t="str">
        <f t="shared" si="203"/>
        <v/>
      </c>
      <c r="Y177" s="268" t="str">
        <f t="shared" si="203"/>
        <v/>
      </c>
      <c r="Z177" s="268" t="str">
        <f t="shared" si="203"/>
        <v/>
      </c>
      <c r="AA177" s="268" t="str">
        <f t="shared" si="203"/>
        <v/>
      </c>
      <c r="AB177" s="268" t="str">
        <f t="shared" si="203"/>
        <v/>
      </c>
      <c r="AC177" s="268">
        <f t="shared" si="203"/>
        <v>2000</v>
      </c>
      <c r="AD177" s="268" t="str">
        <f t="shared" si="203"/>
        <v/>
      </c>
      <c r="AE177" s="268" t="str">
        <f t="shared" si="203"/>
        <v/>
      </c>
      <c r="AF177" s="268" t="str">
        <f t="shared" si="203"/>
        <v/>
      </c>
      <c r="AG177" s="268" t="str">
        <f t="shared" si="203"/>
        <v/>
      </c>
      <c r="AH177" s="268" t="str">
        <f t="shared" si="203"/>
        <v/>
      </c>
      <c r="AI177" s="268" t="str">
        <f t="shared" si="203"/>
        <v/>
      </c>
      <c r="AJ177" s="268" t="str">
        <f t="shared" si="203"/>
        <v/>
      </c>
      <c r="AK177" s="268" t="str">
        <f t="shared" si="203"/>
        <v/>
      </c>
      <c r="AL177" s="268" t="str">
        <f t="shared" si="203"/>
        <v/>
      </c>
      <c r="AM177" s="268" t="str">
        <f t="shared" si="203"/>
        <v/>
      </c>
      <c r="AN177" s="268" t="str">
        <f t="shared" si="203"/>
        <v/>
      </c>
      <c r="AO177" s="268" t="str">
        <f t="shared" si="203"/>
        <v/>
      </c>
      <c r="AP177" s="268" t="str">
        <f t="shared" si="203"/>
        <v/>
      </c>
      <c r="AQ177" s="268" t="str">
        <f t="shared" si="203"/>
        <v/>
      </c>
      <c r="AR177" s="268" t="str">
        <f t="shared" si="203"/>
        <v/>
      </c>
      <c r="AS177" s="268" t="str">
        <f t="shared" si="203"/>
        <v/>
      </c>
      <c r="AT177" s="268" t="str">
        <f t="shared" si="203"/>
        <v/>
      </c>
      <c r="AU177" s="268" t="str">
        <f t="shared" si="203"/>
        <v/>
      </c>
      <c r="AV177" s="268" t="str">
        <f t="shared" si="203"/>
        <v/>
      </c>
      <c r="AW177" s="268" t="str">
        <f t="shared" si="203"/>
        <v/>
      </c>
      <c r="AX177" s="268" t="str">
        <f t="shared" si="203"/>
        <v/>
      </c>
      <c r="AY177" s="268" t="str">
        <f t="shared" si="203"/>
        <v/>
      </c>
      <c r="AZ177" s="268" t="str">
        <f t="shared" si="203"/>
        <v/>
      </c>
      <c r="BA177" s="268" t="str">
        <f t="shared" si="203"/>
        <v/>
      </c>
      <c r="BB177" s="268" t="str">
        <f t="shared" si="203"/>
        <v/>
      </c>
      <c r="BC177" s="268" t="str">
        <f t="shared" si="203"/>
        <v/>
      </c>
      <c r="BD177" s="268" t="str">
        <f t="shared" si="203"/>
        <v/>
      </c>
      <c r="BE177" s="268" t="str">
        <f t="shared" si="203"/>
        <v/>
      </c>
      <c r="BF177" s="268" t="str">
        <f t="shared" si="203"/>
        <v/>
      </c>
      <c r="BG177" s="268" t="str">
        <f t="shared" si="203"/>
        <v/>
      </c>
      <c r="BH177" s="268" t="str">
        <f t="shared" si="203"/>
        <v/>
      </c>
      <c r="BI177" s="268" t="str">
        <f t="shared" si="203"/>
        <v/>
      </c>
      <c r="BJ177" s="268" t="str">
        <f t="shared" si="203"/>
        <v/>
      </c>
      <c r="BK177" s="268" t="str">
        <f t="shared" si="203"/>
        <v/>
      </c>
      <c r="BL177" s="268" t="str">
        <f t="shared" si="203"/>
        <v/>
      </c>
      <c r="BM177" s="268" t="str">
        <f t="shared" si="203"/>
        <v/>
      </c>
      <c r="BN177" s="268" t="str">
        <f t="shared" si="203"/>
        <v/>
      </c>
      <c r="BO177" s="268" t="str">
        <f t="shared" si="203"/>
        <v/>
      </c>
      <c r="BP177" s="268" t="str">
        <f t="shared" si="203"/>
        <v/>
      </c>
      <c r="BQ177" s="268" t="str">
        <f t="shared" si="203"/>
        <v/>
      </c>
      <c r="BR177" s="268" t="str">
        <f t="shared" si="203"/>
        <v/>
      </c>
      <c r="BS177" s="268" t="str">
        <f t="shared" si="203"/>
        <v/>
      </c>
      <c r="BT177" s="268" t="str">
        <f t="shared" si="203"/>
        <v/>
      </c>
      <c r="BU177" s="268" t="str">
        <f t="shared" si="153"/>
        <v/>
      </c>
      <c r="BV177" s="247">
        <v>0.88</v>
      </c>
      <c r="BW177" s="729">
        <f t="shared" si="198"/>
        <v>1760</v>
      </c>
      <c r="BX177" s="730">
        <f t="shared" si="199"/>
        <v>13640</v>
      </c>
      <c r="BY177" s="731" t="str">
        <f t="shared" si="200"/>
        <v>SR</v>
      </c>
    </row>
    <row r="178" s="698" customFormat="1" customHeight="1" spans="1:77">
      <c r="A178" s="208">
        <v>46031</v>
      </c>
      <c r="B178" s="208">
        <v>46113</v>
      </c>
      <c r="C178" s="211" t="s">
        <v>424</v>
      </c>
      <c r="D178" s="211" t="s">
        <v>425</v>
      </c>
      <c r="E178" s="211" t="s">
        <v>83</v>
      </c>
      <c r="F178" s="732">
        <v>5004</v>
      </c>
      <c r="G178" s="211" t="s">
        <v>270</v>
      </c>
      <c r="H178" s="211" t="str">
        <f>IFERROR(VLOOKUP(E178,名称!A:E,4,0),"")</f>
        <v>三代</v>
      </c>
      <c r="I178" s="268" t="str">
        <f t="shared" ref="I178:BT178" si="204">IF(OR($E178="",I$1=""),"",IF(TRIM(LEFT($E178,MIN(IFERROR(FIND("CDU",UPPER($E178)),999),IFERROR(FIND("BULK",UPPER($E178)),999),IFERROR(FIND("-",$E178),999),IFERROR(FIND("（",$E178),999))-1))=I$1,$F178,""))</f>
        <v/>
      </c>
      <c r="J178" s="268" t="str">
        <f t="shared" si="204"/>
        <v/>
      </c>
      <c r="K178" s="268" t="str">
        <f t="shared" si="204"/>
        <v/>
      </c>
      <c r="L178" s="268" t="str">
        <f t="shared" si="204"/>
        <v/>
      </c>
      <c r="M178" s="268" t="str">
        <f t="shared" si="204"/>
        <v/>
      </c>
      <c r="N178" s="268" t="str">
        <f t="shared" si="204"/>
        <v/>
      </c>
      <c r="O178" s="268" t="str">
        <f t="shared" si="204"/>
        <v/>
      </c>
      <c r="P178" s="268" t="str">
        <f t="shared" si="204"/>
        <v/>
      </c>
      <c r="Q178" s="268" t="str">
        <f t="shared" si="204"/>
        <v/>
      </c>
      <c r="R178" s="268" t="str">
        <f t="shared" si="204"/>
        <v/>
      </c>
      <c r="S178" s="268" t="str">
        <f t="shared" si="204"/>
        <v/>
      </c>
      <c r="T178" s="268" t="str">
        <f t="shared" si="204"/>
        <v/>
      </c>
      <c r="U178" s="268" t="str">
        <f t="shared" si="204"/>
        <v/>
      </c>
      <c r="V178" s="268" t="str">
        <f t="shared" si="204"/>
        <v/>
      </c>
      <c r="W178" s="268" t="str">
        <f t="shared" si="204"/>
        <v/>
      </c>
      <c r="X178" s="268" t="str">
        <f t="shared" si="204"/>
        <v/>
      </c>
      <c r="Y178" s="268" t="str">
        <f t="shared" si="204"/>
        <v/>
      </c>
      <c r="Z178" s="268" t="str">
        <f t="shared" si="204"/>
        <v/>
      </c>
      <c r="AA178" s="268" t="str">
        <f t="shared" si="204"/>
        <v/>
      </c>
      <c r="AB178" s="268" t="str">
        <f t="shared" si="204"/>
        <v/>
      </c>
      <c r="AC178" s="268" t="str">
        <f t="shared" si="204"/>
        <v/>
      </c>
      <c r="AD178" s="268" t="str">
        <f t="shared" si="204"/>
        <v/>
      </c>
      <c r="AE178" s="268" t="str">
        <f t="shared" si="204"/>
        <v/>
      </c>
      <c r="AF178" s="268" t="str">
        <f t="shared" si="204"/>
        <v/>
      </c>
      <c r="AG178" s="268" t="str">
        <f t="shared" si="204"/>
        <v/>
      </c>
      <c r="AH178" s="268" t="str">
        <f t="shared" si="204"/>
        <v/>
      </c>
      <c r="AI178" s="268" t="str">
        <f t="shared" si="204"/>
        <v/>
      </c>
      <c r="AJ178" s="268" t="str">
        <f t="shared" si="204"/>
        <v/>
      </c>
      <c r="AK178" s="268" t="str">
        <f t="shared" si="204"/>
        <v/>
      </c>
      <c r="AL178" s="268" t="str">
        <f t="shared" si="204"/>
        <v/>
      </c>
      <c r="AM178" s="268" t="str">
        <f t="shared" si="204"/>
        <v/>
      </c>
      <c r="AN178" s="268">
        <f t="shared" si="204"/>
        <v>5004</v>
      </c>
      <c r="AO178" s="268" t="str">
        <f t="shared" si="204"/>
        <v/>
      </c>
      <c r="AP178" s="268" t="str">
        <f t="shared" si="204"/>
        <v/>
      </c>
      <c r="AQ178" s="268" t="str">
        <f t="shared" si="204"/>
        <v/>
      </c>
      <c r="AR178" s="268" t="str">
        <f t="shared" si="204"/>
        <v/>
      </c>
      <c r="AS178" s="268" t="str">
        <f t="shared" si="204"/>
        <v/>
      </c>
      <c r="AT178" s="268" t="str">
        <f t="shared" si="204"/>
        <v/>
      </c>
      <c r="AU178" s="268" t="str">
        <f t="shared" si="204"/>
        <v/>
      </c>
      <c r="AV178" s="268" t="str">
        <f t="shared" si="204"/>
        <v/>
      </c>
      <c r="AW178" s="268" t="str">
        <f t="shared" si="204"/>
        <v/>
      </c>
      <c r="AX178" s="268" t="str">
        <f t="shared" si="204"/>
        <v/>
      </c>
      <c r="AY178" s="268" t="str">
        <f t="shared" si="204"/>
        <v/>
      </c>
      <c r="AZ178" s="268" t="str">
        <f t="shared" si="204"/>
        <v/>
      </c>
      <c r="BA178" s="268" t="str">
        <f t="shared" si="204"/>
        <v/>
      </c>
      <c r="BB178" s="268" t="str">
        <f t="shared" si="204"/>
        <v/>
      </c>
      <c r="BC178" s="268" t="str">
        <f t="shared" si="204"/>
        <v/>
      </c>
      <c r="BD178" s="268" t="str">
        <f t="shared" si="204"/>
        <v/>
      </c>
      <c r="BE178" s="268" t="str">
        <f t="shared" si="204"/>
        <v/>
      </c>
      <c r="BF178" s="268" t="str">
        <f t="shared" si="204"/>
        <v/>
      </c>
      <c r="BG178" s="268" t="str">
        <f t="shared" si="204"/>
        <v/>
      </c>
      <c r="BH178" s="268" t="str">
        <f t="shared" si="204"/>
        <v/>
      </c>
      <c r="BI178" s="268" t="str">
        <f t="shared" si="204"/>
        <v/>
      </c>
      <c r="BJ178" s="268" t="str">
        <f t="shared" si="204"/>
        <v/>
      </c>
      <c r="BK178" s="268" t="str">
        <f t="shared" si="204"/>
        <v/>
      </c>
      <c r="BL178" s="268" t="str">
        <f t="shared" si="204"/>
        <v/>
      </c>
      <c r="BM178" s="268" t="str">
        <f t="shared" si="204"/>
        <v/>
      </c>
      <c r="BN178" s="268" t="str">
        <f t="shared" si="204"/>
        <v/>
      </c>
      <c r="BO178" s="268" t="str">
        <f t="shared" si="204"/>
        <v/>
      </c>
      <c r="BP178" s="268" t="str">
        <f t="shared" si="204"/>
        <v/>
      </c>
      <c r="BQ178" s="268" t="str">
        <f t="shared" si="204"/>
        <v/>
      </c>
      <c r="BR178" s="268" t="str">
        <f t="shared" si="204"/>
        <v/>
      </c>
      <c r="BS178" s="268" t="str">
        <f t="shared" si="204"/>
        <v/>
      </c>
      <c r="BT178" s="268" t="str">
        <f t="shared" si="204"/>
        <v/>
      </c>
      <c r="BU178" s="268" t="str">
        <f t="shared" si="153"/>
        <v/>
      </c>
      <c r="BV178" s="247">
        <v>0.91</v>
      </c>
      <c r="BW178" s="729">
        <f t="shared" si="198"/>
        <v>4553.64</v>
      </c>
      <c r="BX178" s="730">
        <f t="shared" si="199"/>
        <v>35290.71</v>
      </c>
      <c r="BY178" s="731" t="str">
        <f t="shared" si="200"/>
        <v>SR</v>
      </c>
    </row>
    <row r="179" s="698" customFormat="1" customHeight="1" spans="1:77">
      <c r="A179" s="208">
        <v>46031</v>
      </c>
      <c r="B179" s="208">
        <v>46098</v>
      </c>
      <c r="C179" s="211" t="s">
        <v>426</v>
      </c>
      <c r="D179" s="211">
        <v>101003438</v>
      </c>
      <c r="E179" s="211" t="s">
        <v>25</v>
      </c>
      <c r="F179" s="732">
        <v>27360</v>
      </c>
      <c r="G179" s="211" t="s">
        <v>327</v>
      </c>
      <c r="H179" s="211" t="str">
        <f>IFERROR(VLOOKUP(E179,名称!A:E,4,0),"")</f>
        <v>二代</v>
      </c>
      <c r="I179" s="268" t="str">
        <f t="shared" ref="I179:BT179" si="205">IF(OR($E179="",I$1=""),"",IF(TRIM(LEFT($E179,MIN(IFERROR(FIND("CDU",UPPER($E179)),999),IFERROR(FIND("BULK",UPPER($E179)),999),IFERROR(FIND("-",$E179),999),IFERROR(FIND("（",$E179),999))-1))=I$1,$F179,""))</f>
        <v/>
      </c>
      <c r="J179" s="268" t="str">
        <f t="shared" si="205"/>
        <v/>
      </c>
      <c r="K179" s="268">
        <f t="shared" si="205"/>
        <v>27360</v>
      </c>
      <c r="L179" s="268" t="str">
        <f t="shared" si="205"/>
        <v/>
      </c>
      <c r="M179" s="268" t="str">
        <f t="shared" si="205"/>
        <v/>
      </c>
      <c r="N179" s="268" t="str">
        <f t="shared" si="205"/>
        <v/>
      </c>
      <c r="O179" s="268" t="str">
        <f t="shared" si="205"/>
        <v/>
      </c>
      <c r="P179" s="268" t="str">
        <f t="shared" si="205"/>
        <v/>
      </c>
      <c r="Q179" s="268" t="str">
        <f t="shared" si="205"/>
        <v/>
      </c>
      <c r="R179" s="268" t="str">
        <f t="shared" si="205"/>
        <v/>
      </c>
      <c r="S179" s="268" t="str">
        <f t="shared" si="205"/>
        <v/>
      </c>
      <c r="T179" s="268" t="str">
        <f t="shared" si="205"/>
        <v/>
      </c>
      <c r="U179" s="268" t="str">
        <f t="shared" si="205"/>
        <v/>
      </c>
      <c r="V179" s="268" t="str">
        <f t="shared" si="205"/>
        <v/>
      </c>
      <c r="W179" s="268" t="str">
        <f t="shared" si="205"/>
        <v/>
      </c>
      <c r="X179" s="268" t="str">
        <f t="shared" si="205"/>
        <v/>
      </c>
      <c r="Y179" s="268" t="str">
        <f t="shared" si="205"/>
        <v/>
      </c>
      <c r="Z179" s="268" t="str">
        <f t="shared" si="205"/>
        <v/>
      </c>
      <c r="AA179" s="268" t="str">
        <f t="shared" si="205"/>
        <v/>
      </c>
      <c r="AB179" s="268" t="str">
        <f t="shared" si="205"/>
        <v/>
      </c>
      <c r="AC179" s="268" t="str">
        <f t="shared" si="205"/>
        <v/>
      </c>
      <c r="AD179" s="268" t="str">
        <f t="shared" si="205"/>
        <v/>
      </c>
      <c r="AE179" s="268" t="str">
        <f t="shared" si="205"/>
        <v/>
      </c>
      <c r="AF179" s="268" t="str">
        <f t="shared" si="205"/>
        <v/>
      </c>
      <c r="AG179" s="268" t="str">
        <f t="shared" si="205"/>
        <v/>
      </c>
      <c r="AH179" s="268" t="str">
        <f t="shared" si="205"/>
        <v/>
      </c>
      <c r="AI179" s="268" t="str">
        <f t="shared" si="205"/>
        <v/>
      </c>
      <c r="AJ179" s="268" t="str">
        <f t="shared" si="205"/>
        <v/>
      </c>
      <c r="AK179" s="268" t="str">
        <f t="shared" si="205"/>
        <v/>
      </c>
      <c r="AL179" s="268" t="str">
        <f t="shared" si="205"/>
        <v/>
      </c>
      <c r="AM179" s="268" t="str">
        <f t="shared" si="205"/>
        <v/>
      </c>
      <c r="AN179" s="268" t="str">
        <f t="shared" si="205"/>
        <v/>
      </c>
      <c r="AO179" s="268" t="str">
        <f t="shared" si="205"/>
        <v/>
      </c>
      <c r="AP179" s="268" t="str">
        <f t="shared" si="205"/>
        <v/>
      </c>
      <c r="AQ179" s="268" t="str">
        <f t="shared" si="205"/>
        <v/>
      </c>
      <c r="AR179" s="268" t="str">
        <f t="shared" si="205"/>
        <v/>
      </c>
      <c r="AS179" s="268" t="str">
        <f t="shared" si="205"/>
        <v/>
      </c>
      <c r="AT179" s="268" t="str">
        <f t="shared" si="205"/>
        <v/>
      </c>
      <c r="AU179" s="268" t="str">
        <f t="shared" si="205"/>
        <v/>
      </c>
      <c r="AV179" s="268" t="str">
        <f t="shared" si="205"/>
        <v/>
      </c>
      <c r="AW179" s="268" t="str">
        <f t="shared" si="205"/>
        <v/>
      </c>
      <c r="AX179" s="268" t="str">
        <f t="shared" si="205"/>
        <v/>
      </c>
      <c r="AY179" s="268" t="str">
        <f t="shared" si="205"/>
        <v/>
      </c>
      <c r="AZ179" s="268" t="str">
        <f t="shared" si="205"/>
        <v/>
      </c>
      <c r="BA179" s="268" t="str">
        <f t="shared" si="205"/>
        <v/>
      </c>
      <c r="BB179" s="268" t="str">
        <f t="shared" si="205"/>
        <v/>
      </c>
      <c r="BC179" s="268" t="str">
        <f t="shared" si="205"/>
        <v/>
      </c>
      <c r="BD179" s="268" t="str">
        <f t="shared" si="205"/>
        <v/>
      </c>
      <c r="BE179" s="268" t="str">
        <f t="shared" si="205"/>
        <v/>
      </c>
      <c r="BF179" s="268" t="str">
        <f t="shared" si="205"/>
        <v/>
      </c>
      <c r="BG179" s="268" t="str">
        <f t="shared" si="205"/>
        <v/>
      </c>
      <c r="BH179" s="268" t="str">
        <f t="shared" si="205"/>
        <v/>
      </c>
      <c r="BI179" s="268" t="str">
        <f t="shared" si="205"/>
        <v/>
      </c>
      <c r="BJ179" s="268" t="str">
        <f t="shared" si="205"/>
        <v/>
      </c>
      <c r="BK179" s="268" t="str">
        <f t="shared" si="205"/>
        <v/>
      </c>
      <c r="BL179" s="268" t="str">
        <f t="shared" si="205"/>
        <v/>
      </c>
      <c r="BM179" s="268" t="str">
        <f t="shared" si="205"/>
        <v/>
      </c>
      <c r="BN179" s="268" t="str">
        <f t="shared" si="205"/>
        <v/>
      </c>
      <c r="BO179" s="268" t="str">
        <f t="shared" si="205"/>
        <v/>
      </c>
      <c r="BP179" s="268" t="str">
        <f t="shared" si="205"/>
        <v/>
      </c>
      <c r="BQ179" s="268" t="str">
        <f t="shared" si="205"/>
        <v/>
      </c>
      <c r="BR179" s="268" t="str">
        <f t="shared" si="205"/>
        <v/>
      </c>
      <c r="BS179" s="268" t="str">
        <f t="shared" si="205"/>
        <v/>
      </c>
      <c r="BT179" s="268" t="str">
        <f t="shared" si="205"/>
        <v/>
      </c>
      <c r="BU179" s="268" t="str">
        <f t="shared" si="153"/>
        <v/>
      </c>
      <c r="BV179" s="247">
        <v>0.86</v>
      </c>
      <c r="BW179" s="729">
        <f t="shared" si="198"/>
        <v>23529.6</v>
      </c>
      <c r="BX179" s="730">
        <f t="shared" si="199"/>
        <v>182354.4</v>
      </c>
      <c r="BY179" s="731" t="str">
        <f t="shared" si="200"/>
        <v>SR</v>
      </c>
    </row>
    <row r="180" s="698" customFormat="1" customHeight="1" spans="1:77">
      <c r="A180" s="208">
        <v>46031</v>
      </c>
      <c r="B180" s="208">
        <v>46098</v>
      </c>
      <c r="C180" s="211" t="s">
        <v>426</v>
      </c>
      <c r="D180" s="211">
        <v>101003438</v>
      </c>
      <c r="E180" s="211" t="s">
        <v>37</v>
      </c>
      <c r="F180" s="732">
        <v>11400</v>
      </c>
      <c r="G180" s="211" t="s">
        <v>327</v>
      </c>
      <c r="H180" s="211" t="str">
        <f>IFERROR(VLOOKUP(E180,名称!A:E,4,0),"")</f>
        <v>二代</v>
      </c>
      <c r="I180" s="268" t="str">
        <f t="shared" ref="I180:BT180" si="206">IF(OR($E180="",I$1=""),"",IF(TRIM(LEFT($E180,MIN(IFERROR(FIND("CDU",UPPER($E180)),999),IFERROR(FIND("BULK",UPPER($E180)),999),IFERROR(FIND("-",$E180),999),IFERROR(FIND("（",$E180),999))-1))=I$1,$F180,""))</f>
        <v/>
      </c>
      <c r="J180" s="268" t="str">
        <f t="shared" si="206"/>
        <v/>
      </c>
      <c r="K180" s="268" t="str">
        <f t="shared" si="206"/>
        <v/>
      </c>
      <c r="L180" s="268" t="str">
        <f t="shared" si="206"/>
        <v/>
      </c>
      <c r="M180" s="268" t="str">
        <f t="shared" si="206"/>
        <v/>
      </c>
      <c r="N180" s="268" t="str">
        <f t="shared" si="206"/>
        <v/>
      </c>
      <c r="O180" s="268" t="str">
        <f t="shared" si="206"/>
        <v/>
      </c>
      <c r="P180" s="268" t="str">
        <f t="shared" si="206"/>
        <v/>
      </c>
      <c r="Q180" s="268" t="str">
        <f t="shared" si="206"/>
        <v/>
      </c>
      <c r="R180" s="268">
        <f t="shared" si="206"/>
        <v>11400</v>
      </c>
      <c r="S180" s="268" t="str">
        <f t="shared" si="206"/>
        <v/>
      </c>
      <c r="T180" s="268" t="str">
        <f t="shared" si="206"/>
        <v/>
      </c>
      <c r="U180" s="268" t="str">
        <f t="shared" si="206"/>
        <v/>
      </c>
      <c r="V180" s="268" t="str">
        <f t="shared" si="206"/>
        <v/>
      </c>
      <c r="W180" s="268" t="str">
        <f t="shared" si="206"/>
        <v/>
      </c>
      <c r="X180" s="268" t="str">
        <f t="shared" si="206"/>
        <v/>
      </c>
      <c r="Y180" s="268" t="str">
        <f t="shared" si="206"/>
        <v/>
      </c>
      <c r="Z180" s="268" t="str">
        <f t="shared" si="206"/>
        <v/>
      </c>
      <c r="AA180" s="268" t="str">
        <f t="shared" si="206"/>
        <v/>
      </c>
      <c r="AB180" s="268" t="str">
        <f t="shared" si="206"/>
        <v/>
      </c>
      <c r="AC180" s="268" t="str">
        <f t="shared" si="206"/>
        <v/>
      </c>
      <c r="AD180" s="268" t="str">
        <f t="shared" si="206"/>
        <v/>
      </c>
      <c r="AE180" s="268" t="str">
        <f t="shared" si="206"/>
        <v/>
      </c>
      <c r="AF180" s="268" t="str">
        <f t="shared" si="206"/>
        <v/>
      </c>
      <c r="AG180" s="268" t="str">
        <f t="shared" si="206"/>
        <v/>
      </c>
      <c r="AH180" s="268" t="str">
        <f t="shared" si="206"/>
        <v/>
      </c>
      <c r="AI180" s="268" t="str">
        <f t="shared" si="206"/>
        <v/>
      </c>
      <c r="AJ180" s="268" t="str">
        <f t="shared" si="206"/>
        <v/>
      </c>
      <c r="AK180" s="268" t="str">
        <f t="shared" si="206"/>
        <v/>
      </c>
      <c r="AL180" s="268" t="str">
        <f t="shared" si="206"/>
        <v/>
      </c>
      <c r="AM180" s="268" t="str">
        <f t="shared" si="206"/>
        <v/>
      </c>
      <c r="AN180" s="268" t="str">
        <f t="shared" si="206"/>
        <v/>
      </c>
      <c r="AO180" s="268" t="str">
        <f t="shared" si="206"/>
        <v/>
      </c>
      <c r="AP180" s="268" t="str">
        <f t="shared" si="206"/>
        <v/>
      </c>
      <c r="AQ180" s="268" t="str">
        <f t="shared" si="206"/>
        <v/>
      </c>
      <c r="AR180" s="268" t="str">
        <f t="shared" si="206"/>
        <v/>
      </c>
      <c r="AS180" s="268" t="str">
        <f t="shared" si="206"/>
        <v/>
      </c>
      <c r="AT180" s="268" t="str">
        <f t="shared" si="206"/>
        <v/>
      </c>
      <c r="AU180" s="268" t="str">
        <f t="shared" si="206"/>
        <v/>
      </c>
      <c r="AV180" s="268" t="str">
        <f t="shared" si="206"/>
        <v/>
      </c>
      <c r="AW180" s="268" t="str">
        <f t="shared" si="206"/>
        <v/>
      </c>
      <c r="AX180" s="268" t="str">
        <f t="shared" si="206"/>
        <v/>
      </c>
      <c r="AY180" s="268" t="str">
        <f t="shared" si="206"/>
        <v/>
      </c>
      <c r="AZ180" s="268" t="str">
        <f t="shared" si="206"/>
        <v/>
      </c>
      <c r="BA180" s="268" t="str">
        <f t="shared" si="206"/>
        <v/>
      </c>
      <c r="BB180" s="268" t="str">
        <f t="shared" si="206"/>
        <v/>
      </c>
      <c r="BC180" s="268" t="str">
        <f t="shared" si="206"/>
        <v/>
      </c>
      <c r="BD180" s="268" t="str">
        <f t="shared" si="206"/>
        <v/>
      </c>
      <c r="BE180" s="268" t="str">
        <f t="shared" si="206"/>
        <v/>
      </c>
      <c r="BF180" s="268" t="str">
        <f t="shared" si="206"/>
        <v/>
      </c>
      <c r="BG180" s="268" t="str">
        <f t="shared" si="206"/>
        <v/>
      </c>
      <c r="BH180" s="268" t="str">
        <f t="shared" si="206"/>
        <v/>
      </c>
      <c r="BI180" s="268" t="str">
        <f t="shared" si="206"/>
        <v/>
      </c>
      <c r="BJ180" s="268" t="str">
        <f t="shared" si="206"/>
        <v/>
      </c>
      <c r="BK180" s="268" t="str">
        <f t="shared" si="206"/>
        <v/>
      </c>
      <c r="BL180" s="268" t="str">
        <f t="shared" si="206"/>
        <v/>
      </c>
      <c r="BM180" s="268" t="str">
        <f t="shared" si="206"/>
        <v/>
      </c>
      <c r="BN180" s="268" t="str">
        <f t="shared" si="206"/>
        <v/>
      </c>
      <c r="BO180" s="268" t="str">
        <f t="shared" si="206"/>
        <v/>
      </c>
      <c r="BP180" s="268" t="str">
        <f t="shared" si="206"/>
        <v/>
      </c>
      <c r="BQ180" s="268" t="str">
        <f t="shared" si="206"/>
        <v/>
      </c>
      <c r="BR180" s="268" t="str">
        <f t="shared" si="206"/>
        <v/>
      </c>
      <c r="BS180" s="268" t="str">
        <f t="shared" si="206"/>
        <v/>
      </c>
      <c r="BT180" s="268" t="str">
        <f t="shared" si="206"/>
        <v/>
      </c>
      <c r="BU180" s="268" t="str">
        <f t="shared" si="153"/>
        <v/>
      </c>
      <c r="BV180" s="247">
        <v>2.02</v>
      </c>
      <c r="BW180" s="729">
        <f t="shared" si="198"/>
        <v>23028</v>
      </c>
      <c r="BX180" s="730">
        <f t="shared" si="199"/>
        <v>178467</v>
      </c>
      <c r="BY180" s="731" t="str">
        <f t="shared" si="200"/>
        <v>SR</v>
      </c>
    </row>
    <row r="181" s="698" customFormat="1" customHeight="1" spans="1:77">
      <c r="A181" s="208">
        <v>46031</v>
      </c>
      <c r="B181" s="208">
        <v>46098</v>
      </c>
      <c r="C181" s="211" t="s">
        <v>426</v>
      </c>
      <c r="D181" s="211">
        <v>101003438</v>
      </c>
      <c r="E181" s="211" t="s">
        <v>38</v>
      </c>
      <c r="F181" s="732">
        <v>3100</v>
      </c>
      <c r="G181" s="211" t="s">
        <v>327</v>
      </c>
      <c r="H181" s="211" t="str">
        <f>IFERROR(VLOOKUP(E181,名称!A:E,4,0),"")</f>
        <v>二代</v>
      </c>
      <c r="I181" s="268" t="str">
        <f t="shared" ref="I181:BT181" si="207">IF(OR($E181="",I$1=""),"",IF(TRIM(LEFT($E181,MIN(IFERROR(FIND("CDU",UPPER($E181)),999),IFERROR(FIND("BULK",UPPER($E181)),999),IFERROR(FIND("-",$E181),999),IFERROR(FIND("（",$E181),999))-1))=I$1,$F181,""))</f>
        <v/>
      </c>
      <c r="J181" s="268" t="str">
        <f t="shared" si="207"/>
        <v/>
      </c>
      <c r="K181" s="268" t="str">
        <f t="shared" si="207"/>
        <v/>
      </c>
      <c r="L181" s="268" t="str">
        <f t="shared" si="207"/>
        <v/>
      </c>
      <c r="M181" s="268" t="str">
        <f t="shared" si="207"/>
        <v/>
      </c>
      <c r="N181" s="268" t="str">
        <f t="shared" si="207"/>
        <v/>
      </c>
      <c r="O181" s="268" t="str">
        <f t="shared" si="207"/>
        <v/>
      </c>
      <c r="P181" s="268" t="str">
        <f t="shared" si="207"/>
        <v/>
      </c>
      <c r="Q181" s="268" t="str">
        <f t="shared" si="207"/>
        <v/>
      </c>
      <c r="R181" s="268" t="str">
        <f t="shared" si="207"/>
        <v/>
      </c>
      <c r="S181" s="268" t="str">
        <f t="shared" si="207"/>
        <v/>
      </c>
      <c r="T181" s="268">
        <f t="shared" si="207"/>
        <v>3100</v>
      </c>
      <c r="U181" s="268" t="str">
        <f t="shared" si="207"/>
        <v/>
      </c>
      <c r="V181" s="268" t="str">
        <f t="shared" si="207"/>
        <v/>
      </c>
      <c r="W181" s="268" t="str">
        <f t="shared" si="207"/>
        <v/>
      </c>
      <c r="X181" s="268" t="str">
        <f t="shared" si="207"/>
        <v/>
      </c>
      <c r="Y181" s="268" t="str">
        <f t="shared" si="207"/>
        <v/>
      </c>
      <c r="Z181" s="268" t="str">
        <f t="shared" si="207"/>
        <v/>
      </c>
      <c r="AA181" s="268" t="str">
        <f t="shared" si="207"/>
        <v/>
      </c>
      <c r="AB181" s="268" t="str">
        <f t="shared" si="207"/>
        <v/>
      </c>
      <c r="AC181" s="268" t="str">
        <f t="shared" si="207"/>
        <v/>
      </c>
      <c r="AD181" s="268" t="str">
        <f t="shared" si="207"/>
        <v/>
      </c>
      <c r="AE181" s="268" t="str">
        <f t="shared" si="207"/>
        <v/>
      </c>
      <c r="AF181" s="268" t="str">
        <f t="shared" si="207"/>
        <v/>
      </c>
      <c r="AG181" s="268" t="str">
        <f t="shared" si="207"/>
        <v/>
      </c>
      <c r="AH181" s="268" t="str">
        <f t="shared" si="207"/>
        <v/>
      </c>
      <c r="AI181" s="268" t="str">
        <f t="shared" si="207"/>
        <v/>
      </c>
      <c r="AJ181" s="268" t="str">
        <f t="shared" si="207"/>
        <v/>
      </c>
      <c r="AK181" s="268" t="str">
        <f t="shared" si="207"/>
        <v/>
      </c>
      <c r="AL181" s="268" t="str">
        <f t="shared" si="207"/>
        <v/>
      </c>
      <c r="AM181" s="268" t="str">
        <f t="shared" si="207"/>
        <v/>
      </c>
      <c r="AN181" s="268" t="str">
        <f t="shared" si="207"/>
        <v/>
      </c>
      <c r="AO181" s="268" t="str">
        <f t="shared" si="207"/>
        <v/>
      </c>
      <c r="AP181" s="268" t="str">
        <f t="shared" si="207"/>
        <v/>
      </c>
      <c r="AQ181" s="268" t="str">
        <f t="shared" si="207"/>
        <v/>
      </c>
      <c r="AR181" s="268" t="str">
        <f t="shared" si="207"/>
        <v/>
      </c>
      <c r="AS181" s="268" t="str">
        <f t="shared" si="207"/>
        <v/>
      </c>
      <c r="AT181" s="268" t="str">
        <f t="shared" si="207"/>
        <v/>
      </c>
      <c r="AU181" s="268" t="str">
        <f t="shared" si="207"/>
        <v/>
      </c>
      <c r="AV181" s="268" t="str">
        <f t="shared" si="207"/>
        <v/>
      </c>
      <c r="AW181" s="268" t="str">
        <f t="shared" si="207"/>
        <v/>
      </c>
      <c r="AX181" s="268" t="str">
        <f t="shared" si="207"/>
        <v/>
      </c>
      <c r="AY181" s="268" t="str">
        <f t="shared" si="207"/>
        <v/>
      </c>
      <c r="AZ181" s="268" t="str">
        <f t="shared" si="207"/>
        <v/>
      </c>
      <c r="BA181" s="268" t="str">
        <f t="shared" si="207"/>
        <v/>
      </c>
      <c r="BB181" s="268" t="str">
        <f t="shared" si="207"/>
        <v/>
      </c>
      <c r="BC181" s="268" t="str">
        <f t="shared" si="207"/>
        <v/>
      </c>
      <c r="BD181" s="268" t="str">
        <f t="shared" si="207"/>
        <v/>
      </c>
      <c r="BE181" s="268" t="str">
        <f t="shared" si="207"/>
        <v/>
      </c>
      <c r="BF181" s="268" t="str">
        <f t="shared" si="207"/>
        <v/>
      </c>
      <c r="BG181" s="268" t="str">
        <f t="shared" si="207"/>
        <v/>
      </c>
      <c r="BH181" s="268" t="str">
        <f t="shared" si="207"/>
        <v/>
      </c>
      <c r="BI181" s="268" t="str">
        <f t="shared" si="207"/>
        <v/>
      </c>
      <c r="BJ181" s="268" t="str">
        <f t="shared" si="207"/>
        <v/>
      </c>
      <c r="BK181" s="268" t="str">
        <f t="shared" si="207"/>
        <v/>
      </c>
      <c r="BL181" s="268" t="str">
        <f t="shared" si="207"/>
        <v/>
      </c>
      <c r="BM181" s="268" t="str">
        <f t="shared" si="207"/>
        <v/>
      </c>
      <c r="BN181" s="268" t="str">
        <f t="shared" si="207"/>
        <v/>
      </c>
      <c r="BO181" s="268" t="str">
        <f t="shared" si="207"/>
        <v/>
      </c>
      <c r="BP181" s="268" t="str">
        <f t="shared" si="207"/>
        <v/>
      </c>
      <c r="BQ181" s="268" t="str">
        <f t="shared" si="207"/>
        <v/>
      </c>
      <c r="BR181" s="268" t="str">
        <f t="shared" si="207"/>
        <v/>
      </c>
      <c r="BS181" s="268" t="str">
        <f t="shared" si="207"/>
        <v/>
      </c>
      <c r="BT181" s="268" t="str">
        <f t="shared" si="207"/>
        <v/>
      </c>
      <c r="BU181" s="268" t="str">
        <f t="shared" si="153"/>
        <v/>
      </c>
      <c r="BV181" s="247">
        <v>3.09</v>
      </c>
      <c r="BW181" s="729">
        <f t="shared" si="198"/>
        <v>9579</v>
      </c>
      <c r="BX181" s="730">
        <f t="shared" si="199"/>
        <v>74237.25</v>
      </c>
      <c r="BY181" s="731" t="str">
        <f t="shared" si="200"/>
        <v>SR</v>
      </c>
    </row>
    <row r="182" s="698" customFormat="1" customHeight="1" spans="1:77">
      <c r="A182" s="208">
        <v>46032</v>
      </c>
      <c r="B182" s="208">
        <v>46119</v>
      </c>
      <c r="C182" s="211" t="s">
        <v>427</v>
      </c>
      <c r="D182" s="211" t="s">
        <v>428</v>
      </c>
      <c r="E182" s="211" t="s">
        <v>85</v>
      </c>
      <c r="F182" s="732">
        <v>21600</v>
      </c>
      <c r="G182" s="211" t="s">
        <v>270</v>
      </c>
      <c r="H182" s="211" t="str">
        <f>IFERROR(VLOOKUP(E182,名称!A:E,4,0),"")</f>
        <v>三代</v>
      </c>
      <c r="I182" s="268" t="str">
        <f t="shared" ref="I182:BT182" si="208">IF(OR($E182="",I$1=""),"",IF(TRIM(LEFT($E182,MIN(IFERROR(FIND("CDU",UPPER($E182)),999),IFERROR(FIND("BULK",UPPER($E182)),999),IFERROR(FIND("-",$E182),999),IFERROR(FIND("（",$E182),999))-1))=I$1,$F182,""))</f>
        <v/>
      </c>
      <c r="J182" s="268" t="str">
        <f t="shared" si="208"/>
        <v/>
      </c>
      <c r="K182" s="268" t="str">
        <f t="shared" si="208"/>
        <v/>
      </c>
      <c r="L182" s="268" t="str">
        <f t="shared" si="208"/>
        <v/>
      </c>
      <c r="M182" s="268" t="str">
        <f t="shared" si="208"/>
        <v/>
      </c>
      <c r="N182" s="268" t="str">
        <f t="shared" si="208"/>
        <v/>
      </c>
      <c r="O182" s="268" t="str">
        <f t="shared" si="208"/>
        <v/>
      </c>
      <c r="P182" s="268" t="str">
        <f t="shared" si="208"/>
        <v/>
      </c>
      <c r="Q182" s="268" t="str">
        <f t="shared" si="208"/>
        <v/>
      </c>
      <c r="R182" s="268" t="str">
        <f t="shared" si="208"/>
        <v/>
      </c>
      <c r="S182" s="268" t="str">
        <f t="shared" si="208"/>
        <v/>
      </c>
      <c r="T182" s="268" t="str">
        <f t="shared" si="208"/>
        <v/>
      </c>
      <c r="U182" s="268" t="str">
        <f t="shared" si="208"/>
        <v/>
      </c>
      <c r="V182" s="268" t="str">
        <f t="shared" si="208"/>
        <v/>
      </c>
      <c r="W182" s="268" t="str">
        <f t="shared" si="208"/>
        <v/>
      </c>
      <c r="X182" s="268" t="str">
        <f t="shared" si="208"/>
        <v/>
      </c>
      <c r="Y182" s="268" t="str">
        <f t="shared" si="208"/>
        <v/>
      </c>
      <c r="Z182" s="268" t="str">
        <f t="shared" si="208"/>
        <v/>
      </c>
      <c r="AA182" s="268" t="str">
        <f t="shared" si="208"/>
        <v/>
      </c>
      <c r="AB182" s="268" t="str">
        <f t="shared" si="208"/>
        <v/>
      </c>
      <c r="AC182" s="268" t="str">
        <f t="shared" si="208"/>
        <v/>
      </c>
      <c r="AD182" s="268" t="str">
        <f t="shared" si="208"/>
        <v/>
      </c>
      <c r="AE182" s="268" t="str">
        <f t="shared" si="208"/>
        <v/>
      </c>
      <c r="AF182" s="268" t="str">
        <f t="shared" si="208"/>
        <v/>
      </c>
      <c r="AG182" s="268" t="str">
        <f t="shared" si="208"/>
        <v/>
      </c>
      <c r="AH182" s="268" t="str">
        <f t="shared" si="208"/>
        <v/>
      </c>
      <c r="AI182" s="268" t="str">
        <f t="shared" si="208"/>
        <v/>
      </c>
      <c r="AJ182" s="268" t="str">
        <f t="shared" si="208"/>
        <v/>
      </c>
      <c r="AK182" s="268" t="str">
        <f t="shared" si="208"/>
        <v/>
      </c>
      <c r="AL182" s="268" t="str">
        <f t="shared" si="208"/>
        <v/>
      </c>
      <c r="AM182" s="268" t="str">
        <f t="shared" si="208"/>
        <v/>
      </c>
      <c r="AN182" s="268">
        <f t="shared" si="208"/>
        <v>21600</v>
      </c>
      <c r="AO182" s="268" t="str">
        <f t="shared" si="208"/>
        <v/>
      </c>
      <c r="AP182" s="268" t="str">
        <f t="shared" si="208"/>
        <v/>
      </c>
      <c r="AQ182" s="268" t="str">
        <f t="shared" si="208"/>
        <v/>
      </c>
      <c r="AR182" s="268" t="str">
        <f t="shared" si="208"/>
        <v/>
      </c>
      <c r="AS182" s="268" t="str">
        <f t="shared" si="208"/>
        <v/>
      </c>
      <c r="AT182" s="268" t="str">
        <f t="shared" si="208"/>
        <v/>
      </c>
      <c r="AU182" s="268" t="str">
        <f t="shared" si="208"/>
        <v/>
      </c>
      <c r="AV182" s="268" t="str">
        <f t="shared" si="208"/>
        <v/>
      </c>
      <c r="AW182" s="268" t="str">
        <f t="shared" si="208"/>
        <v/>
      </c>
      <c r="AX182" s="268" t="str">
        <f t="shared" si="208"/>
        <v/>
      </c>
      <c r="AY182" s="268" t="str">
        <f t="shared" si="208"/>
        <v/>
      </c>
      <c r="AZ182" s="268" t="str">
        <f t="shared" si="208"/>
        <v/>
      </c>
      <c r="BA182" s="268" t="str">
        <f t="shared" si="208"/>
        <v/>
      </c>
      <c r="BB182" s="268" t="str">
        <f t="shared" si="208"/>
        <v/>
      </c>
      <c r="BC182" s="268" t="str">
        <f t="shared" si="208"/>
        <v/>
      </c>
      <c r="BD182" s="268" t="str">
        <f t="shared" si="208"/>
        <v/>
      </c>
      <c r="BE182" s="268" t="str">
        <f t="shared" si="208"/>
        <v/>
      </c>
      <c r="BF182" s="268" t="str">
        <f t="shared" si="208"/>
        <v/>
      </c>
      <c r="BG182" s="268" t="str">
        <f t="shared" si="208"/>
        <v/>
      </c>
      <c r="BH182" s="268" t="str">
        <f t="shared" si="208"/>
        <v/>
      </c>
      <c r="BI182" s="268" t="str">
        <f t="shared" si="208"/>
        <v/>
      </c>
      <c r="BJ182" s="268" t="str">
        <f t="shared" si="208"/>
        <v/>
      </c>
      <c r="BK182" s="268" t="str">
        <f t="shared" si="208"/>
        <v/>
      </c>
      <c r="BL182" s="268" t="str">
        <f t="shared" si="208"/>
        <v/>
      </c>
      <c r="BM182" s="268" t="str">
        <f t="shared" si="208"/>
        <v/>
      </c>
      <c r="BN182" s="268" t="str">
        <f t="shared" si="208"/>
        <v/>
      </c>
      <c r="BO182" s="268" t="str">
        <f t="shared" si="208"/>
        <v/>
      </c>
      <c r="BP182" s="268" t="str">
        <f t="shared" si="208"/>
        <v/>
      </c>
      <c r="BQ182" s="268" t="str">
        <f t="shared" si="208"/>
        <v/>
      </c>
      <c r="BR182" s="268" t="str">
        <f t="shared" si="208"/>
        <v/>
      </c>
      <c r="BS182" s="268" t="str">
        <f t="shared" si="208"/>
        <v/>
      </c>
      <c r="BT182" s="268" t="str">
        <f t="shared" si="208"/>
        <v/>
      </c>
      <c r="BU182" s="268" t="str">
        <f t="shared" si="153"/>
        <v/>
      </c>
      <c r="BV182" s="247">
        <v>0.88</v>
      </c>
      <c r="BW182" s="729">
        <f t="shared" si="198"/>
        <v>19008</v>
      </c>
      <c r="BX182" s="730">
        <f t="shared" si="199"/>
        <v>147312</v>
      </c>
      <c r="BY182" s="731" t="str">
        <f t="shared" si="200"/>
        <v>SR</v>
      </c>
    </row>
    <row r="183" s="698" customFormat="1" customHeight="1" spans="1:77">
      <c r="A183" s="208">
        <v>46032</v>
      </c>
      <c r="B183" s="208">
        <v>46136</v>
      </c>
      <c r="C183" s="211" t="s">
        <v>429</v>
      </c>
      <c r="D183" s="211" t="s">
        <v>430</v>
      </c>
      <c r="E183" s="211" t="s">
        <v>63</v>
      </c>
      <c r="F183" s="732">
        <v>43200</v>
      </c>
      <c r="G183" s="211" t="s">
        <v>270</v>
      </c>
      <c r="H183" s="211" t="str">
        <f>IFERROR(VLOOKUP(E183,名称!A:E,4,0),"")</f>
        <v>三代</v>
      </c>
      <c r="I183" s="268" t="str">
        <f t="shared" ref="I183:BT183" si="209">IF(OR($E183="",I$1=""),"",IF(TRIM(LEFT($E183,MIN(IFERROR(FIND("CDU",UPPER($E183)),999),IFERROR(FIND("BULK",UPPER($E183)),999),IFERROR(FIND("-",$E183),999),IFERROR(FIND("（",$E183),999))-1))=I$1,$F183,""))</f>
        <v/>
      </c>
      <c r="J183" s="268" t="str">
        <f t="shared" si="209"/>
        <v/>
      </c>
      <c r="K183" s="268" t="str">
        <f t="shared" si="209"/>
        <v/>
      </c>
      <c r="L183" s="268" t="str">
        <f t="shared" si="209"/>
        <v/>
      </c>
      <c r="M183" s="268" t="str">
        <f t="shared" si="209"/>
        <v/>
      </c>
      <c r="N183" s="268" t="str">
        <f t="shared" si="209"/>
        <v/>
      </c>
      <c r="O183" s="268" t="str">
        <f t="shared" si="209"/>
        <v/>
      </c>
      <c r="P183" s="268" t="str">
        <f t="shared" si="209"/>
        <v/>
      </c>
      <c r="Q183" s="268" t="str">
        <f t="shared" si="209"/>
        <v/>
      </c>
      <c r="R183" s="268" t="str">
        <f t="shared" si="209"/>
        <v/>
      </c>
      <c r="S183" s="268" t="str">
        <f t="shared" si="209"/>
        <v/>
      </c>
      <c r="T183" s="268" t="str">
        <f t="shared" si="209"/>
        <v/>
      </c>
      <c r="U183" s="268" t="str">
        <f t="shared" si="209"/>
        <v/>
      </c>
      <c r="V183" s="268" t="str">
        <f t="shared" si="209"/>
        <v/>
      </c>
      <c r="W183" s="268" t="str">
        <f t="shared" si="209"/>
        <v/>
      </c>
      <c r="X183" s="268" t="str">
        <f t="shared" si="209"/>
        <v/>
      </c>
      <c r="Y183" s="268" t="str">
        <f t="shared" si="209"/>
        <v/>
      </c>
      <c r="Z183" s="268" t="str">
        <f t="shared" si="209"/>
        <v/>
      </c>
      <c r="AA183" s="268" t="str">
        <f t="shared" si="209"/>
        <v/>
      </c>
      <c r="AB183" s="268" t="str">
        <f t="shared" si="209"/>
        <v/>
      </c>
      <c r="AC183" s="268" t="str">
        <f t="shared" si="209"/>
        <v/>
      </c>
      <c r="AD183" s="268" t="str">
        <f t="shared" si="209"/>
        <v/>
      </c>
      <c r="AE183" s="268" t="str">
        <f t="shared" si="209"/>
        <v/>
      </c>
      <c r="AF183" s="268">
        <f t="shared" si="209"/>
        <v>43200</v>
      </c>
      <c r="AG183" s="268" t="str">
        <f t="shared" si="209"/>
        <v/>
      </c>
      <c r="AH183" s="268" t="str">
        <f t="shared" si="209"/>
        <v/>
      </c>
      <c r="AI183" s="268" t="str">
        <f t="shared" si="209"/>
        <v/>
      </c>
      <c r="AJ183" s="268" t="str">
        <f t="shared" si="209"/>
        <v/>
      </c>
      <c r="AK183" s="268" t="str">
        <f t="shared" si="209"/>
        <v/>
      </c>
      <c r="AL183" s="268" t="str">
        <f t="shared" si="209"/>
        <v/>
      </c>
      <c r="AM183" s="268" t="str">
        <f t="shared" si="209"/>
        <v/>
      </c>
      <c r="AN183" s="268" t="str">
        <f t="shared" si="209"/>
        <v/>
      </c>
      <c r="AO183" s="268" t="str">
        <f t="shared" si="209"/>
        <v/>
      </c>
      <c r="AP183" s="268" t="str">
        <f t="shared" si="209"/>
        <v/>
      </c>
      <c r="AQ183" s="268" t="str">
        <f t="shared" si="209"/>
        <v/>
      </c>
      <c r="AR183" s="268" t="str">
        <f t="shared" si="209"/>
        <v/>
      </c>
      <c r="AS183" s="268" t="str">
        <f t="shared" si="209"/>
        <v/>
      </c>
      <c r="AT183" s="268" t="str">
        <f t="shared" si="209"/>
        <v/>
      </c>
      <c r="AU183" s="268" t="str">
        <f t="shared" si="209"/>
        <v/>
      </c>
      <c r="AV183" s="268" t="str">
        <f t="shared" si="209"/>
        <v/>
      </c>
      <c r="AW183" s="268" t="str">
        <f t="shared" si="209"/>
        <v/>
      </c>
      <c r="AX183" s="268" t="str">
        <f t="shared" si="209"/>
        <v/>
      </c>
      <c r="AY183" s="268" t="str">
        <f t="shared" si="209"/>
        <v/>
      </c>
      <c r="AZ183" s="268" t="str">
        <f t="shared" si="209"/>
        <v/>
      </c>
      <c r="BA183" s="268" t="str">
        <f t="shared" si="209"/>
        <v/>
      </c>
      <c r="BB183" s="268" t="str">
        <f t="shared" si="209"/>
        <v/>
      </c>
      <c r="BC183" s="268" t="str">
        <f t="shared" si="209"/>
        <v/>
      </c>
      <c r="BD183" s="268" t="str">
        <f t="shared" si="209"/>
        <v/>
      </c>
      <c r="BE183" s="268" t="str">
        <f t="shared" si="209"/>
        <v/>
      </c>
      <c r="BF183" s="268" t="str">
        <f t="shared" si="209"/>
        <v/>
      </c>
      <c r="BG183" s="268" t="str">
        <f t="shared" si="209"/>
        <v/>
      </c>
      <c r="BH183" s="268" t="str">
        <f t="shared" si="209"/>
        <v/>
      </c>
      <c r="BI183" s="268" t="str">
        <f t="shared" si="209"/>
        <v/>
      </c>
      <c r="BJ183" s="268" t="str">
        <f t="shared" si="209"/>
        <v/>
      </c>
      <c r="BK183" s="268" t="str">
        <f t="shared" si="209"/>
        <v/>
      </c>
      <c r="BL183" s="268" t="str">
        <f t="shared" si="209"/>
        <v/>
      </c>
      <c r="BM183" s="268" t="str">
        <f t="shared" si="209"/>
        <v/>
      </c>
      <c r="BN183" s="268" t="str">
        <f t="shared" si="209"/>
        <v/>
      </c>
      <c r="BO183" s="268" t="str">
        <f t="shared" si="209"/>
        <v/>
      </c>
      <c r="BP183" s="268" t="str">
        <f t="shared" si="209"/>
        <v/>
      </c>
      <c r="BQ183" s="268" t="str">
        <f t="shared" si="209"/>
        <v/>
      </c>
      <c r="BR183" s="268" t="str">
        <f t="shared" si="209"/>
        <v/>
      </c>
      <c r="BS183" s="268" t="str">
        <f t="shared" si="209"/>
        <v/>
      </c>
      <c r="BT183" s="268" t="str">
        <f t="shared" si="209"/>
        <v/>
      </c>
      <c r="BU183" s="268" t="str">
        <f t="shared" si="153"/>
        <v/>
      </c>
      <c r="BV183" s="247">
        <v>0.62</v>
      </c>
      <c r="BW183" s="729">
        <f t="shared" si="198"/>
        <v>26784</v>
      </c>
      <c r="BX183" s="730">
        <f t="shared" si="199"/>
        <v>207576</v>
      </c>
      <c r="BY183" s="731" t="str">
        <f t="shared" si="200"/>
        <v>SR</v>
      </c>
    </row>
    <row r="184" s="698" customFormat="1" customHeight="1" spans="1:77">
      <c r="A184" s="208">
        <v>46035</v>
      </c>
      <c r="B184" s="208">
        <v>46157</v>
      </c>
      <c r="C184" s="211" t="s">
        <v>431</v>
      </c>
      <c r="D184" s="211" t="s">
        <v>432</v>
      </c>
      <c r="E184" s="211" t="s">
        <v>94</v>
      </c>
      <c r="F184" s="732">
        <v>16008</v>
      </c>
      <c r="G184" s="211" t="s">
        <v>270</v>
      </c>
      <c r="H184" s="211" t="str">
        <f>IFERROR(VLOOKUP(E184,名称!A:E,4,0),"")</f>
        <v>三代</v>
      </c>
      <c r="I184" s="268" t="str">
        <f t="shared" ref="I184:BT184" si="210">IF(OR($E184="",I$1=""),"",IF(TRIM(LEFT($E184,MIN(IFERROR(FIND("CDU",UPPER($E184)),999),IFERROR(FIND("BULK",UPPER($E184)),999),IFERROR(FIND("-",$E184),999),IFERROR(FIND("（",$E184),999))-1))=I$1,$F184,""))</f>
        <v/>
      </c>
      <c r="J184" s="268" t="str">
        <f t="shared" si="210"/>
        <v/>
      </c>
      <c r="K184" s="268" t="str">
        <f t="shared" si="210"/>
        <v/>
      </c>
      <c r="L184" s="268" t="str">
        <f t="shared" si="210"/>
        <v/>
      </c>
      <c r="M184" s="268" t="str">
        <f t="shared" si="210"/>
        <v/>
      </c>
      <c r="N184" s="268" t="str">
        <f t="shared" si="210"/>
        <v/>
      </c>
      <c r="O184" s="268" t="str">
        <f t="shared" si="210"/>
        <v/>
      </c>
      <c r="P184" s="268" t="str">
        <f t="shared" si="210"/>
        <v/>
      </c>
      <c r="Q184" s="268" t="str">
        <f t="shared" si="210"/>
        <v/>
      </c>
      <c r="R184" s="268" t="str">
        <f t="shared" si="210"/>
        <v/>
      </c>
      <c r="S184" s="268" t="str">
        <f t="shared" si="210"/>
        <v/>
      </c>
      <c r="T184" s="268" t="str">
        <f t="shared" si="210"/>
        <v/>
      </c>
      <c r="U184" s="268" t="str">
        <f t="shared" si="210"/>
        <v/>
      </c>
      <c r="V184" s="268" t="str">
        <f t="shared" si="210"/>
        <v/>
      </c>
      <c r="W184" s="268" t="str">
        <f t="shared" si="210"/>
        <v/>
      </c>
      <c r="X184" s="268" t="str">
        <f t="shared" si="210"/>
        <v/>
      </c>
      <c r="Y184" s="268" t="str">
        <f t="shared" si="210"/>
        <v/>
      </c>
      <c r="Z184" s="268" t="str">
        <f t="shared" si="210"/>
        <v/>
      </c>
      <c r="AA184" s="268" t="str">
        <f t="shared" si="210"/>
        <v/>
      </c>
      <c r="AB184" s="268" t="str">
        <f t="shared" si="210"/>
        <v/>
      </c>
      <c r="AC184" s="268" t="str">
        <f t="shared" si="210"/>
        <v/>
      </c>
      <c r="AD184" s="268" t="str">
        <f t="shared" si="210"/>
        <v/>
      </c>
      <c r="AE184" s="268" t="str">
        <f t="shared" si="210"/>
        <v/>
      </c>
      <c r="AF184" s="268" t="str">
        <f t="shared" si="210"/>
        <v/>
      </c>
      <c r="AG184" s="268" t="str">
        <f t="shared" si="210"/>
        <v/>
      </c>
      <c r="AH184" s="268" t="str">
        <f t="shared" si="210"/>
        <v/>
      </c>
      <c r="AI184" s="268" t="str">
        <f t="shared" si="210"/>
        <v/>
      </c>
      <c r="AJ184" s="268" t="str">
        <f t="shared" si="210"/>
        <v/>
      </c>
      <c r="AK184" s="268" t="str">
        <f t="shared" si="210"/>
        <v/>
      </c>
      <c r="AL184" s="268" t="str">
        <f t="shared" si="210"/>
        <v/>
      </c>
      <c r="AM184" s="268" t="str">
        <f t="shared" si="210"/>
        <v/>
      </c>
      <c r="AN184" s="268" t="str">
        <f t="shared" si="210"/>
        <v/>
      </c>
      <c r="AO184" s="268" t="str">
        <f t="shared" si="210"/>
        <v/>
      </c>
      <c r="AP184" s="268" t="str">
        <f t="shared" si="210"/>
        <v/>
      </c>
      <c r="AQ184" s="268" t="str">
        <f t="shared" si="210"/>
        <v/>
      </c>
      <c r="AR184" s="268" t="str">
        <f t="shared" si="210"/>
        <v/>
      </c>
      <c r="AS184" s="268" t="str">
        <f t="shared" si="210"/>
        <v/>
      </c>
      <c r="AT184" s="268" t="str">
        <f t="shared" si="210"/>
        <v/>
      </c>
      <c r="AU184" s="268" t="str">
        <f t="shared" si="210"/>
        <v/>
      </c>
      <c r="AV184" s="268" t="str">
        <f t="shared" si="210"/>
        <v/>
      </c>
      <c r="AW184" s="268" t="str">
        <f t="shared" si="210"/>
        <v/>
      </c>
      <c r="AX184" s="268" t="str">
        <f t="shared" si="210"/>
        <v/>
      </c>
      <c r="AY184" s="268">
        <f t="shared" si="210"/>
        <v>16008</v>
      </c>
      <c r="AZ184" s="268" t="str">
        <f t="shared" si="210"/>
        <v/>
      </c>
      <c r="BA184" s="268" t="str">
        <f t="shared" si="210"/>
        <v/>
      </c>
      <c r="BB184" s="268" t="str">
        <f t="shared" si="210"/>
        <v/>
      </c>
      <c r="BC184" s="268" t="str">
        <f t="shared" si="210"/>
        <v/>
      </c>
      <c r="BD184" s="268" t="str">
        <f t="shared" si="210"/>
        <v/>
      </c>
      <c r="BE184" s="268" t="str">
        <f t="shared" si="210"/>
        <v/>
      </c>
      <c r="BF184" s="268" t="str">
        <f t="shared" si="210"/>
        <v/>
      </c>
      <c r="BG184" s="268" t="str">
        <f t="shared" si="210"/>
        <v/>
      </c>
      <c r="BH184" s="268" t="str">
        <f t="shared" si="210"/>
        <v/>
      </c>
      <c r="BI184" s="268" t="str">
        <f t="shared" si="210"/>
        <v/>
      </c>
      <c r="BJ184" s="268" t="str">
        <f t="shared" si="210"/>
        <v/>
      </c>
      <c r="BK184" s="268" t="str">
        <f t="shared" si="210"/>
        <v/>
      </c>
      <c r="BL184" s="268" t="str">
        <f t="shared" si="210"/>
        <v/>
      </c>
      <c r="BM184" s="268" t="str">
        <f t="shared" si="210"/>
        <v/>
      </c>
      <c r="BN184" s="268" t="str">
        <f t="shared" si="210"/>
        <v/>
      </c>
      <c r="BO184" s="268" t="str">
        <f t="shared" si="210"/>
        <v/>
      </c>
      <c r="BP184" s="268" t="str">
        <f t="shared" si="210"/>
        <v/>
      </c>
      <c r="BQ184" s="268" t="str">
        <f t="shared" si="210"/>
        <v/>
      </c>
      <c r="BR184" s="268" t="str">
        <f t="shared" si="210"/>
        <v/>
      </c>
      <c r="BS184" s="268" t="str">
        <f t="shared" si="210"/>
        <v/>
      </c>
      <c r="BT184" s="268" t="str">
        <f t="shared" si="210"/>
        <v/>
      </c>
      <c r="BU184" s="268" t="str">
        <f t="shared" si="153"/>
        <v/>
      </c>
      <c r="BV184" s="353">
        <v>0.62</v>
      </c>
      <c r="BW184" s="729">
        <f t="shared" si="198"/>
        <v>9924.96</v>
      </c>
      <c r="BX184" s="730">
        <f t="shared" si="199"/>
        <v>76918.44</v>
      </c>
      <c r="BY184" s="731" t="str">
        <f t="shared" si="200"/>
        <v>SR</v>
      </c>
    </row>
    <row r="185" s="698" customFormat="1" customHeight="1" spans="1:77">
      <c r="A185" s="208">
        <v>46035</v>
      </c>
      <c r="B185" s="208">
        <v>46164</v>
      </c>
      <c r="C185" s="211" t="s">
        <v>433</v>
      </c>
      <c r="D185" s="211" t="s">
        <v>434</v>
      </c>
      <c r="E185" s="211" t="s">
        <v>94</v>
      </c>
      <c r="F185" s="732">
        <v>8016</v>
      </c>
      <c r="G185" s="211" t="s">
        <v>270</v>
      </c>
      <c r="H185" s="211" t="str">
        <f>IFERROR(VLOOKUP(E185,名称!A:E,4,0),"")</f>
        <v>三代</v>
      </c>
      <c r="I185" s="268" t="str">
        <f t="shared" ref="I185:BT185" si="211">IF(OR($E185="",I$1=""),"",IF(TRIM(LEFT($E185,MIN(IFERROR(FIND("CDU",UPPER($E185)),999),IFERROR(FIND("BULK",UPPER($E185)),999),IFERROR(FIND("-",$E185),999),IFERROR(FIND("（",$E185),999))-1))=I$1,$F185,""))</f>
        <v/>
      </c>
      <c r="J185" s="268" t="str">
        <f t="shared" si="211"/>
        <v/>
      </c>
      <c r="K185" s="268" t="str">
        <f t="shared" si="211"/>
        <v/>
      </c>
      <c r="L185" s="268" t="str">
        <f t="shared" si="211"/>
        <v/>
      </c>
      <c r="M185" s="268" t="str">
        <f t="shared" si="211"/>
        <v/>
      </c>
      <c r="N185" s="268" t="str">
        <f t="shared" si="211"/>
        <v/>
      </c>
      <c r="O185" s="268" t="str">
        <f t="shared" si="211"/>
        <v/>
      </c>
      <c r="P185" s="268" t="str">
        <f t="shared" si="211"/>
        <v/>
      </c>
      <c r="Q185" s="268" t="str">
        <f t="shared" si="211"/>
        <v/>
      </c>
      <c r="R185" s="268" t="str">
        <f t="shared" si="211"/>
        <v/>
      </c>
      <c r="S185" s="268" t="str">
        <f t="shared" si="211"/>
        <v/>
      </c>
      <c r="T185" s="268" t="str">
        <f t="shared" si="211"/>
        <v/>
      </c>
      <c r="U185" s="268" t="str">
        <f t="shared" si="211"/>
        <v/>
      </c>
      <c r="V185" s="268" t="str">
        <f t="shared" si="211"/>
        <v/>
      </c>
      <c r="W185" s="268" t="str">
        <f t="shared" si="211"/>
        <v/>
      </c>
      <c r="X185" s="268" t="str">
        <f t="shared" si="211"/>
        <v/>
      </c>
      <c r="Y185" s="268" t="str">
        <f t="shared" si="211"/>
        <v/>
      </c>
      <c r="Z185" s="268" t="str">
        <f t="shared" si="211"/>
        <v/>
      </c>
      <c r="AA185" s="268" t="str">
        <f t="shared" si="211"/>
        <v/>
      </c>
      <c r="AB185" s="268" t="str">
        <f t="shared" si="211"/>
        <v/>
      </c>
      <c r="AC185" s="268" t="str">
        <f t="shared" si="211"/>
        <v/>
      </c>
      <c r="AD185" s="268" t="str">
        <f t="shared" si="211"/>
        <v/>
      </c>
      <c r="AE185" s="268" t="str">
        <f t="shared" si="211"/>
        <v/>
      </c>
      <c r="AF185" s="268" t="str">
        <f t="shared" si="211"/>
        <v/>
      </c>
      <c r="AG185" s="268" t="str">
        <f t="shared" si="211"/>
        <v/>
      </c>
      <c r="AH185" s="268" t="str">
        <f t="shared" si="211"/>
        <v/>
      </c>
      <c r="AI185" s="268" t="str">
        <f t="shared" si="211"/>
        <v/>
      </c>
      <c r="AJ185" s="268" t="str">
        <f t="shared" si="211"/>
        <v/>
      </c>
      <c r="AK185" s="268" t="str">
        <f t="shared" si="211"/>
        <v/>
      </c>
      <c r="AL185" s="268" t="str">
        <f t="shared" si="211"/>
        <v/>
      </c>
      <c r="AM185" s="268" t="str">
        <f t="shared" si="211"/>
        <v/>
      </c>
      <c r="AN185" s="268" t="str">
        <f t="shared" si="211"/>
        <v/>
      </c>
      <c r="AO185" s="268" t="str">
        <f t="shared" si="211"/>
        <v/>
      </c>
      <c r="AP185" s="268" t="str">
        <f t="shared" si="211"/>
        <v/>
      </c>
      <c r="AQ185" s="268" t="str">
        <f t="shared" si="211"/>
        <v/>
      </c>
      <c r="AR185" s="268" t="str">
        <f t="shared" si="211"/>
        <v/>
      </c>
      <c r="AS185" s="268" t="str">
        <f t="shared" si="211"/>
        <v/>
      </c>
      <c r="AT185" s="268" t="str">
        <f t="shared" si="211"/>
        <v/>
      </c>
      <c r="AU185" s="268" t="str">
        <f t="shared" si="211"/>
        <v/>
      </c>
      <c r="AV185" s="268" t="str">
        <f t="shared" si="211"/>
        <v/>
      </c>
      <c r="AW185" s="268" t="str">
        <f t="shared" si="211"/>
        <v/>
      </c>
      <c r="AX185" s="268" t="str">
        <f t="shared" si="211"/>
        <v/>
      </c>
      <c r="AY185" s="268">
        <f t="shared" si="211"/>
        <v>8016</v>
      </c>
      <c r="AZ185" s="268" t="str">
        <f t="shared" si="211"/>
        <v/>
      </c>
      <c r="BA185" s="268" t="str">
        <f t="shared" si="211"/>
        <v/>
      </c>
      <c r="BB185" s="268" t="str">
        <f t="shared" si="211"/>
        <v/>
      </c>
      <c r="BC185" s="268" t="str">
        <f t="shared" si="211"/>
        <v/>
      </c>
      <c r="BD185" s="268" t="str">
        <f t="shared" si="211"/>
        <v/>
      </c>
      <c r="BE185" s="268" t="str">
        <f t="shared" si="211"/>
        <v/>
      </c>
      <c r="BF185" s="268" t="str">
        <f t="shared" si="211"/>
        <v/>
      </c>
      <c r="BG185" s="268" t="str">
        <f t="shared" si="211"/>
        <v/>
      </c>
      <c r="BH185" s="268" t="str">
        <f t="shared" si="211"/>
        <v/>
      </c>
      <c r="BI185" s="268" t="str">
        <f t="shared" si="211"/>
        <v/>
      </c>
      <c r="BJ185" s="268" t="str">
        <f t="shared" si="211"/>
        <v/>
      </c>
      <c r="BK185" s="268" t="str">
        <f t="shared" si="211"/>
        <v/>
      </c>
      <c r="BL185" s="268" t="str">
        <f t="shared" si="211"/>
        <v/>
      </c>
      <c r="BM185" s="268" t="str">
        <f t="shared" si="211"/>
        <v/>
      </c>
      <c r="BN185" s="268" t="str">
        <f t="shared" si="211"/>
        <v/>
      </c>
      <c r="BO185" s="268" t="str">
        <f t="shared" si="211"/>
        <v/>
      </c>
      <c r="BP185" s="268" t="str">
        <f t="shared" si="211"/>
        <v/>
      </c>
      <c r="BQ185" s="268" t="str">
        <f t="shared" si="211"/>
        <v/>
      </c>
      <c r="BR185" s="268" t="str">
        <f t="shared" si="211"/>
        <v/>
      </c>
      <c r="BS185" s="268" t="str">
        <f t="shared" si="211"/>
        <v/>
      </c>
      <c r="BT185" s="268" t="str">
        <f t="shared" si="211"/>
        <v/>
      </c>
      <c r="BU185" s="268" t="str">
        <f t="shared" si="153"/>
        <v/>
      </c>
      <c r="BV185" s="353">
        <v>0.62</v>
      </c>
      <c r="BW185" s="729">
        <f t="shared" si="198"/>
        <v>4969.92</v>
      </c>
      <c r="BX185" s="730">
        <f t="shared" si="199"/>
        <v>38516.88</v>
      </c>
      <c r="BY185" s="731" t="str">
        <f t="shared" si="200"/>
        <v>SR</v>
      </c>
    </row>
    <row r="186" s="698" customFormat="1" customHeight="1" spans="1:77">
      <c r="A186" s="208">
        <v>46035</v>
      </c>
      <c r="B186" s="208">
        <v>46135</v>
      </c>
      <c r="C186" s="211" t="s">
        <v>435</v>
      </c>
      <c r="D186" s="211" t="s">
        <v>436</v>
      </c>
      <c r="E186" s="211" t="s">
        <v>94</v>
      </c>
      <c r="F186" s="732">
        <v>40008</v>
      </c>
      <c r="G186" s="211" t="s">
        <v>270</v>
      </c>
      <c r="H186" s="211" t="str">
        <f>IFERROR(VLOOKUP(E186,名称!A:E,4,0),"")</f>
        <v>三代</v>
      </c>
      <c r="I186" s="268" t="str">
        <f t="shared" ref="I186:BT186" si="212">IF(OR($E186="",I$1=""),"",IF(TRIM(LEFT($E186,MIN(IFERROR(FIND("CDU",UPPER($E186)),999),IFERROR(FIND("BULK",UPPER($E186)),999),IFERROR(FIND("-",$E186),999),IFERROR(FIND("（",$E186),999))-1))=I$1,$F186,""))</f>
        <v/>
      </c>
      <c r="J186" s="268" t="str">
        <f t="shared" si="212"/>
        <v/>
      </c>
      <c r="K186" s="268" t="str">
        <f t="shared" si="212"/>
        <v/>
      </c>
      <c r="L186" s="268" t="str">
        <f t="shared" si="212"/>
        <v/>
      </c>
      <c r="M186" s="268" t="str">
        <f t="shared" si="212"/>
        <v/>
      </c>
      <c r="N186" s="268" t="str">
        <f t="shared" si="212"/>
        <v/>
      </c>
      <c r="O186" s="268" t="str">
        <f t="shared" si="212"/>
        <v/>
      </c>
      <c r="P186" s="268" t="str">
        <f t="shared" si="212"/>
        <v/>
      </c>
      <c r="Q186" s="268" t="str">
        <f t="shared" si="212"/>
        <v/>
      </c>
      <c r="R186" s="268" t="str">
        <f t="shared" si="212"/>
        <v/>
      </c>
      <c r="S186" s="268" t="str">
        <f t="shared" si="212"/>
        <v/>
      </c>
      <c r="T186" s="268" t="str">
        <f t="shared" si="212"/>
        <v/>
      </c>
      <c r="U186" s="268" t="str">
        <f t="shared" si="212"/>
        <v/>
      </c>
      <c r="V186" s="268" t="str">
        <f t="shared" si="212"/>
        <v/>
      </c>
      <c r="W186" s="268" t="str">
        <f t="shared" si="212"/>
        <v/>
      </c>
      <c r="X186" s="268" t="str">
        <f t="shared" si="212"/>
        <v/>
      </c>
      <c r="Y186" s="268" t="str">
        <f t="shared" si="212"/>
        <v/>
      </c>
      <c r="Z186" s="268" t="str">
        <f t="shared" si="212"/>
        <v/>
      </c>
      <c r="AA186" s="268" t="str">
        <f t="shared" si="212"/>
        <v/>
      </c>
      <c r="AB186" s="268" t="str">
        <f t="shared" si="212"/>
        <v/>
      </c>
      <c r="AC186" s="268" t="str">
        <f t="shared" si="212"/>
        <v/>
      </c>
      <c r="AD186" s="268" t="str">
        <f t="shared" si="212"/>
        <v/>
      </c>
      <c r="AE186" s="268" t="str">
        <f t="shared" si="212"/>
        <v/>
      </c>
      <c r="AF186" s="268" t="str">
        <f t="shared" si="212"/>
        <v/>
      </c>
      <c r="AG186" s="268" t="str">
        <f t="shared" si="212"/>
        <v/>
      </c>
      <c r="AH186" s="268" t="str">
        <f t="shared" si="212"/>
        <v/>
      </c>
      <c r="AI186" s="268" t="str">
        <f t="shared" si="212"/>
        <v/>
      </c>
      <c r="AJ186" s="268" t="str">
        <f t="shared" si="212"/>
        <v/>
      </c>
      <c r="AK186" s="268" t="str">
        <f t="shared" si="212"/>
        <v/>
      </c>
      <c r="AL186" s="268" t="str">
        <f t="shared" si="212"/>
        <v/>
      </c>
      <c r="AM186" s="268" t="str">
        <f t="shared" si="212"/>
        <v/>
      </c>
      <c r="AN186" s="268" t="str">
        <f t="shared" si="212"/>
        <v/>
      </c>
      <c r="AO186" s="268" t="str">
        <f t="shared" si="212"/>
        <v/>
      </c>
      <c r="AP186" s="268" t="str">
        <f t="shared" si="212"/>
        <v/>
      </c>
      <c r="AQ186" s="268" t="str">
        <f t="shared" si="212"/>
        <v/>
      </c>
      <c r="AR186" s="268" t="str">
        <f t="shared" si="212"/>
        <v/>
      </c>
      <c r="AS186" s="268" t="str">
        <f t="shared" si="212"/>
        <v/>
      </c>
      <c r="AT186" s="268" t="str">
        <f t="shared" si="212"/>
        <v/>
      </c>
      <c r="AU186" s="268" t="str">
        <f t="shared" si="212"/>
        <v/>
      </c>
      <c r="AV186" s="268" t="str">
        <f t="shared" si="212"/>
        <v/>
      </c>
      <c r="AW186" s="268" t="str">
        <f t="shared" si="212"/>
        <v/>
      </c>
      <c r="AX186" s="268" t="str">
        <f t="shared" si="212"/>
        <v/>
      </c>
      <c r="AY186" s="268">
        <f t="shared" si="212"/>
        <v>40008</v>
      </c>
      <c r="AZ186" s="268" t="str">
        <f t="shared" si="212"/>
        <v/>
      </c>
      <c r="BA186" s="268" t="str">
        <f t="shared" si="212"/>
        <v/>
      </c>
      <c r="BB186" s="268" t="str">
        <f t="shared" si="212"/>
        <v/>
      </c>
      <c r="BC186" s="268" t="str">
        <f t="shared" si="212"/>
        <v/>
      </c>
      <c r="BD186" s="268" t="str">
        <f t="shared" si="212"/>
        <v/>
      </c>
      <c r="BE186" s="268" t="str">
        <f t="shared" si="212"/>
        <v/>
      </c>
      <c r="BF186" s="268" t="str">
        <f t="shared" si="212"/>
        <v/>
      </c>
      <c r="BG186" s="268" t="str">
        <f t="shared" si="212"/>
        <v/>
      </c>
      <c r="BH186" s="268" t="str">
        <f t="shared" si="212"/>
        <v/>
      </c>
      <c r="BI186" s="268" t="str">
        <f t="shared" si="212"/>
        <v/>
      </c>
      <c r="BJ186" s="268" t="str">
        <f t="shared" si="212"/>
        <v/>
      </c>
      <c r="BK186" s="268" t="str">
        <f t="shared" si="212"/>
        <v/>
      </c>
      <c r="BL186" s="268" t="str">
        <f t="shared" si="212"/>
        <v/>
      </c>
      <c r="BM186" s="268" t="str">
        <f t="shared" si="212"/>
        <v/>
      </c>
      <c r="BN186" s="268" t="str">
        <f t="shared" si="212"/>
        <v/>
      </c>
      <c r="BO186" s="268" t="str">
        <f t="shared" si="212"/>
        <v/>
      </c>
      <c r="BP186" s="268" t="str">
        <f t="shared" si="212"/>
        <v/>
      </c>
      <c r="BQ186" s="268" t="str">
        <f t="shared" si="212"/>
        <v/>
      </c>
      <c r="BR186" s="268" t="str">
        <f t="shared" si="212"/>
        <v/>
      </c>
      <c r="BS186" s="268" t="str">
        <f t="shared" si="212"/>
        <v/>
      </c>
      <c r="BT186" s="268" t="str">
        <f t="shared" si="212"/>
        <v/>
      </c>
      <c r="BU186" s="268" t="str">
        <f t="shared" si="153"/>
        <v/>
      </c>
      <c r="BV186" s="247">
        <v>0.61</v>
      </c>
      <c r="BW186" s="729">
        <f t="shared" si="198"/>
        <v>24404.88</v>
      </c>
      <c r="BX186" s="730">
        <f t="shared" si="199"/>
        <v>189137.82</v>
      </c>
      <c r="BY186" s="731" t="str">
        <f t="shared" si="200"/>
        <v>SR</v>
      </c>
    </row>
    <row r="187" s="698" customFormat="1" customHeight="1" spans="1:77">
      <c r="A187" s="208">
        <v>46035</v>
      </c>
      <c r="B187" s="208">
        <v>46142</v>
      </c>
      <c r="C187" s="211" t="s">
        <v>437</v>
      </c>
      <c r="D187" s="211" t="s">
        <v>438</v>
      </c>
      <c r="E187" s="211" t="s">
        <v>94</v>
      </c>
      <c r="F187" s="732">
        <v>16008</v>
      </c>
      <c r="G187" s="211" t="s">
        <v>270</v>
      </c>
      <c r="H187" s="211" t="str">
        <f>IFERROR(VLOOKUP(E187,名称!A:E,4,0),"")</f>
        <v>三代</v>
      </c>
      <c r="I187" s="268" t="str">
        <f t="shared" ref="I187:BT187" si="213">IF(OR($E187="",I$1=""),"",IF(TRIM(LEFT($E187,MIN(IFERROR(FIND("CDU",UPPER($E187)),999),IFERROR(FIND("BULK",UPPER($E187)),999),IFERROR(FIND("-",$E187),999),IFERROR(FIND("（",$E187),999))-1))=I$1,$F187,""))</f>
        <v/>
      </c>
      <c r="J187" s="268" t="str">
        <f t="shared" si="213"/>
        <v/>
      </c>
      <c r="K187" s="268" t="str">
        <f t="shared" si="213"/>
        <v/>
      </c>
      <c r="L187" s="268" t="str">
        <f t="shared" si="213"/>
        <v/>
      </c>
      <c r="M187" s="268" t="str">
        <f t="shared" si="213"/>
        <v/>
      </c>
      <c r="N187" s="268" t="str">
        <f t="shared" si="213"/>
        <v/>
      </c>
      <c r="O187" s="268" t="str">
        <f t="shared" si="213"/>
        <v/>
      </c>
      <c r="P187" s="268" t="str">
        <f t="shared" si="213"/>
        <v/>
      </c>
      <c r="Q187" s="268" t="str">
        <f t="shared" si="213"/>
        <v/>
      </c>
      <c r="R187" s="268" t="str">
        <f t="shared" si="213"/>
        <v/>
      </c>
      <c r="S187" s="268" t="str">
        <f t="shared" si="213"/>
        <v/>
      </c>
      <c r="T187" s="268" t="str">
        <f t="shared" si="213"/>
        <v/>
      </c>
      <c r="U187" s="268" t="str">
        <f t="shared" si="213"/>
        <v/>
      </c>
      <c r="V187" s="268" t="str">
        <f t="shared" si="213"/>
        <v/>
      </c>
      <c r="W187" s="268" t="str">
        <f t="shared" si="213"/>
        <v/>
      </c>
      <c r="X187" s="268" t="str">
        <f t="shared" si="213"/>
        <v/>
      </c>
      <c r="Y187" s="268" t="str">
        <f t="shared" si="213"/>
        <v/>
      </c>
      <c r="Z187" s="268" t="str">
        <f t="shared" si="213"/>
        <v/>
      </c>
      <c r="AA187" s="268" t="str">
        <f t="shared" si="213"/>
        <v/>
      </c>
      <c r="AB187" s="268" t="str">
        <f t="shared" si="213"/>
        <v/>
      </c>
      <c r="AC187" s="268" t="str">
        <f t="shared" si="213"/>
        <v/>
      </c>
      <c r="AD187" s="268" t="str">
        <f t="shared" si="213"/>
        <v/>
      </c>
      <c r="AE187" s="268" t="str">
        <f t="shared" si="213"/>
        <v/>
      </c>
      <c r="AF187" s="268" t="str">
        <f t="shared" si="213"/>
        <v/>
      </c>
      <c r="AG187" s="268" t="str">
        <f t="shared" si="213"/>
        <v/>
      </c>
      <c r="AH187" s="268" t="str">
        <f t="shared" si="213"/>
        <v/>
      </c>
      <c r="AI187" s="268" t="str">
        <f t="shared" si="213"/>
        <v/>
      </c>
      <c r="AJ187" s="268" t="str">
        <f t="shared" si="213"/>
        <v/>
      </c>
      <c r="AK187" s="268" t="str">
        <f t="shared" si="213"/>
        <v/>
      </c>
      <c r="AL187" s="268" t="str">
        <f t="shared" si="213"/>
        <v/>
      </c>
      <c r="AM187" s="268" t="str">
        <f t="shared" si="213"/>
        <v/>
      </c>
      <c r="AN187" s="268" t="str">
        <f t="shared" si="213"/>
        <v/>
      </c>
      <c r="AO187" s="268" t="str">
        <f t="shared" si="213"/>
        <v/>
      </c>
      <c r="AP187" s="268" t="str">
        <f t="shared" si="213"/>
        <v/>
      </c>
      <c r="AQ187" s="268" t="str">
        <f t="shared" si="213"/>
        <v/>
      </c>
      <c r="AR187" s="268" t="str">
        <f t="shared" si="213"/>
        <v/>
      </c>
      <c r="AS187" s="268" t="str">
        <f t="shared" si="213"/>
        <v/>
      </c>
      <c r="AT187" s="268" t="str">
        <f t="shared" si="213"/>
        <v/>
      </c>
      <c r="AU187" s="268" t="str">
        <f t="shared" si="213"/>
        <v/>
      </c>
      <c r="AV187" s="268" t="str">
        <f t="shared" si="213"/>
        <v/>
      </c>
      <c r="AW187" s="268" t="str">
        <f t="shared" si="213"/>
        <v/>
      </c>
      <c r="AX187" s="268" t="str">
        <f t="shared" si="213"/>
        <v/>
      </c>
      <c r="AY187" s="268">
        <f t="shared" si="213"/>
        <v>16008</v>
      </c>
      <c r="AZ187" s="268" t="str">
        <f t="shared" si="213"/>
        <v/>
      </c>
      <c r="BA187" s="268" t="str">
        <f t="shared" si="213"/>
        <v/>
      </c>
      <c r="BB187" s="268" t="str">
        <f t="shared" si="213"/>
        <v/>
      </c>
      <c r="BC187" s="268" t="str">
        <f t="shared" si="213"/>
        <v/>
      </c>
      <c r="BD187" s="268" t="str">
        <f t="shared" si="213"/>
        <v/>
      </c>
      <c r="BE187" s="268" t="str">
        <f t="shared" si="213"/>
        <v/>
      </c>
      <c r="BF187" s="268" t="str">
        <f t="shared" si="213"/>
        <v/>
      </c>
      <c r="BG187" s="268" t="str">
        <f t="shared" si="213"/>
        <v/>
      </c>
      <c r="BH187" s="268" t="str">
        <f t="shared" si="213"/>
        <v/>
      </c>
      <c r="BI187" s="268" t="str">
        <f t="shared" si="213"/>
        <v/>
      </c>
      <c r="BJ187" s="268" t="str">
        <f t="shared" si="213"/>
        <v/>
      </c>
      <c r="BK187" s="268" t="str">
        <f t="shared" si="213"/>
        <v/>
      </c>
      <c r="BL187" s="268" t="str">
        <f t="shared" si="213"/>
        <v/>
      </c>
      <c r="BM187" s="268" t="str">
        <f t="shared" si="213"/>
        <v/>
      </c>
      <c r="BN187" s="268" t="str">
        <f t="shared" si="213"/>
        <v/>
      </c>
      <c r="BO187" s="268" t="str">
        <f t="shared" si="213"/>
        <v/>
      </c>
      <c r="BP187" s="268" t="str">
        <f t="shared" si="213"/>
        <v/>
      </c>
      <c r="BQ187" s="268" t="str">
        <f t="shared" si="213"/>
        <v/>
      </c>
      <c r="BR187" s="268" t="str">
        <f t="shared" si="213"/>
        <v/>
      </c>
      <c r="BS187" s="268" t="str">
        <f t="shared" si="213"/>
        <v/>
      </c>
      <c r="BT187" s="268" t="str">
        <f t="shared" si="213"/>
        <v/>
      </c>
      <c r="BU187" s="268" t="str">
        <f t="shared" si="153"/>
        <v/>
      </c>
      <c r="BV187" s="247">
        <v>0.61</v>
      </c>
      <c r="BW187" s="729">
        <f t="shared" si="198"/>
        <v>9764.88</v>
      </c>
      <c r="BX187" s="730">
        <f t="shared" si="199"/>
        <v>75677.82</v>
      </c>
      <c r="BY187" s="731" t="str">
        <f t="shared" si="200"/>
        <v>SR</v>
      </c>
    </row>
    <row r="188" s="698" customFormat="1" customHeight="1" spans="1:77">
      <c r="A188" s="208">
        <v>46035</v>
      </c>
      <c r="B188" s="208">
        <v>46150</v>
      </c>
      <c r="C188" s="211" t="s">
        <v>439</v>
      </c>
      <c r="D188" s="211" t="s">
        <v>440</v>
      </c>
      <c r="E188" s="211" t="s">
        <v>94</v>
      </c>
      <c r="F188" s="732">
        <v>16008</v>
      </c>
      <c r="G188" s="211" t="s">
        <v>270</v>
      </c>
      <c r="H188" s="211" t="str">
        <f>IFERROR(VLOOKUP(E188,名称!A:E,4,0),"")</f>
        <v>三代</v>
      </c>
      <c r="I188" s="268" t="str">
        <f t="shared" ref="I188:BT188" si="214">IF(OR($E188="",I$1=""),"",IF(TRIM(LEFT($E188,MIN(IFERROR(FIND("CDU",UPPER($E188)),999),IFERROR(FIND("BULK",UPPER($E188)),999),IFERROR(FIND("-",$E188),999),IFERROR(FIND("（",$E188),999))-1))=I$1,$F188,""))</f>
        <v/>
      </c>
      <c r="J188" s="268" t="str">
        <f t="shared" si="214"/>
        <v/>
      </c>
      <c r="K188" s="268" t="str">
        <f t="shared" si="214"/>
        <v/>
      </c>
      <c r="L188" s="268" t="str">
        <f t="shared" si="214"/>
        <v/>
      </c>
      <c r="M188" s="268" t="str">
        <f t="shared" si="214"/>
        <v/>
      </c>
      <c r="N188" s="268" t="str">
        <f t="shared" si="214"/>
        <v/>
      </c>
      <c r="O188" s="268" t="str">
        <f t="shared" si="214"/>
        <v/>
      </c>
      <c r="P188" s="268" t="str">
        <f t="shared" si="214"/>
        <v/>
      </c>
      <c r="Q188" s="268" t="str">
        <f t="shared" si="214"/>
        <v/>
      </c>
      <c r="R188" s="268" t="str">
        <f t="shared" si="214"/>
        <v/>
      </c>
      <c r="S188" s="268" t="str">
        <f t="shared" si="214"/>
        <v/>
      </c>
      <c r="T188" s="268" t="str">
        <f t="shared" si="214"/>
        <v/>
      </c>
      <c r="U188" s="268" t="str">
        <f t="shared" si="214"/>
        <v/>
      </c>
      <c r="V188" s="268" t="str">
        <f t="shared" si="214"/>
        <v/>
      </c>
      <c r="W188" s="268" t="str">
        <f t="shared" si="214"/>
        <v/>
      </c>
      <c r="X188" s="268" t="str">
        <f t="shared" si="214"/>
        <v/>
      </c>
      <c r="Y188" s="268" t="str">
        <f t="shared" si="214"/>
        <v/>
      </c>
      <c r="Z188" s="268" t="str">
        <f t="shared" si="214"/>
        <v/>
      </c>
      <c r="AA188" s="268" t="str">
        <f t="shared" si="214"/>
        <v/>
      </c>
      <c r="AB188" s="268" t="str">
        <f t="shared" si="214"/>
        <v/>
      </c>
      <c r="AC188" s="268" t="str">
        <f t="shared" si="214"/>
        <v/>
      </c>
      <c r="AD188" s="268" t="str">
        <f t="shared" si="214"/>
        <v/>
      </c>
      <c r="AE188" s="268" t="str">
        <f t="shared" si="214"/>
        <v/>
      </c>
      <c r="AF188" s="268" t="str">
        <f t="shared" si="214"/>
        <v/>
      </c>
      <c r="AG188" s="268" t="str">
        <f t="shared" si="214"/>
        <v/>
      </c>
      <c r="AH188" s="268" t="str">
        <f t="shared" si="214"/>
        <v/>
      </c>
      <c r="AI188" s="268" t="str">
        <f t="shared" si="214"/>
        <v/>
      </c>
      <c r="AJ188" s="268" t="str">
        <f t="shared" si="214"/>
        <v/>
      </c>
      <c r="AK188" s="268" t="str">
        <f t="shared" si="214"/>
        <v/>
      </c>
      <c r="AL188" s="268" t="str">
        <f t="shared" si="214"/>
        <v/>
      </c>
      <c r="AM188" s="268" t="str">
        <f t="shared" si="214"/>
        <v/>
      </c>
      <c r="AN188" s="268" t="str">
        <f t="shared" si="214"/>
        <v/>
      </c>
      <c r="AO188" s="268" t="str">
        <f t="shared" si="214"/>
        <v/>
      </c>
      <c r="AP188" s="268" t="str">
        <f t="shared" si="214"/>
        <v/>
      </c>
      <c r="AQ188" s="268" t="str">
        <f t="shared" si="214"/>
        <v/>
      </c>
      <c r="AR188" s="268" t="str">
        <f t="shared" si="214"/>
        <v/>
      </c>
      <c r="AS188" s="268" t="str">
        <f t="shared" si="214"/>
        <v/>
      </c>
      <c r="AT188" s="268" t="str">
        <f t="shared" si="214"/>
        <v/>
      </c>
      <c r="AU188" s="268" t="str">
        <f t="shared" si="214"/>
        <v/>
      </c>
      <c r="AV188" s="268" t="str">
        <f t="shared" si="214"/>
        <v/>
      </c>
      <c r="AW188" s="268" t="str">
        <f t="shared" si="214"/>
        <v/>
      </c>
      <c r="AX188" s="268" t="str">
        <f t="shared" si="214"/>
        <v/>
      </c>
      <c r="AY188" s="268">
        <f t="shared" si="214"/>
        <v>16008</v>
      </c>
      <c r="AZ188" s="268" t="str">
        <f t="shared" si="214"/>
        <v/>
      </c>
      <c r="BA188" s="268" t="str">
        <f t="shared" si="214"/>
        <v/>
      </c>
      <c r="BB188" s="268" t="str">
        <f t="shared" si="214"/>
        <v/>
      </c>
      <c r="BC188" s="268" t="str">
        <f t="shared" si="214"/>
        <v/>
      </c>
      <c r="BD188" s="268" t="str">
        <f t="shared" si="214"/>
        <v/>
      </c>
      <c r="BE188" s="268" t="str">
        <f t="shared" si="214"/>
        <v/>
      </c>
      <c r="BF188" s="268" t="str">
        <f t="shared" si="214"/>
        <v/>
      </c>
      <c r="BG188" s="268" t="str">
        <f t="shared" si="214"/>
        <v/>
      </c>
      <c r="BH188" s="268" t="str">
        <f t="shared" si="214"/>
        <v/>
      </c>
      <c r="BI188" s="268" t="str">
        <f t="shared" si="214"/>
        <v/>
      </c>
      <c r="BJ188" s="268" t="str">
        <f t="shared" si="214"/>
        <v/>
      </c>
      <c r="BK188" s="268" t="str">
        <f t="shared" si="214"/>
        <v/>
      </c>
      <c r="BL188" s="268" t="str">
        <f t="shared" si="214"/>
        <v/>
      </c>
      <c r="BM188" s="268" t="str">
        <f t="shared" si="214"/>
        <v/>
      </c>
      <c r="BN188" s="268" t="str">
        <f t="shared" si="214"/>
        <v/>
      </c>
      <c r="BO188" s="268" t="str">
        <f t="shared" si="214"/>
        <v/>
      </c>
      <c r="BP188" s="268" t="str">
        <f t="shared" si="214"/>
        <v/>
      </c>
      <c r="BQ188" s="268" t="str">
        <f t="shared" si="214"/>
        <v/>
      </c>
      <c r="BR188" s="268" t="str">
        <f t="shared" si="214"/>
        <v/>
      </c>
      <c r="BS188" s="268" t="str">
        <f t="shared" si="214"/>
        <v/>
      </c>
      <c r="BT188" s="268" t="str">
        <f t="shared" si="214"/>
        <v/>
      </c>
      <c r="BU188" s="268" t="str">
        <f t="shared" si="153"/>
        <v/>
      </c>
      <c r="BV188" s="353">
        <v>0.62</v>
      </c>
      <c r="BW188" s="729">
        <f t="shared" si="198"/>
        <v>9924.96</v>
      </c>
      <c r="BX188" s="730">
        <f t="shared" si="199"/>
        <v>76918.44</v>
      </c>
      <c r="BY188" s="731" t="str">
        <f t="shared" si="200"/>
        <v>SR</v>
      </c>
    </row>
    <row r="189" s="698" customFormat="1" customHeight="1" spans="1:77">
      <c r="A189" s="208">
        <v>46035</v>
      </c>
      <c r="B189" s="208">
        <v>46120</v>
      </c>
      <c r="C189" s="211" t="s">
        <v>441</v>
      </c>
      <c r="D189" s="211" t="s">
        <v>442</v>
      </c>
      <c r="E189" s="211" t="s">
        <v>94</v>
      </c>
      <c r="F189" s="732">
        <v>43200</v>
      </c>
      <c r="G189" s="211" t="s">
        <v>270</v>
      </c>
      <c r="H189" s="211" t="str">
        <f>IFERROR(VLOOKUP(E189,名称!A:E,4,0),"")</f>
        <v>三代</v>
      </c>
      <c r="I189" s="268" t="str">
        <f t="shared" ref="I189:BT189" si="215">IF(OR($E189="",I$1=""),"",IF(TRIM(LEFT($E189,MIN(IFERROR(FIND("CDU",UPPER($E189)),999),IFERROR(FIND("BULK",UPPER($E189)),999),IFERROR(FIND("-",$E189),999),IFERROR(FIND("（",$E189),999))-1))=I$1,$F189,""))</f>
        <v/>
      </c>
      <c r="J189" s="268" t="str">
        <f t="shared" si="215"/>
        <v/>
      </c>
      <c r="K189" s="268" t="str">
        <f t="shared" si="215"/>
        <v/>
      </c>
      <c r="L189" s="268" t="str">
        <f t="shared" si="215"/>
        <v/>
      </c>
      <c r="M189" s="268" t="str">
        <f t="shared" si="215"/>
        <v/>
      </c>
      <c r="N189" s="268" t="str">
        <f t="shared" si="215"/>
        <v/>
      </c>
      <c r="O189" s="268" t="str">
        <f t="shared" si="215"/>
        <v/>
      </c>
      <c r="P189" s="268" t="str">
        <f t="shared" si="215"/>
        <v/>
      </c>
      <c r="Q189" s="268" t="str">
        <f t="shared" si="215"/>
        <v/>
      </c>
      <c r="R189" s="268" t="str">
        <f t="shared" si="215"/>
        <v/>
      </c>
      <c r="S189" s="268" t="str">
        <f t="shared" si="215"/>
        <v/>
      </c>
      <c r="T189" s="268" t="str">
        <f t="shared" si="215"/>
        <v/>
      </c>
      <c r="U189" s="268" t="str">
        <f t="shared" si="215"/>
        <v/>
      </c>
      <c r="V189" s="268" t="str">
        <f t="shared" si="215"/>
        <v/>
      </c>
      <c r="W189" s="268" t="str">
        <f t="shared" si="215"/>
        <v/>
      </c>
      <c r="X189" s="268" t="str">
        <f t="shared" si="215"/>
        <v/>
      </c>
      <c r="Y189" s="268" t="str">
        <f t="shared" si="215"/>
        <v/>
      </c>
      <c r="Z189" s="268" t="str">
        <f t="shared" si="215"/>
        <v/>
      </c>
      <c r="AA189" s="268" t="str">
        <f t="shared" si="215"/>
        <v/>
      </c>
      <c r="AB189" s="268" t="str">
        <f t="shared" si="215"/>
        <v/>
      </c>
      <c r="AC189" s="268" t="str">
        <f t="shared" si="215"/>
        <v/>
      </c>
      <c r="AD189" s="268" t="str">
        <f t="shared" si="215"/>
        <v/>
      </c>
      <c r="AE189" s="268" t="str">
        <f t="shared" si="215"/>
        <v/>
      </c>
      <c r="AF189" s="268" t="str">
        <f t="shared" si="215"/>
        <v/>
      </c>
      <c r="AG189" s="268" t="str">
        <f t="shared" si="215"/>
        <v/>
      </c>
      <c r="AH189" s="268" t="str">
        <f t="shared" si="215"/>
        <v/>
      </c>
      <c r="AI189" s="268" t="str">
        <f t="shared" si="215"/>
        <v/>
      </c>
      <c r="AJ189" s="268" t="str">
        <f t="shared" si="215"/>
        <v/>
      </c>
      <c r="AK189" s="268" t="str">
        <f t="shared" si="215"/>
        <v/>
      </c>
      <c r="AL189" s="268" t="str">
        <f t="shared" si="215"/>
        <v/>
      </c>
      <c r="AM189" s="268" t="str">
        <f t="shared" si="215"/>
        <v/>
      </c>
      <c r="AN189" s="268" t="str">
        <f t="shared" si="215"/>
        <v/>
      </c>
      <c r="AO189" s="268" t="str">
        <f t="shared" si="215"/>
        <v/>
      </c>
      <c r="AP189" s="268" t="str">
        <f t="shared" si="215"/>
        <v/>
      </c>
      <c r="AQ189" s="268" t="str">
        <f t="shared" si="215"/>
        <v/>
      </c>
      <c r="AR189" s="268" t="str">
        <f t="shared" si="215"/>
        <v/>
      </c>
      <c r="AS189" s="268" t="str">
        <f t="shared" si="215"/>
        <v/>
      </c>
      <c r="AT189" s="268" t="str">
        <f t="shared" si="215"/>
        <v/>
      </c>
      <c r="AU189" s="268" t="str">
        <f t="shared" si="215"/>
        <v/>
      </c>
      <c r="AV189" s="268" t="str">
        <f t="shared" si="215"/>
        <v/>
      </c>
      <c r="AW189" s="268" t="str">
        <f t="shared" si="215"/>
        <v/>
      </c>
      <c r="AX189" s="268" t="str">
        <f t="shared" si="215"/>
        <v/>
      </c>
      <c r="AY189" s="268">
        <f t="shared" si="215"/>
        <v>43200</v>
      </c>
      <c r="AZ189" s="268" t="str">
        <f t="shared" si="215"/>
        <v/>
      </c>
      <c r="BA189" s="268" t="str">
        <f t="shared" si="215"/>
        <v/>
      </c>
      <c r="BB189" s="268" t="str">
        <f t="shared" si="215"/>
        <v/>
      </c>
      <c r="BC189" s="268" t="str">
        <f t="shared" si="215"/>
        <v/>
      </c>
      <c r="BD189" s="268" t="str">
        <f t="shared" si="215"/>
        <v/>
      </c>
      <c r="BE189" s="268" t="str">
        <f t="shared" si="215"/>
        <v/>
      </c>
      <c r="BF189" s="268" t="str">
        <f t="shared" si="215"/>
        <v/>
      </c>
      <c r="BG189" s="268" t="str">
        <f t="shared" si="215"/>
        <v/>
      </c>
      <c r="BH189" s="268" t="str">
        <f t="shared" si="215"/>
        <v/>
      </c>
      <c r="BI189" s="268" t="str">
        <f t="shared" si="215"/>
        <v/>
      </c>
      <c r="BJ189" s="268" t="str">
        <f t="shared" si="215"/>
        <v/>
      </c>
      <c r="BK189" s="268" t="str">
        <f t="shared" si="215"/>
        <v/>
      </c>
      <c r="BL189" s="268" t="str">
        <f t="shared" si="215"/>
        <v/>
      </c>
      <c r="BM189" s="268" t="str">
        <f t="shared" si="215"/>
        <v/>
      </c>
      <c r="BN189" s="268" t="str">
        <f t="shared" si="215"/>
        <v/>
      </c>
      <c r="BO189" s="268" t="str">
        <f t="shared" si="215"/>
        <v/>
      </c>
      <c r="BP189" s="268" t="str">
        <f t="shared" si="215"/>
        <v/>
      </c>
      <c r="BQ189" s="268" t="str">
        <f t="shared" si="215"/>
        <v/>
      </c>
      <c r="BR189" s="268" t="str">
        <f t="shared" si="215"/>
        <v/>
      </c>
      <c r="BS189" s="268" t="str">
        <f t="shared" si="215"/>
        <v/>
      </c>
      <c r="BT189" s="268" t="str">
        <f t="shared" si="215"/>
        <v/>
      </c>
      <c r="BU189" s="268" t="str">
        <f t="shared" si="153"/>
        <v/>
      </c>
      <c r="BV189" s="247">
        <v>0.61</v>
      </c>
      <c r="BW189" s="729">
        <f t="shared" si="198"/>
        <v>26352</v>
      </c>
      <c r="BX189" s="730">
        <f t="shared" si="199"/>
        <v>204228</v>
      </c>
      <c r="BY189" s="731" t="str">
        <f t="shared" si="200"/>
        <v>SR</v>
      </c>
    </row>
    <row r="190" s="698" customFormat="1" customHeight="1" spans="1:77">
      <c r="A190" s="208">
        <v>46035</v>
      </c>
      <c r="B190" s="208">
        <v>46157</v>
      </c>
      <c r="C190" s="211" t="s">
        <v>443</v>
      </c>
      <c r="D190" s="211" t="s">
        <v>444</v>
      </c>
      <c r="E190" s="211" t="s">
        <v>61</v>
      </c>
      <c r="F190" s="732">
        <v>12504</v>
      </c>
      <c r="G190" s="211" t="s">
        <v>270</v>
      </c>
      <c r="H190" s="211" t="str">
        <f>IFERROR(VLOOKUP(E190,名称!A:E,4,0),"")</f>
        <v>三代</v>
      </c>
      <c r="I190" s="268" t="str">
        <f t="shared" ref="I190:BT190" si="216">IF(OR($E190="",I$1=""),"",IF(TRIM(LEFT($E190,MIN(IFERROR(FIND("CDU",UPPER($E190)),999),IFERROR(FIND("BULK",UPPER($E190)),999),IFERROR(FIND("-",$E190),999),IFERROR(FIND("（",$E190),999))-1))=I$1,$F190,""))</f>
        <v/>
      </c>
      <c r="J190" s="268" t="str">
        <f t="shared" si="216"/>
        <v/>
      </c>
      <c r="K190" s="268" t="str">
        <f t="shared" si="216"/>
        <v/>
      </c>
      <c r="L190" s="268" t="str">
        <f t="shared" si="216"/>
        <v/>
      </c>
      <c r="M190" s="268" t="str">
        <f t="shared" si="216"/>
        <v/>
      </c>
      <c r="N190" s="268" t="str">
        <f t="shared" si="216"/>
        <v/>
      </c>
      <c r="O190" s="268" t="str">
        <f t="shared" si="216"/>
        <v/>
      </c>
      <c r="P190" s="268" t="str">
        <f t="shared" si="216"/>
        <v/>
      </c>
      <c r="Q190" s="268" t="str">
        <f t="shared" si="216"/>
        <v/>
      </c>
      <c r="R190" s="268" t="str">
        <f t="shared" si="216"/>
        <v/>
      </c>
      <c r="S190" s="268" t="str">
        <f t="shared" si="216"/>
        <v/>
      </c>
      <c r="T190" s="268" t="str">
        <f t="shared" si="216"/>
        <v/>
      </c>
      <c r="U190" s="268" t="str">
        <f t="shared" si="216"/>
        <v/>
      </c>
      <c r="V190" s="268" t="str">
        <f t="shared" si="216"/>
        <v/>
      </c>
      <c r="W190" s="268" t="str">
        <f t="shared" si="216"/>
        <v/>
      </c>
      <c r="X190" s="268" t="str">
        <f t="shared" si="216"/>
        <v/>
      </c>
      <c r="Y190" s="268" t="str">
        <f t="shared" si="216"/>
        <v/>
      </c>
      <c r="Z190" s="268" t="str">
        <f t="shared" si="216"/>
        <v/>
      </c>
      <c r="AA190" s="268" t="str">
        <f t="shared" si="216"/>
        <v/>
      </c>
      <c r="AB190" s="268" t="str">
        <f t="shared" si="216"/>
        <v/>
      </c>
      <c r="AC190" s="268" t="str">
        <f t="shared" si="216"/>
        <v/>
      </c>
      <c r="AD190" s="268" t="str">
        <f t="shared" si="216"/>
        <v/>
      </c>
      <c r="AE190" s="268">
        <f t="shared" si="216"/>
        <v>12504</v>
      </c>
      <c r="AF190" s="268" t="str">
        <f t="shared" si="216"/>
        <v/>
      </c>
      <c r="AG190" s="268" t="str">
        <f t="shared" si="216"/>
        <v/>
      </c>
      <c r="AH190" s="268" t="str">
        <f t="shared" si="216"/>
        <v/>
      </c>
      <c r="AI190" s="268" t="str">
        <f t="shared" si="216"/>
        <v/>
      </c>
      <c r="AJ190" s="268" t="str">
        <f t="shared" si="216"/>
        <v/>
      </c>
      <c r="AK190" s="268" t="str">
        <f t="shared" si="216"/>
        <v/>
      </c>
      <c r="AL190" s="268" t="str">
        <f t="shared" si="216"/>
        <v/>
      </c>
      <c r="AM190" s="268" t="str">
        <f t="shared" si="216"/>
        <v/>
      </c>
      <c r="AN190" s="268" t="str">
        <f t="shared" si="216"/>
        <v/>
      </c>
      <c r="AO190" s="268" t="str">
        <f t="shared" si="216"/>
        <v/>
      </c>
      <c r="AP190" s="268" t="str">
        <f t="shared" si="216"/>
        <v/>
      </c>
      <c r="AQ190" s="268" t="str">
        <f t="shared" si="216"/>
        <v/>
      </c>
      <c r="AR190" s="268" t="str">
        <f t="shared" si="216"/>
        <v/>
      </c>
      <c r="AS190" s="268" t="str">
        <f t="shared" si="216"/>
        <v/>
      </c>
      <c r="AT190" s="268" t="str">
        <f t="shared" si="216"/>
        <v/>
      </c>
      <c r="AU190" s="268" t="str">
        <f t="shared" si="216"/>
        <v/>
      </c>
      <c r="AV190" s="268" t="str">
        <f t="shared" si="216"/>
        <v/>
      </c>
      <c r="AW190" s="268" t="str">
        <f t="shared" si="216"/>
        <v/>
      </c>
      <c r="AX190" s="268" t="str">
        <f t="shared" si="216"/>
        <v/>
      </c>
      <c r="AY190" s="268" t="str">
        <f t="shared" si="216"/>
        <v/>
      </c>
      <c r="AZ190" s="268" t="str">
        <f t="shared" si="216"/>
        <v/>
      </c>
      <c r="BA190" s="268" t="str">
        <f t="shared" si="216"/>
        <v/>
      </c>
      <c r="BB190" s="268" t="str">
        <f t="shared" si="216"/>
        <v/>
      </c>
      <c r="BC190" s="268" t="str">
        <f t="shared" si="216"/>
        <v/>
      </c>
      <c r="BD190" s="268" t="str">
        <f t="shared" si="216"/>
        <v/>
      </c>
      <c r="BE190" s="268" t="str">
        <f t="shared" si="216"/>
        <v/>
      </c>
      <c r="BF190" s="268" t="str">
        <f t="shared" si="216"/>
        <v/>
      </c>
      <c r="BG190" s="268" t="str">
        <f t="shared" si="216"/>
        <v/>
      </c>
      <c r="BH190" s="268" t="str">
        <f t="shared" si="216"/>
        <v/>
      </c>
      <c r="BI190" s="268" t="str">
        <f t="shared" si="216"/>
        <v/>
      </c>
      <c r="BJ190" s="268" t="str">
        <f t="shared" si="216"/>
        <v/>
      </c>
      <c r="BK190" s="268" t="str">
        <f t="shared" si="216"/>
        <v/>
      </c>
      <c r="BL190" s="268" t="str">
        <f t="shared" si="216"/>
        <v/>
      </c>
      <c r="BM190" s="268" t="str">
        <f t="shared" si="216"/>
        <v/>
      </c>
      <c r="BN190" s="268" t="str">
        <f t="shared" si="216"/>
        <v/>
      </c>
      <c r="BO190" s="268" t="str">
        <f t="shared" si="216"/>
        <v/>
      </c>
      <c r="BP190" s="268" t="str">
        <f t="shared" si="216"/>
        <v/>
      </c>
      <c r="BQ190" s="268" t="str">
        <f t="shared" si="216"/>
        <v/>
      </c>
      <c r="BR190" s="268" t="str">
        <f t="shared" si="216"/>
        <v/>
      </c>
      <c r="BS190" s="268" t="str">
        <f t="shared" si="216"/>
        <v/>
      </c>
      <c r="BT190" s="268" t="str">
        <f t="shared" si="216"/>
        <v/>
      </c>
      <c r="BU190" s="268" t="str">
        <f t="shared" si="153"/>
        <v/>
      </c>
      <c r="BV190" s="247">
        <v>0.61</v>
      </c>
      <c r="BW190" s="729">
        <f t="shared" si="198"/>
        <v>7627.44</v>
      </c>
      <c r="BX190" s="730">
        <f t="shared" si="199"/>
        <v>59112.66</v>
      </c>
      <c r="BY190" s="731" t="str">
        <f t="shared" si="200"/>
        <v>SR</v>
      </c>
    </row>
    <row r="191" s="698" customFormat="1" customHeight="1" spans="1:77">
      <c r="A191" s="208">
        <v>46035</v>
      </c>
      <c r="B191" s="208">
        <v>46176</v>
      </c>
      <c r="C191" s="211" t="s">
        <v>445</v>
      </c>
      <c r="D191" s="211" t="s">
        <v>446</v>
      </c>
      <c r="E191" s="211" t="s">
        <v>85</v>
      </c>
      <c r="F191" s="732">
        <v>21000</v>
      </c>
      <c r="G191" s="211" t="s">
        <v>270</v>
      </c>
      <c r="H191" s="211" t="str">
        <f>IFERROR(VLOOKUP(E191,名称!A:E,4,0),"")</f>
        <v>三代</v>
      </c>
      <c r="I191" s="268" t="str">
        <f t="shared" ref="I191:BT191" si="217">IF(OR($E191="",I$1=""),"",IF(TRIM(LEFT($E191,MIN(IFERROR(FIND("CDU",UPPER($E191)),999),IFERROR(FIND("BULK",UPPER($E191)),999),IFERROR(FIND("-",$E191),999),IFERROR(FIND("（",$E191),999))-1))=I$1,$F191,""))</f>
        <v/>
      </c>
      <c r="J191" s="268" t="str">
        <f t="shared" si="217"/>
        <v/>
      </c>
      <c r="K191" s="268" t="str">
        <f t="shared" si="217"/>
        <v/>
      </c>
      <c r="L191" s="268" t="str">
        <f t="shared" si="217"/>
        <v/>
      </c>
      <c r="M191" s="268" t="str">
        <f t="shared" si="217"/>
        <v/>
      </c>
      <c r="N191" s="268" t="str">
        <f t="shared" si="217"/>
        <v/>
      </c>
      <c r="O191" s="268" t="str">
        <f t="shared" si="217"/>
        <v/>
      </c>
      <c r="P191" s="268" t="str">
        <f t="shared" si="217"/>
        <v/>
      </c>
      <c r="Q191" s="268" t="str">
        <f t="shared" si="217"/>
        <v/>
      </c>
      <c r="R191" s="268" t="str">
        <f t="shared" si="217"/>
        <v/>
      </c>
      <c r="S191" s="268" t="str">
        <f t="shared" si="217"/>
        <v/>
      </c>
      <c r="T191" s="268" t="str">
        <f t="shared" si="217"/>
        <v/>
      </c>
      <c r="U191" s="268" t="str">
        <f t="shared" si="217"/>
        <v/>
      </c>
      <c r="V191" s="268" t="str">
        <f t="shared" si="217"/>
        <v/>
      </c>
      <c r="W191" s="268" t="str">
        <f t="shared" si="217"/>
        <v/>
      </c>
      <c r="X191" s="268" t="str">
        <f t="shared" si="217"/>
        <v/>
      </c>
      <c r="Y191" s="268" t="str">
        <f t="shared" si="217"/>
        <v/>
      </c>
      <c r="Z191" s="268" t="str">
        <f t="shared" si="217"/>
        <v/>
      </c>
      <c r="AA191" s="268" t="str">
        <f t="shared" si="217"/>
        <v/>
      </c>
      <c r="AB191" s="268" t="str">
        <f t="shared" si="217"/>
        <v/>
      </c>
      <c r="AC191" s="268" t="str">
        <f t="shared" si="217"/>
        <v/>
      </c>
      <c r="AD191" s="268" t="str">
        <f t="shared" si="217"/>
        <v/>
      </c>
      <c r="AE191" s="268" t="str">
        <f t="shared" si="217"/>
        <v/>
      </c>
      <c r="AF191" s="268" t="str">
        <f t="shared" si="217"/>
        <v/>
      </c>
      <c r="AG191" s="268" t="str">
        <f t="shared" si="217"/>
        <v/>
      </c>
      <c r="AH191" s="268" t="str">
        <f t="shared" si="217"/>
        <v/>
      </c>
      <c r="AI191" s="268" t="str">
        <f t="shared" si="217"/>
        <v/>
      </c>
      <c r="AJ191" s="268" t="str">
        <f t="shared" si="217"/>
        <v/>
      </c>
      <c r="AK191" s="268" t="str">
        <f t="shared" si="217"/>
        <v/>
      </c>
      <c r="AL191" s="268" t="str">
        <f t="shared" si="217"/>
        <v/>
      </c>
      <c r="AM191" s="268" t="str">
        <f t="shared" si="217"/>
        <v/>
      </c>
      <c r="AN191" s="268">
        <f t="shared" si="217"/>
        <v>21000</v>
      </c>
      <c r="AO191" s="268" t="str">
        <f t="shared" si="217"/>
        <v/>
      </c>
      <c r="AP191" s="268" t="str">
        <f t="shared" si="217"/>
        <v/>
      </c>
      <c r="AQ191" s="268" t="str">
        <f t="shared" si="217"/>
        <v/>
      </c>
      <c r="AR191" s="268" t="str">
        <f t="shared" si="217"/>
        <v/>
      </c>
      <c r="AS191" s="268" t="str">
        <f t="shared" si="217"/>
        <v/>
      </c>
      <c r="AT191" s="268" t="str">
        <f t="shared" si="217"/>
        <v/>
      </c>
      <c r="AU191" s="268" t="str">
        <f t="shared" si="217"/>
        <v/>
      </c>
      <c r="AV191" s="268" t="str">
        <f t="shared" si="217"/>
        <v/>
      </c>
      <c r="AW191" s="268" t="str">
        <f t="shared" si="217"/>
        <v/>
      </c>
      <c r="AX191" s="268" t="str">
        <f t="shared" si="217"/>
        <v/>
      </c>
      <c r="AY191" s="268" t="str">
        <f t="shared" si="217"/>
        <v/>
      </c>
      <c r="AZ191" s="268" t="str">
        <f t="shared" si="217"/>
        <v/>
      </c>
      <c r="BA191" s="268" t="str">
        <f t="shared" si="217"/>
        <v/>
      </c>
      <c r="BB191" s="268" t="str">
        <f t="shared" si="217"/>
        <v/>
      </c>
      <c r="BC191" s="268" t="str">
        <f t="shared" si="217"/>
        <v/>
      </c>
      <c r="BD191" s="268" t="str">
        <f t="shared" si="217"/>
        <v/>
      </c>
      <c r="BE191" s="268" t="str">
        <f t="shared" si="217"/>
        <v/>
      </c>
      <c r="BF191" s="268" t="str">
        <f t="shared" si="217"/>
        <v/>
      </c>
      <c r="BG191" s="268" t="str">
        <f t="shared" si="217"/>
        <v/>
      </c>
      <c r="BH191" s="268" t="str">
        <f t="shared" si="217"/>
        <v/>
      </c>
      <c r="BI191" s="268" t="str">
        <f t="shared" si="217"/>
        <v/>
      </c>
      <c r="BJ191" s="268" t="str">
        <f t="shared" si="217"/>
        <v/>
      </c>
      <c r="BK191" s="268" t="str">
        <f t="shared" si="217"/>
        <v/>
      </c>
      <c r="BL191" s="268" t="str">
        <f t="shared" si="217"/>
        <v/>
      </c>
      <c r="BM191" s="268" t="str">
        <f t="shared" si="217"/>
        <v/>
      </c>
      <c r="BN191" s="268" t="str">
        <f t="shared" si="217"/>
        <v/>
      </c>
      <c r="BO191" s="268" t="str">
        <f t="shared" si="217"/>
        <v/>
      </c>
      <c r="BP191" s="268" t="str">
        <f t="shared" si="217"/>
        <v/>
      </c>
      <c r="BQ191" s="268" t="str">
        <f t="shared" si="217"/>
        <v/>
      </c>
      <c r="BR191" s="268" t="str">
        <f t="shared" si="217"/>
        <v/>
      </c>
      <c r="BS191" s="268" t="str">
        <f t="shared" si="217"/>
        <v/>
      </c>
      <c r="BT191" s="268" t="str">
        <f t="shared" si="217"/>
        <v/>
      </c>
      <c r="BU191" s="268" t="str">
        <f t="shared" si="153"/>
        <v/>
      </c>
      <c r="BV191" s="247">
        <v>0.88</v>
      </c>
      <c r="BW191" s="729">
        <f t="shared" si="198"/>
        <v>18480</v>
      </c>
      <c r="BX191" s="730">
        <f t="shared" si="199"/>
        <v>143220</v>
      </c>
      <c r="BY191" s="731" t="str">
        <f t="shared" si="200"/>
        <v>SR</v>
      </c>
    </row>
    <row r="192" s="698" customFormat="1" customHeight="1" spans="1:77">
      <c r="A192" s="208">
        <v>46035</v>
      </c>
      <c r="B192" s="208">
        <v>46204</v>
      </c>
      <c r="C192" s="211" t="s">
        <v>447</v>
      </c>
      <c r="D192" s="211" t="s">
        <v>448</v>
      </c>
      <c r="E192" s="211" t="s">
        <v>85</v>
      </c>
      <c r="F192" s="732">
        <v>10512</v>
      </c>
      <c r="G192" s="211" t="s">
        <v>270</v>
      </c>
      <c r="H192" s="211" t="str">
        <f>IFERROR(VLOOKUP(E192,名称!A:E,4,0),"")</f>
        <v>三代</v>
      </c>
      <c r="I192" s="268" t="str">
        <f t="shared" ref="I192:BT192" si="218">IF(OR($E192="",I$1=""),"",IF(TRIM(LEFT($E192,MIN(IFERROR(FIND("CDU",UPPER($E192)),999),IFERROR(FIND("BULK",UPPER($E192)),999),IFERROR(FIND("-",$E192),999),IFERROR(FIND("（",$E192),999))-1))=I$1,$F192,""))</f>
        <v/>
      </c>
      <c r="J192" s="268" t="str">
        <f t="shared" si="218"/>
        <v/>
      </c>
      <c r="K192" s="268" t="str">
        <f t="shared" si="218"/>
        <v/>
      </c>
      <c r="L192" s="268" t="str">
        <f t="shared" si="218"/>
        <v/>
      </c>
      <c r="M192" s="268" t="str">
        <f t="shared" si="218"/>
        <v/>
      </c>
      <c r="N192" s="268" t="str">
        <f t="shared" si="218"/>
        <v/>
      </c>
      <c r="O192" s="268" t="str">
        <f t="shared" si="218"/>
        <v/>
      </c>
      <c r="P192" s="268" t="str">
        <f t="shared" si="218"/>
        <v/>
      </c>
      <c r="Q192" s="268" t="str">
        <f t="shared" si="218"/>
        <v/>
      </c>
      <c r="R192" s="268" t="str">
        <f t="shared" si="218"/>
        <v/>
      </c>
      <c r="S192" s="268" t="str">
        <f t="shared" si="218"/>
        <v/>
      </c>
      <c r="T192" s="268" t="str">
        <f t="shared" si="218"/>
        <v/>
      </c>
      <c r="U192" s="268" t="str">
        <f t="shared" si="218"/>
        <v/>
      </c>
      <c r="V192" s="268" t="str">
        <f t="shared" si="218"/>
        <v/>
      </c>
      <c r="W192" s="268" t="str">
        <f t="shared" si="218"/>
        <v/>
      </c>
      <c r="X192" s="268" t="str">
        <f t="shared" si="218"/>
        <v/>
      </c>
      <c r="Y192" s="268" t="str">
        <f t="shared" si="218"/>
        <v/>
      </c>
      <c r="Z192" s="268" t="str">
        <f t="shared" si="218"/>
        <v/>
      </c>
      <c r="AA192" s="268" t="str">
        <f t="shared" si="218"/>
        <v/>
      </c>
      <c r="AB192" s="268" t="str">
        <f t="shared" si="218"/>
        <v/>
      </c>
      <c r="AC192" s="268" t="str">
        <f t="shared" si="218"/>
        <v/>
      </c>
      <c r="AD192" s="268" t="str">
        <f t="shared" si="218"/>
        <v/>
      </c>
      <c r="AE192" s="268" t="str">
        <f t="shared" si="218"/>
        <v/>
      </c>
      <c r="AF192" s="268" t="str">
        <f t="shared" si="218"/>
        <v/>
      </c>
      <c r="AG192" s="268" t="str">
        <f t="shared" si="218"/>
        <v/>
      </c>
      <c r="AH192" s="268" t="str">
        <f t="shared" si="218"/>
        <v/>
      </c>
      <c r="AI192" s="268" t="str">
        <f t="shared" si="218"/>
        <v/>
      </c>
      <c r="AJ192" s="268" t="str">
        <f t="shared" si="218"/>
        <v/>
      </c>
      <c r="AK192" s="268" t="str">
        <f t="shared" si="218"/>
        <v/>
      </c>
      <c r="AL192" s="268" t="str">
        <f t="shared" si="218"/>
        <v/>
      </c>
      <c r="AM192" s="268" t="str">
        <f t="shared" si="218"/>
        <v/>
      </c>
      <c r="AN192" s="268">
        <f t="shared" si="218"/>
        <v>10512</v>
      </c>
      <c r="AO192" s="268" t="str">
        <f t="shared" si="218"/>
        <v/>
      </c>
      <c r="AP192" s="268" t="str">
        <f t="shared" si="218"/>
        <v/>
      </c>
      <c r="AQ192" s="268" t="str">
        <f t="shared" si="218"/>
        <v/>
      </c>
      <c r="AR192" s="268" t="str">
        <f t="shared" si="218"/>
        <v/>
      </c>
      <c r="AS192" s="268" t="str">
        <f t="shared" si="218"/>
        <v/>
      </c>
      <c r="AT192" s="268" t="str">
        <f t="shared" si="218"/>
        <v/>
      </c>
      <c r="AU192" s="268" t="str">
        <f t="shared" si="218"/>
        <v/>
      </c>
      <c r="AV192" s="268" t="str">
        <f t="shared" si="218"/>
        <v/>
      </c>
      <c r="AW192" s="268" t="str">
        <f t="shared" si="218"/>
        <v/>
      </c>
      <c r="AX192" s="268" t="str">
        <f t="shared" si="218"/>
        <v/>
      </c>
      <c r="AY192" s="268" t="str">
        <f t="shared" si="218"/>
        <v/>
      </c>
      <c r="AZ192" s="268" t="str">
        <f t="shared" si="218"/>
        <v/>
      </c>
      <c r="BA192" s="268" t="str">
        <f t="shared" si="218"/>
        <v/>
      </c>
      <c r="BB192" s="268" t="str">
        <f t="shared" si="218"/>
        <v/>
      </c>
      <c r="BC192" s="268" t="str">
        <f t="shared" si="218"/>
        <v/>
      </c>
      <c r="BD192" s="268" t="str">
        <f t="shared" si="218"/>
        <v/>
      </c>
      <c r="BE192" s="268" t="str">
        <f t="shared" si="218"/>
        <v/>
      </c>
      <c r="BF192" s="268" t="str">
        <f t="shared" si="218"/>
        <v/>
      </c>
      <c r="BG192" s="268" t="str">
        <f t="shared" si="218"/>
        <v/>
      </c>
      <c r="BH192" s="268" t="str">
        <f t="shared" si="218"/>
        <v/>
      </c>
      <c r="BI192" s="268" t="str">
        <f t="shared" si="218"/>
        <v/>
      </c>
      <c r="BJ192" s="268" t="str">
        <f t="shared" si="218"/>
        <v/>
      </c>
      <c r="BK192" s="268" t="str">
        <f t="shared" si="218"/>
        <v/>
      </c>
      <c r="BL192" s="268" t="str">
        <f t="shared" si="218"/>
        <v/>
      </c>
      <c r="BM192" s="268" t="str">
        <f t="shared" si="218"/>
        <v/>
      </c>
      <c r="BN192" s="268" t="str">
        <f t="shared" si="218"/>
        <v/>
      </c>
      <c r="BO192" s="268" t="str">
        <f t="shared" si="218"/>
        <v/>
      </c>
      <c r="BP192" s="268" t="str">
        <f t="shared" si="218"/>
        <v/>
      </c>
      <c r="BQ192" s="268" t="str">
        <f t="shared" si="218"/>
        <v/>
      </c>
      <c r="BR192" s="268" t="str">
        <f t="shared" si="218"/>
        <v/>
      </c>
      <c r="BS192" s="268" t="str">
        <f t="shared" si="218"/>
        <v/>
      </c>
      <c r="BT192" s="268" t="str">
        <f t="shared" si="218"/>
        <v/>
      </c>
      <c r="BU192" s="268" t="str">
        <f t="shared" si="153"/>
        <v/>
      </c>
      <c r="BV192" s="247">
        <v>0.88</v>
      </c>
      <c r="BW192" s="729">
        <f t="shared" si="198"/>
        <v>9250.56</v>
      </c>
      <c r="BX192" s="730">
        <f t="shared" si="199"/>
        <v>71691.84</v>
      </c>
      <c r="BY192" s="731" t="str">
        <f t="shared" si="200"/>
        <v>SR</v>
      </c>
    </row>
    <row r="193" s="698" customFormat="1" customHeight="1" spans="1:77">
      <c r="A193" s="208">
        <v>46035</v>
      </c>
      <c r="B193" s="208">
        <v>46190</v>
      </c>
      <c r="C193" s="211" t="s">
        <v>449</v>
      </c>
      <c r="D193" s="211" t="s">
        <v>450</v>
      </c>
      <c r="E193" s="211" t="s">
        <v>85</v>
      </c>
      <c r="F193" s="732">
        <v>21000</v>
      </c>
      <c r="G193" s="211" t="s">
        <v>270</v>
      </c>
      <c r="H193" s="211" t="str">
        <f>IFERROR(VLOOKUP(E193,名称!A:E,4,0),"")</f>
        <v>三代</v>
      </c>
      <c r="I193" s="268" t="str">
        <f t="shared" ref="I193:BT193" si="219">IF(OR($E193="",I$1=""),"",IF(TRIM(LEFT($E193,MIN(IFERROR(FIND("CDU",UPPER($E193)),999),IFERROR(FIND("BULK",UPPER($E193)),999),IFERROR(FIND("-",$E193),999),IFERROR(FIND("（",$E193),999))-1))=I$1,$F193,""))</f>
        <v/>
      </c>
      <c r="J193" s="268" t="str">
        <f t="shared" si="219"/>
        <v/>
      </c>
      <c r="K193" s="268" t="str">
        <f t="shared" si="219"/>
        <v/>
      </c>
      <c r="L193" s="268" t="str">
        <f t="shared" si="219"/>
        <v/>
      </c>
      <c r="M193" s="268" t="str">
        <f t="shared" si="219"/>
        <v/>
      </c>
      <c r="N193" s="268" t="str">
        <f t="shared" si="219"/>
        <v/>
      </c>
      <c r="O193" s="268" t="str">
        <f t="shared" si="219"/>
        <v/>
      </c>
      <c r="P193" s="268" t="str">
        <f t="shared" si="219"/>
        <v/>
      </c>
      <c r="Q193" s="268" t="str">
        <f t="shared" si="219"/>
        <v/>
      </c>
      <c r="R193" s="268" t="str">
        <f t="shared" si="219"/>
        <v/>
      </c>
      <c r="S193" s="268" t="str">
        <f t="shared" si="219"/>
        <v/>
      </c>
      <c r="T193" s="268" t="str">
        <f t="shared" si="219"/>
        <v/>
      </c>
      <c r="U193" s="268" t="str">
        <f t="shared" si="219"/>
        <v/>
      </c>
      <c r="V193" s="268" t="str">
        <f t="shared" si="219"/>
        <v/>
      </c>
      <c r="W193" s="268" t="str">
        <f t="shared" si="219"/>
        <v/>
      </c>
      <c r="X193" s="268" t="str">
        <f t="shared" si="219"/>
        <v/>
      </c>
      <c r="Y193" s="268" t="str">
        <f t="shared" si="219"/>
        <v/>
      </c>
      <c r="Z193" s="268" t="str">
        <f t="shared" si="219"/>
        <v/>
      </c>
      <c r="AA193" s="268" t="str">
        <f t="shared" si="219"/>
        <v/>
      </c>
      <c r="AB193" s="268" t="str">
        <f t="shared" si="219"/>
        <v/>
      </c>
      <c r="AC193" s="268" t="str">
        <f t="shared" si="219"/>
        <v/>
      </c>
      <c r="AD193" s="268" t="str">
        <f t="shared" si="219"/>
        <v/>
      </c>
      <c r="AE193" s="268" t="str">
        <f t="shared" si="219"/>
        <v/>
      </c>
      <c r="AF193" s="268" t="str">
        <f t="shared" si="219"/>
        <v/>
      </c>
      <c r="AG193" s="268" t="str">
        <f t="shared" si="219"/>
        <v/>
      </c>
      <c r="AH193" s="268" t="str">
        <f t="shared" si="219"/>
        <v/>
      </c>
      <c r="AI193" s="268" t="str">
        <f t="shared" si="219"/>
        <v/>
      </c>
      <c r="AJ193" s="268" t="str">
        <f t="shared" si="219"/>
        <v/>
      </c>
      <c r="AK193" s="268" t="str">
        <f t="shared" si="219"/>
        <v/>
      </c>
      <c r="AL193" s="268" t="str">
        <f t="shared" si="219"/>
        <v/>
      </c>
      <c r="AM193" s="268" t="str">
        <f t="shared" si="219"/>
        <v/>
      </c>
      <c r="AN193" s="268">
        <f t="shared" si="219"/>
        <v>21000</v>
      </c>
      <c r="AO193" s="268" t="str">
        <f t="shared" si="219"/>
        <v/>
      </c>
      <c r="AP193" s="268" t="str">
        <f t="shared" si="219"/>
        <v/>
      </c>
      <c r="AQ193" s="268" t="str">
        <f t="shared" si="219"/>
        <v/>
      </c>
      <c r="AR193" s="268" t="str">
        <f t="shared" si="219"/>
        <v/>
      </c>
      <c r="AS193" s="268" t="str">
        <f t="shared" si="219"/>
        <v/>
      </c>
      <c r="AT193" s="268" t="str">
        <f t="shared" si="219"/>
        <v/>
      </c>
      <c r="AU193" s="268" t="str">
        <f t="shared" si="219"/>
        <v/>
      </c>
      <c r="AV193" s="268" t="str">
        <f t="shared" si="219"/>
        <v/>
      </c>
      <c r="AW193" s="268" t="str">
        <f t="shared" si="219"/>
        <v/>
      </c>
      <c r="AX193" s="268" t="str">
        <f t="shared" si="219"/>
        <v/>
      </c>
      <c r="AY193" s="268" t="str">
        <f t="shared" si="219"/>
        <v/>
      </c>
      <c r="AZ193" s="268" t="str">
        <f t="shared" si="219"/>
        <v/>
      </c>
      <c r="BA193" s="268" t="str">
        <f t="shared" si="219"/>
        <v/>
      </c>
      <c r="BB193" s="268" t="str">
        <f t="shared" si="219"/>
        <v/>
      </c>
      <c r="BC193" s="268" t="str">
        <f t="shared" si="219"/>
        <v/>
      </c>
      <c r="BD193" s="268" t="str">
        <f t="shared" si="219"/>
        <v/>
      </c>
      <c r="BE193" s="268" t="str">
        <f t="shared" si="219"/>
        <v/>
      </c>
      <c r="BF193" s="268" t="str">
        <f t="shared" si="219"/>
        <v/>
      </c>
      <c r="BG193" s="268" t="str">
        <f t="shared" si="219"/>
        <v/>
      </c>
      <c r="BH193" s="268" t="str">
        <f t="shared" si="219"/>
        <v/>
      </c>
      <c r="BI193" s="268" t="str">
        <f t="shared" si="219"/>
        <v/>
      </c>
      <c r="BJ193" s="268" t="str">
        <f t="shared" si="219"/>
        <v/>
      </c>
      <c r="BK193" s="268" t="str">
        <f t="shared" si="219"/>
        <v/>
      </c>
      <c r="BL193" s="268" t="str">
        <f t="shared" si="219"/>
        <v/>
      </c>
      <c r="BM193" s="268" t="str">
        <f t="shared" si="219"/>
        <v/>
      </c>
      <c r="BN193" s="268" t="str">
        <f t="shared" si="219"/>
        <v/>
      </c>
      <c r="BO193" s="268" t="str">
        <f t="shared" si="219"/>
        <v/>
      </c>
      <c r="BP193" s="268" t="str">
        <f t="shared" si="219"/>
        <v/>
      </c>
      <c r="BQ193" s="268" t="str">
        <f t="shared" si="219"/>
        <v/>
      </c>
      <c r="BR193" s="268" t="str">
        <f t="shared" si="219"/>
        <v/>
      </c>
      <c r="BS193" s="268" t="str">
        <f t="shared" si="219"/>
        <v/>
      </c>
      <c r="BT193" s="268" t="str">
        <f t="shared" si="219"/>
        <v/>
      </c>
      <c r="BU193" s="268" t="str">
        <f t="shared" si="153"/>
        <v/>
      </c>
      <c r="BV193" s="247">
        <v>0.88</v>
      </c>
      <c r="BW193" s="729">
        <f t="shared" si="198"/>
        <v>18480</v>
      </c>
      <c r="BX193" s="730">
        <f t="shared" si="199"/>
        <v>143220</v>
      </c>
      <c r="BY193" s="731" t="str">
        <f t="shared" si="200"/>
        <v>SR</v>
      </c>
    </row>
    <row r="194" s="698" customFormat="1" customHeight="1" spans="1:77">
      <c r="A194" s="208">
        <v>46035</v>
      </c>
      <c r="B194" s="208">
        <v>46164</v>
      </c>
      <c r="C194" s="211" t="s">
        <v>451</v>
      </c>
      <c r="D194" s="211" t="s">
        <v>452</v>
      </c>
      <c r="E194" s="211" t="s">
        <v>59</v>
      </c>
      <c r="F194" s="732">
        <v>7200</v>
      </c>
      <c r="G194" s="211" t="s">
        <v>270</v>
      </c>
      <c r="H194" s="211" t="str">
        <f>IFERROR(VLOOKUP(E194,名称!A:E,4,0),"")</f>
        <v>三代</v>
      </c>
      <c r="I194" s="268" t="str">
        <f t="shared" ref="I194:BT194" si="220">IF(OR($E194="",I$1=""),"",IF(TRIM(LEFT($E194,MIN(IFERROR(FIND("CDU",UPPER($E194)),999),IFERROR(FIND("BULK",UPPER($E194)),999),IFERROR(FIND("-",$E194),999),IFERROR(FIND("（",$E194),999))-1))=I$1,$F194,""))</f>
        <v/>
      </c>
      <c r="J194" s="268" t="str">
        <f t="shared" si="220"/>
        <v/>
      </c>
      <c r="K194" s="268" t="str">
        <f t="shared" si="220"/>
        <v/>
      </c>
      <c r="L194" s="268" t="str">
        <f t="shared" si="220"/>
        <v/>
      </c>
      <c r="M194" s="268" t="str">
        <f t="shared" si="220"/>
        <v/>
      </c>
      <c r="N194" s="268" t="str">
        <f t="shared" si="220"/>
        <v/>
      </c>
      <c r="O194" s="268" t="str">
        <f t="shared" si="220"/>
        <v/>
      </c>
      <c r="P194" s="268" t="str">
        <f t="shared" si="220"/>
        <v/>
      </c>
      <c r="Q194" s="268" t="str">
        <f t="shared" si="220"/>
        <v/>
      </c>
      <c r="R194" s="268" t="str">
        <f t="shared" si="220"/>
        <v/>
      </c>
      <c r="S194" s="268" t="str">
        <f t="shared" si="220"/>
        <v/>
      </c>
      <c r="T194" s="268" t="str">
        <f t="shared" si="220"/>
        <v/>
      </c>
      <c r="U194" s="268" t="str">
        <f t="shared" si="220"/>
        <v/>
      </c>
      <c r="V194" s="268" t="str">
        <f t="shared" si="220"/>
        <v/>
      </c>
      <c r="W194" s="268" t="str">
        <f t="shared" si="220"/>
        <v/>
      </c>
      <c r="X194" s="268" t="str">
        <f t="shared" si="220"/>
        <v/>
      </c>
      <c r="Y194" s="268" t="str">
        <f t="shared" si="220"/>
        <v/>
      </c>
      <c r="Z194" s="268" t="str">
        <f t="shared" si="220"/>
        <v/>
      </c>
      <c r="AA194" s="268" t="str">
        <f t="shared" si="220"/>
        <v/>
      </c>
      <c r="AB194" s="268" t="str">
        <f t="shared" si="220"/>
        <v/>
      </c>
      <c r="AC194" s="268" t="str">
        <f t="shared" si="220"/>
        <v/>
      </c>
      <c r="AD194" s="268">
        <f t="shared" si="220"/>
        <v>7200</v>
      </c>
      <c r="AE194" s="268" t="str">
        <f t="shared" si="220"/>
        <v/>
      </c>
      <c r="AF194" s="268" t="str">
        <f t="shared" si="220"/>
        <v/>
      </c>
      <c r="AG194" s="268" t="str">
        <f t="shared" si="220"/>
        <v/>
      </c>
      <c r="AH194" s="268" t="str">
        <f t="shared" si="220"/>
        <v/>
      </c>
      <c r="AI194" s="268" t="str">
        <f t="shared" si="220"/>
        <v/>
      </c>
      <c r="AJ194" s="268" t="str">
        <f t="shared" si="220"/>
        <v/>
      </c>
      <c r="AK194" s="268" t="str">
        <f t="shared" si="220"/>
        <v/>
      </c>
      <c r="AL194" s="268" t="str">
        <f t="shared" si="220"/>
        <v/>
      </c>
      <c r="AM194" s="268" t="str">
        <f t="shared" si="220"/>
        <v/>
      </c>
      <c r="AN194" s="268" t="str">
        <f t="shared" si="220"/>
        <v/>
      </c>
      <c r="AO194" s="268" t="str">
        <f t="shared" si="220"/>
        <v/>
      </c>
      <c r="AP194" s="268" t="str">
        <f t="shared" si="220"/>
        <v/>
      </c>
      <c r="AQ194" s="268" t="str">
        <f t="shared" si="220"/>
        <v/>
      </c>
      <c r="AR194" s="268" t="str">
        <f t="shared" si="220"/>
        <v/>
      </c>
      <c r="AS194" s="268" t="str">
        <f t="shared" si="220"/>
        <v/>
      </c>
      <c r="AT194" s="268" t="str">
        <f t="shared" si="220"/>
        <v/>
      </c>
      <c r="AU194" s="268" t="str">
        <f t="shared" si="220"/>
        <v/>
      </c>
      <c r="AV194" s="268" t="str">
        <f t="shared" si="220"/>
        <v/>
      </c>
      <c r="AW194" s="268" t="str">
        <f t="shared" si="220"/>
        <v/>
      </c>
      <c r="AX194" s="268" t="str">
        <f t="shared" si="220"/>
        <v/>
      </c>
      <c r="AY194" s="268" t="str">
        <f t="shared" si="220"/>
        <v/>
      </c>
      <c r="AZ194" s="268" t="str">
        <f t="shared" si="220"/>
        <v/>
      </c>
      <c r="BA194" s="268" t="str">
        <f t="shared" si="220"/>
        <v/>
      </c>
      <c r="BB194" s="268" t="str">
        <f t="shared" si="220"/>
        <v/>
      </c>
      <c r="BC194" s="268" t="str">
        <f t="shared" si="220"/>
        <v/>
      </c>
      <c r="BD194" s="268" t="str">
        <f t="shared" si="220"/>
        <v/>
      </c>
      <c r="BE194" s="268" t="str">
        <f t="shared" si="220"/>
        <v/>
      </c>
      <c r="BF194" s="268" t="str">
        <f t="shared" si="220"/>
        <v/>
      </c>
      <c r="BG194" s="268" t="str">
        <f t="shared" si="220"/>
        <v/>
      </c>
      <c r="BH194" s="268" t="str">
        <f t="shared" si="220"/>
        <v/>
      </c>
      <c r="BI194" s="268" t="str">
        <f t="shared" si="220"/>
        <v/>
      </c>
      <c r="BJ194" s="268" t="str">
        <f t="shared" si="220"/>
        <v/>
      </c>
      <c r="BK194" s="268" t="str">
        <f t="shared" si="220"/>
        <v/>
      </c>
      <c r="BL194" s="268" t="str">
        <f t="shared" si="220"/>
        <v/>
      </c>
      <c r="BM194" s="268" t="str">
        <f t="shared" si="220"/>
        <v/>
      </c>
      <c r="BN194" s="268" t="str">
        <f t="shared" si="220"/>
        <v/>
      </c>
      <c r="BO194" s="268" t="str">
        <f t="shared" si="220"/>
        <v/>
      </c>
      <c r="BP194" s="268" t="str">
        <f t="shared" si="220"/>
        <v/>
      </c>
      <c r="BQ194" s="268" t="str">
        <f t="shared" si="220"/>
        <v/>
      </c>
      <c r="BR194" s="268" t="str">
        <f t="shared" si="220"/>
        <v/>
      </c>
      <c r="BS194" s="268" t="str">
        <f t="shared" si="220"/>
        <v/>
      </c>
      <c r="BT194" s="268" t="str">
        <f t="shared" si="220"/>
        <v/>
      </c>
      <c r="BU194" s="268" t="str">
        <f t="shared" si="153"/>
        <v/>
      </c>
      <c r="BV194" s="247">
        <v>0.62</v>
      </c>
      <c r="BW194" s="729">
        <f t="shared" si="198"/>
        <v>4464</v>
      </c>
      <c r="BX194" s="730">
        <f t="shared" si="199"/>
        <v>34596</v>
      </c>
      <c r="BY194" s="731" t="str">
        <f t="shared" si="200"/>
        <v>SR</v>
      </c>
    </row>
    <row r="195" s="698" customFormat="1" customHeight="1" spans="1:77">
      <c r="A195" s="208">
        <v>46035</v>
      </c>
      <c r="B195" s="208">
        <v>46157</v>
      </c>
      <c r="C195" s="211" t="s">
        <v>453</v>
      </c>
      <c r="D195" s="211" t="s">
        <v>454</v>
      </c>
      <c r="E195" s="211" t="s">
        <v>59</v>
      </c>
      <c r="F195" s="732">
        <v>14400</v>
      </c>
      <c r="G195" s="211" t="s">
        <v>270</v>
      </c>
      <c r="H195" s="211" t="str">
        <f>IFERROR(VLOOKUP(E195,名称!A:E,4,0),"")</f>
        <v>三代</v>
      </c>
      <c r="I195" s="268" t="str">
        <f t="shared" ref="I195:BT195" si="221">IF(OR($E195="",I$1=""),"",IF(TRIM(LEFT($E195,MIN(IFERROR(FIND("CDU",UPPER($E195)),999),IFERROR(FIND("BULK",UPPER($E195)),999),IFERROR(FIND("-",$E195),999),IFERROR(FIND("（",$E195),999))-1))=I$1,$F195,""))</f>
        <v/>
      </c>
      <c r="J195" s="268" t="str">
        <f t="shared" si="221"/>
        <v/>
      </c>
      <c r="K195" s="268" t="str">
        <f t="shared" si="221"/>
        <v/>
      </c>
      <c r="L195" s="268" t="str">
        <f t="shared" si="221"/>
        <v/>
      </c>
      <c r="M195" s="268" t="str">
        <f t="shared" si="221"/>
        <v/>
      </c>
      <c r="N195" s="268" t="str">
        <f t="shared" si="221"/>
        <v/>
      </c>
      <c r="O195" s="268" t="str">
        <f t="shared" si="221"/>
        <v/>
      </c>
      <c r="P195" s="268" t="str">
        <f t="shared" si="221"/>
        <v/>
      </c>
      <c r="Q195" s="268" t="str">
        <f t="shared" si="221"/>
        <v/>
      </c>
      <c r="R195" s="268" t="str">
        <f t="shared" si="221"/>
        <v/>
      </c>
      <c r="S195" s="268" t="str">
        <f t="shared" si="221"/>
        <v/>
      </c>
      <c r="T195" s="268" t="str">
        <f t="shared" si="221"/>
        <v/>
      </c>
      <c r="U195" s="268" t="str">
        <f t="shared" si="221"/>
        <v/>
      </c>
      <c r="V195" s="268" t="str">
        <f t="shared" si="221"/>
        <v/>
      </c>
      <c r="W195" s="268" t="str">
        <f t="shared" si="221"/>
        <v/>
      </c>
      <c r="X195" s="268" t="str">
        <f t="shared" si="221"/>
        <v/>
      </c>
      <c r="Y195" s="268" t="str">
        <f t="shared" si="221"/>
        <v/>
      </c>
      <c r="Z195" s="268" t="str">
        <f t="shared" si="221"/>
        <v/>
      </c>
      <c r="AA195" s="268" t="str">
        <f t="shared" si="221"/>
        <v/>
      </c>
      <c r="AB195" s="268" t="str">
        <f t="shared" si="221"/>
        <v/>
      </c>
      <c r="AC195" s="268" t="str">
        <f t="shared" si="221"/>
        <v/>
      </c>
      <c r="AD195" s="268">
        <f t="shared" si="221"/>
        <v>14400</v>
      </c>
      <c r="AE195" s="268" t="str">
        <f t="shared" si="221"/>
        <v/>
      </c>
      <c r="AF195" s="268" t="str">
        <f t="shared" si="221"/>
        <v/>
      </c>
      <c r="AG195" s="268" t="str">
        <f t="shared" si="221"/>
        <v/>
      </c>
      <c r="AH195" s="268" t="str">
        <f t="shared" si="221"/>
        <v/>
      </c>
      <c r="AI195" s="268" t="str">
        <f t="shared" si="221"/>
        <v/>
      </c>
      <c r="AJ195" s="268" t="str">
        <f t="shared" si="221"/>
        <v/>
      </c>
      <c r="AK195" s="268" t="str">
        <f t="shared" si="221"/>
        <v/>
      </c>
      <c r="AL195" s="268" t="str">
        <f t="shared" si="221"/>
        <v/>
      </c>
      <c r="AM195" s="268" t="str">
        <f t="shared" si="221"/>
        <v/>
      </c>
      <c r="AN195" s="268" t="str">
        <f t="shared" si="221"/>
        <v/>
      </c>
      <c r="AO195" s="268" t="str">
        <f t="shared" si="221"/>
        <v/>
      </c>
      <c r="AP195" s="268" t="str">
        <f t="shared" si="221"/>
        <v/>
      </c>
      <c r="AQ195" s="268" t="str">
        <f t="shared" si="221"/>
        <v/>
      </c>
      <c r="AR195" s="268" t="str">
        <f t="shared" si="221"/>
        <v/>
      </c>
      <c r="AS195" s="268" t="str">
        <f t="shared" si="221"/>
        <v/>
      </c>
      <c r="AT195" s="268" t="str">
        <f t="shared" si="221"/>
        <v/>
      </c>
      <c r="AU195" s="268" t="str">
        <f t="shared" si="221"/>
        <v/>
      </c>
      <c r="AV195" s="268" t="str">
        <f t="shared" si="221"/>
        <v/>
      </c>
      <c r="AW195" s="268" t="str">
        <f t="shared" si="221"/>
        <v/>
      </c>
      <c r="AX195" s="268" t="str">
        <f t="shared" si="221"/>
        <v/>
      </c>
      <c r="AY195" s="268" t="str">
        <f t="shared" si="221"/>
        <v/>
      </c>
      <c r="AZ195" s="268" t="str">
        <f t="shared" si="221"/>
        <v/>
      </c>
      <c r="BA195" s="268" t="str">
        <f t="shared" si="221"/>
        <v/>
      </c>
      <c r="BB195" s="268" t="str">
        <f t="shared" si="221"/>
        <v/>
      </c>
      <c r="BC195" s="268" t="str">
        <f t="shared" si="221"/>
        <v/>
      </c>
      <c r="BD195" s="268" t="str">
        <f t="shared" si="221"/>
        <v/>
      </c>
      <c r="BE195" s="268" t="str">
        <f t="shared" si="221"/>
        <v/>
      </c>
      <c r="BF195" s="268" t="str">
        <f t="shared" si="221"/>
        <v/>
      </c>
      <c r="BG195" s="268" t="str">
        <f t="shared" si="221"/>
        <v/>
      </c>
      <c r="BH195" s="268" t="str">
        <f t="shared" si="221"/>
        <v/>
      </c>
      <c r="BI195" s="268" t="str">
        <f t="shared" si="221"/>
        <v/>
      </c>
      <c r="BJ195" s="268" t="str">
        <f t="shared" si="221"/>
        <v/>
      </c>
      <c r="BK195" s="268" t="str">
        <f t="shared" si="221"/>
        <v/>
      </c>
      <c r="BL195" s="268" t="str">
        <f t="shared" si="221"/>
        <v/>
      </c>
      <c r="BM195" s="268" t="str">
        <f t="shared" si="221"/>
        <v/>
      </c>
      <c r="BN195" s="268" t="str">
        <f t="shared" si="221"/>
        <v/>
      </c>
      <c r="BO195" s="268" t="str">
        <f t="shared" si="221"/>
        <v/>
      </c>
      <c r="BP195" s="268" t="str">
        <f t="shared" si="221"/>
        <v/>
      </c>
      <c r="BQ195" s="268" t="str">
        <f t="shared" si="221"/>
        <v/>
      </c>
      <c r="BR195" s="268" t="str">
        <f t="shared" si="221"/>
        <v/>
      </c>
      <c r="BS195" s="268" t="str">
        <f t="shared" si="221"/>
        <v/>
      </c>
      <c r="BT195" s="268" t="str">
        <f t="shared" si="221"/>
        <v/>
      </c>
      <c r="BU195" s="268" t="str">
        <f t="shared" ref="BU195:BU258" si="222">IF(OR($E195="",BU$1=""),"",IF(TRIM(LEFT($E195,MIN(IFERROR(FIND("CDU",UPPER($E195)),999),IFERROR(FIND("BULK",UPPER($E195)),999),IFERROR(FIND("-",$E195),999),IFERROR(FIND("（",$E195),999))-1))=BU$1,$F195,""))</f>
        <v/>
      </c>
      <c r="BV195" s="353">
        <v>0.62</v>
      </c>
      <c r="BW195" s="729">
        <f t="shared" si="198"/>
        <v>8928</v>
      </c>
      <c r="BX195" s="730">
        <f t="shared" si="199"/>
        <v>69192</v>
      </c>
      <c r="BY195" s="731" t="str">
        <f t="shared" si="200"/>
        <v>SR</v>
      </c>
    </row>
    <row r="196" s="697" customFormat="1" customHeight="1" spans="1:77">
      <c r="A196" s="116">
        <v>46035</v>
      </c>
      <c r="B196" s="116">
        <v>46164</v>
      </c>
      <c r="C196" s="118" t="s">
        <v>455</v>
      </c>
      <c r="D196" s="118" t="s">
        <v>456</v>
      </c>
      <c r="E196" s="118" t="s">
        <v>61</v>
      </c>
      <c r="F196" s="726">
        <v>6264</v>
      </c>
      <c r="G196" s="118" t="s">
        <v>270</v>
      </c>
      <c r="H196" s="118" t="str">
        <f>IFERROR(VLOOKUP(E196,名称!A:E,4,0),"")</f>
        <v>三代</v>
      </c>
      <c r="I196" s="418" t="str">
        <f t="shared" ref="I196:BT196" si="223">IF(OR($E196="",I$1=""),"",IF(TRIM(LEFT($E196,MIN(IFERROR(FIND("CDU",UPPER($E196)),999),IFERROR(FIND("BULK",UPPER($E196)),999),IFERROR(FIND("-",$E196),999),IFERROR(FIND("（",$E196),999))-1))=I$1,$F196,""))</f>
        <v/>
      </c>
      <c r="J196" s="418" t="str">
        <f t="shared" si="223"/>
        <v/>
      </c>
      <c r="K196" s="418" t="str">
        <f t="shared" si="223"/>
        <v/>
      </c>
      <c r="L196" s="418" t="str">
        <f t="shared" si="223"/>
        <v/>
      </c>
      <c r="M196" s="418" t="str">
        <f t="shared" si="223"/>
        <v/>
      </c>
      <c r="N196" s="418" t="str">
        <f t="shared" si="223"/>
        <v/>
      </c>
      <c r="O196" s="418" t="str">
        <f t="shared" si="223"/>
        <v/>
      </c>
      <c r="P196" s="418" t="str">
        <f t="shared" si="223"/>
        <v/>
      </c>
      <c r="Q196" s="418" t="str">
        <f t="shared" si="223"/>
        <v/>
      </c>
      <c r="R196" s="418" t="str">
        <f t="shared" si="223"/>
        <v/>
      </c>
      <c r="S196" s="418" t="str">
        <f t="shared" si="223"/>
        <v/>
      </c>
      <c r="T196" s="418" t="str">
        <f t="shared" si="223"/>
        <v/>
      </c>
      <c r="U196" s="418" t="str">
        <f t="shared" si="223"/>
        <v/>
      </c>
      <c r="V196" s="418" t="str">
        <f t="shared" si="223"/>
        <v/>
      </c>
      <c r="W196" s="418" t="str">
        <f t="shared" si="223"/>
        <v/>
      </c>
      <c r="X196" s="418" t="str">
        <f t="shared" si="223"/>
        <v/>
      </c>
      <c r="Y196" s="418" t="str">
        <f t="shared" si="223"/>
        <v/>
      </c>
      <c r="Z196" s="418" t="str">
        <f t="shared" si="223"/>
        <v/>
      </c>
      <c r="AA196" s="418" t="str">
        <f t="shared" si="223"/>
        <v/>
      </c>
      <c r="AB196" s="418" t="str">
        <f t="shared" si="223"/>
        <v/>
      </c>
      <c r="AC196" s="418" t="str">
        <f t="shared" si="223"/>
        <v/>
      </c>
      <c r="AD196" s="418" t="str">
        <f t="shared" si="223"/>
        <v/>
      </c>
      <c r="AE196" s="418">
        <f t="shared" si="223"/>
        <v>6264</v>
      </c>
      <c r="AF196" s="418" t="str">
        <f t="shared" si="223"/>
        <v/>
      </c>
      <c r="AG196" s="418" t="str">
        <f t="shared" si="223"/>
        <v/>
      </c>
      <c r="AH196" s="418" t="str">
        <f t="shared" si="223"/>
        <v/>
      </c>
      <c r="AI196" s="418" t="str">
        <f t="shared" si="223"/>
        <v/>
      </c>
      <c r="AJ196" s="418" t="str">
        <f t="shared" si="223"/>
        <v/>
      </c>
      <c r="AK196" s="418" t="str">
        <f t="shared" si="223"/>
        <v/>
      </c>
      <c r="AL196" s="418" t="str">
        <f t="shared" si="223"/>
        <v/>
      </c>
      <c r="AM196" s="418" t="str">
        <f t="shared" si="223"/>
        <v/>
      </c>
      <c r="AN196" s="418" t="str">
        <f t="shared" si="223"/>
        <v/>
      </c>
      <c r="AO196" s="418" t="str">
        <f t="shared" si="223"/>
        <v/>
      </c>
      <c r="AP196" s="418" t="str">
        <f t="shared" si="223"/>
        <v/>
      </c>
      <c r="AQ196" s="418" t="str">
        <f t="shared" si="223"/>
        <v/>
      </c>
      <c r="AR196" s="418" t="str">
        <f t="shared" si="223"/>
        <v/>
      </c>
      <c r="AS196" s="418" t="str">
        <f t="shared" si="223"/>
        <v/>
      </c>
      <c r="AT196" s="418" t="str">
        <f t="shared" si="223"/>
        <v/>
      </c>
      <c r="AU196" s="418" t="str">
        <f t="shared" si="223"/>
        <v/>
      </c>
      <c r="AV196" s="418" t="str">
        <f t="shared" si="223"/>
        <v/>
      </c>
      <c r="AW196" s="418" t="str">
        <f t="shared" si="223"/>
        <v/>
      </c>
      <c r="AX196" s="418" t="str">
        <f t="shared" si="223"/>
        <v/>
      </c>
      <c r="AY196" s="418" t="str">
        <f t="shared" si="223"/>
        <v/>
      </c>
      <c r="AZ196" s="418" t="str">
        <f t="shared" si="223"/>
        <v/>
      </c>
      <c r="BA196" s="418" t="str">
        <f t="shared" si="223"/>
        <v/>
      </c>
      <c r="BB196" s="418" t="str">
        <f t="shared" si="223"/>
        <v/>
      </c>
      <c r="BC196" s="418" t="str">
        <f t="shared" si="223"/>
        <v/>
      </c>
      <c r="BD196" s="418" t="str">
        <f t="shared" si="223"/>
        <v/>
      </c>
      <c r="BE196" s="418" t="str">
        <f t="shared" si="223"/>
        <v/>
      </c>
      <c r="BF196" s="418" t="str">
        <f t="shared" si="223"/>
        <v/>
      </c>
      <c r="BG196" s="418" t="str">
        <f t="shared" si="223"/>
        <v/>
      </c>
      <c r="BH196" s="418" t="str">
        <f t="shared" si="223"/>
        <v/>
      </c>
      <c r="BI196" s="418" t="str">
        <f t="shared" si="223"/>
        <v/>
      </c>
      <c r="BJ196" s="418" t="str">
        <f t="shared" si="223"/>
        <v/>
      </c>
      <c r="BK196" s="418" t="str">
        <f t="shared" si="223"/>
        <v/>
      </c>
      <c r="BL196" s="418" t="str">
        <f t="shared" si="223"/>
        <v/>
      </c>
      <c r="BM196" s="418" t="str">
        <f t="shared" si="223"/>
        <v/>
      </c>
      <c r="BN196" s="418" t="str">
        <f t="shared" si="223"/>
        <v/>
      </c>
      <c r="BO196" s="418" t="str">
        <f t="shared" si="223"/>
        <v/>
      </c>
      <c r="BP196" s="418" t="str">
        <f t="shared" si="223"/>
        <v/>
      </c>
      <c r="BQ196" s="418" t="str">
        <f t="shared" si="223"/>
        <v/>
      </c>
      <c r="BR196" s="418" t="str">
        <f t="shared" si="223"/>
        <v/>
      </c>
      <c r="BS196" s="418" t="str">
        <f t="shared" si="223"/>
        <v/>
      </c>
      <c r="BT196" s="418" t="str">
        <f t="shared" si="223"/>
        <v/>
      </c>
      <c r="BU196" s="418" t="str">
        <f t="shared" si="222"/>
        <v/>
      </c>
      <c r="BV196" s="544">
        <v>0.61</v>
      </c>
      <c r="BW196" s="723">
        <f t="shared" si="198"/>
        <v>3821.04</v>
      </c>
      <c r="BX196" s="724">
        <f t="shared" si="199"/>
        <v>29613.06</v>
      </c>
      <c r="BY196" s="725" t="str">
        <f t="shared" si="200"/>
        <v>SR</v>
      </c>
    </row>
    <row r="197" s="698" customFormat="1" customHeight="1" spans="1:77">
      <c r="A197" s="208">
        <v>46035</v>
      </c>
      <c r="B197" s="208">
        <v>46188</v>
      </c>
      <c r="C197" s="211" t="s">
        <v>457</v>
      </c>
      <c r="D197" s="211" t="s">
        <v>458</v>
      </c>
      <c r="E197" s="211" t="s">
        <v>88</v>
      </c>
      <c r="F197" s="733">
        <v>37896</v>
      </c>
      <c r="G197" s="211" t="s">
        <v>334</v>
      </c>
      <c r="H197" s="211" t="str">
        <f>IFERROR(VLOOKUP(E197,名称!A:E,4,0),"")</f>
        <v>三代</v>
      </c>
      <c r="I197" s="268" t="str">
        <f t="shared" ref="I197:BT197" si="224">IF(OR($E197="",I$1=""),"",IF(TRIM(LEFT($E197,MIN(IFERROR(FIND("CDU",UPPER($E197)),999),IFERROR(FIND("BULK",UPPER($E197)),999),IFERROR(FIND("-",$E197),999),IFERROR(FIND("（",$E197),999))-1))=I$1,$F197,""))</f>
        <v/>
      </c>
      <c r="J197" s="268" t="str">
        <f t="shared" si="224"/>
        <v/>
      </c>
      <c r="K197" s="268" t="str">
        <f t="shared" si="224"/>
        <v/>
      </c>
      <c r="L197" s="268" t="str">
        <f t="shared" si="224"/>
        <v/>
      </c>
      <c r="M197" s="268" t="str">
        <f t="shared" si="224"/>
        <v/>
      </c>
      <c r="N197" s="268" t="str">
        <f t="shared" si="224"/>
        <v/>
      </c>
      <c r="O197" s="268" t="str">
        <f t="shared" si="224"/>
        <v/>
      </c>
      <c r="P197" s="268" t="str">
        <f t="shared" si="224"/>
        <v/>
      </c>
      <c r="Q197" s="268" t="str">
        <f t="shared" si="224"/>
        <v/>
      </c>
      <c r="R197" s="268" t="str">
        <f t="shared" si="224"/>
        <v/>
      </c>
      <c r="S197" s="268" t="str">
        <f t="shared" si="224"/>
        <v/>
      </c>
      <c r="T197" s="268" t="str">
        <f t="shared" si="224"/>
        <v/>
      </c>
      <c r="U197" s="268" t="str">
        <f t="shared" si="224"/>
        <v/>
      </c>
      <c r="V197" s="268" t="str">
        <f t="shared" si="224"/>
        <v/>
      </c>
      <c r="W197" s="268" t="str">
        <f t="shared" si="224"/>
        <v/>
      </c>
      <c r="X197" s="268" t="str">
        <f t="shared" si="224"/>
        <v/>
      </c>
      <c r="Y197" s="268" t="str">
        <f t="shared" si="224"/>
        <v/>
      </c>
      <c r="Z197" s="268" t="str">
        <f t="shared" si="224"/>
        <v/>
      </c>
      <c r="AA197" s="268" t="str">
        <f t="shared" si="224"/>
        <v/>
      </c>
      <c r="AB197" s="268" t="str">
        <f t="shared" si="224"/>
        <v/>
      </c>
      <c r="AC197" s="268" t="str">
        <f t="shared" si="224"/>
        <v/>
      </c>
      <c r="AD197" s="268" t="str">
        <f t="shared" si="224"/>
        <v/>
      </c>
      <c r="AE197" s="268" t="str">
        <f t="shared" si="224"/>
        <v/>
      </c>
      <c r="AF197" s="268" t="str">
        <f t="shared" si="224"/>
        <v/>
      </c>
      <c r="AG197" s="268" t="str">
        <f t="shared" si="224"/>
        <v/>
      </c>
      <c r="AH197" s="268" t="str">
        <f t="shared" si="224"/>
        <v/>
      </c>
      <c r="AI197" s="268" t="str">
        <f t="shared" si="224"/>
        <v/>
      </c>
      <c r="AJ197" s="268" t="str">
        <f t="shared" si="224"/>
        <v/>
      </c>
      <c r="AK197" s="268" t="str">
        <f t="shared" si="224"/>
        <v/>
      </c>
      <c r="AL197" s="268" t="str">
        <f t="shared" si="224"/>
        <v/>
      </c>
      <c r="AM197" s="268" t="str">
        <f t="shared" si="224"/>
        <v/>
      </c>
      <c r="AN197" s="268" t="str">
        <f t="shared" si="224"/>
        <v/>
      </c>
      <c r="AO197" s="268" t="str">
        <f t="shared" si="224"/>
        <v/>
      </c>
      <c r="AP197" s="268" t="str">
        <f t="shared" si="224"/>
        <v/>
      </c>
      <c r="AQ197" s="268" t="str">
        <f t="shared" si="224"/>
        <v/>
      </c>
      <c r="AR197" s="268" t="str">
        <f t="shared" si="224"/>
        <v/>
      </c>
      <c r="AS197" s="268" t="str">
        <f t="shared" si="224"/>
        <v/>
      </c>
      <c r="AT197" s="268">
        <f t="shared" si="224"/>
        <v>37896</v>
      </c>
      <c r="AU197" s="268" t="str">
        <f t="shared" si="224"/>
        <v/>
      </c>
      <c r="AV197" s="268" t="str">
        <f t="shared" si="224"/>
        <v/>
      </c>
      <c r="AW197" s="268" t="str">
        <f t="shared" si="224"/>
        <v/>
      </c>
      <c r="AX197" s="268" t="str">
        <f t="shared" si="224"/>
        <v/>
      </c>
      <c r="AY197" s="268" t="str">
        <f t="shared" si="224"/>
        <v/>
      </c>
      <c r="AZ197" s="268" t="str">
        <f t="shared" si="224"/>
        <v/>
      </c>
      <c r="BA197" s="268" t="str">
        <f t="shared" si="224"/>
        <v/>
      </c>
      <c r="BB197" s="268" t="str">
        <f t="shared" si="224"/>
        <v/>
      </c>
      <c r="BC197" s="268" t="str">
        <f t="shared" si="224"/>
        <v/>
      </c>
      <c r="BD197" s="268" t="str">
        <f t="shared" si="224"/>
        <v/>
      </c>
      <c r="BE197" s="268" t="str">
        <f t="shared" si="224"/>
        <v/>
      </c>
      <c r="BF197" s="268" t="str">
        <f t="shared" si="224"/>
        <v/>
      </c>
      <c r="BG197" s="268" t="str">
        <f t="shared" si="224"/>
        <v/>
      </c>
      <c r="BH197" s="268" t="str">
        <f t="shared" si="224"/>
        <v/>
      </c>
      <c r="BI197" s="268" t="str">
        <f t="shared" si="224"/>
        <v/>
      </c>
      <c r="BJ197" s="268" t="str">
        <f t="shared" si="224"/>
        <v/>
      </c>
      <c r="BK197" s="268" t="str">
        <f t="shared" si="224"/>
        <v/>
      </c>
      <c r="BL197" s="268" t="str">
        <f t="shared" si="224"/>
        <v/>
      </c>
      <c r="BM197" s="268" t="str">
        <f t="shared" si="224"/>
        <v/>
      </c>
      <c r="BN197" s="268" t="str">
        <f t="shared" si="224"/>
        <v/>
      </c>
      <c r="BO197" s="268" t="str">
        <f t="shared" si="224"/>
        <v/>
      </c>
      <c r="BP197" s="268" t="str">
        <f t="shared" si="224"/>
        <v/>
      </c>
      <c r="BQ197" s="268" t="str">
        <f t="shared" si="224"/>
        <v/>
      </c>
      <c r="BR197" s="268" t="str">
        <f t="shared" si="224"/>
        <v/>
      </c>
      <c r="BS197" s="268" t="str">
        <f t="shared" si="224"/>
        <v/>
      </c>
      <c r="BT197" s="268" t="str">
        <f t="shared" si="224"/>
        <v/>
      </c>
      <c r="BU197" s="268" t="str">
        <f t="shared" si="222"/>
        <v/>
      </c>
      <c r="BV197" s="353">
        <v>0.8</v>
      </c>
      <c r="BW197" s="729">
        <f t="shared" si="198"/>
        <v>30316.8</v>
      </c>
      <c r="BX197" s="730">
        <f t="shared" si="199"/>
        <v>234955.2</v>
      </c>
      <c r="BY197" s="731" t="str">
        <f t="shared" si="200"/>
        <v>SR</v>
      </c>
    </row>
    <row r="198" s="698" customFormat="1" customHeight="1" spans="1:77">
      <c r="A198" s="208">
        <v>46035</v>
      </c>
      <c r="B198" s="208">
        <v>46188</v>
      </c>
      <c r="C198" s="211" t="s">
        <v>457</v>
      </c>
      <c r="D198" s="211" t="s">
        <v>458</v>
      </c>
      <c r="E198" s="211" t="s">
        <v>88</v>
      </c>
      <c r="F198" s="733">
        <f>108000-37896</f>
        <v>70104</v>
      </c>
      <c r="G198" s="211" t="s">
        <v>334</v>
      </c>
      <c r="H198" s="211" t="str">
        <f>IFERROR(VLOOKUP(E198,名称!A:E,4,0),"")</f>
        <v>三代</v>
      </c>
      <c r="I198" s="268" t="str">
        <f t="shared" ref="I198:BT198" si="225">IF(OR($E198="",I$1=""),"",IF(TRIM(LEFT($E198,MIN(IFERROR(FIND("CDU",UPPER($E198)),999),IFERROR(FIND("BULK",UPPER($E198)),999),IFERROR(FIND("-",$E198),999),IFERROR(FIND("（",$E198),999))-1))=I$1,$F198,""))</f>
        <v/>
      </c>
      <c r="J198" s="268" t="str">
        <f t="shared" si="225"/>
        <v/>
      </c>
      <c r="K198" s="268" t="str">
        <f t="shared" si="225"/>
        <v/>
      </c>
      <c r="L198" s="268" t="str">
        <f t="shared" si="225"/>
        <v/>
      </c>
      <c r="M198" s="268" t="str">
        <f t="shared" si="225"/>
        <v/>
      </c>
      <c r="N198" s="268" t="str">
        <f t="shared" si="225"/>
        <v/>
      </c>
      <c r="O198" s="268" t="str">
        <f t="shared" si="225"/>
        <v/>
      </c>
      <c r="P198" s="268" t="str">
        <f t="shared" si="225"/>
        <v/>
      </c>
      <c r="Q198" s="268" t="str">
        <f t="shared" si="225"/>
        <v/>
      </c>
      <c r="R198" s="268" t="str">
        <f t="shared" si="225"/>
        <v/>
      </c>
      <c r="S198" s="268" t="str">
        <f t="shared" si="225"/>
        <v/>
      </c>
      <c r="T198" s="268" t="str">
        <f t="shared" si="225"/>
        <v/>
      </c>
      <c r="U198" s="268" t="str">
        <f t="shared" si="225"/>
        <v/>
      </c>
      <c r="V198" s="268" t="str">
        <f t="shared" si="225"/>
        <v/>
      </c>
      <c r="W198" s="268" t="str">
        <f t="shared" si="225"/>
        <v/>
      </c>
      <c r="X198" s="268" t="str">
        <f t="shared" si="225"/>
        <v/>
      </c>
      <c r="Y198" s="268" t="str">
        <f t="shared" si="225"/>
        <v/>
      </c>
      <c r="Z198" s="268" t="str">
        <f t="shared" si="225"/>
        <v/>
      </c>
      <c r="AA198" s="268" t="str">
        <f t="shared" si="225"/>
        <v/>
      </c>
      <c r="AB198" s="268" t="str">
        <f t="shared" si="225"/>
        <v/>
      </c>
      <c r="AC198" s="268" t="str">
        <f t="shared" si="225"/>
        <v/>
      </c>
      <c r="AD198" s="268" t="str">
        <f t="shared" si="225"/>
        <v/>
      </c>
      <c r="AE198" s="268" t="str">
        <f t="shared" si="225"/>
        <v/>
      </c>
      <c r="AF198" s="268" t="str">
        <f t="shared" si="225"/>
        <v/>
      </c>
      <c r="AG198" s="268" t="str">
        <f t="shared" si="225"/>
        <v/>
      </c>
      <c r="AH198" s="268" t="str">
        <f t="shared" si="225"/>
        <v/>
      </c>
      <c r="AI198" s="268" t="str">
        <f t="shared" si="225"/>
        <v/>
      </c>
      <c r="AJ198" s="268" t="str">
        <f t="shared" si="225"/>
        <v/>
      </c>
      <c r="AK198" s="268" t="str">
        <f t="shared" si="225"/>
        <v/>
      </c>
      <c r="AL198" s="268" t="str">
        <f t="shared" si="225"/>
        <v/>
      </c>
      <c r="AM198" s="268" t="str">
        <f t="shared" si="225"/>
        <v/>
      </c>
      <c r="AN198" s="268" t="str">
        <f t="shared" si="225"/>
        <v/>
      </c>
      <c r="AO198" s="268" t="str">
        <f t="shared" si="225"/>
        <v/>
      </c>
      <c r="AP198" s="268" t="str">
        <f t="shared" si="225"/>
        <v/>
      </c>
      <c r="AQ198" s="268" t="str">
        <f t="shared" si="225"/>
        <v/>
      </c>
      <c r="AR198" s="268" t="str">
        <f t="shared" si="225"/>
        <v/>
      </c>
      <c r="AS198" s="268" t="str">
        <f t="shared" si="225"/>
        <v/>
      </c>
      <c r="AT198" s="268">
        <f t="shared" si="225"/>
        <v>70104</v>
      </c>
      <c r="AU198" s="268" t="str">
        <f t="shared" si="225"/>
        <v/>
      </c>
      <c r="AV198" s="268" t="str">
        <f t="shared" si="225"/>
        <v/>
      </c>
      <c r="AW198" s="268" t="str">
        <f t="shared" si="225"/>
        <v/>
      </c>
      <c r="AX198" s="268" t="str">
        <f t="shared" si="225"/>
        <v/>
      </c>
      <c r="AY198" s="268" t="str">
        <f t="shared" si="225"/>
        <v/>
      </c>
      <c r="AZ198" s="268" t="str">
        <f t="shared" si="225"/>
        <v/>
      </c>
      <c r="BA198" s="268" t="str">
        <f t="shared" si="225"/>
        <v/>
      </c>
      <c r="BB198" s="268" t="str">
        <f t="shared" si="225"/>
        <v/>
      </c>
      <c r="BC198" s="268" t="str">
        <f t="shared" si="225"/>
        <v/>
      </c>
      <c r="BD198" s="268" t="str">
        <f t="shared" si="225"/>
        <v/>
      </c>
      <c r="BE198" s="268" t="str">
        <f t="shared" si="225"/>
        <v/>
      </c>
      <c r="BF198" s="268" t="str">
        <f t="shared" si="225"/>
        <v/>
      </c>
      <c r="BG198" s="268" t="str">
        <f t="shared" si="225"/>
        <v/>
      </c>
      <c r="BH198" s="268" t="str">
        <f t="shared" si="225"/>
        <v/>
      </c>
      <c r="BI198" s="268" t="str">
        <f t="shared" si="225"/>
        <v/>
      </c>
      <c r="BJ198" s="268" t="str">
        <f t="shared" si="225"/>
        <v/>
      </c>
      <c r="BK198" s="268" t="str">
        <f t="shared" si="225"/>
        <v/>
      </c>
      <c r="BL198" s="268" t="str">
        <f t="shared" si="225"/>
        <v/>
      </c>
      <c r="BM198" s="268" t="str">
        <f t="shared" si="225"/>
        <v/>
      </c>
      <c r="BN198" s="268" t="str">
        <f t="shared" si="225"/>
        <v/>
      </c>
      <c r="BO198" s="268" t="str">
        <f t="shared" si="225"/>
        <v/>
      </c>
      <c r="BP198" s="268" t="str">
        <f t="shared" si="225"/>
        <v/>
      </c>
      <c r="BQ198" s="268" t="str">
        <f t="shared" si="225"/>
        <v/>
      </c>
      <c r="BR198" s="268" t="str">
        <f t="shared" si="225"/>
        <v/>
      </c>
      <c r="BS198" s="268" t="str">
        <f t="shared" si="225"/>
        <v/>
      </c>
      <c r="BT198" s="268" t="str">
        <f t="shared" si="225"/>
        <v/>
      </c>
      <c r="BU198" s="268" t="str">
        <f t="shared" si="222"/>
        <v/>
      </c>
      <c r="BV198" s="247">
        <v>0.8</v>
      </c>
      <c r="BW198" s="729">
        <f t="shared" si="198"/>
        <v>56083.2</v>
      </c>
      <c r="BX198" s="730">
        <f t="shared" ref="BX198:BX201" si="226">BW198*7.75</f>
        <v>434644.8</v>
      </c>
      <c r="BY198" s="731" t="str">
        <f t="shared" ref="BY198:BY201" si="227">MID(E198,1,2)</f>
        <v>SR</v>
      </c>
    </row>
    <row r="199" s="698" customFormat="1" customHeight="1" spans="1:77">
      <c r="A199" s="208">
        <v>46035</v>
      </c>
      <c r="B199" s="208">
        <v>46188</v>
      </c>
      <c r="C199" s="211" t="s">
        <v>457</v>
      </c>
      <c r="D199" s="211" t="s">
        <v>458</v>
      </c>
      <c r="E199" s="211" t="s">
        <v>90</v>
      </c>
      <c r="F199" s="733">
        <v>3042</v>
      </c>
      <c r="G199" s="211" t="s">
        <v>334</v>
      </c>
      <c r="H199" s="211" t="str">
        <f>IFERROR(VLOOKUP(E199,名称!A:E,4,0),"")</f>
        <v>三代</v>
      </c>
      <c r="I199" s="268" t="str">
        <f t="shared" ref="I199:BT199" si="228">IF(OR($E199="",I$1=""),"",IF(TRIM(LEFT($E199,MIN(IFERROR(FIND("CDU",UPPER($E199)),999),IFERROR(FIND("BULK",UPPER($E199)),999),IFERROR(FIND("-",$E199),999),IFERROR(FIND("（",$E199),999))-1))=I$1,$F199,""))</f>
        <v/>
      </c>
      <c r="J199" s="268" t="str">
        <f t="shared" si="228"/>
        <v/>
      </c>
      <c r="K199" s="268" t="str">
        <f t="shared" si="228"/>
        <v/>
      </c>
      <c r="L199" s="268" t="str">
        <f t="shared" si="228"/>
        <v/>
      </c>
      <c r="M199" s="268" t="str">
        <f t="shared" si="228"/>
        <v/>
      </c>
      <c r="N199" s="268" t="str">
        <f t="shared" si="228"/>
        <v/>
      </c>
      <c r="O199" s="268" t="str">
        <f t="shared" si="228"/>
        <v/>
      </c>
      <c r="P199" s="268" t="str">
        <f t="shared" si="228"/>
        <v/>
      </c>
      <c r="Q199" s="268" t="str">
        <f t="shared" si="228"/>
        <v/>
      </c>
      <c r="R199" s="268" t="str">
        <f t="shared" si="228"/>
        <v/>
      </c>
      <c r="S199" s="268" t="str">
        <f t="shared" si="228"/>
        <v/>
      </c>
      <c r="T199" s="268" t="str">
        <f t="shared" si="228"/>
        <v/>
      </c>
      <c r="U199" s="268" t="str">
        <f t="shared" si="228"/>
        <v/>
      </c>
      <c r="V199" s="268" t="str">
        <f t="shared" si="228"/>
        <v/>
      </c>
      <c r="W199" s="268" t="str">
        <f t="shared" si="228"/>
        <v/>
      </c>
      <c r="X199" s="268" t="str">
        <f t="shared" si="228"/>
        <v/>
      </c>
      <c r="Y199" s="268" t="str">
        <f t="shared" si="228"/>
        <v/>
      </c>
      <c r="Z199" s="268" t="str">
        <f t="shared" si="228"/>
        <v/>
      </c>
      <c r="AA199" s="268" t="str">
        <f t="shared" si="228"/>
        <v/>
      </c>
      <c r="AB199" s="268" t="str">
        <f t="shared" si="228"/>
        <v/>
      </c>
      <c r="AC199" s="268" t="str">
        <f t="shared" si="228"/>
        <v/>
      </c>
      <c r="AD199" s="268" t="str">
        <f t="shared" si="228"/>
        <v/>
      </c>
      <c r="AE199" s="268" t="str">
        <f t="shared" si="228"/>
        <v/>
      </c>
      <c r="AF199" s="268" t="str">
        <f t="shared" si="228"/>
        <v/>
      </c>
      <c r="AG199" s="268" t="str">
        <f t="shared" si="228"/>
        <v/>
      </c>
      <c r="AH199" s="268" t="str">
        <f t="shared" si="228"/>
        <v/>
      </c>
      <c r="AI199" s="268" t="str">
        <f t="shared" si="228"/>
        <v/>
      </c>
      <c r="AJ199" s="268" t="str">
        <f t="shared" si="228"/>
        <v/>
      </c>
      <c r="AK199" s="268" t="str">
        <f t="shared" si="228"/>
        <v/>
      </c>
      <c r="AL199" s="268" t="str">
        <f t="shared" si="228"/>
        <v/>
      </c>
      <c r="AM199" s="268" t="str">
        <f t="shared" si="228"/>
        <v/>
      </c>
      <c r="AN199" s="268" t="str">
        <f t="shared" si="228"/>
        <v/>
      </c>
      <c r="AO199" s="268" t="str">
        <f t="shared" si="228"/>
        <v/>
      </c>
      <c r="AP199" s="268" t="str">
        <f t="shared" si="228"/>
        <v/>
      </c>
      <c r="AQ199" s="268" t="str">
        <f t="shared" si="228"/>
        <v/>
      </c>
      <c r="AR199" s="268" t="str">
        <f t="shared" si="228"/>
        <v/>
      </c>
      <c r="AS199" s="268" t="str">
        <f t="shared" si="228"/>
        <v/>
      </c>
      <c r="AT199" s="268" t="str">
        <f t="shared" si="228"/>
        <v/>
      </c>
      <c r="AU199" s="268" t="str">
        <f t="shared" si="228"/>
        <v/>
      </c>
      <c r="AV199" s="268" t="str">
        <f t="shared" si="228"/>
        <v/>
      </c>
      <c r="AW199" s="268">
        <f t="shared" si="228"/>
        <v>3042</v>
      </c>
      <c r="AX199" s="268" t="str">
        <f t="shared" si="228"/>
        <v/>
      </c>
      <c r="AY199" s="268" t="str">
        <f t="shared" si="228"/>
        <v/>
      </c>
      <c r="AZ199" s="268" t="str">
        <f t="shared" si="228"/>
        <v/>
      </c>
      <c r="BA199" s="268" t="str">
        <f t="shared" si="228"/>
        <v/>
      </c>
      <c r="BB199" s="268" t="str">
        <f t="shared" si="228"/>
        <v/>
      </c>
      <c r="BC199" s="268" t="str">
        <f t="shared" si="228"/>
        <v/>
      </c>
      <c r="BD199" s="268" t="str">
        <f t="shared" si="228"/>
        <v/>
      </c>
      <c r="BE199" s="268" t="str">
        <f t="shared" si="228"/>
        <v/>
      </c>
      <c r="BF199" s="268" t="str">
        <f t="shared" si="228"/>
        <v/>
      </c>
      <c r="BG199" s="268" t="str">
        <f t="shared" si="228"/>
        <v/>
      </c>
      <c r="BH199" s="268" t="str">
        <f t="shared" si="228"/>
        <v/>
      </c>
      <c r="BI199" s="268" t="str">
        <f t="shared" si="228"/>
        <v/>
      </c>
      <c r="BJ199" s="268" t="str">
        <f t="shared" si="228"/>
        <v/>
      </c>
      <c r="BK199" s="268" t="str">
        <f t="shared" si="228"/>
        <v/>
      </c>
      <c r="BL199" s="268" t="str">
        <f t="shared" si="228"/>
        <v/>
      </c>
      <c r="BM199" s="268" t="str">
        <f t="shared" si="228"/>
        <v/>
      </c>
      <c r="BN199" s="268" t="str">
        <f t="shared" si="228"/>
        <v/>
      </c>
      <c r="BO199" s="268" t="str">
        <f t="shared" si="228"/>
        <v/>
      </c>
      <c r="BP199" s="268" t="str">
        <f t="shared" si="228"/>
        <v/>
      </c>
      <c r="BQ199" s="268" t="str">
        <f t="shared" si="228"/>
        <v/>
      </c>
      <c r="BR199" s="268" t="str">
        <f t="shared" si="228"/>
        <v/>
      </c>
      <c r="BS199" s="268" t="str">
        <f t="shared" si="228"/>
        <v/>
      </c>
      <c r="BT199" s="268" t="str">
        <f t="shared" si="228"/>
        <v/>
      </c>
      <c r="BU199" s="268" t="str">
        <f t="shared" si="222"/>
        <v/>
      </c>
      <c r="BV199" s="353">
        <v>1.56</v>
      </c>
      <c r="BW199" s="729">
        <f t="shared" si="198"/>
        <v>4745.52</v>
      </c>
      <c r="BX199" s="730">
        <f t="shared" si="226"/>
        <v>36777.78</v>
      </c>
      <c r="BY199" s="731" t="str">
        <f t="shared" si="227"/>
        <v>SR</v>
      </c>
    </row>
    <row r="200" s="698" customFormat="1" customHeight="1" spans="1:77">
      <c r="A200" s="208">
        <v>46035</v>
      </c>
      <c r="B200" s="208">
        <v>46188</v>
      </c>
      <c r="C200" s="211" t="s">
        <v>457</v>
      </c>
      <c r="D200" s="211" t="s">
        <v>458</v>
      </c>
      <c r="E200" s="211" t="s">
        <v>90</v>
      </c>
      <c r="F200" s="733">
        <f>12000+6000-3042</f>
        <v>14958</v>
      </c>
      <c r="G200" s="211" t="s">
        <v>334</v>
      </c>
      <c r="H200" s="211" t="str">
        <f>IFERROR(VLOOKUP(E200,名称!A:E,4,0),"")</f>
        <v>三代</v>
      </c>
      <c r="I200" s="268" t="str">
        <f t="shared" ref="I200:BT200" si="229">IF(OR($E200="",I$1=""),"",IF(TRIM(LEFT($E200,MIN(IFERROR(FIND("CDU",UPPER($E200)),999),IFERROR(FIND("BULK",UPPER($E200)),999),IFERROR(FIND("-",$E200),999),IFERROR(FIND("（",$E200),999))-1))=I$1,$F200,""))</f>
        <v/>
      </c>
      <c r="J200" s="268" t="str">
        <f t="shared" si="229"/>
        <v/>
      </c>
      <c r="K200" s="268" t="str">
        <f t="shared" si="229"/>
        <v/>
      </c>
      <c r="L200" s="268" t="str">
        <f t="shared" si="229"/>
        <v/>
      </c>
      <c r="M200" s="268" t="str">
        <f t="shared" si="229"/>
        <v/>
      </c>
      <c r="N200" s="268" t="str">
        <f t="shared" si="229"/>
        <v/>
      </c>
      <c r="O200" s="268" t="str">
        <f t="shared" si="229"/>
        <v/>
      </c>
      <c r="P200" s="268" t="str">
        <f t="shared" si="229"/>
        <v/>
      </c>
      <c r="Q200" s="268" t="str">
        <f t="shared" si="229"/>
        <v/>
      </c>
      <c r="R200" s="268" t="str">
        <f t="shared" si="229"/>
        <v/>
      </c>
      <c r="S200" s="268" t="str">
        <f t="shared" si="229"/>
        <v/>
      </c>
      <c r="T200" s="268" t="str">
        <f t="shared" si="229"/>
        <v/>
      </c>
      <c r="U200" s="268" t="str">
        <f t="shared" si="229"/>
        <v/>
      </c>
      <c r="V200" s="268" t="str">
        <f t="shared" si="229"/>
        <v/>
      </c>
      <c r="W200" s="268" t="str">
        <f t="shared" si="229"/>
        <v/>
      </c>
      <c r="X200" s="268" t="str">
        <f t="shared" si="229"/>
        <v/>
      </c>
      <c r="Y200" s="268" t="str">
        <f t="shared" si="229"/>
        <v/>
      </c>
      <c r="Z200" s="268" t="str">
        <f t="shared" si="229"/>
        <v/>
      </c>
      <c r="AA200" s="268" t="str">
        <f t="shared" si="229"/>
        <v/>
      </c>
      <c r="AB200" s="268" t="str">
        <f t="shared" si="229"/>
        <v/>
      </c>
      <c r="AC200" s="268" t="str">
        <f t="shared" si="229"/>
        <v/>
      </c>
      <c r="AD200" s="268" t="str">
        <f t="shared" si="229"/>
        <v/>
      </c>
      <c r="AE200" s="268" t="str">
        <f t="shared" si="229"/>
        <v/>
      </c>
      <c r="AF200" s="268" t="str">
        <f t="shared" si="229"/>
        <v/>
      </c>
      <c r="AG200" s="268" t="str">
        <f t="shared" si="229"/>
        <v/>
      </c>
      <c r="AH200" s="268" t="str">
        <f t="shared" si="229"/>
        <v/>
      </c>
      <c r="AI200" s="268" t="str">
        <f t="shared" si="229"/>
        <v/>
      </c>
      <c r="AJ200" s="268" t="str">
        <f t="shared" si="229"/>
        <v/>
      </c>
      <c r="AK200" s="268" t="str">
        <f t="shared" si="229"/>
        <v/>
      </c>
      <c r="AL200" s="268" t="str">
        <f t="shared" si="229"/>
        <v/>
      </c>
      <c r="AM200" s="268" t="str">
        <f t="shared" si="229"/>
        <v/>
      </c>
      <c r="AN200" s="268" t="str">
        <f t="shared" si="229"/>
        <v/>
      </c>
      <c r="AO200" s="268" t="str">
        <f t="shared" si="229"/>
        <v/>
      </c>
      <c r="AP200" s="268" t="str">
        <f t="shared" si="229"/>
        <v/>
      </c>
      <c r="AQ200" s="268" t="str">
        <f t="shared" si="229"/>
        <v/>
      </c>
      <c r="AR200" s="268" t="str">
        <f t="shared" si="229"/>
        <v/>
      </c>
      <c r="AS200" s="268" t="str">
        <f t="shared" si="229"/>
        <v/>
      </c>
      <c r="AT200" s="268" t="str">
        <f t="shared" si="229"/>
        <v/>
      </c>
      <c r="AU200" s="268" t="str">
        <f t="shared" si="229"/>
        <v/>
      </c>
      <c r="AV200" s="268" t="str">
        <f t="shared" si="229"/>
        <v/>
      </c>
      <c r="AW200" s="268">
        <f t="shared" si="229"/>
        <v>14958</v>
      </c>
      <c r="AX200" s="268" t="str">
        <f t="shared" si="229"/>
        <v/>
      </c>
      <c r="AY200" s="268" t="str">
        <f t="shared" si="229"/>
        <v/>
      </c>
      <c r="AZ200" s="268" t="str">
        <f t="shared" si="229"/>
        <v/>
      </c>
      <c r="BA200" s="268" t="str">
        <f t="shared" si="229"/>
        <v/>
      </c>
      <c r="BB200" s="268" t="str">
        <f t="shared" si="229"/>
        <v/>
      </c>
      <c r="BC200" s="268" t="str">
        <f t="shared" si="229"/>
        <v/>
      </c>
      <c r="BD200" s="268" t="str">
        <f t="shared" si="229"/>
        <v/>
      </c>
      <c r="BE200" s="268" t="str">
        <f t="shared" si="229"/>
        <v/>
      </c>
      <c r="BF200" s="268" t="str">
        <f t="shared" si="229"/>
        <v/>
      </c>
      <c r="BG200" s="268" t="str">
        <f t="shared" si="229"/>
        <v/>
      </c>
      <c r="BH200" s="268" t="str">
        <f t="shared" si="229"/>
        <v/>
      </c>
      <c r="BI200" s="268" t="str">
        <f t="shared" si="229"/>
        <v/>
      </c>
      <c r="BJ200" s="268" t="str">
        <f t="shared" si="229"/>
        <v/>
      </c>
      <c r="BK200" s="268" t="str">
        <f t="shared" si="229"/>
        <v/>
      </c>
      <c r="BL200" s="268" t="str">
        <f t="shared" si="229"/>
        <v/>
      </c>
      <c r="BM200" s="268" t="str">
        <f t="shared" si="229"/>
        <v/>
      </c>
      <c r="BN200" s="268" t="str">
        <f t="shared" si="229"/>
        <v/>
      </c>
      <c r="BO200" s="268" t="str">
        <f t="shared" si="229"/>
        <v/>
      </c>
      <c r="BP200" s="268" t="str">
        <f t="shared" si="229"/>
        <v/>
      </c>
      <c r="BQ200" s="268" t="str">
        <f t="shared" si="229"/>
        <v/>
      </c>
      <c r="BR200" s="268" t="str">
        <f t="shared" si="229"/>
        <v/>
      </c>
      <c r="BS200" s="268" t="str">
        <f t="shared" si="229"/>
        <v/>
      </c>
      <c r="BT200" s="268" t="str">
        <f t="shared" si="229"/>
        <v/>
      </c>
      <c r="BU200" s="268" t="str">
        <f t="shared" si="222"/>
        <v/>
      </c>
      <c r="BV200" s="247">
        <v>1.56</v>
      </c>
      <c r="BW200" s="729">
        <f t="shared" si="198"/>
        <v>23334.48</v>
      </c>
      <c r="BX200" s="730">
        <f t="shared" si="226"/>
        <v>180842.22</v>
      </c>
      <c r="BY200" s="731" t="str">
        <f t="shared" si="227"/>
        <v>SR</v>
      </c>
    </row>
    <row r="201" s="698" customFormat="1" customHeight="1" spans="1:77">
      <c r="A201" s="208">
        <v>46035</v>
      </c>
      <c r="B201" s="208">
        <v>46188</v>
      </c>
      <c r="C201" s="211" t="s">
        <v>457</v>
      </c>
      <c r="D201" s="211" t="s">
        <v>458</v>
      </c>
      <c r="E201" s="211" t="s">
        <v>89</v>
      </c>
      <c r="F201" s="733">
        <v>12096</v>
      </c>
      <c r="G201" s="211" t="s">
        <v>334</v>
      </c>
      <c r="H201" s="211" t="str">
        <f>IFERROR(VLOOKUP(E201,名称!A:E,4,0),"")</f>
        <v>三代</v>
      </c>
      <c r="I201" s="268" t="str">
        <f t="shared" ref="I201:BT201" si="230">IF(OR($E201="",I$1=""),"",IF(TRIM(LEFT($E201,MIN(IFERROR(FIND("CDU",UPPER($E201)),999),IFERROR(FIND("BULK",UPPER($E201)),999),IFERROR(FIND("-",$E201),999),IFERROR(FIND("（",$E201),999))-1))=I$1,$F201,""))</f>
        <v/>
      </c>
      <c r="J201" s="268" t="str">
        <f t="shared" si="230"/>
        <v/>
      </c>
      <c r="K201" s="268" t="str">
        <f t="shared" si="230"/>
        <v/>
      </c>
      <c r="L201" s="268" t="str">
        <f t="shared" si="230"/>
        <v/>
      </c>
      <c r="M201" s="268" t="str">
        <f t="shared" si="230"/>
        <v/>
      </c>
      <c r="N201" s="268" t="str">
        <f t="shared" si="230"/>
        <v/>
      </c>
      <c r="O201" s="268" t="str">
        <f t="shared" si="230"/>
        <v/>
      </c>
      <c r="P201" s="268" t="str">
        <f t="shared" si="230"/>
        <v/>
      </c>
      <c r="Q201" s="268" t="str">
        <f t="shared" si="230"/>
        <v/>
      </c>
      <c r="R201" s="268" t="str">
        <f t="shared" si="230"/>
        <v/>
      </c>
      <c r="S201" s="268" t="str">
        <f t="shared" si="230"/>
        <v/>
      </c>
      <c r="T201" s="268" t="str">
        <f t="shared" si="230"/>
        <v/>
      </c>
      <c r="U201" s="268" t="str">
        <f t="shared" si="230"/>
        <v/>
      </c>
      <c r="V201" s="268" t="str">
        <f t="shared" si="230"/>
        <v/>
      </c>
      <c r="W201" s="268" t="str">
        <f t="shared" si="230"/>
        <v/>
      </c>
      <c r="X201" s="268" t="str">
        <f t="shared" si="230"/>
        <v/>
      </c>
      <c r="Y201" s="268" t="str">
        <f t="shared" si="230"/>
        <v/>
      </c>
      <c r="Z201" s="268" t="str">
        <f t="shared" si="230"/>
        <v/>
      </c>
      <c r="AA201" s="268" t="str">
        <f t="shared" si="230"/>
        <v/>
      </c>
      <c r="AB201" s="268" t="str">
        <f t="shared" si="230"/>
        <v/>
      </c>
      <c r="AC201" s="268" t="str">
        <f t="shared" si="230"/>
        <v/>
      </c>
      <c r="AD201" s="268" t="str">
        <f t="shared" si="230"/>
        <v/>
      </c>
      <c r="AE201" s="268" t="str">
        <f t="shared" si="230"/>
        <v/>
      </c>
      <c r="AF201" s="268" t="str">
        <f t="shared" si="230"/>
        <v/>
      </c>
      <c r="AG201" s="268" t="str">
        <f t="shared" si="230"/>
        <v/>
      </c>
      <c r="AH201" s="268" t="str">
        <f t="shared" si="230"/>
        <v/>
      </c>
      <c r="AI201" s="268" t="str">
        <f t="shared" si="230"/>
        <v/>
      </c>
      <c r="AJ201" s="268" t="str">
        <f t="shared" si="230"/>
        <v/>
      </c>
      <c r="AK201" s="268" t="str">
        <f t="shared" si="230"/>
        <v/>
      </c>
      <c r="AL201" s="268" t="str">
        <f t="shared" si="230"/>
        <v/>
      </c>
      <c r="AM201" s="268" t="str">
        <f t="shared" si="230"/>
        <v/>
      </c>
      <c r="AN201" s="268" t="str">
        <f t="shared" si="230"/>
        <v/>
      </c>
      <c r="AO201" s="268" t="str">
        <f t="shared" si="230"/>
        <v/>
      </c>
      <c r="AP201" s="268" t="str">
        <f t="shared" si="230"/>
        <v/>
      </c>
      <c r="AQ201" s="268" t="str">
        <f t="shared" si="230"/>
        <v/>
      </c>
      <c r="AR201" s="268" t="str">
        <f t="shared" si="230"/>
        <v/>
      </c>
      <c r="AS201" s="268" t="str">
        <f t="shared" si="230"/>
        <v/>
      </c>
      <c r="AT201" s="268" t="str">
        <f t="shared" si="230"/>
        <v/>
      </c>
      <c r="AU201" s="268">
        <f t="shared" si="230"/>
        <v>12096</v>
      </c>
      <c r="AV201" s="268" t="str">
        <f t="shared" si="230"/>
        <v/>
      </c>
      <c r="AW201" s="268" t="str">
        <f t="shared" si="230"/>
        <v/>
      </c>
      <c r="AX201" s="268" t="str">
        <f t="shared" si="230"/>
        <v/>
      </c>
      <c r="AY201" s="268" t="str">
        <f t="shared" si="230"/>
        <v/>
      </c>
      <c r="AZ201" s="268" t="str">
        <f t="shared" si="230"/>
        <v/>
      </c>
      <c r="BA201" s="268" t="str">
        <f t="shared" si="230"/>
        <v/>
      </c>
      <c r="BB201" s="268" t="str">
        <f t="shared" si="230"/>
        <v/>
      </c>
      <c r="BC201" s="268" t="str">
        <f t="shared" si="230"/>
        <v/>
      </c>
      <c r="BD201" s="268" t="str">
        <f t="shared" si="230"/>
        <v/>
      </c>
      <c r="BE201" s="268" t="str">
        <f t="shared" si="230"/>
        <v/>
      </c>
      <c r="BF201" s="268" t="str">
        <f t="shared" si="230"/>
        <v/>
      </c>
      <c r="BG201" s="268" t="str">
        <f t="shared" si="230"/>
        <v/>
      </c>
      <c r="BH201" s="268" t="str">
        <f t="shared" si="230"/>
        <v/>
      </c>
      <c r="BI201" s="268" t="str">
        <f t="shared" si="230"/>
        <v/>
      </c>
      <c r="BJ201" s="268" t="str">
        <f t="shared" si="230"/>
        <v/>
      </c>
      <c r="BK201" s="268" t="str">
        <f t="shared" si="230"/>
        <v/>
      </c>
      <c r="BL201" s="268" t="str">
        <f t="shared" si="230"/>
        <v/>
      </c>
      <c r="BM201" s="268" t="str">
        <f t="shared" si="230"/>
        <v/>
      </c>
      <c r="BN201" s="268" t="str">
        <f t="shared" si="230"/>
        <v/>
      </c>
      <c r="BO201" s="268" t="str">
        <f t="shared" si="230"/>
        <v/>
      </c>
      <c r="BP201" s="268" t="str">
        <f t="shared" si="230"/>
        <v/>
      </c>
      <c r="BQ201" s="268" t="str">
        <f t="shared" si="230"/>
        <v/>
      </c>
      <c r="BR201" s="268" t="str">
        <f t="shared" si="230"/>
        <v/>
      </c>
      <c r="BS201" s="268" t="str">
        <f t="shared" si="230"/>
        <v/>
      </c>
      <c r="BT201" s="268" t="str">
        <f t="shared" si="230"/>
        <v/>
      </c>
      <c r="BU201" s="268" t="str">
        <f t="shared" si="222"/>
        <v/>
      </c>
      <c r="BV201" s="247">
        <v>1.83</v>
      </c>
      <c r="BW201" s="729">
        <f t="shared" si="198"/>
        <v>22135.68</v>
      </c>
      <c r="BX201" s="730">
        <f t="shared" si="226"/>
        <v>171551.52</v>
      </c>
      <c r="BY201" s="731" t="str">
        <f t="shared" si="227"/>
        <v>SR</v>
      </c>
    </row>
    <row r="202" s="698" customFormat="1" customHeight="1" spans="1:77">
      <c r="A202" s="208">
        <v>46035</v>
      </c>
      <c r="B202" s="208">
        <v>46188</v>
      </c>
      <c r="C202" s="211" t="s">
        <v>457</v>
      </c>
      <c r="D202" s="211" t="s">
        <v>458</v>
      </c>
      <c r="E202" s="211" t="s">
        <v>89</v>
      </c>
      <c r="F202" s="733">
        <f>36000-12096</f>
        <v>23904</v>
      </c>
      <c r="G202" s="211" t="s">
        <v>334</v>
      </c>
      <c r="H202" s="211" t="str">
        <f>IFERROR(VLOOKUP(E202,名称!A:E,4,0),"")</f>
        <v>三代</v>
      </c>
      <c r="I202" s="268" t="str">
        <f t="shared" ref="I202:BT202" si="231">IF(OR($E202="",I$1=""),"",IF(TRIM(LEFT($E202,MIN(IFERROR(FIND("CDU",UPPER($E202)),999),IFERROR(FIND("BULK",UPPER($E202)),999),IFERROR(FIND("-",$E202),999),IFERROR(FIND("（",$E202),999))-1))=I$1,$F202,""))</f>
        <v/>
      </c>
      <c r="J202" s="268" t="str">
        <f t="shared" si="231"/>
        <v/>
      </c>
      <c r="K202" s="268" t="str">
        <f t="shared" si="231"/>
        <v/>
      </c>
      <c r="L202" s="268" t="str">
        <f t="shared" si="231"/>
        <v/>
      </c>
      <c r="M202" s="268" t="str">
        <f t="shared" si="231"/>
        <v/>
      </c>
      <c r="N202" s="268" t="str">
        <f t="shared" si="231"/>
        <v/>
      </c>
      <c r="O202" s="268" t="str">
        <f t="shared" si="231"/>
        <v/>
      </c>
      <c r="P202" s="268" t="str">
        <f t="shared" si="231"/>
        <v/>
      </c>
      <c r="Q202" s="268" t="str">
        <f t="shared" si="231"/>
        <v/>
      </c>
      <c r="R202" s="268" t="str">
        <f t="shared" si="231"/>
        <v/>
      </c>
      <c r="S202" s="268" t="str">
        <f t="shared" si="231"/>
        <v/>
      </c>
      <c r="T202" s="268" t="str">
        <f t="shared" si="231"/>
        <v/>
      </c>
      <c r="U202" s="268" t="str">
        <f t="shared" si="231"/>
        <v/>
      </c>
      <c r="V202" s="268" t="str">
        <f t="shared" si="231"/>
        <v/>
      </c>
      <c r="W202" s="268" t="str">
        <f t="shared" si="231"/>
        <v/>
      </c>
      <c r="X202" s="268" t="str">
        <f t="shared" si="231"/>
        <v/>
      </c>
      <c r="Y202" s="268" t="str">
        <f t="shared" si="231"/>
        <v/>
      </c>
      <c r="Z202" s="268" t="str">
        <f t="shared" si="231"/>
        <v/>
      </c>
      <c r="AA202" s="268" t="str">
        <f t="shared" si="231"/>
        <v/>
      </c>
      <c r="AB202" s="268" t="str">
        <f t="shared" si="231"/>
        <v/>
      </c>
      <c r="AC202" s="268" t="str">
        <f t="shared" si="231"/>
        <v/>
      </c>
      <c r="AD202" s="268" t="str">
        <f t="shared" si="231"/>
        <v/>
      </c>
      <c r="AE202" s="268" t="str">
        <f t="shared" si="231"/>
        <v/>
      </c>
      <c r="AF202" s="268" t="str">
        <f t="shared" si="231"/>
        <v/>
      </c>
      <c r="AG202" s="268" t="str">
        <f t="shared" si="231"/>
        <v/>
      </c>
      <c r="AH202" s="268" t="str">
        <f t="shared" si="231"/>
        <v/>
      </c>
      <c r="AI202" s="268" t="str">
        <f t="shared" si="231"/>
        <v/>
      </c>
      <c r="AJ202" s="268" t="str">
        <f t="shared" si="231"/>
        <v/>
      </c>
      <c r="AK202" s="268" t="str">
        <f t="shared" si="231"/>
        <v/>
      </c>
      <c r="AL202" s="268" t="str">
        <f t="shared" si="231"/>
        <v/>
      </c>
      <c r="AM202" s="268" t="str">
        <f t="shared" si="231"/>
        <v/>
      </c>
      <c r="AN202" s="268" t="str">
        <f t="shared" si="231"/>
        <v/>
      </c>
      <c r="AO202" s="268" t="str">
        <f t="shared" si="231"/>
        <v/>
      </c>
      <c r="AP202" s="268" t="str">
        <f t="shared" si="231"/>
        <v/>
      </c>
      <c r="AQ202" s="268" t="str">
        <f t="shared" si="231"/>
        <v/>
      </c>
      <c r="AR202" s="268" t="str">
        <f t="shared" si="231"/>
        <v/>
      </c>
      <c r="AS202" s="268" t="str">
        <f t="shared" si="231"/>
        <v/>
      </c>
      <c r="AT202" s="268" t="str">
        <f t="shared" si="231"/>
        <v/>
      </c>
      <c r="AU202" s="268">
        <f t="shared" si="231"/>
        <v>23904</v>
      </c>
      <c r="AV202" s="268" t="str">
        <f t="shared" si="231"/>
        <v/>
      </c>
      <c r="AW202" s="268" t="str">
        <f t="shared" si="231"/>
        <v/>
      </c>
      <c r="AX202" s="268" t="str">
        <f t="shared" si="231"/>
        <v/>
      </c>
      <c r="AY202" s="268" t="str">
        <f t="shared" si="231"/>
        <v/>
      </c>
      <c r="AZ202" s="268" t="str">
        <f t="shared" si="231"/>
        <v/>
      </c>
      <c r="BA202" s="268" t="str">
        <f t="shared" si="231"/>
        <v/>
      </c>
      <c r="BB202" s="268" t="str">
        <f t="shared" si="231"/>
        <v/>
      </c>
      <c r="BC202" s="268" t="str">
        <f t="shared" si="231"/>
        <v/>
      </c>
      <c r="BD202" s="268" t="str">
        <f t="shared" si="231"/>
        <v/>
      </c>
      <c r="BE202" s="268" t="str">
        <f t="shared" si="231"/>
        <v/>
      </c>
      <c r="BF202" s="268" t="str">
        <f t="shared" si="231"/>
        <v/>
      </c>
      <c r="BG202" s="268" t="str">
        <f t="shared" si="231"/>
        <v/>
      </c>
      <c r="BH202" s="268" t="str">
        <f t="shared" si="231"/>
        <v/>
      </c>
      <c r="BI202" s="268" t="str">
        <f t="shared" si="231"/>
        <v/>
      </c>
      <c r="BJ202" s="268" t="str">
        <f t="shared" si="231"/>
        <v/>
      </c>
      <c r="BK202" s="268" t="str">
        <f t="shared" si="231"/>
        <v/>
      </c>
      <c r="BL202" s="268" t="str">
        <f t="shared" si="231"/>
        <v/>
      </c>
      <c r="BM202" s="268" t="str">
        <f t="shared" si="231"/>
        <v/>
      </c>
      <c r="BN202" s="268" t="str">
        <f t="shared" si="231"/>
        <v/>
      </c>
      <c r="BO202" s="268" t="str">
        <f t="shared" si="231"/>
        <v/>
      </c>
      <c r="BP202" s="268" t="str">
        <f t="shared" si="231"/>
        <v/>
      </c>
      <c r="BQ202" s="268" t="str">
        <f t="shared" si="231"/>
        <v/>
      </c>
      <c r="BR202" s="268" t="str">
        <f t="shared" si="231"/>
        <v/>
      </c>
      <c r="BS202" s="268" t="str">
        <f t="shared" si="231"/>
        <v/>
      </c>
      <c r="BT202" s="268" t="str">
        <f t="shared" si="231"/>
        <v/>
      </c>
      <c r="BU202" s="268" t="str">
        <f t="shared" si="222"/>
        <v/>
      </c>
      <c r="BV202" s="247">
        <v>1.83</v>
      </c>
      <c r="BW202" s="729">
        <f t="shared" ref="BW202:BW207" si="232">SUM(I202:BU202)*BV202</f>
        <v>43744.32</v>
      </c>
      <c r="BX202" s="730">
        <f t="shared" ref="BX202:BX207" si="233">BW202*7.75</f>
        <v>339018.48</v>
      </c>
      <c r="BY202" s="731" t="str">
        <f t="shared" ref="BY202:BY207" si="234">MID(E202,1,2)</f>
        <v>SR</v>
      </c>
    </row>
    <row r="203" s="698" customFormat="1" customHeight="1" spans="1:77">
      <c r="A203" s="208">
        <v>46035</v>
      </c>
      <c r="B203" s="208">
        <v>46150</v>
      </c>
      <c r="C203" s="211" t="s">
        <v>457</v>
      </c>
      <c r="D203" s="211" t="s">
        <v>458</v>
      </c>
      <c r="E203" s="211" t="s">
        <v>84</v>
      </c>
      <c r="F203" s="732">
        <v>72000</v>
      </c>
      <c r="G203" s="211" t="s">
        <v>334</v>
      </c>
      <c r="H203" s="211" t="str">
        <f>IFERROR(VLOOKUP(E203,名称!A:E,4,0),"")</f>
        <v>三代</v>
      </c>
      <c r="I203" s="268" t="str">
        <f t="shared" ref="I203:BT203" si="235">IF(OR($E203="",I$1=""),"",IF(TRIM(LEFT($E203,MIN(IFERROR(FIND("CDU",UPPER($E203)),999),IFERROR(FIND("BULK",UPPER($E203)),999),IFERROR(FIND("-",$E203),999),IFERROR(FIND("（",$E203),999))-1))=I$1,$F203,""))</f>
        <v/>
      </c>
      <c r="J203" s="268" t="str">
        <f t="shared" si="235"/>
        <v/>
      </c>
      <c r="K203" s="268" t="str">
        <f t="shared" si="235"/>
        <v/>
      </c>
      <c r="L203" s="268" t="str">
        <f t="shared" si="235"/>
        <v/>
      </c>
      <c r="M203" s="268" t="str">
        <f t="shared" si="235"/>
        <v/>
      </c>
      <c r="N203" s="268" t="str">
        <f t="shared" si="235"/>
        <v/>
      </c>
      <c r="O203" s="268" t="str">
        <f t="shared" si="235"/>
        <v/>
      </c>
      <c r="P203" s="268" t="str">
        <f t="shared" si="235"/>
        <v/>
      </c>
      <c r="Q203" s="268" t="str">
        <f t="shared" si="235"/>
        <v/>
      </c>
      <c r="R203" s="268" t="str">
        <f t="shared" si="235"/>
        <v/>
      </c>
      <c r="S203" s="268" t="str">
        <f t="shared" si="235"/>
        <v/>
      </c>
      <c r="T203" s="268" t="str">
        <f t="shared" si="235"/>
        <v/>
      </c>
      <c r="U203" s="268" t="str">
        <f t="shared" si="235"/>
        <v/>
      </c>
      <c r="V203" s="268" t="str">
        <f t="shared" si="235"/>
        <v/>
      </c>
      <c r="W203" s="268" t="str">
        <f t="shared" si="235"/>
        <v/>
      </c>
      <c r="X203" s="268" t="str">
        <f t="shared" si="235"/>
        <v/>
      </c>
      <c r="Y203" s="268" t="str">
        <f t="shared" si="235"/>
        <v/>
      </c>
      <c r="Z203" s="268" t="str">
        <f t="shared" si="235"/>
        <v/>
      </c>
      <c r="AA203" s="268" t="str">
        <f t="shared" si="235"/>
        <v/>
      </c>
      <c r="AB203" s="268" t="str">
        <f t="shared" si="235"/>
        <v/>
      </c>
      <c r="AC203" s="268" t="str">
        <f t="shared" si="235"/>
        <v/>
      </c>
      <c r="AD203" s="268" t="str">
        <f t="shared" si="235"/>
        <v/>
      </c>
      <c r="AE203" s="268" t="str">
        <f t="shared" si="235"/>
        <v/>
      </c>
      <c r="AF203" s="268" t="str">
        <f t="shared" si="235"/>
        <v/>
      </c>
      <c r="AG203" s="268" t="str">
        <f t="shared" si="235"/>
        <v/>
      </c>
      <c r="AH203" s="268" t="str">
        <f t="shared" si="235"/>
        <v/>
      </c>
      <c r="AI203" s="268" t="str">
        <f t="shared" si="235"/>
        <v/>
      </c>
      <c r="AJ203" s="268" t="str">
        <f t="shared" si="235"/>
        <v/>
      </c>
      <c r="AK203" s="268" t="str">
        <f t="shared" si="235"/>
        <v/>
      </c>
      <c r="AL203" s="268" t="str">
        <f t="shared" si="235"/>
        <v/>
      </c>
      <c r="AM203" s="268" t="str">
        <f t="shared" si="235"/>
        <v/>
      </c>
      <c r="AN203" s="268">
        <f t="shared" si="235"/>
        <v>72000</v>
      </c>
      <c r="AO203" s="268" t="str">
        <f t="shared" si="235"/>
        <v/>
      </c>
      <c r="AP203" s="268" t="str">
        <f t="shared" si="235"/>
        <v/>
      </c>
      <c r="AQ203" s="268" t="str">
        <f t="shared" si="235"/>
        <v/>
      </c>
      <c r="AR203" s="268" t="str">
        <f t="shared" si="235"/>
        <v/>
      </c>
      <c r="AS203" s="268" t="str">
        <f t="shared" si="235"/>
        <v/>
      </c>
      <c r="AT203" s="268" t="str">
        <f t="shared" si="235"/>
        <v/>
      </c>
      <c r="AU203" s="268" t="str">
        <f t="shared" si="235"/>
        <v/>
      </c>
      <c r="AV203" s="268" t="str">
        <f t="shared" si="235"/>
        <v/>
      </c>
      <c r="AW203" s="268" t="str">
        <f t="shared" si="235"/>
        <v/>
      </c>
      <c r="AX203" s="268" t="str">
        <f t="shared" si="235"/>
        <v/>
      </c>
      <c r="AY203" s="268" t="str">
        <f t="shared" si="235"/>
        <v/>
      </c>
      <c r="AZ203" s="268" t="str">
        <f t="shared" si="235"/>
        <v/>
      </c>
      <c r="BA203" s="268" t="str">
        <f t="shared" si="235"/>
        <v/>
      </c>
      <c r="BB203" s="268" t="str">
        <f t="shared" si="235"/>
        <v/>
      </c>
      <c r="BC203" s="268" t="str">
        <f t="shared" si="235"/>
        <v/>
      </c>
      <c r="BD203" s="268" t="str">
        <f t="shared" si="235"/>
        <v/>
      </c>
      <c r="BE203" s="268" t="str">
        <f t="shared" si="235"/>
        <v/>
      </c>
      <c r="BF203" s="268" t="str">
        <f t="shared" si="235"/>
        <v/>
      </c>
      <c r="BG203" s="268" t="str">
        <f t="shared" si="235"/>
        <v/>
      </c>
      <c r="BH203" s="268" t="str">
        <f t="shared" si="235"/>
        <v/>
      </c>
      <c r="BI203" s="268" t="str">
        <f t="shared" si="235"/>
        <v/>
      </c>
      <c r="BJ203" s="268" t="str">
        <f t="shared" si="235"/>
        <v/>
      </c>
      <c r="BK203" s="268" t="str">
        <f t="shared" si="235"/>
        <v/>
      </c>
      <c r="BL203" s="268" t="str">
        <f t="shared" si="235"/>
        <v/>
      </c>
      <c r="BM203" s="268" t="str">
        <f t="shared" si="235"/>
        <v/>
      </c>
      <c r="BN203" s="268" t="str">
        <f t="shared" si="235"/>
        <v/>
      </c>
      <c r="BO203" s="268" t="str">
        <f t="shared" si="235"/>
        <v/>
      </c>
      <c r="BP203" s="268" t="str">
        <f t="shared" si="235"/>
        <v/>
      </c>
      <c r="BQ203" s="268" t="str">
        <f t="shared" si="235"/>
        <v/>
      </c>
      <c r="BR203" s="268" t="str">
        <f t="shared" si="235"/>
        <v/>
      </c>
      <c r="BS203" s="268" t="str">
        <f t="shared" si="235"/>
        <v/>
      </c>
      <c r="BT203" s="268" t="str">
        <f t="shared" si="235"/>
        <v/>
      </c>
      <c r="BU203" s="268" t="str">
        <f t="shared" si="222"/>
        <v/>
      </c>
      <c r="BV203" s="247">
        <v>0.88</v>
      </c>
      <c r="BW203" s="729">
        <f t="shared" si="232"/>
        <v>63360</v>
      </c>
      <c r="BX203" s="730">
        <f t="shared" si="233"/>
        <v>491040</v>
      </c>
      <c r="BY203" s="731" t="str">
        <f t="shared" si="234"/>
        <v>SR</v>
      </c>
    </row>
    <row r="204" s="698" customFormat="1" customHeight="1" spans="1:77">
      <c r="A204" s="208">
        <v>46037</v>
      </c>
      <c r="B204" s="208">
        <v>46134</v>
      </c>
      <c r="C204" s="211" t="s">
        <v>459</v>
      </c>
      <c r="D204" s="211" t="s">
        <v>460</v>
      </c>
      <c r="E204" s="211" t="s">
        <v>94</v>
      </c>
      <c r="F204" s="732">
        <v>8400</v>
      </c>
      <c r="G204" s="211" t="s">
        <v>270</v>
      </c>
      <c r="H204" s="211" t="str">
        <f>IFERROR(VLOOKUP(E204,名称!A:E,4,0),"")</f>
        <v>三代</v>
      </c>
      <c r="I204" s="268" t="str">
        <f t="shared" ref="I204:BT204" si="236">IF(OR($E204="",I$1=""),"",IF(TRIM(LEFT($E204,MIN(IFERROR(FIND("CDU",UPPER($E204)),999),IFERROR(FIND("BULK",UPPER($E204)),999),IFERROR(FIND("-",$E204),999),IFERROR(FIND("（",$E204),999))-1))=I$1,$F204,""))</f>
        <v/>
      </c>
      <c r="J204" s="268" t="str">
        <f t="shared" si="236"/>
        <v/>
      </c>
      <c r="K204" s="268" t="str">
        <f t="shared" si="236"/>
        <v/>
      </c>
      <c r="L204" s="268" t="str">
        <f t="shared" si="236"/>
        <v/>
      </c>
      <c r="M204" s="268" t="str">
        <f t="shared" si="236"/>
        <v/>
      </c>
      <c r="N204" s="268" t="str">
        <f t="shared" si="236"/>
        <v/>
      </c>
      <c r="O204" s="268" t="str">
        <f t="shared" si="236"/>
        <v/>
      </c>
      <c r="P204" s="268" t="str">
        <f t="shared" si="236"/>
        <v/>
      </c>
      <c r="Q204" s="268" t="str">
        <f t="shared" si="236"/>
        <v/>
      </c>
      <c r="R204" s="268" t="str">
        <f t="shared" si="236"/>
        <v/>
      </c>
      <c r="S204" s="268" t="str">
        <f t="shared" si="236"/>
        <v/>
      </c>
      <c r="T204" s="268" t="str">
        <f t="shared" si="236"/>
        <v/>
      </c>
      <c r="U204" s="268" t="str">
        <f t="shared" si="236"/>
        <v/>
      </c>
      <c r="V204" s="268" t="str">
        <f t="shared" si="236"/>
        <v/>
      </c>
      <c r="W204" s="268" t="str">
        <f t="shared" si="236"/>
        <v/>
      </c>
      <c r="X204" s="268" t="str">
        <f t="shared" si="236"/>
        <v/>
      </c>
      <c r="Y204" s="268" t="str">
        <f t="shared" si="236"/>
        <v/>
      </c>
      <c r="Z204" s="268" t="str">
        <f t="shared" si="236"/>
        <v/>
      </c>
      <c r="AA204" s="268" t="str">
        <f t="shared" si="236"/>
        <v/>
      </c>
      <c r="AB204" s="268" t="str">
        <f t="shared" si="236"/>
        <v/>
      </c>
      <c r="AC204" s="268" t="str">
        <f t="shared" si="236"/>
        <v/>
      </c>
      <c r="AD204" s="268" t="str">
        <f t="shared" si="236"/>
        <v/>
      </c>
      <c r="AE204" s="268" t="str">
        <f t="shared" si="236"/>
        <v/>
      </c>
      <c r="AF204" s="268" t="str">
        <f t="shared" si="236"/>
        <v/>
      </c>
      <c r="AG204" s="268" t="str">
        <f t="shared" si="236"/>
        <v/>
      </c>
      <c r="AH204" s="268" t="str">
        <f t="shared" si="236"/>
        <v/>
      </c>
      <c r="AI204" s="268" t="str">
        <f t="shared" si="236"/>
        <v/>
      </c>
      <c r="AJ204" s="268" t="str">
        <f t="shared" si="236"/>
        <v/>
      </c>
      <c r="AK204" s="268" t="str">
        <f t="shared" si="236"/>
        <v/>
      </c>
      <c r="AL204" s="268" t="str">
        <f t="shared" si="236"/>
        <v/>
      </c>
      <c r="AM204" s="268" t="str">
        <f t="shared" si="236"/>
        <v/>
      </c>
      <c r="AN204" s="268" t="str">
        <f t="shared" si="236"/>
        <v/>
      </c>
      <c r="AO204" s="268" t="str">
        <f t="shared" si="236"/>
        <v/>
      </c>
      <c r="AP204" s="268" t="str">
        <f t="shared" si="236"/>
        <v/>
      </c>
      <c r="AQ204" s="268" t="str">
        <f t="shared" si="236"/>
        <v/>
      </c>
      <c r="AR204" s="268" t="str">
        <f t="shared" si="236"/>
        <v/>
      </c>
      <c r="AS204" s="268" t="str">
        <f t="shared" si="236"/>
        <v/>
      </c>
      <c r="AT204" s="268" t="str">
        <f t="shared" si="236"/>
        <v/>
      </c>
      <c r="AU204" s="268" t="str">
        <f t="shared" si="236"/>
        <v/>
      </c>
      <c r="AV204" s="268" t="str">
        <f t="shared" si="236"/>
        <v/>
      </c>
      <c r="AW204" s="268" t="str">
        <f t="shared" si="236"/>
        <v/>
      </c>
      <c r="AX204" s="268" t="str">
        <f t="shared" si="236"/>
        <v/>
      </c>
      <c r="AY204" s="268">
        <f t="shared" si="236"/>
        <v>8400</v>
      </c>
      <c r="AZ204" s="268" t="str">
        <f t="shared" si="236"/>
        <v/>
      </c>
      <c r="BA204" s="268" t="str">
        <f t="shared" si="236"/>
        <v/>
      </c>
      <c r="BB204" s="268" t="str">
        <f t="shared" si="236"/>
        <v/>
      </c>
      <c r="BC204" s="268" t="str">
        <f t="shared" si="236"/>
        <v/>
      </c>
      <c r="BD204" s="268" t="str">
        <f t="shared" si="236"/>
        <v/>
      </c>
      <c r="BE204" s="268" t="str">
        <f t="shared" si="236"/>
        <v/>
      </c>
      <c r="BF204" s="268" t="str">
        <f t="shared" si="236"/>
        <v/>
      </c>
      <c r="BG204" s="268" t="str">
        <f t="shared" si="236"/>
        <v/>
      </c>
      <c r="BH204" s="268" t="str">
        <f t="shared" si="236"/>
        <v/>
      </c>
      <c r="BI204" s="268" t="str">
        <f t="shared" si="236"/>
        <v/>
      </c>
      <c r="BJ204" s="268" t="str">
        <f t="shared" si="236"/>
        <v/>
      </c>
      <c r="BK204" s="268" t="str">
        <f t="shared" si="236"/>
        <v/>
      </c>
      <c r="BL204" s="268" t="str">
        <f t="shared" si="236"/>
        <v/>
      </c>
      <c r="BM204" s="268" t="str">
        <f t="shared" si="236"/>
        <v/>
      </c>
      <c r="BN204" s="268" t="str">
        <f t="shared" si="236"/>
        <v/>
      </c>
      <c r="BO204" s="268" t="str">
        <f t="shared" si="236"/>
        <v/>
      </c>
      <c r="BP204" s="268" t="str">
        <f t="shared" si="236"/>
        <v/>
      </c>
      <c r="BQ204" s="268" t="str">
        <f t="shared" si="236"/>
        <v/>
      </c>
      <c r="BR204" s="268" t="str">
        <f t="shared" si="236"/>
        <v/>
      </c>
      <c r="BS204" s="268" t="str">
        <f t="shared" si="236"/>
        <v/>
      </c>
      <c r="BT204" s="268" t="str">
        <f t="shared" si="236"/>
        <v/>
      </c>
      <c r="BU204" s="268" t="str">
        <f t="shared" si="222"/>
        <v/>
      </c>
      <c r="BV204" s="247">
        <v>0.61</v>
      </c>
      <c r="BW204" s="729">
        <f t="shared" si="232"/>
        <v>5124</v>
      </c>
      <c r="BX204" s="730">
        <f t="shared" si="233"/>
        <v>39711</v>
      </c>
      <c r="BY204" s="731" t="str">
        <f t="shared" si="234"/>
        <v>SR</v>
      </c>
    </row>
    <row r="205" s="698" customFormat="1" customHeight="1" spans="1:77">
      <c r="A205" s="208">
        <v>46038</v>
      </c>
      <c r="B205" s="208">
        <v>46077</v>
      </c>
      <c r="C205" s="793" t="s">
        <v>461</v>
      </c>
      <c r="D205" s="211" t="s">
        <v>462</v>
      </c>
      <c r="E205" s="211" t="s">
        <v>31</v>
      </c>
      <c r="F205" s="732">
        <v>1104</v>
      </c>
      <c r="G205" s="211" t="s">
        <v>253</v>
      </c>
      <c r="H205" s="211" t="str">
        <f>IFERROR(VLOOKUP(E205,名称!A:E,4,0),"")</f>
        <v>二代</v>
      </c>
      <c r="I205" s="268" t="str">
        <f t="shared" ref="I205:BT205" si="237">IF(OR($E205="",I$1=""),"",IF(TRIM(LEFT($E205,MIN(IFERROR(FIND("CDU",UPPER($E205)),999),IFERROR(FIND("BULK",UPPER($E205)),999),IFERROR(FIND("-",$E205),999),IFERROR(FIND("（",$E205),999))-1))=I$1,$F205,""))</f>
        <v/>
      </c>
      <c r="J205" s="268" t="str">
        <f t="shared" si="237"/>
        <v/>
      </c>
      <c r="K205" s="268" t="str">
        <f t="shared" si="237"/>
        <v/>
      </c>
      <c r="L205" s="268" t="str">
        <f t="shared" si="237"/>
        <v/>
      </c>
      <c r="M205" s="268">
        <f t="shared" si="237"/>
        <v>1104</v>
      </c>
      <c r="N205" s="268" t="str">
        <f t="shared" si="237"/>
        <v/>
      </c>
      <c r="O205" s="268" t="str">
        <f t="shared" si="237"/>
        <v/>
      </c>
      <c r="P205" s="268" t="str">
        <f t="shared" si="237"/>
        <v/>
      </c>
      <c r="Q205" s="268" t="str">
        <f t="shared" si="237"/>
        <v/>
      </c>
      <c r="R205" s="268" t="str">
        <f t="shared" si="237"/>
        <v/>
      </c>
      <c r="S205" s="268" t="str">
        <f t="shared" si="237"/>
        <v/>
      </c>
      <c r="T205" s="268" t="str">
        <f t="shared" si="237"/>
        <v/>
      </c>
      <c r="U205" s="268" t="str">
        <f t="shared" si="237"/>
        <v/>
      </c>
      <c r="V205" s="268" t="str">
        <f t="shared" si="237"/>
        <v/>
      </c>
      <c r="W205" s="268" t="str">
        <f t="shared" si="237"/>
        <v/>
      </c>
      <c r="X205" s="268" t="str">
        <f t="shared" si="237"/>
        <v/>
      </c>
      <c r="Y205" s="268" t="str">
        <f t="shared" si="237"/>
        <v/>
      </c>
      <c r="Z205" s="268" t="str">
        <f t="shared" si="237"/>
        <v/>
      </c>
      <c r="AA205" s="268" t="str">
        <f t="shared" si="237"/>
        <v/>
      </c>
      <c r="AB205" s="268" t="str">
        <f t="shared" si="237"/>
        <v/>
      </c>
      <c r="AC205" s="268" t="str">
        <f t="shared" si="237"/>
        <v/>
      </c>
      <c r="AD205" s="268" t="str">
        <f t="shared" si="237"/>
        <v/>
      </c>
      <c r="AE205" s="268" t="str">
        <f t="shared" si="237"/>
        <v/>
      </c>
      <c r="AF205" s="268" t="str">
        <f t="shared" si="237"/>
        <v/>
      </c>
      <c r="AG205" s="268" t="str">
        <f t="shared" si="237"/>
        <v/>
      </c>
      <c r="AH205" s="268" t="str">
        <f t="shared" si="237"/>
        <v/>
      </c>
      <c r="AI205" s="268" t="str">
        <f t="shared" si="237"/>
        <v/>
      </c>
      <c r="AJ205" s="268" t="str">
        <f t="shared" si="237"/>
        <v/>
      </c>
      <c r="AK205" s="268" t="str">
        <f t="shared" si="237"/>
        <v/>
      </c>
      <c r="AL205" s="268" t="str">
        <f t="shared" si="237"/>
        <v/>
      </c>
      <c r="AM205" s="268" t="str">
        <f t="shared" si="237"/>
        <v/>
      </c>
      <c r="AN205" s="268" t="str">
        <f t="shared" si="237"/>
        <v/>
      </c>
      <c r="AO205" s="268" t="str">
        <f t="shared" si="237"/>
        <v/>
      </c>
      <c r="AP205" s="268" t="str">
        <f t="shared" si="237"/>
        <v/>
      </c>
      <c r="AQ205" s="268" t="str">
        <f t="shared" si="237"/>
        <v/>
      </c>
      <c r="AR205" s="268" t="str">
        <f t="shared" si="237"/>
        <v/>
      </c>
      <c r="AS205" s="268" t="str">
        <f t="shared" si="237"/>
        <v/>
      </c>
      <c r="AT205" s="268" t="str">
        <f t="shared" si="237"/>
        <v/>
      </c>
      <c r="AU205" s="268" t="str">
        <f t="shared" si="237"/>
        <v/>
      </c>
      <c r="AV205" s="268" t="str">
        <f t="shared" si="237"/>
        <v/>
      </c>
      <c r="AW205" s="268" t="str">
        <f t="shared" si="237"/>
        <v/>
      </c>
      <c r="AX205" s="268" t="str">
        <f t="shared" si="237"/>
        <v/>
      </c>
      <c r="AY205" s="268" t="str">
        <f t="shared" si="237"/>
        <v/>
      </c>
      <c r="AZ205" s="268" t="str">
        <f t="shared" si="237"/>
        <v/>
      </c>
      <c r="BA205" s="268" t="str">
        <f t="shared" si="237"/>
        <v/>
      </c>
      <c r="BB205" s="268" t="str">
        <f t="shared" si="237"/>
        <v/>
      </c>
      <c r="BC205" s="268" t="str">
        <f t="shared" si="237"/>
        <v/>
      </c>
      <c r="BD205" s="268" t="str">
        <f t="shared" si="237"/>
        <v/>
      </c>
      <c r="BE205" s="268" t="str">
        <f t="shared" si="237"/>
        <v/>
      </c>
      <c r="BF205" s="268" t="str">
        <f t="shared" si="237"/>
        <v/>
      </c>
      <c r="BG205" s="268" t="str">
        <f t="shared" si="237"/>
        <v/>
      </c>
      <c r="BH205" s="268" t="str">
        <f t="shared" si="237"/>
        <v/>
      </c>
      <c r="BI205" s="268" t="str">
        <f t="shared" si="237"/>
        <v/>
      </c>
      <c r="BJ205" s="268" t="str">
        <f t="shared" si="237"/>
        <v/>
      </c>
      <c r="BK205" s="268" t="str">
        <f t="shared" si="237"/>
        <v/>
      </c>
      <c r="BL205" s="268" t="str">
        <f t="shared" si="237"/>
        <v/>
      </c>
      <c r="BM205" s="268" t="str">
        <f t="shared" si="237"/>
        <v/>
      </c>
      <c r="BN205" s="268" t="str">
        <f t="shared" si="237"/>
        <v/>
      </c>
      <c r="BO205" s="268" t="str">
        <f t="shared" si="237"/>
        <v/>
      </c>
      <c r="BP205" s="268" t="str">
        <f t="shared" si="237"/>
        <v/>
      </c>
      <c r="BQ205" s="268" t="str">
        <f t="shared" si="237"/>
        <v/>
      </c>
      <c r="BR205" s="268" t="str">
        <f t="shared" si="237"/>
        <v/>
      </c>
      <c r="BS205" s="268" t="str">
        <f t="shared" si="237"/>
        <v/>
      </c>
      <c r="BT205" s="268" t="str">
        <f t="shared" si="237"/>
        <v/>
      </c>
      <c r="BU205" s="268" t="str">
        <f t="shared" si="222"/>
        <v/>
      </c>
      <c r="BV205" s="247">
        <v>0.63</v>
      </c>
      <c r="BW205" s="729">
        <f t="shared" si="232"/>
        <v>695.52</v>
      </c>
      <c r="BX205" s="730">
        <f t="shared" si="233"/>
        <v>5390.28</v>
      </c>
      <c r="BY205" s="731" t="str">
        <f t="shared" si="234"/>
        <v>SR</v>
      </c>
    </row>
    <row r="206" s="698" customFormat="1" customHeight="1" spans="1:77">
      <c r="A206" s="208">
        <v>46038</v>
      </c>
      <c r="B206" s="208">
        <v>46127</v>
      </c>
      <c r="C206" s="211" t="s">
        <v>463</v>
      </c>
      <c r="D206" s="211" t="s">
        <v>464</v>
      </c>
      <c r="E206" s="211" t="s">
        <v>50</v>
      </c>
      <c r="F206" s="732">
        <f>72000-30006+18</f>
        <v>42012</v>
      </c>
      <c r="G206" s="211" t="s">
        <v>334</v>
      </c>
      <c r="H206" s="211" t="str">
        <f>IFERROR(VLOOKUP(E206,名称!A:E,4,0),"")</f>
        <v>蛋糕</v>
      </c>
      <c r="I206" s="268" t="str">
        <f t="shared" ref="I206:BT206" si="238">IF(OR($E206="",I$1=""),"",IF(TRIM(LEFT($E206,MIN(IFERROR(FIND("CDU",UPPER($E206)),999),IFERROR(FIND("BULK",UPPER($E206)),999),IFERROR(FIND("-",$E206),999),IFERROR(FIND("（",$E206),999))-1))=I$1,$F206,""))</f>
        <v/>
      </c>
      <c r="J206" s="268" t="str">
        <f t="shared" si="238"/>
        <v/>
      </c>
      <c r="K206" s="268" t="str">
        <f t="shared" si="238"/>
        <v/>
      </c>
      <c r="L206" s="268" t="str">
        <f t="shared" si="238"/>
        <v/>
      </c>
      <c r="M206" s="268" t="str">
        <f t="shared" si="238"/>
        <v/>
      </c>
      <c r="N206" s="268" t="str">
        <f t="shared" si="238"/>
        <v/>
      </c>
      <c r="O206" s="268" t="str">
        <f t="shared" si="238"/>
        <v/>
      </c>
      <c r="P206" s="268" t="str">
        <f t="shared" si="238"/>
        <v/>
      </c>
      <c r="Q206" s="268" t="str">
        <f t="shared" si="238"/>
        <v/>
      </c>
      <c r="R206" s="268" t="str">
        <f t="shared" si="238"/>
        <v/>
      </c>
      <c r="S206" s="268" t="str">
        <f t="shared" si="238"/>
        <v/>
      </c>
      <c r="T206" s="268" t="str">
        <f t="shared" si="238"/>
        <v/>
      </c>
      <c r="U206" s="268" t="str">
        <f t="shared" si="238"/>
        <v/>
      </c>
      <c r="V206" s="268" t="str">
        <f t="shared" si="238"/>
        <v/>
      </c>
      <c r="W206" s="268" t="str">
        <f t="shared" si="238"/>
        <v/>
      </c>
      <c r="X206" s="268" t="str">
        <f t="shared" si="238"/>
        <v/>
      </c>
      <c r="Y206" s="268" t="str">
        <f t="shared" si="238"/>
        <v/>
      </c>
      <c r="Z206" s="268" t="str">
        <f t="shared" si="238"/>
        <v/>
      </c>
      <c r="AA206" s="268" t="str">
        <f t="shared" si="238"/>
        <v/>
      </c>
      <c r="AB206" s="268" t="str">
        <f t="shared" si="238"/>
        <v/>
      </c>
      <c r="AC206" s="268" t="str">
        <f t="shared" si="238"/>
        <v/>
      </c>
      <c r="AD206" s="268" t="str">
        <f t="shared" si="238"/>
        <v/>
      </c>
      <c r="AE206" s="268" t="str">
        <f t="shared" si="238"/>
        <v/>
      </c>
      <c r="AF206" s="268" t="str">
        <f t="shared" si="238"/>
        <v/>
      </c>
      <c r="AG206" s="268" t="str">
        <f t="shared" si="238"/>
        <v/>
      </c>
      <c r="AH206" s="268" t="str">
        <f t="shared" si="238"/>
        <v/>
      </c>
      <c r="AI206" s="268" t="str">
        <f t="shared" si="238"/>
        <v/>
      </c>
      <c r="AJ206" s="268" t="str">
        <f t="shared" si="238"/>
        <v/>
      </c>
      <c r="AK206" s="268" t="str">
        <f t="shared" si="238"/>
        <v/>
      </c>
      <c r="AL206" s="268" t="str">
        <f t="shared" si="238"/>
        <v/>
      </c>
      <c r="AM206" s="268" t="str">
        <f t="shared" si="238"/>
        <v/>
      </c>
      <c r="AN206" s="268" t="str">
        <f t="shared" si="238"/>
        <v/>
      </c>
      <c r="AO206" s="268" t="str">
        <f t="shared" si="238"/>
        <v/>
      </c>
      <c r="AP206" s="268" t="str">
        <f t="shared" si="238"/>
        <v/>
      </c>
      <c r="AQ206" s="268" t="str">
        <f t="shared" si="238"/>
        <v/>
      </c>
      <c r="AR206" s="268" t="str">
        <f t="shared" si="238"/>
        <v/>
      </c>
      <c r="AS206" s="268" t="str">
        <f t="shared" si="238"/>
        <v/>
      </c>
      <c r="AT206" s="268" t="str">
        <f t="shared" si="238"/>
        <v/>
      </c>
      <c r="AU206" s="268" t="str">
        <f t="shared" si="238"/>
        <v/>
      </c>
      <c r="AV206" s="268" t="str">
        <f t="shared" si="238"/>
        <v/>
      </c>
      <c r="AW206" s="268" t="str">
        <f t="shared" si="238"/>
        <v/>
      </c>
      <c r="AX206" s="268" t="str">
        <f t="shared" si="238"/>
        <v/>
      </c>
      <c r="AY206" s="268" t="str">
        <f t="shared" si="238"/>
        <v/>
      </c>
      <c r="AZ206" s="268" t="str">
        <f t="shared" si="238"/>
        <v/>
      </c>
      <c r="BA206" s="268" t="str">
        <f t="shared" si="238"/>
        <v/>
      </c>
      <c r="BB206" s="268" t="str">
        <f t="shared" si="238"/>
        <v/>
      </c>
      <c r="BC206" s="268" t="str">
        <f t="shared" si="238"/>
        <v/>
      </c>
      <c r="BD206" s="268" t="str">
        <f t="shared" si="238"/>
        <v/>
      </c>
      <c r="BE206" s="268" t="str">
        <f t="shared" si="238"/>
        <v/>
      </c>
      <c r="BF206" s="268" t="str">
        <f t="shared" si="238"/>
        <v/>
      </c>
      <c r="BG206" s="268">
        <f t="shared" si="238"/>
        <v>42012</v>
      </c>
      <c r="BH206" s="268" t="str">
        <f t="shared" si="238"/>
        <v/>
      </c>
      <c r="BI206" s="268" t="str">
        <f t="shared" si="238"/>
        <v/>
      </c>
      <c r="BJ206" s="268" t="str">
        <f t="shared" si="238"/>
        <v/>
      </c>
      <c r="BK206" s="268" t="str">
        <f t="shared" si="238"/>
        <v/>
      </c>
      <c r="BL206" s="268" t="str">
        <f t="shared" si="238"/>
        <v/>
      </c>
      <c r="BM206" s="268" t="str">
        <f t="shared" si="238"/>
        <v/>
      </c>
      <c r="BN206" s="268" t="str">
        <f t="shared" si="238"/>
        <v/>
      </c>
      <c r="BO206" s="268" t="str">
        <f t="shared" si="238"/>
        <v/>
      </c>
      <c r="BP206" s="268" t="str">
        <f t="shared" si="238"/>
        <v/>
      </c>
      <c r="BQ206" s="268" t="str">
        <f t="shared" si="238"/>
        <v/>
      </c>
      <c r="BR206" s="268" t="str">
        <f t="shared" si="238"/>
        <v/>
      </c>
      <c r="BS206" s="268" t="str">
        <f t="shared" si="238"/>
        <v/>
      </c>
      <c r="BT206" s="268" t="str">
        <f t="shared" si="238"/>
        <v/>
      </c>
      <c r="BU206" s="268" t="str">
        <f t="shared" si="222"/>
        <v/>
      </c>
      <c r="BV206" s="247">
        <v>1.03</v>
      </c>
      <c r="BW206" s="729">
        <f t="shared" si="232"/>
        <v>43272.36</v>
      </c>
      <c r="BX206" s="730">
        <f t="shared" si="233"/>
        <v>335360.79</v>
      </c>
      <c r="BY206" s="731" t="str">
        <f t="shared" si="234"/>
        <v>JC</v>
      </c>
    </row>
    <row r="207" s="698" customFormat="1" customHeight="1" spans="1:77">
      <c r="A207" s="208">
        <v>46038</v>
      </c>
      <c r="B207" s="208">
        <v>46127</v>
      </c>
      <c r="C207" s="211" t="s">
        <v>463</v>
      </c>
      <c r="D207" s="211" t="s">
        <v>464</v>
      </c>
      <c r="E207" s="211" t="s">
        <v>106</v>
      </c>
      <c r="F207" s="732">
        <v>8370</v>
      </c>
      <c r="G207" s="211" t="s">
        <v>334</v>
      </c>
      <c r="H207" s="211" t="str">
        <f>IFERROR(VLOOKUP(E207,名称!A:E,4,0),"")</f>
        <v>蛋糕</v>
      </c>
      <c r="I207" s="268" t="str">
        <f t="shared" ref="I207:BT207" si="239">IF(OR($E207="",I$1=""),"",IF(TRIM(LEFT($E207,MIN(IFERROR(FIND("CDU",UPPER($E207)),999),IFERROR(FIND("BULK",UPPER($E207)),999),IFERROR(FIND("-",$E207),999),IFERROR(FIND("（",$E207),999))-1))=I$1,$F207,""))</f>
        <v/>
      </c>
      <c r="J207" s="268" t="str">
        <f t="shared" si="239"/>
        <v/>
      </c>
      <c r="K207" s="268" t="str">
        <f t="shared" si="239"/>
        <v/>
      </c>
      <c r="L207" s="268" t="str">
        <f t="shared" si="239"/>
        <v/>
      </c>
      <c r="M207" s="268" t="str">
        <f t="shared" si="239"/>
        <v/>
      </c>
      <c r="N207" s="268" t="str">
        <f t="shared" si="239"/>
        <v/>
      </c>
      <c r="O207" s="268" t="str">
        <f t="shared" si="239"/>
        <v/>
      </c>
      <c r="P207" s="268" t="str">
        <f t="shared" si="239"/>
        <v/>
      </c>
      <c r="Q207" s="268" t="str">
        <f t="shared" si="239"/>
        <v/>
      </c>
      <c r="R207" s="268" t="str">
        <f t="shared" si="239"/>
        <v/>
      </c>
      <c r="S207" s="268" t="str">
        <f t="shared" si="239"/>
        <v/>
      </c>
      <c r="T207" s="268" t="str">
        <f t="shared" si="239"/>
        <v/>
      </c>
      <c r="U207" s="268" t="str">
        <f t="shared" si="239"/>
        <v/>
      </c>
      <c r="V207" s="268" t="str">
        <f t="shared" si="239"/>
        <v/>
      </c>
      <c r="W207" s="268" t="str">
        <f t="shared" si="239"/>
        <v/>
      </c>
      <c r="X207" s="268" t="str">
        <f t="shared" si="239"/>
        <v/>
      </c>
      <c r="Y207" s="268" t="str">
        <f t="shared" si="239"/>
        <v/>
      </c>
      <c r="Z207" s="268" t="str">
        <f t="shared" si="239"/>
        <v/>
      </c>
      <c r="AA207" s="268" t="str">
        <f t="shared" si="239"/>
        <v/>
      </c>
      <c r="AB207" s="268" t="str">
        <f t="shared" si="239"/>
        <v/>
      </c>
      <c r="AC207" s="268" t="str">
        <f t="shared" si="239"/>
        <v/>
      </c>
      <c r="AD207" s="268" t="str">
        <f t="shared" si="239"/>
        <v/>
      </c>
      <c r="AE207" s="268" t="str">
        <f t="shared" si="239"/>
        <v/>
      </c>
      <c r="AF207" s="268" t="str">
        <f t="shared" si="239"/>
        <v/>
      </c>
      <c r="AG207" s="268" t="str">
        <f t="shared" si="239"/>
        <v/>
      </c>
      <c r="AH207" s="268" t="str">
        <f t="shared" si="239"/>
        <v/>
      </c>
      <c r="AI207" s="268" t="str">
        <f t="shared" si="239"/>
        <v/>
      </c>
      <c r="AJ207" s="268" t="str">
        <f t="shared" si="239"/>
        <v/>
      </c>
      <c r="AK207" s="268" t="str">
        <f t="shared" si="239"/>
        <v/>
      </c>
      <c r="AL207" s="268" t="str">
        <f t="shared" si="239"/>
        <v/>
      </c>
      <c r="AM207" s="268" t="str">
        <f t="shared" si="239"/>
        <v/>
      </c>
      <c r="AN207" s="268" t="str">
        <f t="shared" si="239"/>
        <v/>
      </c>
      <c r="AO207" s="268" t="str">
        <f t="shared" si="239"/>
        <v/>
      </c>
      <c r="AP207" s="268" t="str">
        <f t="shared" si="239"/>
        <v/>
      </c>
      <c r="AQ207" s="268" t="str">
        <f t="shared" si="239"/>
        <v/>
      </c>
      <c r="AR207" s="268" t="str">
        <f t="shared" si="239"/>
        <v/>
      </c>
      <c r="AS207" s="268" t="str">
        <f t="shared" si="239"/>
        <v/>
      </c>
      <c r="AT207" s="268" t="str">
        <f t="shared" si="239"/>
        <v/>
      </c>
      <c r="AU207" s="268" t="str">
        <f t="shared" si="239"/>
        <v/>
      </c>
      <c r="AV207" s="268" t="str">
        <f t="shared" si="239"/>
        <v/>
      </c>
      <c r="AW207" s="268" t="str">
        <f t="shared" si="239"/>
        <v/>
      </c>
      <c r="AX207" s="268" t="str">
        <f t="shared" si="239"/>
        <v/>
      </c>
      <c r="AY207" s="268" t="str">
        <f t="shared" si="239"/>
        <v/>
      </c>
      <c r="AZ207" s="268" t="str">
        <f t="shared" si="239"/>
        <v/>
      </c>
      <c r="BA207" s="268" t="str">
        <f t="shared" si="239"/>
        <v/>
      </c>
      <c r="BB207" s="268" t="str">
        <f t="shared" si="239"/>
        <v/>
      </c>
      <c r="BC207" s="268" t="str">
        <f t="shared" si="239"/>
        <v/>
      </c>
      <c r="BD207" s="268" t="str">
        <f t="shared" si="239"/>
        <v/>
      </c>
      <c r="BE207" s="268" t="str">
        <f t="shared" si="239"/>
        <v/>
      </c>
      <c r="BF207" s="268" t="str">
        <f t="shared" si="239"/>
        <v/>
      </c>
      <c r="BG207" s="268">
        <f t="shared" si="239"/>
        <v>8370</v>
      </c>
      <c r="BH207" s="268" t="str">
        <f t="shared" si="239"/>
        <v/>
      </c>
      <c r="BI207" s="268" t="str">
        <f t="shared" si="239"/>
        <v/>
      </c>
      <c r="BJ207" s="268" t="str">
        <f t="shared" si="239"/>
        <v/>
      </c>
      <c r="BK207" s="268" t="str">
        <f t="shared" si="239"/>
        <v/>
      </c>
      <c r="BL207" s="268" t="str">
        <f t="shared" si="239"/>
        <v/>
      </c>
      <c r="BM207" s="268" t="str">
        <f t="shared" si="239"/>
        <v/>
      </c>
      <c r="BN207" s="268" t="str">
        <f t="shared" si="239"/>
        <v/>
      </c>
      <c r="BO207" s="268" t="str">
        <f t="shared" si="239"/>
        <v/>
      </c>
      <c r="BP207" s="268" t="str">
        <f t="shared" si="239"/>
        <v/>
      </c>
      <c r="BQ207" s="268" t="str">
        <f t="shared" si="239"/>
        <v/>
      </c>
      <c r="BR207" s="268" t="str">
        <f t="shared" si="239"/>
        <v/>
      </c>
      <c r="BS207" s="268" t="str">
        <f t="shared" si="239"/>
        <v/>
      </c>
      <c r="BT207" s="268" t="str">
        <f t="shared" si="239"/>
        <v/>
      </c>
      <c r="BU207" s="268" t="str">
        <f t="shared" si="222"/>
        <v/>
      </c>
      <c r="BV207" s="247">
        <v>1.05</v>
      </c>
      <c r="BW207" s="729">
        <f t="shared" si="232"/>
        <v>8788.5</v>
      </c>
      <c r="BX207" s="730">
        <f t="shared" si="233"/>
        <v>68110.88</v>
      </c>
      <c r="BY207" s="731" t="str">
        <f t="shared" si="234"/>
        <v>JC</v>
      </c>
    </row>
    <row r="208" s="698" customFormat="1" customHeight="1" spans="1:77">
      <c r="A208" s="208">
        <v>46038</v>
      </c>
      <c r="B208" s="208">
        <v>46127</v>
      </c>
      <c r="C208" s="211" t="s">
        <v>463</v>
      </c>
      <c r="D208" s="211" t="s">
        <v>464</v>
      </c>
      <c r="E208" s="211" t="s">
        <v>106</v>
      </c>
      <c r="F208" s="732">
        <f>30006-8370</f>
        <v>21636</v>
      </c>
      <c r="G208" s="211" t="s">
        <v>334</v>
      </c>
      <c r="H208" s="211" t="str">
        <f>IFERROR(VLOOKUP(E208,名称!A:E,4,0),"")</f>
        <v>蛋糕</v>
      </c>
      <c r="I208" s="268" t="str">
        <f t="shared" ref="I208:BT208" si="240">IF(OR($E208="",I$1=""),"",IF(TRIM(LEFT($E208,MIN(IFERROR(FIND("CDU",UPPER($E208)),999),IFERROR(FIND("BULK",UPPER($E208)),999),IFERROR(FIND("-",$E208),999),IFERROR(FIND("（",$E208),999))-1))=I$1,$F208,""))</f>
        <v/>
      </c>
      <c r="J208" s="268" t="str">
        <f t="shared" si="240"/>
        <v/>
      </c>
      <c r="K208" s="268" t="str">
        <f t="shared" si="240"/>
        <v/>
      </c>
      <c r="L208" s="268" t="str">
        <f t="shared" si="240"/>
        <v/>
      </c>
      <c r="M208" s="268" t="str">
        <f t="shared" si="240"/>
        <v/>
      </c>
      <c r="N208" s="268" t="str">
        <f t="shared" si="240"/>
        <v/>
      </c>
      <c r="O208" s="268" t="str">
        <f t="shared" si="240"/>
        <v/>
      </c>
      <c r="P208" s="268" t="str">
        <f t="shared" si="240"/>
        <v/>
      </c>
      <c r="Q208" s="268" t="str">
        <f t="shared" si="240"/>
        <v/>
      </c>
      <c r="R208" s="268" t="str">
        <f t="shared" si="240"/>
        <v/>
      </c>
      <c r="S208" s="268" t="str">
        <f t="shared" si="240"/>
        <v/>
      </c>
      <c r="T208" s="268" t="str">
        <f t="shared" si="240"/>
        <v/>
      </c>
      <c r="U208" s="268" t="str">
        <f t="shared" si="240"/>
        <v/>
      </c>
      <c r="V208" s="268" t="str">
        <f t="shared" si="240"/>
        <v/>
      </c>
      <c r="W208" s="268" t="str">
        <f t="shared" si="240"/>
        <v/>
      </c>
      <c r="X208" s="268" t="str">
        <f t="shared" si="240"/>
        <v/>
      </c>
      <c r="Y208" s="268" t="str">
        <f t="shared" si="240"/>
        <v/>
      </c>
      <c r="Z208" s="268" t="str">
        <f t="shared" si="240"/>
        <v/>
      </c>
      <c r="AA208" s="268" t="str">
        <f t="shared" si="240"/>
        <v/>
      </c>
      <c r="AB208" s="268" t="str">
        <f t="shared" si="240"/>
        <v/>
      </c>
      <c r="AC208" s="268" t="str">
        <f t="shared" si="240"/>
        <v/>
      </c>
      <c r="AD208" s="268" t="str">
        <f t="shared" si="240"/>
        <v/>
      </c>
      <c r="AE208" s="268" t="str">
        <f t="shared" si="240"/>
        <v/>
      </c>
      <c r="AF208" s="268" t="str">
        <f t="shared" si="240"/>
        <v/>
      </c>
      <c r="AG208" s="268" t="str">
        <f t="shared" si="240"/>
        <v/>
      </c>
      <c r="AH208" s="268" t="str">
        <f t="shared" si="240"/>
        <v/>
      </c>
      <c r="AI208" s="268" t="str">
        <f t="shared" si="240"/>
        <v/>
      </c>
      <c r="AJ208" s="268" t="str">
        <f t="shared" si="240"/>
        <v/>
      </c>
      <c r="AK208" s="268" t="str">
        <f t="shared" si="240"/>
        <v/>
      </c>
      <c r="AL208" s="268" t="str">
        <f t="shared" si="240"/>
        <v/>
      </c>
      <c r="AM208" s="268" t="str">
        <f t="shared" si="240"/>
        <v/>
      </c>
      <c r="AN208" s="268" t="str">
        <f t="shared" si="240"/>
        <v/>
      </c>
      <c r="AO208" s="268" t="str">
        <f t="shared" si="240"/>
        <v/>
      </c>
      <c r="AP208" s="268" t="str">
        <f t="shared" si="240"/>
        <v/>
      </c>
      <c r="AQ208" s="268" t="str">
        <f t="shared" si="240"/>
        <v/>
      </c>
      <c r="AR208" s="268" t="str">
        <f t="shared" si="240"/>
        <v/>
      </c>
      <c r="AS208" s="268" t="str">
        <f t="shared" si="240"/>
        <v/>
      </c>
      <c r="AT208" s="268" t="str">
        <f t="shared" si="240"/>
        <v/>
      </c>
      <c r="AU208" s="268" t="str">
        <f t="shared" si="240"/>
        <v/>
      </c>
      <c r="AV208" s="268" t="str">
        <f t="shared" si="240"/>
        <v/>
      </c>
      <c r="AW208" s="268" t="str">
        <f t="shared" si="240"/>
        <v/>
      </c>
      <c r="AX208" s="268" t="str">
        <f t="shared" si="240"/>
        <v/>
      </c>
      <c r="AY208" s="268" t="str">
        <f t="shared" si="240"/>
        <v/>
      </c>
      <c r="AZ208" s="268" t="str">
        <f t="shared" si="240"/>
        <v/>
      </c>
      <c r="BA208" s="268" t="str">
        <f t="shared" si="240"/>
        <v/>
      </c>
      <c r="BB208" s="268" t="str">
        <f t="shared" si="240"/>
        <v/>
      </c>
      <c r="BC208" s="268" t="str">
        <f t="shared" si="240"/>
        <v/>
      </c>
      <c r="BD208" s="268" t="str">
        <f t="shared" si="240"/>
        <v/>
      </c>
      <c r="BE208" s="268" t="str">
        <f t="shared" si="240"/>
        <v/>
      </c>
      <c r="BF208" s="268" t="str">
        <f t="shared" si="240"/>
        <v/>
      </c>
      <c r="BG208" s="268">
        <f t="shared" si="240"/>
        <v>21636</v>
      </c>
      <c r="BH208" s="268" t="str">
        <f t="shared" si="240"/>
        <v/>
      </c>
      <c r="BI208" s="268" t="str">
        <f t="shared" si="240"/>
        <v/>
      </c>
      <c r="BJ208" s="268" t="str">
        <f t="shared" si="240"/>
        <v/>
      </c>
      <c r="BK208" s="268" t="str">
        <f t="shared" si="240"/>
        <v/>
      </c>
      <c r="BL208" s="268" t="str">
        <f t="shared" si="240"/>
        <v/>
      </c>
      <c r="BM208" s="268" t="str">
        <f t="shared" si="240"/>
        <v/>
      </c>
      <c r="BN208" s="268" t="str">
        <f t="shared" si="240"/>
        <v/>
      </c>
      <c r="BO208" s="268" t="str">
        <f t="shared" si="240"/>
        <v/>
      </c>
      <c r="BP208" s="268" t="str">
        <f t="shared" si="240"/>
        <v/>
      </c>
      <c r="BQ208" s="268" t="str">
        <f t="shared" si="240"/>
        <v/>
      </c>
      <c r="BR208" s="268" t="str">
        <f t="shared" si="240"/>
        <v/>
      </c>
      <c r="BS208" s="268" t="str">
        <f t="shared" si="240"/>
        <v/>
      </c>
      <c r="BT208" s="268" t="str">
        <f t="shared" si="240"/>
        <v/>
      </c>
      <c r="BU208" s="268" t="str">
        <f t="shared" si="222"/>
        <v/>
      </c>
      <c r="BV208" s="247">
        <v>1.05</v>
      </c>
      <c r="BW208" s="729">
        <f t="shared" ref="BW208:BW217" si="241">SUM(I208:BU208)*BV208</f>
        <v>22717.8</v>
      </c>
      <c r="BX208" s="730">
        <f t="shared" ref="BX208:BX217" si="242">BW208*7.75</f>
        <v>176062.95</v>
      </c>
      <c r="BY208" s="731" t="str">
        <f t="shared" ref="BY208:BY219" si="243">MID(E208,1,2)</f>
        <v>JC</v>
      </c>
    </row>
    <row r="209" s="698" customFormat="1" customHeight="1" spans="1:77">
      <c r="A209" s="208">
        <v>46038</v>
      </c>
      <c r="B209" s="208">
        <v>46127</v>
      </c>
      <c r="C209" s="211" t="s">
        <v>463</v>
      </c>
      <c r="D209" s="211" t="s">
        <v>464</v>
      </c>
      <c r="E209" s="211" t="s">
        <v>52</v>
      </c>
      <c r="F209" s="732">
        <v>12000</v>
      </c>
      <c r="G209" s="211" t="s">
        <v>334</v>
      </c>
      <c r="H209" s="211" t="str">
        <f>IFERROR(VLOOKUP(E209,名称!A:E,4,0),"")</f>
        <v>蛋糕</v>
      </c>
      <c r="I209" s="268" t="str">
        <f t="shared" ref="I209:BT209" si="244">IF(OR($E209="",I$1=""),"",IF(TRIM(LEFT($E209,MIN(IFERROR(FIND("CDU",UPPER($E209)),999),IFERROR(FIND("BULK",UPPER($E209)),999),IFERROR(FIND("-",$E209),999),IFERROR(FIND("（",$E209),999))-1))=I$1,$F209,""))</f>
        <v/>
      </c>
      <c r="J209" s="268" t="str">
        <f t="shared" si="244"/>
        <v/>
      </c>
      <c r="K209" s="268" t="str">
        <f t="shared" si="244"/>
        <v/>
      </c>
      <c r="L209" s="268" t="str">
        <f t="shared" si="244"/>
        <v/>
      </c>
      <c r="M209" s="268" t="str">
        <f t="shared" si="244"/>
        <v/>
      </c>
      <c r="N209" s="268" t="str">
        <f t="shared" si="244"/>
        <v/>
      </c>
      <c r="O209" s="268" t="str">
        <f t="shared" si="244"/>
        <v/>
      </c>
      <c r="P209" s="268" t="str">
        <f t="shared" si="244"/>
        <v/>
      </c>
      <c r="Q209" s="268" t="str">
        <f t="shared" si="244"/>
        <v/>
      </c>
      <c r="R209" s="268" t="str">
        <f t="shared" si="244"/>
        <v/>
      </c>
      <c r="S209" s="268" t="str">
        <f t="shared" si="244"/>
        <v/>
      </c>
      <c r="T209" s="268" t="str">
        <f t="shared" si="244"/>
        <v/>
      </c>
      <c r="U209" s="268" t="str">
        <f t="shared" si="244"/>
        <v/>
      </c>
      <c r="V209" s="268" t="str">
        <f t="shared" si="244"/>
        <v/>
      </c>
      <c r="W209" s="268" t="str">
        <f t="shared" si="244"/>
        <v/>
      </c>
      <c r="X209" s="268" t="str">
        <f t="shared" si="244"/>
        <v/>
      </c>
      <c r="Y209" s="268" t="str">
        <f t="shared" si="244"/>
        <v/>
      </c>
      <c r="Z209" s="268" t="str">
        <f t="shared" si="244"/>
        <v/>
      </c>
      <c r="AA209" s="268" t="str">
        <f t="shared" si="244"/>
        <v/>
      </c>
      <c r="AB209" s="268" t="str">
        <f t="shared" si="244"/>
        <v/>
      </c>
      <c r="AC209" s="268" t="str">
        <f t="shared" si="244"/>
        <v/>
      </c>
      <c r="AD209" s="268" t="str">
        <f t="shared" si="244"/>
        <v/>
      </c>
      <c r="AE209" s="268" t="str">
        <f t="shared" si="244"/>
        <v/>
      </c>
      <c r="AF209" s="268" t="str">
        <f t="shared" si="244"/>
        <v/>
      </c>
      <c r="AG209" s="268" t="str">
        <f t="shared" si="244"/>
        <v/>
      </c>
      <c r="AH209" s="268" t="str">
        <f t="shared" si="244"/>
        <v/>
      </c>
      <c r="AI209" s="268" t="str">
        <f t="shared" si="244"/>
        <v/>
      </c>
      <c r="AJ209" s="268" t="str">
        <f t="shared" si="244"/>
        <v/>
      </c>
      <c r="AK209" s="268" t="str">
        <f t="shared" si="244"/>
        <v/>
      </c>
      <c r="AL209" s="268" t="str">
        <f t="shared" si="244"/>
        <v/>
      </c>
      <c r="AM209" s="268" t="str">
        <f t="shared" si="244"/>
        <v/>
      </c>
      <c r="AN209" s="268" t="str">
        <f t="shared" si="244"/>
        <v/>
      </c>
      <c r="AO209" s="268" t="str">
        <f t="shared" si="244"/>
        <v/>
      </c>
      <c r="AP209" s="268" t="str">
        <f t="shared" si="244"/>
        <v/>
      </c>
      <c r="AQ209" s="268" t="str">
        <f t="shared" si="244"/>
        <v/>
      </c>
      <c r="AR209" s="268" t="str">
        <f t="shared" si="244"/>
        <v/>
      </c>
      <c r="AS209" s="268" t="str">
        <f t="shared" si="244"/>
        <v/>
      </c>
      <c r="AT209" s="268" t="str">
        <f t="shared" si="244"/>
        <v/>
      </c>
      <c r="AU209" s="268" t="str">
        <f t="shared" si="244"/>
        <v/>
      </c>
      <c r="AV209" s="268" t="str">
        <f t="shared" si="244"/>
        <v/>
      </c>
      <c r="AW209" s="268" t="str">
        <f t="shared" si="244"/>
        <v/>
      </c>
      <c r="AX209" s="268" t="str">
        <f t="shared" si="244"/>
        <v/>
      </c>
      <c r="AY209" s="268" t="str">
        <f t="shared" si="244"/>
        <v/>
      </c>
      <c r="AZ209" s="268" t="str">
        <f t="shared" si="244"/>
        <v/>
      </c>
      <c r="BA209" s="268" t="str">
        <f t="shared" si="244"/>
        <v/>
      </c>
      <c r="BB209" s="268" t="str">
        <f t="shared" si="244"/>
        <v/>
      </c>
      <c r="BC209" s="268" t="str">
        <f t="shared" si="244"/>
        <v/>
      </c>
      <c r="BD209" s="268" t="str">
        <f t="shared" si="244"/>
        <v/>
      </c>
      <c r="BE209" s="268" t="str">
        <f t="shared" si="244"/>
        <v/>
      </c>
      <c r="BF209" s="268" t="str">
        <f t="shared" si="244"/>
        <v/>
      </c>
      <c r="BG209" s="268" t="str">
        <f t="shared" si="244"/>
        <v/>
      </c>
      <c r="BH209" s="268">
        <f t="shared" si="244"/>
        <v>12000</v>
      </c>
      <c r="BI209" s="268" t="str">
        <f t="shared" si="244"/>
        <v/>
      </c>
      <c r="BJ209" s="268" t="str">
        <f t="shared" si="244"/>
        <v/>
      </c>
      <c r="BK209" s="268" t="str">
        <f t="shared" si="244"/>
        <v/>
      </c>
      <c r="BL209" s="268" t="str">
        <f t="shared" si="244"/>
        <v/>
      </c>
      <c r="BM209" s="268" t="str">
        <f t="shared" si="244"/>
        <v/>
      </c>
      <c r="BN209" s="268" t="str">
        <f t="shared" si="244"/>
        <v/>
      </c>
      <c r="BO209" s="268" t="str">
        <f t="shared" si="244"/>
        <v/>
      </c>
      <c r="BP209" s="268" t="str">
        <f t="shared" si="244"/>
        <v/>
      </c>
      <c r="BQ209" s="268" t="str">
        <f t="shared" si="244"/>
        <v/>
      </c>
      <c r="BR209" s="268" t="str">
        <f t="shared" si="244"/>
        <v/>
      </c>
      <c r="BS209" s="268" t="str">
        <f t="shared" si="244"/>
        <v/>
      </c>
      <c r="BT209" s="268" t="str">
        <f t="shared" si="244"/>
        <v/>
      </c>
      <c r="BU209" s="268" t="str">
        <f t="shared" si="222"/>
        <v/>
      </c>
      <c r="BV209" s="247">
        <v>2.76</v>
      </c>
      <c r="BW209" s="729">
        <f t="shared" si="241"/>
        <v>33120</v>
      </c>
      <c r="BX209" s="730">
        <f t="shared" si="242"/>
        <v>256680</v>
      </c>
      <c r="BY209" s="731" t="str">
        <f t="shared" si="243"/>
        <v>JC</v>
      </c>
    </row>
    <row r="210" s="698" customFormat="1" customHeight="1" spans="1:77">
      <c r="A210" s="208">
        <v>46043</v>
      </c>
      <c r="B210" s="208">
        <v>46125</v>
      </c>
      <c r="C210" s="211"/>
      <c r="D210" s="211" t="s">
        <v>465</v>
      </c>
      <c r="E210" s="211" t="s">
        <v>43</v>
      </c>
      <c r="F210" s="732">
        <v>24000</v>
      </c>
      <c r="G210" s="211" t="s">
        <v>334</v>
      </c>
      <c r="H210" s="211" t="str">
        <f>IFERROR(VLOOKUP(E210,名称!A:E,4,0),"")</f>
        <v>二代</v>
      </c>
      <c r="I210" s="268" t="str">
        <f t="shared" ref="I210:BT210" si="245">IF(OR($E210="",I$1=""),"",IF(TRIM(LEFT($E210,MIN(IFERROR(FIND("CDU",UPPER($E210)),999),IFERROR(FIND("BULK",UPPER($E210)),999),IFERROR(FIND("-",$E210),999),IFERROR(FIND("（",$E210),999))-1))=I$1,$F210,""))</f>
        <v/>
      </c>
      <c r="J210" s="268" t="str">
        <f t="shared" si="245"/>
        <v/>
      </c>
      <c r="K210" s="268" t="str">
        <f t="shared" si="245"/>
        <v/>
      </c>
      <c r="L210" s="268" t="str">
        <f t="shared" si="245"/>
        <v/>
      </c>
      <c r="M210" s="268" t="str">
        <f t="shared" si="245"/>
        <v/>
      </c>
      <c r="N210" s="268">
        <f t="shared" si="245"/>
        <v>24000</v>
      </c>
      <c r="O210" s="268" t="str">
        <f t="shared" si="245"/>
        <v/>
      </c>
      <c r="P210" s="268" t="str">
        <f t="shared" si="245"/>
        <v/>
      </c>
      <c r="Q210" s="268" t="str">
        <f t="shared" si="245"/>
        <v/>
      </c>
      <c r="R210" s="268" t="str">
        <f t="shared" si="245"/>
        <v/>
      </c>
      <c r="S210" s="268" t="str">
        <f t="shared" si="245"/>
        <v/>
      </c>
      <c r="T210" s="268" t="str">
        <f t="shared" si="245"/>
        <v/>
      </c>
      <c r="U210" s="268" t="str">
        <f t="shared" si="245"/>
        <v/>
      </c>
      <c r="V210" s="268" t="str">
        <f t="shared" si="245"/>
        <v/>
      </c>
      <c r="W210" s="268" t="str">
        <f t="shared" si="245"/>
        <v/>
      </c>
      <c r="X210" s="268" t="str">
        <f t="shared" si="245"/>
        <v/>
      </c>
      <c r="Y210" s="268" t="str">
        <f t="shared" si="245"/>
        <v/>
      </c>
      <c r="Z210" s="268" t="str">
        <f t="shared" si="245"/>
        <v/>
      </c>
      <c r="AA210" s="268" t="str">
        <f t="shared" si="245"/>
        <v/>
      </c>
      <c r="AB210" s="268" t="str">
        <f t="shared" si="245"/>
        <v/>
      </c>
      <c r="AC210" s="268" t="str">
        <f t="shared" si="245"/>
        <v/>
      </c>
      <c r="AD210" s="268" t="str">
        <f t="shared" si="245"/>
        <v/>
      </c>
      <c r="AE210" s="268" t="str">
        <f t="shared" si="245"/>
        <v/>
      </c>
      <c r="AF210" s="268" t="str">
        <f t="shared" si="245"/>
        <v/>
      </c>
      <c r="AG210" s="268" t="str">
        <f t="shared" si="245"/>
        <v/>
      </c>
      <c r="AH210" s="268" t="str">
        <f t="shared" si="245"/>
        <v/>
      </c>
      <c r="AI210" s="268" t="str">
        <f t="shared" si="245"/>
        <v/>
      </c>
      <c r="AJ210" s="268" t="str">
        <f t="shared" si="245"/>
        <v/>
      </c>
      <c r="AK210" s="268" t="str">
        <f t="shared" si="245"/>
        <v/>
      </c>
      <c r="AL210" s="268" t="str">
        <f t="shared" si="245"/>
        <v/>
      </c>
      <c r="AM210" s="268" t="str">
        <f t="shared" si="245"/>
        <v/>
      </c>
      <c r="AN210" s="268" t="str">
        <f t="shared" si="245"/>
        <v/>
      </c>
      <c r="AO210" s="268" t="str">
        <f t="shared" si="245"/>
        <v/>
      </c>
      <c r="AP210" s="268" t="str">
        <f t="shared" si="245"/>
        <v/>
      </c>
      <c r="AQ210" s="268" t="str">
        <f t="shared" si="245"/>
        <v/>
      </c>
      <c r="AR210" s="268" t="str">
        <f t="shared" si="245"/>
        <v/>
      </c>
      <c r="AS210" s="268" t="str">
        <f t="shared" si="245"/>
        <v/>
      </c>
      <c r="AT210" s="268" t="str">
        <f t="shared" si="245"/>
        <v/>
      </c>
      <c r="AU210" s="268" t="str">
        <f t="shared" si="245"/>
        <v/>
      </c>
      <c r="AV210" s="268" t="str">
        <f t="shared" si="245"/>
        <v/>
      </c>
      <c r="AW210" s="268" t="str">
        <f t="shared" si="245"/>
        <v/>
      </c>
      <c r="AX210" s="268" t="str">
        <f t="shared" si="245"/>
        <v/>
      </c>
      <c r="AY210" s="268" t="str">
        <f t="shared" si="245"/>
        <v/>
      </c>
      <c r="AZ210" s="268" t="str">
        <f t="shared" si="245"/>
        <v/>
      </c>
      <c r="BA210" s="268" t="str">
        <f t="shared" si="245"/>
        <v/>
      </c>
      <c r="BB210" s="268" t="str">
        <f t="shared" si="245"/>
        <v/>
      </c>
      <c r="BC210" s="268" t="str">
        <f t="shared" si="245"/>
        <v/>
      </c>
      <c r="BD210" s="268" t="str">
        <f t="shared" si="245"/>
        <v/>
      </c>
      <c r="BE210" s="268" t="str">
        <f t="shared" si="245"/>
        <v/>
      </c>
      <c r="BF210" s="268" t="str">
        <f t="shared" si="245"/>
        <v/>
      </c>
      <c r="BG210" s="268" t="str">
        <f t="shared" si="245"/>
        <v/>
      </c>
      <c r="BH210" s="268" t="str">
        <f t="shared" si="245"/>
        <v/>
      </c>
      <c r="BI210" s="268" t="str">
        <f t="shared" si="245"/>
        <v/>
      </c>
      <c r="BJ210" s="268" t="str">
        <f t="shared" si="245"/>
        <v/>
      </c>
      <c r="BK210" s="268" t="str">
        <f t="shared" si="245"/>
        <v/>
      </c>
      <c r="BL210" s="268" t="str">
        <f t="shared" si="245"/>
        <v/>
      </c>
      <c r="BM210" s="268" t="str">
        <f t="shared" si="245"/>
        <v/>
      </c>
      <c r="BN210" s="268" t="str">
        <f t="shared" si="245"/>
        <v/>
      </c>
      <c r="BO210" s="268" t="str">
        <f t="shared" si="245"/>
        <v/>
      </c>
      <c r="BP210" s="268" t="str">
        <f t="shared" si="245"/>
        <v/>
      </c>
      <c r="BQ210" s="268" t="str">
        <f t="shared" si="245"/>
        <v/>
      </c>
      <c r="BR210" s="268" t="str">
        <f t="shared" si="245"/>
        <v/>
      </c>
      <c r="BS210" s="268" t="str">
        <f t="shared" si="245"/>
        <v/>
      </c>
      <c r="BT210" s="268" t="str">
        <f t="shared" si="245"/>
        <v/>
      </c>
      <c r="BU210" s="268" t="str">
        <f t="shared" si="222"/>
        <v/>
      </c>
      <c r="BV210" s="247">
        <v>0.61</v>
      </c>
      <c r="BW210" s="729">
        <f t="shared" si="241"/>
        <v>14640</v>
      </c>
      <c r="BX210" s="730">
        <f t="shared" si="242"/>
        <v>113460</v>
      </c>
      <c r="BY210" s="731" t="str">
        <f t="shared" si="243"/>
        <v>SR</v>
      </c>
    </row>
    <row r="211" s="698" customFormat="1" customHeight="1" spans="1:77">
      <c r="A211" s="208">
        <v>46043</v>
      </c>
      <c r="B211" s="208">
        <v>46125</v>
      </c>
      <c r="C211" s="211"/>
      <c r="D211" s="211" t="s">
        <v>465</v>
      </c>
      <c r="E211" s="211" t="s">
        <v>75</v>
      </c>
      <c r="F211" s="732">
        <v>6000</v>
      </c>
      <c r="G211" s="211" t="s">
        <v>334</v>
      </c>
      <c r="H211" s="211" t="str">
        <f>IFERROR(VLOOKUP(E211,名称!A:E,4,0),"")</f>
        <v>二代</v>
      </c>
      <c r="I211" s="268" t="str">
        <f t="shared" ref="I211:BT211" si="246">IF(OR($E211="",I$1=""),"",IF(TRIM(LEFT($E211,MIN(IFERROR(FIND("CDU",UPPER($E211)),999),IFERROR(FIND("BULK",UPPER($E211)),999),IFERROR(FIND("-",$E211),999),IFERROR(FIND("（",$E211),999))-1))=I$1,$F211,""))</f>
        <v/>
      </c>
      <c r="J211" s="268" t="str">
        <f t="shared" si="246"/>
        <v/>
      </c>
      <c r="K211" s="268" t="str">
        <f t="shared" si="246"/>
        <v/>
      </c>
      <c r="L211" s="268" t="str">
        <f t="shared" si="246"/>
        <v/>
      </c>
      <c r="M211" s="268" t="str">
        <f t="shared" si="246"/>
        <v/>
      </c>
      <c r="N211" s="268" t="str">
        <f t="shared" si="246"/>
        <v/>
      </c>
      <c r="O211" s="268" t="str">
        <f t="shared" si="246"/>
        <v/>
      </c>
      <c r="P211" s="268" t="str">
        <f t="shared" si="246"/>
        <v/>
      </c>
      <c r="Q211" s="268" t="str">
        <f t="shared" si="246"/>
        <v/>
      </c>
      <c r="R211" s="268" t="str">
        <f t="shared" si="246"/>
        <v/>
      </c>
      <c r="S211" s="268" t="str">
        <f t="shared" si="246"/>
        <v/>
      </c>
      <c r="T211" s="268" t="str">
        <f t="shared" si="246"/>
        <v/>
      </c>
      <c r="U211" s="268" t="str">
        <f t="shared" si="246"/>
        <v/>
      </c>
      <c r="V211" s="268" t="str">
        <f t="shared" si="246"/>
        <v/>
      </c>
      <c r="W211" s="268" t="str">
        <f t="shared" si="246"/>
        <v/>
      </c>
      <c r="X211" s="268">
        <f t="shared" si="246"/>
        <v>6000</v>
      </c>
      <c r="Y211" s="268" t="str">
        <f t="shared" si="246"/>
        <v/>
      </c>
      <c r="Z211" s="268" t="str">
        <f t="shared" si="246"/>
        <v/>
      </c>
      <c r="AA211" s="268" t="str">
        <f t="shared" si="246"/>
        <v/>
      </c>
      <c r="AB211" s="268" t="str">
        <f t="shared" si="246"/>
        <v/>
      </c>
      <c r="AC211" s="268" t="str">
        <f t="shared" si="246"/>
        <v/>
      </c>
      <c r="AD211" s="268" t="str">
        <f t="shared" si="246"/>
        <v/>
      </c>
      <c r="AE211" s="268" t="str">
        <f t="shared" si="246"/>
        <v/>
      </c>
      <c r="AF211" s="268" t="str">
        <f t="shared" si="246"/>
        <v/>
      </c>
      <c r="AG211" s="268" t="str">
        <f t="shared" si="246"/>
        <v/>
      </c>
      <c r="AH211" s="268" t="str">
        <f t="shared" si="246"/>
        <v/>
      </c>
      <c r="AI211" s="268" t="str">
        <f t="shared" si="246"/>
        <v/>
      </c>
      <c r="AJ211" s="268" t="str">
        <f t="shared" si="246"/>
        <v/>
      </c>
      <c r="AK211" s="268" t="str">
        <f t="shared" si="246"/>
        <v/>
      </c>
      <c r="AL211" s="268" t="str">
        <f t="shared" si="246"/>
        <v/>
      </c>
      <c r="AM211" s="268" t="str">
        <f t="shared" si="246"/>
        <v/>
      </c>
      <c r="AN211" s="268" t="str">
        <f t="shared" si="246"/>
        <v/>
      </c>
      <c r="AO211" s="268" t="str">
        <f t="shared" si="246"/>
        <v/>
      </c>
      <c r="AP211" s="268" t="str">
        <f t="shared" si="246"/>
        <v/>
      </c>
      <c r="AQ211" s="268" t="str">
        <f t="shared" si="246"/>
        <v/>
      </c>
      <c r="AR211" s="268" t="str">
        <f t="shared" si="246"/>
        <v/>
      </c>
      <c r="AS211" s="268" t="str">
        <f t="shared" si="246"/>
        <v/>
      </c>
      <c r="AT211" s="268" t="str">
        <f t="shared" si="246"/>
        <v/>
      </c>
      <c r="AU211" s="268" t="str">
        <f t="shared" si="246"/>
        <v/>
      </c>
      <c r="AV211" s="268" t="str">
        <f t="shared" si="246"/>
        <v/>
      </c>
      <c r="AW211" s="268" t="str">
        <f t="shared" si="246"/>
        <v/>
      </c>
      <c r="AX211" s="268" t="str">
        <f t="shared" si="246"/>
        <v/>
      </c>
      <c r="AY211" s="268" t="str">
        <f t="shared" si="246"/>
        <v/>
      </c>
      <c r="AZ211" s="268" t="str">
        <f t="shared" si="246"/>
        <v/>
      </c>
      <c r="BA211" s="268" t="str">
        <f t="shared" si="246"/>
        <v/>
      </c>
      <c r="BB211" s="268" t="str">
        <f t="shared" si="246"/>
        <v/>
      </c>
      <c r="BC211" s="268" t="str">
        <f t="shared" si="246"/>
        <v/>
      </c>
      <c r="BD211" s="268" t="str">
        <f t="shared" si="246"/>
        <v/>
      </c>
      <c r="BE211" s="268" t="str">
        <f t="shared" si="246"/>
        <v/>
      </c>
      <c r="BF211" s="268" t="str">
        <f t="shared" si="246"/>
        <v/>
      </c>
      <c r="BG211" s="268" t="str">
        <f t="shared" si="246"/>
        <v/>
      </c>
      <c r="BH211" s="268" t="str">
        <f t="shared" si="246"/>
        <v/>
      </c>
      <c r="BI211" s="268" t="str">
        <f t="shared" si="246"/>
        <v/>
      </c>
      <c r="BJ211" s="268" t="str">
        <f t="shared" si="246"/>
        <v/>
      </c>
      <c r="BK211" s="268" t="str">
        <f t="shared" si="246"/>
        <v/>
      </c>
      <c r="BL211" s="268" t="str">
        <f t="shared" si="246"/>
        <v/>
      </c>
      <c r="BM211" s="268" t="str">
        <f t="shared" si="246"/>
        <v/>
      </c>
      <c r="BN211" s="268" t="str">
        <f t="shared" si="246"/>
        <v/>
      </c>
      <c r="BO211" s="268" t="str">
        <f t="shared" si="246"/>
        <v/>
      </c>
      <c r="BP211" s="268" t="str">
        <f t="shared" si="246"/>
        <v/>
      </c>
      <c r="BQ211" s="268" t="str">
        <f t="shared" si="246"/>
        <v/>
      </c>
      <c r="BR211" s="268" t="str">
        <f t="shared" si="246"/>
        <v/>
      </c>
      <c r="BS211" s="268" t="str">
        <f t="shared" si="246"/>
        <v/>
      </c>
      <c r="BT211" s="268" t="str">
        <f t="shared" si="246"/>
        <v/>
      </c>
      <c r="BU211" s="268" t="str">
        <f t="shared" si="222"/>
        <v/>
      </c>
      <c r="BV211" s="247">
        <v>1.56</v>
      </c>
      <c r="BW211" s="729">
        <f t="shared" si="241"/>
        <v>9360</v>
      </c>
      <c r="BX211" s="730">
        <f t="shared" si="242"/>
        <v>72540</v>
      </c>
      <c r="BY211" s="731" t="str">
        <f t="shared" si="243"/>
        <v>SR</v>
      </c>
    </row>
    <row r="212" s="698" customFormat="1" customHeight="1" spans="1:77">
      <c r="A212" s="208">
        <v>46043</v>
      </c>
      <c r="B212" s="208">
        <v>46125</v>
      </c>
      <c r="C212" s="211"/>
      <c r="D212" s="211" t="s">
        <v>465</v>
      </c>
      <c r="E212" s="211" t="s">
        <v>68</v>
      </c>
      <c r="F212" s="732">
        <v>5000</v>
      </c>
      <c r="G212" s="211" t="s">
        <v>334</v>
      </c>
      <c r="H212" s="211" t="str">
        <f>IFERROR(VLOOKUP(E212,名称!A:E,4,0),"")</f>
        <v>三代</v>
      </c>
      <c r="I212" s="268" t="str">
        <f t="shared" ref="I212:BT212" si="247">IF(OR($E212="",I$1=""),"",IF(TRIM(LEFT($E212,MIN(IFERROR(FIND("CDU",UPPER($E212)),999),IFERROR(FIND("BULK",UPPER($E212)),999),IFERROR(FIND("-",$E212),999),IFERROR(FIND("（",$E212),999))-1))=I$1,$F212,""))</f>
        <v/>
      </c>
      <c r="J212" s="268" t="str">
        <f t="shared" si="247"/>
        <v/>
      </c>
      <c r="K212" s="268" t="str">
        <f t="shared" si="247"/>
        <v/>
      </c>
      <c r="L212" s="268" t="str">
        <f t="shared" si="247"/>
        <v/>
      </c>
      <c r="M212" s="268" t="str">
        <f t="shared" si="247"/>
        <v/>
      </c>
      <c r="N212" s="268" t="str">
        <f t="shared" si="247"/>
        <v/>
      </c>
      <c r="O212" s="268" t="str">
        <f t="shared" si="247"/>
        <v/>
      </c>
      <c r="P212" s="268" t="str">
        <f t="shared" si="247"/>
        <v/>
      </c>
      <c r="Q212" s="268" t="str">
        <f t="shared" si="247"/>
        <v/>
      </c>
      <c r="R212" s="268" t="str">
        <f t="shared" si="247"/>
        <v/>
      </c>
      <c r="S212" s="268" t="str">
        <f t="shared" si="247"/>
        <v/>
      </c>
      <c r="T212" s="268" t="str">
        <f t="shared" si="247"/>
        <v/>
      </c>
      <c r="U212" s="268" t="str">
        <f t="shared" si="247"/>
        <v/>
      </c>
      <c r="V212" s="268" t="str">
        <f t="shared" si="247"/>
        <v/>
      </c>
      <c r="W212" s="268" t="str">
        <f t="shared" si="247"/>
        <v/>
      </c>
      <c r="X212" s="268" t="str">
        <f t="shared" si="247"/>
        <v/>
      </c>
      <c r="Y212" s="268" t="str">
        <f t="shared" si="247"/>
        <v/>
      </c>
      <c r="Z212" s="268" t="str">
        <f t="shared" si="247"/>
        <v/>
      </c>
      <c r="AA212" s="268" t="str">
        <f t="shared" si="247"/>
        <v/>
      </c>
      <c r="AB212" s="268" t="str">
        <f t="shared" si="247"/>
        <v/>
      </c>
      <c r="AC212" s="268" t="str">
        <f t="shared" si="247"/>
        <v/>
      </c>
      <c r="AD212" s="268" t="str">
        <f t="shared" si="247"/>
        <v/>
      </c>
      <c r="AE212" s="268" t="str">
        <f t="shared" si="247"/>
        <v/>
      </c>
      <c r="AF212" s="268" t="str">
        <f t="shared" si="247"/>
        <v/>
      </c>
      <c r="AG212" s="268" t="str">
        <f t="shared" si="247"/>
        <v/>
      </c>
      <c r="AH212" s="268">
        <f t="shared" si="247"/>
        <v>5000</v>
      </c>
      <c r="AI212" s="268" t="str">
        <f t="shared" si="247"/>
        <v/>
      </c>
      <c r="AJ212" s="268" t="str">
        <f t="shared" si="247"/>
        <v/>
      </c>
      <c r="AK212" s="268" t="str">
        <f t="shared" si="247"/>
        <v/>
      </c>
      <c r="AL212" s="268" t="str">
        <f t="shared" si="247"/>
        <v/>
      </c>
      <c r="AM212" s="268" t="str">
        <f t="shared" si="247"/>
        <v/>
      </c>
      <c r="AN212" s="268" t="str">
        <f t="shared" si="247"/>
        <v/>
      </c>
      <c r="AO212" s="268" t="str">
        <f t="shared" si="247"/>
        <v/>
      </c>
      <c r="AP212" s="268" t="str">
        <f t="shared" si="247"/>
        <v/>
      </c>
      <c r="AQ212" s="268" t="str">
        <f t="shared" si="247"/>
        <v/>
      </c>
      <c r="AR212" s="268" t="str">
        <f t="shared" si="247"/>
        <v/>
      </c>
      <c r="AS212" s="268" t="str">
        <f t="shared" si="247"/>
        <v/>
      </c>
      <c r="AT212" s="268" t="str">
        <f t="shared" si="247"/>
        <v/>
      </c>
      <c r="AU212" s="268" t="str">
        <f t="shared" si="247"/>
        <v/>
      </c>
      <c r="AV212" s="268" t="str">
        <f t="shared" si="247"/>
        <v/>
      </c>
      <c r="AW212" s="268" t="str">
        <f t="shared" si="247"/>
        <v/>
      </c>
      <c r="AX212" s="268" t="str">
        <f t="shared" si="247"/>
        <v/>
      </c>
      <c r="AY212" s="268" t="str">
        <f t="shared" si="247"/>
        <v/>
      </c>
      <c r="AZ212" s="268" t="str">
        <f t="shared" si="247"/>
        <v/>
      </c>
      <c r="BA212" s="268" t="str">
        <f t="shared" si="247"/>
        <v/>
      </c>
      <c r="BB212" s="268" t="str">
        <f t="shared" si="247"/>
        <v/>
      </c>
      <c r="BC212" s="268" t="str">
        <f t="shared" si="247"/>
        <v/>
      </c>
      <c r="BD212" s="268" t="str">
        <f t="shared" si="247"/>
        <v/>
      </c>
      <c r="BE212" s="268" t="str">
        <f t="shared" si="247"/>
        <v/>
      </c>
      <c r="BF212" s="268" t="str">
        <f t="shared" si="247"/>
        <v/>
      </c>
      <c r="BG212" s="268" t="str">
        <f t="shared" si="247"/>
        <v/>
      </c>
      <c r="BH212" s="268" t="str">
        <f t="shared" si="247"/>
        <v/>
      </c>
      <c r="BI212" s="268" t="str">
        <f t="shared" si="247"/>
        <v/>
      </c>
      <c r="BJ212" s="268" t="str">
        <f t="shared" si="247"/>
        <v/>
      </c>
      <c r="BK212" s="268" t="str">
        <f t="shared" si="247"/>
        <v/>
      </c>
      <c r="BL212" s="268" t="str">
        <f t="shared" si="247"/>
        <v/>
      </c>
      <c r="BM212" s="268" t="str">
        <f t="shared" si="247"/>
        <v/>
      </c>
      <c r="BN212" s="268" t="str">
        <f t="shared" si="247"/>
        <v/>
      </c>
      <c r="BO212" s="268" t="str">
        <f t="shared" si="247"/>
        <v/>
      </c>
      <c r="BP212" s="268" t="str">
        <f t="shared" si="247"/>
        <v/>
      </c>
      <c r="BQ212" s="268" t="str">
        <f t="shared" si="247"/>
        <v/>
      </c>
      <c r="BR212" s="268" t="str">
        <f t="shared" si="247"/>
        <v/>
      </c>
      <c r="BS212" s="268" t="str">
        <f t="shared" si="247"/>
        <v/>
      </c>
      <c r="BT212" s="268" t="str">
        <f t="shared" si="247"/>
        <v/>
      </c>
      <c r="BU212" s="268" t="str">
        <f t="shared" si="222"/>
        <v/>
      </c>
      <c r="BV212" s="247">
        <v>3.23</v>
      </c>
      <c r="BW212" s="729">
        <f t="shared" si="241"/>
        <v>16150</v>
      </c>
      <c r="BX212" s="730">
        <f t="shared" si="242"/>
        <v>125162.5</v>
      </c>
      <c r="BY212" s="731" t="str">
        <f t="shared" si="243"/>
        <v>SR</v>
      </c>
    </row>
    <row r="213" s="698" customFormat="1" customHeight="1" spans="1:77">
      <c r="A213" s="208">
        <v>46043</v>
      </c>
      <c r="B213" s="208">
        <v>46140</v>
      </c>
      <c r="C213" s="211"/>
      <c r="D213" s="211" t="s">
        <v>466</v>
      </c>
      <c r="E213" s="211" t="s">
        <v>71</v>
      </c>
      <c r="F213" s="732">
        <v>2500</v>
      </c>
      <c r="G213" s="211" t="s">
        <v>334</v>
      </c>
      <c r="H213" s="211" t="str">
        <f>IFERROR(VLOOKUP(E213,名称!A:E,4,0),"")</f>
        <v>三代</v>
      </c>
      <c r="I213" s="268" t="str">
        <f t="shared" ref="I213:BT213" si="248">IF(OR($E213="",I$1=""),"",IF(TRIM(LEFT($E213,MIN(IFERROR(FIND("CDU",UPPER($E213)),999),IFERROR(FIND("BULK",UPPER($E213)),999),IFERROR(FIND("-",$E213),999),IFERROR(FIND("（",$E213),999))-1))=I$1,$F213,""))</f>
        <v/>
      </c>
      <c r="J213" s="268" t="str">
        <f t="shared" si="248"/>
        <v/>
      </c>
      <c r="K213" s="268" t="str">
        <f t="shared" si="248"/>
        <v/>
      </c>
      <c r="L213" s="268" t="str">
        <f t="shared" si="248"/>
        <v/>
      </c>
      <c r="M213" s="268" t="str">
        <f t="shared" si="248"/>
        <v/>
      </c>
      <c r="N213" s="268" t="str">
        <f t="shared" si="248"/>
        <v/>
      </c>
      <c r="O213" s="268" t="str">
        <f t="shared" si="248"/>
        <v/>
      </c>
      <c r="P213" s="268" t="str">
        <f t="shared" si="248"/>
        <v/>
      </c>
      <c r="Q213" s="268" t="str">
        <f t="shared" si="248"/>
        <v/>
      </c>
      <c r="R213" s="268" t="str">
        <f t="shared" si="248"/>
        <v/>
      </c>
      <c r="S213" s="268" t="str">
        <f t="shared" si="248"/>
        <v/>
      </c>
      <c r="T213" s="268" t="str">
        <f t="shared" si="248"/>
        <v/>
      </c>
      <c r="U213" s="268" t="str">
        <f t="shared" si="248"/>
        <v/>
      </c>
      <c r="V213" s="268" t="str">
        <f t="shared" si="248"/>
        <v/>
      </c>
      <c r="W213" s="268" t="str">
        <f t="shared" si="248"/>
        <v/>
      </c>
      <c r="X213" s="268" t="str">
        <f t="shared" si="248"/>
        <v/>
      </c>
      <c r="Y213" s="268" t="str">
        <f t="shared" si="248"/>
        <v/>
      </c>
      <c r="Z213" s="268" t="str">
        <f t="shared" si="248"/>
        <v/>
      </c>
      <c r="AA213" s="268" t="str">
        <f t="shared" si="248"/>
        <v/>
      </c>
      <c r="AB213" s="268" t="str">
        <f t="shared" si="248"/>
        <v/>
      </c>
      <c r="AC213" s="268" t="str">
        <f t="shared" si="248"/>
        <v/>
      </c>
      <c r="AD213" s="268" t="str">
        <f t="shared" si="248"/>
        <v/>
      </c>
      <c r="AE213" s="268" t="str">
        <f t="shared" si="248"/>
        <v/>
      </c>
      <c r="AF213" s="268" t="str">
        <f t="shared" si="248"/>
        <v/>
      </c>
      <c r="AG213" s="268" t="str">
        <f t="shared" si="248"/>
        <v/>
      </c>
      <c r="AH213" s="268" t="str">
        <f t="shared" si="248"/>
        <v/>
      </c>
      <c r="AI213" s="268" t="str">
        <f t="shared" si="248"/>
        <v/>
      </c>
      <c r="AJ213" s="268">
        <f t="shared" si="248"/>
        <v>2500</v>
      </c>
      <c r="AK213" s="268" t="str">
        <f t="shared" si="248"/>
        <v/>
      </c>
      <c r="AL213" s="268" t="str">
        <f t="shared" si="248"/>
        <v/>
      </c>
      <c r="AM213" s="268" t="str">
        <f t="shared" si="248"/>
        <v/>
      </c>
      <c r="AN213" s="268" t="str">
        <f t="shared" si="248"/>
        <v/>
      </c>
      <c r="AO213" s="268" t="str">
        <f t="shared" si="248"/>
        <v/>
      </c>
      <c r="AP213" s="268" t="str">
        <f t="shared" si="248"/>
        <v/>
      </c>
      <c r="AQ213" s="268" t="str">
        <f t="shared" si="248"/>
        <v/>
      </c>
      <c r="AR213" s="268" t="str">
        <f t="shared" si="248"/>
        <v/>
      </c>
      <c r="AS213" s="268" t="str">
        <f t="shared" si="248"/>
        <v/>
      </c>
      <c r="AT213" s="268" t="str">
        <f t="shared" si="248"/>
        <v/>
      </c>
      <c r="AU213" s="268" t="str">
        <f t="shared" si="248"/>
        <v/>
      </c>
      <c r="AV213" s="268" t="str">
        <f t="shared" si="248"/>
        <v/>
      </c>
      <c r="AW213" s="268" t="str">
        <f t="shared" si="248"/>
        <v/>
      </c>
      <c r="AX213" s="268" t="str">
        <f t="shared" si="248"/>
        <v/>
      </c>
      <c r="AY213" s="268" t="str">
        <f t="shared" si="248"/>
        <v/>
      </c>
      <c r="AZ213" s="268" t="str">
        <f t="shared" si="248"/>
        <v/>
      </c>
      <c r="BA213" s="268" t="str">
        <f t="shared" si="248"/>
        <v/>
      </c>
      <c r="BB213" s="268" t="str">
        <f t="shared" si="248"/>
        <v/>
      </c>
      <c r="BC213" s="268" t="str">
        <f t="shared" si="248"/>
        <v/>
      </c>
      <c r="BD213" s="268" t="str">
        <f t="shared" si="248"/>
        <v/>
      </c>
      <c r="BE213" s="268" t="str">
        <f t="shared" si="248"/>
        <v/>
      </c>
      <c r="BF213" s="268" t="str">
        <f t="shared" si="248"/>
        <v/>
      </c>
      <c r="BG213" s="268" t="str">
        <f t="shared" si="248"/>
        <v/>
      </c>
      <c r="BH213" s="268" t="str">
        <f t="shared" si="248"/>
        <v/>
      </c>
      <c r="BI213" s="268" t="str">
        <f t="shared" si="248"/>
        <v/>
      </c>
      <c r="BJ213" s="268" t="str">
        <f t="shared" si="248"/>
        <v/>
      </c>
      <c r="BK213" s="268" t="str">
        <f t="shared" si="248"/>
        <v/>
      </c>
      <c r="BL213" s="268" t="str">
        <f t="shared" si="248"/>
        <v/>
      </c>
      <c r="BM213" s="268" t="str">
        <f t="shared" si="248"/>
        <v/>
      </c>
      <c r="BN213" s="268" t="str">
        <f t="shared" si="248"/>
        <v/>
      </c>
      <c r="BO213" s="268" t="str">
        <f t="shared" si="248"/>
        <v/>
      </c>
      <c r="BP213" s="268" t="str">
        <f t="shared" si="248"/>
        <v/>
      </c>
      <c r="BQ213" s="268" t="str">
        <f t="shared" si="248"/>
        <v/>
      </c>
      <c r="BR213" s="268" t="str">
        <f t="shared" si="248"/>
        <v/>
      </c>
      <c r="BS213" s="268" t="str">
        <f t="shared" si="248"/>
        <v/>
      </c>
      <c r="BT213" s="268" t="str">
        <f t="shared" si="248"/>
        <v/>
      </c>
      <c r="BU213" s="268" t="str">
        <f t="shared" si="222"/>
        <v/>
      </c>
      <c r="BV213" s="215">
        <v>7.34</v>
      </c>
      <c r="BW213" s="729">
        <f t="shared" si="241"/>
        <v>18350</v>
      </c>
      <c r="BX213" s="730">
        <f t="shared" si="242"/>
        <v>142212.5</v>
      </c>
      <c r="BY213" s="731" t="str">
        <f t="shared" si="243"/>
        <v>SR</v>
      </c>
    </row>
    <row r="214" s="698" customFormat="1" customHeight="1" spans="1:77">
      <c r="A214" s="208">
        <v>46043</v>
      </c>
      <c r="B214" s="208">
        <v>46140</v>
      </c>
      <c r="C214" s="211"/>
      <c r="D214" s="211" t="s">
        <v>466</v>
      </c>
      <c r="E214" s="211" t="s">
        <v>71</v>
      </c>
      <c r="F214" s="732">
        <v>2500</v>
      </c>
      <c r="G214" s="211" t="s">
        <v>334</v>
      </c>
      <c r="H214" s="211" t="str">
        <f>IFERROR(VLOOKUP(E214,名称!A:E,4,0),"")</f>
        <v>三代</v>
      </c>
      <c r="I214" s="268" t="str">
        <f t="shared" ref="I214:BT214" si="249">IF(OR($E214="",I$1=""),"",IF(TRIM(LEFT($E214,MIN(IFERROR(FIND("CDU",UPPER($E214)),999),IFERROR(FIND("BULK",UPPER($E214)),999),IFERROR(FIND("-",$E214),999),IFERROR(FIND("（",$E214),999))-1))=I$1,$F214,""))</f>
        <v/>
      </c>
      <c r="J214" s="268" t="str">
        <f t="shared" si="249"/>
        <v/>
      </c>
      <c r="K214" s="268" t="str">
        <f t="shared" si="249"/>
        <v/>
      </c>
      <c r="L214" s="268" t="str">
        <f t="shared" si="249"/>
        <v/>
      </c>
      <c r="M214" s="268" t="str">
        <f t="shared" si="249"/>
        <v/>
      </c>
      <c r="N214" s="268" t="str">
        <f t="shared" si="249"/>
        <v/>
      </c>
      <c r="O214" s="268" t="str">
        <f t="shared" si="249"/>
        <v/>
      </c>
      <c r="P214" s="268" t="str">
        <f t="shared" si="249"/>
        <v/>
      </c>
      <c r="Q214" s="268" t="str">
        <f t="shared" si="249"/>
        <v/>
      </c>
      <c r="R214" s="268" t="str">
        <f t="shared" si="249"/>
        <v/>
      </c>
      <c r="S214" s="268" t="str">
        <f t="shared" si="249"/>
        <v/>
      </c>
      <c r="T214" s="268" t="str">
        <f t="shared" si="249"/>
        <v/>
      </c>
      <c r="U214" s="268" t="str">
        <f t="shared" si="249"/>
        <v/>
      </c>
      <c r="V214" s="268" t="str">
        <f t="shared" si="249"/>
        <v/>
      </c>
      <c r="W214" s="268" t="str">
        <f t="shared" si="249"/>
        <v/>
      </c>
      <c r="X214" s="268" t="str">
        <f t="shared" si="249"/>
        <v/>
      </c>
      <c r="Y214" s="268" t="str">
        <f t="shared" si="249"/>
        <v/>
      </c>
      <c r="Z214" s="268" t="str">
        <f t="shared" si="249"/>
        <v/>
      </c>
      <c r="AA214" s="268" t="str">
        <f t="shared" si="249"/>
        <v/>
      </c>
      <c r="AB214" s="268" t="str">
        <f t="shared" si="249"/>
        <v/>
      </c>
      <c r="AC214" s="268" t="str">
        <f t="shared" si="249"/>
        <v/>
      </c>
      <c r="AD214" s="268" t="str">
        <f t="shared" si="249"/>
        <v/>
      </c>
      <c r="AE214" s="268" t="str">
        <f t="shared" si="249"/>
        <v/>
      </c>
      <c r="AF214" s="268" t="str">
        <f t="shared" si="249"/>
        <v/>
      </c>
      <c r="AG214" s="268" t="str">
        <f t="shared" si="249"/>
        <v/>
      </c>
      <c r="AH214" s="268" t="str">
        <f t="shared" si="249"/>
        <v/>
      </c>
      <c r="AI214" s="268" t="str">
        <f t="shared" si="249"/>
        <v/>
      </c>
      <c r="AJ214" s="268">
        <f t="shared" si="249"/>
        <v>2500</v>
      </c>
      <c r="AK214" s="268" t="str">
        <f t="shared" si="249"/>
        <v/>
      </c>
      <c r="AL214" s="268" t="str">
        <f t="shared" si="249"/>
        <v/>
      </c>
      <c r="AM214" s="268" t="str">
        <f t="shared" si="249"/>
        <v/>
      </c>
      <c r="AN214" s="268" t="str">
        <f t="shared" si="249"/>
        <v/>
      </c>
      <c r="AO214" s="268" t="str">
        <f t="shared" si="249"/>
        <v/>
      </c>
      <c r="AP214" s="268" t="str">
        <f t="shared" si="249"/>
        <v/>
      </c>
      <c r="AQ214" s="268" t="str">
        <f t="shared" si="249"/>
        <v/>
      </c>
      <c r="AR214" s="268" t="str">
        <f t="shared" si="249"/>
        <v/>
      </c>
      <c r="AS214" s="268" t="str">
        <f t="shared" si="249"/>
        <v/>
      </c>
      <c r="AT214" s="268" t="str">
        <f t="shared" si="249"/>
        <v/>
      </c>
      <c r="AU214" s="268" t="str">
        <f t="shared" si="249"/>
        <v/>
      </c>
      <c r="AV214" s="268" t="str">
        <f t="shared" si="249"/>
        <v/>
      </c>
      <c r="AW214" s="268" t="str">
        <f t="shared" si="249"/>
        <v/>
      </c>
      <c r="AX214" s="268" t="str">
        <f t="shared" si="249"/>
        <v/>
      </c>
      <c r="AY214" s="268" t="str">
        <f t="shared" si="249"/>
        <v/>
      </c>
      <c r="AZ214" s="268" t="str">
        <f t="shared" si="249"/>
        <v/>
      </c>
      <c r="BA214" s="268" t="str">
        <f t="shared" si="249"/>
        <v/>
      </c>
      <c r="BB214" s="268" t="str">
        <f t="shared" si="249"/>
        <v/>
      </c>
      <c r="BC214" s="268" t="str">
        <f t="shared" si="249"/>
        <v/>
      </c>
      <c r="BD214" s="268" t="str">
        <f t="shared" si="249"/>
        <v/>
      </c>
      <c r="BE214" s="268" t="str">
        <f t="shared" si="249"/>
        <v/>
      </c>
      <c r="BF214" s="268" t="str">
        <f t="shared" si="249"/>
        <v/>
      </c>
      <c r="BG214" s="268" t="str">
        <f t="shared" si="249"/>
        <v/>
      </c>
      <c r="BH214" s="268" t="str">
        <f t="shared" si="249"/>
        <v/>
      </c>
      <c r="BI214" s="268" t="str">
        <f t="shared" si="249"/>
        <v/>
      </c>
      <c r="BJ214" s="268" t="str">
        <f t="shared" si="249"/>
        <v/>
      </c>
      <c r="BK214" s="268" t="str">
        <f t="shared" si="249"/>
        <v/>
      </c>
      <c r="BL214" s="268" t="str">
        <f t="shared" si="249"/>
        <v/>
      </c>
      <c r="BM214" s="268" t="str">
        <f t="shared" si="249"/>
        <v/>
      </c>
      <c r="BN214" s="268" t="str">
        <f t="shared" si="249"/>
        <v/>
      </c>
      <c r="BO214" s="268" t="str">
        <f t="shared" si="249"/>
        <v/>
      </c>
      <c r="BP214" s="268" t="str">
        <f t="shared" si="249"/>
        <v/>
      </c>
      <c r="BQ214" s="268" t="str">
        <f t="shared" si="249"/>
        <v/>
      </c>
      <c r="BR214" s="268" t="str">
        <f t="shared" si="249"/>
        <v/>
      </c>
      <c r="BS214" s="268" t="str">
        <f t="shared" si="249"/>
        <v/>
      </c>
      <c r="BT214" s="268" t="str">
        <f t="shared" si="249"/>
        <v/>
      </c>
      <c r="BU214" s="268" t="str">
        <f t="shared" si="222"/>
        <v/>
      </c>
      <c r="BV214" s="215">
        <v>7.34</v>
      </c>
      <c r="BW214" s="729">
        <f t="shared" si="241"/>
        <v>18350</v>
      </c>
      <c r="BX214" s="730">
        <f t="shared" si="242"/>
        <v>142212.5</v>
      </c>
      <c r="BY214" s="731" t="str">
        <f t="shared" si="243"/>
        <v>SR</v>
      </c>
    </row>
    <row r="215" s="698" customFormat="1" customHeight="1" spans="1:77">
      <c r="A215" s="208">
        <v>46049</v>
      </c>
      <c r="B215" s="208">
        <v>46139</v>
      </c>
      <c r="C215" s="793" t="s">
        <v>467</v>
      </c>
      <c r="D215" s="211" t="s">
        <v>468</v>
      </c>
      <c r="E215" s="211" t="s">
        <v>48</v>
      </c>
      <c r="F215" s="732">
        <v>1200</v>
      </c>
      <c r="G215" s="211" t="s">
        <v>253</v>
      </c>
      <c r="H215" s="211" t="str">
        <f>IFERROR(VLOOKUP(E215,名称!A:E,4,0),"")</f>
        <v>二代</v>
      </c>
      <c r="I215" s="268" t="str">
        <f t="shared" ref="I215:BT215" si="250">IF(OR($E215="",I$1=""),"",IF(TRIM(LEFT($E215,MIN(IFERROR(FIND("CDU",UPPER($E215)),999),IFERROR(FIND("BULK",UPPER($E215)),999),IFERROR(FIND("-",$E215),999),IFERROR(FIND("（",$E215),999))-1))=I$1,$F215,""))</f>
        <v/>
      </c>
      <c r="J215" s="268" t="str">
        <f t="shared" si="250"/>
        <v/>
      </c>
      <c r="K215" s="268" t="str">
        <f t="shared" si="250"/>
        <v/>
      </c>
      <c r="L215" s="268" t="str">
        <f t="shared" si="250"/>
        <v/>
      </c>
      <c r="M215" s="268" t="str">
        <f t="shared" si="250"/>
        <v/>
      </c>
      <c r="N215" s="268">
        <f t="shared" si="250"/>
        <v>1200</v>
      </c>
      <c r="O215" s="268" t="str">
        <f t="shared" si="250"/>
        <v/>
      </c>
      <c r="P215" s="268" t="str">
        <f t="shared" si="250"/>
        <v/>
      </c>
      <c r="Q215" s="268" t="str">
        <f t="shared" si="250"/>
        <v/>
      </c>
      <c r="R215" s="268" t="str">
        <f t="shared" si="250"/>
        <v/>
      </c>
      <c r="S215" s="268" t="str">
        <f t="shared" si="250"/>
        <v/>
      </c>
      <c r="T215" s="268" t="str">
        <f t="shared" si="250"/>
        <v/>
      </c>
      <c r="U215" s="268" t="str">
        <f t="shared" si="250"/>
        <v/>
      </c>
      <c r="V215" s="268" t="str">
        <f t="shared" si="250"/>
        <v/>
      </c>
      <c r="W215" s="268" t="str">
        <f t="shared" si="250"/>
        <v/>
      </c>
      <c r="X215" s="268" t="str">
        <f t="shared" si="250"/>
        <v/>
      </c>
      <c r="Y215" s="268" t="str">
        <f t="shared" si="250"/>
        <v/>
      </c>
      <c r="Z215" s="268" t="str">
        <f t="shared" si="250"/>
        <v/>
      </c>
      <c r="AA215" s="268" t="str">
        <f t="shared" si="250"/>
        <v/>
      </c>
      <c r="AB215" s="268" t="str">
        <f t="shared" si="250"/>
        <v/>
      </c>
      <c r="AC215" s="268" t="str">
        <f t="shared" si="250"/>
        <v/>
      </c>
      <c r="AD215" s="268" t="str">
        <f t="shared" si="250"/>
        <v/>
      </c>
      <c r="AE215" s="268" t="str">
        <f t="shared" si="250"/>
        <v/>
      </c>
      <c r="AF215" s="268" t="str">
        <f t="shared" si="250"/>
        <v/>
      </c>
      <c r="AG215" s="268" t="str">
        <f t="shared" si="250"/>
        <v/>
      </c>
      <c r="AH215" s="268" t="str">
        <f t="shared" si="250"/>
        <v/>
      </c>
      <c r="AI215" s="268" t="str">
        <f t="shared" si="250"/>
        <v/>
      </c>
      <c r="AJ215" s="268" t="str">
        <f t="shared" si="250"/>
        <v/>
      </c>
      <c r="AK215" s="268" t="str">
        <f t="shared" si="250"/>
        <v/>
      </c>
      <c r="AL215" s="268" t="str">
        <f t="shared" si="250"/>
        <v/>
      </c>
      <c r="AM215" s="268" t="str">
        <f t="shared" si="250"/>
        <v/>
      </c>
      <c r="AN215" s="268" t="str">
        <f t="shared" si="250"/>
        <v/>
      </c>
      <c r="AO215" s="268" t="str">
        <f t="shared" si="250"/>
        <v/>
      </c>
      <c r="AP215" s="268" t="str">
        <f t="shared" si="250"/>
        <v/>
      </c>
      <c r="AQ215" s="268" t="str">
        <f t="shared" si="250"/>
        <v/>
      </c>
      <c r="AR215" s="268" t="str">
        <f t="shared" si="250"/>
        <v/>
      </c>
      <c r="AS215" s="268" t="str">
        <f t="shared" si="250"/>
        <v/>
      </c>
      <c r="AT215" s="268" t="str">
        <f t="shared" si="250"/>
        <v/>
      </c>
      <c r="AU215" s="268" t="str">
        <f t="shared" si="250"/>
        <v/>
      </c>
      <c r="AV215" s="268" t="str">
        <f t="shared" si="250"/>
        <v/>
      </c>
      <c r="AW215" s="268" t="str">
        <f t="shared" si="250"/>
        <v/>
      </c>
      <c r="AX215" s="268" t="str">
        <f t="shared" si="250"/>
        <v/>
      </c>
      <c r="AY215" s="268" t="str">
        <f t="shared" si="250"/>
        <v/>
      </c>
      <c r="AZ215" s="268" t="str">
        <f t="shared" si="250"/>
        <v/>
      </c>
      <c r="BA215" s="268" t="str">
        <f t="shared" si="250"/>
        <v/>
      </c>
      <c r="BB215" s="268" t="str">
        <f t="shared" si="250"/>
        <v/>
      </c>
      <c r="BC215" s="268" t="str">
        <f t="shared" si="250"/>
        <v/>
      </c>
      <c r="BD215" s="268" t="str">
        <f t="shared" si="250"/>
        <v/>
      </c>
      <c r="BE215" s="268" t="str">
        <f t="shared" si="250"/>
        <v/>
      </c>
      <c r="BF215" s="268" t="str">
        <f t="shared" si="250"/>
        <v/>
      </c>
      <c r="BG215" s="268" t="str">
        <f t="shared" si="250"/>
        <v/>
      </c>
      <c r="BH215" s="268" t="str">
        <f t="shared" si="250"/>
        <v/>
      </c>
      <c r="BI215" s="268" t="str">
        <f t="shared" si="250"/>
        <v/>
      </c>
      <c r="BJ215" s="268" t="str">
        <f t="shared" si="250"/>
        <v/>
      </c>
      <c r="BK215" s="268" t="str">
        <f t="shared" si="250"/>
        <v/>
      </c>
      <c r="BL215" s="268" t="str">
        <f t="shared" si="250"/>
        <v/>
      </c>
      <c r="BM215" s="268" t="str">
        <f t="shared" si="250"/>
        <v/>
      </c>
      <c r="BN215" s="268" t="str">
        <f t="shared" si="250"/>
        <v/>
      </c>
      <c r="BO215" s="268" t="str">
        <f t="shared" si="250"/>
        <v/>
      </c>
      <c r="BP215" s="268" t="str">
        <f t="shared" si="250"/>
        <v/>
      </c>
      <c r="BQ215" s="268" t="str">
        <f t="shared" si="250"/>
        <v/>
      </c>
      <c r="BR215" s="268" t="str">
        <f t="shared" si="250"/>
        <v/>
      </c>
      <c r="BS215" s="268" t="str">
        <f t="shared" si="250"/>
        <v/>
      </c>
      <c r="BT215" s="268" t="str">
        <f t="shared" si="250"/>
        <v/>
      </c>
      <c r="BU215" s="268" t="str">
        <f t="shared" si="222"/>
        <v/>
      </c>
      <c r="BV215" s="247">
        <v>0.63</v>
      </c>
      <c r="BW215" s="729">
        <f t="shared" si="241"/>
        <v>756</v>
      </c>
      <c r="BX215" s="730">
        <f t="shared" si="242"/>
        <v>5859</v>
      </c>
      <c r="BY215" s="731" t="str">
        <f t="shared" si="243"/>
        <v>SR</v>
      </c>
    </row>
    <row r="216" s="698" customFormat="1" customHeight="1" spans="1:77">
      <c r="A216" s="208">
        <v>46049</v>
      </c>
      <c r="B216" s="208">
        <v>46175</v>
      </c>
      <c r="C216" s="211" t="s">
        <v>469</v>
      </c>
      <c r="D216" s="211" t="s">
        <v>470</v>
      </c>
      <c r="E216" s="211" t="s">
        <v>83</v>
      </c>
      <c r="F216" s="212">
        <v>20004</v>
      </c>
      <c r="G216" s="211" t="s">
        <v>270</v>
      </c>
      <c r="H216" s="211" t="str">
        <f>IFERROR(VLOOKUP(E216,名称!A:E,4,0),"")</f>
        <v>三代</v>
      </c>
      <c r="I216" s="268" t="str">
        <f t="shared" ref="I216:BT216" si="251">IF(OR($E216="",I$1=""),"",IF(TRIM(LEFT($E216,MIN(IFERROR(FIND("CDU",UPPER($E216)),999),IFERROR(FIND("BULK",UPPER($E216)),999),IFERROR(FIND("-",$E216),999),IFERROR(FIND("（",$E216),999))-1))=I$1,$F216,""))</f>
        <v/>
      </c>
      <c r="J216" s="268" t="str">
        <f t="shared" si="251"/>
        <v/>
      </c>
      <c r="K216" s="268" t="str">
        <f t="shared" si="251"/>
        <v/>
      </c>
      <c r="L216" s="268" t="str">
        <f t="shared" si="251"/>
        <v/>
      </c>
      <c r="M216" s="268" t="str">
        <f t="shared" si="251"/>
        <v/>
      </c>
      <c r="N216" s="268" t="str">
        <f t="shared" si="251"/>
        <v/>
      </c>
      <c r="O216" s="268" t="str">
        <f t="shared" si="251"/>
        <v/>
      </c>
      <c r="P216" s="268" t="str">
        <f t="shared" si="251"/>
        <v/>
      </c>
      <c r="Q216" s="268" t="str">
        <f t="shared" si="251"/>
        <v/>
      </c>
      <c r="R216" s="268" t="str">
        <f t="shared" si="251"/>
        <v/>
      </c>
      <c r="S216" s="268" t="str">
        <f t="shared" si="251"/>
        <v/>
      </c>
      <c r="T216" s="268" t="str">
        <f t="shared" si="251"/>
        <v/>
      </c>
      <c r="U216" s="268" t="str">
        <f t="shared" si="251"/>
        <v/>
      </c>
      <c r="V216" s="268" t="str">
        <f t="shared" si="251"/>
        <v/>
      </c>
      <c r="W216" s="268" t="str">
        <f t="shared" si="251"/>
        <v/>
      </c>
      <c r="X216" s="268" t="str">
        <f t="shared" si="251"/>
        <v/>
      </c>
      <c r="Y216" s="268" t="str">
        <f t="shared" si="251"/>
        <v/>
      </c>
      <c r="Z216" s="268" t="str">
        <f t="shared" si="251"/>
        <v/>
      </c>
      <c r="AA216" s="268" t="str">
        <f t="shared" si="251"/>
        <v/>
      </c>
      <c r="AB216" s="268" t="str">
        <f t="shared" si="251"/>
        <v/>
      </c>
      <c r="AC216" s="268" t="str">
        <f t="shared" si="251"/>
        <v/>
      </c>
      <c r="AD216" s="268" t="str">
        <f t="shared" si="251"/>
        <v/>
      </c>
      <c r="AE216" s="268" t="str">
        <f t="shared" si="251"/>
        <v/>
      </c>
      <c r="AF216" s="268" t="str">
        <f t="shared" si="251"/>
        <v/>
      </c>
      <c r="AG216" s="268" t="str">
        <f t="shared" si="251"/>
        <v/>
      </c>
      <c r="AH216" s="268" t="str">
        <f t="shared" si="251"/>
        <v/>
      </c>
      <c r="AI216" s="268" t="str">
        <f t="shared" si="251"/>
        <v/>
      </c>
      <c r="AJ216" s="268" t="str">
        <f t="shared" si="251"/>
        <v/>
      </c>
      <c r="AK216" s="268" t="str">
        <f t="shared" si="251"/>
        <v/>
      </c>
      <c r="AL216" s="268" t="str">
        <f t="shared" si="251"/>
        <v/>
      </c>
      <c r="AM216" s="268" t="str">
        <f t="shared" si="251"/>
        <v/>
      </c>
      <c r="AN216" s="268">
        <f t="shared" si="251"/>
        <v>20004</v>
      </c>
      <c r="AO216" s="268" t="str">
        <f t="shared" si="251"/>
        <v/>
      </c>
      <c r="AP216" s="268" t="str">
        <f t="shared" si="251"/>
        <v/>
      </c>
      <c r="AQ216" s="268" t="str">
        <f t="shared" si="251"/>
        <v/>
      </c>
      <c r="AR216" s="268" t="str">
        <f t="shared" si="251"/>
        <v/>
      </c>
      <c r="AS216" s="268" t="str">
        <f t="shared" si="251"/>
        <v/>
      </c>
      <c r="AT216" s="268" t="str">
        <f t="shared" si="251"/>
        <v/>
      </c>
      <c r="AU216" s="268" t="str">
        <f t="shared" si="251"/>
        <v/>
      </c>
      <c r="AV216" s="268" t="str">
        <f t="shared" si="251"/>
        <v/>
      </c>
      <c r="AW216" s="268" t="str">
        <f t="shared" si="251"/>
        <v/>
      </c>
      <c r="AX216" s="268" t="str">
        <f t="shared" si="251"/>
        <v/>
      </c>
      <c r="AY216" s="268" t="str">
        <f t="shared" si="251"/>
        <v/>
      </c>
      <c r="AZ216" s="268" t="str">
        <f t="shared" si="251"/>
        <v/>
      </c>
      <c r="BA216" s="268" t="str">
        <f t="shared" si="251"/>
        <v/>
      </c>
      <c r="BB216" s="268" t="str">
        <f t="shared" si="251"/>
        <v/>
      </c>
      <c r="BC216" s="268" t="str">
        <f t="shared" si="251"/>
        <v/>
      </c>
      <c r="BD216" s="268" t="str">
        <f t="shared" si="251"/>
        <v/>
      </c>
      <c r="BE216" s="268" t="str">
        <f t="shared" si="251"/>
        <v/>
      </c>
      <c r="BF216" s="268" t="str">
        <f t="shared" si="251"/>
        <v/>
      </c>
      <c r="BG216" s="268" t="str">
        <f t="shared" si="251"/>
        <v/>
      </c>
      <c r="BH216" s="268" t="str">
        <f t="shared" si="251"/>
        <v/>
      </c>
      <c r="BI216" s="268" t="str">
        <f t="shared" si="251"/>
        <v/>
      </c>
      <c r="BJ216" s="268" t="str">
        <f t="shared" si="251"/>
        <v/>
      </c>
      <c r="BK216" s="268" t="str">
        <f t="shared" si="251"/>
        <v/>
      </c>
      <c r="BL216" s="268" t="str">
        <f t="shared" si="251"/>
        <v/>
      </c>
      <c r="BM216" s="268" t="str">
        <f t="shared" si="251"/>
        <v/>
      </c>
      <c r="BN216" s="268" t="str">
        <f t="shared" si="251"/>
        <v/>
      </c>
      <c r="BO216" s="268" t="str">
        <f t="shared" si="251"/>
        <v/>
      </c>
      <c r="BP216" s="268" t="str">
        <f t="shared" si="251"/>
        <v/>
      </c>
      <c r="BQ216" s="268" t="str">
        <f t="shared" si="251"/>
        <v/>
      </c>
      <c r="BR216" s="268" t="str">
        <f t="shared" si="251"/>
        <v/>
      </c>
      <c r="BS216" s="268" t="str">
        <f t="shared" si="251"/>
        <v/>
      </c>
      <c r="BT216" s="268" t="str">
        <f t="shared" si="251"/>
        <v/>
      </c>
      <c r="BU216" s="268" t="str">
        <f t="shared" si="222"/>
        <v/>
      </c>
      <c r="BV216" s="247">
        <v>0.91</v>
      </c>
      <c r="BW216" s="729">
        <f t="shared" si="241"/>
        <v>18203.64</v>
      </c>
      <c r="BX216" s="730">
        <f t="shared" si="242"/>
        <v>141078.21</v>
      </c>
      <c r="BY216" s="731" t="str">
        <f t="shared" si="243"/>
        <v>SR</v>
      </c>
    </row>
    <row r="217" s="697" customFormat="1" customHeight="1" spans="1:77">
      <c r="A217" s="116">
        <v>46049</v>
      </c>
      <c r="B217" s="116">
        <v>46175</v>
      </c>
      <c r="C217" s="118" t="s">
        <v>469</v>
      </c>
      <c r="D217" s="118" t="s">
        <v>470</v>
      </c>
      <c r="E217" s="118" t="s">
        <v>83</v>
      </c>
      <c r="F217" s="726">
        <f>90000-20004</f>
        <v>69996</v>
      </c>
      <c r="G217" s="118" t="s">
        <v>270</v>
      </c>
      <c r="H217" s="118" t="str">
        <f>IFERROR(VLOOKUP(E217,名称!A:E,4,0),"")</f>
        <v>三代</v>
      </c>
      <c r="I217" s="418" t="str">
        <f t="shared" ref="I217:BT217" si="252">IF(OR($E217="",I$1=""),"",IF(TRIM(LEFT($E217,MIN(IFERROR(FIND("CDU",UPPER($E217)),999),IFERROR(FIND("BULK",UPPER($E217)),999),IFERROR(FIND("-",$E217),999),IFERROR(FIND("（",$E217),999))-1))=I$1,$F217,""))</f>
        <v/>
      </c>
      <c r="J217" s="418" t="str">
        <f t="shared" si="252"/>
        <v/>
      </c>
      <c r="K217" s="418" t="str">
        <f t="shared" si="252"/>
        <v/>
      </c>
      <c r="L217" s="418" t="str">
        <f t="shared" si="252"/>
        <v/>
      </c>
      <c r="M217" s="418" t="str">
        <f t="shared" si="252"/>
        <v/>
      </c>
      <c r="N217" s="418" t="str">
        <f t="shared" si="252"/>
        <v/>
      </c>
      <c r="O217" s="418" t="str">
        <f t="shared" si="252"/>
        <v/>
      </c>
      <c r="P217" s="418" t="str">
        <f t="shared" si="252"/>
        <v/>
      </c>
      <c r="Q217" s="418" t="str">
        <f t="shared" si="252"/>
        <v/>
      </c>
      <c r="R217" s="418" t="str">
        <f t="shared" si="252"/>
        <v/>
      </c>
      <c r="S217" s="418" t="str">
        <f t="shared" si="252"/>
        <v/>
      </c>
      <c r="T217" s="418" t="str">
        <f t="shared" si="252"/>
        <v/>
      </c>
      <c r="U217" s="418" t="str">
        <f t="shared" si="252"/>
        <v/>
      </c>
      <c r="V217" s="418" t="str">
        <f t="shared" si="252"/>
        <v/>
      </c>
      <c r="W217" s="418" t="str">
        <f t="shared" si="252"/>
        <v/>
      </c>
      <c r="X217" s="418" t="str">
        <f t="shared" si="252"/>
        <v/>
      </c>
      <c r="Y217" s="418" t="str">
        <f t="shared" si="252"/>
        <v/>
      </c>
      <c r="Z217" s="418" t="str">
        <f t="shared" si="252"/>
        <v/>
      </c>
      <c r="AA217" s="418" t="str">
        <f t="shared" si="252"/>
        <v/>
      </c>
      <c r="AB217" s="418" t="str">
        <f t="shared" si="252"/>
        <v/>
      </c>
      <c r="AC217" s="418" t="str">
        <f t="shared" si="252"/>
        <v/>
      </c>
      <c r="AD217" s="418" t="str">
        <f t="shared" si="252"/>
        <v/>
      </c>
      <c r="AE217" s="418" t="str">
        <f t="shared" si="252"/>
        <v/>
      </c>
      <c r="AF217" s="418" t="str">
        <f t="shared" si="252"/>
        <v/>
      </c>
      <c r="AG217" s="418" t="str">
        <f t="shared" si="252"/>
        <v/>
      </c>
      <c r="AH217" s="418" t="str">
        <f t="shared" si="252"/>
        <v/>
      </c>
      <c r="AI217" s="418" t="str">
        <f t="shared" si="252"/>
        <v/>
      </c>
      <c r="AJ217" s="418" t="str">
        <f t="shared" si="252"/>
        <v/>
      </c>
      <c r="AK217" s="418" t="str">
        <f t="shared" si="252"/>
        <v/>
      </c>
      <c r="AL217" s="418" t="str">
        <f t="shared" si="252"/>
        <v/>
      </c>
      <c r="AM217" s="418" t="str">
        <f t="shared" si="252"/>
        <v/>
      </c>
      <c r="AN217" s="418">
        <f t="shared" si="252"/>
        <v>69996</v>
      </c>
      <c r="AO217" s="418" t="str">
        <f t="shared" si="252"/>
        <v/>
      </c>
      <c r="AP217" s="418" t="str">
        <f t="shared" si="252"/>
        <v/>
      </c>
      <c r="AQ217" s="418" t="str">
        <f t="shared" si="252"/>
        <v/>
      </c>
      <c r="AR217" s="418" t="str">
        <f t="shared" si="252"/>
        <v/>
      </c>
      <c r="AS217" s="418" t="str">
        <f t="shared" si="252"/>
        <v/>
      </c>
      <c r="AT217" s="418" t="str">
        <f t="shared" si="252"/>
        <v/>
      </c>
      <c r="AU217" s="418" t="str">
        <f t="shared" si="252"/>
        <v/>
      </c>
      <c r="AV217" s="418" t="str">
        <f t="shared" si="252"/>
        <v/>
      </c>
      <c r="AW217" s="418" t="str">
        <f t="shared" si="252"/>
        <v/>
      </c>
      <c r="AX217" s="418" t="str">
        <f t="shared" si="252"/>
        <v/>
      </c>
      <c r="AY217" s="418" t="str">
        <f t="shared" si="252"/>
        <v/>
      </c>
      <c r="AZ217" s="418" t="str">
        <f t="shared" si="252"/>
        <v/>
      </c>
      <c r="BA217" s="418" t="str">
        <f t="shared" si="252"/>
        <v/>
      </c>
      <c r="BB217" s="418" t="str">
        <f t="shared" si="252"/>
        <v/>
      </c>
      <c r="BC217" s="418" t="str">
        <f t="shared" si="252"/>
        <v/>
      </c>
      <c r="BD217" s="418" t="str">
        <f t="shared" si="252"/>
        <v/>
      </c>
      <c r="BE217" s="418" t="str">
        <f t="shared" si="252"/>
        <v/>
      </c>
      <c r="BF217" s="418" t="str">
        <f t="shared" si="252"/>
        <v/>
      </c>
      <c r="BG217" s="418" t="str">
        <f t="shared" si="252"/>
        <v/>
      </c>
      <c r="BH217" s="418" t="str">
        <f t="shared" si="252"/>
        <v/>
      </c>
      <c r="BI217" s="418" t="str">
        <f t="shared" si="252"/>
        <v/>
      </c>
      <c r="BJ217" s="418" t="str">
        <f t="shared" si="252"/>
        <v/>
      </c>
      <c r="BK217" s="418" t="str">
        <f t="shared" si="252"/>
        <v/>
      </c>
      <c r="BL217" s="418" t="str">
        <f t="shared" si="252"/>
        <v/>
      </c>
      <c r="BM217" s="418" t="str">
        <f t="shared" si="252"/>
        <v/>
      </c>
      <c r="BN217" s="418" t="str">
        <f t="shared" si="252"/>
        <v/>
      </c>
      <c r="BO217" s="418" t="str">
        <f t="shared" si="252"/>
        <v/>
      </c>
      <c r="BP217" s="418" t="str">
        <f t="shared" si="252"/>
        <v/>
      </c>
      <c r="BQ217" s="418" t="str">
        <f t="shared" si="252"/>
        <v/>
      </c>
      <c r="BR217" s="418" t="str">
        <f t="shared" si="252"/>
        <v/>
      </c>
      <c r="BS217" s="418" t="str">
        <f t="shared" si="252"/>
        <v/>
      </c>
      <c r="BT217" s="418" t="str">
        <f t="shared" si="252"/>
        <v/>
      </c>
      <c r="BU217" s="418" t="str">
        <f t="shared" si="222"/>
        <v/>
      </c>
      <c r="BV217" s="544">
        <v>0.83</v>
      </c>
      <c r="BW217" s="723">
        <f t="shared" ref="BW217:BW253" si="253">SUM(I217:BU217)*BV217</f>
        <v>58096.68</v>
      </c>
      <c r="BX217" s="724">
        <f t="shared" ref="BX217:BX253" si="254">BW217*7.75</f>
        <v>450249.27</v>
      </c>
      <c r="BY217" s="725" t="str">
        <f t="shared" ref="BY217:BY242" si="255">MID(E217,1,2)</f>
        <v>SR</v>
      </c>
    </row>
    <row r="218" s="697" customFormat="1" customHeight="1" spans="1:77">
      <c r="A218" s="116">
        <v>46050</v>
      </c>
      <c r="B218" s="116">
        <v>46268</v>
      </c>
      <c r="C218" s="118" t="s">
        <v>471</v>
      </c>
      <c r="D218" s="118" t="s">
        <v>472</v>
      </c>
      <c r="E218" s="118" t="s">
        <v>94</v>
      </c>
      <c r="F218" s="726">
        <v>4296</v>
      </c>
      <c r="G218" s="118" t="s">
        <v>270</v>
      </c>
      <c r="H218" s="118" t="str">
        <f>IFERROR(VLOOKUP(E218,名称!A:E,4,0),"")</f>
        <v>三代</v>
      </c>
      <c r="I218" s="418" t="str">
        <f t="shared" ref="I218:BT218" si="256">IF(OR($E218="",I$1=""),"",IF(TRIM(LEFT($E218,MIN(IFERROR(FIND("CDU",UPPER($E218)),999),IFERROR(FIND("BULK",UPPER($E218)),999),IFERROR(FIND("-",$E218),999),IFERROR(FIND("（",$E218),999))-1))=I$1,$F218,""))</f>
        <v/>
      </c>
      <c r="J218" s="418" t="str">
        <f t="shared" si="256"/>
        <v/>
      </c>
      <c r="K218" s="418" t="str">
        <f t="shared" si="256"/>
        <v/>
      </c>
      <c r="L218" s="418" t="str">
        <f t="shared" si="256"/>
        <v/>
      </c>
      <c r="M218" s="418" t="str">
        <f t="shared" si="256"/>
        <v/>
      </c>
      <c r="N218" s="418" t="str">
        <f t="shared" si="256"/>
        <v/>
      </c>
      <c r="O218" s="418" t="str">
        <f t="shared" si="256"/>
        <v/>
      </c>
      <c r="P218" s="418" t="str">
        <f t="shared" si="256"/>
        <v/>
      </c>
      <c r="Q218" s="418" t="str">
        <f t="shared" si="256"/>
        <v/>
      </c>
      <c r="R218" s="418" t="str">
        <f t="shared" si="256"/>
        <v/>
      </c>
      <c r="S218" s="418" t="str">
        <f t="shared" si="256"/>
        <v/>
      </c>
      <c r="T218" s="418" t="str">
        <f t="shared" si="256"/>
        <v/>
      </c>
      <c r="U218" s="418" t="str">
        <f t="shared" si="256"/>
        <v/>
      </c>
      <c r="V218" s="418" t="str">
        <f t="shared" si="256"/>
        <v/>
      </c>
      <c r="W218" s="418" t="str">
        <f t="shared" si="256"/>
        <v/>
      </c>
      <c r="X218" s="418" t="str">
        <f t="shared" si="256"/>
        <v/>
      </c>
      <c r="Y218" s="418" t="str">
        <f t="shared" si="256"/>
        <v/>
      </c>
      <c r="Z218" s="418" t="str">
        <f t="shared" si="256"/>
        <v/>
      </c>
      <c r="AA218" s="418" t="str">
        <f t="shared" si="256"/>
        <v/>
      </c>
      <c r="AB218" s="418" t="str">
        <f t="shared" si="256"/>
        <v/>
      </c>
      <c r="AC218" s="418" t="str">
        <f t="shared" si="256"/>
        <v/>
      </c>
      <c r="AD218" s="418" t="str">
        <f t="shared" si="256"/>
        <v/>
      </c>
      <c r="AE218" s="418" t="str">
        <f t="shared" si="256"/>
        <v/>
      </c>
      <c r="AF218" s="418" t="str">
        <f t="shared" si="256"/>
        <v/>
      </c>
      <c r="AG218" s="418" t="str">
        <f t="shared" si="256"/>
        <v/>
      </c>
      <c r="AH218" s="418" t="str">
        <f t="shared" si="256"/>
        <v/>
      </c>
      <c r="AI218" s="418" t="str">
        <f t="shared" si="256"/>
        <v/>
      </c>
      <c r="AJ218" s="418" t="str">
        <f t="shared" si="256"/>
        <v/>
      </c>
      <c r="AK218" s="418" t="str">
        <f t="shared" si="256"/>
        <v/>
      </c>
      <c r="AL218" s="418" t="str">
        <f t="shared" si="256"/>
        <v/>
      </c>
      <c r="AM218" s="418" t="str">
        <f t="shared" si="256"/>
        <v/>
      </c>
      <c r="AN218" s="418" t="str">
        <f t="shared" si="256"/>
        <v/>
      </c>
      <c r="AO218" s="418" t="str">
        <f t="shared" si="256"/>
        <v/>
      </c>
      <c r="AP218" s="418" t="str">
        <f t="shared" si="256"/>
        <v/>
      </c>
      <c r="AQ218" s="418" t="str">
        <f t="shared" si="256"/>
        <v/>
      </c>
      <c r="AR218" s="418" t="str">
        <f t="shared" si="256"/>
        <v/>
      </c>
      <c r="AS218" s="418" t="str">
        <f t="shared" si="256"/>
        <v/>
      </c>
      <c r="AT218" s="418" t="str">
        <f t="shared" si="256"/>
        <v/>
      </c>
      <c r="AU218" s="418" t="str">
        <f t="shared" si="256"/>
        <v/>
      </c>
      <c r="AV218" s="418" t="str">
        <f t="shared" si="256"/>
        <v/>
      </c>
      <c r="AW218" s="418" t="str">
        <f t="shared" si="256"/>
        <v/>
      </c>
      <c r="AX218" s="418" t="str">
        <f t="shared" si="256"/>
        <v/>
      </c>
      <c r="AY218" s="418">
        <f t="shared" si="256"/>
        <v>4296</v>
      </c>
      <c r="AZ218" s="418" t="str">
        <f t="shared" si="256"/>
        <v/>
      </c>
      <c r="BA218" s="418" t="str">
        <f t="shared" si="256"/>
        <v/>
      </c>
      <c r="BB218" s="418" t="str">
        <f t="shared" si="256"/>
        <v/>
      </c>
      <c r="BC218" s="418" t="str">
        <f t="shared" si="256"/>
        <v/>
      </c>
      <c r="BD218" s="418" t="str">
        <f t="shared" si="256"/>
        <v/>
      </c>
      <c r="BE218" s="418" t="str">
        <f t="shared" si="256"/>
        <v/>
      </c>
      <c r="BF218" s="418" t="str">
        <f t="shared" si="256"/>
        <v/>
      </c>
      <c r="BG218" s="418" t="str">
        <f t="shared" si="256"/>
        <v/>
      </c>
      <c r="BH218" s="418" t="str">
        <f t="shared" si="256"/>
        <v/>
      </c>
      <c r="BI218" s="418" t="str">
        <f t="shared" si="256"/>
        <v/>
      </c>
      <c r="BJ218" s="418" t="str">
        <f t="shared" si="256"/>
        <v/>
      </c>
      <c r="BK218" s="418" t="str">
        <f t="shared" si="256"/>
        <v/>
      </c>
      <c r="BL218" s="418" t="str">
        <f t="shared" si="256"/>
        <v/>
      </c>
      <c r="BM218" s="418" t="str">
        <f t="shared" si="256"/>
        <v/>
      </c>
      <c r="BN218" s="418" t="str">
        <f t="shared" si="256"/>
        <v/>
      </c>
      <c r="BO218" s="418" t="str">
        <f t="shared" si="256"/>
        <v/>
      </c>
      <c r="BP218" s="418" t="str">
        <f t="shared" si="256"/>
        <v/>
      </c>
      <c r="BQ218" s="418" t="str">
        <f t="shared" si="256"/>
        <v/>
      </c>
      <c r="BR218" s="418" t="str">
        <f t="shared" si="256"/>
        <v/>
      </c>
      <c r="BS218" s="418" t="str">
        <f t="shared" si="256"/>
        <v/>
      </c>
      <c r="BT218" s="418" t="str">
        <f t="shared" si="256"/>
        <v/>
      </c>
      <c r="BU218" s="418" t="str">
        <f t="shared" si="222"/>
        <v/>
      </c>
      <c r="BV218" s="544">
        <v>0.61</v>
      </c>
      <c r="BW218" s="723">
        <f t="shared" si="253"/>
        <v>2620.56</v>
      </c>
      <c r="BX218" s="724">
        <f t="shared" si="254"/>
        <v>20309.34</v>
      </c>
      <c r="BY218" s="725" t="str">
        <f t="shared" si="255"/>
        <v>SR</v>
      </c>
    </row>
    <row r="219" s="697" customFormat="1" customHeight="1" spans="1:77">
      <c r="A219" s="116">
        <v>46050</v>
      </c>
      <c r="B219" s="116">
        <v>46254</v>
      </c>
      <c r="C219" s="118" t="s">
        <v>473</v>
      </c>
      <c r="D219" s="118" t="s">
        <v>474</v>
      </c>
      <c r="E219" s="118" t="s">
        <v>94</v>
      </c>
      <c r="F219" s="726">
        <v>4296</v>
      </c>
      <c r="G219" s="118" t="s">
        <v>270</v>
      </c>
      <c r="H219" s="118" t="str">
        <f>IFERROR(VLOOKUP(E219,名称!A:E,4,0),"")</f>
        <v>三代</v>
      </c>
      <c r="I219" s="418" t="str">
        <f t="shared" ref="I219:BT219" si="257">IF(OR($E219="",I$1=""),"",IF(TRIM(LEFT($E219,MIN(IFERROR(FIND("CDU",UPPER($E219)),999),IFERROR(FIND("BULK",UPPER($E219)),999),IFERROR(FIND("-",$E219),999),IFERROR(FIND("（",$E219),999))-1))=I$1,$F219,""))</f>
        <v/>
      </c>
      <c r="J219" s="418" t="str">
        <f t="shared" si="257"/>
        <v/>
      </c>
      <c r="K219" s="418" t="str">
        <f t="shared" si="257"/>
        <v/>
      </c>
      <c r="L219" s="418" t="str">
        <f t="shared" si="257"/>
        <v/>
      </c>
      <c r="M219" s="418" t="str">
        <f t="shared" si="257"/>
        <v/>
      </c>
      <c r="N219" s="418" t="str">
        <f t="shared" si="257"/>
        <v/>
      </c>
      <c r="O219" s="418" t="str">
        <f t="shared" si="257"/>
        <v/>
      </c>
      <c r="P219" s="418" t="str">
        <f t="shared" si="257"/>
        <v/>
      </c>
      <c r="Q219" s="418" t="str">
        <f t="shared" si="257"/>
        <v/>
      </c>
      <c r="R219" s="418" t="str">
        <f t="shared" si="257"/>
        <v/>
      </c>
      <c r="S219" s="418" t="str">
        <f t="shared" si="257"/>
        <v/>
      </c>
      <c r="T219" s="418" t="str">
        <f t="shared" si="257"/>
        <v/>
      </c>
      <c r="U219" s="418" t="str">
        <f t="shared" si="257"/>
        <v/>
      </c>
      <c r="V219" s="418" t="str">
        <f t="shared" si="257"/>
        <v/>
      </c>
      <c r="W219" s="418" t="str">
        <f t="shared" si="257"/>
        <v/>
      </c>
      <c r="X219" s="418" t="str">
        <f t="shared" si="257"/>
        <v/>
      </c>
      <c r="Y219" s="418" t="str">
        <f t="shared" si="257"/>
        <v/>
      </c>
      <c r="Z219" s="418" t="str">
        <f t="shared" si="257"/>
        <v/>
      </c>
      <c r="AA219" s="418" t="str">
        <f t="shared" si="257"/>
        <v/>
      </c>
      <c r="AB219" s="418" t="str">
        <f t="shared" si="257"/>
        <v/>
      </c>
      <c r="AC219" s="418" t="str">
        <f t="shared" si="257"/>
        <v/>
      </c>
      <c r="AD219" s="418" t="str">
        <f t="shared" si="257"/>
        <v/>
      </c>
      <c r="AE219" s="418" t="str">
        <f t="shared" si="257"/>
        <v/>
      </c>
      <c r="AF219" s="418" t="str">
        <f t="shared" si="257"/>
        <v/>
      </c>
      <c r="AG219" s="418" t="str">
        <f t="shared" si="257"/>
        <v/>
      </c>
      <c r="AH219" s="418" t="str">
        <f t="shared" si="257"/>
        <v/>
      </c>
      <c r="AI219" s="418" t="str">
        <f t="shared" si="257"/>
        <v/>
      </c>
      <c r="AJ219" s="418" t="str">
        <f t="shared" si="257"/>
        <v/>
      </c>
      <c r="AK219" s="418" t="str">
        <f t="shared" si="257"/>
        <v/>
      </c>
      <c r="AL219" s="418" t="str">
        <f t="shared" si="257"/>
        <v/>
      </c>
      <c r="AM219" s="418" t="str">
        <f t="shared" si="257"/>
        <v/>
      </c>
      <c r="AN219" s="418" t="str">
        <f t="shared" si="257"/>
        <v/>
      </c>
      <c r="AO219" s="418" t="str">
        <f t="shared" si="257"/>
        <v/>
      </c>
      <c r="AP219" s="418" t="str">
        <f t="shared" si="257"/>
        <v/>
      </c>
      <c r="AQ219" s="418" t="str">
        <f t="shared" si="257"/>
        <v/>
      </c>
      <c r="AR219" s="418" t="str">
        <f t="shared" si="257"/>
        <v/>
      </c>
      <c r="AS219" s="418" t="str">
        <f t="shared" si="257"/>
        <v/>
      </c>
      <c r="AT219" s="418" t="str">
        <f t="shared" si="257"/>
        <v/>
      </c>
      <c r="AU219" s="418" t="str">
        <f t="shared" si="257"/>
        <v/>
      </c>
      <c r="AV219" s="418" t="str">
        <f t="shared" si="257"/>
        <v/>
      </c>
      <c r="AW219" s="418" t="str">
        <f t="shared" si="257"/>
        <v/>
      </c>
      <c r="AX219" s="418" t="str">
        <f t="shared" si="257"/>
        <v/>
      </c>
      <c r="AY219" s="418">
        <f t="shared" si="257"/>
        <v>4296</v>
      </c>
      <c r="AZ219" s="418" t="str">
        <f t="shared" si="257"/>
        <v/>
      </c>
      <c r="BA219" s="418" t="str">
        <f t="shared" si="257"/>
        <v/>
      </c>
      <c r="BB219" s="418" t="str">
        <f t="shared" si="257"/>
        <v/>
      </c>
      <c r="BC219" s="418" t="str">
        <f t="shared" si="257"/>
        <v/>
      </c>
      <c r="BD219" s="418" t="str">
        <f t="shared" si="257"/>
        <v/>
      </c>
      <c r="BE219" s="418" t="str">
        <f t="shared" si="257"/>
        <v/>
      </c>
      <c r="BF219" s="418" t="str">
        <f t="shared" si="257"/>
        <v/>
      </c>
      <c r="BG219" s="418" t="str">
        <f t="shared" si="257"/>
        <v/>
      </c>
      <c r="BH219" s="418" t="str">
        <f t="shared" si="257"/>
        <v/>
      </c>
      <c r="BI219" s="418" t="str">
        <f t="shared" si="257"/>
        <v/>
      </c>
      <c r="BJ219" s="418" t="str">
        <f t="shared" si="257"/>
        <v/>
      </c>
      <c r="BK219" s="418" t="str">
        <f t="shared" si="257"/>
        <v/>
      </c>
      <c r="BL219" s="418" t="str">
        <f t="shared" si="257"/>
        <v/>
      </c>
      <c r="BM219" s="418" t="str">
        <f t="shared" si="257"/>
        <v/>
      </c>
      <c r="BN219" s="418" t="str">
        <f t="shared" si="257"/>
        <v/>
      </c>
      <c r="BO219" s="418" t="str">
        <f t="shared" si="257"/>
        <v/>
      </c>
      <c r="BP219" s="418" t="str">
        <f t="shared" si="257"/>
        <v/>
      </c>
      <c r="BQ219" s="418" t="str">
        <f t="shared" si="257"/>
        <v/>
      </c>
      <c r="BR219" s="418" t="str">
        <f t="shared" si="257"/>
        <v/>
      </c>
      <c r="BS219" s="418" t="str">
        <f t="shared" si="257"/>
        <v/>
      </c>
      <c r="BT219" s="418" t="str">
        <f t="shared" si="257"/>
        <v/>
      </c>
      <c r="BU219" s="418" t="str">
        <f t="shared" si="222"/>
        <v/>
      </c>
      <c r="BV219" s="544">
        <v>0.61</v>
      </c>
      <c r="BW219" s="723">
        <f t="shared" si="253"/>
        <v>2620.56</v>
      </c>
      <c r="BX219" s="724">
        <f t="shared" si="254"/>
        <v>20309.34</v>
      </c>
      <c r="BY219" s="725" t="str">
        <f t="shared" si="255"/>
        <v>SR</v>
      </c>
    </row>
    <row r="220" s="697" customFormat="1" customHeight="1" spans="1:77">
      <c r="A220" s="116">
        <v>46050</v>
      </c>
      <c r="B220" s="116">
        <v>46240</v>
      </c>
      <c r="C220" s="118" t="s">
        <v>475</v>
      </c>
      <c r="D220" s="118" t="s">
        <v>476</v>
      </c>
      <c r="E220" s="118" t="s">
        <v>94</v>
      </c>
      <c r="F220" s="726">
        <v>4296</v>
      </c>
      <c r="G220" s="118" t="s">
        <v>270</v>
      </c>
      <c r="H220" s="118" t="str">
        <f>IFERROR(VLOOKUP(E220,名称!A:E,4,0),"")</f>
        <v>三代</v>
      </c>
      <c r="I220" s="418" t="str">
        <f t="shared" ref="I220:BT220" si="258">IF(OR($E220="",I$1=""),"",IF(TRIM(LEFT($E220,MIN(IFERROR(FIND("CDU",UPPER($E220)),999),IFERROR(FIND("BULK",UPPER($E220)),999),IFERROR(FIND("-",$E220),999),IFERROR(FIND("（",$E220),999))-1))=I$1,$F220,""))</f>
        <v/>
      </c>
      <c r="J220" s="418" t="str">
        <f t="shared" si="258"/>
        <v/>
      </c>
      <c r="K220" s="418" t="str">
        <f t="shared" si="258"/>
        <v/>
      </c>
      <c r="L220" s="418" t="str">
        <f t="shared" si="258"/>
        <v/>
      </c>
      <c r="M220" s="418" t="str">
        <f t="shared" si="258"/>
        <v/>
      </c>
      <c r="N220" s="418" t="str">
        <f t="shared" si="258"/>
        <v/>
      </c>
      <c r="O220" s="418" t="str">
        <f t="shared" si="258"/>
        <v/>
      </c>
      <c r="P220" s="418" t="str">
        <f t="shared" si="258"/>
        <v/>
      </c>
      <c r="Q220" s="418" t="str">
        <f t="shared" si="258"/>
        <v/>
      </c>
      <c r="R220" s="418" t="str">
        <f t="shared" si="258"/>
        <v/>
      </c>
      <c r="S220" s="418" t="str">
        <f t="shared" si="258"/>
        <v/>
      </c>
      <c r="T220" s="418" t="str">
        <f t="shared" si="258"/>
        <v/>
      </c>
      <c r="U220" s="418" t="str">
        <f t="shared" si="258"/>
        <v/>
      </c>
      <c r="V220" s="418" t="str">
        <f t="shared" si="258"/>
        <v/>
      </c>
      <c r="W220" s="418" t="str">
        <f t="shared" si="258"/>
        <v/>
      </c>
      <c r="X220" s="418" t="str">
        <f t="shared" si="258"/>
        <v/>
      </c>
      <c r="Y220" s="418" t="str">
        <f t="shared" si="258"/>
        <v/>
      </c>
      <c r="Z220" s="418" t="str">
        <f t="shared" si="258"/>
        <v/>
      </c>
      <c r="AA220" s="418" t="str">
        <f t="shared" si="258"/>
        <v/>
      </c>
      <c r="AB220" s="418" t="str">
        <f t="shared" si="258"/>
        <v/>
      </c>
      <c r="AC220" s="418" t="str">
        <f t="shared" si="258"/>
        <v/>
      </c>
      <c r="AD220" s="418" t="str">
        <f t="shared" si="258"/>
        <v/>
      </c>
      <c r="AE220" s="418" t="str">
        <f t="shared" si="258"/>
        <v/>
      </c>
      <c r="AF220" s="418" t="str">
        <f t="shared" si="258"/>
        <v/>
      </c>
      <c r="AG220" s="418" t="str">
        <f t="shared" si="258"/>
        <v/>
      </c>
      <c r="AH220" s="418" t="str">
        <f t="shared" si="258"/>
        <v/>
      </c>
      <c r="AI220" s="418" t="str">
        <f t="shared" si="258"/>
        <v/>
      </c>
      <c r="AJ220" s="418" t="str">
        <f t="shared" si="258"/>
        <v/>
      </c>
      <c r="AK220" s="418" t="str">
        <f t="shared" si="258"/>
        <v/>
      </c>
      <c r="AL220" s="418" t="str">
        <f t="shared" si="258"/>
        <v/>
      </c>
      <c r="AM220" s="418" t="str">
        <f t="shared" si="258"/>
        <v/>
      </c>
      <c r="AN220" s="418" t="str">
        <f t="shared" si="258"/>
        <v/>
      </c>
      <c r="AO220" s="418" t="str">
        <f t="shared" si="258"/>
        <v/>
      </c>
      <c r="AP220" s="418" t="str">
        <f t="shared" si="258"/>
        <v/>
      </c>
      <c r="AQ220" s="418" t="str">
        <f t="shared" si="258"/>
        <v/>
      </c>
      <c r="AR220" s="418" t="str">
        <f t="shared" si="258"/>
        <v/>
      </c>
      <c r="AS220" s="418" t="str">
        <f t="shared" si="258"/>
        <v/>
      </c>
      <c r="AT220" s="418" t="str">
        <f t="shared" si="258"/>
        <v/>
      </c>
      <c r="AU220" s="418" t="str">
        <f t="shared" si="258"/>
        <v/>
      </c>
      <c r="AV220" s="418" t="str">
        <f t="shared" si="258"/>
        <v/>
      </c>
      <c r="AW220" s="418" t="str">
        <f t="shared" si="258"/>
        <v/>
      </c>
      <c r="AX220" s="418" t="str">
        <f t="shared" si="258"/>
        <v/>
      </c>
      <c r="AY220" s="418">
        <f t="shared" si="258"/>
        <v>4296</v>
      </c>
      <c r="AZ220" s="418" t="str">
        <f t="shared" si="258"/>
        <v/>
      </c>
      <c r="BA220" s="418" t="str">
        <f t="shared" si="258"/>
        <v/>
      </c>
      <c r="BB220" s="418" t="str">
        <f t="shared" si="258"/>
        <v/>
      </c>
      <c r="BC220" s="418" t="str">
        <f t="shared" si="258"/>
        <v/>
      </c>
      <c r="BD220" s="418" t="str">
        <f t="shared" si="258"/>
        <v/>
      </c>
      <c r="BE220" s="418" t="str">
        <f t="shared" si="258"/>
        <v/>
      </c>
      <c r="BF220" s="418" t="str">
        <f t="shared" si="258"/>
        <v/>
      </c>
      <c r="BG220" s="418" t="str">
        <f t="shared" si="258"/>
        <v/>
      </c>
      <c r="BH220" s="418" t="str">
        <f t="shared" si="258"/>
        <v/>
      </c>
      <c r="BI220" s="418" t="str">
        <f t="shared" si="258"/>
        <v/>
      </c>
      <c r="BJ220" s="418" t="str">
        <f t="shared" si="258"/>
        <v/>
      </c>
      <c r="BK220" s="418" t="str">
        <f t="shared" si="258"/>
        <v/>
      </c>
      <c r="BL220" s="418" t="str">
        <f t="shared" si="258"/>
        <v/>
      </c>
      <c r="BM220" s="418" t="str">
        <f t="shared" si="258"/>
        <v/>
      </c>
      <c r="BN220" s="418" t="str">
        <f t="shared" si="258"/>
        <v/>
      </c>
      <c r="BO220" s="418" t="str">
        <f t="shared" si="258"/>
        <v/>
      </c>
      <c r="BP220" s="418" t="str">
        <f t="shared" si="258"/>
        <v/>
      </c>
      <c r="BQ220" s="418" t="str">
        <f t="shared" si="258"/>
        <v/>
      </c>
      <c r="BR220" s="418" t="str">
        <f t="shared" si="258"/>
        <v/>
      </c>
      <c r="BS220" s="418" t="str">
        <f t="shared" si="258"/>
        <v/>
      </c>
      <c r="BT220" s="418" t="str">
        <f t="shared" si="258"/>
        <v/>
      </c>
      <c r="BU220" s="418" t="str">
        <f t="shared" si="222"/>
        <v/>
      </c>
      <c r="BV220" s="544">
        <v>0.61</v>
      </c>
      <c r="BW220" s="723">
        <f t="shared" si="253"/>
        <v>2620.56</v>
      </c>
      <c r="BX220" s="724">
        <f t="shared" si="254"/>
        <v>20309.34</v>
      </c>
      <c r="BY220" s="725" t="str">
        <f t="shared" si="255"/>
        <v>SR</v>
      </c>
    </row>
    <row r="221" s="697" customFormat="1" customHeight="1" spans="1:77">
      <c r="A221" s="116">
        <v>46050</v>
      </c>
      <c r="B221" s="116">
        <v>46226</v>
      </c>
      <c r="C221" s="118" t="s">
        <v>477</v>
      </c>
      <c r="D221" s="118" t="s">
        <v>478</v>
      </c>
      <c r="E221" s="118" t="s">
        <v>94</v>
      </c>
      <c r="F221" s="726">
        <v>4296</v>
      </c>
      <c r="G221" s="118" t="s">
        <v>270</v>
      </c>
      <c r="H221" s="118" t="str">
        <f>IFERROR(VLOOKUP(E221,名称!A:E,4,0),"")</f>
        <v>三代</v>
      </c>
      <c r="I221" s="418" t="str">
        <f t="shared" ref="I221:BT221" si="259">IF(OR($E221="",I$1=""),"",IF(TRIM(LEFT($E221,MIN(IFERROR(FIND("CDU",UPPER($E221)),999),IFERROR(FIND("BULK",UPPER($E221)),999),IFERROR(FIND("-",$E221),999),IFERROR(FIND("（",$E221),999))-1))=I$1,$F221,""))</f>
        <v/>
      </c>
      <c r="J221" s="418" t="str">
        <f t="shared" si="259"/>
        <v/>
      </c>
      <c r="K221" s="418" t="str">
        <f t="shared" si="259"/>
        <v/>
      </c>
      <c r="L221" s="418" t="str">
        <f t="shared" si="259"/>
        <v/>
      </c>
      <c r="M221" s="418" t="str">
        <f t="shared" si="259"/>
        <v/>
      </c>
      <c r="N221" s="418" t="str">
        <f t="shared" si="259"/>
        <v/>
      </c>
      <c r="O221" s="418" t="str">
        <f t="shared" si="259"/>
        <v/>
      </c>
      <c r="P221" s="418" t="str">
        <f t="shared" si="259"/>
        <v/>
      </c>
      <c r="Q221" s="418" t="str">
        <f t="shared" si="259"/>
        <v/>
      </c>
      <c r="R221" s="418" t="str">
        <f t="shared" si="259"/>
        <v/>
      </c>
      <c r="S221" s="418" t="str">
        <f t="shared" si="259"/>
        <v/>
      </c>
      <c r="T221" s="418" t="str">
        <f t="shared" si="259"/>
        <v/>
      </c>
      <c r="U221" s="418" t="str">
        <f t="shared" si="259"/>
        <v/>
      </c>
      <c r="V221" s="418" t="str">
        <f t="shared" si="259"/>
        <v/>
      </c>
      <c r="W221" s="418" t="str">
        <f t="shared" si="259"/>
        <v/>
      </c>
      <c r="X221" s="418" t="str">
        <f t="shared" si="259"/>
        <v/>
      </c>
      <c r="Y221" s="418" t="str">
        <f t="shared" si="259"/>
        <v/>
      </c>
      <c r="Z221" s="418" t="str">
        <f t="shared" si="259"/>
        <v/>
      </c>
      <c r="AA221" s="418" t="str">
        <f t="shared" si="259"/>
        <v/>
      </c>
      <c r="AB221" s="418" t="str">
        <f t="shared" si="259"/>
        <v/>
      </c>
      <c r="AC221" s="418" t="str">
        <f t="shared" si="259"/>
        <v/>
      </c>
      <c r="AD221" s="418" t="str">
        <f t="shared" si="259"/>
        <v/>
      </c>
      <c r="AE221" s="418" t="str">
        <f t="shared" si="259"/>
        <v/>
      </c>
      <c r="AF221" s="418" t="str">
        <f t="shared" si="259"/>
        <v/>
      </c>
      <c r="AG221" s="418" t="str">
        <f t="shared" si="259"/>
        <v/>
      </c>
      <c r="AH221" s="418" t="str">
        <f t="shared" si="259"/>
        <v/>
      </c>
      <c r="AI221" s="418" t="str">
        <f t="shared" si="259"/>
        <v/>
      </c>
      <c r="AJ221" s="418" t="str">
        <f t="shared" si="259"/>
        <v/>
      </c>
      <c r="AK221" s="418" t="str">
        <f t="shared" si="259"/>
        <v/>
      </c>
      <c r="AL221" s="418" t="str">
        <f t="shared" si="259"/>
        <v/>
      </c>
      <c r="AM221" s="418" t="str">
        <f t="shared" si="259"/>
        <v/>
      </c>
      <c r="AN221" s="418" t="str">
        <f t="shared" si="259"/>
        <v/>
      </c>
      <c r="AO221" s="418" t="str">
        <f t="shared" si="259"/>
        <v/>
      </c>
      <c r="AP221" s="418" t="str">
        <f t="shared" si="259"/>
        <v/>
      </c>
      <c r="AQ221" s="418" t="str">
        <f t="shared" si="259"/>
        <v/>
      </c>
      <c r="AR221" s="418" t="str">
        <f t="shared" si="259"/>
        <v/>
      </c>
      <c r="AS221" s="418" t="str">
        <f t="shared" si="259"/>
        <v/>
      </c>
      <c r="AT221" s="418" t="str">
        <f t="shared" si="259"/>
        <v/>
      </c>
      <c r="AU221" s="418" t="str">
        <f t="shared" si="259"/>
        <v/>
      </c>
      <c r="AV221" s="418" t="str">
        <f t="shared" si="259"/>
        <v/>
      </c>
      <c r="AW221" s="418" t="str">
        <f t="shared" si="259"/>
        <v/>
      </c>
      <c r="AX221" s="418" t="str">
        <f t="shared" si="259"/>
        <v/>
      </c>
      <c r="AY221" s="418">
        <f t="shared" si="259"/>
        <v>4296</v>
      </c>
      <c r="AZ221" s="418" t="str">
        <f t="shared" si="259"/>
        <v/>
      </c>
      <c r="BA221" s="418" t="str">
        <f t="shared" si="259"/>
        <v/>
      </c>
      <c r="BB221" s="418" t="str">
        <f t="shared" si="259"/>
        <v/>
      </c>
      <c r="BC221" s="418" t="str">
        <f t="shared" si="259"/>
        <v/>
      </c>
      <c r="BD221" s="418" t="str">
        <f t="shared" si="259"/>
        <v/>
      </c>
      <c r="BE221" s="418" t="str">
        <f t="shared" si="259"/>
        <v/>
      </c>
      <c r="BF221" s="418" t="str">
        <f t="shared" si="259"/>
        <v/>
      </c>
      <c r="BG221" s="418" t="str">
        <f t="shared" si="259"/>
        <v/>
      </c>
      <c r="BH221" s="418" t="str">
        <f t="shared" si="259"/>
        <v/>
      </c>
      <c r="BI221" s="418" t="str">
        <f t="shared" si="259"/>
        <v/>
      </c>
      <c r="BJ221" s="418" t="str">
        <f t="shared" si="259"/>
        <v/>
      </c>
      <c r="BK221" s="418" t="str">
        <f t="shared" si="259"/>
        <v/>
      </c>
      <c r="BL221" s="418" t="str">
        <f t="shared" si="259"/>
        <v/>
      </c>
      <c r="BM221" s="418" t="str">
        <f t="shared" si="259"/>
        <v/>
      </c>
      <c r="BN221" s="418" t="str">
        <f t="shared" si="259"/>
        <v/>
      </c>
      <c r="BO221" s="418" t="str">
        <f t="shared" si="259"/>
        <v/>
      </c>
      <c r="BP221" s="418" t="str">
        <f t="shared" si="259"/>
        <v/>
      </c>
      <c r="BQ221" s="418" t="str">
        <f t="shared" si="259"/>
        <v/>
      </c>
      <c r="BR221" s="418" t="str">
        <f t="shared" si="259"/>
        <v/>
      </c>
      <c r="BS221" s="418" t="str">
        <f t="shared" si="259"/>
        <v/>
      </c>
      <c r="BT221" s="418" t="str">
        <f t="shared" si="259"/>
        <v/>
      </c>
      <c r="BU221" s="418" t="str">
        <f t="shared" si="222"/>
        <v/>
      </c>
      <c r="BV221" s="544">
        <v>0.61</v>
      </c>
      <c r="BW221" s="723">
        <f t="shared" si="253"/>
        <v>2620.56</v>
      </c>
      <c r="BX221" s="724">
        <f t="shared" si="254"/>
        <v>20309.34</v>
      </c>
      <c r="BY221" s="725" t="str">
        <f t="shared" si="255"/>
        <v>SR</v>
      </c>
    </row>
    <row r="222" s="698" customFormat="1" customHeight="1" spans="1:77">
      <c r="A222" s="208">
        <v>46050</v>
      </c>
      <c r="B222" s="208">
        <v>46212</v>
      </c>
      <c r="C222" s="211" t="s">
        <v>479</v>
      </c>
      <c r="D222" s="211" t="s">
        <v>480</v>
      </c>
      <c r="E222" s="211" t="s">
        <v>94</v>
      </c>
      <c r="F222" s="732">
        <v>4296</v>
      </c>
      <c r="G222" s="211" t="s">
        <v>270</v>
      </c>
      <c r="H222" s="211" t="str">
        <f>IFERROR(VLOOKUP(E222,名称!A:E,4,0),"")</f>
        <v>三代</v>
      </c>
      <c r="I222" s="268" t="str">
        <f t="shared" ref="I222:BT222" si="260">IF(OR($E222="",I$1=""),"",IF(TRIM(LEFT($E222,MIN(IFERROR(FIND("CDU",UPPER($E222)),999),IFERROR(FIND("BULK",UPPER($E222)),999),IFERROR(FIND("-",$E222),999),IFERROR(FIND("（",$E222),999))-1))=I$1,$F222,""))</f>
        <v/>
      </c>
      <c r="J222" s="268" t="str">
        <f t="shared" si="260"/>
        <v/>
      </c>
      <c r="K222" s="268" t="str">
        <f t="shared" si="260"/>
        <v/>
      </c>
      <c r="L222" s="268" t="str">
        <f t="shared" si="260"/>
        <v/>
      </c>
      <c r="M222" s="268" t="str">
        <f t="shared" si="260"/>
        <v/>
      </c>
      <c r="N222" s="268" t="str">
        <f t="shared" si="260"/>
        <v/>
      </c>
      <c r="O222" s="268" t="str">
        <f t="shared" si="260"/>
        <v/>
      </c>
      <c r="P222" s="268" t="str">
        <f t="shared" si="260"/>
        <v/>
      </c>
      <c r="Q222" s="268" t="str">
        <f t="shared" si="260"/>
        <v/>
      </c>
      <c r="R222" s="268" t="str">
        <f t="shared" si="260"/>
        <v/>
      </c>
      <c r="S222" s="268" t="str">
        <f t="shared" si="260"/>
        <v/>
      </c>
      <c r="T222" s="268" t="str">
        <f t="shared" si="260"/>
        <v/>
      </c>
      <c r="U222" s="268" t="str">
        <f t="shared" si="260"/>
        <v/>
      </c>
      <c r="V222" s="268" t="str">
        <f t="shared" si="260"/>
        <v/>
      </c>
      <c r="W222" s="268" t="str">
        <f t="shared" si="260"/>
        <v/>
      </c>
      <c r="X222" s="268" t="str">
        <f t="shared" si="260"/>
        <v/>
      </c>
      <c r="Y222" s="268" t="str">
        <f t="shared" si="260"/>
        <v/>
      </c>
      <c r="Z222" s="268" t="str">
        <f t="shared" si="260"/>
        <v/>
      </c>
      <c r="AA222" s="268" t="str">
        <f t="shared" si="260"/>
        <v/>
      </c>
      <c r="AB222" s="268" t="str">
        <f t="shared" si="260"/>
        <v/>
      </c>
      <c r="AC222" s="268" t="str">
        <f t="shared" si="260"/>
        <v/>
      </c>
      <c r="AD222" s="268" t="str">
        <f t="shared" si="260"/>
        <v/>
      </c>
      <c r="AE222" s="268" t="str">
        <f t="shared" si="260"/>
        <v/>
      </c>
      <c r="AF222" s="268" t="str">
        <f t="shared" si="260"/>
        <v/>
      </c>
      <c r="AG222" s="268" t="str">
        <f t="shared" si="260"/>
        <v/>
      </c>
      <c r="AH222" s="268" t="str">
        <f t="shared" si="260"/>
        <v/>
      </c>
      <c r="AI222" s="268" t="str">
        <f t="shared" si="260"/>
        <v/>
      </c>
      <c r="AJ222" s="268" t="str">
        <f t="shared" si="260"/>
        <v/>
      </c>
      <c r="AK222" s="268" t="str">
        <f t="shared" si="260"/>
        <v/>
      </c>
      <c r="AL222" s="268" t="str">
        <f t="shared" si="260"/>
        <v/>
      </c>
      <c r="AM222" s="268" t="str">
        <f t="shared" si="260"/>
        <v/>
      </c>
      <c r="AN222" s="268" t="str">
        <f t="shared" si="260"/>
        <v/>
      </c>
      <c r="AO222" s="268" t="str">
        <f t="shared" si="260"/>
        <v/>
      </c>
      <c r="AP222" s="268" t="str">
        <f t="shared" si="260"/>
        <v/>
      </c>
      <c r="AQ222" s="268" t="str">
        <f t="shared" si="260"/>
        <v/>
      </c>
      <c r="AR222" s="268" t="str">
        <f t="shared" si="260"/>
        <v/>
      </c>
      <c r="AS222" s="268" t="str">
        <f t="shared" si="260"/>
        <v/>
      </c>
      <c r="AT222" s="268" t="str">
        <f t="shared" si="260"/>
        <v/>
      </c>
      <c r="AU222" s="268" t="str">
        <f t="shared" si="260"/>
        <v/>
      </c>
      <c r="AV222" s="268" t="str">
        <f t="shared" si="260"/>
        <v/>
      </c>
      <c r="AW222" s="268" t="str">
        <f t="shared" si="260"/>
        <v/>
      </c>
      <c r="AX222" s="268" t="str">
        <f t="shared" si="260"/>
        <v/>
      </c>
      <c r="AY222" s="268">
        <f t="shared" si="260"/>
        <v>4296</v>
      </c>
      <c r="AZ222" s="268" t="str">
        <f t="shared" si="260"/>
        <v/>
      </c>
      <c r="BA222" s="268" t="str">
        <f t="shared" si="260"/>
        <v/>
      </c>
      <c r="BB222" s="268" t="str">
        <f t="shared" si="260"/>
        <v/>
      </c>
      <c r="BC222" s="268" t="str">
        <f t="shared" si="260"/>
        <v/>
      </c>
      <c r="BD222" s="268" t="str">
        <f t="shared" si="260"/>
        <v/>
      </c>
      <c r="BE222" s="268" t="str">
        <f t="shared" si="260"/>
        <v/>
      </c>
      <c r="BF222" s="268" t="str">
        <f t="shared" si="260"/>
        <v/>
      </c>
      <c r="BG222" s="268" t="str">
        <f t="shared" si="260"/>
        <v/>
      </c>
      <c r="BH222" s="268" t="str">
        <f t="shared" si="260"/>
        <v/>
      </c>
      <c r="BI222" s="268" t="str">
        <f t="shared" si="260"/>
        <v/>
      </c>
      <c r="BJ222" s="268" t="str">
        <f t="shared" si="260"/>
        <v/>
      </c>
      <c r="BK222" s="268" t="str">
        <f t="shared" si="260"/>
        <v/>
      </c>
      <c r="BL222" s="268" t="str">
        <f t="shared" si="260"/>
        <v/>
      </c>
      <c r="BM222" s="268" t="str">
        <f t="shared" si="260"/>
        <v/>
      </c>
      <c r="BN222" s="268" t="str">
        <f t="shared" si="260"/>
        <v/>
      </c>
      <c r="BO222" s="268" t="str">
        <f t="shared" si="260"/>
        <v/>
      </c>
      <c r="BP222" s="268" t="str">
        <f t="shared" si="260"/>
        <v/>
      </c>
      <c r="BQ222" s="268" t="str">
        <f t="shared" si="260"/>
        <v/>
      </c>
      <c r="BR222" s="268" t="str">
        <f t="shared" si="260"/>
        <v/>
      </c>
      <c r="BS222" s="268" t="str">
        <f t="shared" si="260"/>
        <v/>
      </c>
      <c r="BT222" s="268" t="str">
        <f t="shared" si="260"/>
        <v/>
      </c>
      <c r="BU222" s="268" t="str">
        <f t="shared" si="222"/>
        <v/>
      </c>
      <c r="BV222" s="247">
        <v>0.62</v>
      </c>
      <c r="BW222" s="729">
        <f t="shared" si="253"/>
        <v>2663.52</v>
      </c>
      <c r="BX222" s="730">
        <f t="shared" si="254"/>
        <v>20642.28</v>
      </c>
      <c r="BY222" s="731" t="str">
        <f t="shared" si="255"/>
        <v>SR</v>
      </c>
    </row>
    <row r="223" s="698" customFormat="1" customHeight="1" spans="1:77">
      <c r="A223" s="208">
        <v>46050</v>
      </c>
      <c r="B223" s="208">
        <v>46198</v>
      </c>
      <c r="C223" s="211" t="s">
        <v>481</v>
      </c>
      <c r="D223" s="211" t="s">
        <v>482</v>
      </c>
      <c r="E223" s="211" t="s">
        <v>94</v>
      </c>
      <c r="F223" s="732">
        <v>4296</v>
      </c>
      <c r="G223" s="211" t="s">
        <v>270</v>
      </c>
      <c r="H223" s="211" t="str">
        <f>IFERROR(VLOOKUP(E223,名称!A:E,4,0),"")</f>
        <v>三代</v>
      </c>
      <c r="I223" s="268" t="str">
        <f t="shared" ref="I223:BT223" si="261">IF(OR($E223="",I$1=""),"",IF(TRIM(LEFT($E223,MIN(IFERROR(FIND("CDU",UPPER($E223)),999),IFERROR(FIND("BULK",UPPER($E223)),999),IFERROR(FIND("-",$E223),999),IFERROR(FIND("（",$E223),999))-1))=I$1,$F223,""))</f>
        <v/>
      </c>
      <c r="J223" s="268" t="str">
        <f t="shared" si="261"/>
        <v/>
      </c>
      <c r="K223" s="268" t="str">
        <f t="shared" si="261"/>
        <v/>
      </c>
      <c r="L223" s="268" t="str">
        <f t="shared" si="261"/>
        <v/>
      </c>
      <c r="M223" s="268" t="str">
        <f t="shared" si="261"/>
        <v/>
      </c>
      <c r="N223" s="268" t="str">
        <f t="shared" si="261"/>
        <v/>
      </c>
      <c r="O223" s="268" t="str">
        <f t="shared" si="261"/>
        <v/>
      </c>
      <c r="P223" s="268" t="str">
        <f t="shared" si="261"/>
        <v/>
      </c>
      <c r="Q223" s="268" t="str">
        <f t="shared" si="261"/>
        <v/>
      </c>
      <c r="R223" s="268" t="str">
        <f t="shared" si="261"/>
        <v/>
      </c>
      <c r="S223" s="268" t="str">
        <f t="shared" si="261"/>
        <v/>
      </c>
      <c r="T223" s="268" t="str">
        <f t="shared" si="261"/>
        <v/>
      </c>
      <c r="U223" s="268" t="str">
        <f t="shared" si="261"/>
        <v/>
      </c>
      <c r="V223" s="268" t="str">
        <f t="shared" si="261"/>
        <v/>
      </c>
      <c r="W223" s="268" t="str">
        <f t="shared" si="261"/>
        <v/>
      </c>
      <c r="X223" s="268" t="str">
        <f t="shared" si="261"/>
        <v/>
      </c>
      <c r="Y223" s="268" t="str">
        <f t="shared" si="261"/>
        <v/>
      </c>
      <c r="Z223" s="268" t="str">
        <f t="shared" si="261"/>
        <v/>
      </c>
      <c r="AA223" s="268" t="str">
        <f t="shared" si="261"/>
        <v/>
      </c>
      <c r="AB223" s="268" t="str">
        <f t="shared" si="261"/>
        <v/>
      </c>
      <c r="AC223" s="268" t="str">
        <f t="shared" si="261"/>
        <v/>
      </c>
      <c r="AD223" s="268" t="str">
        <f t="shared" si="261"/>
        <v/>
      </c>
      <c r="AE223" s="268" t="str">
        <f t="shared" si="261"/>
        <v/>
      </c>
      <c r="AF223" s="268" t="str">
        <f t="shared" si="261"/>
        <v/>
      </c>
      <c r="AG223" s="268" t="str">
        <f t="shared" si="261"/>
        <v/>
      </c>
      <c r="AH223" s="268" t="str">
        <f t="shared" si="261"/>
        <v/>
      </c>
      <c r="AI223" s="268" t="str">
        <f t="shared" si="261"/>
        <v/>
      </c>
      <c r="AJ223" s="268" t="str">
        <f t="shared" si="261"/>
        <v/>
      </c>
      <c r="AK223" s="268" t="str">
        <f t="shared" si="261"/>
        <v/>
      </c>
      <c r="AL223" s="268" t="str">
        <f t="shared" si="261"/>
        <v/>
      </c>
      <c r="AM223" s="268" t="str">
        <f t="shared" si="261"/>
        <v/>
      </c>
      <c r="AN223" s="268" t="str">
        <f t="shared" si="261"/>
        <v/>
      </c>
      <c r="AO223" s="268" t="str">
        <f t="shared" si="261"/>
        <v/>
      </c>
      <c r="AP223" s="268" t="str">
        <f t="shared" si="261"/>
        <v/>
      </c>
      <c r="AQ223" s="268" t="str">
        <f t="shared" si="261"/>
        <v/>
      </c>
      <c r="AR223" s="268" t="str">
        <f t="shared" si="261"/>
        <v/>
      </c>
      <c r="AS223" s="268" t="str">
        <f t="shared" si="261"/>
        <v/>
      </c>
      <c r="AT223" s="268" t="str">
        <f t="shared" si="261"/>
        <v/>
      </c>
      <c r="AU223" s="268" t="str">
        <f t="shared" si="261"/>
        <v/>
      </c>
      <c r="AV223" s="268" t="str">
        <f t="shared" si="261"/>
        <v/>
      </c>
      <c r="AW223" s="268" t="str">
        <f t="shared" si="261"/>
        <v/>
      </c>
      <c r="AX223" s="268" t="str">
        <f t="shared" si="261"/>
        <v/>
      </c>
      <c r="AY223" s="268">
        <f t="shared" si="261"/>
        <v>4296</v>
      </c>
      <c r="AZ223" s="268" t="str">
        <f t="shared" si="261"/>
        <v/>
      </c>
      <c r="BA223" s="268" t="str">
        <f t="shared" si="261"/>
        <v/>
      </c>
      <c r="BB223" s="268" t="str">
        <f t="shared" si="261"/>
        <v/>
      </c>
      <c r="BC223" s="268" t="str">
        <f t="shared" si="261"/>
        <v/>
      </c>
      <c r="BD223" s="268" t="str">
        <f t="shared" si="261"/>
        <v/>
      </c>
      <c r="BE223" s="268" t="str">
        <f t="shared" si="261"/>
        <v/>
      </c>
      <c r="BF223" s="268" t="str">
        <f t="shared" si="261"/>
        <v/>
      </c>
      <c r="BG223" s="268" t="str">
        <f t="shared" si="261"/>
        <v/>
      </c>
      <c r="BH223" s="268" t="str">
        <f t="shared" si="261"/>
        <v/>
      </c>
      <c r="BI223" s="268" t="str">
        <f t="shared" si="261"/>
        <v/>
      </c>
      <c r="BJ223" s="268" t="str">
        <f t="shared" si="261"/>
        <v/>
      </c>
      <c r="BK223" s="268" t="str">
        <f t="shared" si="261"/>
        <v/>
      </c>
      <c r="BL223" s="268" t="str">
        <f t="shared" si="261"/>
        <v/>
      </c>
      <c r="BM223" s="268" t="str">
        <f t="shared" si="261"/>
        <v/>
      </c>
      <c r="BN223" s="268" t="str">
        <f t="shared" si="261"/>
        <v/>
      </c>
      <c r="BO223" s="268" t="str">
        <f t="shared" si="261"/>
        <v/>
      </c>
      <c r="BP223" s="268" t="str">
        <f t="shared" si="261"/>
        <v/>
      </c>
      <c r="BQ223" s="268" t="str">
        <f t="shared" si="261"/>
        <v/>
      </c>
      <c r="BR223" s="268" t="str">
        <f t="shared" si="261"/>
        <v/>
      </c>
      <c r="BS223" s="268" t="str">
        <f t="shared" si="261"/>
        <v/>
      </c>
      <c r="BT223" s="268" t="str">
        <f t="shared" si="261"/>
        <v/>
      </c>
      <c r="BU223" s="268" t="str">
        <f t="shared" si="222"/>
        <v/>
      </c>
      <c r="BV223" s="247">
        <v>0.62</v>
      </c>
      <c r="BW223" s="729">
        <f t="shared" si="253"/>
        <v>2663.52</v>
      </c>
      <c r="BX223" s="730">
        <f t="shared" si="254"/>
        <v>20642.28</v>
      </c>
      <c r="BY223" s="731" t="str">
        <f t="shared" si="255"/>
        <v>SR</v>
      </c>
    </row>
    <row r="224" s="698" customFormat="1" customHeight="1" spans="1:77">
      <c r="A224" s="208">
        <v>46050</v>
      </c>
      <c r="B224" s="208">
        <v>46184</v>
      </c>
      <c r="C224" s="211" t="s">
        <v>483</v>
      </c>
      <c r="D224" s="211" t="s">
        <v>484</v>
      </c>
      <c r="E224" s="211" t="s">
        <v>94</v>
      </c>
      <c r="F224" s="732">
        <v>4296</v>
      </c>
      <c r="G224" s="211" t="s">
        <v>270</v>
      </c>
      <c r="H224" s="211" t="str">
        <f>IFERROR(VLOOKUP(E224,名称!A:E,4,0),"")</f>
        <v>三代</v>
      </c>
      <c r="I224" s="268" t="str">
        <f t="shared" ref="I224:BT224" si="262">IF(OR($E224="",I$1=""),"",IF(TRIM(LEFT($E224,MIN(IFERROR(FIND("CDU",UPPER($E224)),999),IFERROR(FIND("BULK",UPPER($E224)),999),IFERROR(FIND("-",$E224),999),IFERROR(FIND("（",$E224),999))-1))=I$1,$F224,""))</f>
        <v/>
      </c>
      <c r="J224" s="268" t="str">
        <f t="shared" si="262"/>
        <v/>
      </c>
      <c r="K224" s="268" t="str">
        <f t="shared" si="262"/>
        <v/>
      </c>
      <c r="L224" s="268" t="str">
        <f t="shared" si="262"/>
        <v/>
      </c>
      <c r="M224" s="268" t="str">
        <f t="shared" si="262"/>
        <v/>
      </c>
      <c r="N224" s="268" t="str">
        <f t="shared" si="262"/>
        <v/>
      </c>
      <c r="O224" s="268" t="str">
        <f t="shared" si="262"/>
        <v/>
      </c>
      <c r="P224" s="268" t="str">
        <f t="shared" si="262"/>
        <v/>
      </c>
      <c r="Q224" s="268" t="str">
        <f t="shared" si="262"/>
        <v/>
      </c>
      <c r="R224" s="268" t="str">
        <f t="shared" si="262"/>
        <v/>
      </c>
      <c r="S224" s="268" t="str">
        <f t="shared" si="262"/>
        <v/>
      </c>
      <c r="T224" s="268" t="str">
        <f t="shared" si="262"/>
        <v/>
      </c>
      <c r="U224" s="268" t="str">
        <f t="shared" si="262"/>
        <v/>
      </c>
      <c r="V224" s="268" t="str">
        <f t="shared" si="262"/>
        <v/>
      </c>
      <c r="W224" s="268" t="str">
        <f t="shared" si="262"/>
        <v/>
      </c>
      <c r="X224" s="268" t="str">
        <f t="shared" si="262"/>
        <v/>
      </c>
      <c r="Y224" s="268" t="str">
        <f t="shared" si="262"/>
        <v/>
      </c>
      <c r="Z224" s="268" t="str">
        <f t="shared" si="262"/>
        <v/>
      </c>
      <c r="AA224" s="268" t="str">
        <f t="shared" si="262"/>
        <v/>
      </c>
      <c r="AB224" s="268" t="str">
        <f t="shared" si="262"/>
        <v/>
      </c>
      <c r="AC224" s="268" t="str">
        <f t="shared" si="262"/>
        <v/>
      </c>
      <c r="AD224" s="268" t="str">
        <f t="shared" si="262"/>
        <v/>
      </c>
      <c r="AE224" s="268" t="str">
        <f t="shared" si="262"/>
        <v/>
      </c>
      <c r="AF224" s="268" t="str">
        <f t="shared" si="262"/>
        <v/>
      </c>
      <c r="AG224" s="268" t="str">
        <f t="shared" si="262"/>
        <v/>
      </c>
      <c r="AH224" s="268" t="str">
        <f t="shared" si="262"/>
        <v/>
      </c>
      <c r="AI224" s="268" t="str">
        <f t="shared" si="262"/>
        <v/>
      </c>
      <c r="AJ224" s="268" t="str">
        <f t="shared" si="262"/>
        <v/>
      </c>
      <c r="AK224" s="268" t="str">
        <f t="shared" si="262"/>
        <v/>
      </c>
      <c r="AL224" s="268" t="str">
        <f t="shared" si="262"/>
        <v/>
      </c>
      <c r="AM224" s="268" t="str">
        <f t="shared" si="262"/>
        <v/>
      </c>
      <c r="AN224" s="268" t="str">
        <f t="shared" si="262"/>
        <v/>
      </c>
      <c r="AO224" s="268" t="str">
        <f t="shared" si="262"/>
        <v/>
      </c>
      <c r="AP224" s="268" t="str">
        <f t="shared" si="262"/>
        <v/>
      </c>
      <c r="AQ224" s="268" t="str">
        <f t="shared" si="262"/>
        <v/>
      </c>
      <c r="AR224" s="268" t="str">
        <f t="shared" si="262"/>
        <v/>
      </c>
      <c r="AS224" s="268" t="str">
        <f t="shared" si="262"/>
        <v/>
      </c>
      <c r="AT224" s="268" t="str">
        <f t="shared" si="262"/>
        <v/>
      </c>
      <c r="AU224" s="268" t="str">
        <f t="shared" si="262"/>
        <v/>
      </c>
      <c r="AV224" s="268" t="str">
        <f t="shared" si="262"/>
        <v/>
      </c>
      <c r="AW224" s="268" t="str">
        <f t="shared" si="262"/>
        <v/>
      </c>
      <c r="AX224" s="268" t="str">
        <f t="shared" si="262"/>
        <v/>
      </c>
      <c r="AY224" s="268">
        <f t="shared" si="262"/>
        <v>4296</v>
      </c>
      <c r="AZ224" s="268" t="str">
        <f t="shared" si="262"/>
        <v/>
      </c>
      <c r="BA224" s="268" t="str">
        <f t="shared" si="262"/>
        <v/>
      </c>
      <c r="BB224" s="268" t="str">
        <f t="shared" si="262"/>
        <v/>
      </c>
      <c r="BC224" s="268" t="str">
        <f t="shared" si="262"/>
        <v/>
      </c>
      <c r="BD224" s="268" t="str">
        <f t="shared" si="262"/>
        <v/>
      </c>
      <c r="BE224" s="268" t="str">
        <f t="shared" si="262"/>
        <v/>
      </c>
      <c r="BF224" s="268" t="str">
        <f t="shared" si="262"/>
        <v/>
      </c>
      <c r="BG224" s="268" t="str">
        <f t="shared" si="262"/>
        <v/>
      </c>
      <c r="BH224" s="268" t="str">
        <f t="shared" si="262"/>
        <v/>
      </c>
      <c r="BI224" s="268" t="str">
        <f t="shared" si="262"/>
        <v/>
      </c>
      <c r="BJ224" s="268" t="str">
        <f t="shared" si="262"/>
        <v/>
      </c>
      <c r="BK224" s="268" t="str">
        <f t="shared" si="262"/>
        <v/>
      </c>
      <c r="BL224" s="268" t="str">
        <f t="shared" si="262"/>
        <v/>
      </c>
      <c r="BM224" s="268" t="str">
        <f t="shared" si="262"/>
        <v/>
      </c>
      <c r="BN224" s="268" t="str">
        <f t="shared" si="262"/>
        <v/>
      </c>
      <c r="BO224" s="268" t="str">
        <f t="shared" si="262"/>
        <v/>
      </c>
      <c r="BP224" s="268" t="str">
        <f t="shared" si="262"/>
        <v/>
      </c>
      <c r="BQ224" s="268" t="str">
        <f t="shared" si="262"/>
        <v/>
      </c>
      <c r="BR224" s="268" t="str">
        <f t="shared" si="262"/>
        <v/>
      </c>
      <c r="BS224" s="268" t="str">
        <f t="shared" si="262"/>
        <v/>
      </c>
      <c r="BT224" s="268" t="str">
        <f t="shared" si="262"/>
        <v/>
      </c>
      <c r="BU224" s="268" t="str">
        <f t="shared" si="222"/>
        <v/>
      </c>
      <c r="BV224" s="247">
        <v>0.62</v>
      </c>
      <c r="BW224" s="729">
        <f t="shared" si="253"/>
        <v>2663.52</v>
      </c>
      <c r="BX224" s="730">
        <f t="shared" si="254"/>
        <v>20642.28</v>
      </c>
      <c r="BY224" s="731" t="str">
        <f t="shared" si="255"/>
        <v>SR</v>
      </c>
    </row>
    <row r="225" s="698" customFormat="1" customHeight="1" spans="1:77">
      <c r="A225" s="208">
        <v>46052</v>
      </c>
      <c r="B225" s="208">
        <v>46121</v>
      </c>
      <c r="C225" s="211"/>
      <c r="D225" s="211" t="s">
        <v>485</v>
      </c>
      <c r="E225" s="211" t="s">
        <v>25</v>
      </c>
      <c r="F225" s="732">
        <v>2048</v>
      </c>
      <c r="G225" s="211" t="s">
        <v>327</v>
      </c>
      <c r="H225" s="211" t="str">
        <f>IFERROR(VLOOKUP(E225,名称!A:E,4,0),"")</f>
        <v>二代</v>
      </c>
      <c r="I225" s="268" t="str">
        <f t="shared" ref="I225:BT225" si="263">IF(OR($E225="",I$1=""),"",IF(TRIM(LEFT($E225,MIN(IFERROR(FIND("CDU",UPPER($E225)),999),IFERROR(FIND("BULK",UPPER($E225)),999),IFERROR(FIND("-",$E225),999),IFERROR(FIND("（",$E225),999))-1))=I$1,$F225,""))</f>
        <v/>
      </c>
      <c r="J225" s="268" t="str">
        <f t="shared" si="263"/>
        <v/>
      </c>
      <c r="K225" s="268">
        <f t="shared" si="263"/>
        <v>2048</v>
      </c>
      <c r="L225" s="268" t="str">
        <f t="shared" si="263"/>
        <v/>
      </c>
      <c r="M225" s="268" t="str">
        <f t="shared" si="263"/>
        <v/>
      </c>
      <c r="N225" s="268" t="str">
        <f t="shared" si="263"/>
        <v/>
      </c>
      <c r="O225" s="268" t="str">
        <f t="shared" si="263"/>
        <v/>
      </c>
      <c r="P225" s="268" t="str">
        <f t="shared" si="263"/>
        <v/>
      </c>
      <c r="Q225" s="268" t="str">
        <f t="shared" si="263"/>
        <v/>
      </c>
      <c r="R225" s="268" t="str">
        <f t="shared" si="263"/>
        <v/>
      </c>
      <c r="S225" s="268" t="str">
        <f t="shared" si="263"/>
        <v/>
      </c>
      <c r="T225" s="268" t="str">
        <f t="shared" si="263"/>
        <v/>
      </c>
      <c r="U225" s="268" t="str">
        <f t="shared" si="263"/>
        <v/>
      </c>
      <c r="V225" s="268" t="str">
        <f t="shared" si="263"/>
        <v/>
      </c>
      <c r="W225" s="268" t="str">
        <f t="shared" si="263"/>
        <v/>
      </c>
      <c r="X225" s="268" t="str">
        <f t="shared" si="263"/>
        <v/>
      </c>
      <c r="Y225" s="268" t="str">
        <f t="shared" si="263"/>
        <v/>
      </c>
      <c r="Z225" s="268" t="str">
        <f t="shared" si="263"/>
        <v/>
      </c>
      <c r="AA225" s="268" t="str">
        <f t="shared" si="263"/>
        <v/>
      </c>
      <c r="AB225" s="268" t="str">
        <f t="shared" si="263"/>
        <v/>
      </c>
      <c r="AC225" s="268" t="str">
        <f t="shared" si="263"/>
        <v/>
      </c>
      <c r="AD225" s="268" t="str">
        <f t="shared" si="263"/>
        <v/>
      </c>
      <c r="AE225" s="268" t="str">
        <f t="shared" si="263"/>
        <v/>
      </c>
      <c r="AF225" s="268" t="str">
        <f t="shared" si="263"/>
        <v/>
      </c>
      <c r="AG225" s="268" t="str">
        <f t="shared" si="263"/>
        <v/>
      </c>
      <c r="AH225" s="268" t="str">
        <f t="shared" si="263"/>
        <v/>
      </c>
      <c r="AI225" s="268" t="str">
        <f t="shared" si="263"/>
        <v/>
      </c>
      <c r="AJ225" s="268" t="str">
        <f t="shared" si="263"/>
        <v/>
      </c>
      <c r="AK225" s="268" t="str">
        <f t="shared" si="263"/>
        <v/>
      </c>
      <c r="AL225" s="268" t="str">
        <f t="shared" si="263"/>
        <v/>
      </c>
      <c r="AM225" s="268" t="str">
        <f t="shared" si="263"/>
        <v/>
      </c>
      <c r="AN225" s="268" t="str">
        <f t="shared" si="263"/>
        <v/>
      </c>
      <c r="AO225" s="268" t="str">
        <f t="shared" si="263"/>
        <v/>
      </c>
      <c r="AP225" s="268" t="str">
        <f t="shared" si="263"/>
        <v/>
      </c>
      <c r="AQ225" s="268" t="str">
        <f t="shared" si="263"/>
        <v/>
      </c>
      <c r="AR225" s="268" t="str">
        <f t="shared" si="263"/>
        <v/>
      </c>
      <c r="AS225" s="268" t="str">
        <f t="shared" si="263"/>
        <v/>
      </c>
      <c r="AT225" s="268" t="str">
        <f t="shared" si="263"/>
        <v/>
      </c>
      <c r="AU225" s="268" t="str">
        <f t="shared" si="263"/>
        <v/>
      </c>
      <c r="AV225" s="268" t="str">
        <f t="shared" si="263"/>
        <v/>
      </c>
      <c r="AW225" s="268" t="str">
        <f t="shared" si="263"/>
        <v/>
      </c>
      <c r="AX225" s="268" t="str">
        <f t="shared" si="263"/>
        <v/>
      </c>
      <c r="AY225" s="268" t="str">
        <f t="shared" si="263"/>
        <v/>
      </c>
      <c r="AZ225" s="268" t="str">
        <f t="shared" si="263"/>
        <v/>
      </c>
      <c r="BA225" s="268" t="str">
        <f t="shared" si="263"/>
        <v/>
      </c>
      <c r="BB225" s="268" t="str">
        <f t="shared" si="263"/>
        <v/>
      </c>
      <c r="BC225" s="268" t="str">
        <f t="shared" si="263"/>
        <v/>
      </c>
      <c r="BD225" s="268" t="str">
        <f t="shared" si="263"/>
        <v/>
      </c>
      <c r="BE225" s="268" t="str">
        <f t="shared" si="263"/>
        <v/>
      </c>
      <c r="BF225" s="268" t="str">
        <f t="shared" si="263"/>
        <v/>
      </c>
      <c r="BG225" s="268" t="str">
        <f t="shared" si="263"/>
        <v/>
      </c>
      <c r="BH225" s="268" t="str">
        <f t="shared" si="263"/>
        <v/>
      </c>
      <c r="BI225" s="268" t="str">
        <f t="shared" si="263"/>
        <v/>
      </c>
      <c r="BJ225" s="268" t="str">
        <f t="shared" si="263"/>
        <v/>
      </c>
      <c r="BK225" s="268" t="str">
        <f t="shared" si="263"/>
        <v/>
      </c>
      <c r="BL225" s="268" t="str">
        <f t="shared" si="263"/>
        <v/>
      </c>
      <c r="BM225" s="268" t="str">
        <f t="shared" si="263"/>
        <v/>
      </c>
      <c r="BN225" s="268" t="str">
        <f t="shared" si="263"/>
        <v/>
      </c>
      <c r="BO225" s="268" t="str">
        <f t="shared" si="263"/>
        <v/>
      </c>
      <c r="BP225" s="268" t="str">
        <f t="shared" si="263"/>
        <v/>
      </c>
      <c r="BQ225" s="268" t="str">
        <f t="shared" si="263"/>
        <v/>
      </c>
      <c r="BR225" s="268" t="str">
        <f t="shared" si="263"/>
        <v/>
      </c>
      <c r="BS225" s="268" t="str">
        <f t="shared" si="263"/>
        <v/>
      </c>
      <c r="BT225" s="268" t="str">
        <f t="shared" si="263"/>
        <v/>
      </c>
      <c r="BU225" s="268" t="str">
        <f t="shared" si="222"/>
        <v/>
      </c>
      <c r="BV225" s="247">
        <v>0.91</v>
      </c>
      <c r="BW225" s="729">
        <f t="shared" si="253"/>
        <v>1863.68</v>
      </c>
      <c r="BX225" s="730">
        <f t="shared" si="254"/>
        <v>14443.52</v>
      </c>
      <c r="BY225" s="731" t="str">
        <f t="shared" si="255"/>
        <v>SR</v>
      </c>
    </row>
    <row r="226" s="698" customFormat="1" customHeight="1" spans="1:77">
      <c r="A226" s="208">
        <v>46052</v>
      </c>
      <c r="B226" s="208">
        <v>46121</v>
      </c>
      <c r="C226" s="211"/>
      <c r="D226" s="211" t="s">
        <v>485</v>
      </c>
      <c r="E226" s="211" t="s">
        <v>37</v>
      </c>
      <c r="F226" s="732">
        <v>900</v>
      </c>
      <c r="G226" s="211" t="s">
        <v>327</v>
      </c>
      <c r="H226" s="211" t="str">
        <f>IFERROR(VLOOKUP(E226,名称!A:E,4,0),"")</f>
        <v>二代</v>
      </c>
      <c r="I226" s="268" t="str">
        <f t="shared" ref="I226:BT226" si="264">IF(OR($E226="",I$1=""),"",IF(TRIM(LEFT($E226,MIN(IFERROR(FIND("CDU",UPPER($E226)),999),IFERROR(FIND("BULK",UPPER($E226)),999),IFERROR(FIND("-",$E226),999),IFERROR(FIND("（",$E226),999))-1))=I$1,$F226,""))</f>
        <v/>
      </c>
      <c r="J226" s="268" t="str">
        <f t="shared" si="264"/>
        <v/>
      </c>
      <c r="K226" s="268" t="str">
        <f t="shared" si="264"/>
        <v/>
      </c>
      <c r="L226" s="268" t="str">
        <f t="shared" si="264"/>
        <v/>
      </c>
      <c r="M226" s="268" t="str">
        <f t="shared" si="264"/>
        <v/>
      </c>
      <c r="N226" s="268" t="str">
        <f t="shared" si="264"/>
        <v/>
      </c>
      <c r="O226" s="268" t="str">
        <f t="shared" si="264"/>
        <v/>
      </c>
      <c r="P226" s="268" t="str">
        <f t="shared" si="264"/>
        <v/>
      </c>
      <c r="Q226" s="268" t="str">
        <f t="shared" si="264"/>
        <v/>
      </c>
      <c r="R226" s="268">
        <f t="shared" si="264"/>
        <v>900</v>
      </c>
      <c r="S226" s="268" t="str">
        <f t="shared" si="264"/>
        <v/>
      </c>
      <c r="T226" s="268" t="str">
        <f t="shared" si="264"/>
        <v/>
      </c>
      <c r="U226" s="268" t="str">
        <f t="shared" si="264"/>
        <v/>
      </c>
      <c r="V226" s="268" t="str">
        <f t="shared" si="264"/>
        <v/>
      </c>
      <c r="W226" s="268" t="str">
        <f t="shared" si="264"/>
        <v/>
      </c>
      <c r="X226" s="268" t="str">
        <f t="shared" si="264"/>
        <v/>
      </c>
      <c r="Y226" s="268" t="str">
        <f t="shared" si="264"/>
        <v/>
      </c>
      <c r="Z226" s="268" t="str">
        <f t="shared" si="264"/>
        <v/>
      </c>
      <c r="AA226" s="268" t="str">
        <f t="shared" si="264"/>
        <v/>
      </c>
      <c r="AB226" s="268" t="str">
        <f t="shared" si="264"/>
        <v/>
      </c>
      <c r="AC226" s="268" t="str">
        <f t="shared" si="264"/>
        <v/>
      </c>
      <c r="AD226" s="268" t="str">
        <f t="shared" si="264"/>
        <v/>
      </c>
      <c r="AE226" s="268" t="str">
        <f t="shared" si="264"/>
        <v/>
      </c>
      <c r="AF226" s="268" t="str">
        <f t="shared" si="264"/>
        <v/>
      </c>
      <c r="AG226" s="268" t="str">
        <f t="shared" si="264"/>
        <v/>
      </c>
      <c r="AH226" s="268" t="str">
        <f t="shared" si="264"/>
        <v/>
      </c>
      <c r="AI226" s="268" t="str">
        <f t="shared" si="264"/>
        <v/>
      </c>
      <c r="AJ226" s="268" t="str">
        <f t="shared" si="264"/>
        <v/>
      </c>
      <c r="AK226" s="268" t="str">
        <f t="shared" si="264"/>
        <v/>
      </c>
      <c r="AL226" s="268" t="str">
        <f t="shared" si="264"/>
        <v/>
      </c>
      <c r="AM226" s="268" t="str">
        <f t="shared" si="264"/>
        <v/>
      </c>
      <c r="AN226" s="268" t="str">
        <f t="shared" si="264"/>
        <v/>
      </c>
      <c r="AO226" s="268" t="str">
        <f t="shared" si="264"/>
        <v/>
      </c>
      <c r="AP226" s="268" t="str">
        <f t="shared" si="264"/>
        <v/>
      </c>
      <c r="AQ226" s="268" t="str">
        <f t="shared" si="264"/>
        <v/>
      </c>
      <c r="AR226" s="268" t="str">
        <f t="shared" si="264"/>
        <v/>
      </c>
      <c r="AS226" s="268" t="str">
        <f t="shared" si="264"/>
        <v/>
      </c>
      <c r="AT226" s="268" t="str">
        <f t="shared" si="264"/>
        <v/>
      </c>
      <c r="AU226" s="268" t="str">
        <f t="shared" si="264"/>
        <v/>
      </c>
      <c r="AV226" s="268" t="str">
        <f t="shared" si="264"/>
        <v/>
      </c>
      <c r="AW226" s="268" t="str">
        <f t="shared" si="264"/>
        <v/>
      </c>
      <c r="AX226" s="268" t="str">
        <f t="shared" si="264"/>
        <v/>
      </c>
      <c r="AY226" s="268" t="str">
        <f t="shared" si="264"/>
        <v/>
      </c>
      <c r="AZ226" s="268" t="str">
        <f t="shared" si="264"/>
        <v/>
      </c>
      <c r="BA226" s="268" t="str">
        <f t="shared" si="264"/>
        <v/>
      </c>
      <c r="BB226" s="268" t="str">
        <f t="shared" si="264"/>
        <v/>
      </c>
      <c r="BC226" s="268" t="str">
        <f t="shared" si="264"/>
        <v/>
      </c>
      <c r="BD226" s="268" t="str">
        <f t="shared" si="264"/>
        <v/>
      </c>
      <c r="BE226" s="268" t="str">
        <f t="shared" si="264"/>
        <v/>
      </c>
      <c r="BF226" s="268" t="str">
        <f t="shared" si="264"/>
        <v/>
      </c>
      <c r="BG226" s="268" t="str">
        <f t="shared" si="264"/>
        <v/>
      </c>
      <c r="BH226" s="268" t="str">
        <f t="shared" si="264"/>
        <v/>
      </c>
      <c r="BI226" s="268" t="str">
        <f t="shared" si="264"/>
        <v/>
      </c>
      <c r="BJ226" s="268" t="str">
        <f t="shared" si="264"/>
        <v/>
      </c>
      <c r="BK226" s="268" t="str">
        <f t="shared" si="264"/>
        <v/>
      </c>
      <c r="BL226" s="268" t="str">
        <f t="shared" si="264"/>
        <v/>
      </c>
      <c r="BM226" s="268" t="str">
        <f t="shared" si="264"/>
        <v/>
      </c>
      <c r="BN226" s="268" t="str">
        <f t="shared" si="264"/>
        <v/>
      </c>
      <c r="BO226" s="268" t="str">
        <f t="shared" si="264"/>
        <v/>
      </c>
      <c r="BP226" s="268" t="str">
        <f t="shared" si="264"/>
        <v/>
      </c>
      <c r="BQ226" s="268" t="str">
        <f t="shared" si="264"/>
        <v/>
      </c>
      <c r="BR226" s="268" t="str">
        <f t="shared" si="264"/>
        <v/>
      </c>
      <c r="BS226" s="268" t="str">
        <f t="shared" si="264"/>
        <v/>
      </c>
      <c r="BT226" s="268" t="str">
        <f t="shared" si="264"/>
        <v/>
      </c>
      <c r="BU226" s="268" t="str">
        <f t="shared" si="222"/>
        <v/>
      </c>
      <c r="BV226" s="247">
        <v>2.09</v>
      </c>
      <c r="BW226" s="729">
        <f t="shared" si="253"/>
        <v>1881</v>
      </c>
      <c r="BX226" s="730">
        <f t="shared" si="254"/>
        <v>14577.75</v>
      </c>
      <c r="BY226" s="731" t="str">
        <f t="shared" si="255"/>
        <v>SR</v>
      </c>
    </row>
    <row r="227" s="698" customFormat="1" customHeight="1" spans="1:77">
      <c r="A227" s="208">
        <v>46052</v>
      </c>
      <c r="B227" s="208">
        <v>46121</v>
      </c>
      <c r="C227" s="211"/>
      <c r="D227" s="211" t="s">
        <v>485</v>
      </c>
      <c r="E227" s="211" t="s">
        <v>41</v>
      </c>
      <c r="F227" s="732">
        <v>1500</v>
      </c>
      <c r="G227" s="211" t="s">
        <v>327</v>
      </c>
      <c r="H227" s="211" t="str">
        <f>IFERROR(VLOOKUP(E227,名称!A:E,4,0),"")</f>
        <v>二代</v>
      </c>
      <c r="I227" s="268" t="str">
        <f t="shared" ref="I227:BT227" si="265">IF(OR($E227="",I$1=""),"",IF(TRIM(LEFT($E227,MIN(IFERROR(FIND("CDU",UPPER($E227)),999),IFERROR(FIND("BULK",UPPER($E227)),999),IFERROR(FIND("-",$E227),999),IFERROR(FIND("（",$E227),999))-1))=I$1,$F227,""))</f>
        <v/>
      </c>
      <c r="J227" s="268" t="str">
        <f t="shared" si="265"/>
        <v/>
      </c>
      <c r="K227" s="268" t="str">
        <f t="shared" si="265"/>
        <v/>
      </c>
      <c r="L227" s="268" t="str">
        <f t="shared" si="265"/>
        <v/>
      </c>
      <c r="M227" s="268" t="str">
        <f t="shared" si="265"/>
        <v/>
      </c>
      <c r="N227" s="268" t="str">
        <f t="shared" si="265"/>
        <v/>
      </c>
      <c r="O227" s="268" t="str">
        <f t="shared" si="265"/>
        <v/>
      </c>
      <c r="P227" s="268" t="str">
        <f t="shared" si="265"/>
        <v/>
      </c>
      <c r="Q227" s="268" t="str">
        <f t="shared" si="265"/>
        <v/>
      </c>
      <c r="R227" s="268" t="str">
        <f t="shared" si="265"/>
        <v/>
      </c>
      <c r="S227" s="268" t="str">
        <f t="shared" si="265"/>
        <v/>
      </c>
      <c r="T227" s="268" t="str">
        <f t="shared" si="265"/>
        <v/>
      </c>
      <c r="U227" s="268" t="str">
        <f t="shared" si="265"/>
        <v/>
      </c>
      <c r="V227" s="268" t="str">
        <f t="shared" si="265"/>
        <v/>
      </c>
      <c r="W227" s="268">
        <f t="shared" si="265"/>
        <v>1500</v>
      </c>
      <c r="X227" s="268" t="str">
        <f t="shared" si="265"/>
        <v/>
      </c>
      <c r="Y227" s="268" t="str">
        <f t="shared" si="265"/>
        <v/>
      </c>
      <c r="Z227" s="268" t="str">
        <f t="shared" si="265"/>
        <v/>
      </c>
      <c r="AA227" s="268" t="str">
        <f t="shared" si="265"/>
        <v/>
      </c>
      <c r="AB227" s="268" t="str">
        <f t="shared" si="265"/>
        <v/>
      </c>
      <c r="AC227" s="268" t="str">
        <f t="shared" si="265"/>
        <v/>
      </c>
      <c r="AD227" s="268" t="str">
        <f t="shared" si="265"/>
        <v/>
      </c>
      <c r="AE227" s="268" t="str">
        <f t="shared" si="265"/>
        <v/>
      </c>
      <c r="AF227" s="268" t="str">
        <f t="shared" si="265"/>
        <v/>
      </c>
      <c r="AG227" s="268" t="str">
        <f t="shared" si="265"/>
        <v/>
      </c>
      <c r="AH227" s="268" t="str">
        <f t="shared" si="265"/>
        <v/>
      </c>
      <c r="AI227" s="268" t="str">
        <f t="shared" si="265"/>
        <v/>
      </c>
      <c r="AJ227" s="268" t="str">
        <f t="shared" si="265"/>
        <v/>
      </c>
      <c r="AK227" s="268" t="str">
        <f t="shared" si="265"/>
        <v/>
      </c>
      <c r="AL227" s="268" t="str">
        <f t="shared" si="265"/>
        <v/>
      </c>
      <c r="AM227" s="268" t="str">
        <f t="shared" si="265"/>
        <v/>
      </c>
      <c r="AN227" s="268" t="str">
        <f t="shared" si="265"/>
        <v/>
      </c>
      <c r="AO227" s="268" t="str">
        <f t="shared" si="265"/>
        <v/>
      </c>
      <c r="AP227" s="268" t="str">
        <f t="shared" si="265"/>
        <v/>
      </c>
      <c r="AQ227" s="268" t="str">
        <f t="shared" si="265"/>
        <v/>
      </c>
      <c r="AR227" s="268" t="str">
        <f t="shared" si="265"/>
        <v/>
      </c>
      <c r="AS227" s="268" t="str">
        <f t="shared" si="265"/>
        <v/>
      </c>
      <c r="AT227" s="268" t="str">
        <f t="shared" si="265"/>
        <v/>
      </c>
      <c r="AU227" s="268" t="str">
        <f t="shared" si="265"/>
        <v/>
      </c>
      <c r="AV227" s="268" t="str">
        <f t="shared" si="265"/>
        <v/>
      </c>
      <c r="AW227" s="268" t="str">
        <f t="shared" si="265"/>
        <v/>
      </c>
      <c r="AX227" s="268" t="str">
        <f t="shared" si="265"/>
        <v/>
      </c>
      <c r="AY227" s="268" t="str">
        <f t="shared" si="265"/>
        <v/>
      </c>
      <c r="AZ227" s="268" t="str">
        <f t="shared" si="265"/>
        <v/>
      </c>
      <c r="BA227" s="268" t="str">
        <f t="shared" si="265"/>
        <v/>
      </c>
      <c r="BB227" s="268" t="str">
        <f t="shared" si="265"/>
        <v/>
      </c>
      <c r="BC227" s="268" t="str">
        <f t="shared" si="265"/>
        <v/>
      </c>
      <c r="BD227" s="268" t="str">
        <f t="shared" si="265"/>
        <v/>
      </c>
      <c r="BE227" s="268" t="str">
        <f t="shared" si="265"/>
        <v/>
      </c>
      <c r="BF227" s="268" t="str">
        <f t="shared" si="265"/>
        <v/>
      </c>
      <c r="BG227" s="268" t="str">
        <f t="shared" si="265"/>
        <v/>
      </c>
      <c r="BH227" s="268" t="str">
        <f t="shared" si="265"/>
        <v/>
      </c>
      <c r="BI227" s="268" t="str">
        <f t="shared" si="265"/>
        <v/>
      </c>
      <c r="BJ227" s="268" t="str">
        <f t="shared" si="265"/>
        <v/>
      </c>
      <c r="BK227" s="268" t="str">
        <f t="shared" si="265"/>
        <v/>
      </c>
      <c r="BL227" s="268" t="str">
        <f t="shared" si="265"/>
        <v/>
      </c>
      <c r="BM227" s="268" t="str">
        <f t="shared" si="265"/>
        <v/>
      </c>
      <c r="BN227" s="268" t="str">
        <f t="shared" si="265"/>
        <v/>
      </c>
      <c r="BO227" s="268" t="str">
        <f t="shared" si="265"/>
        <v/>
      </c>
      <c r="BP227" s="268" t="str">
        <f t="shared" si="265"/>
        <v/>
      </c>
      <c r="BQ227" s="268" t="str">
        <f t="shared" si="265"/>
        <v/>
      </c>
      <c r="BR227" s="268" t="str">
        <f t="shared" si="265"/>
        <v/>
      </c>
      <c r="BS227" s="268" t="str">
        <f t="shared" si="265"/>
        <v/>
      </c>
      <c r="BT227" s="268" t="str">
        <f t="shared" si="265"/>
        <v/>
      </c>
      <c r="BU227" s="268" t="str">
        <f t="shared" si="222"/>
        <v/>
      </c>
      <c r="BV227" s="247">
        <v>1.52</v>
      </c>
      <c r="BW227" s="729">
        <f t="shared" si="253"/>
        <v>2280</v>
      </c>
      <c r="BX227" s="730">
        <f t="shared" si="254"/>
        <v>17670</v>
      </c>
      <c r="BY227" s="731" t="str">
        <f t="shared" si="255"/>
        <v>SR</v>
      </c>
    </row>
    <row r="228" s="698" customFormat="1" customHeight="1" spans="1:77">
      <c r="A228" s="208">
        <v>46053</v>
      </c>
      <c r="B228" s="208">
        <v>46121</v>
      </c>
      <c r="C228" s="211"/>
      <c r="D228" s="211" t="s">
        <v>486</v>
      </c>
      <c r="E228" s="211" t="s">
        <v>40</v>
      </c>
      <c r="F228" s="732">
        <v>5004</v>
      </c>
      <c r="G228" s="211" t="s">
        <v>327</v>
      </c>
      <c r="H228" s="211" t="str">
        <f>IFERROR(VLOOKUP(E228,名称!A:E,4,0),"")</f>
        <v>二代</v>
      </c>
      <c r="I228" s="268" t="str">
        <f t="shared" ref="I228:BT228" si="266">IF(OR($E228="",I$1=""),"",IF(TRIM(LEFT($E228,MIN(IFERROR(FIND("CDU",UPPER($E228)),999),IFERROR(FIND("BULK",UPPER($E228)),999),IFERROR(FIND("-",$E228),999),IFERROR(FIND("（",$E228),999))-1))=I$1,$F228,""))</f>
        <v/>
      </c>
      <c r="J228" s="268" t="str">
        <f t="shared" si="266"/>
        <v/>
      </c>
      <c r="K228" s="268">
        <f t="shared" si="266"/>
        <v>5004</v>
      </c>
      <c r="L228" s="268" t="str">
        <f t="shared" si="266"/>
        <v/>
      </c>
      <c r="M228" s="268" t="str">
        <f t="shared" si="266"/>
        <v/>
      </c>
      <c r="N228" s="268" t="str">
        <f t="shared" si="266"/>
        <v/>
      </c>
      <c r="O228" s="268" t="str">
        <f t="shared" si="266"/>
        <v/>
      </c>
      <c r="P228" s="268" t="str">
        <f t="shared" si="266"/>
        <v/>
      </c>
      <c r="Q228" s="268" t="str">
        <f t="shared" si="266"/>
        <v/>
      </c>
      <c r="R228" s="268" t="str">
        <f t="shared" si="266"/>
        <v/>
      </c>
      <c r="S228" s="268" t="str">
        <f t="shared" si="266"/>
        <v/>
      </c>
      <c r="T228" s="268" t="str">
        <f t="shared" si="266"/>
        <v/>
      </c>
      <c r="U228" s="268" t="str">
        <f t="shared" si="266"/>
        <v/>
      </c>
      <c r="V228" s="268" t="str">
        <f t="shared" si="266"/>
        <v/>
      </c>
      <c r="W228" s="268" t="str">
        <f t="shared" si="266"/>
        <v/>
      </c>
      <c r="X228" s="268" t="str">
        <f t="shared" si="266"/>
        <v/>
      </c>
      <c r="Y228" s="268" t="str">
        <f t="shared" si="266"/>
        <v/>
      </c>
      <c r="Z228" s="268" t="str">
        <f t="shared" si="266"/>
        <v/>
      </c>
      <c r="AA228" s="268" t="str">
        <f t="shared" si="266"/>
        <v/>
      </c>
      <c r="AB228" s="268" t="str">
        <f t="shared" si="266"/>
        <v/>
      </c>
      <c r="AC228" s="268" t="str">
        <f t="shared" si="266"/>
        <v/>
      </c>
      <c r="AD228" s="268" t="str">
        <f t="shared" si="266"/>
        <v/>
      </c>
      <c r="AE228" s="268" t="str">
        <f t="shared" si="266"/>
        <v/>
      </c>
      <c r="AF228" s="268" t="str">
        <f t="shared" si="266"/>
        <v/>
      </c>
      <c r="AG228" s="268" t="str">
        <f t="shared" si="266"/>
        <v/>
      </c>
      <c r="AH228" s="268" t="str">
        <f t="shared" si="266"/>
        <v/>
      </c>
      <c r="AI228" s="268" t="str">
        <f t="shared" si="266"/>
        <v/>
      </c>
      <c r="AJ228" s="268" t="str">
        <f t="shared" si="266"/>
        <v/>
      </c>
      <c r="AK228" s="268" t="str">
        <f t="shared" si="266"/>
        <v/>
      </c>
      <c r="AL228" s="268" t="str">
        <f t="shared" si="266"/>
        <v/>
      </c>
      <c r="AM228" s="268" t="str">
        <f t="shared" si="266"/>
        <v/>
      </c>
      <c r="AN228" s="268" t="str">
        <f t="shared" si="266"/>
        <v/>
      </c>
      <c r="AO228" s="268" t="str">
        <f t="shared" si="266"/>
        <v/>
      </c>
      <c r="AP228" s="268" t="str">
        <f t="shared" si="266"/>
        <v/>
      </c>
      <c r="AQ228" s="268" t="str">
        <f t="shared" si="266"/>
        <v/>
      </c>
      <c r="AR228" s="268" t="str">
        <f t="shared" si="266"/>
        <v/>
      </c>
      <c r="AS228" s="268" t="str">
        <f t="shared" si="266"/>
        <v/>
      </c>
      <c r="AT228" s="268" t="str">
        <f t="shared" si="266"/>
        <v/>
      </c>
      <c r="AU228" s="268" t="str">
        <f t="shared" si="266"/>
        <v/>
      </c>
      <c r="AV228" s="268" t="str">
        <f t="shared" si="266"/>
        <v/>
      </c>
      <c r="AW228" s="268" t="str">
        <f t="shared" si="266"/>
        <v/>
      </c>
      <c r="AX228" s="268" t="str">
        <f t="shared" si="266"/>
        <v/>
      </c>
      <c r="AY228" s="268" t="str">
        <f t="shared" si="266"/>
        <v/>
      </c>
      <c r="AZ228" s="268" t="str">
        <f t="shared" si="266"/>
        <v/>
      </c>
      <c r="BA228" s="268" t="str">
        <f t="shared" si="266"/>
        <v/>
      </c>
      <c r="BB228" s="268" t="str">
        <f t="shared" si="266"/>
        <v/>
      </c>
      <c r="BC228" s="268" t="str">
        <f t="shared" si="266"/>
        <v/>
      </c>
      <c r="BD228" s="268" t="str">
        <f t="shared" si="266"/>
        <v/>
      </c>
      <c r="BE228" s="268" t="str">
        <f t="shared" si="266"/>
        <v/>
      </c>
      <c r="BF228" s="268" t="str">
        <f t="shared" si="266"/>
        <v/>
      </c>
      <c r="BG228" s="268" t="str">
        <f t="shared" si="266"/>
        <v/>
      </c>
      <c r="BH228" s="268" t="str">
        <f t="shared" si="266"/>
        <v/>
      </c>
      <c r="BI228" s="268" t="str">
        <f t="shared" si="266"/>
        <v/>
      </c>
      <c r="BJ228" s="268" t="str">
        <f t="shared" si="266"/>
        <v/>
      </c>
      <c r="BK228" s="268" t="str">
        <f t="shared" si="266"/>
        <v/>
      </c>
      <c r="BL228" s="268" t="str">
        <f t="shared" si="266"/>
        <v/>
      </c>
      <c r="BM228" s="268" t="str">
        <f t="shared" si="266"/>
        <v/>
      </c>
      <c r="BN228" s="268" t="str">
        <f t="shared" si="266"/>
        <v/>
      </c>
      <c r="BO228" s="268" t="str">
        <f t="shared" si="266"/>
        <v/>
      </c>
      <c r="BP228" s="268" t="str">
        <f t="shared" si="266"/>
        <v/>
      </c>
      <c r="BQ228" s="268" t="str">
        <f t="shared" si="266"/>
        <v/>
      </c>
      <c r="BR228" s="268" t="str">
        <f t="shared" si="266"/>
        <v/>
      </c>
      <c r="BS228" s="268" t="str">
        <f t="shared" si="266"/>
        <v/>
      </c>
      <c r="BT228" s="268" t="str">
        <f t="shared" si="266"/>
        <v/>
      </c>
      <c r="BU228" s="268" t="str">
        <f t="shared" si="222"/>
        <v/>
      </c>
      <c r="BV228" s="247">
        <v>0.78</v>
      </c>
      <c r="BW228" s="729">
        <f t="shared" si="253"/>
        <v>3903.12</v>
      </c>
      <c r="BX228" s="730">
        <f t="shared" si="254"/>
        <v>30249.18</v>
      </c>
      <c r="BY228" s="731" t="str">
        <f t="shared" si="255"/>
        <v>SR</v>
      </c>
    </row>
    <row r="229" s="698" customFormat="1" customHeight="1" spans="1:77">
      <c r="A229" s="208">
        <v>46053</v>
      </c>
      <c r="B229" s="208">
        <v>46121</v>
      </c>
      <c r="C229" s="211"/>
      <c r="D229" s="211" t="s">
        <v>486</v>
      </c>
      <c r="E229" s="211" t="s">
        <v>37</v>
      </c>
      <c r="F229" s="732">
        <v>3000</v>
      </c>
      <c r="G229" s="211" t="s">
        <v>327</v>
      </c>
      <c r="H229" s="211" t="str">
        <f>IFERROR(VLOOKUP(E229,名称!A:E,4,0),"")</f>
        <v>二代</v>
      </c>
      <c r="I229" s="268" t="str">
        <f t="shared" ref="I229:BT229" si="267">IF(OR($E229="",I$1=""),"",IF(TRIM(LEFT($E229,MIN(IFERROR(FIND("CDU",UPPER($E229)),999),IFERROR(FIND("BULK",UPPER($E229)),999),IFERROR(FIND("-",$E229),999),IFERROR(FIND("（",$E229),999))-1))=I$1,$F229,""))</f>
        <v/>
      </c>
      <c r="J229" s="268" t="str">
        <f t="shared" si="267"/>
        <v/>
      </c>
      <c r="K229" s="268" t="str">
        <f t="shared" si="267"/>
        <v/>
      </c>
      <c r="L229" s="268" t="str">
        <f t="shared" si="267"/>
        <v/>
      </c>
      <c r="M229" s="268" t="str">
        <f t="shared" si="267"/>
        <v/>
      </c>
      <c r="N229" s="268" t="str">
        <f t="shared" si="267"/>
        <v/>
      </c>
      <c r="O229" s="268" t="str">
        <f t="shared" si="267"/>
        <v/>
      </c>
      <c r="P229" s="268" t="str">
        <f t="shared" si="267"/>
        <v/>
      </c>
      <c r="Q229" s="268" t="str">
        <f t="shared" si="267"/>
        <v/>
      </c>
      <c r="R229" s="268">
        <f t="shared" si="267"/>
        <v>3000</v>
      </c>
      <c r="S229" s="268" t="str">
        <f t="shared" si="267"/>
        <v/>
      </c>
      <c r="T229" s="268" t="str">
        <f t="shared" si="267"/>
        <v/>
      </c>
      <c r="U229" s="268" t="str">
        <f t="shared" si="267"/>
        <v/>
      </c>
      <c r="V229" s="268" t="str">
        <f t="shared" si="267"/>
        <v/>
      </c>
      <c r="W229" s="268" t="str">
        <f t="shared" si="267"/>
        <v/>
      </c>
      <c r="X229" s="268" t="str">
        <f t="shared" si="267"/>
        <v/>
      </c>
      <c r="Y229" s="268" t="str">
        <f t="shared" si="267"/>
        <v/>
      </c>
      <c r="Z229" s="268" t="str">
        <f t="shared" si="267"/>
        <v/>
      </c>
      <c r="AA229" s="268" t="str">
        <f t="shared" si="267"/>
        <v/>
      </c>
      <c r="AB229" s="268" t="str">
        <f t="shared" si="267"/>
        <v/>
      </c>
      <c r="AC229" s="268" t="str">
        <f t="shared" si="267"/>
        <v/>
      </c>
      <c r="AD229" s="268" t="str">
        <f t="shared" si="267"/>
        <v/>
      </c>
      <c r="AE229" s="268" t="str">
        <f t="shared" si="267"/>
        <v/>
      </c>
      <c r="AF229" s="268" t="str">
        <f t="shared" si="267"/>
        <v/>
      </c>
      <c r="AG229" s="268" t="str">
        <f t="shared" si="267"/>
        <v/>
      </c>
      <c r="AH229" s="268" t="str">
        <f t="shared" si="267"/>
        <v/>
      </c>
      <c r="AI229" s="268" t="str">
        <f t="shared" si="267"/>
        <v/>
      </c>
      <c r="AJ229" s="268" t="str">
        <f t="shared" si="267"/>
        <v/>
      </c>
      <c r="AK229" s="268" t="str">
        <f t="shared" si="267"/>
        <v/>
      </c>
      <c r="AL229" s="268" t="str">
        <f t="shared" si="267"/>
        <v/>
      </c>
      <c r="AM229" s="268" t="str">
        <f t="shared" si="267"/>
        <v/>
      </c>
      <c r="AN229" s="268" t="str">
        <f t="shared" si="267"/>
        <v/>
      </c>
      <c r="AO229" s="268" t="str">
        <f t="shared" si="267"/>
        <v/>
      </c>
      <c r="AP229" s="268" t="str">
        <f t="shared" si="267"/>
        <v/>
      </c>
      <c r="AQ229" s="268" t="str">
        <f t="shared" si="267"/>
        <v/>
      </c>
      <c r="AR229" s="268" t="str">
        <f t="shared" si="267"/>
        <v/>
      </c>
      <c r="AS229" s="268" t="str">
        <f t="shared" si="267"/>
        <v/>
      </c>
      <c r="AT229" s="268" t="str">
        <f t="shared" si="267"/>
        <v/>
      </c>
      <c r="AU229" s="268" t="str">
        <f t="shared" si="267"/>
        <v/>
      </c>
      <c r="AV229" s="268" t="str">
        <f t="shared" si="267"/>
        <v/>
      </c>
      <c r="AW229" s="268" t="str">
        <f t="shared" si="267"/>
        <v/>
      </c>
      <c r="AX229" s="268" t="str">
        <f t="shared" si="267"/>
        <v/>
      </c>
      <c r="AY229" s="268" t="str">
        <f t="shared" si="267"/>
        <v/>
      </c>
      <c r="AZ229" s="268" t="str">
        <f t="shared" si="267"/>
        <v/>
      </c>
      <c r="BA229" s="268" t="str">
        <f t="shared" si="267"/>
        <v/>
      </c>
      <c r="BB229" s="268" t="str">
        <f t="shared" si="267"/>
        <v/>
      </c>
      <c r="BC229" s="268" t="str">
        <f t="shared" si="267"/>
        <v/>
      </c>
      <c r="BD229" s="268" t="str">
        <f t="shared" si="267"/>
        <v/>
      </c>
      <c r="BE229" s="268" t="str">
        <f t="shared" si="267"/>
        <v/>
      </c>
      <c r="BF229" s="268" t="str">
        <f t="shared" si="267"/>
        <v/>
      </c>
      <c r="BG229" s="268" t="str">
        <f t="shared" si="267"/>
        <v/>
      </c>
      <c r="BH229" s="268" t="str">
        <f t="shared" si="267"/>
        <v/>
      </c>
      <c r="BI229" s="268" t="str">
        <f t="shared" si="267"/>
        <v/>
      </c>
      <c r="BJ229" s="268" t="str">
        <f t="shared" si="267"/>
        <v/>
      </c>
      <c r="BK229" s="268" t="str">
        <f t="shared" si="267"/>
        <v/>
      </c>
      <c r="BL229" s="268" t="str">
        <f t="shared" si="267"/>
        <v/>
      </c>
      <c r="BM229" s="268" t="str">
        <f t="shared" si="267"/>
        <v/>
      </c>
      <c r="BN229" s="268" t="str">
        <f t="shared" si="267"/>
        <v/>
      </c>
      <c r="BO229" s="268" t="str">
        <f t="shared" si="267"/>
        <v/>
      </c>
      <c r="BP229" s="268" t="str">
        <f t="shared" si="267"/>
        <v/>
      </c>
      <c r="BQ229" s="268" t="str">
        <f t="shared" si="267"/>
        <v/>
      </c>
      <c r="BR229" s="268" t="str">
        <f t="shared" si="267"/>
        <v/>
      </c>
      <c r="BS229" s="268" t="str">
        <f t="shared" si="267"/>
        <v/>
      </c>
      <c r="BT229" s="268" t="str">
        <f t="shared" si="267"/>
        <v/>
      </c>
      <c r="BU229" s="268" t="str">
        <f t="shared" si="222"/>
        <v/>
      </c>
      <c r="BV229" s="247">
        <v>2.04</v>
      </c>
      <c r="BW229" s="729">
        <f t="shared" si="253"/>
        <v>6120</v>
      </c>
      <c r="BX229" s="730">
        <f t="shared" si="254"/>
        <v>47430</v>
      </c>
      <c r="BY229" s="731" t="str">
        <f t="shared" si="255"/>
        <v>SR</v>
      </c>
    </row>
    <row r="230" s="698" customFormat="1" customHeight="1" spans="1:77">
      <c r="A230" s="208">
        <v>46053</v>
      </c>
      <c r="B230" s="208">
        <v>46121</v>
      </c>
      <c r="C230" s="211"/>
      <c r="D230" s="211" t="s">
        <v>486</v>
      </c>
      <c r="E230" s="211" t="s">
        <v>41</v>
      </c>
      <c r="F230" s="732">
        <v>4824</v>
      </c>
      <c r="G230" s="211" t="s">
        <v>327</v>
      </c>
      <c r="H230" s="211" t="str">
        <f>IFERROR(VLOOKUP(E230,名称!A:E,4,0),"")</f>
        <v>二代</v>
      </c>
      <c r="I230" s="268" t="str">
        <f t="shared" ref="I230:BT230" si="268">IF(OR($E230="",I$1=""),"",IF(TRIM(LEFT($E230,MIN(IFERROR(FIND("CDU",UPPER($E230)),999),IFERROR(FIND("BULK",UPPER($E230)),999),IFERROR(FIND("-",$E230),999),IFERROR(FIND("（",$E230),999))-1))=I$1,$F230,""))</f>
        <v/>
      </c>
      <c r="J230" s="268" t="str">
        <f t="shared" si="268"/>
        <v/>
      </c>
      <c r="K230" s="268" t="str">
        <f t="shared" si="268"/>
        <v/>
      </c>
      <c r="L230" s="268" t="str">
        <f t="shared" si="268"/>
        <v/>
      </c>
      <c r="M230" s="268" t="str">
        <f t="shared" si="268"/>
        <v/>
      </c>
      <c r="N230" s="268" t="str">
        <f t="shared" si="268"/>
        <v/>
      </c>
      <c r="O230" s="268" t="str">
        <f t="shared" si="268"/>
        <v/>
      </c>
      <c r="P230" s="268" t="str">
        <f t="shared" si="268"/>
        <v/>
      </c>
      <c r="Q230" s="268" t="str">
        <f t="shared" si="268"/>
        <v/>
      </c>
      <c r="R230" s="268" t="str">
        <f t="shared" si="268"/>
        <v/>
      </c>
      <c r="S230" s="268" t="str">
        <f t="shared" si="268"/>
        <v/>
      </c>
      <c r="T230" s="268" t="str">
        <f t="shared" si="268"/>
        <v/>
      </c>
      <c r="U230" s="268" t="str">
        <f t="shared" si="268"/>
        <v/>
      </c>
      <c r="V230" s="268" t="str">
        <f t="shared" si="268"/>
        <v/>
      </c>
      <c r="W230" s="268">
        <f t="shared" si="268"/>
        <v>4824</v>
      </c>
      <c r="X230" s="268" t="str">
        <f t="shared" si="268"/>
        <v/>
      </c>
      <c r="Y230" s="268" t="str">
        <f t="shared" si="268"/>
        <v/>
      </c>
      <c r="Z230" s="268" t="str">
        <f t="shared" si="268"/>
        <v/>
      </c>
      <c r="AA230" s="268" t="str">
        <f t="shared" si="268"/>
        <v/>
      </c>
      <c r="AB230" s="268" t="str">
        <f t="shared" si="268"/>
        <v/>
      </c>
      <c r="AC230" s="268" t="str">
        <f t="shared" si="268"/>
        <v/>
      </c>
      <c r="AD230" s="268" t="str">
        <f t="shared" si="268"/>
        <v/>
      </c>
      <c r="AE230" s="268" t="str">
        <f t="shared" si="268"/>
        <v/>
      </c>
      <c r="AF230" s="268" t="str">
        <f t="shared" si="268"/>
        <v/>
      </c>
      <c r="AG230" s="268" t="str">
        <f t="shared" si="268"/>
        <v/>
      </c>
      <c r="AH230" s="268" t="str">
        <f t="shared" si="268"/>
        <v/>
      </c>
      <c r="AI230" s="268" t="str">
        <f t="shared" si="268"/>
        <v/>
      </c>
      <c r="AJ230" s="268" t="str">
        <f t="shared" si="268"/>
        <v/>
      </c>
      <c r="AK230" s="268" t="str">
        <f t="shared" si="268"/>
        <v/>
      </c>
      <c r="AL230" s="268" t="str">
        <f t="shared" si="268"/>
        <v/>
      </c>
      <c r="AM230" s="268" t="str">
        <f t="shared" si="268"/>
        <v/>
      </c>
      <c r="AN230" s="268" t="str">
        <f t="shared" si="268"/>
        <v/>
      </c>
      <c r="AO230" s="268" t="str">
        <f t="shared" si="268"/>
        <v/>
      </c>
      <c r="AP230" s="268" t="str">
        <f t="shared" si="268"/>
        <v/>
      </c>
      <c r="AQ230" s="268" t="str">
        <f t="shared" si="268"/>
        <v/>
      </c>
      <c r="AR230" s="268" t="str">
        <f t="shared" si="268"/>
        <v/>
      </c>
      <c r="AS230" s="268" t="str">
        <f t="shared" si="268"/>
        <v/>
      </c>
      <c r="AT230" s="268" t="str">
        <f t="shared" si="268"/>
        <v/>
      </c>
      <c r="AU230" s="268" t="str">
        <f t="shared" si="268"/>
        <v/>
      </c>
      <c r="AV230" s="268" t="str">
        <f t="shared" si="268"/>
        <v/>
      </c>
      <c r="AW230" s="268" t="str">
        <f t="shared" si="268"/>
        <v/>
      </c>
      <c r="AX230" s="268" t="str">
        <f t="shared" si="268"/>
        <v/>
      </c>
      <c r="AY230" s="268" t="str">
        <f t="shared" si="268"/>
        <v/>
      </c>
      <c r="AZ230" s="268" t="str">
        <f t="shared" si="268"/>
        <v/>
      </c>
      <c r="BA230" s="268" t="str">
        <f t="shared" si="268"/>
        <v/>
      </c>
      <c r="BB230" s="268" t="str">
        <f t="shared" si="268"/>
        <v/>
      </c>
      <c r="BC230" s="268" t="str">
        <f t="shared" si="268"/>
        <v/>
      </c>
      <c r="BD230" s="268" t="str">
        <f t="shared" si="268"/>
        <v/>
      </c>
      <c r="BE230" s="268" t="str">
        <f t="shared" si="268"/>
        <v/>
      </c>
      <c r="BF230" s="268" t="str">
        <f t="shared" si="268"/>
        <v/>
      </c>
      <c r="BG230" s="268" t="str">
        <f t="shared" si="268"/>
        <v/>
      </c>
      <c r="BH230" s="268" t="str">
        <f t="shared" si="268"/>
        <v/>
      </c>
      <c r="BI230" s="268" t="str">
        <f t="shared" si="268"/>
        <v/>
      </c>
      <c r="BJ230" s="268" t="str">
        <f t="shared" si="268"/>
        <v/>
      </c>
      <c r="BK230" s="268" t="str">
        <f t="shared" si="268"/>
        <v/>
      </c>
      <c r="BL230" s="268" t="str">
        <f t="shared" si="268"/>
        <v/>
      </c>
      <c r="BM230" s="268" t="str">
        <f t="shared" si="268"/>
        <v/>
      </c>
      <c r="BN230" s="268" t="str">
        <f t="shared" si="268"/>
        <v/>
      </c>
      <c r="BO230" s="268" t="str">
        <f t="shared" si="268"/>
        <v/>
      </c>
      <c r="BP230" s="268" t="str">
        <f t="shared" si="268"/>
        <v/>
      </c>
      <c r="BQ230" s="268" t="str">
        <f t="shared" si="268"/>
        <v/>
      </c>
      <c r="BR230" s="268" t="str">
        <f t="shared" si="268"/>
        <v/>
      </c>
      <c r="BS230" s="268" t="str">
        <f t="shared" si="268"/>
        <v/>
      </c>
      <c r="BT230" s="268" t="str">
        <f t="shared" si="268"/>
        <v/>
      </c>
      <c r="BU230" s="268" t="str">
        <f t="shared" si="222"/>
        <v/>
      </c>
      <c r="BV230" s="247">
        <v>1.49</v>
      </c>
      <c r="BW230" s="729">
        <f t="shared" si="253"/>
        <v>7187.76</v>
      </c>
      <c r="BX230" s="730">
        <f t="shared" si="254"/>
        <v>55705.14</v>
      </c>
      <c r="BY230" s="731" t="str">
        <f t="shared" si="255"/>
        <v>SR</v>
      </c>
    </row>
    <row r="231" s="698" customFormat="1" customHeight="1" spans="1:77">
      <c r="A231" s="208">
        <v>46055</v>
      </c>
      <c r="B231" s="208">
        <v>46175</v>
      </c>
      <c r="C231" s="211" t="s">
        <v>487</v>
      </c>
      <c r="D231" s="211" t="s">
        <v>488</v>
      </c>
      <c r="E231" s="211" t="s">
        <v>83</v>
      </c>
      <c r="F231" s="732">
        <v>2508</v>
      </c>
      <c r="G231" s="211" t="s">
        <v>270</v>
      </c>
      <c r="H231" s="211" t="str">
        <f>IFERROR(VLOOKUP(E231,名称!A:E,4,0),"")</f>
        <v>三代</v>
      </c>
      <c r="I231" s="268" t="str">
        <f t="shared" ref="I231:BT231" si="269">IF(OR($E231="",I$1=""),"",IF(TRIM(LEFT($E231,MIN(IFERROR(FIND("CDU",UPPER($E231)),999),IFERROR(FIND("BULK",UPPER($E231)),999),IFERROR(FIND("-",$E231),999),IFERROR(FIND("（",$E231),999))-1))=I$1,$F231,""))</f>
        <v/>
      </c>
      <c r="J231" s="268" t="str">
        <f t="shared" si="269"/>
        <v/>
      </c>
      <c r="K231" s="268" t="str">
        <f t="shared" si="269"/>
        <v/>
      </c>
      <c r="L231" s="268" t="str">
        <f t="shared" si="269"/>
        <v/>
      </c>
      <c r="M231" s="268" t="str">
        <f t="shared" si="269"/>
        <v/>
      </c>
      <c r="N231" s="268" t="str">
        <f t="shared" si="269"/>
        <v/>
      </c>
      <c r="O231" s="268" t="str">
        <f t="shared" si="269"/>
        <v/>
      </c>
      <c r="P231" s="268" t="str">
        <f t="shared" si="269"/>
        <v/>
      </c>
      <c r="Q231" s="268" t="str">
        <f t="shared" si="269"/>
        <v/>
      </c>
      <c r="R231" s="268" t="str">
        <f t="shared" si="269"/>
        <v/>
      </c>
      <c r="S231" s="268" t="str">
        <f t="shared" si="269"/>
        <v/>
      </c>
      <c r="T231" s="268" t="str">
        <f t="shared" si="269"/>
        <v/>
      </c>
      <c r="U231" s="268" t="str">
        <f t="shared" si="269"/>
        <v/>
      </c>
      <c r="V231" s="268" t="str">
        <f t="shared" si="269"/>
        <v/>
      </c>
      <c r="W231" s="268" t="str">
        <f t="shared" si="269"/>
        <v/>
      </c>
      <c r="X231" s="268" t="str">
        <f t="shared" si="269"/>
        <v/>
      </c>
      <c r="Y231" s="268" t="str">
        <f t="shared" si="269"/>
        <v/>
      </c>
      <c r="Z231" s="268" t="str">
        <f t="shared" si="269"/>
        <v/>
      </c>
      <c r="AA231" s="268" t="str">
        <f t="shared" si="269"/>
        <v/>
      </c>
      <c r="AB231" s="268" t="str">
        <f t="shared" si="269"/>
        <v/>
      </c>
      <c r="AC231" s="268" t="str">
        <f t="shared" si="269"/>
        <v/>
      </c>
      <c r="AD231" s="268" t="str">
        <f t="shared" si="269"/>
        <v/>
      </c>
      <c r="AE231" s="268" t="str">
        <f t="shared" si="269"/>
        <v/>
      </c>
      <c r="AF231" s="268" t="str">
        <f t="shared" si="269"/>
        <v/>
      </c>
      <c r="AG231" s="268" t="str">
        <f t="shared" si="269"/>
        <v/>
      </c>
      <c r="AH231" s="268" t="str">
        <f t="shared" si="269"/>
        <v/>
      </c>
      <c r="AI231" s="268" t="str">
        <f t="shared" si="269"/>
        <v/>
      </c>
      <c r="AJ231" s="268" t="str">
        <f t="shared" si="269"/>
        <v/>
      </c>
      <c r="AK231" s="268" t="str">
        <f t="shared" si="269"/>
        <v/>
      </c>
      <c r="AL231" s="268" t="str">
        <f t="shared" si="269"/>
        <v/>
      </c>
      <c r="AM231" s="268" t="str">
        <f t="shared" si="269"/>
        <v/>
      </c>
      <c r="AN231" s="268">
        <f t="shared" si="269"/>
        <v>2508</v>
      </c>
      <c r="AO231" s="268" t="str">
        <f t="shared" si="269"/>
        <v/>
      </c>
      <c r="AP231" s="268" t="str">
        <f t="shared" si="269"/>
        <v/>
      </c>
      <c r="AQ231" s="268" t="str">
        <f t="shared" si="269"/>
        <v/>
      </c>
      <c r="AR231" s="268" t="str">
        <f t="shared" si="269"/>
        <v/>
      </c>
      <c r="AS231" s="268" t="str">
        <f t="shared" si="269"/>
        <v/>
      </c>
      <c r="AT231" s="268" t="str">
        <f t="shared" si="269"/>
        <v/>
      </c>
      <c r="AU231" s="268" t="str">
        <f t="shared" si="269"/>
        <v/>
      </c>
      <c r="AV231" s="268" t="str">
        <f t="shared" si="269"/>
        <v/>
      </c>
      <c r="AW231" s="268" t="str">
        <f t="shared" si="269"/>
        <v/>
      </c>
      <c r="AX231" s="268" t="str">
        <f t="shared" si="269"/>
        <v/>
      </c>
      <c r="AY231" s="268" t="str">
        <f t="shared" si="269"/>
        <v/>
      </c>
      <c r="AZ231" s="268" t="str">
        <f t="shared" si="269"/>
        <v/>
      </c>
      <c r="BA231" s="268" t="str">
        <f t="shared" si="269"/>
        <v/>
      </c>
      <c r="BB231" s="268" t="str">
        <f t="shared" si="269"/>
        <v/>
      </c>
      <c r="BC231" s="268" t="str">
        <f t="shared" si="269"/>
        <v/>
      </c>
      <c r="BD231" s="268" t="str">
        <f t="shared" si="269"/>
        <v/>
      </c>
      <c r="BE231" s="268" t="str">
        <f t="shared" si="269"/>
        <v/>
      </c>
      <c r="BF231" s="268" t="str">
        <f t="shared" si="269"/>
        <v/>
      </c>
      <c r="BG231" s="268" t="str">
        <f t="shared" si="269"/>
        <v/>
      </c>
      <c r="BH231" s="268" t="str">
        <f t="shared" si="269"/>
        <v/>
      </c>
      <c r="BI231" s="268" t="str">
        <f t="shared" si="269"/>
        <v/>
      </c>
      <c r="BJ231" s="268" t="str">
        <f t="shared" si="269"/>
        <v/>
      </c>
      <c r="BK231" s="268" t="str">
        <f t="shared" si="269"/>
        <v/>
      </c>
      <c r="BL231" s="268" t="str">
        <f t="shared" si="269"/>
        <v/>
      </c>
      <c r="BM231" s="268" t="str">
        <f t="shared" si="269"/>
        <v/>
      </c>
      <c r="BN231" s="268" t="str">
        <f t="shared" si="269"/>
        <v/>
      </c>
      <c r="BO231" s="268" t="str">
        <f t="shared" si="269"/>
        <v/>
      </c>
      <c r="BP231" s="268" t="str">
        <f t="shared" si="269"/>
        <v/>
      </c>
      <c r="BQ231" s="268" t="str">
        <f t="shared" si="269"/>
        <v/>
      </c>
      <c r="BR231" s="268" t="str">
        <f t="shared" si="269"/>
        <v/>
      </c>
      <c r="BS231" s="268" t="str">
        <f t="shared" si="269"/>
        <v/>
      </c>
      <c r="BT231" s="268" t="str">
        <f t="shared" si="269"/>
        <v/>
      </c>
      <c r="BU231" s="268" t="str">
        <f t="shared" si="222"/>
        <v/>
      </c>
      <c r="BV231" s="247">
        <v>0.91</v>
      </c>
      <c r="BW231" s="729">
        <f t="shared" si="253"/>
        <v>2282.28</v>
      </c>
      <c r="BX231" s="730">
        <f t="shared" si="254"/>
        <v>17687.67</v>
      </c>
      <c r="BY231" s="731" t="str">
        <f t="shared" si="255"/>
        <v>SR</v>
      </c>
    </row>
    <row r="232" s="697" customFormat="1" customHeight="1" spans="1:77">
      <c r="A232" s="116">
        <v>46055</v>
      </c>
      <c r="B232" s="116">
        <v>46220</v>
      </c>
      <c r="C232" s="118" t="s">
        <v>489</v>
      </c>
      <c r="D232" s="118" t="s">
        <v>490</v>
      </c>
      <c r="E232" s="118" t="s">
        <v>83</v>
      </c>
      <c r="F232" s="726">
        <v>204</v>
      </c>
      <c r="G232" s="118" t="s">
        <v>270</v>
      </c>
      <c r="H232" s="118" t="str">
        <f>IFERROR(VLOOKUP(E232,名称!A:E,4,0),"")</f>
        <v>三代</v>
      </c>
      <c r="I232" s="418" t="str">
        <f t="shared" ref="I232:BT232" si="270">IF(OR($E232="",I$1=""),"",IF(TRIM(LEFT($E232,MIN(IFERROR(FIND("CDU",UPPER($E232)),999),IFERROR(FIND("BULK",UPPER($E232)),999),IFERROR(FIND("-",$E232),999),IFERROR(FIND("（",$E232),999))-1))=I$1,$F232,""))</f>
        <v/>
      </c>
      <c r="J232" s="418" t="str">
        <f t="shared" si="270"/>
        <v/>
      </c>
      <c r="K232" s="418" t="str">
        <f t="shared" si="270"/>
        <v/>
      </c>
      <c r="L232" s="418" t="str">
        <f t="shared" si="270"/>
        <v/>
      </c>
      <c r="M232" s="418" t="str">
        <f t="shared" si="270"/>
        <v/>
      </c>
      <c r="N232" s="418" t="str">
        <f t="shared" si="270"/>
        <v/>
      </c>
      <c r="O232" s="418" t="str">
        <f t="shared" si="270"/>
        <v/>
      </c>
      <c r="P232" s="418" t="str">
        <f t="shared" si="270"/>
        <v/>
      </c>
      <c r="Q232" s="418" t="str">
        <f t="shared" si="270"/>
        <v/>
      </c>
      <c r="R232" s="418" t="str">
        <f t="shared" si="270"/>
        <v/>
      </c>
      <c r="S232" s="418" t="str">
        <f t="shared" si="270"/>
        <v/>
      </c>
      <c r="T232" s="418" t="str">
        <f t="shared" si="270"/>
        <v/>
      </c>
      <c r="U232" s="418" t="str">
        <f t="shared" si="270"/>
        <v/>
      </c>
      <c r="V232" s="418" t="str">
        <f t="shared" si="270"/>
        <v/>
      </c>
      <c r="W232" s="418" t="str">
        <f t="shared" si="270"/>
        <v/>
      </c>
      <c r="X232" s="418" t="str">
        <f t="shared" si="270"/>
        <v/>
      </c>
      <c r="Y232" s="418" t="str">
        <f t="shared" si="270"/>
        <v/>
      </c>
      <c r="Z232" s="418" t="str">
        <f t="shared" si="270"/>
        <v/>
      </c>
      <c r="AA232" s="418" t="str">
        <f t="shared" si="270"/>
        <v/>
      </c>
      <c r="AB232" s="418" t="str">
        <f t="shared" si="270"/>
        <v/>
      </c>
      <c r="AC232" s="418" t="str">
        <f t="shared" si="270"/>
        <v/>
      </c>
      <c r="AD232" s="418" t="str">
        <f t="shared" si="270"/>
        <v/>
      </c>
      <c r="AE232" s="418" t="str">
        <f t="shared" si="270"/>
        <v/>
      </c>
      <c r="AF232" s="418" t="str">
        <f t="shared" si="270"/>
        <v/>
      </c>
      <c r="AG232" s="418" t="str">
        <f t="shared" si="270"/>
        <v/>
      </c>
      <c r="AH232" s="418" t="str">
        <f t="shared" si="270"/>
        <v/>
      </c>
      <c r="AI232" s="418" t="str">
        <f t="shared" si="270"/>
        <v/>
      </c>
      <c r="AJ232" s="418" t="str">
        <f t="shared" si="270"/>
        <v/>
      </c>
      <c r="AK232" s="418" t="str">
        <f t="shared" si="270"/>
        <v/>
      </c>
      <c r="AL232" s="418" t="str">
        <f t="shared" si="270"/>
        <v/>
      </c>
      <c r="AM232" s="418" t="str">
        <f t="shared" si="270"/>
        <v/>
      </c>
      <c r="AN232" s="418">
        <f t="shared" si="270"/>
        <v>204</v>
      </c>
      <c r="AO232" s="418" t="str">
        <f t="shared" si="270"/>
        <v/>
      </c>
      <c r="AP232" s="418" t="str">
        <f t="shared" si="270"/>
        <v/>
      </c>
      <c r="AQ232" s="418" t="str">
        <f t="shared" si="270"/>
        <v/>
      </c>
      <c r="AR232" s="418" t="str">
        <f t="shared" si="270"/>
        <v/>
      </c>
      <c r="AS232" s="418" t="str">
        <f t="shared" si="270"/>
        <v/>
      </c>
      <c r="AT232" s="418" t="str">
        <f t="shared" si="270"/>
        <v/>
      </c>
      <c r="AU232" s="418" t="str">
        <f t="shared" si="270"/>
        <v/>
      </c>
      <c r="AV232" s="418" t="str">
        <f t="shared" si="270"/>
        <v/>
      </c>
      <c r="AW232" s="418" t="str">
        <f t="shared" si="270"/>
        <v/>
      </c>
      <c r="AX232" s="418" t="str">
        <f t="shared" si="270"/>
        <v/>
      </c>
      <c r="AY232" s="418" t="str">
        <f t="shared" si="270"/>
        <v/>
      </c>
      <c r="AZ232" s="418" t="str">
        <f t="shared" si="270"/>
        <v/>
      </c>
      <c r="BA232" s="418" t="str">
        <f t="shared" si="270"/>
        <v/>
      </c>
      <c r="BB232" s="418" t="str">
        <f t="shared" si="270"/>
        <v/>
      </c>
      <c r="BC232" s="418" t="str">
        <f t="shared" si="270"/>
        <v/>
      </c>
      <c r="BD232" s="418" t="str">
        <f t="shared" si="270"/>
        <v/>
      </c>
      <c r="BE232" s="418" t="str">
        <f t="shared" si="270"/>
        <v/>
      </c>
      <c r="BF232" s="418" t="str">
        <f t="shared" si="270"/>
        <v/>
      </c>
      <c r="BG232" s="418" t="str">
        <f t="shared" si="270"/>
        <v/>
      </c>
      <c r="BH232" s="418" t="str">
        <f t="shared" si="270"/>
        <v/>
      </c>
      <c r="BI232" s="418" t="str">
        <f t="shared" si="270"/>
        <v/>
      </c>
      <c r="BJ232" s="418" t="str">
        <f t="shared" si="270"/>
        <v/>
      </c>
      <c r="BK232" s="418" t="str">
        <f t="shared" si="270"/>
        <v/>
      </c>
      <c r="BL232" s="418" t="str">
        <f t="shared" si="270"/>
        <v/>
      </c>
      <c r="BM232" s="418" t="str">
        <f t="shared" si="270"/>
        <v/>
      </c>
      <c r="BN232" s="418" t="str">
        <f t="shared" si="270"/>
        <v/>
      </c>
      <c r="BO232" s="418" t="str">
        <f t="shared" si="270"/>
        <v/>
      </c>
      <c r="BP232" s="418" t="str">
        <f t="shared" si="270"/>
        <v/>
      </c>
      <c r="BQ232" s="418" t="str">
        <f t="shared" si="270"/>
        <v/>
      </c>
      <c r="BR232" s="418" t="str">
        <f t="shared" si="270"/>
        <v/>
      </c>
      <c r="BS232" s="418" t="str">
        <f t="shared" si="270"/>
        <v/>
      </c>
      <c r="BT232" s="418" t="str">
        <f t="shared" si="270"/>
        <v/>
      </c>
      <c r="BU232" s="418" t="str">
        <f t="shared" si="222"/>
        <v/>
      </c>
      <c r="BV232" s="544">
        <v>0.83</v>
      </c>
      <c r="BW232" s="723">
        <f t="shared" si="253"/>
        <v>169.32</v>
      </c>
      <c r="BX232" s="724">
        <f t="shared" si="254"/>
        <v>1312.23</v>
      </c>
      <c r="BY232" s="725" t="str">
        <f t="shared" si="255"/>
        <v>SR</v>
      </c>
    </row>
    <row r="233" s="698" customFormat="1" customHeight="1" spans="1:77">
      <c r="A233" s="208">
        <v>46059</v>
      </c>
      <c r="B233" s="208">
        <v>46158</v>
      </c>
      <c r="C233" s="211" t="s">
        <v>491</v>
      </c>
      <c r="D233" s="211" t="s">
        <v>492</v>
      </c>
      <c r="E233" s="211" t="s">
        <v>107</v>
      </c>
      <c r="F233" s="732">
        <v>4500</v>
      </c>
      <c r="G233" s="211" t="s">
        <v>270</v>
      </c>
      <c r="H233" s="211" t="str">
        <f>IFERROR(VLOOKUP(E233,名称!A:E,4,0),"")</f>
        <v>三代</v>
      </c>
      <c r="I233" s="268" t="str">
        <f t="shared" ref="I233:BT233" si="271">IF(OR($E233="",I$1=""),"",IF(TRIM(LEFT($E233,MIN(IFERROR(FIND("CDU",UPPER($E233)),999),IFERROR(FIND("BULK",UPPER($E233)),999),IFERROR(FIND("-",$E233),999),IFERROR(FIND("（",$E233),999))-1))=I$1,$F233,""))</f>
        <v/>
      </c>
      <c r="J233" s="268" t="str">
        <f t="shared" si="271"/>
        <v/>
      </c>
      <c r="K233" s="268" t="str">
        <f t="shared" si="271"/>
        <v/>
      </c>
      <c r="L233" s="268" t="str">
        <f t="shared" si="271"/>
        <v/>
      </c>
      <c r="M233" s="268" t="str">
        <f t="shared" si="271"/>
        <v/>
      </c>
      <c r="N233" s="268" t="str">
        <f t="shared" si="271"/>
        <v/>
      </c>
      <c r="O233" s="268" t="str">
        <f t="shared" si="271"/>
        <v/>
      </c>
      <c r="P233" s="268" t="str">
        <f t="shared" si="271"/>
        <v/>
      </c>
      <c r="Q233" s="268" t="str">
        <f t="shared" si="271"/>
        <v/>
      </c>
      <c r="R233" s="268" t="str">
        <f t="shared" si="271"/>
        <v/>
      </c>
      <c r="S233" s="268" t="str">
        <f t="shared" si="271"/>
        <v/>
      </c>
      <c r="T233" s="268" t="str">
        <f t="shared" si="271"/>
        <v/>
      </c>
      <c r="U233" s="268" t="str">
        <f t="shared" si="271"/>
        <v/>
      </c>
      <c r="V233" s="268" t="str">
        <f t="shared" si="271"/>
        <v/>
      </c>
      <c r="W233" s="268" t="str">
        <f t="shared" si="271"/>
        <v/>
      </c>
      <c r="X233" s="268" t="str">
        <f t="shared" si="271"/>
        <v/>
      </c>
      <c r="Y233" s="268" t="str">
        <f t="shared" si="271"/>
        <v/>
      </c>
      <c r="Z233" s="268" t="str">
        <f t="shared" si="271"/>
        <v/>
      </c>
      <c r="AA233" s="268" t="str">
        <f t="shared" si="271"/>
        <v/>
      </c>
      <c r="AB233" s="268" t="str">
        <f t="shared" si="271"/>
        <v/>
      </c>
      <c r="AC233" s="268" t="str">
        <f t="shared" si="271"/>
        <v/>
      </c>
      <c r="AD233" s="268" t="str">
        <f t="shared" si="271"/>
        <v/>
      </c>
      <c r="AE233" s="268" t="str">
        <f t="shared" si="271"/>
        <v/>
      </c>
      <c r="AF233" s="268" t="str">
        <f t="shared" si="271"/>
        <v/>
      </c>
      <c r="AG233" s="268">
        <f t="shared" si="271"/>
        <v>4500</v>
      </c>
      <c r="AH233" s="268" t="str">
        <f t="shared" si="271"/>
        <v/>
      </c>
      <c r="AI233" s="268" t="str">
        <f t="shared" si="271"/>
        <v/>
      </c>
      <c r="AJ233" s="268" t="str">
        <f t="shared" si="271"/>
        <v/>
      </c>
      <c r="AK233" s="268" t="str">
        <f t="shared" si="271"/>
        <v/>
      </c>
      <c r="AL233" s="268" t="str">
        <f t="shared" si="271"/>
        <v/>
      </c>
      <c r="AM233" s="268" t="str">
        <f t="shared" si="271"/>
        <v/>
      </c>
      <c r="AN233" s="268" t="str">
        <f t="shared" si="271"/>
        <v/>
      </c>
      <c r="AO233" s="268" t="str">
        <f t="shared" si="271"/>
        <v/>
      </c>
      <c r="AP233" s="268" t="str">
        <f t="shared" si="271"/>
        <v/>
      </c>
      <c r="AQ233" s="268" t="str">
        <f t="shared" si="271"/>
        <v/>
      </c>
      <c r="AR233" s="268" t="str">
        <f t="shared" si="271"/>
        <v/>
      </c>
      <c r="AS233" s="268" t="str">
        <f t="shared" si="271"/>
        <v/>
      </c>
      <c r="AT233" s="268" t="str">
        <f t="shared" si="271"/>
        <v/>
      </c>
      <c r="AU233" s="268" t="str">
        <f t="shared" si="271"/>
        <v/>
      </c>
      <c r="AV233" s="268" t="str">
        <f t="shared" si="271"/>
        <v/>
      </c>
      <c r="AW233" s="268" t="str">
        <f t="shared" si="271"/>
        <v/>
      </c>
      <c r="AX233" s="268" t="str">
        <f t="shared" si="271"/>
        <v/>
      </c>
      <c r="AY233" s="268" t="str">
        <f t="shared" si="271"/>
        <v/>
      </c>
      <c r="AZ233" s="268" t="str">
        <f t="shared" si="271"/>
        <v/>
      </c>
      <c r="BA233" s="268" t="str">
        <f t="shared" si="271"/>
        <v/>
      </c>
      <c r="BB233" s="268" t="str">
        <f t="shared" si="271"/>
        <v/>
      </c>
      <c r="BC233" s="268" t="str">
        <f t="shared" si="271"/>
        <v/>
      </c>
      <c r="BD233" s="268" t="str">
        <f t="shared" si="271"/>
        <v/>
      </c>
      <c r="BE233" s="268" t="str">
        <f t="shared" si="271"/>
        <v/>
      </c>
      <c r="BF233" s="268" t="str">
        <f t="shared" si="271"/>
        <v/>
      </c>
      <c r="BG233" s="268" t="str">
        <f t="shared" si="271"/>
        <v/>
      </c>
      <c r="BH233" s="268" t="str">
        <f t="shared" si="271"/>
        <v/>
      </c>
      <c r="BI233" s="268" t="str">
        <f t="shared" si="271"/>
        <v/>
      </c>
      <c r="BJ233" s="268" t="str">
        <f t="shared" si="271"/>
        <v/>
      </c>
      <c r="BK233" s="268" t="str">
        <f t="shared" si="271"/>
        <v/>
      </c>
      <c r="BL233" s="268" t="str">
        <f t="shared" si="271"/>
        <v/>
      </c>
      <c r="BM233" s="268" t="str">
        <f t="shared" si="271"/>
        <v/>
      </c>
      <c r="BN233" s="268" t="str">
        <f t="shared" si="271"/>
        <v/>
      </c>
      <c r="BO233" s="268" t="str">
        <f t="shared" si="271"/>
        <v/>
      </c>
      <c r="BP233" s="268" t="str">
        <f t="shared" si="271"/>
        <v/>
      </c>
      <c r="BQ233" s="268" t="str">
        <f t="shared" si="271"/>
        <v/>
      </c>
      <c r="BR233" s="268" t="str">
        <f t="shared" si="271"/>
        <v/>
      </c>
      <c r="BS233" s="268" t="str">
        <f t="shared" si="271"/>
        <v/>
      </c>
      <c r="BT233" s="268" t="str">
        <f t="shared" si="271"/>
        <v/>
      </c>
      <c r="BU233" s="268" t="str">
        <f t="shared" si="222"/>
        <v/>
      </c>
      <c r="BV233" s="247">
        <v>2.14</v>
      </c>
      <c r="BW233" s="729">
        <f t="shared" si="253"/>
        <v>9630</v>
      </c>
      <c r="BX233" s="730">
        <f t="shared" si="254"/>
        <v>74632.5</v>
      </c>
      <c r="BY233" s="731" t="str">
        <f t="shared" si="255"/>
        <v>SR</v>
      </c>
    </row>
    <row r="234" s="698" customFormat="1" customHeight="1" spans="1:77">
      <c r="A234" s="208">
        <v>46059</v>
      </c>
      <c r="B234" s="208">
        <v>46142</v>
      </c>
      <c r="C234" s="211" t="s">
        <v>493</v>
      </c>
      <c r="D234" s="211" t="s">
        <v>494</v>
      </c>
      <c r="E234" s="211" t="s">
        <v>93</v>
      </c>
      <c r="F234" s="732">
        <v>7500</v>
      </c>
      <c r="G234" s="211" t="s">
        <v>270</v>
      </c>
      <c r="H234" s="211" t="str">
        <f>IFERROR(VLOOKUP(E234,名称!A:E,4,0),"")</f>
        <v>三代</v>
      </c>
      <c r="I234" s="268" t="str">
        <f t="shared" ref="I234:BT234" si="272">IF(OR($E234="",I$1=""),"",IF(TRIM(LEFT($E234,MIN(IFERROR(FIND("CDU",UPPER($E234)),999),IFERROR(FIND("BULK",UPPER($E234)),999),IFERROR(FIND("-",$E234),999),IFERROR(FIND("（",$E234),999))-1))=I$1,$F234,""))</f>
        <v/>
      </c>
      <c r="J234" s="268" t="str">
        <f t="shared" si="272"/>
        <v/>
      </c>
      <c r="K234" s="268" t="str">
        <f t="shared" si="272"/>
        <v/>
      </c>
      <c r="L234" s="268" t="str">
        <f t="shared" si="272"/>
        <v/>
      </c>
      <c r="M234" s="268" t="str">
        <f t="shared" si="272"/>
        <v/>
      </c>
      <c r="N234" s="268" t="str">
        <f t="shared" si="272"/>
        <v/>
      </c>
      <c r="O234" s="268" t="str">
        <f t="shared" si="272"/>
        <v/>
      </c>
      <c r="P234" s="268" t="str">
        <f t="shared" si="272"/>
        <v/>
      </c>
      <c r="Q234" s="268" t="str">
        <f t="shared" si="272"/>
        <v/>
      </c>
      <c r="R234" s="268" t="str">
        <f t="shared" si="272"/>
        <v/>
      </c>
      <c r="S234" s="268" t="str">
        <f t="shared" si="272"/>
        <v/>
      </c>
      <c r="T234" s="268" t="str">
        <f t="shared" si="272"/>
        <v/>
      </c>
      <c r="U234" s="268" t="str">
        <f t="shared" si="272"/>
        <v/>
      </c>
      <c r="V234" s="268" t="str">
        <f t="shared" si="272"/>
        <v/>
      </c>
      <c r="W234" s="268" t="str">
        <f t="shared" si="272"/>
        <v/>
      </c>
      <c r="X234" s="268" t="str">
        <f t="shared" si="272"/>
        <v/>
      </c>
      <c r="Y234" s="268" t="str">
        <f t="shared" si="272"/>
        <v/>
      </c>
      <c r="Z234" s="268" t="str">
        <f t="shared" si="272"/>
        <v/>
      </c>
      <c r="AA234" s="268" t="str">
        <f t="shared" si="272"/>
        <v/>
      </c>
      <c r="AB234" s="268" t="str">
        <f t="shared" si="272"/>
        <v/>
      </c>
      <c r="AC234" s="268" t="str">
        <f t="shared" si="272"/>
        <v/>
      </c>
      <c r="AD234" s="268" t="str">
        <f t="shared" si="272"/>
        <v/>
      </c>
      <c r="AE234" s="268" t="str">
        <f t="shared" si="272"/>
        <v/>
      </c>
      <c r="AF234" s="268" t="str">
        <f t="shared" si="272"/>
        <v/>
      </c>
      <c r="AG234" s="268" t="str">
        <f t="shared" si="272"/>
        <v/>
      </c>
      <c r="AH234" s="268" t="str">
        <f t="shared" si="272"/>
        <v/>
      </c>
      <c r="AI234" s="268" t="str">
        <f t="shared" si="272"/>
        <v/>
      </c>
      <c r="AJ234" s="268" t="str">
        <f t="shared" si="272"/>
        <v/>
      </c>
      <c r="AK234" s="268" t="str">
        <f t="shared" si="272"/>
        <v/>
      </c>
      <c r="AL234" s="268" t="str">
        <f t="shared" si="272"/>
        <v/>
      </c>
      <c r="AM234" s="268" t="str">
        <f t="shared" si="272"/>
        <v/>
      </c>
      <c r="AN234" s="268" t="str">
        <f t="shared" si="272"/>
        <v/>
      </c>
      <c r="AO234" s="268" t="str">
        <f t="shared" si="272"/>
        <v/>
      </c>
      <c r="AP234" s="268" t="str">
        <f t="shared" si="272"/>
        <v/>
      </c>
      <c r="AQ234" s="268" t="str">
        <f t="shared" si="272"/>
        <v/>
      </c>
      <c r="AR234" s="268" t="str">
        <f t="shared" si="272"/>
        <v/>
      </c>
      <c r="AS234" s="268" t="str">
        <f t="shared" si="272"/>
        <v/>
      </c>
      <c r="AT234" s="268" t="str">
        <f t="shared" si="272"/>
        <v/>
      </c>
      <c r="AU234" s="268" t="str">
        <f t="shared" si="272"/>
        <v/>
      </c>
      <c r="AV234" s="268" t="str">
        <f t="shared" si="272"/>
        <v/>
      </c>
      <c r="AW234" s="268" t="str">
        <f t="shared" si="272"/>
        <v/>
      </c>
      <c r="AX234" s="268" t="str">
        <f t="shared" si="272"/>
        <v/>
      </c>
      <c r="AY234" s="268">
        <f t="shared" si="272"/>
        <v>7500</v>
      </c>
      <c r="AZ234" s="268" t="str">
        <f t="shared" si="272"/>
        <v/>
      </c>
      <c r="BA234" s="268" t="str">
        <f t="shared" si="272"/>
        <v/>
      </c>
      <c r="BB234" s="268" t="str">
        <f t="shared" si="272"/>
        <v/>
      </c>
      <c r="BC234" s="268" t="str">
        <f t="shared" si="272"/>
        <v/>
      </c>
      <c r="BD234" s="268" t="str">
        <f t="shared" si="272"/>
        <v/>
      </c>
      <c r="BE234" s="268" t="str">
        <f t="shared" si="272"/>
        <v/>
      </c>
      <c r="BF234" s="268" t="str">
        <f t="shared" si="272"/>
        <v/>
      </c>
      <c r="BG234" s="268" t="str">
        <f t="shared" si="272"/>
        <v/>
      </c>
      <c r="BH234" s="268" t="str">
        <f t="shared" si="272"/>
        <v/>
      </c>
      <c r="BI234" s="268" t="str">
        <f t="shared" si="272"/>
        <v/>
      </c>
      <c r="BJ234" s="268" t="str">
        <f t="shared" si="272"/>
        <v/>
      </c>
      <c r="BK234" s="268" t="str">
        <f t="shared" si="272"/>
        <v/>
      </c>
      <c r="BL234" s="268" t="str">
        <f t="shared" si="272"/>
        <v/>
      </c>
      <c r="BM234" s="268" t="str">
        <f t="shared" si="272"/>
        <v/>
      </c>
      <c r="BN234" s="268" t="str">
        <f t="shared" si="272"/>
        <v/>
      </c>
      <c r="BO234" s="268" t="str">
        <f t="shared" si="272"/>
        <v/>
      </c>
      <c r="BP234" s="268" t="str">
        <f t="shared" si="272"/>
        <v/>
      </c>
      <c r="BQ234" s="268" t="str">
        <f t="shared" si="272"/>
        <v/>
      </c>
      <c r="BR234" s="268" t="str">
        <f t="shared" si="272"/>
        <v/>
      </c>
      <c r="BS234" s="268" t="str">
        <f t="shared" si="272"/>
        <v/>
      </c>
      <c r="BT234" s="268" t="str">
        <f t="shared" si="272"/>
        <v/>
      </c>
      <c r="BU234" s="268" t="str">
        <f t="shared" si="222"/>
        <v/>
      </c>
      <c r="BV234" s="247">
        <v>0.61</v>
      </c>
      <c r="BW234" s="729">
        <f t="shared" si="253"/>
        <v>4575</v>
      </c>
      <c r="BX234" s="730">
        <f t="shared" si="254"/>
        <v>35456.25</v>
      </c>
      <c r="BY234" s="731" t="str">
        <f t="shared" si="255"/>
        <v>SR</v>
      </c>
    </row>
    <row r="235" s="697" customFormat="1" customHeight="1" spans="1:77">
      <c r="A235" s="116">
        <v>46059</v>
      </c>
      <c r="B235" s="116">
        <v>46142</v>
      </c>
      <c r="C235" s="118" t="s">
        <v>495</v>
      </c>
      <c r="D235" s="118" t="s">
        <v>496</v>
      </c>
      <c r="E235" s="118" t="s">
        <v>93</v>
      </c>
      <c r="F235" s="726">
        <v>7500</v>
      </c>
      <c r="G235" s="118" t="s">
        <v>270</v>
      </c>
      <c r="H235" s="118" t="str">
        <f>IFERROR(VLOOKUP(E235,名称!A:E,4,0),"")</f>
        <v>三代</v>
      </c>
      <c r="I235" s="418" t="str">
        <f t="shared" ref="I235:BT235" si="273">IF(OR($E235="",I$1=""),"",IF(TRIM(LEFT($E235,MIN(IFERROR(FIND("CDU",UPPER($E235)),999),IFERROR(FIND("BULK",UPPER($E235)),999),IFERROR(FIND("-",$E235),999),IFERROR(FIND("（",$E235),999))-1))=I$1,$F235,""))</f>
        <v/>
      </c>
      <c r="J235" s="418" t="str">
        <f t="shared" si="273"/>
        <v/>
      </c>
      <c r="K235" s="418" t="str">
        <f t="shared" si="273"/>
        <v/>
      </c>
      <c r="L235" s="418" t="str">
        <f t="shared" si="273"/>
        <v/>
      </c>
      <c r="M235" s="418" t="str">
        <f t="shared" si="273"/>
        <v/>
      </c>
      <c r="N235" s="418" t="str">
        <f t="shared" si="273"/>
        <v/>
      </c>
      <c r="O235" s="418" t="str">
        <f t="shared" si="273"/>
        <v/>
      </c>
      <c r="P235" s="418" t="str">
        <f t="shared" si="273"/>
        <v/>
      </c>
      <c r="Q235" s="418" t="str">
        <f t="shared" si="273"/>
        <v/>
      </c>
      <c r="R235" s="418" t="str">
        <f t="shared" si="273"/>
        <v/>
      </c>
      <c r="S235" s="418" t="str">
        <f t="shared" si="273"/>
        <v/>
      </c>
      <c r="T235" s="418" t="str">
        <f t="shared" si="273"/>
        <v/>
      </c>
      <c r="U235" s="418" t="str">
        <f t="shared" si="273"/>
        <v/>
      </c>
      <c r="V235" s="418" t="str">
        <f t="shared" si="273"/>
        <v/>
      </c>
      <c r="W235" s="418" t="str">
        <f t="shared" si="273"/>
        <v/>
      </c>
      <c r="X235" s="418" t="str">
        <f t="shared" si="273"/>
        <v/>
      </c>
      <c r="Y235" s="418" t="str">
        <f t="shared" si="273"/>
        <v/>
      </c>
      <c r="Z235" s="418" t="str">
        <f t="shared" si="273"/>
        <v/>
      </c>
      <c r="AA235" s="418" t="str">
        <f t="shared" si="273"/>
        <v/>
      </c>
      <c r="AB235" s="418" t="str">
        <f t="shared" si="273"/>
        <v/>
      </c>
      <c r="AC235" s="418" t="str">
        <f t="shared" si="273"/>
        <v/>
      </c>
      <c r="AD235" s="418" t="str">
        <f t="shared" si="273"/>
        <v/>
      </c>
      <c r="AE235" s="418" t="str">
        <f t="shared" si="273"/>
        <v/>
      </c>
      <c r="AF235" s="418" t="str">
        <f t="shared" si="273"/>
        <v/>
      </c>
      <c r="AG235" s="418" t="str">
        <f t="shared" si="273"/>
        <v/>
      </c>
      <c r="AH235" s="418" t="str">
        <f t="shared" si="273"/>
        <v/>
      </c>
      <c r="AI235" s="418" t="str">
        <f t="shared" si="273"/>
        <v/>
      </c>
      <c r="AJ235" s="418" t="str">
        <f t="shared" si="273"/>
        <v/>
      </c>
      <c r="AK235" s="418" t="str">
        <f t="shared" si="273"/>
        <v/>
      </c>
      <c r="AL235" s="418" t="str">
        <f t="shared" si="273"/>
        <v/>
      </c>
      <c r="AM235" s="418" t="str">
        <f t="shared" si="273"/>
        <v/>
      </c>
      <c r="AN235" s="418" t="str">
        <f t="shared" si="273"/>
        <v/>
      </c>
      <c r="AO235" s="418" t="str">
        <f t="shared" si="273"/>
        <v/>
      </c>
      <c r="AP235" s="418" t="str">
        <f t="shared" si="273"/>
        <v/>
      </c>
      <c r="AQ235" s="418" t="str">
        <f t="shared" si="273"/>
        <v/>
      </c>
      <c r="AR235" s="418" t="str">
        <f t="shared" si="273"/>
        <v/>
      </c>
      <c r="AS235" s="418" t="str">
        <f t="shared" si="273"/>
        <v/>
      </c>
      <c r="AT235" s="418" t="str">
        <f t="shared" si="273"/>
        <v/>
      </c>
      <c r="AU235" s="418" t="str">
        <f t="shared" si="273"/>
        <v/>
      </c>
      <c r="AV235" s="418" t="str">
        <f t="shared" si="273"/>
        <v/>
      </c>
      <c r="AW235" s="418" t="str">
        <f t="shared" si="273"/>
        <v/>
      </c>
      <c r="AX235" s="418" t="str">
        <f t="shared" si="273"/>
        <v/>
      </c>
      <c r="AY235" s="418">
        <f t="shared" si="273"/>
        <v>7500</v>
      </c>
      <c r="AZ235" s="418" t="str">
        <f t="shared" si="273"/>
        <v/>
      </c>
      <c r="BA235" s="418" t="str">
        <f t="shared" si="273"/>
        <v/>
      </c>
      <c r="BB235" s="418" t="str">
        <f t="shared" si="273"/>
        <v/>
      </c>
      <c r="BC235" s="418" t="str">
        <f t="shared" si="273"/>
        <v/>
      </c>
      <c r="BD235" s="418" t="str">
        <f t="shared" si="273"/>
        <v/>
      </c>
      <c r="BE235" s="418" t="str">
        <f t="shared" si="273"/>
        <v/>
      </c>
      <c r="BF235" s="418" t="str">
        <f t="shared" si="273"/>
        <v/>
      </c>
      <c r="BG235" s="418" t="str">
        <f t="shared" si="273"/>
        <v/>
      </c>
      <c r="BH235" s="418" t="str">
        <f t="shared" si="273"/>
        <v/>
      </c>
      <c r="BI235" s="418" t="str">
        <f t="shared" si="273"/>
        <v/>
      </c>
      <c r="BJ235" s="418" t="str">
        <f t="shared" si="273"/>
        <v/>
      </c>
      <c r="BK235" s="418" t="str">
        <f t="shared" si="273"/>
        <v/>
      </c>
      <c r="BL235" s="418" t="str">
        <f t="shared" si="273"/>
        <v/>
      </c>
      <c r="BM235" s="418" t="str">
        <f t="shared" si="273"/>
        <v/>
      </c>
      <c r="BN235" s="418" t="str">
        <f t="shared" si="273"/>
        <v/>
      </c>
      <c r="BO235" s="418" t="str">
        <f t="shared" si="273"/>
        <v/>
      </c>
      <c r="BP235" s="418" t="str">
        <f t="shared" si="273"/>
        <v/>
      </c>
      <c r="BQ235" s="418" t="str">
        <f t="shared" si="273"/>
        <v/>
      </c>
      <c r="BR235" s="418" t="str">
        <f t="shared" si="273"/>
        <v/>
      </c>
      <c r="BS235" s="418" t="str">
        <f t="shared" si="273"/>
        <v/>
      </c>
      <c r="BT235" s="418" t="str">
        <f t="shared" si="273"/>
        <v/>
      </c>
      <c r="BU235" s="418" t="str">
        <f t="shared" si="222"/>
        <v/>
      </c>
      <c r="BV235" s="544">
        <v>0.61</v>
      </c>
      <c r="BW235" s="723">
        <f t="shared" si="253"/>
        <v>4575</v>
      </c>
      <c r="BX235" s="724">
        <f t="shared" si="254"/>
        <v>35456.25</v>
      </c>
      <c r="BY235" s="725" t="str">
        <f t="shared" si="255"/>
        <v>SR</v>
      </c>
    </row>
    <row r="236" s="698" customFormat="1" customHeight="1" spans="1:77">
      <c r="A236" s="208">
        <v>46059</v>
      </c>
      <c r="B236" s="208">
        <v>46142</v>
      </c>
      <c r="C236" s="211" t="s">
        <v>497</v>
      </c>
      <c r="D236" s="211" t="s">
        <v>498</v>
      </c>
      <c r="E236" s="211" t="s">
        <v>59</v>
      </c>
      <c r="F236" s="732">
        <v>5016</v>
      </c>
      <c r="G236" s="211" t="s">
        <v>270</v>
      </c>
      <c r="H236" s="211" t="str">
        <f>IFERROR(VLOOKUP(E236,名称!A:E,4,0),"")</f>
        <v>三代</v>
      </c>
      <c r="I236" s="268" t="str">
        <f t="shared" ref="I236:BT236" si="274">IF(OR($E236="",I$1=""),"",IF(TRIM(LEFT($E236,MIN(IFERROR(FIND("CDU",UPPER($E236)),999),IFERROR(FIND("BULK",UPPER($E236)),999),IFERROR(FIND("-",$E236),999),IFERROR(FIND("（",$E236),999))-1))=I$1,$F236,""))</f>
        <v/>
      </c>
      <c r="J236" s="268" t="str">
        <f t="shared" si="274"/>
        <v/>
      </c>
      <c r="K236" s="268" t="str">
        <f t="shared" si="274"/>
        <v/>
      </c>
      <c r="L236" s="268" t="str">
        <f t="shared" si="274"/>
        <v/>
      </c>
      <c r="M236" s="268" t="str">
        <f t="shared" si="274"/>
        <v/>
      </c>
      <c r="N236" s="268" t="str">
        <f t="shared" si="274"/>
        <v/>
      </c>
      <c r="O236" s="268" t="str">
        <f t="shared" si="274"/>
        <v/>
      </c>
      <c r="P236" s="268" t="str">
        <f t="shared" si="274"/>
        <v/>
      </c>
      <c r="Q236" s="268" t="str">
        <f t="shared" si="274"/>
        <v/>
      </c>
      <c r="R236" s="268" t="str">
        <f t="shared" si="274"/>
        <v/>
      </c>
      <c r="S236" s="268" t="str">
        <f t="shared" si="274"/>
        <v/>
      </c>
      <c r="T236" s="268" t="str">
        <f t="shared" si="274"/>
        <v/>
      </c>
      <c r="U236" s="268" t="str">
        <f t="shared" si="274"/>
        <v/>
      </c>
      <c r="V236" s="268" t="str">
        <f t="shared" si="274"/>
        <v/>
      </c>
      <c r="W236" s="268" t="str">
        <f t="shared" si="274"/>
        <v/>
      </c>
      <c r="X236" s="268" t="str">
        <f t="shared" si="274"/>
        <v/>
      </c>
      <c r="Y236" s="268" t="str">
        <f t="shared" si="274"/>
        <v/>
      </c>
      <c r="Z236" s="268" t="str">
        <f t="shared" si="274"/>
        <v/>
      </c>
      <c r="AA236" s="268" t="str">
        <f t="shared" si="274"/>
        <v/>
      </c>
      <c r="AB236" s="268" t="str">
        <f t="shared" si="274"/>
        <v/>
      </c>
      <c r="AC236" s="268" t="str">
        <f t="shared" si="274"/>
        <v/>
      </c>
      <c r="AD236" s="268">
        <f t="shared" si="274"/>
        <v>5016</v>
      </c>
      <c r="AE236" s="268" t="str">
        <f t="shared" si="274"/>
        <v/>
      </c>
      <c r="AF236" s="268" t="str">
        <f t="shared" si="274"/>
        <v/>
      </c>
      <c r="AG236" s="268" t="str">
        <f t="shared" si="274"/>
        <v/>
      </c>
      <c r="AH236" s="268" t="str">
        <f t="shared" si="274"/>
        <v/>
      </c>
      <c r="AI236" s="268" t="str">
        <f t="shared" si="274"/>
        <v/>
      </c>
      <c r="AJ236" s="268" t="str">
        <f t="shared" si="274"/>
        <v/>
      </c>
      <c r="AK236" s="268" t="str">
        <f t="shared" si="274"/>
        <v/>
      </c>
      <c r="AL236" s="268" t="str">
        <f t="shared" si="274"/>
        <v/>
      </c>
      <c r="AM236" s="268" t="str">
        <f t="shared" si="274"/>
        <v/>
      </c>
      <c r="AN236" s="268" t="str">
        <f t="shared" si="274"/>
        <v/>
      </c>
      <c r="AO236" s="268" t="str">
        <f t="shared" si="274"/>
        <v/>
      </c>
      <c r="AP236" s="268" t="str">
        <f t="shared" si="274"/>
        <v/>
      </c>
      <c r="AQ236" s="268" t="str">
        <f t="shared" si="274"/>
        <v/>
      </c>
      <c r="AR236" s="268" t="str">
        <f t="shared" si="274"/>
        <v/>
      </c>
      <c r="AS236" s="268" t="str">
        <f t="shared" si="274"/>
        <v/>
      </c>
      <c r="AT236" s="268" t="str">
        <f t="shared" si="274"/>
        <v/>
      </c>
      <c r="AU236" s="268" t="str">
        <f t="shared" si="274"/>
        <v/>
      </c>
      <c r="AV236" s="268" t="str">
        <f t="shared" si="274"/>
        <v/>
      </c>
      <c r="AW236" s="268" t="str">
        <f t="shared" si="274"/>
        <v/>
      </c>
      <c r="AX236" s="268" t="str">
        <f t="shared" si="274"/>
        <v/>
      </c>
      <c r="AY236" s="268" t="str">
        <f t="shared" si="274"/>
        <v/>
      </c>
      <c r="AZ236" s="268" t="str">
        <f t="shared" si="274"/>
        <v/>
      </c>
      <c r="BA236" s="268" t="str">
        <f t="shared" si="274"/>
        <v/>
      </c>
      <c r="BB236" s="268" t="str">
        <f t="shared" si="274"/>
        <v/>
      </c>
      <c r="BC236" s="268" t="str">
        <f t="shared" si="274"/>
        <v/>
      </c>
      <c r="BD236" s="268" t="str">
        <f t="shared" si="274"/>
        <v/>
      </c>
      <c r="BE236" s="268" t="str">
        <f t="shared" si="274"/>
        <v/>
      </c>
      <c r="BF236" s="268" t="str">
        <f t="shared" si="274"/>
        <v/>
      </c>
      <c r="BG236" s="268" t="str">
        <f t="shared" si="274"/>
        <v/>
      </c>
      <c r="BH236" s="268" t="str">
        <f t="shared" si="274"/>
        <v/>
      </c>
      <c r="BI236" s="268" t="str">
        <f t="shared" si="274"/>
        <v/>
      </c>
      <c r="BJ236" s="268" t="str">
        <f t="shared" si="274"/>
        <v/>
      </c>
      <c r="BK236" s="268" t="str">
        <f t="shared" si="274"/>
        <v/>
      </c>
      <c r="BL236" s="268" t="str">
        <f t="shared" si="274"/>
        <v/>
      </c>
      <c r="BM236" s="268" t="str">
        <f t="shared" si="274"/>
        <v/>
      </c>
      <c r="BN236" s="268" t="str">
        <f t="shared" si="274"/>
        <v/>
      </c>
      <c r="BO236" s="268" t="str">
        <f t="shared" si="274"/>
        <v/>
      </c>
      <c r="BP236" s="268" t="str">
        <f t="shared" si="274"/>
        <v/>
      </c>
      <c r="BQ236" s="268" t="str">
        <f t="shared" si="274"/>
        <v/>
      </c>
      <c r="BR236" s="268" t="str">
        <f t="shared" si="274"/>
        <v/>
      </c>
      <c r="BS236" s="268" t="str">
        <f t="shared" si="274"/>
        <v/>
      </c>
      <c r="BT236" s="268" t="str">
        <f t="shared" si="274"/>
        <v/>
      </c>
      <c r="BU236" s="268" t="str">
        <f t="shared" si="222"/>
        <v/>
      </c>
      <c r="BV236" s="247">
        <v>0.62</v>
      </c>
      <c r="BW236" s="729">
        <f t="shared" si="253"/>
        <v>3109.92</v>
      </c>
      <c r="BX236" s="730">
        <f t="shared" si="254"/>
        <v>24101.88</v>
      </c>
      <c r="BY236" s="731" t="str">
        <f t="shared" si="255"/>
        <v>SR</v>
      </c>
    </row>
    <row r="237" s="698" customFormat="1" customHeight="1" spans="1:77">
      <c r="A237" s="208">
        <v>46059</v>
      </c>
      <c r="B237" s="208">
        <v>46175</v>
      </c>
      <c r="C237" s="211" t="s">
        <v>499</v>
      </c>
      <c r="D237" s="211" t="s">
        <v>500</v>
      </c>
      <c r="E237" s="211" t="s">
        <v>59</v>
      </c>
      <c r="F237" s="732">
        <v>5016</v>
      </c>
      <c r="G237" s="211" t="s">
        <v>270</v>
      </c>
      <c r="H237" s="211" t="str">
        <f>IFERROR(VLOOKUP(E237,名称!A:E,4,0),"")</f>
        <v>三代</v>
      </c>
      <c r="I237" s="268" t="str">
        <f t="shared" ref="I237:BT237" si="275">IF(OR($E237="",I$1=""),"",IF(TRIM(LEFT($E237,MIN(IFERROR(FIND("CDU",UPPER($E237)),999),IFERROR(FIND("BULK",UPPER($E237)),999),IFERROR(FIND("-",$E237),999),IFERROR(FIND("（",$E237),999))-1))=I$1,$F237,""))</f>
        <v/>
      </c>
      <c r="J237" s="268" t="str">
        <f t="shared" si="275"/>
        <v/>
      </c>
      <c r="K237" s="268" t="str">
        <f t="shared" si="275"/>
        <v/>
      </c>
      <c r="L237" s="268" t="str">
        <f t="shared" si="275"/>
        <v/>
      </c>
      <c r="M237" s="268" t="str">
        <f t="shared" si="275"/>
        <v/>
      </c>
      <c r="N237" s="268" t="str">
        <f t="shared" si="275"/>
        <v/>
      </c>
      <c r="O237" s="268" t="str">
        <f t="shared" si="275"/>
        <v/>
      </c>
      <c r="P237" s="268" t="str">
        <f t="shared" si="275"/>
        <v/>
      </c>
      <c r="Q237" s="268" t="str">
        <f t="shared" si="275"/>
        <v/>
      </c>
      <c r="R237" s="268" t="str">
        <f t="shared" si="275"/>
        <v/>
      </c>
      <c r="S237" s="268" t="str">
        <f t="shared" si="275"/>
        <v/>
      </c>
      <c r="T237" s="268" t="str">
        <f t="shared" si="275"/>
        <v/>
      </c>
      <c r="U237" s="268" t="str">
        <f t="shared" si="275"/>
        <v/>
      </c>
      <c r="V237" s="268" t="str">
        <f t="shared" si="275"/>
        <v/>
      </c>
      <c r="W237" s="268" t="str">
        <f t="shared" si="275"/>
        <v/>
      </c>
      <c r="X237" s="268" t="str">
        <f t="shared" si="275"/>
        <v/>
      </c>
      <c r="Y237" s="268" t="str">
        <f t="shared" si="275"/>
        <v/>
      </c>
      <c r="Z237" s="268" t="str">
        <f t="shared" si="275"/>
        <v/>
      </c>
      <c r="AA237" s="268" t="str">
        <f t="shared" si="275"/>
        <v/>
      </c>
      <c r="AB237" s="268" t="str">
        <f t="shared" si="275"/>
        <v/>
      </c>
      <c r="AC237" s="268" t="str">
        <f t="shared" si="275"/>
        <v/>
      </c>
      <c r="AD237" s="268">
        <f t="shared" si="275"/>
        <v>5016</v>
      </c>
      <c r="AE237" s="268" t="str">
        <f t="shared" si="275"/>
        <v/>
      </c>
      <c r="AF237" s="268" t="str">
        <f t="shared" si="275"/>
        <v/>
      </c>
      <c r="AG237" s="268" t="str">
        <f t="shared" si="275"/>
        <v/>
      </c>
      <c r="AH237" s="268" t="str">
        <f t="shared" si="275"/>
        <v/>
      </c>
      <c r="AI237" s="268" t="str">
        <f t="shared" si="275"/>
        <v/>
      </c>
      <c r="AJ237" s="268" t="str">
        <f t="shared" si="275"/>
        <v/>
      </c>
      <c r="AK237" s="268" t="str">
        <f t="shared" si="275"/>
        <v/>
      </c>
      <c r="AL237" s="268" t="str">
        <f t="shared" si="275"/>
        <v/>
      </c>
      <c r="AM237" s="268" t="str">
        <f t="shared" si="275"/>
        <v/>
      </c>
      <c r="AN237" s="268" t="str">
        <f t="shared" si="275"/>
        <v/>
      </c>
      <c r="AO237" s="268" t="str">
        <f t="shared" si="275"/>
        <v/>
      </c>
      <c r="AP237" s="268" t="str">
        <f t="shared" si="275"/>
        <v/>
      </c>
      <c r="AQ237" s="268" t="str">
        <f t="shared" si="275"/>
        <v/>
      </c>
      <c r="AR237" s="268" t="str">
        <f t="shared" si="275"/>
        <v/>
      </c>
      <c r="AS237" s="268" t="str">
        <f t="shared" si="275"/>
        <v/>
      </c>
      <c r="AT237" s="268" t="str">
        <f t="shared" si="275"/>
        <v/>
      </c>
      <c r="AU237" s="268" t="str">
        <f t="shared" si="275"/>
        <v/>
      </c>
      <c r="AV237" s="268" t="str">
        <f t="shared" si="275"/>
        <v/>
      </c>
      <c r="AW237" s="268" t="str">
        <f t="shared" si="275"/>
        <v/>
      </c>
      <c r="AX237" s="268" t="str">
        <f t="shared" si="275"/>
        <v/>
      </c>
      <c r="AY237" s="268" t="str">
        <f t="shared" si="275"/>
        <v/>
      </c>
      <c r="AZ237" s="268" t="str">
        <f t="shared" si="275"/>
        <v/>
      </c>
      <c r="BA237" s="268" t="str">
        <f t="shared" si="275"/>
        <v/>
      </c>
      <c r="BB237" s="268" t="str">
        <f t="shared" si="275"/>
        <v/>
      </c>
      <c r="BC237" s="268" t="str">
        <f t="shared" si="275"/>
        <v/>
      </c>
      <c r="BD237" s="268" t="str">
        <f t="shared" si="275"/>
        <v/>
      </c>
      <c r="BE237" s="268" t="str">
        <f t="shared" si="275"/>
        <v/>
      </c>
      <c r="BF237" s="268" t="str">
        <f t="shared" si="275"/>
        <v/>
      </c>
      <c r="BG237" s="268" t="str">
        <f t="shared" si="275"/>
        <v/>
      </c>
      <c r="BH237" s="268" t="str">
        <f t="shared" si="275"/>
        <v/>
      </c>
      <c r="BI237" s="268" t="str">
        <f t="shared" si="275"/>
        <v/>
      </c>
      <c r="BJ237" s="268" t="str">
        <f t="shared" si="275"/>
        <v/>
      </c>
      <c r="BK237" s="268" t="str">
        <f t="shared" si="275"/>
        <v/>
      </c>
      <c r="BL237" s="268" t="str">
        <f t="shared" si="275"/>
        <v/>
      </c>
      <c r="BM237" s="268" t="str">
        <f t="shared" si="275"/>
        <v/>
      </c>
      <c r="BN237" s="268" t="str">
        <f t="shared" si="275"/>
        <v/>
      </c>
      <c r="BO237" s="268" t="str">
        <f t="shared" si="275"/>
        <v/>
      </c>
      <c r="BP237" s="268" t="str">
        <f t="shared" si="275"/>
        <v/>
      </c>
      <c r="BQ237" s="268" t="str">
        <f t="shared" si="275"/>
        <v/>
      </c>
      <c r="BR237" s="268" t="str">
        <f t="shared" si="275"/>
        <v/>
      </c>
      <c r="BS237" s="268" t="str">
        <f t="shared" si="275"/>
        <v/>
      </c>
      <c r="BT237" s="268" t="str">
        <f t="shared" si="275"/>
        <v/>
      </c>
      <c r="BU237" s="268" t="str">
        <f t="shared" si="222"/>
        <v/>
      </c>
      <c r="BV237" s="247">
        <v>0.62</v>
      </c>
      <c r="BW237" s="729">
        <f t="shared" si="253"/>
        <v>3109.92</v>
      </c>
      <c r="BX237" s="730">
        <f t="shared" si="254"/>
        <v>24101.88</v>
      </c>
      <c r="BY237" s="731" t="str">
        <f t="shared" si="255"/>
        <v>SR</v>
      </c>
    </row>
    <row r="238" s="697" customFormat="1" customHeight="1" spans="1:77">
      <c r="A238" s="116">
        <v>46059</v>
      </c>
      <c r="B238" s="116">
        <v>46175</v>
      </c>
      <c r="C238" s="118" t="s">
        <v>501</v>
      </c>
      <c r="D238" s="118" t="s">
        <v>502</v>
      </c>
      <c r="E238" s="118" t="s">
        <v>59</v>
      </c>
      <c r="F238" s="726">
        <v>5016</v>
      </c>
      <c r="G238" s="118" t="s">
        <v>270</v>
      </c>
      <c r="H238" s="118" t="str">
        <f>IFERROR(VLOOKUP(E238,名称!A:E,4,0),"")</f>
        <v>三代</v>
      </c>
      <c r="I238" s="418" t="str">
        <f t="shared" ref="I238:BT238" si="276">IF(OR($E238="",I$1=""),"",IF(TRIM(LEFT($E238,MIN(IFERROR(FIND("CDU",UPPER($E238)),999),IFERROR(FIND("BULK",UPPER($E238)),999),IFERROR(FIND("-",$E238),999),IFERROR(FIND("（",$E238),999))-1))=I$1,$F238,""))</f>
        <v/>
      </c>
      <c r="J238" s="418" t="str">
        <f t="shared" si="276"/>
        <v/>
      </c>
      <c r="K238" s="418" t="str">
        <f t="shared" si="276"/>
        <v/>
      </c>
      <c r="L238" s="418" t="str">
        <f t="shared" si="276"/>
        <v/>
      </c>
      <c r="M238" s="418" t="str">
        <f t="shared" si="276"/>
        <v/>
      </c>
      <c r="N238" s="418" t="str">
        <f t="shared" si="276"/>
        <v/>
      </c>
      <c r="O238" s="418" t="str">
        <f t="shared" si="276"/>
        <v/>
      </c>
      <c r="P238" s="418" t="str">
        <f t="shared" si="276"/>
        <v/>
      </c>
      <c r="Q238" s="418" t="str">
        <f t="shared" si="276"/>
        <v/>
      </c>
      <c r="R238" s="418" t="str">
        <f t="shared" si="276"/>
        <v/>
      </c>
      <c r="S238" s="418" t="str">
        <f t="shared" si="276"/>
        <v/>
      </c>
      <c r="T238" s="418" t="str">
        <f t="shared" si="276"/>
        <v/>
      </c>
      <c r="U238" s="418" t="str">
        <f t="shared" si="276"/>
        <v/>
      </c>
      <c r="V238" s="418" t="str">
        <f t="shared" si="276"/>
        <v/>
      </c>
      <c r="W238" s="418" t="str">
        <f t="shared" si="276"/>
        <v/>
      </c>
      <c r="X238" s="418" t="str">
        <f t="shared" si="276"/>
        <v/>
      </c>
      <c r="Y238" s="418" t="str">
        <f t="shared" si="276"/>
        <v/>
      </c>
      <c r="Z238" s="418" t="str">
        <f t="shared" si="276"/>
        <v/>
      </c>
      <c r="AA238" s="418" t="str">
        <f t="shared" si="276"/>
        <v/>
      </c>
      <c r="AB238" s="418" t="str">
        <f t="shared" si="276"/>
        <v/>
      </c>
      <c r="AC238" s="418" t="str">
        <f t="shared" si="276"/>
        <v/>
      </c>
      <c r="AD238" s="418">
        <f t="shared" si="276"/>
        <v>5016</v>
      </c>
      <c r="AE238" s="418" t="str">
        <f t="shared" si="276"/>
        <v/>
      </c>
      <c r="AF238" s="418" t="str">
        <f t="shared" si="276"/>
        <v/>
      </c>
      <c r="AG238" s="418" t="str">
        <f t="shared" si="276"/>
        <v/>
      </c>
      <c r="AH238" s="418" t="str">
        <f t="shared" si="276"/>
        <v/>
      </c>
      <c r="AI238" s="418" t="str">
        <f t="shared" si="276"/>
        <v/>
      </c>
      <c r="AJ238" s="418" t="str">
        <f t="shared" si="276"/>
        <v/>
      </c>
      <c r="AK238" s="418" t="str">
        <f t="shared" si="276"/>
        <v/>
      </c>
      <c r="AL238" s="418" t="str">
        <f t="shared" si="276"/>
        <v/>
      </c>
      <c r="AM238" s="418" t="str">
        <f t="shared" si="276"/>
        <v/>
      </c>
      <c r="AN238" s="418" t="str">
        <f t="shared" si="276"/>
        <v/>
      </c>
      <c r="AO238" s="418" t="str">
        <f t="shared" si="276"/>
        <v/>
      </c>
      <c r="AP238" s="418" t="str">
        <f t="shared" si="276"/>
        <v/>
      </c>
      <c r="AQ238" s="418" t="str">
        <f t="shared" si="276"/>
        <v/>
      </c>
      <c r="AR238" s="418" t="str">
        <f t="shared" si="276"/>
        <v/>
      </c>
      <c r="AS238" s="418" t="str">
        <f t="shared" si="276"/>
        <v/>
      </c>
      <c r="AT238" s="418" t="str">
        <f t="shared" si="276"/>
        <v/>
      </c>
      <c r="AU238" s="418" t="str">
        <f t="shared" si="276"/>
        <v/>
      </c>
      <c r="AV238" s="418" t="str">
        <f t="shared" si="276"/>
        <v/>
      </c>
      <c r="AW238" s="418" t="str">
        <f t="shared" si="276"/>
        <v/>
      </c>
      <c r="AX238" s="418" t="str">
        <f t="shared" si="276"/>
        <v/>
      </c>
      <c r="AY238" s="418" t="str">
        <f t="shared" si="276"/>
        <v/>
      </c>
      <c r="AZ238" s="418" t="str">
        <f t="shared" si="276"/>
        <v/>
      </c>
      <c r="BA238" s="418" t="str">
        <f t="shared" si="276"/>
        <v/>
      </c>
      <c r="BB238" s="418" t="str">
        <f t="shared" si="276"/>
        <v/>
      </c>
      <c r="BC238" s="418" t="str">
        <f t="shared" si="276"/>
        <v/>
      </c>
      <c r="BD238" s="418" t="str">
        <f t="shared" si="276"/>
        <v/>
      </c>
      <c r="BE238" s="418" t="str">
        <f t="shared" si="276"/>
        <v/>
      </c>
      <c r="BF238" s="418" t="str">
        <f t="shared" si="276"/>
        <v/>
      </c>
      <c r="BG238" s="418" t="str">
        <f t="shared" si="276"/>
        <v/>
      </c>
      <c r="BH238" s="418" t="str">
        <f t="shared" si="276"/>
        <v/>
      </c>
      <c r="BI238" s="418" t="str">
        <f t="shared" si="276"/>
        <v/>
      </c>
      <c r="BJ238" s="418" t="str">
        <f t="shared" si="276"/>
        <v/>
      </c>
      <c r="BK238" s="418" t="str">
        <f t="shared" si="276"/>
        <v/>
      </c>
      <c r="BL238" s="418" t="str">
        <f t="shared" si="276"/>
        <v/>
      </c>
      <c r="BM238" s="418" t="str">
        <f t="shared" si="276"/>
        <v/>
      </c>
      <c r="BN238" s="418" t="str">
        <f t="shared" si="276"/>
        <v/>
      </c>
      <c r="BO238" s="418" t="str">
        <f t="shared" si="276"/>
        <v/>
      </c>
      <c r="BP238" s="418" t="str">
        <f t="shared" si="276"/>
        <v/>
      </c>
      <c r="BQ238" s="418" t="str">
        <f t="shared" si="276"/>
        <v/>
      </c>
      <c r="BR238" s="418" t="str">
        <f t="shared" si="276"/>
        <v/>
      </c>
      <c r="BS238" s="418" t="str">
        <f t="shared" si="276"/>
        <v/>
      </c>
      <c r="BT238" s="418" t="str">
        <f t="shared" si="276"/>
        <v/>
      </c>
      <c r="BU238" s="418" t="str">
        <f t="shared" si="222"/>
        <v/>
      </c>
      <c r="BV238" s="544">
        <v>0.61</v>
      </c>
      <c r="BW238" s="723">
        <f t="shared" si="253"/>
        <v>3059.76</v>
      </c>
      <c r="BX238" s="724">
        <f t="shared" si="254"/>
        <v>23713.14</v>
      </c>
      <c r="BY238" s="725" t="str">
        <f t="shared" si="255"/>
        <v>SR</v>
      </c>
    </row>
    <row r="239" s="698" customFormat="1" customHeight="1" spans="1:77">
      <c r="A239" s="208">
        <v>46059</v>
      </c>
      <c r="B239" s="208">
        <v>46142</v>
      </c>
      <c r="C239" s="211" t="s">
        <v>503</v>
      </c>
      <c r="D239" s="211" t="s">
        <v>504</v>
      </c>
      <c r="E239" s="211" t="s">
        <v>60</v>
      </c>
      <c r="F239" s="732">
        <v>5004</v>
      </c>
      <c r="G239" s="211" t="s">
        <v>270</v>
      </c>
      <c r="H239" s="211" t="str">
        <f>IFERROR(VLOOKUP(E239,名称!A:E,4,0),"")</f>
        <v>三代</v>
      </c>
      <c r="I239" s="268" t="str">
        <f t="shared" ref="I239:BT239" si="277">IF(OR($E239="",I$1=""),"",IF(TRIM(LEFT($E239,MIN(IFERROR(FIND("CDU",UPPER($E239)),999),IFERROR(FIND("BULK",UPPER($E239)),999),IFERROR(FIND("-",$E239),999),IFERROR(FIND("（",$E239),999))-1))=I$1,$F239,""))</f>
        <v/>
      </c>
      <c r="J239" s="268" t="str">
        <f t="shared" si="277"/>
        <v/>
      </c>
      <c r="K239" s="268" t="str">
        <f t="shared" si="277"/>
        <v/>
      </c>
      <c r="L239" s="268" t="str">
        <f t="shared" si="277"/>
        <v/>
      </c>
      <c r="M239" s="268" t="str">
        <f t="shared" si="277"/>
        <v/>
      </c>
      <c r="N239" s="268" t="str">
        <f t="shared" si="277"/>
        <v/>
      </c>
      <c r="O239" s="268" t="str">
        <f t="shared" si="277"/>
        <v/>
      </c>
      <c r="P239" s="268" t="str">
        <f t="shared" si="277"/>
        <v/>
      </c>
      <c r="Q239" s="268" t="str">
        <f t="shared" si="277"/>
        <v/>
      </c>
      <c r="R239" s="268" t="str">
        <f t="shared" si="277"/>
        <v/>
      </c>
      <c r="S239" s="268" t="str">
        <f t="shared" si="277"/>
        <v/>
      </c>
      <c r="T239" s="268" t="str">
        <f t="shared" si="277"/>
        <v/>
      </c>
      <c r="U239" s="268" t="str">
        <f t="shared" si="277"/>
        <v/>
      </c>
      <c r="V239" s="268" t="str">
        <f t="shared" si="277"/>
        <v/>
      </c>
      <c r="W239" s="268" t="str">
        <f t="shared" si="277"/>
        <v/>
      </c>
      <c r="X239" s="268" t="str">
        <f t="shared" si="277"/>
        <v/>
      </c>
      <c r="Y239" s="268" t="str">
        <f t="shared" si="277"/>
        <v/>
      </c>
      <c r="Z239" s="268" t="str">
        <f t="shared" si="277"/>
        <v/>
      </c>
      <c r="AA239" s="268" t="str">
        <f t="shared" si="277"/>
        <v/>
      </c>
      <c r="AB239" s="268" t="str">
        <f t="shared" si="277"/>
        <v/>
      </c>
      <c r="AC239" s="268" t="str">
        <f t="shared" si="277"/>
        <v/>
      </c>
      <c r="AD239" s="268" t="str">
        <f t="shared" si="277"/>
        <v/>
      </c>
      <c r="AE239" s="268">
        <f t="shared" si="277"/>
        <v>5004</v>
      </c>
      <c r="AF239" s="268" t="str">
        <f t="shared" si="277"/>
        <v/>
      </c>
      <c r="AG239" s="268" t="str">
        <f t="shared" si="277"/>
        <v/>
      </c>
      <c r="AH239" s="268" t="str">
        <f t="shared" si="277"/>
        <v/>
      </c>
      <c r="AI239" s="268" t="str">
        <f t="shared" si="277"/>
        <v/>
      </c>
      <c r="AJ239" s="268" t="str">
        <f t="shared" si="277"/>
        <v/>
      </c>
      <c r="AK239" s="268" t="str">
        <f t="shared" si="277"/>
        <v/>
      </c>
      <c r="AL239" s="268" t="str">
        <f t="shared" si="277"/>
        <v/>
      </c>
      <c r="AM239" s="268" t="str">
        <f t="shared" si="277"/>
        <v/>
      </c>
      <c r="AN239" s="268" t="str">
        <f t="shared" si="277"/>
        <v/>
      </c>
      <c r="AO239" s="268" t="str">
        <f t="shared" si="277"/>
        <v/>
      </c>
      <c r="AP239" s="268" t="str">
        <f t="shared" si="277"/>
        <v/>
      </c>
      <c r="AQ239" s="268" t="str">
        <f t="shared" si="277"/>
        <v/>
      </c>
      <c r="AR239" s="268" t="str">
        <f t="shared" si="277"/>
        <v/>
      </c>
      <c r="AS239" s="268" t="str">
        <f t="shared" si="277"/>
        <v/>
      </c>
      <c r="AT239" s="268" t="str">
        <f t="shared" si="277"/>
        <v/>
      </c>
      <c r="AU239" s="268" t="str">
        <f t="shared" si="277"/>
        <v/>
      </c>
      <c r="AV239" s="268" t="str">
        <f t="shared" si="277"/>
        <v/>
      </c>
      <c r="AW239" s="268" t="str">
        <f t="shared" si="277"/>
        <v/>
      </c>
      <c r="AX239" s="268" t="str">
        <f t="shared" si="277"/>
        <v/>
      </c>
      <c r="AY239" s="268" t="str">
        <f t="shared" si="277"/>
        <v/>
      </c>
      <c r="AZ239" s="268" t="str">
        <f t="shared" si="277"/>
        <v/>
      </c>
      <c r="BA239" s="268" t="str">
        <f t="shared" si="277"/>
        <v/>
      </c>
      <c r="BB239" s="268" t="str">
        <f t="shared" si="277"/>
        <v/>
      </c>
      <c r="BC239" s="268" t="str">
        <f t="shared" si="277"/>
        <v/>
      </c>
      <c r="BD239" s="268" t="str">
        <f t="shared" si="277"/>
        <v/>
      </c>
      <c r="BE239" s="268" t="str">
        <f t="shared" si="277"/>
        <v/>
      </c>
      <c r="BF239" s="268" t="str">
        <f t="shared" si="277"/>
        <v/>
      </c>
      <c r="BG239" s="268" t="str">
        <f t="shared" si="277"/>
        <v/>
      </c>
      <c r="BH239" s="268" t="str">
        <f t="shared" si="277"/>
        <v/>
      </c>
      <c r="BI239" s="268" t="str">
        <f t="shared" si="277"/>
        <v/>
      </c>
      <c r="BJ239" s="268" t="str">
        <f t="shared" si="277"/>
        <v/>
      </c>
      <c r="BK239" s="268" t="str">
        <f t="shared" si="277"/>
        <v/>
      </c>
      <c r="BL239" s="268" t="str">
        <f t="shared" si="277"/>
        <v/>
      </c>
      <c r="BM239" s="268" t="str">
        <f t="shared" si="277"/>
        <v/>
      </c>
      <c r="BN239" s="268" t="str">
        <f t="shared" si="277"/>
        <v/>
      </c>
      <c r="BO239" s="268" t="str">
        <f t="shared" si="277"/>
        <v/>
      </c>
      <c r="BP239" s="268" t="str">
        <f t="shared" si="277"/>
        <v/>
      </c>
      <c r="BQ239" s="268" t="str">
        <f t="shared" si="277"/>
        <v/>
      </c>
      <c r="BR239" s="268" t="str">
        <f t="shared" si="277"/>
        <v/>
      </c>
      <c r="BS239" s="268" t="str">
        <f t="shared" si="277"/>
        <v/>
      </c>
      <c r="BT239" s="268" t="str">
        <f t="shared" si="277"/>
        <v/>
      </c>
      <c r="BU239" s="268" t="str">
        <f t="shared" si="222"/>
        <v/>
      </c>
      <c r="BV239" s="247">
        <v>0.6</v>
      </c>
      <c r="BW239" s="729">
        <f t="shared" si="253"/>
        <v>3002.4</v>
      </c>
      <c r="BX239" s="730">
        <f t="shared" si="254"/>
        <v>23268.6</v>
      </c>
      <c r="BY239" s="731" t="str">
        <f t="shared" si="255"/>
        <v>SR</v>
      </c>
    </row>
    <row r="240" s="697" customFormat="1" customHeight="1" spans="1:77">
      <c r="A240" s="116">
        <v>46059</v>
      </c>
      <c r="B240" s="116">
        <v>46142</v>
      </c>
      <c r="C240" s="118" t="s">
        <v>505</v>
      </c>
      <c r="D240" s="118" t="s">
        <v>506</v>
      </c>
      <c r="E240" s="118" t="s">
        <v>60</v>
      </c>
      <c r="F240" s="726">
        <v>5004</v>
      </c>
      <c r="G240" s="118" t="s">
        <v>270</v>
      </c>
      <c r="H240" s="118" t="str">
        <f>IFERROR(VLOOKUP(E240,名称!A:E,4,0),"")</f>
        <v>三代</v>
      </c>
      <c r="I240" s="418" t="str">
        <f t="shared" ref="I240:BT240" si="278">IF(OR($E240="",I$1=""),"",IF(TRIM(LEFT($E240,MIN(IFERROR(FIND("CDU",UPPER($E240)),999),IFERROR(FIND("BULK",UPPER($E240)),999),IFERROR(FIND("-",$E240),999),IFERROR(FIND("（",$E240),999))-1))=I$1,$F240,""))</f>
        <v/>
      </c>
      <c r="J240" s="418" t="str">
        <f t="shared" si="278"/>
        <v/>
      </c>
      <c r="K240" s="418" t="str">
        <f t="shared" si="278"/>
        <v/>
      </c>
      <c r="L240" s="418" t="str">
        <f t="shared" si="278"/>
        <v/>
      </c>
      <c r="M240" s="418" t="str">
        <f t="shared" si="278"/>
        <v/>
      </c>
      <c r="N240" s="418" t="str">
        <f t="shared" si="278"/>
        <v/>
      </c>
      <c r="O240" s="418" t="str">
        <f t="shared" si="278"/>
        <v/>
      </c>
      <c r="P240" s="418" t="str">
        <f t="shared" si="278"/>
        <v/>
      </c>
      <c r="Q240" s="418" t="str">
        <f t="shared" si="278"/>
        <v/>
      </c>
      <c r="R240" s="418" t="str">
        <f t="shared" si="278"/>
        <v/>
      </c>
      <c r="S240" s="418" t="str">
        <f t="shared" si="278"/>
        <v/>
      </c>
      <c r="T240" s="418" t="str">
        <f t="shared" si="278"/>
        <v/>
      </c>
      <c r="U240" s="418" t="str">
        <f t="shared" si="278"/>
        <v/>
      </c>
      <c r="V240" s="418" t="str">
        <f t="shared" si="278"/>
        <v/>
      </c>
      <c r="W240" s="418" t="str">
        <f t="shared" si="278"/>
        <v/>
      </c>
      <c r="X240" s="418" t="str">
        <f t="shared" si="278"/>
        <v/>
      </c>
      <c r="Y240" s="418" t="str">
        <f t="shared" si="278"/>
        <v/>
      </c>
      <c r="Z240" s="418" t="str">
        <f t="shared" si="278"/>
        <v/>
      </c>
      <c r="AA240" s="418" t="str">
        <f t="shared" si="278"/>
        <v/>
      </c>
      <c r="AB240" s="418" t="str">
        <f t="shared" si="278"/>
        <v/>
      </c>
      <c r="AC240" s="418" t="str">
        <f t="shared" si="278"/>
        <v/>
      </c>
      <c r="AD240" s="418" t="str">
        <f t="shared" si="278"/>
        <v/>
      </c>
      <c r="AE240" s="418">
        <f t="shared" si="278"/>
        <v>5004</v>
      </c>
      <c r="AF240" s="418" t="str">
        <f t="shared" si="278"/>
        <v/>
      </c>
      <c r="AG240" s="418" t="str">
        <f t="shared" si="278"/>
        <v/>
      </c>
      <c r="AH240" s="418" t="str">
        <f t="shared" si="278"/>
        <v/>
      </c>
      <c r="AI240" s="418" t="str">
        <f t="shared" si="278"/>
        <v/>
      </c>
      <c r="AJ240" s="418" t="str">
        <f t="shared" si="278"/>
        <v/>
      </c>
      <c r="AK240" s="418" t="str">
        <f t="shared" si="278"/>
        <v/>
      </c>
      <c r="AL240" s="418" t="str">
        <f t="shared" si="278"/>
        <v/>
      </c>
      <c r="AM240" s="418" t="str">
        <f t="shared" si="278"/>
        <v/>
      </c>
      <c r="AN240" s="418" t="str">
        <f t="shared" si="278"/>
        <v/>
      </c>
      <c r="AO240" s="418" t="str">
        <f t="shared" si="278"/>
        <v/>
      </c>
      <c r="AP240" s="418" t="str">
        <f t="shared" si="278"/>
        <v/>
      </c>
      <c r="AQ240" s="418" t="str">
        <f t="shared" si="278"/>
        <v/>
      </c>
      <c r="AR240" s="418" t="str">
        <f t="shared" si="278"/>
        <v/>
      </c>
      <c r="AS240" s="418" t="str">
        <f t="shared" si="278"/>
        <v/>
      </c>
      <c r="AT240" s="418" t="str">
        <f t="shared" si="278"/>
        <v/>
      </c>
      <c r="AU240" s="418" t="str">
        <f t="shared" si="278"/>
        <v/>
      </c>
      <c r="AV240" s="418" t="str">
        <f t="shared" si="278"/>
        <v/>
      </c>
      <c r="AW240" s="418" t="str">
        <f t="shared" si="278"/>
        <v/>
      </c>
      <c r="AX240" s="418" t="str">
        <f t="shared" si="278"/>
        <v/>
      </c>
      <c r="AY240" s="418" t="str">
        <f t="shared" si="278"/>
        <v/>
      </c>
      <c r="AZ240" s="418" t="str">
        <f t="shared" si="278"/>
        <v/>
      </c>
      <c r="BA240" s="418" t="str">
        <f t="shared" si="278"/>
        <v/>
      </c>
      <c r="BB240" s="418" t="str">
        <f t="shared" si="278"/>
        <v/>
      </c>
      <c r="BC240" s="418" t="str">
        <f t="shared" si="278"/>
        <v/>
      </c>
      <c r="BD240" s="418" t="str">
        <f t="shared" si="278"/>
        <v/>
      </c>
      <c r="BE240" s="418" t="str">
        <f t="shared" si="278"/>
        <v/>
      </c>
      <c r="BF240" s="418" t="str">
        <f t="shared" si="278"/>
        <v/>
      </c>
      <c r="BG240" s="418" t="str">
        <f t="shared" si="278"/>
        <v/>
      </c>
      <c r="BH240" s="418" t="str">
        <f t="shared" si="278"/>
        <v/>
      </c>
      <c r="BI240" s="418" t="str">
        <f t="shared" si="278"/>
        <v/>
      </c>
      <c r="BJ240" s="418" t="str">
        <f t="shared" si="278"/>
        <v/>
      </c>
      <c r="BK240" s="418" t="str">
        <f t="shared" si="278"/>
        <v/>
      </c>
      <c r="BL240" s="418" t="str">
        <f t="shared" si="278"/>
        <v/>
      </c>
      <c r="BM240" s="418" t="str">
        <f t="shared" si="278"/>
        <v/>
      </c>
      <c r="BN240" s="418" t="str">
        <f t="shared" si="278"/>
        <v/>
      </c>
      <c r="BO240" s="418" t="str">
        <f t="shared" si="278"/>
        <v/>
      </c>
      <c r="BP240" s="418" t="str">
        <f t="shared" si="278"/>
        <v/>
      </c>
      <c r="BQ240" s="418" t="str">
        <f t="shared" si="278"/>
        <v/>
      </c>
      <c r="BR240" s="418" t="str">
        <f t="shared" si="278"/>
        <v/>
      </c>
      <c r="BS240" s="418" t="str">
        <f t="shared" si="278"/>
        <v/>
      </c>
      <c r="BT240" s="418" t="str">
        <f t="shared" si="278"/>
        <v/>
      </c>
      <c r="BU240" s="418" t="str">
        <f t="shared" si="222"/>
        <v/>
      </c>
      <c r="BV240" s="544">
        <v>0.61</v>
      </c>
      <c r="BW240" s="723">
        <f t="shared" si="253"/>
        <v>3052.44</v>
      </c>
      <c r="BX240" s="724">
        <f t="shared" si="254"/>
        <v>23656.41</v>
      </c>
      <c r="BY240" s="725" t="str">
        <f t="shared" si="255"/>
        <v>SR</v>
      </c>
    </row>
    <row r="241" s="698" customFormat="1" customHeight="1" spans="1:77">
      <c r="A241" s="208">
        <v>46059</v>
      </c>
      <c r="B241" s="208">
        <v>46175</v>
      </c>
      <c r="C241" s="211" t="s">
        <v>507</v>
      </c>
      <c r="D241" s="211" t="s">
        <v>508</v>
      </c>
      <c r="E241" s="211" t="s">
        <v>92</v>
      </c>
      <c r="F241" s="212">
        <v>22256</v>
      </c>
      <c r="G241" s="211" t="s">
        <v>270</v>
      </c>
      <c r="H241" s="211" t="str">
        <f>IFERROR(VLOOKUP(E241,名称!A:E,4,0),"")</f>
        <v>三代</v>
      </c>
      <c r="I241" s="268" t="str">
        <f t="shared" ref="I241:BT241" si="279">IF(OR($E241="",I$1=""),"",IF(TRIM(LEFT($E241,MIN(IFERROR(FIND("CDU",UPPER($E241)),999),IFERROR(FIND("BULK",UPPER($E241)),999),IFERROR(FIND("-",$E241),999),IFERROR(FIND("（",$E241),999))-1))=I$1,$F241,""))</f>
        <v/>
      </c>
      <c r="J241" s="268" t="str">
        <f t="shared" si="279"/>
        <v/>
      </c>
      <c r="K241" s="268" t="str">
        <f t="shared" si="279"/>
        <v/>
      </c>
      <c r="L241" s="268" t="str">
        <f t="shared" si="279"/>
        <v/>
      </c>
      <c r="M241" s="268" t="str">
        <f t="shared" si="279"/>
        <v/>
      </c>
      <c r="N241" s="268" t="str">
        <f t="shared" si="279"/>
        <v/>
      </c>
      <c r="O241" s="268" t="str">
        <f t="shared" si="279"/>
        <v/>
      </c>
      <c r="P241" s="268" t="str">
        <f t="shared" si="279"/>
        <v/>
      </c>
      <c r="Q241" s="268" t="str">
        <f t="shared" si="279"/>
        <v/>
      </c>
      <c r="R241" s="268" t="str">
        <f t="shared" si="279"/>
        <v/>
      </c>
      <c r="S241" s="268" t="str">
        <f t="shared" si="279"/>
        <v/>
      </c>
      <c r="T241" s="268" t="str">
        <f t="shared" si="279"/>
        <v/>
      </c>
      <c r="U241" s="268" t="str">
        <f t="shared" si="279"/>
        <v/>
      </c>
      <c r="V241" s="268" t="str">
        <f t="shared" si="279"/>
        <v/>
      </c>
      <c r="W241" s="268" t="str">
        <f t="shared" si="279"/>
        <v/>
      </c>
      <c r="X241" s="268" t="str">
        <f t="shared" si="279"/>
        <v/>
      </c>
      <c r="Y241" s="268" t="str">
        <f t="shared" si="279"/>
        <v/>
      </c>
      <c r="Z241" s="268" t="str">
        <f t="shared" si="279"/>
        <v/>
      </c>
      <c r="AA241" s="268" t="str">
        <f t="shared" si="279"/>
        <v/>
      </c>
      <c r="AB241" s="268" t="str">
        <f t="shared" si="279"/>
        <v/>
      </c>
      <c r="AC241" s="268" t="str">
        <f t="shared" si="279"/>
        <v/>
      </c>
      <c r="AD241" s="268" t="str">
        <f t="shared" si="279"/>
        <v/>
      </c>
      <c r="AE241" s="268" t="str">
        <f t="shared" si="279"/>
        <v/>
      </c>
      <c r="AF241" s="268" t="str">
        <f t="shared" si="279"/>
        <v/>
      </c>
      <c r="AG241" s="268" t="str">
        <f t="shared" si="279"/>
        <v/>
      </c>
      <c r="AH241" s="268" t="str">
        <f t="shared" si="279"/>
        <v/>
      </c>
      <c r="AI241" s="268" t="str">
        <f t="shared" si="279"/>
        <v/>
      </c>
      <c r="AJ241" s="268" t="str">
        <f t="shared" si="279"/>
        <v/>
      </c>
      <c r="AK241" s="268" t="str">
        <f t="shared" si="279"/>
        <v/>
      </c>
      <c r="AL241" s="268" t="str">
        <f t="shared" si="279"/>
        <v/>
      </c>
      <c r="AM241" s="268" t="str">
        <f t="shared" si="279"/>
        <v/>
      </c>
      <c r="AN241" s="268" t="str">
        <f t="shared" si="279"/>
        <v/>
      </c>
      <c r="AO241" s="268" t="str">
        <f t="shared" si="279"/>
        <v/>
      </c>
      <c r="AP241" s="268" t="str">
        <f t="shared" si="279"/>
        <v/>
      </c>
      <c r="AQ241" s="268" t="str">
        <f t="shared" si="279"/>
        <v/>
      </c>
      <c r="AR241" s="268" t="str">
        <f t="shared" si="279"/>
        <v/>
      </c>
      <c r="AS241" s="268" t="str">
        <f t="shared" si="279"/>
        <v/>
      </c>
      <c r="AT241" s="268" t="str">
        <f t="shared" si="279"/>
        <v/>
      </c>
      <c r="AU241" s="268" t="str">
        <f t="shared" si="279"/>
        <v/>
      </c>
      <c r="AV241" s="268" t="str">
        <f t="shared" si="279"/>
        <v/>
      </c>
      <c r="AW241" s="268" t="str">
        <f t="shared" si="279"/>
        <v/>
      </c>
      <c r="AX241" s="268">
        <f t="shared" si="279"/>
        <v>22256</v>
      </c>
      <c r="AY241" s="268" t="str">
        <f t="shared" si="279"/>
        <v/>
      </c>
      <c r="AZ241" s="268" t="str">
        <f t="shared" si="279"/>
        <v/>
      </c>
      <c r="BA241" s="268" t="str">
        <f t="shared" si="279"/>
        <v/>
      </c>
      <c r="BB241" s="268" t="str">
        <f t="shared" si="279"/>
        <v/>
      </c>
      <c r="BC241" s="268" t="str">
        <f t="shared" si="279"/>
        <v/>
      </c>
      <c r="BD241" s="268" t="str">
        <f t="shared" si="279"/>
        <v/>
      </c>
      <c r="BE241" s="268" t="str">
        <f t="shared" si="279"/>
        <v/>
      </c>
      <c r="BF241" s="268" t="str">
        <f t="shared" si="279"/>
        <v/>
      </c>
      <c r="BG241" s="268" t="str">
        <f t="shared" si="279"/>
        <v/>
      </c>
      <c r="BH241" s="268" t="str">
        <f t="shared" si="279"/>
        <v/>
      </c>
      <c r="BI241" s="268" t="str">
        <f t="shared" si="279"/>
        <v/>
      </c>
      <c r="BJ241" s="268" t="str">
        <f t="shared" si="279"/>
        <v/>
      </c>
      <c r="BK241" s="268" t="str">
        <f t="shared" si="279"/>
        <v/>
      </c>
      <c r="BL241" s="268" t="str">
        <f t="shared" si="279"/>
        <v/>
      </c>
      <c r="BM241" s="268" t="str">
        <f t="shared" si="279"/>
        <v/>
      </c>
      <c r="BN241" s="268" t="str">
        <f t="shared" si="279"/>
        <v/>
      </c>
      <c r="BO241" s="268" t="str">
        <f t="shared" si="279"/>
        <v/>
      </c>
      <c r="BP241" s="268" t="str">
        <f t="shared" si="279"/>
        <v/>
      </c>
      <c r="BQ241" s="268" t="str">
        <f t="shared" si="279"/>
        <v/>
      </c>
      <c r="BR241" s="268" t="str">
        <f t="shared" si="279"/>
        <v/>
      </c>
      <c r="BS241" s="268" t="str">
        <f t="shared" si="279"/>
        <v/>
      </c>
      <c r="BT241" s="268" t="str">
        <f t="shared" si="279"/>
        <v/>
      </c>
      <c r="BU241" s="268" t="str">
        <f t="shared" si="222"/>
        <v/>
      </c>
      <c r="BV241" s="247">
        <v>0.86</v>
      </c>
      <c r="BW241" s="729">
        <f t="shared" si="253"/>
        <v>19140.16</v>
      </c>
      <c r="BX241" s="730">
        <f t="shared" si="254"/>
        <v>148336.24</v>
      </c>
      <c r="BY241" s="731" t="str">
        <f t="shared" si="255"/>
        <v>SR</v>
      </c>
    </row>
    <row r="242" s="697" customFormat="1" customHeight="1" spans="1:77">
      <c r="A242" s="116">
        <v>46059</v>
      </c>
      <c r="B242" s="116">
        <v>46175</v>
      </c>
      <c r="C242" s="118" t="s">
        <v>507</v>
      </c>
      <c r="D242" s="118" t="s">
        <v>508</v>
      </c>
      <c r="E242" s="118" t="s">
        <v>92</v>
      </c>
      <c r="F242" s="726">
        <f>51200-22256</f>
        <v>28944</v>
      </c>
      <c r="G242" s="118" t="s">
        <v>270</v>
      </c>
      <c r="H242" s="118" t="str">
        <f>IFERROR(VLOOKUP(E242,名称!A:E,4,0),"")</f>
        <v>三代</v>
      </c>
      <c r="I242" s="418" t="str">
        <f t="shared" ref="I242:BT242" si="280">IF(OR($E242="",I$1=""),"",IF(TRIM(LEFT($E242,MIN(IFERROR(FIND("CDU",UPPER($E242)),999),IFERROR(FIND("BULK",UPPER($E242)),999),IFERROR(FIND("-",$E242),999),IFERROR(FIND("（",$E242),999))-1))=I$1,$F242,""))</f>
        <v/>
      </c>
      <c r="J242" s="418" t="str">
        <f t="shared" si="280"/>
        <v/>
      </c>
      <c r="K242" s="418" t="str">
        <f t="shared" si="280"/>
        <v/>
      </c>
      <c r="L242" s="418" t="str">
        <f t="shared" si="280"/>
        <v/>
      </c>
      <c r="M242" s="418" t="str">
        <f t="shared" si="280"/>
        <v/>
      </c>
      <c r="N242" s="418" t="str">
        <f t="shared" si="280"/>
        <v/>
      </c>
      <c r="O242" s="418" t="str">
        <f t="shared" si="280"/>
        <v/>
      </c>
      <c r="P242" s="418" t="str">
        <f t="shared" si="280"/>
        <v/>
      </c>
      <c r="Q242" s="418" t="str">
        <f t="shared" si="280"/>
        <v/>
      </c>
      <c r="R242" s="418" t="str">
        <f t="shared" si="280"/>
        <v/>
      </c>
      <c r="S242" s="418" t="str">
        <f t="shared" si="280"/>
        <v/>
      </c>
      <c r="T242" s="418" t="str">
        <f t="shared" si="280"/>
        <v/>
      </c>
      <c r="U242" s="418" t="str">
        <f t="shared" si="280"/>
        <v/>
      </c>
      <c r="V242" s="418" t="str">
        <f t="shared" si="280"/>
        <v/>
      </c>
      <c r="W242" s="418" t="str">
        <f t="shared" si="280"/>
        <v/>
      </c>
      <c r="X242" s="418" t="str">
        <f t="shared" si="280"/>
        <v/>
      </c>
      <c r="Y242" s="418" t="str">
        <f t="shared" si="280"/>
        <v/>
      </c>
      <c r="Z242" s="418" t="str">
        <f t="shared" si="280"/>
        <v/>
      </c>
      <c r="AA242" s="418" t="str">
        <f t="shared" si="280"/>
        <v/>
      </c>
      <c r="AB242" s="418" t="str">
        <f t="shared" si="280"/>
        <v/>
      </c>
      <c r="AC242" s="418" t="str">
        <f t="shared" si="280"/>
        <v/>
      </c>
      <c r="AD242" s="418" t="str">
        <f t="shared" si="280"/>
        <v/>
      </c>
      <c r="AE242" s="418" t="str">
        <f t="shared" si="280"/>
        <v/>
      </c>
      <c r="AF242" s="418" t="str">
        <f t="shared" si="280"/>
        <v/>
      </c>
      <c r="AG242" s="418" t="str">
        <f t="shared" si="280"/>
        <v/>
      </c>
      <c r="AH242" s="418" t="str">
        <f t="shared" si="280"/>
        <v/>
      </c>
      <c r="AI242" s="418" t="str">
        <f t="shared" si="280"/>
        <v/>
      </c>
      <c r="AJ242" s="418" t="str">
        <f t="shared" si="280"/>
        <v/>
      </c>
      <c r="AK242" s="418" t="str">
        <f t="shared" si="280"/>
        <v/>
      </c>
      <c r="AL242" s="418" t="str">
        <f t="shared" si="280"/>
        <v/>
      </c>
      <c r="AM242" s="418" t="str">
        <f t="shared" si="280"/>
        <v/>
      </c>
      <c r="AN242" s="418" t="str">
        <f t="shared" si="280"/>
        <v/>
      </c>
      <c r="AO242" s="418" t="str">
        <f t="shared" si="280"/>
        <v/>
      </c>
      <c r="AP242" s="418" t="str">
        <f t="shared" si="280"/>
        <v/>
      </c>
      <c r="AQ242" s="418" t="str">
        <f t="shared" si="280"/>
        <v/>
      </c>
      <c r="AR242" s="418" t="str">
        <f t="shared" si="280"/>
        <v/>
      </c>
      <c r="AS242" s="418" t="str">
        <f t="shared" si="280"/>
        <v/>
      </c>
      <c r="AT242" s="418" t="str">
        <f t="shared" si="280"/>
        <v/>
      </c>
      <c r="AU242" s="418" t="str">
        <f t="shared" si="280"/>
        <v/>
      </c>
      <c r="AV242" s="418" t="str">
        <f t="shared" si="280"/>
        <v/>
      </c>
      <c r="AW242" s="418" t="str">
        <f t="shared" si="280"/>
        <v/>
      </c>
      <c r="AX242" s="418">
        <f t="shared" si="280"/>
        <v>28944</v>
      </c>
      <c r="AY242" s="418" t="str">
        <f t="shared" si="280"/>
        <v/>
      </c>
      <c r="AZ242" s="418" t="str">
        <f t="shared" si="280"/>
        <v/>
      </c>
      <c r="BA242" s="418" t="str">
        <f t="shared" si="280"/>
        <v/>
      </c>
      <c r="BB242" s="418" t="str">
        <f t="shared" si="280"/>
        <v/>
      </c>
      <c r="BC242" s="418" t="str">
        <f t="shared" si="280"/>
        <v/>
      </c>
      <c r="BD242" s="418" t="str">
        <f t="shared" si="280"/>
        <v/>
      </c>
      <c r="BE242" s="418" t="str">
        <f t="shared" si="280"/>
        <v/>
      </c>
      <c r="BF242" s="418" t="str">
        <f t="shared" si="280"/>
        <v/>
      </c>
      <c r="BG242" s="418" t="str">
        <f t="shared" si="280"/>
        <v/>
      </c>
      <c r="BH242" s="418" t="str">
        <f t="shared" si="280"/>
        <v/>
      </c>
      <c r="BI242" s="418" t="str">
        <f t="shared" si="280"/>
        <v/>
      </c>
      <c r="BJ242" s="418" t="str">
        <f t="shared" si="280"/>
        <v/>
      </c>
      <c r="BK242" s="418" t="str">
        <f t="shared" si="280"/>
        <v/>
      </c>
      <c r="BL242" s="418" t="str">
        <f t="shared" si="280"/>
        <v/>
      </c>
      <c r="BM242" s="418" t="str">
        <f t="shared" si="280"/>
        <v/>
      </c>
      <c r="BN242" s="418" t="str">
        <f t="shared" si="280"/>
        <v/>
      </c>
      <c r="BO242" s="418" t="str">
        <f t="shared" si="280"/>
        <v/>
      </c>
      <c r="BP242" s="418" t="str">
        <f t="shared" si="280"/>
        <v/>
      </c>
      <c r="BQ242" s="418" t="str">
        <f t="shared" si="280"/>
        <v/>
      </c>
      <c r="BR242" s="418" t="str">
        <f t="shared" si="280"/>
        <v/>
      </c>
      <c r="BS242" s="418" t="str">
        <f t="shared" si="280"/>
        <v/>
      </c>
      <c r="BT242" s="418" t="str">
        <f t="shared" si="280"/>
        <v/>
      </c>
      <c r="BU242" s="418" t="str">
        <f t="shared" si="222"/>
        <v/>
      </c>
      <c r="BV242" s="544">
        <v>0.79</v>
      </c>
      <c r="BW242" s="723">
        <f t="shared" si="253"/>
        <v>22865.76</v>
      </c>
      <c r="BX242" s="724">
        <f t="shared" si="254"/>
        <v>177209.64</v>
      </c>
      <c r="BY242" s="725" t="str">
        <f t="shared" si="255"/>
        <v>SR</v>
      </c>
    </row>
    <row r="243" s="698" customFormat="1" customHeight="1" spans="1:77">
      <c r="A243" s="208">
        <v>46062</v>
      </c>
      <c r="B243" s="208">
        <v>46157</v>
      </c>
      <c r="C243" s="211"/>
      <c r="D243" s="211" t="s">
        <v>509</v>
      </c>
      <c r="E243" s="211" t="s">
        <v>55</v>
      </c>
      <c r="F243" s="732">
        <v>2880</v>
      </c>
      <c r="G243" s="211" t="s">
        <v>510</v>
      </c>
      <c r="H243" s="211" t="str">
        <f>IFERROR(VLOOKUP(E243,名称!A:E,4,0),"")</f>
        <v>三代</v>
      </c>
      <c r="I243" s="268" t="str">
        <f t="shared" ref="I243:BT243" si="281">IF(OR($E243="",I$1=""),"",IF(TRIM(LEFT($E243,MIN(IFERROR(FIND("CDU",UPPER($E243)),999),IFERROR(FIND("BULK",UPPER($E243)),999),IFERROR(FIND("-",$E243),999),IFERROR(FIND("（",$E243),999))-1))=I$1,$F243,""))</f>
        <v/>
      </c>
      <c r="J243" s="268" t="str">
        <f t="shared" si="281"/>
        <v/>
      </c>
      <c r="K243" s="268" t="str">
        <f t="shared" si="281"/>
        <v/>
      </c>
      <c r="L243" s="268" t="str">
        <f t="shared" si="281"/>
        <v/>
      </c>
      <c r="M243" s="268" t="str">
        <f t="shared" si="281"/>
        <v/>
      </c>
      <c r="N243" s="268" t="str">
        <f t="shared" si="281"/>
        <v/>
      </c>
      <c r="O243" s="268" t="str">
        <f t="shared" si="281"/>
        <v/>
      </c>
      <c r="P243" s="268" t="str">
        <f t="shared" si="281"/>
        <v/>
      </c>
      <c r="Q243" s="268" t="str">
        <f t="shared" si="281"/>
        <v/>
      </c>
      <c r="R243" s="268" t="str">
        <f t="shared" si="281"/>
        <v/>
      </c>
      <c r="S243" s="268" t="str">
        <f t="shared" si="281"/>
        <v/>
      </c>
      <c r="T243" s="268" t="str">
        <f t="shared" si="281"/>
        <v/>
      </c>
      <c r="U243" s="268" t="str">
        <f t="shared" si="281"/>
        <v/>
      </c>
      <c r="V243" s="268" t="str">
        <f t="shared" si="281"/>
        <v/>
      </c>
      <c r="W243" s="268" t="str">
        <f t="shared" si="281"/>
        <v/>
      </c>
      <c r="X243" s="268" t="str">
        <f t="shared" si="281"/>
        <v/>
      </c>
      <c r="Y243" s="268" t="str">
        <f t="shared" si="281"/>
        <v/>
      </c>
      <c r="Z243" s="268" t="str">
        <f t="shared" si="281"/>
        <v/>
      </c>
      <c r="AA243" s="268" t="str">
        <f t="shared" si="281"/>
        <v/>
      </c>
      <c r="AB243" s="268" t="str">
        <f t="shared" si="281"/>
        <v/>
      </c>
      <c r="AC243" s="268">
        <f t="shared" si="281"/>
        <v>2880</v>
      </c>
      <c r="AD243" s="268" t="str">
        <f t="shared" si="281"/>
        <v/>
      </c>
      <c r="AE243" s="268" t="str">
        <f t="shared" si="281"/>
        <v/>
      </c>
      <c r="AF243" s="268" t="str">
        <f t="shared" si="281"/>
        <v/>
      </c>
      <c r="AG243" s="268" t="str">
        <f t="shared" si="281"/>
        <v/>
      </c>
      <c r="AH243" s="268" t="str">
        <f t="shared" si="281"/>
        <v/>
      </c>
      <c r="AI243" s="268" t="str">
        <f t="shared" si="281"/>
        <v/>
      </c>
      <c r="AJ243" s="268" t="str">
        <f t="shared" si="281"/>
        <v/>
      </c>
      <c r="AK243" s="268" t="str">
        <f t="shared" si="281"/>
        <v/>
      </c>
      <c r="AL243" s="268" t="str">
        <f t="shared" si="281"/>
        <v/>
      </c>
      <c r="AM243" s="268" t="str">
        <f t="shared" si="281"/>
        <v/>
      </c>
      <c r="AN243" s="268" t="str">
        <f t="shared" si="281"/>
        <v/>
      </c>
      <c r="AO243" s="268" t="str">
        <f t="shared" si="281"/>
        <v/>
      </c>
      <c r="AP243" s="268" t="str">
        <f t="shared" si="281"/>
        <v/>
      </c>
      <c r="AQ243" s="268" t="str">
        <f t="shared" si="281"/>
        <v/>
      </c>
      <c r="AR243" s="268" t="str">
        <f t="shared" si="281"/>
        <v/>
      </c>
      <c r="AS243" s="268" t="str">
        <f t="shared" si="281"/>
        <v/>
      </c>
      <c r="AT243" s="268" t="str">
        <f t="shared" si="281"/>
        <v/>
      </c>
      <c r="AU243" s="268" t="str">
        <f t="shared" si="281"/>
        <v/>
      </c>
      <c r="AV243" s="268" t="str">
        <f t="shared" si="281"/>
        <v/>
      </c>
      <c r="AW243" s="268" t="str">
        <f t="shared" si="281"/>
        <v/>
      </c>
      <c r="AX243" s="268" t="str">
        <f t="shared" si="281"/>
        <v/>
      </c>
      <c r="AY243" s="268" t="str">
        <f t="shared" si="281"/>
        <v/>
      </c>
      <c r="AZ243" s="268" t="str">
        <f t="shared" si="281"/>
        <v/>
      </c>
      <c r="BA243" s="268" t="str">
        <f t="shared" si="281"/>
        <v/>
      </c>
      <c r="BB243" s="268" t="str">
        <f t="shared" si="281"/>
        <v/>
      </c>
      <c r="BC243" s="268" t="str">
        <f t="shared" si="281"/>
        <v/>
      </c>
      <c r="BD243" s="268" t="str">
        <f t="shared" si="281"/>
        <v/>
      </c>
      <c r="BE243" s="268" t="str">
        <f t="shared" si="281"/>
        <v/>
      </c>
      <c r="BF243" s="268" t="str">
        <f t="shared" si="281"/>
        <v/>
      </c>
      <c r="BG243" s="268" t="str">
        <f t="shared" si="281"/>
        <v/>
      </c>
      <c r="BH243" s="268" t="str">
        <f t="shared" si="281"/>
        <v/>
      </c>
      <c r="BI243" s="268" t="str">
        <f t="shared" si="281"/>
        <v/>
      </c>
      <c r="BJ243" s="268" t="str">
        <f t="shared" si="281"/>
        <v/>
      </c>
      <c r="BK243" s="268" t="str">
        <f t="shared" si="281"/>
        <v/>
      </c>
      <c r="BL243" s="268" t="str">
        <f t="shared" si="281"/>
        <v/>
      </c>
      <c r="BM243" s="268" t="str">
        <f t="shared" si="281"/>
        <v/>
      </c>
      <c r="BN243" s="268" t="str">
        <f t="shared" si="281"/>
        <v/>
      </c>
      <c r="BO243" s="268" t="str">
        <f t="shared" si="281"/>
        <v/>
      </c>
      <c r="BP243" s="268" t="str">
        <f t="shared" si="281"/>
        <v/>
      </c>
      <c r="BQ243" s="268" t="str">
        <f t="shared" si="281"/>
        <v/>
      </c>
      <c r="BR243" s="268" t="str">
        <f t="shared" si="281"/>
        <v/>
      </c>
      <c r="BS243" s="268" t="str">
        <f t="shared" si="281"/>
        <v/>
      </c>
      <c r="BT243" s="268" t="str">
        <f t="shared" si="281"/>
        <v/>
      </c>
      <c r="BU243" s="268" t="str">
        <f t="shared" si="222"/>
        <v/>
      </c>
      <c r="BV243" s="247">
        <v>0.9</v>
      </c>
      <c r="BW243" s="729">
        <f t="shared" si="253"/>
        <v>2592</v>
      </c>
      <c r="BX243" s="730">
        <f t="shared" si="254"/>
        <v>20088</v>
      </c>
      <c r="BY243" s="731" t="str">
        <f t="shared" ref="BY243:BY271" si="282">MID(E243,1,2)</f>
        <v>SR</v>
      </c>
    </row>
    <row r="244" s="698" customFormat="1" customHeight="1" spans="1:77">
      <c r="A244" s="208">
        <v>46062</v>
      </c>
      <c r="B244" s="208">
        <v>46157</v>
      </c>
      <c r="C244" s="211"/>
      <c r="D244" s="211" t="s">
        <v>509</v>
      </c>
      <c r="E244" s="211" t="s">
        <v>59</v>
      </c>
      <c r="F244" s="732">
        <v>4560</v>
      </c>
      <c r="G244" s="211" t="s">
        <v>510</v>
      </c>
      <c r="H244" s="211" t="str">
        <f>IFERROR(VLOOKUP(E244,名称!A:E,4,0),"")</f>
        <v>三代</v>
      </c>
      <c r="I244" s="268" t="str">
        <f t="shared" ref="I244:BT244" si="283">IF(OR($E244="",I$1=""),"",IF(TRIM(LEFT($E244,MIN(IFERROR(FIND("CDU",UPPER($E244)),999),IFERROR(FIND("BULK",UPPER($E244)),999),IFERROR(FIND("-",$E244),999),IFERROR(FIND("（",$E244),999))-1))=I$1,$F244,""))</f>
        <v/>
      </c>
      <c r="J244" s="268" t="str">
        <f t="shared" si="283"/>
        <v/>
      </c>
      <c r="K244" s="268" t="str">
        <f t="shared" si="283"/>
        <v/>
      </c>
      <c r="L244" s="268" t="str">
        <f t="shared" si="283"/>
        <v/>
      </c>
      <c r="M244" s="268" t="str">
        <f t="shared" si="283"/>
        <v/>
      </c>
      <c r="N244" s="268" t="str">
        <f t="shared" si="283"/>
        <v/>
      </c>
      <c r="O244" s="268" t="str">
        <f t="shared" si="283"/>
        <v/>
      </c>
      <c r="P244" s="268" t="str">
        <f t="shared" si="283"/>
        <v/>
      </c>
      <c r="Q244" s="268" t="str">
        <f t="shared" si="283"/>
        <v/>
      </c>
      <c r="R244" s="268" t="str">
        <f t="shared" si="283"/>
        <v/>
      </c>
      <c r="S244" s="268" t="str">
        <f t="shared" si="283"/>
        <v/>
      </c>
      <c r="T244" s="268" t="str">
        <f t="shared" si="283"/>
        <v/>
      </c>
      <c r="U244" s="268" t="str">
        <f t="shared" si="283"/>
        <v/>
      </c>
      <c r="V244" s="268" t="str">
        <f t="shared" si="283"/>
        <v/>
      </c>
      <c r="W244" s="268" t="str">
        <f t="shared" si="283"/>
        <v/>
      </c>
      <c r="X244" s="268" t="str">
        <f t="shared" si="283"/>
        <v/>
      </c>
      <c r="Y244" s="268" t="str">
        <f t="shared" si="283"/>
        <v/>
      </c>
      <c r="Z244" s="268" t="str">
        <f t="shared" si="283"/>
        <v/>
      </c>
      <c r="AA244" s="268" t="str">
        <f t="shared" si="283"/>
        <v/>
      </c>
      <c r="AB244" s="268" t="str">
        <f t="shared" si="283"/>
        <v/>
      </c>
      <c r="AC244" s="268" t="str">
        <f t="shared" si="283"/>
        <v/>
      </c>
      <c r="AD244" s="268">
        <f t="shared" si="283"/>
        <v>4560</v>
      </c>
      <c r="AE244" s="268" t="str">
        <f t="shared" si="283"/>
        <v/>
      </c>
      <c r="AF244" s="268" t="str">
        <f t="shared" si="283"/>
        <v/>
      </c>
      <c r="AG244" s="268" t="str">
        <f t="shared" si="283"/>
        <v/>
      </c>
      <c r="AH244" s="268" t="str">
        <f t="shared" si="283"/>
        <v/>
      </c>
      <c r="AI244" s="268" t="str">
        <f t="shared" si="283"/>
        <v/>
      </c>
      <c r="AJ244" s="268" t="str">
        <f t="shared" si="283"/>
        <v/>
      </c>
      <c r="AK244" s="268" t="str">
        <f t="shared" si="283"/>
        <v/>
      </c>
      <c r="AL244" s="268" t="str">
        <f t="shared" si="283"/>
        <v/>
      </c>
      <c r="AM244" s="268" t="str">
        <f t="shared" si="283"/>
        <v/>
      </c>
      <c r="AN244" s="268" t="str">
        <f t="shared" si="283"/>
        <v/>
      </c>
      <c r="AO244" s="268" t="str">
        <f t="shared" si="283"/>
        <v/>
      </c>
      <c r="AP244" s="268" t="str">
        <f t="shared" si="283"/>
        <v/>
      </c>
      <c r="AQ244" s="268" t="str">
        <f t="shared" si="283"/>
        <v/>
      </c>
      <c r="AR244" s="268" t="str">
        <f t="shared" si="283"/>
        <v/>
      </c>
      <c r="AS244" s="268" t="str">
        <f t="shared" si="283"/>
        <v/>
      </c>
      <c r="AT244" s="268" t="str">
        <f t="shared" si="283"/>
        <v/>
      </c>
      <c r="AU244" s="268" t="str">
        <f t="shared" si="283"/>
        <v/>
      </c>
      <c r="AV244" s="268" t="str">
        <f t="shared" si="283"/>
        <v/>
      </c>
      <c r="AW244" s="268" t="str">
        <f t="shared" si="283"/>
        <v/>
      </c>
      <c r="AX244" s="268" t="str">
        <f t="shared" si="283"/>
        <v/>
      </c>
      <c r="AY244" s="268" t="str">
        <f t="shared" si="283"/>
        <v/>
      </c>
      <c r="AZ244" s="268" t="str">
        <f t="shared" si="283"/>
        <v/>
      </c>
      <c r="BA244" s="268" t="str">
        <f t="shared" si="283"/>
        <v/>
      </c>
      <c r="BB244" s="268" t="str">
        <f t="shared" si="283"/>
        <v/>
      </c>
      <c r="BC244" s="268" t="str">
        <f t="shared" si="283"/>
        <v/>
      </c>
      <c r="BD244" s="268" t="str">
        <f t="shared" si="283"/>
        <v/>
      </c>
      <c r="BE244" s="268" t="str">
        <f t="shared" si="283"/>
        <v/>
      </c>
      <c r="BF244" s="268" t="str">
        <f t="shared" si="283"/>
        <v/>
      </c>
      <c r="BG244" s="268" t="str">
        <f t="shared" si="283"/>
        <v/>
      </c>
      <c r="BH244" s="268" t="str">
        <f t="shared" si="283"/>
        <v/>
      </c>
      <c r="BI244" s="268" t="str">
        <f t="shared" si="283"/>
        <v/>
      </c>
      <c r="BJ244" s="268" t="str">
        <f t="shared" si="283"/>
        <v/>
      </c>
      <c r="BK244" s="268" t="str">
        <f t="shared" si="283"/>
        <v/>
      </c>
      <c r="BL244" s="268" t="str">
        <f t="shared" si="283"/>
        <v/>
      </c>
      <c r="BM244" s="268" t="str">
        <f t="shared" si="283"/>
        <v/>
      </c>
      <c r="BN244" s="268" t="str">
        <f t="shared" si="283"/>
        <v/>
      </c>
      <c r="BO244" s="268" t="str">
        <f t="shared" si="283"/>
        <v/>
      </c>
      <c r="BP244" s="268" t="str">
        <f t="shared" si="283"/>
        <v/>
      </c>
      <c r="BQ244" s="268" t="str">
        <f t="shared" si="283"/>
        <v/>
      </c>
      <c r="BR244" s="268" t="str">
        <f t="shared" si="283"/>
        <v/>
      </c>
      <c r="BS244" s="268" t="str">
        <f t="shared" si="283"/>
        <v/>
      </c>
      <c r="BT244" s="268" t="str">
        <f t="shared" si="283"/>
        <v/>
      </c>
      <c r="BU244" s="268" t="str">
        <f t="shared" si="222"/>
        <v/>
      </c>
      <c r="BV244" s="247">
        <v>0.64</v>
      </c>
      <c r="BW244" s="729">
        <f t="shared" si="253"/>
        <v>2918.4</v>
      </c>
      <c r="BX244" s="730">
        <f t="shared" si="254"/>
        <v>22617.6</v>
      </c>
      <c r="BY244" s="731" t="str">
        <f t="shared" si="282"/>
        <v>SR</v>
      </c>
    </row>
    <row r="245" s="698" customFormat="1" customHeight="1" spans="1:77">
      <c r="A245" s="208">
        <v>46062</v>
      </c>
      <c r="B245" s="208">
        <v>46157</v>
      </c>
      <c r="C245" s="211"/>
      <c r="D245" s="211" t="s">
        <v>509</v>
      </c>
      <c r="E245" s="211" t="s">
        <v>68</v>
      </c>
      <c r="F245" s="732">
        <v>760</v>
      </c>
      <c r="G245" s="211" t="s">
        <v>510</v>
      </c>
      <c r="H245" s="211" t="str">
        <f>IFERROR(VLOOKUP(E245,名称!A:E,4,0),"")</f>
        <v>三代</v>
      </c>
      <c r="I245" s="268" t="str">
        <f t="shared" ref="I245:BT245" si="284">IF(OR($E245="",I$1=""),"",IF(TRIM(LEFT($E245,MIN(IFERROR(FIND("CDU",UPPER($E245)),999),IFERROR(FIND("BULK",UPPER($E245)),999),IFERROR(FIND("-",$E245),999),IFERROR(FIND("（",$E245),999))-1))=I$1,$F245,""))</f>
        <v/>
      </c>
      <c r="J245" s="268" t="str">
        <f t="shared" si="284"/>
        <v/>
      </c>
      <c r="K245" s="268" t="str">
        <f t="shared" si="284"/>
        <v/>
      </c>
      <c r="L245" s="268" t="str">
        <f t="shared" si="284"/>
        <v/>
      </c>
      <c r="M245" s="268" t="str">
        <f t="shared" si="284"/>
        <v/>
      </c>
      <c r="N245" s="268" t="str">
        <f t="shared" si="284"/>
        <v/>
      </c>
      <c r="O245" s="268" t="str">
        <f t="shared" si="284"/>
        <v/>
      </c>
      <c r="P245" s="268" t="str">
        <f t="shared" si="284"/>
        <v/>
      </c>
      <c r="Q245" s="268" t="str">
        <f t="shared" si="284"/>
        <v/>
      </c>
      <c r="R245" s="268" t="str">
        <f t="shared" si="284"/>
        <v/>
      </c>
      <c r="S245" s="268" t="str">
        <f t="shared" si="284"/>
        <v/>
      </c>
      <c r="T245" s="268" t="str">
        <f t="shared" si="284"/>
        <v/>
      </c>
      <c r="U245" s="268" t="str">
        <f t="shared" si="284"/>
        <v/>
      </c>
      <c r="V245" s="268" t="str">
        <f t="shared" si="284"/>
        <v/>
      </c>
      <c r="W245" s="268" t="str">
        <f t="shared" si="284"/>
        <v/>
      </c>
      <c r="X245" s="268" t="str">
        <f t="shared" si="284"/>
        <v/>
      </c>
      <c r="Y245" s="268" t="str">
        <f t="shared" si="284"/>
        <v/>
      </c>
      <c r="Z245" s="268" t="str">
        <f t="shared" si="284"/>
        <v/>
      </c>
      <c r="AA245" s="268" t="str">
        <f t="shared" si="284"/>
        <v/>
      </c>
      <c r="AB245" s="268" t="str">
        <f t="shared" si="284"/>
        <v/>
      </c>
      <c r="AC245" s="268" t="str">
        <f t="shared" si="284"/>
        <v/>
      </c>
      <c r="AD245" s="268" t="str">
        <f t="shared" si="284"/>
        <v/>
      </c>
      <c r="AE245" s="268" t="str">
        <f t="shared" si="284"/>
        <v/>
      </c>
      <c r="AF245" s="268" t="str">
        <f t="shared" si="284"/>
        <v/>
      </c>
      <c r="AG245" s="268" t="str">
        <f t="shared" si="284"/>
        <v/>
      </c>
      <c r="AH245" s="268">
        <f t="shared" si="284"/>
        <v>760</v>
      </c>
      <c r="AI245" s="268" t="str">
        <f t="shared" si="284"/>
        <v/>
      </c>
      <c r="AJ245" s="268" t="str">
        <f t="shared" si="284"/>
        <v/>
      </c>
      <c r="AK245" s="268" t="str">
        <f t="shared" si="284"/>
        <v/>
      </c>
      <c r="AL245" s="268" t="str">
        <f t="shared" si="284"/>
        <v/>
      </c>
      <c r="AM245" s="268" t="str">
        <f t="shared" si="284"/>
        <v/>
      </c>
      <c r="AN245" s="268" t="str">
        <f t="shared" si="284"/>
        <v/>
      </c>
      <c r="AO245" s="268" t="str">
        <f t="shared" si="284"/>
        <v/>
      </c>
      <c r="AP245" s="268" t="str">
        <f t="shared" si="284"/>
        <v/>
      </c>
      <c r="AQ245" s="268" t="str">
        <f t="shared" si="284"/>
        <v/>
      </c>
      <c r="AR245" s="268" t="str">
        <f t="shared" si="284"/>
        <v/>
      </c>
      <c r="AS245" s="268" t="str">
        <f t="shared" si="284"/>
        <v/>
      </c>
      <c r="AT245" s="268" t="str">
        <f t="shared" si="284"/>
        <v/>
      </c>
      <c r="AU245" s="268" t="str">
        <f t="shared" si="284"/>
        <v/>
      </c>
      <c r="AV245" s="268" t="str">
        <f t="shared" si="284"/>
        <v/>
      </c>
      <c r="AW245" s="268" t="str">
        <f t="shared" si="284"/>
        <v/>
      </c>
      <c r="AX245" s="268" t="str">
        <f t="shared" si="284"/>
        <v/>
      </c>
      <c r="AY245" s="268" t="str">
        <f t="shared" si="284"/>
        <v/>
      </c>
      <c r="AZ245" s="268" t="str">
        <f t="shared" si="284"/>
        <v/>
      </c>
      <c r="BA245" s="268" t="str">
        <f t="shared" si="284"/>
        <v/>
      </c>
      <c r="BB245" s="268" t="str">
        <f t="shared" si="284"/>
        <v/>
      </c>
      <c r="BC245" s="268" t="str">
        <f t="shared" si="284"/>
        <v/>
      </c>
      <c r="BD245" s="268" t="str">
        <f t="shared" si="284"/>
        <v/>
      </c>
      <c r="BE245" s="268" t="str">
        <f t="shared" si="284"/>
        <v/>
      </c>
      <c r="BF245" s="268" t="str">
        <f t="shared" si="284"/>
        <v/>
      </c>
      <c r="BG245" s="268" t="str">
        <f t="shared" si="284"/>
        <v/>
      </c>
      <c r="BH245" s="268" t="str">
        <f t="shared" si="284"/>
        <v/>
      </c>
      <c r="BI245" s="268" t="str">
        <f t="shared" si="284"/>
        <v/>
      </c>
      <c r="BJ245" s="268" t="str">
        <f t="shared" si="284"/>
        <v/>
      </c>
      <c r="BK245" s="268" t="str">
        <f t="shared" si="284"/>
        <v/>
      </c>
      <c r="BL245" s="268" t="str">
        <f t="shared" si="284"/>
        <v/>
      </c>
      <c r="BM245" s="268" t="str">
        <f t="shared" si="284"/>
        <v/>
      </c>
      <c r="BN245" s="268" t="str">
        <f t="shared" si="284"/>
        <v/>
      </c>
      <c r="BO245" s="268" t="str">
        <f t="shared" si="284"/>
        <v/>
      </c>
      <c r="BP245" s="268" t="str">
        <f t="shared" si="284"/>
        <v/>
      </c>
      <c r="BQ245" s="268" t="str">
        <f t="shared" si="284"/>
        <v/>
      </c>
      <c r="BR245" s="268" t="str">
        <f t="shared" si="284"/>
        <v/>
      </c>
      <c r="BS245" s="268" t="str">
        <f t="shared" si="284"/>
        <v/>
      </c>
      <c r="BT245" s="268" t="str">
        <f t="shared" si="284"/>
        <v/>
      </c>
      <c r="BU245" s="268" t="str">
        <f t="shared" si="222"/>
        <v/>
      </c>
      <c r="BV245" s="247">
        <v>3.12</v>
      </c>
      <c r="BW245" s="729">
        <f t="shared" si="253"/>
        <v>2371.2</v>
      </c>
      <c r="BX245" s="730">
        <f t="shared" si="254"/>
        <v>18376.8</v>
      </c>
      <c r="BY245" s="731" t="str">
        <f t="shared" si="282"/>
        <v>SR</v>
      </c>
    </row>
    <row r="246" s="698" customFormat="1" customHeight="1" spans="1:77">
      <c r="A246" s="208">
        <v>46062</v>
      </c>
      <c r="B246" s="208">
        <v>46157</v>
      </c>
      <c r="C246" s="211"/>
      <c r="D246" s="211" t="s">
        <v>509</v>
      </c>
      <c r="E246" s="211" t="s">
        <v>92</v>
      </c>
      <c r="F246" s="732">
        <v>1248</v>
      </c>
      <c r="G246" s="211" t="s">
        <v>510</v>
      </c>
      <c r="H246" s="211" t="str">
        <f>IFERROR(VLOOKUP(E246,名称!A:E,4,0),"")</f>
        <v>三代</v>
      </c>
      <c r="I246" s="268" t="str">
        <f t="shared" ref="I246:BT246" si="285">IF(OR($E246="",I$1=""),"",IF(TRIM(LEFT($E246,MIN(IFERROR(FIND("CDU",UPPER($E246)),999),IFERROR(FIND("BULK",UPPER($E246)),999),IFERROR(FIND("-",$E246),999),IFERROR(FIND("（",$E246),999))-1))=I$1,$F246,""))</f>
        <v/>
      </c>
      <c r="J246" s="268" t="str">
        <f t="shared" si="285"/>
        <v/>
      </c>
      <c r="K246" s="268" t="str">
        <f t="shared" si="285"/>
        <v/>
      </c>
      <c r="L246" s="268" t="str">
        <f t="shared" si="285"/>
        <v/>
      </c>
      <c r="M246" s="268" t="str">
        <f t="shared" si="285"/>
        <v/>
      </c>
      <c r="N246" s="268" t="str">
        <f t="shared" si="285"/>
        <v/>
      </c>
      <c r="O246" s="268" t="str">
        <f t="shared" si="285"/>
        <v/>
      </c>
      <c r="P246" s="268" t="str">
        <f t="shared" si="285"/>
        <v/>
      </c>
      <c r="Q246" s="268" t="str">
        <f t="shared" si="285"/>
        <v/>
      </c>
      <c r="R246" s="268" t="str">
        <f t="shared" si="285"/>
        <v/>
      </c>
      <c r="S246" s="268" t="str">
        <f t="shared" si="285"/>
        <v/>
      </c>
      <c r="T246" s="268" t="str">
        <f t="shared" si="285"/>
        <v/>
      </c>
      <c r="U246" s="268" t="str">
        <f t="shared" si="285"/>
        <v/>
      </c>
      <c r="V246" s="268" t="str">
        <f t="shared" si="285"/>
        <v/>
      </c>
      <c r="W246" s="268" t="str">
        <f t="shared" si="285"/>
        <v/>
      </c>
      <c r="X246" s="268" t="str">
        <f t="shared" si="285"/>
        <v/>
      </c>
      <c r="Y246" s="268" t="str">
        <f t="shared" si="285"/>
        <v/>
      </c>
      <c r="Z246" s="268" t="str">
        <f t="shared" si="285"/>
        <v/>
      </c>
      <c r="AA246" s="268" t="str">
        <f t="shared" si="285"/>
        <v/>
      </c>
      <c r="AB246" s="268" t="str">
        <f t="shared" si="285"/>
        <v/>
      </c>
      <c r="AC246" s="268" t="str">
        <f t="shared" si="285"/>
        <v/>
      </c>
      <c r="AD246" s="268" t="str">
        <f t="shared" si="285"/>
        <v/>
      </c>
      <c r="AE246" s="268" t="str">
        <f t="shared" si="285"/>
        <v/>
      </c>
      <c r="AF246" s="268" t="str">
        <f t="shared" si="285"/>
        <v/>
      </c>
      <c r="AG246" s="268" t="str">
        <f t="shared" si="285"/>
        <v/>
      </c>
      <c r="AH246" s="268" t="str">
        <f t="shared" si="285"/>
        <v/>
      </c>
      <c r="AI246" s="268" t="str">
        <f t="shared" si="285"/>
        <v/>
      </c>
      <c r="AJ246" s="268" t="str">
        <f t="shared" si="285"/>
        <v/>
      </c>
      <c r="AK246" s="268" t="str">
        <f t="shared" si="285"/>
        <v/>
      </c>
      <c r="AL246" s="268" t="str">
        <f t="shared" si="285"/>
        <v/>
      </c>
      <c r="AM246" s="268" t="str">
        <f t="shared" si="285"/>
        <v/>
      </c>
      <c r="AN246" s="268" t="str">
        <f t="shared" si="285"/>
        <v/>
      </c>
      <c r="AO246" s="268" t="str">
        <f t="shared" si="285"/>
        <v/>
      </c>
      <c r="AP246" s="268" t="str">
        <f t="shared" si="285"/>
        <v/>
      </c>
      <c r="AQ246" s="268" t="str">
        <f t="shared" si="285"/>
        <v/>
      </c>
      <c r="AR246" s="268" t="str">
        <f t="shared" si="285"/>
        <v/>
      </c>
      <c r="AS246" s="268" t="str">
        <f t="shared" si="285"/>
        <v/>
      </c>
      <c r="AT246" s="268" t="str">
        <f t="shared" si="285"/>
        <v/>
      </c>
      <c r="AU246" s="268" t="str">
        <f t="shared" si="285"/>
        <v/>
      </c>
      <c r="AV246" s="268" t="str">
        <f t="shared" si="285"/>
        <v/>
      </c>
      <c r="AW246" s="268" t="str">
        <f t="shared" si="285"/>
        <v/>
      </c>
      <c r="AX246" s="268">
        <f t="shared" si="285"/>
        <v>1248</v>
      </c>
      <c r="AY246" s="268" t="str">
        <f t="shared" si="285"/>
        <v/>
      </c>
      <c r="AZ246" s="268" t="str">
        <f t="shared" si="285"/>
        <v/>
      </c>
      <c r="BA246" s="268" t="str">
        <f t="shared" si="285"/>
        <v/>
      </c>
      <c r="BB246" s="268" t="str">
        <f t="shared" si="285"/>
        <v/>
      </c>
      <c r="BC246" s="268" t="str">
        <f t="shared" si="285"/>
        <v/>
      </c>
      <c r="BD246" s="268" t="str">
        <f t="shared" si="285"/>
        <v/>
      </c>
      <c r="BE246" s="268" t="str">
        <f t="shared" si="285"/>
        <v/>
      </c>
      <c r="BF246" s="268" t="str">
        <f t="shared" si="285"/>
        <v/>
      </c>
      <c r="BG246" s="268" t="str">
        <f t="shared" si="285"/>
        <v/>
      </c>
      <c r="BH246" s="268" t="str">
        <f t="shared" si="285"/>
        <v/>
      </c>
      <c r="BI246" s="268" t="str">
        <f t="shared" si="285"/>
        <v/>
      </c>
      <c r="BJ246" s="268" t="str">
        <f t="shared" si="285"/>
        <v/>
      </c>
      <c r="BK246" s="268" t="str">
        <f t="shared" si="285"/>
        <v/>
      </c>
      <c r="BL246" s="268" t="str">
        <f t="shared" si="285"/>
        <v/>
      </c>
      <c r="BM246" s="268" t="str">
        <f t="shared" si="285"/>
        <v/>
      </c>
      <c r="BN246" s="268" t="str">
        <f t="shared" si="285"/>
        <v/>
      </c>
      <c r="BO246" s="268" t="str">
        <f t="shared" si="285"/>
        <v/>
      </c>
      <c r="BP246" s="268" t="str">
        <f t="shared" si="285"/>
        <v/>
      </c>
      <c r="BQ246" s="268" t="str">
        <f t="shared" si="285"/>
        <v/>
      </c>
      <c r="BR246" s="268" t="str">
        <f t="shared" si="285"/>
        <v/>
      </c>
      <c r="BS246" s="268" t="str">
        <f t="shared" si="285"/>
        <v/>
      </c>
      <c r="BT246" s="268" t="str">
        <f t="shared" si="285"/>
        <v/>
      </c>
      <c r="BU246" s="268" t="str">
        <f t="shared" si="222"/>
        <v/>
      </c>
      <c r="BV246" s="247">
        <v>0.88</v>
      </c>
      <c r="BW246" s="729">
        <f t="shared" si="253"/>
        <v>1098.24</v>
      </c>
      <c r="BX246" s="730">
        <f t="shared" si="254"/>
        <v>8511.36</v>
      </c>
      <c r="BY246" s="731" t="str">
        <f t="shared" si="282"/>
        <v>SR</v>
      </c>
    </row>
    <row r="247" s="698" customFormat="1" customHeight="1" spans="1:77">
      <c r="A247" s="208">
        <v>46062</v>
      </c>
      <c r="B247" s="208">
        <v>46157</v>
      </c>
      <c r="C247" s="211"/>
      <c r="D247" s="211" t="s">
        <v>509</v>
      </c>
      <c r="E247" s="211" t="s">
        <v>85</v>
      </c>
      <c r="F247" s="732">
        <v>4800</v>
      </c>
      <c r="G247" s="211" t="s">
        <v>510</v>
      </c>
      <c r="H247" s="211" t="str">
        <f>IFERROR(VLOOKUP(E247,名称!A:E,4,0),"")</f>
        <v>三代</v>
      </c>
      <c r="I247" s="268" t="str">
        <f t="shared" ref="I247:BT247" si="286">IF(OR($E247="",I$1=""),"",IF(TRIM(LEFT($E247,MIN(IFERROR(FIND("CDU",UPPER($E247)),999),IFERROR(FIND("BULK",UPPER($E247)),999),IFERROR(FIND("-",$E247),999),IFERROR(FIND("（",$E247),999))-1))=I$1,$F247,""))</f>
        <v/>
      </c>
      <c r="J247" s="268" t="str">
        <f t="shared" si="286"/>
        <v/>
      </c>
      <c r="K247" s="268" t="str">
        <f t="shared" si="286"/>
        <v/>
      </c>
      <c r="L247" s="268" t="str">
        <f t="shared" si="286"/>
        <v/>
      </c>
      <c r="M247" s="268" t="str">
        <f t="shared" si="286"/>
        <v/>
      </c>
      <c r="N247" s="268" t="str">
        <f t="shared" si="286"/>
        <v/>
      </c>
      <c r="O247" s="268" t="str">
        <f t="shared" si="286"/>
        <v/>
      </c>
      <c r="P247" s="268" t="str">
        <f t="shared" si="286"/>
        <v/>
      </c>
      <c r="Q247" s="268" t="str">
        <f t="shared" si="286"/>
        <v/>
      </c>
      <c r="R247" s="268" t="str">
        <f t="shared" si="286"/>
        <v/>
      </c>
      <c r="S247" s="268" t="str">
        <f t="shared" si="286"/>
        <v/>
      </c>
      <c r="T247" s="268" t="str">
        <f t="shared" si="286"/>
        <v/>
      </c>
      <c r="U247" s="268" t="str">
        <f t="shared" si="286"/>
        <v/>
      </c>
      <c r="V247" s="268" t="str">
        <f t="shared" si="286"/>
        <v/>
      </c>
      <c r="W247" s="268" t="str">
        <f t="shared" si="286"/>
        <v/>
      </c>
      <c r="X247" s="268" t="str">
        <f t="shared" si="286"/>
        <v/>
      </c>
      <c r="Y247" s="268" t="str">
        <f t="shared" si="286"/>
        <v/>
      </c>
      <c r="Z247" s="268" t="str">
        <f t="shared" si="286"/>
        <v/>
      </c>
      <c r="AA247" s="268" t="str">
        <f t="shared" si="286"/>
        <v/>
      </c>
      <c r="AB247" s="268" t="str">
        <f t="shared" si="286"/>
        <v/>
      </c>
      <c r="AC247" s="268" t="str">
        <f t="shared" si="286"/>
        <v/>
      </c>
      <c r="AD247" s="268" t="str">
        <f t="shared" si="286"/>
        <v/>
      </c>
      <c r="AE247" s="268" t="str">
        <f t="shared" si="286"/>
        <v/>
      </c>
      <c r="AF247" s="268" t="str">
        <f t="shared" si="286"/>
        <v/>
      </c>
      <c r="AG247" s="268" t="str">
        <f t="shared" si="286"/>
        <v/>
      </c>
      <c r="AH247" s="268" t="str">
        <f t="shared" si="286"/>
        <v/>
      </c>
      <c r="AI247" s="268" t="str">
        <f t="shared" si="286"/>
        <v/>
      </c>
      <c r="AJ247" s="268" t="str">
        <f t="shared" si="286"/>
        <v/>
      </c>
      <c r="AK247" s="268" t="str">
        <f t="shared" si="286"/>
        <v/>
      </c>
      <c r="AL247" s="268" t="str">
        <f t="shared" si="286"/>
        <v/>
      </c>
      <c r="AM247" s="268" t="str">
        <f t="shared" si="286"/>
        <v/>
      </c>
      <c r="AN247" s="268">
        <f t="shared" si="286"/>
        <v>4800</v>
      </c>
      <c r="AO247" s="268" t="str">
        <f t="shared" si="286"/>
        <v/>
      </c>
      <c r="AP247" s="268" t="str">
        <f t="shared" si="286"/>
        <v/>
      </c>
      <c r="AQ247" s="268" t="str">
        <f t="shared" si="286"/>
        <v/>
      </c>
      <c r="AR247" s="268" t="str">
        <f t="shared" si="286"/>
        <v/>
      </c>
      <c r="AS247" s="268" t="str">
        <f t="shared" si="286"/>
        <v/>
      </c>
      <c r="AT247" s="268" t="str">
        <f t="shared" si="286"/>
        <v/>
      </c>
      <c r="AU247" s="268" t="str">
        <f t="shared" si="286"/>
        <v/>
      </c>
      <c r="AV247" s="268" t="str">
        <f t="shared" si="286"/>
        <v/>
      </c>
      <c r="AW247" s="268" t="str">
        <f t="shared" si="286"/>
        <v/>
      </c>
      <c r="AX247" s="268" t="str">
        <f t="shared" si="286"/>
        <v/>
      </c>
      <c r="AY247" s="268" t="str">
        <f t="shared" si="286"/>
        <v/>
      </c>
      <c r="AZ247" s="268" t="str">
        <f t="shared" si="286"/>
        <v/>
      </c>
      <c r="BA247" s="268" t="str">
        <f t="shared" si="286"/>
        <v/>
      </c>
      <c r="BB247" s="268" t="str">
        <f t="shared" si="286"/>
        <v/>
      </c>
      <c r="BC247" s="268" t="str">
        <f t="shared" si="286"/>
        <v/>
      </c>
      <c r="BD247" s="268" t="str">
        <f t="shared" si="286"/>
        <v/>
      </c>
      <c r="BE247" s="268" t="str">
        <f t="shared" si="286"/>
        <v/>
      </c>
      <c r="BF247" s="268" t="str">
        <f t="shared" si="286"/>
        <v/>
      </c>
      <c r="BG247" s="268" t="str">
        <f t="shared" si="286"/>
        <v/>
      </c>
      <c r="BH247" s="268" t="str">
        <f t="shared" si="286"/>
        <v/>
      </c>
      <c r="BI247" s="268" t="str">
        <f t="shared" si="286"/>
        <v/>
      </c>
      <c r="BJ247" s="268" t="str">
        <f t="shared" si="286"/>
        <v/>
      </c>
      <c r="BK247" s="268" t="str">
        <f t="shared" si="286"/>
        <v/>
      </c>
      <c r="BL247" s="268" t="str">
        <f t="shared" si="286"/>
        <v/>
      </c>
      <c r="BM247" s="268" t="str">
        <f t="shared" si="286"/>
        <v/>
      </c>
      <c r="BN247" s="268" t="str">
        <f t="shared" si="286"/>
        <v/>
      </c>
      <c r="BO247" s="268" t="str">
        <f t="shared" si="286"/>
        <v/>
      </c>
      <c r="BP247" s="268" t="str">
        <f t="shared" si="286"/>
        <v/>
      </c>
      <c r="BQ247" s="268" t="str">
        <f t="shared" si="286"/>
        <v/>
      </c>
      <c r="BR247" s="268" t="str">
        <f t="shared" si="286"/>
        <v/>
      </c>
      <c r="BS247" s="268" t="str">
        <f t="shared" si="286"/>
        <v/>
      </c>
      <c r="BT247" s="268" t="str">
        <f t="shared" si="286"/>
        <v/>
      </c>
      <c r="BU247" s="268" t="str">
        <f t="shared" si="222"/>
        <v/>
      </c>
      <c r="BV247" s="247">
        <v>0.89</v>
      </c>
      <c r="BW247" s="729">
        <f t="shared" si="253"/>
        <v>4272</v>
      </c>
      <c r="BX247" s="730">
        <f t="shared" si="254"/>
        <v>33108</v>
      </c>
      <c r="BY247" s="731" t="str">
        <f t="shared" si="282"/>
        <v>SR</v>
      </c>
    </row>
    <row r="248" s="698" customFormat="1" customHeight="1" spans="1:77">
      <c r="A248" s="208">
        <v>46062</v>
      </c>
      <c r="B248" s="208">
        <v>46157</v>
      </c>
      <c r="C248" s="211"/>
      <c r="D248" s="211" t="s">
        <v>509</v>
      </c>
      <c r="E248" s="211" t="s">
        <v>65</v>
      </c>
      <c r="F248" s="732">
        <v>1440</v>
      </c>
      <c r="G248" s="211" t="s">
        <v>327</v>
      </c>
      <c r="H248" s="211" t="str">
        <f>IFERROR(VLOOKUP(E248,名称!A:E,4,0),"")</f>
        <v>二代</v>
      </c>
      <c r="I248" s="268" t="str">
        <f t="shared" ref="I248:BT248" si="287">IF(OR($E248="",I$1=""),"",IF(TRIM(LEFT($E248,MIN(IFERROR(FIND("CDU",UPPER($E248)),999),IFERROR(FIND("BULK",UPPER($E248)),999),IFERROR(FIND("-",$E248),999),IFERROR(FIND("（",$E248),999))-1))=I$1,$F248,""))</f>
        <v/>
      </c>
      <c r="J248" s="268" t="str">
        <f t="shared" si="287"/>
        <v/>
      </c>
      <c r="K248" s="268" t="str">
        <f t="shared" si="287"/>
        <v/>
      </c>
      <c r="L248" s="268" t="str">
        <f t="shared" si="287"/>
        <v/>
      </c>
      <c r="M248" s="268" t="str">
        <f t="shared" si="287"/>
        <v/>
      </c>
      <c r="N248" s="268" t="str">
        <f t="shared" si="287"/>
        <v/>
      </c>
      <c r="O248" s="268" t="str">
        <f t="shared" si="287"/>
        <v/>
      </c>
      <c r="P248" s="268" t="str">
        <f t="shared" si="287"/>
        <v/>
      </c>
      <c r="Q248" s="268">
        <f t="shared" si="287"/>
        <v>1440</v>
      </c>
      <c r="R248" s="268" t="str">
        <f t="shared" si="287"/>
        <v/>
      </c>
      <c r="S248" s="268" t="str">
        <f t="shared" si="287"/>
        <v/>
      </c>
      <c r="T248" s="268" t="str">
        <f t="shared" si="287"/>
        <v/>
      </c>
      <c r="U248" s="268" t="str">
        <f t="shared" si="287"/>
        <v/>
      </c>
      <c r="V248" s="268" t="str">
        <f t="shared" si="287"/>
        <v/>
      </c>
      <c r="W248" s="268" t="str">
        <f t="shared" si="287"/>
        <v/>
      </c>
      <c r="X248" s="268" t="str">
        <f t="shared" si="287"/>
        <v/>
      </c>
      <c r="Y248" s="268" t="str">
        <f t="shared" si="287"/>
        <v/>
      </c>
      <c r="Z248" s="268" t="str">
        <f t="shared" si="287"/>
        <v/>
      </c>
      <c r="AA248" s="268" t="str">
        <f t="shared" si="287"/>
        <v/>
      </c>
      <c r="AB248" s="268" t="str">
        <f t="shared" si="287"/>
        <v/>
      </c>
      <c r="AC248" s="268" t="str">
        <f t="shared" si="287"/>
        <v/>
      </c>
      <c r="AD248" s="268" t="str">
        <f t="shared" si="287"/>
        <v/>
      </c>
      <c r="AE248" s="268" t="str">
        <f t="shared" si="287"/>
        <v/>
      </c>
      <c r="AF248" s="268" t="str">
        <f t="shared" si="287"/>
        <v/>
      </c>
      <c r="AG248" s="268" t="str">
        <f t="shared" si="287"/>
        <v/>
      </c>
      <c r="AH248" s="268" t="str">
        <f t="shared" si="287"/>
        <v/>
      </c>
      <c r="AI248" s="268" t="str">
        <f t="shared" si="287"/>
        <v/>
      </c>
      <c r="AJ248" s="268" t="str">
        <f t="shared" si="287"/>
        <v/>
      </c>
      <c r="AK248" s="268" t="str">
        <f t="shared" si="287"/>
        <v/>
      </c>
      <c r="AL248" s="268" t="str">
        <f t="shared" si="287"/>
        <v/>
      </c>
      <c r="AM248" s="268" t="str">
        <f t="shared" si="287"/>
        <v/>
      </c>
      <c r="AN248" s="268" t="str">
        <f t="shared" si="287"/>
        <v/>
      </c>
      <c r="AO248" s="268" t="str">
        <f t="shared" si="287"/>
        <v/>
      </c>
      <c r="AP248" s="268" t="str">
        <f t="shared" si="287"/>
        <v/>
      </c>
      <c r="AQ248" s="268" t="str">
        <f t="shared" si="287"/>
        <v/>
      </c>
      <c r="AR248" s="268" t="str">
        <f t="shared" si="287"/>
        <v/>
      </c>
      <c r="AS248" s="268" t="str">
        <f t="shared" si="287"/>
        <v/>
      </c>
      <c r="AT248" s="268" t="str">
        <f t="shared" si="287"/>
        <v/>
      </c>
      <c r="AU248" s="268" t="str">
        <f t="shared" si="287"/>
        <v/>
      </c>
      <c r="AV248" s="268" t="str">
        <f t="shared" si="287"/>
        <v/>
      </c>
      <c r="AW248" s="268" t="str">
        <f t="shared" si="287"/>
        <v/>
      </c>
      <c r="AX248" s="268" t="str">
        <f t="shared" si="287"/>
        <v/>
      </c>
      <c r="AY248" s="268" t="str">
        <f t="shared" si="287"/>
        <v/>
      </c>
      <c r="AZ248" s="268" t="str">
        <f t="shared" si="287"/>
        <v/>
      </c>
      <c r="BA248" s="268" t="str">
        <f t="shared" si="287"/>
        <v/>
      </c>
      <c r="BB248" s="268" t="str">
        <f t="shared" si="287"/>
        <v/>
      </c>
      <c r="BC248" s="268" t="str">
        <f t="shared" si="287"/>
        <v/>
      </c>
      <c r="BD248" s="268" t="str">
        <f t="shared" si="287"/>
        <v/>
      </c>
      <c r="BE248" s="268" t="str">
        <f t="shared" si="287"/>
        <v/>
      </c>
      <c r="BF248" s="268" t="str">
        <f t="shared" si="287"/>
        <v/>
      </c>
      <c r="BG248" s="268" t="str">
        <f t="shared" si="287"/>
        <v/>
      </c>
      <c r="BH248" s="268" t="str">
        <f t="shared" si="287"/>
        <v/>
      </c>
      <c r="BI248" s="268" t="str">
        <f t="shared" si="287"/>
        <v/>
      </c>
      <c r="BJ248" s="268" t="str">
        <f t="shared" si="287"/>
        <v/>
      </c>
      <c r="BK248" s="268" t="str">
        <f t="shared" si="287"/>
        <v/>
      </c>
      <c r="BL248" s="268" t="str">
        <f t="shared" si="287"/>
        <v/>
      </c>
      <c r="BM248" s="268" t="str">
        <f t="shared" si="287"/>
        <v/>
      </c>
      <c r="BN248" s="268" t="str">
        <f t="shared" si="287"/>
        <v/>
      </c>
      <c r="BO248" s="268" t="str">
        <f t="shared" si="287"/>
        <v/>
      </c>
      <c r="BP248" s="268" t="str">
        <f t="shared" si="287"/>
        <v/>
      </c>
      <c r="BQ248" s="268" t="str">
        <f t="shared" si="287"/>
        <v/>
      </c>
      <c r="BR248" s="268" t="str">
        <f t="shared" si="287"/>
        <v/>
      </c>
      <c r="BS248" s="268" t="str">
        <f t="shared" si="287"/>
        <v/>
      </c>
      <c r="BT248" s="268" t="str">
        <f t="shared" si="287"/>
        <v/>
      </c>
      <c r="BU248" s="268" t="str">
        <f t="shared" si="222"/>
        <v/>
      </c>
      <c r="BV248" s="247">
        <v>0.63</v>
      </c>
      <c r="BW248" s="729">
        <f t="shared" si="253"/>
        <v>907.2</v>
      </c>
      <c r="BX248" s="730">
        <f t="shared" si="254"/>
        <v>7030.8</v>
      </c>
      <c r="BY248" s="731" t="str">
        <f t="shared" si="282"/>
        <v>SR</v>
      </c>
    </row>
    <row r="249" s="698" customFormat="1" customHeight="1" spans="1:77">
      <c r="A249" s="208">
        <v>46062</v>
      </c>
      <c r="B249" s="208">
        <v>46157</v>
      </c>
      <c r="C249" s="211"/>
      <c r="D249" s="211" t="s">
        <v>509</v>
      </c>
      <c r="E249" s="211" t="s">
        <v>97</v>
      </c>
      <c r="F249" s="732">
        <v>1800</v>
      </c>
      <c r="G249" s="211" t="s">
        <v>510</v>
      </c>
      <c r="H249" s="211" t="str">
        <f>IFERROR(VLOOKUP(E249,名称!A:E,4,0),"")</f>
        <v>三代</v>
      </c>
      <c r="I249" s="268" t="str">
        <f t="shared" ref="I249:BT249" si="288">IF(OR($E249="",I$1=""),"",IF(TRIM(LEFT($E249,MIN(IFERROR(FIND("CDU",UPPER($E249)),999),IFERROR(FIND("BULK",UPPER($E249)),999),IFERROR(FIND("-",$E249),999),IFERROR(FIND("（",$E249),999))-1))=I$1,$F249,""))</f>
        <v/>
      </c>
      <c r="J249" s="268" t="str">
        <f t="shared" si="288"/>
        <v/>
      </c>
      <c r="K249" s="268" t="str">
        <f t="shared" si="288"/>
        <v/>
      </c>
      <c r="L249" s="268" t="str">
        <f t="shared" si="288"/>
        <v/>
      </c>
      <c r="M249" s="268" t="str">
        <f t="shared" si="288"/>
        <v/>
      </c>
      <c r="N249" s="268" t="str">
        <f t="shared" si="288"/>
        <v/>
      </c>
      <c r="O249" s="268" t="str">
        <f t="shared" si="288"/>
        <v/>
      </c>
      <c r="P249" s="268" t="str">
        <f t="shared" si="288"/>
        <v/>
      </c>
      <c r="Q249" s="268" t="str">
        <f t="shared" si="288"/>
        <v/>
      </c>
      <c r="R249" s="268" t="str">
        <f t="shared" si="288"/>
        <v/>
      </c>
      <c r="S249" s="268" t="str">
        <f t="shared" si="288"/>
        <v/>
      </c>
      <c r="T249" s="268" t="str">
        <f t="shared" si="288"/>
        <v/>
      </c>
      <c r="U249" s="268" t="str">
        <f t="shared" si="288"/>
        <v/>
      </c>
      <c r="V249" s="268" t="str">
        <f t="shared" si="288"/>
        <v/>
      </c>
      <c r="W249" s="268" t="str">
        <f t="shared" si="288"/>
        <v/>
      </c>
      <c r="X249" s="268" t="str">
        <f t="shared" si="288"/>
        <v/>
      </c>
      <c r="Y249" s="268" t="str">
        <f t="shared" si="288"/>
        <v/>
      </c>
      <c r="Z249" s="268" t="str">
        <f t="shared" si="288"/>
        <v/>
      </c>
      <c r="AA249" s="268" t="str">
        <f t="shared" si="288"/>
        <v/>
      </c>
      <c r="AB249" s="268" t="str">
        <f t="shared" si="288"/>
        <v/>
      </c>
      <c r="AC249" s="268" t="str">
        <f t="shared" si="288"/>
        <v/>
      </c>
      <c r="AD249" s="268" t="str">
        <f t="shared" si="288"/>
        <v/>
      </c>
      <c r="AE249" s="268" t="str">
        <f t="shared" si="288"/>
        <v/>
      </c>
      <c r="AF249" s="268" t="str">
        <f t="shared" si="288"/>
        <v/>
      </c>
      <c r="AG249" s="268" t="str">
        <f t="shared" si="288"/>
        <v/>
      </c>
      <c r="AH249" s="268" t="str">
        <f t="shared" si="288"/>
        <v/>
      </c>
      <c r="AI249" s="268" t="str">
        <f t="shared" si="288"/>
        <v/>
      </c>
      <c r="AJ249" s="268" t="str">
        <f t="shared" si="288"/>
        <v/>
      </c>
      <c r="AK249" s="268" t="str">
        <f t="shared" si="288"/>
        <v/>
      </c>
      <c r="AL249" s="268" t="str">
        <f t="shared" si="288"/>
        <v/>
      </c>
      <c r="AM249" s="268" t="str">
        <f t="shared" si="288"/>
        <v/>
      </c>
      <c r="AN249" s="268" t="str">
        <f t="shared" si="288"/>
        <v/>
      </c>
      <c r="AO249" s="268" t="str">
        <f t="shared" si="288"/>
        <v/>
      </c>
      <c r="AP249" s="268" t="str">
        <f t="shared" si="288"/>
        <v/>
      </c>
      <c r="AQ249" s="268" t="str">
        <f t="shared" si="288"/>
        <v/>
      </c>
      <c r="AR249" s="268" t="str">
        <f t="shared" si="288"/>
        <v/>
      </c>
      <c r="AS249" s="268" t="str">
        <f t="shared" si="288"/>
        <v/>
      </c>
      <c r="AT249" s="268" t="str">
        <f t="shared" si="288"/>
        <v/>
      </c>
      <c r="AU249" s="268" t="str">
        <f t="shared" si="288"/>
        <v/>
      </c>
      <c r="AV249" s="268" t="str">
        <f t="shared" si="288"/>
        <v/>
      </c>
      <c r="AW249" s="268" t="str">
        <f t="shared" si="288"/>
        <v/>
      </c>
      <c r="AX249" s="268" t="str">
        <f t="shared" si="288"/>
        <v/>
      </c>
      <c r="AY249" s="268" t="str">
        <f t="shared" si="288"/>
        <v/>
      </c>
      <c r="AZ249" s="268" t="str">
        <f t="shared" si="288"/>
        <v/>
      </c>
      <c r="BA249" s="268">
        <f t="shared" si="288"/>
        <v>1800</v>
      </c>
      <c r="BB249" s="268" t="str">
        <f t="shared" si="288"/>
        <v/>
      </c>
      <c r="BC249" s="268" t="str">
        <f t="shared" si="288"/>
        <v/>
      </c>
      <c r="BD249" s="268" t="str">
        <f t="shared" si="288"/>
        <v/>
      </c>
      <c r="BE249" s="268" t="str">
        <f t="shared" si="288"/>
        <v/>
      </c>
      <c r="BF249" s="268" t="str">
        <f t="shared" si="288"/>
        <v/>
      </c>
      <c r="BG249" s="268" t="str">
        <f t="shared" si="288"/>
        <v/>
      </c>
      <c r="BH249" s="268" t="str">
        <f t="shared" si="288"/>
        <v/>
      </c>
      <c r="BI249" s="268" t="str">
        <f t="shared" si="288"/>
        <v/>
      </c>
      <c r="BJ249" s="268" t="str">
        <f t="shared" si="288"/>
        <v/>
      </c>
      <c r="BK249" s="268" t="str">
        <f t="shared" si="288"/>
        <v/>
      </c>
      <c r="BL249" s="268" t="str">
        <f t="shared" si="288"/>
        <v/>
      </c>
      <c r="BM249" s="268" t="str">
        <f t="shared" si="288"/>
        <v/>
      </c>
      <c r="BN249" s="268" t="str">
        <f t="shared" si="288"/>
        <v/>
      </c>
      <c r="BO249" s="268" t="str">
        <f t="shared" si="288"/>
        <v/>
      </c>
      <c r="BP249" s="268" t="str">
        <f t="shared" si="288"/>
        <v/>
      </c>
      <c r="BQ249" s="268" t="str">
        <f t="shared" si="288"/>
        <v/>
      </c>
      <c r="BR249" s="268" t="str">
        <f t="shared" si="288"/>
        <v/>
      </c>
      <c r="BS249" s="268" t="str">
        <f t="shared" si="288"/>
        <v/>
      </c>
      <c r="BT249" s="268" t="str">
        <f t="shared" si="288"/>
        <v/>
      </c>
      <c r="BU249" s="268" t="str">
        <f t="shared" si="222"/>
        <v/>
      </c>
      <c r="BV249" s="247">
        <v>0.64</v>
      </c>
      <c r="BW249" s="729">
        <f t="shared" si="253"/>
        <v>1152</v>
      </c>
      <c r="BX249" s="730">
        <f t="shared" si="254"/>
        <v>8928</v>
      </c>
      <c r="BY249" s="731" t="str">
        <f t="shared" si="282"/>
        <v>SR</v>
      </c>
    </row>
    <row r="250" s="698" customFormat="1" customHeight="1" spans="1:77">
      <c r="A250" s="208">
        <v>46062</v>
      </c>
      <c r="B250" s="208">
        <v>46157</v>
      </c>
      <c r="C250" s="211"/>
      <c r="D250" s="211" t="s">
        <v>509</v>
      </c>
      <c r="E250" s="211" t="s">
        <v>94</v>
      </c>
      <c r="F250" s="732">
        <v>2400</v>
      </c>
      <c r="G250" s="211" t="s">
        <v>510</v>
      </c>
      <c r="H250" s="211" t="str">
        <f>IFERROR(VLOOKUP(E250,名称!A:E,4,0),"")</f>
        <v>三代</v>
      </c>
      <c r="I250" s="268" t="str">
        <f t="shared" ref="I250:BT250" si="289">IF(OR($E250="",I$1=""),"",IF(TRIM(LEFT($E250,MIN(IFERROR(FIND("CDU",UPPER($E250)),999),IFERROR(FIND("BULK",UPPER($E250)),999),IFERROR(FIND("-",$E250),999),IFERROR(FIND("（",$E250),999))-1))=I$1,$F250,""))</f>
        <v/>
      </c>
      <c r="J250" s="268" t="str">
        <f t="shared" si="289"/>
        <v/>
      </c>
      <c r="K250" s="268" t="str">
        <f t="shared" si="289"/>
        <v/>
      </c>
      <c r="L250" s="268" t="str">
        <f t="shared" si="289"/>
        <v/>
      </c>
      <c r="M250" s="268" t="str">
        <f t="shared" si="289"/>
        <v/>
      </c>
      <c r="N250" s="268" t="str">
        <f t="shared" si="289"/>
        <v/>
      </c>
      <c r="O250" s="268" t="str">
        <f t="shared" si="289"/>
        <v/>
      </c>
      <c r="P250" s="268" t="str">
        <f t="shared" si="289"/>
        <v/>
      </c>
      <c r="Q250" s="268" t="str">
        <f t="shared" si="289"/>
        <v/>
      </c>
      <c r="R250" s="268" t="str">
        <f t="shared" si="289"/>
        <v/>
      </c>
      <c r="S250" s="268" t="str">
        <f t="shared" si="289"/>
        <v/>
      </c>
      <c r="T250" s="268" t="str">
        <f t="shared" si="289"/>
        <v/>
      </c>
      <c r="U250" s="268" t="str">
        <f t="shared" si="289"/>
        <v/>
      </c>
      <c r="V250" s="268" t="str">
        <f t="shared" si="289"/>
        <v/>
      </c>
      <c r="W250" s="268" t="str">
        <f t="shared" si="289"/>
        <v/>
      </c>
      <c r="X250" s="268" t="str">
        <f t="shared" si="289"/>
        <v/>
      </c>
      <c r="Y250" s="268" t="str">
        <f t="shared" si="289"/>
        <v/>
      </c>
      <c r="Z250" s="268" t="str">
        <f t="shared" si="289"/>
        <v/>
      </c>
      <c r="AA250" s="268" t="str">
        <f t="shared" si="289"/>
        <v/>
      </c>
      <c r="AB250" s="268" t="str">
        <f t="shared" si="289"/>
        <v/>
      </c>
      <c r="AC250" s="268" t="str">
        <f t="shared" si="289"/>
        <v/>
      </c>
      <c r="AD250" s="268" t="str">
        <f t="shared" si="289"/>
        <v/>
      </c>
      <c r="AE250" s="268" t="str">
        <f t="shared" si="289"/>
        <v/>
      </c>
      <c r="AF250" s="268" t="str">
        <f t="shared" si="289"/>
        <v/>
      </c>
      <c r="AG250" s="268" t="str">
        <f t="shared" si="289"/>
        <v/>
      </c>
      <c r="AH250" s="268" t="str">
        <f t="shared" si="289"/>
        <v/>
      </c>
      <c r="AI250" s="268" t="str">
        <f t="shared" si="289"/>
        <v/>
      </c>
      <c r="AJ250" s="268" t="str">
        <f t="shared" si="289"/>
        <v/>
      </c>
      <c r="AK250" s="268" t="str">
        <f t="shared" si="289"/>
        <v/>
      </c>
      <c r="AL250" s="268" t="str">
        <f t="shared" si="289"/>
        <v/>
      </c>
      <c r="AM250" s="268" t="str">
        <f t="shared" si="289"/>
        <v/>
      </c>
      <c r="AN250" s="268" t="str">
        <f t="shared" si="289"/>
        <v/>
      </c>
      <c r="AO250" s="268" t="str">
        <f t="shared" si="289"/>
        <v/>
      </c>
      <c r="AP250" s="268" t="str">
        <f t="shared" si="289"/>
        <v/>
      </c>
      <c r="AQ250" s="268" t="str">
        <f t="shared" si="289"/>
        <v/>
      </c>
      <c r="AR250" s="268" t="str">
        <f t="shared" si="289"/>
        <v/>
      </c>
      <c r="AS250" s="268" t="str">
        <f t="shared" si="289"/>
        <v/>
      </c>
      <c r="AT250" s="268" t="str">
        <f t="shared" si="289"/>
        <v/>
      </c>
      <c r="AU250" s="268" t="str">
        <f t="shared" si="289"/>
        <v/>
      </c>
      <c r="AV250" s="268" t="str">
        <f t="shared" si="289"/>
        <v/>
      </c>
      <c r="AW250" s="268" t="str">
        <f t="shared" si="289"/>
        <v/>
      </c>
      <c r="AX250" s="268" t="str">
        <f t="shared" si="289"/>
        <v/>
      </c>
      <c r="AY250" s="268">
        <f t="shared" si="289"/>
        <v>2400</v>
      </c>
      <c r="AZ250" s="268" t="str">
        <f t="shared" si="289"/>
        <v/>
      </c>
      <c r="BA250" s="268" t="str">
        <f t="shared" si="289"/>
        <v/>
      </c>
      <c r="BB250" s="268" t="str">
        <f t="shared" si="289"/>
        <v/>
      </c>
      <c r="BC250" s="268" t="str">
        <f t="shared" si="289"/>
        <v/>
      </c>
      <c r="BD250" s="268" t="str">
        <f t="shared" si="289"/>
        <v/>
      </c>
      <c r="BE250" s="268" t="str">
        <f t="shared" si="289"/>
        <v/>
      </c>
      <c r="BF250" s="268" t="str">
        <f t="shared" si="289"/>
        <v/>
      </c>
      <c r="BG250" s="268" t="str">
        <f t="shared" si="289"/>
        <v/>
      </c>
      <c r="BH250" s="268" t="str">
        <f t="shared" si="289"/>
        <v/>
      </c>
      <c r="BI250" s="268" t="str">
        <f t="shared" si="289"/>
        <v/>
      </c>
      <c r="BJ250" s="268" t="str">
        <f t="shared" si="289"/>
        <v/>
      </c>
      <c r="BK250" s="268" t="str">
        <f t="shared" si="289"/>
        <v/>
      </c>
      <c r="BL250" s="268" t="str">
        <f t="shared" si="289"/>
        <v/>
      </c>
      <c r="BM250" s="268" t="str">
        <f t="shared" si="289"/>
        <v/>
      </c>
      <c r="BN250" s="268" t="str">
        <f t="shared" si="289"/>
        <v/>
      </c>
      <c r="BO250" s="268" t="str">
        <f t="shared" si="289"/>
        <v/>
      </c>
      <c r="BP250" s="268" t="str">
        <f t="shared" si="289"/>
        <v/>
      </c>
      <c r="BQ250" s="268" t="str">
        <f t="shared" si="289"/>
        <v/>
      </c>
      <c r="BR250" s="268" t="str">
        <f t="shared" si="289"/>
        <v/>
      </c>
      <c r="BS250" s="268" t="str">
        <f t="shared" si="289"/>
        <v/>
      </c>
      <c r="BT250" s="268" t="str">
        <f t="shared" si="289"/>
        <v/>
      </c>
      <c r="BU250" s="268" t="str">
        <f t="shared" si="222"/>
        <v/>
      </c>
      <c r="BV250" s="247">
        <v>0.64</v>
      </c>
      <c r="BW250" s="729">
        <f t="shared" si="253"/>
        <v>1536</v>
      </c>
      <c r="BX250" s="730">
        <f t="shared" si="254"/>
        <v>11904</v>
      </c>
      <c r="BY250" s="731" t="str">
        <f t="shared" si="282"/>
        <v>SR</v>
      </c>
    </row>
    <row r="251" s="698" customFormat="1" customHeight="1" spans="1:77">
      <c r="A251" s="208">
        <v>46062</v>
      </c>
      <c r="B251" s="208">
        <v>46157</v>
      </c>
      <c r="C251" s="211"/>
      <c r="D251" s="211" t="s">
        <v>509</v>
      </c>
      <c r="E251" s="211" t="s">
        <v>111</v>
      </c>
      <c r="F251" s="732">
        <v>440</v>
      </c>
      <c r="G251" s="211" t="s">
        <v>510</v>
      </c>
      <c r="H251" s="211" t="str">
        <f>IFERROR(VLOOKUP(E251,名称!A:E,4,0),"")</f>
        <v>三代</v>
      </c>
      <c r="I251" s="268" t="str">
        <f t="shared" ref="I251:BT251" si="290">IF(OR($E251="",I$1=""),"",IF(TRIM(LEFT($E251,MIN(IFERROR(FIND("CDU",UPPER($E251)),999),IFERROR(FIND("BULK",UPPER($E251)),999),IFERROR(FIND("-",$E251),999),IFERROR(FIND("（",$E251),999))-1))=I$1,$F251,""))</f>
        <v/>
      </c>
      <c r="J251" s="268" t="str">
        <f t="shared" si="290"/>
        <v/>
      </c>
      <c r="K251" s="268" t="str">
        <f t="shared" si="290"/>
        <v/>
      </c>
      <c r="L251" s="268" t="str">
        <f t="shared" si="290"/>
        <v/>
      </c>
      <c r="M251" s="268" t="str">
        <f t="shared" si="290"/>
        <v/>
      </c>
      <c r="N251" s="268" t="str">
        <f t="shared" si="290"/>
        <v/>
      </c>
      <c r="O251" s="268" t="str">
        <f t="shared" si="290"/>
        <v/>
      </c>
      <c r="P251" s="268" t="str">
        <f t="shared" si="290"/>
        <v/>
      </c>
      <c r="Q251" s="268" t="str">
        <f t="shared" si="290"/>
        <v/>
      </c>
      <c r="R251" s="268" t="str">
        <f t="shared" si="290"/>
        <v/>
      </c>
      <c r="S251" s="268" t="str">
        <f t="shared" si="290"/>
        <v/>
      </c>
      <c r="T251" s="268" t="str">
        <f t="shared" si="290"/>
        <v/>
      </c>
      <c r="U251" s="268" t="str">
        <f t="shared" si="290"/>
        <v/>
      </c>
      <c r="V251" s="268" t="str">
        <f t="shared" si="290"/>
        <v/>
      </c>
      <c r="W251" s="268" t="str">
        <f t="shared" si="290"/>
        <v/>
      </c>
      <c r="X251" s="268" t="str">
        <f t="shared" si="290"/>
        <v/>
      </c>
      <c r="Y251" s="268" t="str">
        <f t="shared" si="290"/>
        <v/>
      </c>
      <c r="Z251" s="268" t="str">
        <f t="shared" si="290"/>
        <v/>
      </c>
      <c r="AA251" s="268" t="str">
        <f t="shared" si="290"/>
        <v/>
      </c>
      <c r="AB251" s="268" t="str">
        <f t="shared" si="290"/>
        <v/>
      </c>
      <c r="AC251" s="268" t="str">
        <f t="shared" si="290"/>
        <v/>
      </c>
      <c r="AD251" s="268" t="str">
        <f t="shared" si="290"/>
        <v/>
      </c>
      <c r="AE251" s="268" t="str">
        <f t="shared" si="290"/>
        <v/>
      </c>
      <c r="AF251" s="268" t="str">
        <f t="shared" si="290"/>
        <v/>
      </c>
      <c r="AG251" s="268" t="str">
        <f t="shared" si="290"/>
        <v/>
      </c>
      <c r="AH251" s="268" t="str">
        <f t="shared" si="290"/>
        <v/>
      </c>
      <c r="AI251" s="268">
        <f t="shared" si="290"/>
        <v>440</v>
      </c>
      <c r="AJ251" s="268" t="str">
        <f t="shared" si="290"/>
        <v/>
      </c>
      <c r="AK251" s="268" t="str">
        <f t="shared" si="290"/>
        <v/>
      </c>
      <c r="AL251" s="268" t="str">
        <f t="shared" si="290"/>
        <v/>
      </c>
      <c r="AM251" s="268" t="str">
        <f t="shared" si="290"/>
        <v/>
      </c>
      <c r="AN251" s="268" t="str">
        <f t="shared" si="290"/>
        <v/>
      </c>
      <c r="AO251" s="268" t="str">
        <f t="shared" si="290"/>
        <v/>
      </c>
      <c r="AP251" s="268" t="str">
        <f t="shared" si="290"/>
        <v/>
      </c>
      <c r="AQ251" s="268" t="str">
        <f t="shared" si="290"/>
        <v/>
      </c>
      <c r="AR251" s="268" t="str">
        <f t="shared" si="290"/>
        <v/>
      </c>
      <c r="AS251" s="268" t="str">
        <f t="shared" si="290"/>
        <v/>
      </c>
      <c r="AT251" s="268" t="str">
        <f t="shared" si="290"/>
        <v/>
      </c>
      <c r="AU251" s="268" t="str">
        <f t="shared" si="290"/>
        <v/>
      </c>
      <c r="AV251" s="268" t="str">
        <f t="shared" si="290"/>
        <v/>
      </c>
      <c r="AW251" s="268" t="str">
        <f t="shared" si="290"/>
        <v/>
      </c>
      <c r="AX251" s="268" t="str">
        <f t="shared" si="290"/>
        <v/>
      </c>
      <c r="AY251" s="268" t="str">
        <f t="shared" si="290"/>
        <v/>
      </c>
      <c r="AZ251" s="268" t="str">
        <f t="shared" si="290"/>
        <v/>
      </c>
      <c r="BA251" s="268" t="str">
        <f t="shared" si="290"/>
        <v/>
      </c>
      <c r="BB251" s="268" t="str">
        <f t="shared" si="290"/>
        <v/>
      </c>
      <c r="BC251" s="268" t="str">
        <f t="shared" si="290"/>
        <v/>
      </c>
      <c r="BD251" s="268" t="str">
        <f t="shared" si="290"/>
        <v/>
      </c>
      <c r="BE251" s="268" t="str">
        <f t="shared" si="290"/>
        <v/>
      </c>
      <c r="BF251" s="268" t="str">
        <f t="shared" si="290"/>
        <v/>
      </c>
      <c r="BG251" s="268" t="str">
        <f t="shared" si="290"/>
        <v/>
      </c>
      <c r="BH251" s="268" t="str">
        <f t="shared" si="290"/>
        <v/>
      </c>
      <c r="BI251" s="268" t="str">
        <f t="shared" si="290"/>
        <v/>
      </c>
      <c r="BJ251" s="268" t="str">
        <f t="shared" si="290"/>
        <v/>
      </c>
      <c r="BK251" s="268" t="str">
        <f t="shared" si="290"/>
        <v/>
      </c>
      <c r="BL251" s="268" t="str">
        <f t="shared" si="290"/>
        <v/>
      </c>
      <c r="BM251" s="268" t="str">
        <f t="shared" si="290"/>
        <v/>
      </c>
      <c r="BN251" s="268" t="str">
        <f t="shared" si="290"/>
        <v/>
      </c>
      <c r="BO251" s="268" t="str">
        <f t="shared" si="290"/>
        <v/>
      </c>
      <c r="BP251" s="268" t="str">
        <f t="shared" si="290"/>
        <v/>
      </c>
      <c r="BQ251" s="268" t="str">
        <f t="shared" si="290"/>
        <v/>
      </c>
      <c r="BR251" s="268" t="str">
        <f t="shared" si="290"/>
        <v/>
      </c>
      <c r="BS251" s="268" t="str">
        <f t="shared" si="290"/>
        <v/>
      </c>
      <c r="BT251" s="268" t="str">
        <f t="shared" si="290"/>
        <v/>
      </c>
      <c r="BU251" s="268" t="str">
        <f t="shared" si="222"/>
        <v/>
      </c>
      <c r="BV251" s="247">
        <v>9.39</v>
      </c>
      <c r="BW251" s="729">
        <f t="shared" si="253"/>
        <v>4131.6</v>
      </c>
      <c r="BX251" s="730">
        <f t="shared" si="254"/>
        <v>32019.9</v>
      </c>
      <c r="BY251" s="731" t="str">
        <f t="shared" si="282"/>
        <v>SR</v>
      </c>
    </row>
    <row r="252" s="698" customFormat="1" customHeight="1" spans="1:77">
      <c r="A252" s="208">
        <v>46062</v>
      </c>
      <c r="B252" s="208">
        <v>46157</v>
      </c>
      <c r="C252" s="211"/>
      <c r="D252" s="211" t="s">
        <v>509</v>
      </c>
      <c r="E252" s="211" t="s">
        <v>72</v>
      </c>
      <c r="F252" s="732">
        <v>2280</v>
      </c>
      <c r="G252" s="211" t="s">
        <v>510</v>
      </c>
      <c r="H252" s="211" t="str">
        <f>IFERROR(VLOOKUP(E252,名称!A:E,4,0),"")</f>
        <v>三代</v>
      </c>
      <c r="I252" s="268" t="str">
        <f t="shared" ref="I252:BT252" si="291">IF(OR($E252="",I$1=""),"",IF(TRIM(LEFT($E252,MIN(IFERROR(FIND("CDU",UPPER($E252)),999),IFERROR(FIND("BULK",UPPER($E252)),999),IFERROR(FIND("-",$E252),999),IFERROR(FIND("（",$E252),999))-1))=I$1,$F252,""))</f>
        <v/>
      </c>
      <c r="J252" s="268" t="str">
        <f t="shared" si="291"/>
        <v/>
      </c>
      <c r="K252" s="268" t="str">
        <f t="shared" si="291"/>
        <v/>
      </c>
      <c r="L252" s="268" t="str">
        <f t="shared" si="291"/>
        <v/>
      </c>
      <c r="M252" s="268" t="str">
        <f t="shared" si="291"/>
        <v/>
      </c>
      <c r="N252" s="268" t="str">
        <f t="shared" si="291"/>
        <v/>
      </c>
      <c r="O252" s="268" t="str">
        <f t="shared" si="291"/>
        <v/>
      </c>
      <c r="P252" s="268" t="str">
        <f t="shared" si="291"/>
        <v/>
      </c>
      <c r="Q252" s="268" t="str">
        <f t="shared" si="291"/>
        <v/>
      </c>
      <c r="R252" s="268" t="str">
        <f t="shared" si="291"/>
        <v/>
      </c>
      <c r="S252" s="268" t="str">
        <f t="shared" si="291"/>
        <v/>
      </c>
      <c r="T252" s="268" t="str">
        <f t="shared" si="291"/>
        <v/>
      </c>
      <c r="U252" s="268" t="str">
        <f t="shared" si="291"/>
        <v/>
      </c>
      <c r="V252" s="268" t="str">
        <f t="shared" si="291"/>
        <v/>
      </c>
      <c r="W252" s="268" t="str">
        <f t="shared" si="291"/>
        <v/>
      </c>
      <c r="X252" s="268" t="str">
        <f t="shared" si="291"/>
        <v/>
      </c>
      <c r="Y252" s="268" t="str">
        <f t="shared" si="291"/>
        <v/>
      </c>
      <c r="Z252" s="268" t="str">
        <f t="shared" si="291"/>
        <v/>
      </c>
      <c r="AA252" s="268" t="str">
        <f t="shared" si="291"/>
        <v/>
      </c>
      <c r="AB252" s="268" t="str">
        <f t="shared" si="291"/>
        <v/>
      </c>
      <c r="AC252" s="268" t="str">
        <f t="shared" si="291"/>
        <v/>
      </c>
      <c r="AD252" s="268" t="str">
        <f t="shared" si="291"/>
        <v/>
      </c>
      <c r="AE252" s="268" t="str">
        <f t="shared" si="291"/>
        <v/>
      </c>
      <c r="AF252" s="268" t="str">
        <f t="shared" si="291"/>
        <v/>
      </c>
      <c r="AG252" s="268" t="str">
        <f t="shared" si="291"/>
        <v/>
      </c>
      <c r="AH252" s="268" t="str">
        <f t="shared" si="291"/>
        <v/>
      </c>
      <c r="AI252" s="268" t="str">
        <f t="shared" si="291"/>
        <v/>
      </c>
      <c r="AJ252" s="268" t="str">
        <f t="shared" si="291"/>
        <v/>
      </c>
      <c r="AK252" s="268" t="str">
        <f t="shared" si="291"/>
        <v/>
      </c>
      <c r="AL252" s="268">
        <f t="shared" si="291"/>
        <v>2280</v>
      </c>
      <c r="AM252" s="268" t="str">
        <f t="shared" si="291"/>
        <v/>
      </c>
      <c r="AN252" s="268" t="str">
        <f t="shared" si="291"/>
        <v/>
      </c>
      <c r="AO252" s="268" t="str">
        <f t="shared" si="291"/>
        <v/>
      </c>
      <c r="AP252" s="268" t="str">
        <f t="shared" si="291"/>
        <v/>
      </c>
      <c r="AQ252" s="268" t="str">
        <f t="shared" si="291"/>
        <v/>
      </c>
      <c r="AR252" s="268" t="str">
        <f t="shared" si="291"/>
        <v/>
      </c>
      <c r="AS252" s="268" t="str">
        <f t="shared" si="291"/>
        <v/>
      </c>
      <c r="AT252" s="268" t="str">
        <f t="shared" si="291"/>
        <v/>
      </c>
      <c r="AU252" s="268" t="str">
        <f t="shared" si="291"/>
        <v/>
      </c>
      <c r="AV252" s="268" t="str">
        <f t="shared" si="291"/>
        <v/>
      </c>
      <c r="AW252" s="268" t="str">
        <f t="shared" si="291"/>
        <v/>
      </c>
      <c r="AX252" s="268" t="str">
        <f t="shared" si="291"/>
        <v/>
      </c>
      <c r="AY252" s="268" t="str">
        <f t="shared" si="291"/>
        <v/>
      </c>
      <c r="AZ252" s="268" t="str">
        <f t="shared" si="291"/>
        <v/>
      </c>
      <c r="BA252" s="268" t="str">
        <f t="shared" si="291"/>
        <v/>
      </c>
      <c r="BB252" s="268" t="str">
        <f t="shared" si="291"/>
        <v/>
      </c>
      <c r="BC252" s="268" t="str">
        <f t="shared" si="291"/>
        <v/>
      </c>
      <c r="BD252" s="268" t="str">
        <f t="shared" si="291"/>
        <v/>
      </c>
      <c r="BE252" s="268" t="str">
        <f t="shared" si="291"/>
        <v/>
      </c>
      <c r="BF252" s="268" t="str">
        <f t="shared" si="291"/>
        <v/>
      </c>
      <c r="BG252" s="268" t="str">
        <f t="shared" si="291"/>
        <v/>
      </c>
      <c r="BH252" s="268" t="str">
        <f t="shared" si="291"/>
        <v/>
      </c>
      <c r="BI252" s="268" t="str">
        <f t="shared" si="291"/>
        <v/>
      </c>
      <c r="BJ252" s="268" t="str">
        <f t="shared" si="291"/>
        <v/>
      </c>
      <c r="BK252" s="268" t="str">
        <f t="shared" si="291"/>
        <v/>
      </c>
      <c r="BL252" s="268" t="str">
        <f t="shared" si="291"/>
        <v/>
      </c>
      <c r="BM252" s="268" t="str">
        <f t="shared" si="291"/>
        <v/>
      </c>
      <c r="BN252" s="268" t="str">
        <f t="shared" si="291"/>
        <v/>
      </c>
      <c r="BO252" s="268" t="str">
        <f t="shared" si="291"/>
        <v/>
      </c>
      <c r="BP252" s="268" t="str">
        <f t="shared" si="291"/>
        <v/>
      </c>
      <c r="BQ252" s="268" t="str">
        <f t="shared" si="291"/>
        <v/>
      </c>
      <c r="BR252" s="268" t="str">
        <f t="shared" si="291"/>
        <v/>
      </c>
      <c r="BS252" s="268" t="str">
        <f t="shared" si="291"/>
        <v/>
      </c>
      <c r="BT252" s="268" t="str">
        <f t="shared" si="291"/>
        <v/>
      </c>
      <c r="BU252" s="268" t="str">
        <f t="shared" si="222"/>
        <v/>
      </c>
      <c r="BV252" s="247">
        <v>1.6</v>
      </c>
      <c r="BW252" s="729">
        <f t="shared" si="253"/>
        <v>3648</v>
      </c>
      <c r="BX252" s="730">
        <f t="shared" si="254"/>
        <v>28272</v>
      </c>
      <c r="BY252" s="731" t="str">
        <f t="shared" si="282"/>
        <v>SR</v>
      </c>
    </row>
    <row r="253" s="698" customFormat="1" customHeight="1" spans="1:77">
      <c r="A253" s="208">
        <v>46062</v>
      </c>
      <c r="B253" s="208">
        <v>46157</v>
      </c>
      <c r="C253" s="211"/>
      <c r="D253" s="211" t="s">
        <v>509</v>
      </c>
      <c r="E253" s="211" t="s">
        <v>98</v>
      </c>
      <c r="F253" s="732">
        <v>660</v>
      </c>
      <c r="G253" s="211" t="s">
        <v>510</v>
      </c>
      <c r="H253" s="211" t="str">
        <f>IFERROR(VLOOKUP(E253,名称!A:E,4,0),"")</f>
        <v>三代</v>
      </c>
      <c r="I253" s="268" t="str">
        <f t="shared" ref="I253:BT253" si="292">IF(OR($E253="",I$1=""),"",IF(TRIM(LEFT($E253,MIN(IFERROR(FIND("CDU",UPPER($E253)),999),IFERROR(FIND("BULK",UPPER($E253)),999),IFERROR(FIND("-",$E253),999),IFERROR(FIND("（",$E253),999))-1))=I$1,$F253,""))</f>
        <v/>
      </c>
      <c r="J253" s="268" t="str">
        <f t="shared" si="292"/>
        <v/>
      </c>
      <c r="K253" s="268" t="str">
        <f t="shared" si="292"/>
        <v/>
      </c>
      <c r="L253" s="268" t="str">
        <f t="shared" si="292"/>
        <v/>
      </c>
      <c r="M253" s="268" t="str">
        <f t="shared" si="292"/>
        <v/>
      </c>
      <c r="N253" s="268" t="str">
        <f t="shared" si="292"/>
        <v/>
      </c>
      <c r="O253" s="268" t="str">
        <f t="shared" si="292"/>
        <v/>
      </c>
      <c r="P253" s="268" t="str">
        <f t="shared" si="292"/>
        <v/>
      </c>
      <c r="Q253" s="268" t="str">
        <f t="shared" si="292"/>
        <v/>
      </c>
      <c r="R253" s="268" t="str">
        <f t="shared" si="292"/>
        <v/>
      </c>
      <c r="S253" s="268" t="str">
        <f t="shared" si="292"/>
        <v/>
      </c>
      <c r="T253" s="268" t="str">
        <f t="shared" si="292"/>
        <v/>
      </c>
      <c r="U253" s="268" t="str">
        <f t="shared" si="292"/>
        <v/>
      </c>
      <c r="V253" s="268" t="str">
        <f t="shared" si="292"/>
        <v/>
      </c>
      <c r="W253" s="268" t="str">
        <f t="shared" si="292"/>
        <v/>
      </c>
      <c r="X253" s="268" t="str">
        <f t="shared" si="292"/>
        <v/>
      </c>
      <c r="Y253" s="268" t="str">
        <f t="shared" si="292"/>
        <v/>
      </c>
      <c r="Z253" s="268" t="str">
        <f t="shared" si="292"/>
        <v/>
      </c>
      <c r="AA253" s="268" t="str">
        <f t="shared" si="292"/>
        <v/>
      </c>
      <c r="AB253" s="268" t="str">
        <f t="shared" si="292"/>
        <v/>
      </c>
      <c r="AC253" s="268" t="str">
        <f t="shared" si="292"/>
        <v/>
      </c>
      <c r="AD253" s="268" t="str">
        <f t="shared" si="292"/>
        <v/>
      </c>
      <c r="AE253" s="268" t="str">
        <f t="shared" si="292"/>
        <v/>
      </c>
      <c r="AF253" s="268" t="str">
        <f t="shared" si="292"/>
        <v/>
      </c>
      <c r="AG253" s="268" t="str">
        <f t="shared" si="292"/>
        <v/>
      </c>
      <c r="AH253" s="268" t="str">
        <f t="shared" si="292"/>
        <v/>
      </c>
      <c r="AI253" s="268" t="str">
        <f t="shared" si="292"/>
        <v/>
      </c>
      <c r="AJ253" s="268" t="str">
        <f t="shared" si="292"/>
        <v/>
      </c>
      <c r="AK253" s="268" t="str">
        <f t="shared" si="292"/>
        <v/>
      </c>
      <c r="AL253" s="268" t="str">
        <f t="shared" si="292"/>
        <v/>
      </c>
      <c r="AM253" s="268" t="str">
        <f t="shared" si="292"/>
        <v/>
      </c>
      <c r="AN253" s="268" t="str">
        <f t="shared" si="292"/>
        <v/>
      </c>
      <c r="AO253" s="268" t="str">
        <f t="shared" si="292"/>
        <v/>
      </c>
      <c r="AP253" s="268" t="str">
        <f t="shared" si="292"/>
        <v/>
      </c>
      <c r="AQ253" s="268" t="str">
        <f t="shared" si="292"/>
        <v/>
      </c>
      <c r="AR253" s="268" t="str">
        <f t="shared" si="292"/>
        <v/>
      </c>
      <c r="AS253" s="268" t="str">
        <f t="shared" si="292"/>
        <v/>
      </c>
      <c r="AT253" s="268" t="str">
        <f t="shared" si="292"/>
        <v/>
      </c>
      <c r="AU253" s="268" t="str">
        <f t="shared" si="292"/>
        <v/>
      </c>
      <c r="AV253" s="268" t="str">
        <f t="shared" si="292"/>
        <v/>
      </c>
      <c r="AW253" s="268" t="str">
        <f t="shared" si="292"/>
        <v/>
      </c>
      <c r="AX253" s="268" t="str">
        <f t="shared" si="292"/>
        <v/>
      </c>
      <c r="AY253" s="268" t="str">
        <f t="shared" si="292"/>
        <v/>
      </c>
      <c r="AZ253" s="268" t="str">
        <f t="shared" si="292"/>
        <v/>
      </c>
      <c r="BA253" s="268" t="str">
        <f t="shared" si="292"/>
        <v/>
      </c>
      <c r="BB253" s="268">
        <f t="shared" si="292"/>
        <v>660</v>
      </c>
      <c r="BC253" s="268" t="str">
        <f t="shared" si="292"/>
        <v/>
      </c>
      <c r="BD253" s="268" t="str">
        <f t="shared" si="292"/>
        <v/>
      </c>
      <c r="BE253" s="268" t="str">
        <f t="shared" si="292"/>
        <v/>
      </c>
      <c r="BF253" s="268" t="str">
        <f t="shared" si="292"/>
        <v/>
      </c>
      <c r="BG253" s="268" t="str">
        <f t="shared" si="292"/>
        <v/>
      </c>
      <c r="BH253" s="268" t="str">
        <f t="shared" si="292"/>
        <v/>
      </c>
      <c r="BI253" s="268" t="str">
        <f t="shared" si="292"/>
        <v/>
      </c>
      <c r="BJ253" s="268" t="str">
        <f t="shared" si="292"/>
        <v/>
      </c>
      <c r="BK253" s="268" t="str">
        <f t="shared" si="292"/>
        <v/>
      </c>
      <c r="BL253" s="268" t="str">
        <f t="shared" si="292"/>
        <v/>
      </c>
      <c r="BM253" s="268" t="str">
        <f t="shared" si="292"/>
        <v/>
      </c>
      <c r="BN253" s="268" t="str">
        <f t="shared" si="292"/>
        <v/>
      </c>
      <c r="BO253" s="268" t="str">
        <f t="shared" si="292"/>
        <v/>
      </c>
      <c r="BP253" s="268" t="str">
        <f t="shared" si="292"/>
        <v/>
      </c>
      <c r="BQ253" s="268" t="str">
        <f t="shared" si="292"/>
        <v/>
      </c>
      <c r="BR253" s="268" t="str">
        <f t="shared" si="292"/>
        <v/>
      </c>
      <c r="BS253" s="268" t="str">
        <f t="shared" si="292"/>
        <v/>
      </c>
      <c r="BT253" s="268" t="str">
        <f t="shared" si="292"/>
        <v/>
      </c>
      <c r="BU253" s="268" t="str">
        <f t="shared" si="222"/>
        <v/>
      </c>
      <c r="BV253" s="247">
        <v>1.6</v>
      </c>
      <c r="BW253" s="729">
        <f t="shared" si="253"/>
        <v>1056</v>
      </c>
      <c r="BX253" s="730">
        <f t="shared" si="254"/>
        <v>8184</v>
      </c>
      <c r="BY253" s="731" t="str">
        <f t="shared" si="282"/>
        <v>SR</v>
      </c>
    </row>
    <row r="254" s="698" customFormat="1" customHeight="1" spans="1:77">
      <c r="A254" s="208">
        <v>46062</v>
      </c>
      <c r="B254" s="208">
        <v>46157</v>
      </c>
      <c r="C254" s="211"/>
      <c r="D254" s="211" t="s">
        <v>509</v>
      </c>
      <c r="E254" s="211" t="s">
        <v>119</v>
      </c>
      <c r="F254" s="732">
        <v>1800</v>
      </c>
      <c r="G254" s="211" t="s">
        <v>510</v>
      </c>
      <c r="H254" s="211" t="str">
        <f>IFERROR(VLOOKUP(E254,名称!A:E,4,0),"")</f>
        <v>三代</v>
      </c>
      <c r="I254" s="268" t="str">
        <f t="shared" ref="I254:BT254" si="293">IF(OR($E254="",I$1=""),"",IF(TRIM(LEFT($E254,MIN(IFERROR(FIND("CDU",UPPER($E254)),999),IFERROR(FIND("BULK",UPPER($E254)),999),IFERROR(FIND("-",$E254),999),IFERROR(FIND("（",$E254),999))-1))=I$1,$F254,""))</f>
        <v/>
      </c>
      <c r="J254" s="268" t="str">
        <f t="shared" si="293"/>
        <v/>
      </c>
      <c r="K254" s="268" t="str">
        <f t="shared" si="293"/>
        <v/>
      </c>
      <c r="L254" s="268" t="str">
        <f t="shared" si="293"/>
        <v/>
      </c>
      <c r="M254" s="268" t="str">
        <f t="shared" si="293"/>
        <v/>
      </c>
      <c r="N254" s="268" t="str">
        <f t="shared" si="293"/>
        <v/>
      </c>
      <c r="O254" s="268" t="str">
        <f t="shared" si="293"/>
        <v/>
      </c>
      <c r="P254" s="268" t="str">
        <f t="shared" si="293"/>
        <v/>
      </c>
      <c r="Q254" s="268" t="str">
        <f t="shared" si="293"/>
        <v/>
      </c>
      <c r="R254" s="268" t="str">
        <f t="shared" si="293"/>
        <v/>
      </c>
      <c r="S254" s="268" t="str">
        <f t="shared" si="293"/>
        <v/>
      </c>
      <c r="T254" s="268" t="str">
        <f t="shared" si="293"/>
        <v/>
      </c>
      <c r="U254" s="268" t="str">
        <f t="shared" si="293"/>
        <v/>
      </c>
      <c r="V254" s="268" t="str">
        <f t="shared" si="293"/>
        <v/>
      </c>
      <c r="W254" s="268" t="str">
        <f t="shared" si="293"/>
        <v/>
      </c>
      <c r="X254" s="268" t="str">
        <f t="shared" si="293"/>
        <v/>
      </c>
      <c r="Y254" s="268" t="str">
        <f t="shared" si="293"/>
        <v/>
      </c>
      <c r="Z254" s="268" t="str">
        <f t="shared" si="293"/>
        <v/>
      </c>
      <c r="AA254" s="268" t="str">
        <f t="shared" si="293"/>
        <v/>
      </c>
      <c r="AB254" s="268" t="str">
        <f t="shared" si="293"/>
        <v/>
      </c>
      <c r="AC254" s="268" t="str">
        <f t="shared" si="293"/>
        <v/>
      </c>
      <c r="AD254" s="268" t="str">
        <f t="shared" si="293"/>
        <v/>
      </c>
      <c r="AE254" s="268" t="str">
        <f t="shared" si="293"/>
        <v/>
      </c>
      <c r="AF254" s="268" t="str">
        <f t="shared" si="293"/>
        <v/>
      </c>
      <c r="AG254" s="268" t="str">
        <f t="shared" si="293"/>
        <v/>
      </c>
      <c r="AH254" s="268" t="str">
        <f t="shared" si="293"/>
        <v/>
      </c>
      <c r="AI254" s="268" t="str">
        <f t="shared" si="293"/>
        <v/>
      </c>
      <c r="AJ254" s="268" t="str">
        <f t="shared" si="293"/>
        <v/>
      </c>
      <c r="AK254" s="268" t="str">
        <f t="shared" si="293"/>
        <v/>
      </c>
      <c r="AL254" s="268" t="str">
        <f t="shared" si="293"/>
        <v/>
      </c>
      <c r="AM254" s="268" t="str">
        <f t="shared" si="293"/>
        <v/>
      </c>
      <c r="AN254" s="268" t="str">
        <f t="shared" si="293"/>
        <v/>
      </c>
      <c r="AO254" s="268" t="str">
        <f t="shared" si="293"/>
        <v/>
      </c>
      <c r="AP254" s="268">
        <f t="shared" si="293"/>
        <v>1800</v>
      </c>
      <c r="AQ254" s="268" t="str">
        <f t="shared" si="293"/>
        <v/>
      </c>
      <c r="AR254" s="268" t="str">
        <f t="shared" si="293"/>
        <v/>
      </c>
      <c r="AS254" s="268" t="str">
        <f t="shared" si="293"/>
        <v/>
      </c>
      <c r="AT254" s="268" t="str">
        <f t="shared" si="293"/>
        <v/>
      </c>
      <c r="AU254" s="268" t="str">
        <f t="shared" si="293"/>
        <v/>
      </c>
      <c r="AV254" s="268" t="str">
        <f t="shared" si="293"/>
        <v/>
      </c>
      <c r="AW254" s="268" t="str">
        <f t="shared" si="293"/>
        <v/>
      </c>
      <c r="AX254" s="268" t="str">
        <f t="shared" si="293"/>
        <v/>
      </c>
      <c r="AY254" s="268" t="str">
        <f t="shared" si="293"/>
        <v/>
      </c>
      <c r="AZ254" s="268" t="str">
        <f t="shared" si="293"/>
        <v/>
      </c>
      <c r="BA254" s="268" t="str">
        <f t="shared" si="293"/>
        <v/>
      </c>
      <c r="BB254" s="268" t="str">
        <f t="shared" si="293"/>
        <v/>
      </c>
      <c r="BC254" s="268" t="str">
        <f t="shared" si="293"/>
        <v/>
      </c>
      <c r="BD254" s="268" t="str">
        <f t="shared" si="293"/>
        <v/>
      </c>
      <c r="BE254" s="268" t="str">
        <f t="shared" si="293"/>
        <v/>
      </c>
      <c r="BF254" s="268" t="str">
        <f t="shared" si="293"/>
        <v/>
      </c>
      <c r="BG254" s="268" t="str">
        <f t="shared" si="293"/>
        <v/>
      </c>
      <c r="BH254" s="268" t="str">
        <f t="shared" si="293"/>
        <v/>
      </c>
      <c r="BI254" s="268" t="str">
        <f t="shared" si="293"/>
        <v/>
      </c>
      <c r="BJ254" s="268" t="str">
        <f t="shared" si="293"/>
        <v/>
      </c>
      <c r="BK254" s="268" t="str">
        <f t="shared" si="293"/>
        <v/>
      </c>
      <c r="BL254" s="268" t="str">
        <f t="shared" si="293"/>
        <v/>
      </c>
      <c r="BM254" s="268" t="str">
        <f t="shared" si="293"/>
        <v/>
      </c>
      <c r="BN254" s="268" t="str">
        <f t="shared" si="293"/>
        <v/>
      </c>
      <c r="BO254" s="268" t="str">
        <f t="shared" si="293"/>
        <v/>
      </c>
      <c r="BP254" s="268" t="str">
        <f t="shared" si="293"/>
        <v/>
      </c>
      <c r="BQ254" s="268" t="str">
        <f t="shared" si="293"/>
        <v/>
      </c>
      <c r="BR254" s="268" t="str">
        <f t="shared" si="293"/>
        <v/>
      </c>
      <c r="BS254" s="268" t="str">
        <f t="shared" si="293"/>
        <v/>
      </c>
      <c r="BT254" s="268" t="str">
        <f t="shared" si="293"/>
        <v/>
      </c>
      <c r="BU254" s="268" t="str">
        <f t="shared" si="222"/>
        <v/>
      </c>
      <c r="BV254" s="247">
        <v>0.63</v>
      </c>
      <c r="BW254" s="729">
        <f t="shared" ref="BW254:BW263" si="294">SUM(I254:BU254)*BV254</f>
        <v>1134</v>
      </c>
      <c r="BX254" s="730">
        <f t="shared" ref="BX254:BX259" si="295">BW254*7.75</f>
        <v>8788.5</v>
      </c>
      <c r="BY254" s="731" t="str">
        <f t="shared" si="282"/>
        <v>SR</v>
      </c>
    </row>
    <row r="255" s="698" customFormat="1" customHeight="1" spans="1:77">
      <c r="A255" s="208">
        <v>46062</v>
      </c>
      <c r="B255" s="208">
        <v>46157</v>
      </c>
      <c r="C255" s="211"/>
      <c r="D255" s="211" t="s">
        <v>509</v>
      </c>
      <c r="E255" s="211" t="s">
        <v>125</v>
      </c>
      <c r="F255" s="732">
        <v>660</v>
      </c>
      <c r="G255" s="211" t="s">
        <v>510</v>
      </c>
      <c r="H255" s="211" t="str">
        <f>IFERROR(VLOOKUP(E255,名称!A:E,4,0),"")</f>
        <v>三代</v>
      </c>
      <c r="I255" s="268" t="str">
        <f t="shared" ref="I255:BT255" si="296">IF(OR($E255="",I$1=""),"",IF(TRIM(LEFT($E255,MIN(IFERROR(FIND("CDU",UPPER($E255)),999),IFERROR(FIND("BULK",UPPER($E255)),999),IFERROR(FIND("-",$E255),999),IFERROR(FIND("（",$E255),999))-1))=I$1,$F255,""))</f>
        <v/>
      </c>
      <c r="J255" s="268" t="str">
        <f t="shared" si="296"/>
        <v/>
      </c>
      <c r="K255" s="268" t="str">
        <f t="shared" si="296"/>
        <v/>
      </c>
      <c r="L255" s="268" t="str">
        <f t="shared" si="296"/>
        <v/>
      </c>
      <c r="M255" s="268" t="str">
        <f t="shared" si="296"/>
        <v/>
      </c>
      <c r="N255" s="268" t="str">
        <f t="shared" si="296"/>
        <v/>
      </c>
      <c r="O255" s="268" t="str">
        <f t="shared" si="296"/>
        <v/>
      </c>
      <c r="P255" s="268" t="str">
        <f t="shared" si="296"/>
        <v/>
      </c>
      <c r="Q255" s="268" t="str">
        <f t="shared" si="296"/>
        <v/>
      </c>
      <c r="R255" s="268" t="str">
        <f t="shared" si="296"/>
        <v/>
      </c>
      <c r="S255" s="268" t="str">
        <f t="shared" si="296"/>
        <v/>
      </c>
      <c r="T255" s="268" t="str">
        <f t="shared" si="296"/>
        <v/>
      </c>
      <c r="U255" s="268" t="str">
        <f t="shared" si="296"/>
        <v/>
      </c>
      <c r="V255" s="268" t="str">
        <f t="shared" si="296"/>
        <v/>
      </c>
      <c r="W255" s="268" t="str">
        <f t="shared" si="296"/>
        <v/>
      </c>
      <c r="X255" s="268" t="str">
        <f t="shared" si="296"/>
        <v/>
      </c>
      <c r="Y255" s="268" t="str">
        <f t="shared" si="296"/>
        <v/>
      </c>
      <c r="Z255" s="268" t="str">
        <f t="shared" si="296"/>
        <v/>
      </c>
      <c r="AA255" s="268" t="str">
        <f t="shared" si="296"/>
        <v/>
      </c>
      <c r="AB255" s="268" t="str">
        <f t="shared" si="296"/>
        <v/>
      </c>
      <c r="AC255" s="268" t="str">
        <f t="shared" si="296"/>
        <v/>
      </c>
      <c r="AD255" s="268" t="str">
        <f t="shared" si="296"/>
        <v/>
      </c>
      <c r="AE255" s="268" t="str">
        <f t="shared" si="296"/>
        <v/>
      </c>
      <c r="AF255" s="268" t="str">
        <f t="shared" si="296"/>
        <v/>
      </c>
      <c r="AG255" s="268" t="str">
        <f t="shared" si="296"/>
        <v/>
      </c>
      <c r="AH255" s="268" t="str">
        <f t="shared" si="296"/>
        <v/>
      </c>
      <c r="AI255" s="268" t="str">
        <f t="shared" si="296"/>
        <v/>
      </c>
      <c r="AJ255" s="268" t="str">
        <f t="shared" si="296"/>
        <v/>
      </c>
      <c r="AK255" s="268" t="str">
        <f t="shared" si="296"/>
        <v/>
      </c>
      <c r="AL255" s="268" t="str">
        <f t="shared" si="296"/>
        <v/>
      </c>
      <c r="AM255" s="268" t="str">
        <f t="shared" si="296"/>
        <v/>
      </c>
      <c r="AN255" s="268" t="str">
        <f t="shared" si="296"/>
        <v/>
      </c>
      <c r="AO255" s="268" t="str">
        <f t="shared" si="296"/>
        <v/>
      </c>
      <c r="AP255" s="268" t="str">
        <f t="shared" si="296"/>
        <v/>
      </c>
      <c r="AQ255" s="268" t="str">
        <f t="shared" si="296"/>
        <v/>
      </c>
      <c r="AR255" s="268">
        <f t="shared" si="296"/>
        <v>660</v>
      </c>
      <c r="AS255" s="268" t="str">
        <f t="shared" si="296"/>
        <v/>
      </c>
      <c r="AT255" s="268" t="str">
        <f t="shared" si="296"/>
        <v/>
      </c>
      <c r="AU255" s="268" t="str">
        <f t="shared" si="296"/>
        <v/>
      </c>
      <c r="AV255" s="268" t="str">
        <f t="shared" si="296"/>
        <v/>
      </c>
      <c r="AW255" s="268" t="str">
        <f t="shared" si="296"/>
        <v/>
      </c>
      <c r="AX255" s="268" t="str">
        <f t="shared" si="296"/>
        <v/>
      </c>
      <c r="AY255" s="268" t="str">
        <f t="shared" si="296"/>
        <v/>
      </c>
      <c r="AZ255" s="268" t="str">
        <f t="shared" si="296"/>
        <v/>
      </c>
      <c r="BA255" s="268" t="str">
        <f t="shared" si="296"/>
        <v/>
      </c>
      <c r="BB255" s="268" t="str">
        <f t="shared" si="296"/>
        <v/>
      </c>
      <c r="BC255" s="268" t="str">
        <f t="shared" si="296"/>
        <v/>
      </c>
      <c r="BD255" s="268" t="str">
        <f t="shared" si="296"/>
        <v/>
      </c>
      <c r="BE255" s="268" t="str">
        <f t="shared" si="296"/>
        <v/>
      </c>
      <c r="BF255" s="268" t="str">
        <f t="shared" si="296"/>
        <v/>
      </c>
      <c r="BG255" s="268" t="str">
        <f t="shared" si="296"/>
        <v/>
      </c>
      <c r="BH255" s="268" t="str">
        <f t="shared" si="296"/>
        <v/>
      </c>
      <c r="BI255" s="268" t="str">
        <f t="shared" si="296"/>
        <v/>
      </c>
      <c r="BJ255" s="268" t="str">
        <f t="shared" si="296"/>
        <v/>
      </c>
      <c r="BK255" s="268" t="str">
        <f t="shared" si="296"/>
        <v/>
      </c>
      <c r="BL255" s="268" t="str">
        <f t="shared" si="296"/>
        <v/>
      </c>
      <c r="BM255" s="268" t="str">
        <f t="shared" si="296"/>
        <v/>
      </c>
      <c r="BN255" s="268" t="str">
        <f t="shared" si="296"/>
        <v/>
      </c>
      <c r="BO255" s="268" t="str">
        <f t="shared" si="296"/>
        <v/>
      </c>
      <c r="BP255" s="268" t="str">
        <f t="shared" si="296"/>
        <v/>
      </c>
      <c r="BQ255" s="268" t="str">
        <f t="shared" si="296"/>
        <v/>
      </c>
      <c r="BR255" s="268" t="str">
        <f t="shared" si="296"/>
        <v/>
      </c>
      <c r="BS255" s="268" t="str">
        <f t="shared" si="296"/>
        <v/>
      </c>
      <c r="BT255" s="268" t="str">
        <f t="shared" si="296"/>
        <v/>
      </c>
      <c r="BU255" s="268" t="str">
        <f t="shared" si="222"/>
        <v/>
      </c>
      <c r="BV255" s="247">
        <v>1.6</v>
      </c>
      <c r="BW255" s="729">
        <f t="shared" si="294"/>
        <v>1056</v>
      </c>
      <c r="BX255" s="730">
        <f t="shared" si="295"/>
        <v>8184</v>
      </c>
      <c r="BY255" s="731" t="str">
        <f t="shared" si="282"/>
        <v>SR</v>
      </c>
    </row>
    <row r="256" s="698" customFormat="1" customHeight="1" spans="1:77">
      <c r="A256" s="208">
        <v>46062</v>
      </c>
      <c r="B256" s="208">
        <v>46157</v>
      </c>
      <c r="C256" s="211"/>
      <c r="D256" s="211" t="s">
        <v>509</v>
      </c>
      <c r="E256" s="211" t="s">
        <v>66</v>
      </c>
      <c r="F256" s="732">
        <v>1980</v>
      </c>
      <c r="G256" s="211" t="s">
        <v>510</v>
      </c>
      <c r="H256" s="211" t="str">
        <f>IFERROR(VLOOKUP(E256,名称!A:E,4,0),"")</f>
        <v>三代</v>
      </c>
      <c r="I256" s="268" t="str">
        <f t="shared" ref="I256:BT256" si="297">IF(OR($E256="",I$1=""),"",IF(TRIM(LEFT($E256,MIN(IFERROR(FIND("CDU",UPPER($E256)),999),IFERROR(FIND("BULK",UPPER($E256)),999),IFERROR(FIND("-",$E256),999),IFERROR(FIND("（",$E256),999))-1))=I$1,$F256,""))</f>
        <v/>
      </c>
      <c r="J256" s="268" t="str">
        <f t="shared" si="297"/>
        <v/>
      </c>
      <c r="K256" s="268" t="str">
        <f t="shared" si="297"/>
        <v/>
      </c>
      <c r="L256" s="268" t="str">
        <f t="shared" si="297"/>
        <v/>
      </c>
      <c r="M256" s="268" t="str">
        <f t="shared" si="297"/>
        <v/>
      </c>
      <c r="N256" s="268" t="str">
        <f t="shared" si="297"/>
        <v/>
      </c>
      <c r="O256" s="268" t="str">
        <f t="shared" si="297"/>
        <v/>
      </c>
      <c r="P256" s="268" t="str">
        <f t="shared" si="297"/>
        <v/>
      </c>
      <c r="Q256" s="268" t="str">
        <f t="shared" si="297"/>
        <v/>
      </c>
      <c r="R256" s="268" t="str">
        <f t="shared" si="297"/>
        <v/>
      </c>
      <c r="S256" s="268" t="str">
        <f t="shared" si="297"/>
        <v/>
      </c>
      <c r="T256" s="268" t="str">
        <f t="shared" si="297"/>
        <v/>
      </c>
      <c r="U256" s="268" t="str">
        <f t="shared" si="297"/>
        <v/>
      </c>
      <c r="V256" s="268" t="str">
        <f t="shared" si="297"/>
        <v/>
      </c>
      <c r="W256" s="268" t="str">
        <f t="shared" si="297"/>
        <v/>
      </c>
      <c r="X256" s="268" t="str">
        <f t="shared" si="297"/>
        <v/>
      </c>
      <c r="Y256" s="268" t="str">
        <f t="shared" si="297"/>
        <v/>
      </c>
      <c r="Z256" s="268" t="str">
        <f t="shared" si="297"/>
        <v/>
      </c>
      <c r="AA256" s="268" t="str">
        <f t="shared" si="297"/>
        <v/>
      </c>
      <c r="AB256" s="268" t="str">
        <f t="shared" si="297"/>
        <v/>
      </c>
      <c r="AC256" s="268" t="str">
        <f t="shared" si="297"/>
        <v/>
      </c>
      <c r="AD256" s="268" t="str">
        <f t="shared" si="297"/>
        <v/>
      </c>
      <c r="AE256" s="268" t="str">
        <f t="shared" si="297"/>
        <v/>
      </c>
      <c r="AF256" s="268" t="str">
        <f t="shared" si="297"/>
        <v/>
      </c>
      <c r="AG256" s="268">
        <f t="shared" si="297"/>
        <v>1980</v>
      </c>
      <c r="AH256" s="268" t="str">
        <f t="shared" si="297"/>
        <v/>
      </c>
      <c r="AI256" s="268" t="str">
        <f t="shared" si="297"/>
        <v/>
      </c>
      <c r="AJ256" s="268" t="str">
        <f t="shared" si="297"/>
        <v/>
      </c>
      <c r="AK256" s="268" t="str">
        <f t="shared" si="297"/>
        <v/>
      </c>
      <c r="AL256" s="268" t="str">
        <f t="shared" si="297"/>
        <v/>
      </c>
      <c r="AM256" s="268" t="str">
        <f t="shared" si="297"/>
        <v/>
      </c>
      <c r="AN256" s="268" t="str">
        <f t="shared" si="297"/>
        <v/>
      </c>
      <c r="AO256" s="268" t="str">
        <f t="shared" si="297"/>
        <v/>
      </c>
      <c r="AP256" s="268" t="str">
        <f t="shared" si="297"/>
        <v/>
      </c>
      <c r="AQ256" s="268" t="str">
        <f t="shared" si="297"/>
        <v/>
      </c>
      <c r="AR256" s="268" t="str">
        <f t="shared" si="297"/>
        <v/>
      </c>
      <c r="AS256" s="268" t="str">
        <f t="shared" si="297"/>
        <v/>
      </c>
      <c r="AT256" s="268" t="str">
        <f t="shared" si="297"/>
        <v/>
      </c>
      <c r="AU256" s="268" t="str">
        <f t="shared" si="297"/>
        <v/>
      </c>
      <c r="AV256" s="268" t="str">
        <f t="shared" si="297"/>
        <v/>
      </c>
      <c r="AW256" s="268" t="str">
        <f t="shared" si="297"/>
        <v/>
      </c>
      <c r="AX256" s="268" t="str">
        <f t="shared" si="297"/>
        <v/>
      </c>
      <c r="AY256" s="268" t="str">
        <f t="shared" si="297"/>
        <v/>
      </c>
      <c r="AZ256" s="268" t="str">
        <f t="shared" si="297"/>
        <v/>
      </c>
      <c r="BA256" s="268" t="str">
        <f t="shared" si="297"/>
        <v/>
      </c>
      <c r="BB256" s="268" t="str">
        <f t="shared" si="297"/>
        <v/>
      </c>
      <c r="BC256" s="268" t="str">
        <f t="shared" si="297"/>
        <v/>
      </c>
      <c r="BD256" s="268" t="str">
        <f t="shared" si="297"/>
        <v/>
      </c>
      <c r="BE256" s="268" t="str">
        <f t="shared" si="297"/>
        <v/>
      </c>
      <c r="BF256" s="268" t="str">
        <f t="shared" si="297"/>
        <v/>
      </c>
      <c r="BG256" s="268" t="str">
        <f t="shared" si="297"/>
        <v/>
      </c>
      <c r="BH256" s="268" t="str">
        <f t="shared" si="297"/>
        <v/>
      </c>
      <c r="BI256" s="268" t="str">
        <f t="shared" si="297"/>
        <v/>
      </c>
      <c r="BJ256" s="268" t="str">
        <f t="shared" si="297"/>
        <v/>
      </c>
      <c r="BK256" s="268" t="str">
        <f t="shared" si="297"/>
        <v/>
      </c>
      <c r="BL256" s="268" t="str">
        <f t="shared" si="297"/>
        <v/>
      </c>
      <c r="BM256" s="268" t="str">
        <f t="shared" si="297"/>
        <v/>
      </c>
      <c r="BN256" s="268" t="str">
        <f t="shared" si="297"/>
        <v/>
      </c>
      <c r="BO256" s="268" t="str">
        <f t="shared" si="297"/>
        <v/>
      </c>
      <c r="BP256" s="268" t="str">
        <f t="shared" si="297"/>
        <v/>
      </c>
      <c r="BQ256" s="268" t="str">
        <f t="shared" si="297"/>
        <v/>
      </c>
      <c r="BR256" s="268" t="str">
        <f t="shared" si="297"/>
        <v/>
      </c>
      <c r="BS256" s="268" t="str">
        <f t="shared" si="297"/>
        <v/>
      </c>
      <c r="BT256" s="268" t="str">
        <f t="shared" si="297"/>
        <v/>
      </c>
      <c r="BU256" s="268" t="str">
        <f t="shared" si="222"/>
        <v/>
      </c>
      <c r="BV256" s="247">
        <v>2.04</v>
      </c>
      <c r="BW256" s="729">
        <f t="shared" si="294"/>
        <v>4039.2</v>
      </c>
      <c r="BX256" s="730">
        <f t="shared" si="295"/>
        <v>31303.8</v>
      </c>
      <c r="BY256" s="731" t="str">
        <f t="shared" si="282"/>
        <v>SR</v>
      </c>
    </row>
    <row r="257" s="698" customFormat="1" customHeight="1" spans="1:77">
      <c r="A257" s="208">
        <v>46062</v>
      </c>
      <c r="B257" s="208">
        <v>46157</v>
      </c>
      <c r="C257" s="211"/>
      <c r="D257" s="211" t="s">
        <v>509</v>
      </c>
      <c r="E257" s="211" t="s">
        <v>63</v>
      </c>
      <c r="F257" s="732">
        <v>1440</v>
      </c>
      <c r="G257" s="211" t="s">
        <v>510</v>
      </c>
      <c r="H257" s="211" t="str">
        <f>IFERROR(VLOOKUP(E257,名称!A:E,4,0),"")</f>
        <v>三代</v>
      </c>
      <c r="I257" s="268" t="str">
        <f t="shared" ref="I257:BT257" si="298">IF(OR($E257="",I$1=""),"",IF(TRIM(LEFT($E257,MIN(IFERROR(FIND("CDU",UPPER($E257)),999),IFERROR(FIND("BULK",UPPER($E257)),999),IFERROR(FIND("-",$E257),999),IFERROR(FIND("（",$E257),999))-1))=I$1,$F257,""))</f>
        <v/>
      </c>
      <c r="J257" s="268" t="str">
        <f t="shared" si="298"/>
        <v/>
      </c>
      <c r="K257" s="268" t="str">
        <f t="shared" si="298"/>
        <v/>
      </c>
      <c r="L257" s="268" t="str">
        <f t="shared" si="298"/>
        <v/>
      </c>
      <c r="M257" s="268" t="str">
        <f t="shared" si="298"/>
        <v/>
      </c>
      <c r="N257" s="268" t="str">
        <f t="shared" si="298"/>
        <v/>
      </c>
      <c r="O257" s="268" t="str">
        <f t="shared" si="298"/>
        <v/>
      </c>
      <c r="P257" s="268" t="str">
        <f t="shared" si="298"/>
        <v/>
      </c>
      <c r="Q257" s="268" t="str">
        <f t="shared" si="298"/>
        <v/>
      </c>
      <c r="R257" s="268" t="str">
        <f t="shared" si="298"/>
        <v/>
      </c>
      <c r="S257" s="268" t="str">
        <f t="shared" si="298"/>
        <v/>
      </c>
      <c r="T257" s="268" t="str">
        <f t="shared" si="298"/>
        <v/>
      </c>
      <c r="U257" s="268" t="str">
        <f t="shared" si="298"/>
        <v/>
      </c>
      <c r="V257" s="268" t="str">
        <f t="shared" si="298"/>
        <v/>
      </c>
      <c r="W257" s="268" t="str">
        <f t="shared" si="298"/>
        <v/>
      </c>
      <c r="X257" s="268" t="str">
        <f t="shared" si="298"/>
        <v/>
      </c>
      <c r="Y257" s="268" t="str">
        <f t="shared" si="298"/>
        <v/>
      </c>
      <c r="Z257" s="268" t="str">
        <f t="shared" si="298"/>
        <v/>
      </c>
      <c r="AA257" s="268" t="str">
        <f t="shared" si="298"/>
        <v/>
      </c>
      <c r="AB257" s="268" t="str">
        <f t="shared" si="298"/>
        <v/>
      </c>
      <c r="AC257" s="268" t="str">
        <f t="shared" si="298"/>
        <v/>
      </c>
      <c r="AD257" s="268" t="str">
        <f t="shared" si="298"/>
        <v/>
      </c>
      <c r="AE257" s="268" t="str">
        <f t="shared" si="298"/>
        <v/>
      </c>
      <c r="AF257" s="268">
        <f t="shared" si="298"/>
        <v>1440</v>
      </c>
      <c r="AG257" s="268" t="str">
        <f t="shared" si="298"/>
        <v/>
      </c>
      <c r="AH257" s="268" t="str">
        <f t="shared" si="298"/>
        <v/>
      </c>
      <c r="AI257" s="268" t="str">
        <f t="shared" si="298"/>
        <v/>
      </c>
      <c r="AJ257" s="268" t="str">
        <f t="shared" si="298"/>
        <v/>
      </c>
      <c r="AK257" s="268" t="str">
        <f t="shared" si="298"/>
        <v/>
      </c>
      <c r="AL257" s="268" t="str">
        <f t="shared" si="298"/>
        <v/>
      </c>
      <c r="AM257" s="268" t="str">
        <f t="shared" si="298"/>
        <v/>
      </c>
      <c r="AN257" s="268" t="str">
        <f t="shared" si="298"/>
        <v/>
      </c>
      <c r="AO257" s="268" t="str">
        <f t="shared" si="298"/>
        <v/>
      </c>
      <c r="AP257" s="268" t="str">
        <f t="shared" si="298"/>
        <v/>
      </c>
      <c r="AQ257" s="268" t="str">
        <f t="shared" si="298"/>
        <v/>
      </c>
      <c r="AR257" s="268" t="str">
        <f t="shared" si="298"/>
        <v/>
      </c>
      <c r="AS257" s="268" t="str">
        <f t="shared" si="298"/>
        <v/>
      </c>
      <c r="AT257" s="268" t="str">
        <f t="shared" si="298"/>
        <v/>
      </c>
      <c r="AU257" s="268" t="str">
        <f t="shared" si="298"/>
        <v/>
      </c>
      <c r="AV257" s="268" t="str">
        <f t="shared" si="298"/>
        <v/>
      </c>
      <c r="AW257" s="268" t="str">
        <f t="shared" si="298"/>
        <v/>
      </c>
      <c r="AX257" s="268" t="str">
        <f t="shared" si="298"/>
        <v/>
      </c>
      <c r="AY257" s="268" t="str">
        <f t="shared" si="298"/>
        <v/>
      </c>
      <c r="AZ257" s="268" t="str">
        <f t="shared" si="298"/>
        <v/>
      </c>
      <c r="BA257" s="268" t="str">
        <f t="shared" si="298"/>
        <v/>
      </c>
      <c r="BB257" s="268" t="str">
        <f t="shared" si="298"/>
        <v/>
      </c>
      <c r="BC257" s="268" t="str">
        <f t="shared" si="298"/>
        <v/>
      </c>
      <c r="BD257" s="268" t="str">
        <f t="shared" si="298"/>
        <v/>
      </c>
      <c r="BE257" s="268" t="str">
        <f t="shared" si="298"/>
        <v/>
      </c>
      <c r="BF257" s="268" t="str">
        <f t="shared" si="298"/>
        <v/>
      </c>
      <c r="BG257" s="268" t="str">
        <f t="shared" si="298"/>
        <v/>
      </c>
      <c r="BH257" s="268" t="str">
        <f t="shared" si="298"/>
        <v/>
      </c>
      <c r="BI257" s="268" t="str">
        <f t="shared" si="298"/>
        <v/>
      </c>
      <c r="BJ257" s="268" t="str">
        <f t="shared" si="298"/>
        <v/>
      </c>
      <c r="BK257" s="268" t="str">
        <f t="shared" si="298"/>
        <v/>
      </c>
      <c r="BL257" s="268" t="str">
        <f t="shared" si="298"/>
        <v/>
      </c>
      <c r="BM257" s="268" t="str">
        <f t="shared" si="298"/>
        <v/>
      </c>
      <c r="BN257" s="268" t="str">
        <f t="shared" si="298"/>
        <v/>
      </c>
      <c r="BO257" s="268" t="str">
        <f t="shared" si="298"/>
        <v/>
      </c>
      <c r="BP257" s="268" t="str">
        <f t="shared" si="298"/>
        <v/>
      </c>
      <c r="BQ257" s="268" t="str">
        <f t="shared" si="298"/>
        <v/>
      </c>
      <c r="BR257" s="268" t="str">
        <f t="shared" si="298"/>
        <v/>
      </c>
      <c r="BS257" s="268" t="str">
        <f t="shared" si="298"/>
        <v/>
      </c>
      <c r="BT257" s="268" t="str">
        <f t="shared" si="298"/>
        <v/>
      </c>
      <c r="BU257" s="268" t="str">
        <f t="shared" si="222"/>
        <v/>
      </c>
      <c r="BV257" s="247">
        <v>0.64</v>
      </c>
      <c r="BW257" s="729">
        <f t="shared" si="294"/>
        <v>921.6</v>
      </c>
      <c r="BX257" s="730">
        <f t="shared" si="295"/>
        <v>7142.4</v>
      </c>
      <c r="BY257" s="731" t="str">
        <f t="shared" si="282"/>
        <v>SR</v>
      </c>
    </row>
    <row r="258" s="698" customFormat="1" customHeight="1" spans="1:77">
      <c r="A258" s="208">
        <v>46062</v>
      </c>
      <c r="B258" s="208">
        <v>46157</v>
      </c>
      <c r="C258" s="211"/>
      <c r="D258" s="211" t="s">
        <v>509</v>
      </c>
      <c r="E258" s="211" t="s">
        <v>95</v>
      </c>
      <c r="F258" s="732">
        <v>340</v>
      </c>
      <c r="G258" s="211" t="s">
        <v>510</v>
      </c>
      <c r="H258" s="211" t="str">
        <f>IFERROR(VLOOKUP(E258,名称!A:E,4,0),"")</f>
        <v>三代</v>
      </c>
      <c r="I258" s="268" t="str">
        <f t="shared" ref="I258:BT258" si="299">IF(OR($E258="",I$1=""),"",IF(TRIM(LEFT($E258,MIN(IFERROR(FIND("CDU",UPPER($E258)),999),IFERROR(FIND("BULK",UPPER($E258)),999),IFERROR(FIND("-",$E258),999),IFERROR(FIND("（",$E258),999))-1))=I$1,$F258,""))</f>
        <v/>
      </c>
      <c r="J258" s="268" t="str">
        <f t="shared" si="299"/>
        <v/>
      </c>
      <c r="K258" s="268" t="str">
        <f t="shared" si="299"/>
        <v/>
      </c>
      <c r="L258" s="268" t="str">
        <f t="shared" si="299"/>
        <v/>
      </c>
      <c r="M258" s="268" t="str">
        <f t="shared" si="299"/>
        <v/>
      </c>
      <c r="N258" s="268" t="str">
        <f t="shared" si="299"/>
        <v/>
      </c>
      <c r="O258" s="268" t="str">
        <f t="shared" si="299"/>
        <v/>
      </c>
      <c r="P258" s="268" t="str">
        <f t="shared" si="299"/>
        <v/>
      </c>
      <c r="Q258" s="268" t="str">
        <f t="shared" si="299"/>
        <v/>
      </c>
      <c r="R258" s="268" t="str">
        <f t="shared" si="299"/>
        <v/>
      </c>
      <c r="S258" s="268" t="str">
        <f t="shared" si="299"/>
        <v/>
      </c>
      <c r="T258" s="268" t="str">
        <f t="shared" si="299"/>
        <v/>
      </c>
      <c r="U258" s="268" t="str">
        <f t="shared" si="299"/>
        <v/>
      </c>
      <c r="V258" s="268" t="str">
        <f t="shared" si="299"/>
        <v/>
      </c>
      <c r="W258" s="268" t="str">
        <f t="shared" si="299"/>
        <v/>
      </c>
      <c r="X258" s="268" t="str">
        <f t="shared" si="299"/>
        <v/>
      </c>
      <c r="Y258" s="268" t="str">
        <f t="shared" si="299"/>
        <v/>
      </c>
      <c r="Z258" s="268" t="str">
        <f t="shared" si="299"/>
        <v/>
      </c>
      <c r="AA258" s="268" t="str">
        <f t="shared" si="299"/>
        <v/>
      </c>
      <c r="AB258" s="268" t="str">
        <f t="shared" si="299"/>
        <v/>
      </c>
      <c r="AC258" s="268" t="str">
        <f t="shared" si="299"/>
        <v/>
      </c>
      <c r="AD258" s="268" t="str">
        <f t="shared" si="299"/>
        <v/>
      </c>
      <c r="AE258" s="268" t="str">
        <f t="shared" si="299"/>
        <v/>
      </c>
      <c r="AF258" s="268" t="str">
        <f t="shared" si="299"/>
        <v/>
      </c>
      <c r="AG258" s="268" t="str">
        <f t="shared" si="299"/>
        <v/>
      </c>
      <c r="AH258" s="268" t="str">
        <f t="shared" si="299"/>
        <v/>
      </c>
      <c r="AI258" s="268" t="str">
        <f t="shared" si="299"/>
        <v/>
      </c>
      <c r="AJ258" s="268" t="str">
        <f t="shared" si="299"/>
        <v/>
      </c>
      <c r="AK258" s="268" t="str">
        <f t="shared" si="299"/>
        <v/>
      </c>
      <c r="AL258" s="268" t="str">
        <f t="shared" si="299"/>
        <v/>
      </c>
      <c r="AM258" s="268" t="str">
        <f t="shared" si="299"/>
        <v/>
      </c>
      <c r="AN258" s="268" t="str">
        <f t="shared" si="299"/>
        <v/>
      </c>
      <c r="AO258" s="268" t="str">
        <f t="shared" si="299"/>
        <v/>
      </c>
      <c r="AP258" s="268" t="str">
        <f t="shared" si="299"/>
        <v/>
      </c>
      <c r="AQ258" s="268" t="str">
        <f t="shared" si="299"/>
        <v/>
      </c>
      <c r="AR258" s="268" t="str">
        <f t="shared" si="299"/>
        <v/>
      </c>
      <c r="AS258" s="268" t="str">
        <f t="shared" si="299"/>
        <v/>
      </c>
      <c r="AT258" s="268" t="str">
        <f t="shared" si="299"/>
        <v/>
      </c>
      <c r="AU258" s="268" t="str">
        <f t="shared" si="299"/>
        <v/>
      </c>
      <c r="AV258" s="268" t="str">
        <f t="shared" si="299"/>
        <v/>
      </c>
      <c r="AW258" s="268" t="str">
        <f t="shared" si="299"/>
        <v/>
      </c>
      <c r="AX258" s="268" t="str">
        <f t="shared" si="299"/>
        <v/>
      </c>
      <c r="AY258" s="268" t="str">
        <f t="shared" si="299"/>
        <v/>
      </c>
      <c r="AZ258" s="268">
        <f t="shared" si="299"/>
        <v>340</v>
      </c>
      <c r="BA258" s="268" t="str">
        <f t="shared" si="299"/>
        <v/>
      </c>
      <c r="BB258" s="268" t="str">
        <f t="shared" si="299"/>
        <v/>
      </c>
      <c r="BC258" s="268" t="str">
        <f t="shared" si="299"/>
        <v/>
      </c>
      <c r="BD258" s="268" t="str">
        <f t="shared" si="299"/>
        <v/>
      </c>
      <c r="BE258" s="268" t="str">
        <f t="shared" si="299"/>
        <v/>
      </c>
      <c r="BF258" s="268" t="str">
        <f t="shared" si="299"/>
        <v/>
      </c>
      <c r="BG258" s="268" t="str">
        <f t="shared" si="299"/>
        <v/>
      </c>
      <c r="BH258" s="268" t="str">
        <f t="shared" si="299"/>
        <v/>
      </c>
      <c r="BI258" s="268" t="str">
        <f t="shared" si="299"/>
        <v/>
      </c>
      <c r="BJ258" s="268" t="str">
        <f t="shared" si="299"/>
        <v/>
      </c>
      <c r="BK258" s="268" t="str">
        <f t="shared" si="299"/>
        <v/>
      </c>
      <c r="BL258" s="268" t="str">
        <f t="shared" si="299"/>
        <v/>
      </c>
      <c r="BM258" s="268" t="str">
        <f t="shared" si="299"/>
        <v/>
      </c>
      <c r="BN258" s="268" t="str">
        <f t="shared" si="299"/>
        <v/>
      </c>
      <c r="BO258" s="268" t="str">
        <f t="shared" si="299"/>
        <v/>
      </c>
      <c r="BP258" s="268" t="str">
        <f t="shared" si="299"/>
        <v/>
      </c>
      <c r="BQ258" s="268" t="str">
        <f t="shared" si="299"/>
        <v/>
      </c>
      <c r="BR258" s="268" t="str">
        <f t="shared" si="299"/>
        <v/>
      </c>
      <c r="BS258" s="268" t="str">
        <f t="shared" si="299"/>
        <v/>
      </c>
      <c r="BT258" s="268" t="str">
        <f t="shared" si="299"/>
        <v/>
      </c>
      <c r="BU258" s="268" t="str">
        <f t="shared" si="222"/>
        <v/>
      </c>
      <c r="BV258" s="247">
        <v>3.12</v>
      </c>
      <c r="BW258" s="729">
        <f t="shared" si="294"/>
        <v>1060.8</v>
      </c>
      <c r="BX258" s="730">
        <f t="shared" si="295"/>
        <v>8221.2</v>
      </c>
      <c r="BY258" s="731" t="str">
        <f t="shared" si="282"/>
        <v>SR</v>
      </c>
    </row>
    <row r="259" s="698" customFormat="1" customHeight="1" spans="1:77">
      <c r="A259" s="208">
        <v>46077</v>
      </c>
      <c r="B259" s="208">
        <v>46153</v>
      </c>
      <c r="C259" s="211">
        <v>21011643</v>
      </c>
      <c r="D259" s="211" t="s">
        <v>511</v>
      </c>
      <c r="E259" s="211" t="s">
        <v>99</v>
      </c>
      <c r="F259" s="732">
        <v>7080</v>
      </c>
      <c r="G259" s="211" t="s">
        <v>510</v>
      </c>
      <c r="H259" s="211" t="str">
        <f>IFERROR(VLOOKUP(E259,名称!A:E,4,0),"")</f>
        <v>三代</v>
      </c>
      <c r="I259" s="268" t="str">
        <f t="shared" ref="I259:BT259" si="300">IF(OR($E259="",I$1=""),"",IF(TRIM(LEFT($E259,MIN(IFERROR(FIND("CDU",UPPER($E259)),999),IFERROR(FIND("BULK",UPPER($E259)),999),IFERROR(FIND("-",$E259),999),IFERROR(FIND("（",$E259),999))-1))=I$1,$F259,""))</f>
        <v/>
      </c>
      <c r="J259" s="268" t="str">
        <f t="shared" si="300"/>
        <v/>
      </c>
      <c r="K259" s="268" t="str">
        <f t="shared" si="300"/>
        <v/>
      </c>
      <c r="L259" s="268" t="str">
        <f t="shared" si="300"/>
        <v/>
      </c>
      <c r="M259" s="268" t="str">
        <f t="shared" si="300"/>
        <v/>
      </c>
      <c r="N259" s="268" t="str">
        <f t="shared" si="300"/>
        <v/>
      </c>
      <c r="O259" s="268" t="str">
        <f t="shared" si="300"/>
        <v/>
      </c>
      <c r="P259" s="268" t="str">
        <f t="shared" si="300"/>
        <v/>
      </c>
      <c r="Q259" s="268" t="str">
        <f t="shared" si="300"/>
        <v/>
      </c>
      <c r="R259" s="268" t="str">
        <f t="shared" si="300"/>
        <v/>
      </c>
      <c r="S259" s="268" t="str">
        <f t="shared" si="300"/>
        <v/>
      </c>
      <c r="T259" s="268" t="str">
        <f t="shared" si="300"/>
        <v/>
      </c>
      <c r="U259" s="268" t="str">
        <f t="shared" si="300"/>
        <v/>
      </c>
      <c r="V259" s="268" t="str">
        <f t="shared" si="300"/>
        <v/>
      </c>
      <c r="W259" s="268" t="str">
        <f t="shared" si="300"/>
        <v/>
      </c>
      <c r="X259" s="268" t="str">
        <f t="shared" si="300"/>
        <v/>
      </c>
      <c r="Y259" s="268" t="str">
        <f t="shared" si="300"/>
        <v/>
      </c>
      <c r="Z259" s="268" t="str">
        <f t="shared" si="300"/>
        <v/>
      </c>
      <c r="AA259" s="268" t="str">
        <f t="shared" si="300"/>
        <v/>
      </c>
      <c r="AB259" s="268" t="str">
        <f t="shared" si="300"/>
        <v/>
      </c>
      <c r="AC259" s="268">
        <f t="shared" si="300"/>
        <v>7080</v>
      </c>
      <c r="AD259" s="268" t="str">
        <f t="shared" si="300"/>
        <v/>
      </c>
      <c r="AE259" s="268" t="str">
        <f t="shared" si="300"/>
        <v/>
      </c>
      <c r="AF259" s="268" t="str">
        <f t="shared" si="300"/>
        <v/>
      </c>
      <c r="AG259" s="268" t="str">
        <f t="shared" si="300"/>
        <v/>
      </c>
      <c r="AH259" s="268" t="str">
        <f t="shared" si="300"/>
        <v/>
      </c>
      <c r="AI259" s="268" t="str">
        <f t="shared" si="300"/>
        <v/>
      </c>
      <c r="AJ259" s="268" t="str">
        <f t="shared" si="300"/>
        <v/>
      </c>
      <c r="AK259" s="268" t="str">
        <f t="shared" si="300"/>
        <v/>
      </c>
      <c r="AL259" s="268" t="str">
        <f t="shared" si="300"/>
        <v/>
      </c>
      <c r="AM259" s="268" t="str">
        <f t="shared" si="300"/>
        <v/>
      </c>
      <c r="AN259" s="268" t="str">
        <f t="shared" si="300"/>
        <v/>
      </c>
      <c r="AO259" s="268" t="str">
        <f t="shared" si="300"/>
        <v/>
      </c>
      <c r="AP259" s="268" t="str">
        <f t="shared" si="300"/>
        <v/>
      </c>
      <c r="AQ259" s="268" t="str">
        <f t="shared" si="300"/>
        <v/>
      </c>
      <c r="AR259" s="268" t="str">
        <f t="shared" si="300"/>
        <v/>
      </c>
      <c r="AS259" s="268" t="str">
        <f t="shared" si="300"/>
        <v/>
      </c>
      <c r="AT259" s="268" t="str">
        <f t="shared" si="300"/>
        <v/>
      </c>
      <c r="AU259" s="268" t="str">
        <f t="shared" si="300"/>
        <v/>
      </c>
      <c r="AV259" s="268" t="str">
        <f t="shared" si="300"/>
        <v/>
      </c>
      <c r="AW259" s="268" t="str">
        <f t="shared" si="300"/>
        <v/>
      </c>
      <c r="AX259" s="268" t="str">
        <f t="shared" si="300"/>
        <v/>
      </c>
      <c r="AY259" s="268" t="str">
        <f t="shared" si="300"/>
        <v/>
      </c>
      <c r="AZ259" s="268" t="str">
        <f t="shared" si="300"/>
        <v/>
      </c>
      <c r="BA259" s="268" t="str">
        <f t="shared" si="300"/>
        <v/>
      </c>
      <c r="BB259" s="268" t="str">
        <f t="shared" si="300"/>
        <v/>
      </c>
      <c r="BC259" s="268" t="str">
        <f t="shared" si="300"/>
        <v/>
      </c>
      <c r="BD259" s="268" t="str">
        <f t="shared" si="300"/>
        <v/>
      </c>
      <c r="BE259" s="268" t="str">
        <f t="shared" si="300"/>
        <v/>
      </c>
      <c r="BF259" s="268" t="str">
        <f t="shared" si="300"/>
        <v/>
      </c>
      <c r="BG259" s="268" t="str">
        <f t="shared" si="300"/>
        <v/>
      </c>
      <c r="BH259" s="268" t="str">
        <f t="shared" si="300"/>
        <v/>
      </c>
      <c r="BI259" s="268" t="str">
        <f t="shared" si="300"/>
        <v/>
      </c>
      <c r="BJ259" s="268" t="str">
        <f t="shared" si="300"/>
        <v/>
      </c>
      <c r="BK259" s="268" t="str">
        <f t="shared" si="300"/>
        <v/>
      </c>
      <c r="BL259" s="268" t="str">
        <f t="shared" si="300"/>
        <v/>
      </c>
      <c r="BM259" s="268" t="str">
        <f t="shared" si="300"/>
        <v/>
      </c>
      <c r="BN259" s="268" t="str">
        <f t="shared" si="300"/>
        <v/>
      </c>
      <c r="BO259" s="268" t="str">
        <f t="shared" si="300"/>
        <v/>
      </c>
      <c r="BP259" s="268" t="str">
        <f t="shared" si="300"/>
        <v/>
      </c>
      <c r="BQ259" s="268" t="str">
        <f t="shared" si="300"/>
        <v/>
      </c>
      <c r="BR259" s="268" t="str">
        <f t="shared" si="300"/>
        <v/>
      </c>
      <c r="BS259" s="268" t="str">
        <f t="shared" si="300"/>
        <v/>
      </c>
      <c r="BT259" s="268" t="str">
        <f t="shared" si="300"/>
        <v/>
      </c>
      <c r="BU259" s="268" t="str">
        <f t="shared" ref="BU259:BU272" si="301">IF(OR($E259="",BU$1=""),"",IF(TRIM(LEFT($E259,MIN(IFERROR(FIND("CDU",UPPER($E259)),999),IFERROR(FIND("BULK",UPPER($E259)),999),IFERROR(FIND("-",$E259),999),IFERROR(FIND("（",$E259),999))-1))=BU$1,$F259,""))</f>
        <v/>
      </c>
      <c r="BV259" s="247">
        <v>0.92</v>
      </c>
      <c r="BW259" s="729">
        <f t="shared" si="294"/>
        <v>6513.6</v>
      </c>
      <c r="BX259" s="730">
        <f t="shared" si="295"/>
        <v>50480.4</v>
      </c>
      <c r="BY259" s="731" t="str">
        <f t="shared" si="282"/>
        <v>SR</v>
      </c>
    </row>
    <row r="260" s="698" customFormat="1" customHeight="1" spans="1:77">
      <c r="A260" s="208">
        <v>46077</v>
      </c>
      <c r="B260" s="208">
        <v>46153</v>
      </c>
      <c r="C260" s="211">
        <v>21011643</v>
      </c>
      <c r="D260" s="211" t="s">
        <v>511</v>
      </c>
      <c r="E260" s="211" t="s">
        <v>99</v>
      </c>
      <c r="F260" s="732">
        <f>19080-7080</f>
        <v>12000</v>
      </c>
      <c r="G260" s="211" t="s">
        <v>510</v>
      </c>
      <c r="H260" s="211" t="str">
        <f>IFERROR(VLOOKUP(E260,名称!A:E,4,0),"")</f>
        <v>三代</v>
      </c>
      <c r="I260" s="268" t="str">
        <f t="shared" ref="I260:BT260" si="302">IF(OR($E260="",I$1=""),"",IF(TRIM(LEFT($E260,MIN(IFERROR(FIND("CDU",UPPER($E260)),999),IFERROR(FIND("BULK",UPPER($E260)),999),IFERROR(FIND("-",$E260),999),IFERROR(FIND("（",$E260),999))-1))=I$1,$F260,""))</f>
        <v/>
      </c>
      <c r="J260" s="268" t="str">
        <f t="shared" si="302"/>
        <v/>
      </c>
      <c r="K260" s="268" t="str">
        <f t="shared" si="302"/>
        <v/>
      </c>
      <c r="L260" s="268" t="str">
        <f t="shared" si="302"/>
        <v/>
      </c>
      <c r="M260" s="268" t="str">
        <f t="shared" si="302"/>
        <v/>
      </c>
      <c r="N260" s="268" t="str">
        <f t="shared" si="302"/>
        <v/>
      </c>
      <c r="O260" s="268" t="str">
        <f t="shared" si="302"/>
        <v/>
      </c>
      <c r="P260" s="268" t="str">
        <f t="shared" si="302"/>
        <v/>
      </c>
      <c r="Q260" s="268" t="str">
        <f t="shared" si="302"/>
        <v/>
      </c>
      <c r="R260" s="268" t="str">
        <f t="shared" si="302"/>
        <v/>
      </c>
      <c r="S260" s="268" t="str">
        <f t="shared" si="302"/>
        <v/>
      </c>
      <c r="T260" s="268" t="str">
        <f t="shared" si="302"/>
        <v/>
      </c>
      <c r="U260" s="268" t="str">
        <f t="shared" si="302"/>
        <v/>
      </c>
      <c r="V260" s="268" t="str">
        <f t="shared" si="302"/>
        <v/>
      </c>
      <c r="W260" s="268" t="str">
        <f t="shared" si="302"/>
        <v/>
      </c>
      <c r="X260" s="268" t="str">
        <f t="shared" si="302"/>
        <v/>
      </c>
      <c r="Y260" s="268" t="str">
        <f t="shared" si="302"/>
        <v/>
      </c>
      <c r="Z260" s="268" t="str">
        <f t="shared" si="302"/>
        <v/>
      </c>
      <c r="AA260" s="268" t="str">
        <f t="shared" si="302"/>
        <v/>
      </c>
      <c r="AB260" s="268" t="str">
        <f t="shared" si="302"/>
        <v/>
      </c>
      <c r="AC260" s="268">
        <f t="shared" si="302"/>
        <v>12000</v>
      </c>
      <c r="AD260" s="268" t="str">
        <f t="shared" si="302"/>
        <v/>
      </c>
      <c r="AE260" s="268" t="str">
        <f t="shared" si="302"/>
        <v/>
      </c>
      <c r="AF260" s="268" t="str">
        <f t="shared" si="302"/>
        <v/>
      </c>
      <c r="AG260" s="268" t="str">
        <f t="shared" si="302"/>
        <v/>
      </c>
      <c r="AH260" s="268" t="str">
        <f t="shared" si="302"/>
        <v/>
      </c>
      <c r="AI260" s="268" t="str">
        <f t="shared" si="302"/>
        <v/>
      </c>
      <c r="AJ260" s="268" t="str">
        <f t="shared" si="302"/>
        <v/>
      </c>
      <c r="AK260" s="268" t="str">
        <f t="shared" si="302"/>
        <v/>
      </c>
      <c r="AL260" s="268" t="str">
        <f t="shared" si="302"/>
        <v/>
      </c>
      <c r="AM260" s="268" t="str">
        <f t="shared" si="302"/>
        <v/>
      </c>
      <c r="AN260" s="268" t="str">
        <f t="shared" si="302"/>
        <v/>
      </c>
      <c r="AO260" s="268" t="str">
        <f t="shared" si="302"/>
        <v/>
      </c>
      <c r="AP260" s="268" t="str">
        <f t="shared" si="302"/>
        <v/>
      </c>
      <c r="AQ260" s="268" t="str">
        <f t="shared" si="302"/>
        <v/>
      </c>
      <c r="AR260" s="268" t="str">
        <f t="shared" si="302"/>
        <v/>
      </c>
      <c r="AS260" s="268" t="str">
        <f t="shared" si="302"/>
        <v/>
      </c>
      <c r="AT260" s="268" t="str">
        <f t="shared" si="302"/>
        <v/>
      </c>
      <c r="AU260" s="268" t="str">
        <f t="shared" si="302"/>
        <v/>
      </c>
      <c r="AV260" s="268" t="str">
        <f t="shared" si="302"/>
        <v/>
      </c>
      <c r="AW260" s="268" t="str">
        <f t="shared" si="302"/>
        <v/>
      </c>
      <c r="AX260" s="268" t="str">
        <f t="shared" si="302"/>
        <v/>
      </c>
      <c r="AY260" s="268" t="str">
        <f t="shared" si="302"/>
        <v/>
      </c>
      <c r="AZ260" s="268" t="str">
        <f t="shared" si="302"/>
        <v/>
      </c>
      <c r="BA260" s="268" t="str">
        <f t="shared" si="302"/>
        <v/>
      </c>
      <c r="BB260" s="268" t="str">
        <f t="shared" si="302"/>
        <v/>
      </c>
      <c r="BC260" s="268" t="str">
        <f t="shared" si="302"/>
        <v/>
      </c>
      <c r="BD260" s="268" t="str">
        <f t="shared" si="302"/>
        <v/>
      </c>
      <c r="BE260" s="268" t="str">
        <f t="shared" si="302"/>
        <v/>
      </c>
      <c r="BF260" s="268" t="str">
        <f t="shared" si="302"/>
        <v/>
      </c>
      <c r="BG260" s="268" t="str">
        <f t="shared" si="302"/>
        <v/>
      </c>
      <c r="BH260" s="268" t="str">
        <f t="shared" si="302"/>
        <v/>
      </c>
      <c r="BI260" s="268" t="str">
        <f t="shared" si="302"/>
        <v/>
      </c>
      <c r="BJ260" s="268" t="str">
        <f t="shared" si="302"/>
        <v/>
      </c>
      <c r="BK260" s="268" t="str">
        <f t="shared" si="302"/>
        <v/>
      </c>
      <c r="BL260" s="268" t="str">
        <f t="shared" si="302"/>
        <v/>
      </c>
      <c r="BM260" s="268" t="str">
        <f t="shared" si="302"/>
        <v/>
      </c>
      <c r="BN260" s="268" t="str">
        <f t="shared" si="302"/>
        <v/>
      </c>
      <c r="BO260" s="268" t="str">
        <f t="shared" si="302"/>
        <v/>
      </c>
      <c r="BP260" s="268" t="str">
        <f t="shared" si="302"/>
        <v/>
      </c>
      <c r="BQ260" s="268" t="str">
        <f t="shared" si="302"/>
        <v/>
      </c>
      <c r="BR260" s="268" t="str">
        <f t="shared" si="302"/>
        <v/>
      </c>
      <c r="BS260" s="268" t="str">
        <f t="shared" si="302"/>
        <v/>
      </c>
      <c r="BT260" s="268" t="str">
        <f t="shared" si="302"/>
        <v/>
      </c>
      <c r="BU260" s="268" t="str">
        <f t="shared" si="301"/>
        <v/>
      </c>
      <c r="BV260" s="247">
        <v>0.87</v>
      </c>
      <c r="BW260" s="729">
        <f t="shared" si="294"/>
        <v>10440</v>
      </c>
      <c r="BX260" s="730">
        <f t="shared" ref="BX260:BX263" si="303">BW260*7.75</f>
        <v>80910</v>
      </c>
      <c r="BY260" s="731" t="str">
        <f t="shared" si="282"/>
        <v>SR</v>
      </c>
    </row>
    <row r="261" s="698" customFormat="1" customHeight="1" spans="1:77">
      <c r="A261" s="208">
        <v>46077</v>
      </c>
      <c r="B261" s="208">
        <v>46153</v>
      </c>
      <c r="C261" s="211">
        <v>21011643</v>
      </c>
      <c r="D261" s="211" t="s">
        <v>511</v>
      </c>
      <c r="E261" s="211" t="s">
        <v>66</v>
      </c>
      <c r="F261" s="732">
        <v>9522</v>
      </c>
      <c r="G261" s="211" t="s">
        <v>510</v>
      </c>
      <c r="H261" s="211" t="str">
        <f>IFERROR(VLOOKUP(E261,名称!A:E,4,0),"")</f>
        <v>三代</v>
      </c>
      <c r="I261" s="268" t="str">
        <f t="shared" ref="I261:BT261" si="304">IF(OR($E261="",I$1=""),"",IF(TRIM(LEFT($E261,MIN(IFERROR(FIND("CDU",UPPER($E261)),999),IFERROR(FIND("BULK",UPPER($E261)),999),IFERROR(FIND("-",$E261),999),IFERROR(FIND("（",$E261),999))-1))=I$1,$F261,""))</f>
        <v/>
      </c>
      <c r="J261" s="268" t="str">
        <f t="shared" si="304"/>
        <v/>
      </c>
      <c r="K261" s="268" t="str">
        <f t="shared" si="304"/>
        <v/>
      </c>
      <c r="L261" s="268" t="str">
        <f t="shared" si="304"/>
        <v/>
      </c>
      <c r="M261" s="268" t="str">
        <f t="shared" si="304"/>
        <v/>
      </c>
      <c r="N261" s="268" t="str">
        <f t="shared" si="304"/>
        <v/>
      </c>
      <c r="O261" s="268" t="str">
        <f t="shared" si="304"/>
        <v/>
      </c>
      <c r="P261" s="268" t="str">
        <f t="shared" si="304"/>
        <v/>
      </c>
      <c r="Q261" s="268" t="str">
        <f t="shared" si="304"/>
        <v/>
      </c>
      <c r="R261" s="268" t="str">
        <f t="shared" si="304"/>
        <v/>
      </c>
      <c r="S261" s="268" t="str">
        <f t="shared" si="304"/>
        <v/>
      </c>
      <c r="T261" s="268" t="str">
        <f t="shared" si="304"/>
        <v/>
      </c>
      <c r="U261" s="268" t="str">
        <f t="shared" si="304"/>
        <v/>
      </c>
      <c r="V261" s="268" t="str">
        <f t="shared" si="304"/>
        <v/>
      </c>
      <c r="W261" s="268" t="str">
        <f t="shared" si="304"/>
        <v/>
      </c>
      <c r="X261" s="268" t="str">
        <f t="shared" si="304"/>
        <v/>
      </c>
      <c r="Y261" s="268" t="str">
        <f t="shared" si="304"/>
        <v/>
      </c>
      <c r="Z261" s="268" t="str">
        <f t="shared" si="304"/>
        <v/>
      </c>
      <c r="AA261" s="268" t="str">
        <f t="shared" si="304"/>
        <v/>
      </c>
      <c r="AB261" s="268" t="str">
        <f t="shared" si="304"/>
        <v/>
      </c>
      <c r="AC261" s="268" t="str">
        <f t="shared" si="304"/>
        <v/>
      </c>
      <c r="AD261" s="268" t="str">
        <f t="shared" si="304"/>
        <v/>
      </c>
      <c r="AE261" s="268" t="str">
        <f t="shared" si="304"/>
        <v/>
      </c>
      <c r="AF261" s="268" t="str">
        <f t="shared" si="304"/>
        <v/>
      </c>
      <c r="AG261" s="268">
        <f t="shared" si="304"/>
        <v>9522</v>
      </c>
      <c r="AH261" s="268" t="str">
        <f t="shared" si="304"/>
        <v/>
      </c>
      <c r="AI261" s="268" t="str">
        <f t="shared" si="304"/>
        <v/>
      </c>
      <c r="AJ261" s="268" t="str">
        <f t="shared" si="304"/>
        <v/>
      </c>
      <c r="AK261" s="268" t="str">
        <f t="shared" si="304"/>
        <v/>
      </c>
      <c r="AL261" s="268" t="str">
        <f t="shared" si="304"/>
        <v/>
      </c>
      <c r="AM261" s="268" t="str">
        <f t="shared" si="304"/>
        <v/>
      </c>
      <c r="AN261" s="268" t="str">
        <f t="shared" si="304"/>
        <v/>
      </c>
      <c r="AO261" s="268" t="str">
        <f t="shared" si="304"/>
        <v/>
      </c>
      <c r="AP261" s="268" t="str">
        <f t="shared" si="304"/>
        <v/>
      </c>
      <c r="AQ261" s="268" t="str">
        <f t="shared" si="304"/>
        <v/>
      </c>
      <c r="AR261" s="268" t="str">
        <f t="shared" si="304"/>
        <v/>
      </c>
      <c r="AS261" s="268" t="str">
        <f t="shared" si="304"/>
        <v/>
      </c>
      <c r="AT261" s="268" t="str">
        <f t="shared" si="304"/>
        <v/>
      </c>
      <c r="AU261" s="268" t="str">
        <f t="shared" si="304"/>
        <v/>
      </c>
      <c r="AV261" s="268" t="str">
        <f t="shared" si="304"/>
        <v/>
      </c>
      <c r="AW261" s="268" t="str">
        <f t="shared" si="304"/>
        <v/>
      </c>
      <c r="AX261" s="268" t="str">
        <f t="shared" si="304"/>
        <v/>
      </c>
      <c r="AY261" s="268" t="str">
        <f t="shared" si="304"/>
        <v/>
      </c>
      <c r="AZ261" s="268" t="str">
        <f t="shared" si="304"/>
        <v/>
      </c>
      <c r="BA261" s="268" t="str">
        <f t="shared" si="304"/>
        <v/>
      </c>
      <c r="BB261" s="268" t="str">
        <f t="shared" si="304"/>
        <v/>
      </c>
      <c r="BC261" s="268" t="str">
        <f t="shared" si="304"/>
        <v/>
      </c>
      <c r="BD261" s="268" t="str">
        <f t="shared" si="304"/>
        <v/>
      </c>
      <c r="BE261" s="268" t="str">
        <f t="shared" si="304"/>
        <v/>
      </c>
      <c r="BF261" s="268" t="str">
        <f t="shared" si="304"/>
        <v/>
      </c>
      <c r="BG261" s="268" t="str">
        <f t="shared" si="304"/>
        <v/>
      </c>
      <c r="BH261" s="268" t="str">
        <f t="shared" si="304"/>
        <v/>
      </c>
      <c r="BI261" s="268" t="str">
        <f t="shared" si="304"/>
        <v/>
      </c>
      <c r="BJ261" s="268" t="str">
        <f t="shared" si="304"/>
        <v/>
      </c>
      <c r="BK261" s="268" t="str">
        <f t="shared" si="304"/>
        <v/>
      </c>
      <c r="BL261" s="268" t="str">
        <f t="shared" si="304"/>
        <v/>
      </c>
      <c r="BM261" s="268" t="str">
        <f t="shared" si="304"/>
        <v/>
      </c>
      <c r="BN261" s="268" t="str">
        <f t="shared" si="304"/>
        <v/>
      </c>
      <c r="BO261" s="268" t="str">
        <f t="shared" si="304"/>
        <v/>
      </c>
      <c r="BP261" s="268" t="str">
        <f t="shared" si="304"/>
        <v/>
      </c>
      <c r="BQ261" s="268" t="str">
        <f t="shared" si="304"/>
        <v/>
      </c>
      <c r="BR261" s="268" t="str">
        <f t="shared" si="304"/>
        <v/>
      </c>
      <c r="BS261" s="268" t="str">
        <f t="shared" si="304"/>
        <v/>
      </c>
      <c r="BT261" s="268" t="str">
        <f t="shared" si="304"/>
        <v/>
      </c>
      <c r="BU261" s="268" t="str">
        <f t="shared" si="301"/>
        <v/>
      </c>
      <c r="BV261" s="247">
        <v>2.02</v>
      </c>
      <c r="BW261" s="729">
        <f t="shared" si="294"/>
        <v>19234.44</v>
      </c>
      <c r="BX261" s="730">
        <f t="shared" si="303"/>
        <v>149066.91</v>
      </c>
      <c r="BY261" s="731" t="str">
        <f t="shared" si="282"/>
        <v>SR</v>
      </c>
    </row>
    <row r="262" s="698" customFormat="1" customHeight="1" spans="1:77">
      <c r="A262" s="208">
        <v>46077</v>
      </c>
      <c r="B262" s="208">
        <v>46153</v>
      </c>
      <c r="C262" s="211">
        <v>21011643</v>
      </c>
      <c r="D262" s="211" t="s">
        <v>511</v>
      </c>
      <c r="E262" s="211" t="s">
        <v>68</v>
      </c>
      <c r="F262" s="732">
        <v>3584</v>
      </c>
      <c r="G262" s="211" t="s">
        <v>510</v>
      </c>
      <c r="H262" s="211" t="str">
        <f>IFERROR(VLOOKUP(E262,名称!A:E,4,0),"")</f>
        <v>三代</v>
      </c>
      <c r="I262" s="268" t="str">
        <f t="shared" ref="I262:BT262" si="305">IF(OR($E262="",I$1=""),"",IF(TRIM(LEFT($E262,MIN(IFERROR(FIND("CDU",UPPER($E262)),999),IFERROR(FIND("BULK",UPPER($E262)),999),IFERROR(FIND("-",$E262),999),IFERROR(FIND("（",$E262),999))-1))=I$1,$F262,""))</f>
        <v/>
      </c>
      <c r="J262" s="268" t="str">
        <f t="shared" si="305"/>
        <v/>
      </c>
      <c r="K262" s="268" t="str">
        <f t="shared" si="305"/>
        <v/>
      </c>
      <c r="L262" s="268" t="str">
        <f t="shared" si="305"/>
        <v/>
      </c>
      <c r="M262" s="268" t="str">
        <f t="shared" si="305"/>
        <v/>
      </c>
      <c r="N262" s="268" t="str">
        <f t="shared" si="305"/>
        <v/>
      </c>
      <c r="O262" s="268" t="str">
        <f t="shared" si="305"/>
        <v/>
      </c>
      <c r="P262" s="268" t="str">
        <f t="shared" si="305"/>
        <v/>
      </c>
      <c r="Q262" s="268" t="str">
        <f t="shared" si="305"/>
        <v/>
      </c>
      <c r="R262" s="268" t="str">
        <f t="shared" si="305"/>
        <v/>
      </c>
      <c r="S262" s="268" t="str">
        <f t="shared" si="305"/>
        <v/>
      </c>
      <c r="T262" s="268" t="str">
        <f t="shared" si="305"/>
        <v/>
      </c>
      <c r="U262" s="268" t="str">
        <f t="shared" si="305"/>
        <v/>
      </c>
      <c r="V262" s="268" t="str">
        <f t="shared" si="305"/>
        <v/>
      </c>
      <c r="W262" s="268" t="str">
        <f t="shared" si="305"/>
        <v/>
      </c>
      <c r="X262" s="268" t="str">
        <f t="shared" si="305"/>
        <v/>
      </c>
      <c r="Y262" s="268" t="str">
        <f t="shared" si="305"/>
        <v/>
      </c>
      <c r="Z262" s="268" t="str">
        <f t="shared" si="305"/>
        <v/>
      </c>
      <c r="AA262" s="268" t="str">
        <f t="shared" si="305"/>
        <v/>
      </c>
      <c r="AB262" s="268" t="str">
        <f t="shared" si="305"/>
        <v/>
      </c>
      <c r="AC262" s="268" t="str">
        <f t="shared" si="305"/>
        <v/>
      </c>
      <c r="AD262" s="268" t="str">
        <f t="shared" si="305"/>
        <v/>
      </c>
      <c r="AE262" s="268" t="str">
        <f t="shared" si="305"/>
        <v/>
      </c>
      <c r="AF262" s="268" t="str">
        <f t="shared" si="305"/>
        <v/>
      </c>
      <c r="AG262" s="268" t="str">
        <f t="shared" si="305"/>
        <v/>
      </c>
      <c r="AH262" s="268">
        <f t="shared" si="305"/>
        <v>3584</v>
      </c>
      <c r="AI262" s="268" t="str">
        <f t="shared" si="305"/>
        <v/>
      </c>
      <c r="AJ262" s="268" t="str">
        <f t="shared" si="305"/>
        <v/>
      </c>
      <c r="AK262" s="268" t="str">
        <f t="shared" si="305"/>
        <v/>
      </c>
      <c r="AL262" s="268" t="str">
        <f t="shared" si="305"/>
        <v/>
      </c>
      <c r="AM262" s="268" t="str">
        <f t="shared" si="305"/>
        <v/>
      </c>
      <c r="AN262" s="268" t="str">
        <f t="shared" si="305"/>
        <v/>
      </c>
      <c r="AO262" s="268" t="str">
        <f t="shared" si="305"/>
        <v/>
      </c>
      <c r="AP262" s="268" t="str">
        <f t="shared" si="305"/>
        <v/>
      </c>
      <c r="AQ262" s="268" t="str">
        <f t="shared" si="305"/>
        <v/>
      </c>
      <c r="AR262" s="268" t="str">
        <f t="shared" si="305"/>
        <v/>
      </c>
      <c r="AS262" s="268" t="str">
        <f t="shared" si="305"/>
        <v/>
      </c>
      <c r="AT262" s="268" t="str">
        <f t="shared" si="305"/>
        <v/>
      </c>
      <c r="AU262" s="268" t="str">
        <f t="shared" si="305"/>
        <v/>
      </c>
      <c r="AV262" s="268" t="str">
        <f t="shared" si="305"/>
        <v/>
      </c>
      <c r="AW262" s="268" t="str">
        <f t="shared" si="305"/>
        <v/>
      </c>
      <c r="AX262" s="268" t="str">
        <f t="shared" si="305"/>
        <v/>
      </c>
      <c r="AY262" s="268" t="str">
        <f t="shared" si="305"/>
        <v/>
      </c>
      <c r="AZ262" s="268" t="str">
        <f t="shared" si="305"/>
        <v/>
      </c>
      <c r="BA262" s="268" t="str">
        <f t="shared" si="305"/>
        <v/>
      </c>
      <c r="BB262" s="268" t="str">
        <f t="shared" si="305"/>
        <v/>
      </c>
      <c r="BC262" s="268" t="str">
        <f t="shared" si="305"/>
        <v/>
      </c>
      <c r="BD262" s="268" t="str">
        <f t="shared" si="305"/>
        <v/>
      </c>
      <c r="BE262" s="268" t="str">
        <f t="shared" si="305"/>
        <v/>
      </c>
      <c r="BF262" s="268" t="str">
        <f t="shared" si="305"/>
        <v/>
      </c>
      <c r="BG262" s="268" t="str">
        <f t="shared" si="305"/>
        <v/>
      </c>
      <c r="BH262" s="268" t="str">
        <f t="shared" si="305"/>
        <v/>
      </c>
      <c r="BI262" s="268" t="str">
        <f t="shared" si="305"/>
        <v/>
      </c>
      <c r="BJ262" s="268" t="str">
        <f t="shared" si="305"/>
        <v/>
      </c>
      <c r="BK262" s="268" t="str">
        <f t="shared" si="305"/>
        <v/>
      </c>
      <c r="BL262" s="268" t="str">
        <f t="shared" si="305"/>
        <v/>
      </c>
      <c r="BM262" s="268" t="str">
        <f t="shared" si="305"/>
        <v/>
      </c>
      <c r="BN262" s="268" t="str">
        <f t="shared" si="305"/>
        <v/>
      </c>
      <c r="BO262" s="268" t="str">
        <f t="shared" si="305"/>
        <v/>
      </c>
      <c r="BP262" s="268" t="str">
        <f t="shared" si="305"/>
        <v/>
      </c>
      <c r="BQ262" s="268" t="str">
        <f t="shared" si="305"/>
        <v/>
      </c>
      <c r="BR262" s="268" t="str">
        <f t="shared" si="305"/>
        <v/>
      </c>
      <c r="BS262" s="268" t="str">
        <f t="shared" si="305"/>
        <v/>
      </c>
      <c r="BT262" s="268" t="str">
        <f t="shared" si="305"/>
        <v/>
      </c>
      <c r="BU262" s="268" t="str">
        <f t="shared" si="301"/>
        <v/>
      </c>
      <c r="BV262" s="247">
        <v>3.09</v>
      </c>
      <c r="BW262" s="729">
        <f t="shared" si="294"/>
        <v>11074.56</v>
      </c>
      <c r="BX262" s="730">
        <f t="shared" si="303"/>
        <v>85827.84</v>
      </c>
      <c r="BY262" s="731" t="str">
        <f t="shared" si="282"/>
        <v>SR</v>
      </c>
    </row>
    <row r="263" s="698" customFormat="1" customHeight="1" spans="1:77">
      <c r="A263" s="208">
        <v>46077</v>
      </c>
      <c r="B263" s="208">
        <v>46142</v>
      </c>
      <c r="C263" s="211">
        <v>21011644</v>
      </c>
      <c r="D263" s="211" t="s">
        <v>512</v>
      </c>
      <c r="E263" s="211" t="s">
        <v>85</v>
      </c>
      <c r="F263" s="732">
        <v>17640</v>
      </c>
      <c r="G263" s="211" t="s">
        <v>510</v>
      </c>
      <c r="H263" s="211" t="str">
        <f>IFERROR(VLOOKUP(E263,名称!A:E,4,0),"")</f>
        <v>三代</v>
      </c>
      <c r="I263" s="268" t="str">
        <f t="shared" ref="I263:BT263" si="306">IF(OR($E263="",I$1=""),"",IF(TRIM(LEFT($E263,MIN(IFERROR(FIND("CDU",UPPER($E263)),999),IFERROR(FIND("BULK",UPPER($E263)),999),IFERROR(FIND("-",$E263),999),IFERROR(FIND("（",$E263),999))-1))=I$1,$F263,""))</f>
        <v/>
      </c>
      <c r="J263" s="268" t="str">
        <f t="shared" si="306"/>
        <v/>
      </c>
      <c r="K263" s="268" t="str">
        <f t="shared" si="306"/>
        <v/>
      </c>
      <c r="L263" s="268" t="str">
        <f t="shared" si="306"/>
        <v/>
      </c>
      <c r="M263" s="268" t="str">
        <f t="shared" si="306"/>
        <v/>
      </c>
      <c r="N263" s="268" t="str">
        <f t="shared" si="306"/>
        <v/>
      </c>
      <c r="O263" s="268" t="str">
        <f t="shared" si="306"/>
        <v/>
      </c>
      <c r="P263" s="268" t="str">
        <f t="shared" si="306"/>
        <v/>
      </c>
      <c r="Q263" s="268" t="str">
        <f t="shared" si="306"/>
        <v/>
      </c>
      <c r="R263" s="268" t="str">
        <f t="shared" si="306"/>
        <v/>
      </c>
      <c r="S263" s="268" t="str">
        <f t="shared" si="306"/>
        <v/>
      </c>
      <c r="T263" s="268" t="str">
        <f t="shared" si="306"/>
        <v/>
      </c>
      <c r="U263" s="268" t="str">
        <f t="shared" si="306"/>
        <v/>
      </c>
      <c r="V263" s="268" t="str">
        <f t="shared" si="306"/>
        <v/>
      </c>
      <c r="W263" s="268" t="str">
        <f t="shared" si="306"/>
        <v/>
      </c>
      <c r="X263" s="268" t="str">
        <f t="shared" si="306"/>
        <v/>
      </c>
      <c r="Y263" s="268" t="str">
        <f t="shared" si="306"/>
        <v/>
      </c>
      <c r="Z263" s="268" t="str">
        <f t="shared" si="306"/>
        <v/>
      </c>
      <c r="AA263" s="268" t="str">
        <f t="shared" si="306"/>
        <v/>
      </c>
      <c r="AB263" s="268" t="str">
        <f t="shared" si="306"/>
        <v/>
      </c>
      <c r="AC263" s="268" t="str">
        <f t="shared" si="306"/>
        <v/>
      </c>
      <c r="AD263" s="268" t="str">
        <f t="shared" si="306"/>
        <v/>
      </c>
      <c r="AE263" s="268" t="str">
        <f t="shared" si="306"/>
        <v/>
      </c>
      <c r="AF263" s="268" t="str">
        <f t="shared" si="306"/>
        <v/>
      </c>
      <c r="AG263" s="268" t="str">
        <f t="shared" si="306"/>
        <v/>
      </c>
      <c r="AH263" s="268" t="str">
        <f t="shared" si="306"/>
        <v/>
      </c>
      <c r="AI263" s="268" t="str">
        <f t="shared" si="306"/>
        <v/>
      </c>
      <c r="AJ263" s="268" t="str">
        <f t="shared" si="306"/>
        <v/>
      </c>
      <c r="AK263" s="268" t="str">
        <f t="shared" si="306"/>
        <v/>
      </c>
      <c r="AL263" s="268" t="str">
        <f t="shared" si="306"/>
        <v/>
      </c>
      <c r="AM263" s="268" t="str">
        <f t="shared" si="306"/>
        <v/>
      </c>
      <c r="AN263" s="268">
        <f t="shared" si="306"/>
        <v>17640</v>
      </c>
      <c r="AO263" s="268" t="str">
        <f t="shared" si="306"/>
        <v/>
      </c>
      <c r="AP263" s="268" t="str">
        <f t="shared" si="306"/>
        <v/>
      </c>
      <c r="AQ263" s="268" t="str">
        <f t="shared" si="306"/>
        <v/>
      </c>
      <c r="AR263" s="268" t="str">
        <f t="shared" si="306"/>
        <v/>
      </c>
      <c r="AS263" s="268" t="str">
        <f t="shared" si="306"/>
        <v/>
      </c>
      <c r="AT263" s="268" t="str">
        <f t="shared" si="306"/>
        <v/>
      </c>
      <c r="AU263" s="268" t="str">
        <f t="shared" si="306"/>
        <v/>
      </c>
      <c r="AV263" s="268" t="str">
        <f t="shared" si="306"/>
        <v/>
      </c>
      <c r="AW263" s="268" t="str">
        <f t="shared" si="306"/>
        <v/>
      </c>
      <c r="AX263" s="268" t="str">
        <f t="shared" si="306"/>
        <v/>
      </c>
      <c r="AY263" s="268" t="str">
        <f t="shared" si="306"/>
        <v/>
      </c>
      <c r="AZ263" s="268" t="str">
        <f t="shared" si="306"/>
        <v/>
      </c>
      <c r="BA263" s="268" t="str">
        <f t="shared" si="306"/>
        <v/>
      </c>
      <c r="BB263" s="268" t="str">
        <f t="shared" si="306"/>
        <v/>
      </c>
      <c r="BC263" s="268" t="str">
        <f t="shared" si="306"/>
        <v/>
      </c>
      <c r="BD263" s="268" t="str">
        <f t="shared" si="306"/>
        <v/>
      </c>
      <c r="BE263" s="268" t="str">
        <f t="shared" si="306"/>
        <v/>
      </c>
      <c r="BF263" s="268" t="str">
        <f t="shared" si="306"/>
        <v/>
      </c>
      <c r="BG263" s="268" t="str">
        <f t="shared" si="306"/>
        <v/>
      </c>
      <c r="BH263" s="268" t="str">
        <f t="shared" si="306"/>
        <v/>
      </c>
      <c r="BI263" s="268" t="str">
        <f t="shared" si="306"/>
        <v/>
      </c>
      <c r="BJ263" s="268" t="str">
        <f t="shared" si="306"/>
        <v/>
      </c>
      <c r="BK263" s="268" t="str">
        <f t="shared" si="306"/>
        <v/>
      </c>
      <c r="BL263" s="268" t="str">
        <f t="shared" si="306"/>
        <v/>
      </c>
      <c r="BM263" s="268" t="str">
        <f t="shared" si="306"/>
        <v/>
      </c>
      <c r="BN263" s="268" t="str">
        <f t="shared" si="306"/>
        <v/>
      </c>
      <c r="BO263" s="268" t="str">
        <f t="shared" si="306"/>
        <v/>
      </c>
      <c r="BP263" s="268" t="str">
        <f t="shared" si="306"/>
        <v/>
      </c>
      <c r="BQ263" s="268" t="str">
        <f t="shared" si="306"/>
        <v/>
      </c>
      <c r="BR263" s="268" t="str">
        <f t="shared" si="306"/>
        <v/>
      </c>
      <c r="BS263" s="268" t="str">
        <f t="shared" si="306"/>
        <v/>
      </c>
      <c r="BT263" s="268" t="str">
        <f t="shared" si="306"/>
        <v/>
      </c>
      <c r="BU263" s="268" t="str">
        <f t="shared" si="301"/>
        <v/>
      </c>
      <c r="BV263" s="247">
        <v>0.88</v>
      </c>
      <c r="BW263" s="729">
        <f t="shared" si="294"/>
        <v>15523.2</v>
      </c>
      <c r="BX263" s="730">
        <f t="shared" si="303"/>
        <v>120304.8</v>
      </c>
      <c r="BY263" s="731" t="str">
        <f t="shared" si="282"/>
        <v>SR</v>
      </c>
    </row>
    <row r="264" s="698" customFormat="1" customHeight="1" spans="1:77">
      <c r="A264" s="208">
        <v>46077</v>
      </c>
      <c r="B264" s="208">
        <v>46142</v>
      </c>
      <c r="C264" s="211">
        <v>21011644</v>
      </c>
      <c r="D264" s="211" t="s">
        <v>512</v>
      </c>
      <c r="E264" s="211" t="s">
        <v>85</v>
      </c>
      <c r="F264" s="732">
        <f>18000-17640</f>
        <v>360</v>
      </c>
      <c r="G264" s="211" t="s">
        <v>510</v>
      </c>
      <c r="H264" s="211" t="str">
        <f>IFERROR(VLOOKUP(E264,名称!A:E,4,0),"")</f>
        <v>三代</v>
      </c>
      <c r="I264" s="268" t="str">
        <f t="shared" ref="I264:BT264" si="307">IF(OR($E264="",I$1=""),"",IF(TRIM(LEFT($E264,MIN(IFERROR(FIND("CDU",UPPER($E264)),999),IFERROR(FIND("BULK",UPPER($E264)),999),IFERROR(FIND("-",$E264),999),IFERROR(FIND("（",$E264),999))-1))=I$1,$F264,""))</f>
        <v/>
      </c>
      <c r="J264" s="268" t="str">
        <f t="shared" si="307"/>
        <v/>
      </c>
      <c r="K264" s="268" t="str">
        <f t="shared" si="307"/>
        <v/>
      </c>
      <c r="L264" s="268" t="str">
        <f t="shared" si="307"/>
        <v/>
      </c>
      <c r="M264" s="268" t="str">
        <f t="shared" si="307"/>
        <v/>
      </c>
      <c r="N264" s="268" t="str">
        <f t="shared" si="307"/>
        <v/>
      </c>
      <c r="O264" s="268" t="str">
        <f t="shared" si="307"/>
        <v/>
      </c>
      <c r="P264" s="268" t="str">
        <f t="shared" si="307"/>
        <v/>
      </c>
      <c r="Q264" s="268" t="str">
        <f t="shared" si="307"/>
        <v/>
      </c>
      <c r="R264" s="268" t="str">
        <f t="shared" si="307"/>
        <v/>
      </c>
      <c r="S264" s="268" t="str">
        <f t="shared" si="307"/>
        <v/>
      </c>
      <c r="T264" s="268" t="str">
        <f t="shared" si="307"/>
        <v/>
      </c>
      <c r="U264" s="268" t="str">
        <f t="shared" si="307"/>
        <v/>
      </c>
      <c r="V264" s="268" t="str">
        <f t="shared" si="307"/>
        <v/>
      </c>
      <c r="W264" s="268" t="str">
        <f t="shared" si="307"/>
        <v/>
      </c>
      <c r="X264" s="268" t="str">
        <f t="shared" si="307"/>
        <v/>
      </c>
      <c r="Y264" s="268" t="str">
        <f t="shared" si="307"/>
        <v/>
      </c>
      <c r="Z264" s="268" t="str">
        <f t="shared" si="307"/>
        <v/>
      </c>
      <c r="AA264" s="268" t="str">
        <f t="shared" si="307"/>
        <v/>
      </c>
      <c r="AB264" s="268" t="str">
        <f t="shared" si="307"/>
        <v/>
      </c>
      <c r="AC264" s="268" t="str">
        <f t="shared" si="307"/>
        <v/>
      </c>
      <c r="AD264" s="268" t="str">
        <f t="shared" si="307"/>
        <v/>
      </c>
      <c r="AE264" s="268" t="str">
        <f t="shared" si="307"/>
        <v/>
      </c>
      <c r="AF264" s="268" t="str">
        <f t="shared" si="307"/>
        <v/>
      </c>
      <c r="AG264" s="268" t="str">
        <f t="shared" si="307"/>
        <v/>
      </c>
      <c r="AH264" s="268" t="str">
        <f t="shared" si="307"/>
        <v/>
      </c>
      <c r="AI264" s="268" t="str">
        <f t="shared" si="307"/>
        <v/>
      </c>
      <c r="AJ264" s="268" t="str">
        <f t="shared" si="307"/>
        <v/>
      </c>
      <c r="AK264" s="268" t="str">
        <f t="shared" si="307"/>
        <v/>
      </c>
      <c r="AL264" s="268" t="str">
        <f t="shared" si="307"/>
        <v/>
      </c>
      <c r="AM264" s="268" t="str">
        <f t="shared" si="307"/>
        <v/>
      </c>
      <c r="AN264" s="268">
        <f t="shared" si="307"/>
        <v>360</v>
      </c>
      <c r="AO264" s="268" t="str">
        <f t="shared" si="307"/>
        <v/>
      </c>
      <c r="AP264" s="268" t="str">
        <f t="shared" si="307"/>
        <v/>
      </c>
      <c r="AQ264" s="268" t="str">
        <f t="shared" si="307"/>
        <v/>
      </c>
      <c r="AR264" s="268" t="str">
        <f t="shared" si="307"/>
        <v/>
      </c>
      <c r="AS264" s="268" t="str">
        <f t="shared" si="307"/>
        <v/>
      </c>
      <c r="AT264" s="268" t="str">
        <f t="shared" si="307"/>
        <v/>
      </c>
      <c r="AU264" s="268" t="str">
        <f t="shared" si="307"/>
        <v/>
      </c>
      <c r="AV264" s="268" t="str">
        <f t="shared" si="307"/>
        <v/>
      </c>
      <c r="AW264" s="268" t="str">
        <f t="shared" si="307"/>
        <v/>
      </c>
      <c r="AX264" s="268" t="str">
        <f t="shared" si="307"/>
        <v/>
      </c>
      <c r="AY264" s="268" t="str">
        <f t="shared" si="307"/>
        <v/>
      </c>
      <c r="AZ264" s="268" t="str">
        <f t="shared" si="307"/>
        <v/>
      </c>
      <c r="BA264" s="268" t="str">
        <f t="shared" si="307"/>
        <v/>
      </c>
      <c r="BB264" s="268" t="str">
        <f t="shared" si="307"/>
        <v/>
      </c>
      <c r="BC264" s="268" t="str">
        <f t="shared" si="307"/>
        <v/>
      </c>
      <c r="BD264" s="268" t="str">
        <f t="shared" si="307"/>
        <v/>
      </c>
      <c r="BE264" s="268" t="str">
        <f t="shared" si="307"/>
        <v/>
      </c>
      <c r="BF264" s="268" t="str">
        <f t="shared" si="307"/>
        <v/>
      </c>
      <c r="BG264" s="268" t="str">
        <f t="shared" si="307"/>
        <v/>
      </c>
      <c r="BH264" s="268" t="str">
        <f t="shared" si="307"/>
        <v/>
      </c>
      <c r="BI264" s="268" t="str">
        <f t="shared" si="307"/>
        <v/>
      </c>
      <c r="BJ264" s="268" t="str">
        <f t="shared" si="307"/>
        <v/>
      </c>
      <c r="BK264" s="268" t="str">
        <f t="shared" si="307"/>
        <v/>
      </c>
      <c r="BL264" s="268" t="str">
        <f t="shared" si="307"/>
        <v/>
      </c>
      <c r="BM264" s="268" t="str">
        <f t="shared" si="307"/>
        <v/>
      </c>
      <c r="BN264" s="268" t="str">
        <f t="shared" si="307"/>
        <v/>
      </c>
      <c r="BO264" s="268" t="str">
        <f t="shared" si="307"/>
        <v/>
      </c>
      <c r="BP264" s="268" t="str">
        <f t="shared" si="307"/>
        <v/>
      </c>
      <c r="BQ264" s="268" t="str">
        <f t="shared" si="307"/>
        <v/>
      </c>
      <c r="BR264" s="268" t="str">
        <f t="shared" si="307"/>
        <v/>
      </c>
      <c r="BS264" s="268" t="str">
        <f t="shared" si="307"/>
        <v/>
      </c>
      <c r="BT264" s="268" t="str">
        <f t="shared" si="307"/>
        <v/>
      </c>
      <c r="BU264" s="268" t="str">
        <f t="shared" si="301"/>
        <v/>
      </c>
      <c r="BV264" s="247">
        <v>0.89</v>
      </c>
      <c r="BW264" s="729">
        <f t="shared" ref="BW264:BW271" si="308">SUM(I264:BU264)*BV264</f>
        <v>320.4</v>
      </c>
      <c r="BX264" s="730">
        <f t="shared" ref="BX264:BX271" si="309">BW264*7.75</f>
        <v>2483.1</v>
      </c>
      <c r="BY264" s="731" t="str">
        <f t="shared" si="282"/>
        <v>SR</v>
      </c>
    </row>
    <row r="265" s="698" customFormat="1" customHeight="1" spans="1:77">
      <c r="A265" s="208">
        <v>46077</v>
      </c>
      <c r="B265" s="208">
        <v>46139</v>
      </c>
      <c r="C265" s="211" t="s">
        <v>513</v>
      </c>
      <c r="D265" s="211" t="s">
        <v>514</v>
      </c>
      <c r="E265" s="211" t="s">
        <v>68</v>
      </c>
      <c r="F265" s="732">
        <v>5000</v>
      </c>
      <c r="G265" s="211" t="s">
        <v>334</v>
      </c>
      <c r="H265" s="211" t="str">
        <f>IFERROR(VLOOKUP(E265,名称!A:E,4,0),"")</f>
        <v>三代</v>
      </c>
      <c r="I265" s="268" t="str">
        <f t="shared" ref="I265:BT265" si="310">IF(OR($E265="",I$1=""),"",IF(TRIM(LEFT($E265,MIN(IFERROR(FIND("CDU",UPPER($E265)),999),IFERROR(FIND("BULK",UPPER($E265)),999),IFERROR(FIND("-",$E265),999),IFERROR(FIND("（",$E265),999))-1))=I$1,$F265,""))</f>
        <v/>
      </c>
      <c r="J265" s="268" t="str">
        <f t="shared" si="310"/>
        <v/>
      </c>
      <c r="K265" s="268" t="str">
        <f t="shared" si="310"/>
        <v/>
      </c>
      <c r="L265" s="268" t="str">
        <f t="shared" si="310"/>
        <v/>
      </c>
      <c r="M265" s="268" t="str">
        <f t="shared" si="310"/>
        <v/>
      </c>
      <c r="N265" s="268" t="str">
        <f t="shared" si="310"/>
        <v/>
      </c>
      <c r="O265" s="268" t="str">
        <f t="shared" si="310"/>
        <v/>
      </c>
      <c r="P265" s="268" t="str">
        <f t="shared" si="310"/>
        <v/>
      </c>
      <c r="Q265" s="268" t="str">
        <f t="shared" si="310"/>
        <v/>
      </c>
      <c r="R265" s="268" t="str">
        <f t="shared" si="310"/>
        <v/>
      </c>
      <c r="S265" s="268" t="str">
        <f t="shared" si="310"/>
        <v/>
      </c>
      <c r="T265" s="268" t="str">
        <f t="shared" si="310"/>
        <v/>
      </c>
      <c r="U265" s="268" t="str">
        <f t="shared" si="310"/>
        <v/>
      </c>
      <c r="V265" s="268" t="str">
        <f t="shared" si="310"/>
        <v/>
      </c>
      <c r="W265" s="268" t="str">
        <f t="shared" si="310"/>
        <v/>
      </c>
      <c r="X265" s="268" t="str">
        <f t="shared" si="310"/>
        <v/>
      </c>
      <c r="Y265" s="268" t="str">
        <f t="shared" si="310"/>
        <v/>
      </c>
      <c r="Z265" s="268" t="str">
        <f t="shared" si="310"/>
        <v/>
      </c>
      <c r="AA265" s="268" t="str">
        <f t="shared" si="310"/>
        <v/>
      </c>
      <c r="AB265" s="268" t="str">
        <f t="shared" si="310"/>
        <v/>
      </c>
      <c r="AC265" s="268" t="str">
        <f t="shared" si="310"/>
        <v/>
      </c>
      <c r="AD265" s="268" t="str">
        <f t="shared" si="310"/>
        <v/>
      </c>
      <c r="AE265" s="268" t="str">
        <f t="shared" si="310"/>
        <v/>
      </c>
      <c r="AF265" s="268" t="str">
        <f t="shared" si="310"/>
        <v/>
      </c>
      <c r="AG265" s="268" t="str">
        <f t="shared" si="310"/>
        <v/>
      </c>
      <c r="AH265" s="268">
        <f t="shared" si="310"/>
        <v>5000</v>
      </c>
      <c r="AI265" s="268" t="str">
        <f t="shared" si="310"/>
        <v/>
      </c>
      <c r="AJ265" s="268" t="str">
        <f t="shared" si="310"/>
        <v/>
      </c>
      <c r="AK265" s="268" t="str">
        <f t="shared" si="310"/>
        <v/>
      </c>
      <c r="AL265" s="268" t="str">
        <f t="shared" si="310"/>
        <v/>
      </c>
      <c r="AM265" s="268" t="str">
        <f t="shared" si="310"/>
        <v/>
      </c>
      <c r="AN265" s="268" t="str">
        <f t="shared" si="310"/>
        <v/>
      </c>
      <c r="AO265" s="268" t="str">
        <f t="shared" si="310"/>
        <v/>
      </c>
      <c r="AP265" s="268" t="str">
        <f t="shared" si="310"/>
        <v/>
      </c>
      <c r="AQ265" s="268" t="str">
        <f t="shared" si="310"/>
        <v/>
      </c>
      <c r="AR265" s="268" t="str">
        <f t="shared" si="310"/>
        <v/>
      </c>
      <c r="AS265" s="268" t="str">
        <f t="shared" si="310"/>
        <v/>
      </c>
      <c r="AT265" s="268" t="str">
        <f t="shared" si="310"/>
        <v/>
      </c>
      <c r="AU265" s="268" t="str">
        <f t="shared" si="310"/>
        <v/>
      </c>
      <c r="AV265" s="268" t="str">
        <f t="shared" si="310"/>
        <v/>
      </c>
      <c r="AW265" s="268" t="str">
        <f t="shared" si="310"/>
        <v/>
      </c>
      <c r="AX265" s="268" t="str">
        <f t="shared" si="310"/>
        <v/>
      </c>
      <c r="AY265" s="268" t="str">
        <f t="shared" si="310"/>
        <v/>
      </c>
      <c r="AZ265" s="268" t="str">
        <f t="shared" si="310"/>
        <v/>
      </c>
      <c r="BA265" s="268" t="str">
        <f t="shared" si="310"/>
        <v/>
      </c>
      <c r="BB265" s="268" t="str">
        <f t="shared" si="310"/>
        <v/>
      </c>
      <c r="BC265" s="268" t="str">
        <f t="shared" si="310"/>
        <v/>
      </c>
      <c r="BD265" s="268" t="str">
        <f t="shared" si="310"/>
        <v/>
      </c>
      <c r="BE265" s="268" t="str">
        <f t="shared" si="310"/>
        <v/>
      </c>
      <c r="BF265" s="268" t="str">
        <f t="shared" si="310"/>
        <v/>
      </c>
      <c r="BG265" s="268" t="str">
        <f t="shared" si="310"/>
        <v/>
      </c>
      <c r="BH265" s="268" t="str">
        <f t="shared" si="310"/>
        <v/>
      </c>
      <c r="BI265" s="268" t="str">
        <f t="shared" si="310"/>
        <v/>
      </c>
      <c r="BJ265" s="268" t="str">
        <f t="shared" si="310"/>
        <v/>
      </c>
      <c r="BK265" s="268" t="str">
        <f t="shared" si="310"/>
        <v/>
      </c>
      <c r="BL265" s="268" t="str">
        <f t="shared" si="310"/>
        <v/>
      </c>
      <c r="BM265" s="268" t="str">
        <f t="shared" si="310"/>
        <v/>
      </c>
      <c r="BN265" s="268" t="str">
        <f t="shared" si="310"/>
        <v/>
      </c>
      <c r="BO265" s="268" t="str">
        <f t="shared" si="310"/>
        <v/>
      </c>
      <c r="BP265" s="268" t="str">
        <f t="shared" si="310"/>
        <v/>
      </c>
      <c r="BQ265" s="268" t="str">
        <f t="shared" si="310"/>
        <v/>
      </c>
      <c r="BR265" s="268" t="str">
        <f t="shared" si="310"/>
        <v/>
      </c>
      <c r="BS265" s="268" t="str">
        <f t="shared" si="310"/>
        <v/>
      </c>
      <c r="BT265" s="268" t="str">
        <f t="shared" si="310"/>
        <v/>
      </c>
      <c r="BU265" s="268" t="str">
        <f t="shared" si="301"/>
        <v/>
      </c>
      <c r="BV265" s="247">
        <v>3.09</v>
      </c>
      <c r="BW265" s="729">
        <f t="shared" si="308"/>
        <v>15450</v>
      </c>
      <c r="BX265" s="730">
        <f t="shared" si="309"/>
        <v>119737.5</v>
      </c>
      <c r="BY265" s="731" t="str">
        <f t="shared" si="282"/>
        <v>SR</v>
      </c>
    </row>
    <row r="266" s="698" customFormat="1" customHeight="1" spans="1:77">
      <c r="A266" s="208">
        <v>46077</v>
      </c>
      <c r="B266" s="208">
        <v>46139</v>
      </c>
      <c r="C266" s="211" t="s">
        <v>513</v>
      </c>
      <c r="D266" s="211" t="s">
        <v>514</v>
      </c>
      <c r="E266" s="211" t="s">
        <v>100</v>
      </c>
      <c r="F266" s="732">
        <v>6000</v>
      </c>
      <c r="G266" s="211" t="s">
        <v>334</v>
      </c>
      <c r="H266" s="211" t="str">
        <f>IFERROR(VLOOKUP(E266,名称!A:E,4,0),"")</f>
        <v>三代</v>
      </c>
      <c r="I266" s="268" t="str">
        <f t="shared" ref="I266:BT266" si="311">IF(OR($E266="",I$1=""),"",IF(TRIM(LEFT($E266,MIN(IFERROR(FIND("CDU",UPPER($E266)),999),IFERROR(FIND("BULK",UPPER($E266)),999),IFERROR(FIND("-",$E266),999),IFERROR(FIND("（",$E266),999))-1))=I$1,$F266,""))</f>
        <v/>
      </c>
      <c r="J266" s="268" t="str">
        <f t="shared" si="311"/>
        <v/>
      </c>
      <c r="K266" s="268" t="str">
        <f t="shared" si="311"/>
        <v/>
      </c>
      <c r="L266" s="268" t="str">
        <f t="shared" si="311"/>
        <v/>
      </c>
      <c r="M266" s="268" t="str">
        <f t="shared" si="311"/>
        <v/>
      </c>
      <c r="N266" s="268" t="str">
        <f t="shared" si="311"/>
        <v/>
      </c>
      <c r="O266" s="268" t="str">
        <f t="shared" si="311"/>
        <v/>
      </c>
      <c r="P266" s="268" t="str">
        <f t="shared" si="311"/>
        <v/>
      </c>
      <c r="Q266" s="268" t="str">
        <f t="shared" si="311"/>
        <v/>
      </c>
      <c r="R266" s="268" t="str">
        <f t="shared" si="311"/>
        <v/>
      </c>
      <c r="S266" s="268" t="str">
        <f t="shared" si="311"/>
        <v/>
      </c>
      <c r="T266" s="268" t="str">
        <f t="shared" si="311"/>
        <v/>
      </c>
      <c r="U266" s="268" t="str">
        <f t="shared" si="311"/>
        <v/>
      </c>
      <c r="V266" s="268" t="str">
        <f t="shared" si="311"/>
        <v/>
      </c>
      <c r="W266" s="268" t="str">
        <f t="shared" si="311"/>
        <v/>
      </c>
      <c r="X266" s="268" t="str">
        <f t="shared" si="311"/>
        <v/>
      </c>
      <c r="Y266" s="268" t="str">
        <f t="shared" si="311"/>
        <v/>
      </c>
      <c r="Z266" s="268" t="str">
        <f t="shared" si="311"/>
        <v/>
      </c>
      <c r="AA266" s="268" t="str">
        <f t="shared" si="311"/>
        <v/>
      </c>
      <c r="AB266" s="268" t="str">
        <f t="shared" si="311"/>
        <v/>
      </c>
      <c r="AC266" s="268" t="str">
        <f t="shared" si="311"/>
        <v/>
      </c>
      <c r="AD266" s="268" t="str">
        <f t="shared" si="311"/>
        <v/>
      </c>
      <c r="AE266" s="268" t="str">
        <f t="shared" si="311"/>
        <v/>
      </c>
      <c r="AF266" s="268" t="str">
        <f t="shared" si="311"/>
        <v/>
      </c>
      <c r="AG266" s="268" t="str">
        <f t="shared" si="311"/>
        <v/>
      </c>
      <c r="AH266" s="268" t="str">
        <f t="shared" si="311"/>
        <v/>
      </c>
      <c r="AI266" s="268" t="str">
        <f t="shared" si="311"/>
        <v/>
      </c>
      <c r="AJ266" s="268" t="str">
        <f t="shared" si="311"/>
        <v/>
      </c>
      <c r="AK266" s="268" t="str">
        <f t="shared" si="311"/>
        <v/>
      </c>
      <c r="AL266" s="268" t="str">
        <f t="shared" si="311"/>
        <v/>
      </c>
      <c r="AM266" s="268" t="str">
        <f t="shared" si="311"/>
        <v/>
      </c>
      <c r="AN266" s="268" t="str">
        <f t="shared" si="311"/>
        <v/>
      </c>
      <c r="AO266" s="268" t="str">
        <f t="shared" si="311"/>
        <v/>
      </c>
      <c r="AP266" s="268" t="str">
        <f t="shared" si="311"/>
        <v/>
      </c>
      <c r="AQ266" s="268" t="str">
        <f t="shared" si="311"/>
        <v/>
      </c>
      <c r="AR266" s="268" t="str">
        <f t="shared" si="311"/>
        <v/>
      </c>
      <c r="AS266" s="268" t="str">
        <f t="shared" si="311"/>
        <v/>
      </c>
      <c r="AT266" s="268" t="str">
        <f t="shared" si="311"/>
        <v/>
      </c>
      <c r="AU266" s="268" t="str">
        <f t="shared" si="311"/>
        <v/>
      </c>
      <c r="AV266" s="268" t="str">
        <f t="shared" si="311"/>
        <v/>
      </c>
      <c r="AW266" s="268" t="str">
        <f t="shared" si="311"/>
        <v/>
      </c>
      <c r="AX266" s="268" t="str">
        <f t="shared" si="311"/>
        <v/>
      </c>
      <c r="AY266" s="268" t="str">
        <f t="shared" si="311"/>
        <v/>
      </c>
      <c r="AZ266" s="268" t="str">
        <f t="shared" si="311"/>
        <v/>
      </c>
      <c r="BA266" s="268" t="str">
        <f t="shared" si="311"/>
        <v/>
      </c>
      <c r="BB266" s="268" t="str">
        <f t="shared" si="311"/>
        <v/>
      </c>
      <c r="BC266" s="268" t="str">
        <f t="shared" si="311"/>
        <v/>
      </c>
      <c r="BD266" s="268">
        <f t="shared" si="311"/>
        <v>6000</v>
      </c>
      <c r="BE266" s="268" t="str">
        <f t="shared" si="311"/>
        <v/>
      </c>
      <c r="BF266" s="268" t="str">
        <f t="shared" si="311"/>
        <v/>
      </c>
      <c r="BG266" s="268" t="str">
        <f t="shared" si="311"/>
        <v/>
      </c>
      <c r="BH266" s="268" t="str">
        <f t="shared" si="311"/>
        <v/>
      </c>
      <c r="BI266" s="268" t="str">
        <f t="shared" si="311"/>
        <v/>
      </c>
      <c r="BJ266" s="268" t="str">
        <f t="shared" si="311"/>
        <v/>
      </c>
      <c r="BK266" s="268" t="str">
        <f t="shared" si="311"/>
        <v/>
      </c>
      <c r="BL266" s="268" t="str">
        <f t="shared" si="311"/>
        <v/>
      </c>
      <c r="BM266" s="268" t="str">
        <f t="shared" si="311"/>
        <v/>
      </c>
      <c r="BN266" s="268" t="str">
        <f t="shared" si="311"/>
        <v/>
      </c>
      <c r="BO266" s="268" t="str">
        <f t="shared" si="311"/>
        <v/>
      </c>
      <c r="BP266" s="268" t="str">
        <f t="shared" si="311"/>
        <v/>
      </c>
      <c r="BQ266" s="268" t="str">
        <f t="shared" si="311"/>
        <v/>
      </c>
      <c r="BR266" s="268" t="str">
        <f t="shared" si="311"/>
        <v/>
      </c>
      <c r="BS266" s="268" t="str">
        <f t="shared" si="311"/>
        <v/>
      </c>
      <c r="BT266" s="268" t="str">
        <f t="shared" si="311"/>
        <v/>
      </c>
      <c r="BU266" s="268" t="str">
        <f t="shared" si="301"/>
        <v/>
      </c>
      <c r="BV266" s="247">
        <v>1.24</v>
      </c>
      <c r="BW266" s="729">
        <f t="shared" si="308"/>
        <v>7440</v>
      </c>
      <c r="BX266" s="730">
        <f t="shared" si="309"/>
        <v>57660</v>
      </c>
      <c r="BY266" s="731" t="str">
        <f t="shared" si="282"/>
        <v>JS</v>
      </c>
    </row>
    <row r="267" s="698" customFormat="1" customHeight="1" spans="1:77">
      <c r="A267" s="208">
        <v>46077</v>
      </c>
      <c r="B267" s="208">
        <v>46139</v>
      </c>
      <c r="C267" s="211" t="s">
        <v>513</v>
      </c>
      <c r="D267" s="211" t="s">
        <v>514</v>
      </c>
      <c r="E267" s="211" t="s">
        <v>112</v>
      </c>
      <c r="F267" s="732">
        <v>5568</v>
      </c>
      <c r="G267" s="211" t="s">
        <v>334</v>
      </c>
      <c r="H267" s="211" t="str">
        <f>IFERROR(VLOOKUP(E267,名称!A:E,4,0),"")</f>
        <v>三代</v>
      </c>
      <c r="I267" s="268" t="str">
        <f t="shared" ref="I267:BT267" si="312">IF(OR($E267="",I$1=""),"",IF(TRIM(LEFT($E267,MIN(IFERROR(FIND("CDU",UPPER($E267)),999),IFERROR(FIND("BULK",UPPER($E267)),999),IFERROR(FIND("-",$E267),999),IFERROR(FIND("（",$E267),999))-1))=I$1,$F267,""))</f>
        <v/>
      </c>
      <c r="J267" s="268" t="str">
        <f t="shared" si="312"/>
        <v/>
      </c>
      <c r="K267" s="268" t="str">
        <f t="shared" si="312"/>
        <v/>
      </c>
      <c r="L267" s="268" t="str">
        <f t="shared" si="312"/>
        <v/>
      </c>
      <c r="M267" s="268" t="str">
        <f t="shared" si="312"/>
        <v/>
      </c>
      <c r="N267" s="268" t="str">
        <f t="shared" si="312"/>
        <v/>
      </c>
      <c r="O267" s="268" t="str">
        <f t="shared" si="312"/>
        <v/>
      </c>
      <c r="P267" s="268" t="str">
        <f t="shared" si="312"/>
        <v/>
      </c>
      <c r="Q267" s="268" t="str">
        <f t="shared" si="312"/>
        <v/>
      </c>
      <c r="R267" s="268" t="str">
        <f t="shared" si="312"/>
        <v/>
      </c>
      <c r="S267" s="268" t="str">
        <f t="shared" si="312"/>
        <v/>
      </c>
      <c r="T267" s="268" t="str">
        <f t="shared" si="312"/>
        <v/>
      </c>
      <c r="U267" s="268" t="str">
        <f t="shared" si="312"/>
        <v/>
      </c>
      <c r="V267" s="268" t="str">
        <f t="shared" si="312"/>
        <v/>
      </c>
      <c r="W267" s="268" t="str">
        <f t="shared" si="312"/>
        <v/>
      </c>
      <c r="X267" s="268" t="str">
        <f t="shared" si="312"/>
        <v/>
      </c>
      <c r="Y267" s="268" t="str">
        <f t="shared" si="312"/>
        <v/>
      </c>
      <c r="Z267" s="268" t="str">
        <f t="shared" si="312"/>
        <v/>
      </c>
      <c r="AA267" s="268" t="str">
        <f t="shared" si="312"/>
        <v/>
      </c>
      <c r="AB267" s="268" t="str">
        <f t="shared" si="312"/>
        <v/>
      </c>
      <c r="AC267" s="268" t="str">
        <f t="shared" si="312"/>
        <v/>
      </c>
      <c r="AD267" s="268" t="str">
        <f t="shared" si="312"/>
        <v/>
      </c>
      <c r="AE267" s="268" t="str">
        <f t="shared" si="312"/>
        <v/>
      </c>
      <c r="AF267" s="268" t="str">
        <f t="shared" si="312"/>
        <v/>
      </c>
      <c r="AG267" s="268" t="str">
        <f t="shared" si="312"/>
        <v/>
      </c>
      <c r="AH267" s="268" t="str">
        <f t="shared" si="312"/>
        <v/>
      </c>
      <c r="AI267" s="268">
        <f t="shared" si="312"/>
        <v>5568</v>
      </c>
      <c r="AJ267" s="268" t="str">
        <f t="shared" si="312"/>
        <v/>
      </c>
      <c r="AK267" s="268" t="str">
        <f t="shared" si="312"/>
        <v/>
      </c>
      <c r="AL267" s="268" t="str">
        <f t="shared" si="312"/>
        <v/>
      </c>
      <c r="AM267" s="268" t="str">
        <f t="shared" si="312"/>
        <v/>
      </c>
      <c r="AN267" s="268" t="str">
        <f t="shared" si="312"/>
        <v/>
      </c>
      <c r="AO267" s="268" t="str">
        <f t="shared" si="312"/>
        <v/>
      </c>
      <c r="AP267" s="268" t="str">
        <f t="shared" si="312"/>
        <v/>
      </c>
      <c r="AQ267" s="268" t="str">
        <f t="shared" si="312"/>
        <v/>
      </c>
      <c r="AR267" s="268" t="str">
        <f t="shared" si="312"/>
        <v/>
      </c>
      <c r="AS267" s="268" t="str">
        <f t="shared" si="312"/>
        <v/>
      </c>
      <c r="AT267" s="268" t="str">
        <f t="shared" si="312"/>
        <v/>
      </c>
      <c r="AU267" s="268" t="str">
        <f t="shared" si="312"/>
        <v/>
      </c>
      <c r="AV267" s="268" t="str">
        <f t="shared" si="312"/>
        <v/>
      </c>
      <c r="AW267" s="268" t="str">
        <f t="shared" si="312"/>
        <v/>
      </c>
      <c r="AX267" s="268" t="str">
        <f t="shared" si="312"/>
        <v/>
      </c>
      <c r="AY267" s="268" t="str">
        <f t="shared" si="312"/>
        <v/>
      </c>
      <c r="AZ267" s="268" t="str">
        <f t="shared" si="312"/>
        <v/>
      </c>
      <c r="BA267" s="268" t="str">
        <f t="shared" si="312"/>
        <v/>
      </c>
      <c r="BB267" s="268" t="str">
        <f t="shared" si="312"/>
        <v/>
      </c>
      <c r="BC267" s="268" t="str">
        <f t="shared" si="312"/>
        <v/>
      </c>
      <c r="BD267" s="268" t="str">
        <f t="shared" si="312"/>
        <v/>
      </c>
      <c r="BE267" s="268" t="str">
        <f t="shared" si="312"/>
        <v/>
      </c>
      <c r="BF267" s="268" t="str">
        <f t="shared" si="312"/>
        <v/>
      </c>
      <c r="BG267" s="268" t="str">
        <f t="shared" si="312"/>
        <v/>
      </c>
      <c r="BH267" s="268" t="str">
        <f t="shared" si="312"/>
        <v/>
      </c>
      <c r="BI267" s="268" t="str">
        <f t="shared" si="312"/>
        <v/>
      </c>
      <c r="BJ267" s="268" t="str">
        <f t="shared" si="312"/>
        <v/>
      </c>
      <c r="BK267" s="268" t="str">
        <f t="shared" si="312"/>
        <v/>
      </c>
      <c r="BL267" s="268" t="str">
        <f t="shared" si="312"/>
        <v/>
      </c>
      <c r="BM267" s="268" t="str">
        <f t="shared" si="312"/>
        <v/>
      </c>
      <c r="BN267" s="268" t="str">
        <f t="shared" si="312"/>
        <v/>
      </c>
      <c r="BO267" s="268" t="str">
        <f t="shared" si="312"/>
        <v/>
      </c>
      <c r="BP267" s="268" t="str">
        <f t="shared" si="312"/>
        <v/>
      </c>
      <c r="BQ267" s="268" t="str">
        <f t="shared" si="312"/>
        <v/>
      </c>
      <c r="BR267" s="268" t="str">
        <f t="shared" si="312"/>
        <v/>
      </c>
      <c r="BS267" s="268" t="str">
        <f t="shared" si="312"/>
        <v/>
      </c>
      <c r="BT267" s="268" t="str">
        <f t="shared" si="312"/>
        <v/>
      </c>
      <c r="BU267" s="268" t="str">
        <f t="shared" si="301"/>
        <v/>
      </c>
      <c r="BV267" s="247">
        <v>9.12</v>
      </c>
      <c r="BW267" s="729">
        <f t="shared" si="308"/>
        <v>50780.16</v>
      </c>
      <c r="BX267" s="730">
        <f t="shared" si="309"/>
        <v>393546.24</v>
      </c>
      <c r="BY267" s="731" t="str">
        <f t="shared" si="282"/>
        <v>SR</v>
      </c>
    </row>
    <row r="268" s="698" customFormat="1" customHeight="1" spans="1:77">
      <c r="A268" s="208">
        <v>46077</v>
      </c>
      <c r="B268" s="208">
        <v>46139</v>
      </c>
      <c r="C268" s="211" t="s">
        <v>513</v>
      </c>
      <c r="D268" s="211" t="s">
        <v>514</v>
      </c>
      <c r="E268" s="211" t="s">
        <v>112</v>
      </c>
      <c r="F268" s="732">
        <f>6000-5568</f>
        <v>432</v>
      </c>
      <c r="G268" s="211" t="s">
        <v>334</v>
      </c>
      <c r="H268" s="211" t="str">
        <f>IFERROR(VLOOKUP(E268,名称!A:E,4,0),"")</f>
        <v>三代</v>
      </c>
      <c r="I268" s="268" t="str">
        <f t="shared" ref="I268:BT268" si="313">IF(OR($E268="",I$1=""),"",IF(TRIM(LEFT($E268,MIN(IFERROR(FIND("CDU",UPPER($E268)),999),IFERROR(FIND("BULK",UPPER($E268)),999),IFERROR(FIND("-",$E268),999),IFERROR(FIND("（",$E268),999))-1))=I$1,$F268,""))</f>
        <v/>
      </c>
      <c r="J268" s="268" t="str">
        <f t="shared" si="313"/>
        <v/>
      </c>
      <c r="K268" s="268" t="str">
        <f t="shared" si="313"/>
        <v/>
      </c>
      <c r="L268" s="268" t="str">
        <f t="shared" si="313"/>
        <v/>
      </c>
      <c r="M268" s="268" t="str">
        <f t="shared" si="313"/>
        <v/>
      </c>
      <c r="N268" s="268" t="str">
        <f t="shared" si="313"/>
        <v/>
      </c>
      <c r="O268" s="268" t="str">
        <f t="shared" si="313"/>
        <v/>
      </c>
      <c r="P268" s="268" t="str">
        <f t="shared" si="313"/>
        <v/>
      </c>
      <c r="Q268" s="268" t="str">
        <f t="shared" si="313"/>
        <v/>
      </c>
      <c r="R268" s="268" t="str">
        <f t="shared" si="313"/>
        <v/>
      </c>
      <c r="S268" s="268" t="str">
        <f t="shared" si="313"/>
        <v/>
      </c>
      <c r="T268" s="268" t="str">
        <f t="shared" si="313"/>
        <v/>
      </c>
      <c r="U268" s="268" t="str">
        <f t="shared" si="313"/>
        <v/>
      </c>
      <c r="V268" s="268" t="str">
        <f t="shared" si="313"/>
        <v/>
      </c>
      <c r="W268" s="268" t="str">
        <f t="shared" si="313"/>
        <v/>
      </c>
      <c r="X268" s="268" t="str">
        <f t="shared" si="313"/>
        <v/>
      </c>
      <c r="Y268" s="268" t="str">
        <f t="shared" si="313"/>
        <v/>
      </c>
      <c r="Z268" s="268" t="str">
        <f t="shared" si="313"/>
        <v/>
      </c>
      <c r="AA268" s="268" t="str">
        <f t="shared" si="313"/>
        <v/>
      </c>
      <c r="AB268" s="268" t="str">
        <f t="shared" si="313"/>
        <v/>
      </c>
      <c r="AC268" s="268" t="str">
        <f t="shared" si="313"/>
        <v/>
      </c>
      <c r="AD268" s="268" t="str">
        <f t="shared" si="313"/>
        <v/>
      </c>
      <c r="AE268" s="268" t="str">
        <f t="shared" si="313"/>
        <v/>
      </c>
      <c r="AF268" s="268" t="str">
        <f t="shared" si="313"/>
        <v/>
      </c>
      <c r="AG268" s="268" t="str">
        <f t="shared" si="313"/>
        <v/>
      </c>
      <c r="AH268" s="268" t="str">
        <f t="shared" si="313"/>
        <v/>
      </c>
      <c r="AI268" s="268">
        <f t="shared" si="313"/>
        <v>432</v>
      </c>
      <c r="AJ268" s="268" t="str">
        <f t="shared" si="313"/>
        <v/>
      </c>
      <c r="AK268" s="268" t="str">
        <f t="shared" si="313"/>
        <v/>
      </c>
      <c r="AL268" s="268" t="str">
        <f t="shared" si="313"/>
        <v/>
      </c>
      <c r="AM268" s="268" t="str">
        <f t="shared" si="313"/>
        <v/>
      </c>
      <c r="AN268" s="268" t="str">
        <f t="shared" si="313"/>
        <v/>
      </c>
      <c r="AO268" s="268" t="str">
        <f t="shared" si="313"/>
        <v/>
      </c>
      <c r="AP268" s="268" t="str">
        <f t="shared" si="313"/>
        <v/>
      </c>
      <c r="AQ268" s="268" t="str">
        <f t="shared" si="313"/>
        <v/>
      </c>
      <c r="AR268" s="268" t="str">
        <f t="shared" si="313"/>
        <v/>
      </c>
      <c r="AS268" s="268" t="str">
        <f t="shared" si="313"/>
        <v/>
      </c>
      <c r="AT268" s="268" t="str">
        <f t="shared" si="313"/>
        <v/>
      </c>
      <c r="AU268" s="268" t="str">
        <f t="shared" si="313"/>
        <v/>
      </c>
      <c r="AV268" s="268" t="str">
        <f t="shared" si="313"/>
        <v/>
      </c>
      <c r="AW268" s="268" t="str">
        <f t="shared" si="313"/>
        <v/>
      </c>
      <c r="AX268" s="268" t="str">
        <f t="shared" si="313"/>
        <v/>
      </c>
      <c r="AY268" s="268" t="str">
        <f t="shared" si="313"/>
        <v/>
      </c>
      <c r="AZ268" s="268" t="str">
        <f t="shared" si="313"/>
        <v/>
      </c>
      <c r="BA268" s="268" t="str">
        <f t="shared" si="313"/>
        <v/>
      </c>
      <c r="BB268" s="268" t="str">
        <f t="shared" si="313"/>
        <v/>
      </c>
      <c r="BC268" s="268" t="str">
        <f t="shared" si="313"/>
        <v/>
      </c>
      <c r="BD268" s="268" t="str">
        <f t="shared" si="313"/>
        <v/>
      </c>
      <c r="BE268" s="268" t="str">
        <f t="shared" si="313"/>
        <v/>
      </c>
      <c r="BF268" s="268" t="str">
        <f t="shared" si="313"/>
        <v/>
      </c>
      <c r="BG268" s="268" t="str">
        <f t="shared" si="313"/>
        <v/>
      </c>
      <c r="BH268" s="268" t="str">
        <f t="shared" si="313"/>
        <v/>
      </c>
      <c r="BI268" s="268" t="str">
        <f t="shared" si="313"/>
        <v/>
      </c>
      <c r="BJ268" s="268" t="str">
        <f t="shared" si="313"/>
        <v/>
      </c>
      <c r="BK268" s="268" t="str">
        <f t="shared" si="313"/>
        <v/>
      </c>
      <c r="BL268" s="268" t="str">
        <f t="shared" si="313"/>
        <v/>
      </c>
      <c r="BM268" s="268" t="str">
        <f t="shared" si="313"/>
        <v/>
      </c>
      <c r="BN268" s="268" t="str">
        <f t="shared" si="313"/>
        <v/>
      </c>
      <c r="BO268" s="268" t="str">
        <f t="shared" si="313"/>
        <v/>
      </c>
      <c r="BP268" s="268" t="str">
        <f t="shared" si="313"/>
        <v/>
      </c>
      <c r="BQ268" s="268" t="str">
        <f t="shared" si="313"/>
        <v/>
      </c>
      <c r="BR268" s="268" t="str">
        <f t="shared" si="313"/>
        <v/>
      </c>
      <c r="BS268" s="268" t="str">
        <f t="shared" si="313"/>
        <v/>
      </c>
      <c r="BT268" s="268" t="str">
        <f t="shared" si="313"/>
        <v/>
      </c>
      <c r="BU268" s="268" t="str">
        <f t="shared" si="301"/>
        <v/>
      </c>
      <c r="BV268" s="247">
        <v>9.95</v>
      </c>
      <c r="BW268" s="729">
        <f t="shared" si="308"/>
        <v>4298.4</v>
      </c>
      <c r="BX268" s="730">
        <f t="shared" si="309"/>
        <v>33312.6</v>
      </c>
      <c r="BY268" s="731" t="str">
        <f t="shared" si="282"/>
        <v>SR</v>
      </c>
    </row>
    <row r="269" s="698" customFormat="1" customHeight="1" spans="1:77">
      <c r="A269" s="208">
        <v>46077</v>
      </c>
      <c r="B269" s="208">
        <v>46139</v>
      </c>
      <c r="C269" s="211" t="s">
        <v>513</v>
      </c>
      <c r="D269" s="211" t="s">
        <v>514</v>
      </c>
      <c r="E269" s="211" t="s">
        <v>112</v>
      </c>
      <c r="F269" s="732">
        <v>6000</v>
      </c>
      <c r="G269" s="211" t="s">
        <v>334</v>
      </c>
      <c r="H269" s="211" t="str">
        <f>IFERROR(VLOOKUP(E269,名称!A:E,4,0),"")</f>
        <v>三代</v>
      </c>
      <c r="I269" s="268" t="str">
        <f t="shared" ref="I269:BT269" si="314">IF(OR($E269="",I$1=""),"",IF(TRIM(LEFT($E269,MIN(IFERROR(FIND("CDU",UPPER($E269)),999),IFERROR(FIND("BULK",UPPER($E269)),999),IFERROR(FIND("-",$E269),999),IFERROR(FIND("（",$E269),999))-1))=I$1,$F269,""))</f>
        <v/>
      </c>
      <c r="J269" s="268" t="str">
        <f t="shared" si="314"/>
        <v/>
      </c>
      <c r="K269" s="268" t="str">
        <f t="shared" si="314"/>
        <v/>
      </c>
      <c r="L269" s="268" t="str">
        <f t="shared" si="314"/>
        <v/>
      </c>
      <c r="M269" s="268" t="str">
        <f t="shared" si="314"/>
        <v/>
      </c>
      <c r="N269" s="268" t="str">
        <f t="shared" si="314"/>
        <v/>
      </c>
      <c r="O269" s="268" t="str">
        <f t="shared" si="314"/>
        <v/>
      </c>
      <c r="P269" s="268" t="str">
        <f t="shared" si="314"/>
        <v/>
      </c>
      <c r="Q269" s="268" t="str">
        <f t="shared" si="314"/>
        <v/>
      </c>
      <c r="R269" s="268" t="str">
        <f t="shared" si="314"/>
        <v/>
      </c>
      <c r="S269" s="268" t="str">
        <f t="shared" si="314"/>
        <v/>
      </c>
      <c r="T269" s="268" t="str">
        <f t="shared" si="314"/>
        <v/>
      </c>
      <c r="U269" s="268" t="str">
        <f t="shared" si="314"/>
        <v/>
      </c>
      <c r="V269" s="268" t="str">
        <f t="shared" si="314"/>
        <v/>
      </c>
      <c r="W269" s="268" t="str">
        <f t="shared" si="314"/>
        <v/>
      </c>
      <c r="X269" s="268" t="str">
        <f t="shared" si="314"/>
        <v/>
      </c>
      <c r="Y269" s="268" t="str">
        <f t="shared" si="314"/>
        <v/>
      </c>
      <c r="Z269" s="268" t="str">
        <f t="shared" si="314"/>
        <v/>
      </c>
      <c r="AA269" s="268" t="str">
        <f t="shared" si="314"/>
        <v/>
      </c>
      <c r="AB269" s="268" t="str">
        <f t="shared" si="314"/>
        <v/>
      </c>
      <c r="AC269" s="268" t="str">
        <f t="shared" si="314"/>
        <v/>
      </c>
      <c r="AD269" s="268" t="str">
        <f t="shared" si="314"/>
        <v/>
      </c>
      <c r="AE269" s="268" t="str">
        <f t="shared" si="314"/>
        <v/>
      </c>
      <c r="AF269" s="268" t="str">
        <f t="shared" si="314"/>
        <v/>
      </c>
      <c r="AG269" s="268" t="str">
        <f t="shared" si="314"/>
        <v/>
      </c>
      <c r="AH269" s="268" t="str">
        <f t="shared" si="314"/>
        <v/>
      </c>
      <c r="AI269" s="268">
        <f t="shared" si="314"/>
        <v>6000</v>
      </c>
      <c r="AJ269" s="268" t="str">
        <f t="shared" si="314"/>
        <v/>
      </c>
      <c r="AK269" s="268" t="str">
        <f t="shared" si="314"/>
        <v/>
      </c>
      <c r="AL269" s="268" t="str">
        <f t="shared" si="314"/>
        <v/>
      </c>
      <c r="AM269" s="268" t="str">
        <f t="shared" si="314"/>
        <v/>
      </c>
      <c r="AN269" s="268" t="str">
        <f t="shared" si="314"/>
        <v/>
      </c>
      <c r="AO269" s="268" t="str">
        <f t="shared" si="314"/>
        <v/>
      </c>
      <c r="AP269" s="268" t="str">
        <f t="shared" si="314"/>
        <v/>
      </c>
      <c r="AQ269" s="268" t="str">
        <f t="shared" si="314"/>
        <v/>
      </c>
      <c r="AR269" s="268" t="str">
        <f t="shared" si="314"/>
        <v/>
      </c>
      <c r="AS269" s="268" t="str">
        <f t="shared" si="314"/>
        <v/>
      </c>
      <c r="AT269" s="268" t="str">
        <f t="shared" si="314"/>
        <v/>
      </c>
      <c r="AU269" s="268" t="str">
        <f t="shared" si="314"/>
        <v/>
      </c>
      <c r="AV269" s="268" t="str">
        <f t="shared" si="314"/>
        <v/>
      </c>
      <c r="AW269" s="268" t="str">
        <f t="shared" si="314"/>
        <v/>
      </c>
      <c r="AX269" s="268" t="str">
        <f t="shared" si="314"/>
        <v/>
      </c>
      <c r="AY269" s="268" t="str">
        <f t="shared" si="314"/>
        <v/>
      </c>
      <c r="AZ269" s="268" t="str">
        <f t="shared" si="314"/>
        <v/>
      </c>
      <c r="BA269" s="268" t="str">
        <f t="shared" si="314"/>
        <v/>
      </c>
      <c r="BB269" s="268" t="str">
        <f t="shared" si="314"/>
        <v/>
      </c>
      <c r="BC269" s="268" t="str">
        <f t="shared" si="314"/>
        <v/>
      </c>
      <c r="BD269" s="268" t="str">
        <f t="shared" si="314"/>
        <v/>
      </c>
      <c r="BE269" s="268" t="str">
        <f t="shared" si="314"/>
        <v/>
      </c>
      <c r="BF269" s="268" t="str">
        <f t="shared" si="314"/>
        <v/>
      </c>
      <c r="BG269" s="268" t="str">
        <f t="shared" si="314"/>
        <v/>
      </c>
      <c r="BH269" s="268" t="str">
        <f t="shared" si="314"/>
        <v/>
      </c>
      <c r="BI269" s="268" t="str">
        <f t="shared" si="314"/>
        <v/>
      </c>
      <c r="BJ269" s="268" t="str">
        <f t="shared" si="314"/>
        <v/>
      </c>
      <c r="BK269" s="268" t="str">
        <f t="shared" si="314"/>
        <v/>
      </c>
      <c r="BL269" s="268" t="str">
        <f t="shared" si="314"/>
        <v/>
      </c>
      <c r="BM269" s="268" t="str">
        <f t="shared" si="314"/>
        <v/>
      </c>
      <c r="BN269" s="268" t="str">
        <f t="shared" si="314"/>
        <v/>
      </c>
      <c r="BO269" s="268" t="str">
        <f t="shared" si="314"/>
        <v/>
      </c>
      <c r="BP269" s="268" t="str">
        <f t="shared" si="314"/>
        <v/>
      </c>
      <c r="BQ269" s="268" t="str">
        <f t="shared" si="314"/>
        <v/>
      </c>
      <c r="BR269" s="268" t="str">
        <f t="shared" si="314"/>
        <v/>
      </c>
      <c r="BS269" s="268" t="str">
        <f t="shared" si="314"/>
        <v/>
      </c>
      <c r="BT269" s="268" t="str">
        <f t="shared" si="314"/>
        <v/>
      </c>
      <c r="BU269" s="268" t="str">
        <f t="shared" si="301"/>
        <v/>
      </c>
      <c r="BV269" s="247">
        <v>9.12</v>
      </c>
      <c r="BW269" s="729">
        <f t="shared" si="308"/>
        <v>54720</v>
      </c>
      <c r="BX269" s="730">
        <f t="shared" si="309"/>
        <v>424080</v>
      </c>
      <c r="BY269" s="731" t="str">
        <f t="shared" si="282"/>
        <v>SR</v>
      </c>
    </row>
    <row r="270" s="698" customFormat="1" customHeight="1" spans="1:77">
      <c r="A270" s="208">
        <v>46077</v>
      </c>
      <c r="B270" s="208">
        <v>46139</v>
      </c>
      <c r="C270" s="211" t="s">
        <v>513</v>
      </c>
      <c r="D270" s="211" t="s">
        <v>514</v>
      </c>
      <c r="E270" s="211" t="s">
        <v>82</v>
      </c>
      <c r="F270" s="732">
        <v>6000</v>
      </c>
      <c r="G270" s="211" t="s">
        <v>334</v>
      </c>
      <c r="H270" s="211" t="str">
        <f>IFERROR(VLOOKUP(E270,名称!A:E,4,0),"")</f>
        <v>二代</v>
      </c>
      <c r="I270" s="268" t="str">
        <f t="shared" ref="I270:BT270" si="315">IF(OR($E270="",I$1=""),"",IF(TRIM(LEFT($E270,MIN(IFERROR(FIND("CDU",UPPER($E270)),999),IFERROR(FIND("BULK",UPPER($E270)),999),IFERROR(FIND("-",$E270),999),IFERROR(FIND("（",$E270),999))-1))=I$1,$F270,""))</f>
        <v/>
      </c>
      <c r="J270" s="268" t="str">
        <f t="shared" si="315"/>
        <v/>
      </c>
      <c r="K270" s="268" t="str">
        <f t="shared" si="315"/>
        <v/>
      </c>
      <c r="L270" s="268" t="str">
        <f t="shared" si="315"/>
        <v/>
      </c>
      <c r="M270" s="268" t="str">
        <f t="shared" si="315"/>
        <v/>
      </c>
      <c r="N270" s="268" t="str">
        <f t="shared" si="315"/>
        <v/>
      </c>
      <c r="O270" s="268" t="str">
        <f t="shared" si="315"/>
        <v/>
      </c>
      <c r="P270" s="268" t="str">
        <f t="shared" si="315"/>
        <v/>
      </c>
      <c r="Q270" s="268" t="str">
        <f t="shared" si="315"/>
        <v/>
      </c>
      <c r="R270" s="268" t="str">
        <f t="shared" si="315"/>
        <v/>
      </c>
      <c r="S270" s="268" t="str">
        <f t="shared" si="315"/>
        <v/>
      </c>
      <c r="T270" s="268" t="str">
        <f t="shared" si="315"/>
        <v/>
      </c>
      <c r="U270" s="268" t="str">
        <f t="shared" si="315"/>
        <v/>
      </c>
      <c r="V270" s="268" t="str">
        <f t="shared" si="315"/>
        <v/>
      </c>
      <c r="W270" s="268" t="str">
        <f t="shared" si="315"/>
        <v/>
      </c>
      <c r="X270" s="268" t="str">
        <f t="shared" si="315"/>
        <v/>
      </c>
      <c r="Y270" s="268" t="str">
        <f t="shared" si="315"/>
        <v/>
      </c>
      <c r="Z270" s="268">
        <f t="shared" si="315"/>
        <v>6000</v>
      </c>
      <c r="AA270" s="268" t="str">
        <f t="shared" si="315"/>
        <v/>
      </c>
      <c r="AB270" s="268" t="str">
        <f t="shared" si="315"/>
        <v/>
      </c>
      <c r="AC270" s="268" t="str">
        <f t="shared" si="315"/>
        <v/>
      </c>
      <c r="AD270" s="268" t="str">
        <f t="shared" si="315"/>
        <v/>
      </c>
      <c r="AE270" s="268" t="str">
        <f t="shared" si="315"/>
        <v/>
      </c>
      <c r="AF270" s="268" t="str">
        <f t="shared" si="315"/>
        <v/>
      </c>
      <c r="AG270" s="268" t="str">
        <f t="shared" si="315"/>
        <v/>
      </c>
      <c r="AH270" s="268" t="str">
        <f t="shared" si="315"/>
        <v/>
      </c>
      <c r="AI270" s="268" t="str">
        <f t="shared" si="315"/>
        <v/>
      </c>
      <c r="AJ270" s="268" t="str">
        <f t="shared" si="315"/>
        <v/>
      </c>
      <c r="AK270" s="268" t="str">
        <f t="shared" si="315"/>
        <v/>
      </c>
      <c r="AL270" s="268" t="str">
        <f t="shared" si="315"/>
        <v/>
      </c>
      <c r="AM270" s="268" t="str">
        <f t="shared" si="315"/>
        <v/>
      </c>
      <c r="AN270" s="268" t="str">
        <f t="shared" si="315"/>
        <v/>
      </c>
      <c r="AO270" s="268" t="str">
        <f t="shared" si="315"/>
        <v/>
      </c>
      <c r="AP270" s="268" t="str">
        <f t="shared" si="315"/>
        <v/>
      </c>
      <c r="AQ270" s="268" t="str">
        <f t="shared" si="315"/>
        <v/>
      </c>
      <c r="AR270" s="268" t="str">
        <f t="shared" si="315"/>
        <v/>
      </c>
      <c r="AS270" s="268" t="str">
        <f t="shared" si="315"/>
        <v/>
      </c>
      <c r="AT270" s="268" t="str">
        <f t="shared" si="315"/>
        <v/>
      </c>
      <c r="AU270" s="268" t="str">
        <f t="shared" si="315"/>
        <v/>
      </c>
      <c r="AV270" s="268" t="str">
        <f t="shared" si="315"/>
        <v/>
      </c>
      <c r="AW270" s="268" t="str">
        <f t="shared" si="315"/>
        <v/>
      </c>
      <c r="AX270" s="268" t="str">
        <f t="shared" si="315"/>
        <v/>
      </c>
      <c r="AY270" s="268" t="str">
        <f t="shared" si="315"/>
        <v/>
      </c>
      <c r="AZ270" s="268" t="str">
        <f t="shared" si="315"/>
        <v/>
      </c>
      <c r="BA270" s="268" t="str">
        <f t="shared" si="315"/>
        <v/>
      </c>
      <c r="BB270" s="268" t="str">
        <f t="shared" si="315"/>
        <v/>
      </c>
      <c r="BC270" s="268" t="str">
        <f t="shared" si="315"/>
        <v/>
      </c>
      <c r="BD270" s="268" t="str">
        <f t="shared" si="315"/>
        <v/>
      </c>
      <c r="BE270" s="268" t="str">
        <f t="shared" si="315"/>
        <v/>
      </c>
      <c r="BF270" s="268" t="str">
        <f t="shared" si="315"/>
        <v/>
      </c>
      <c r="BG270" s="268" t="str">
        <f t="shared" si="315"/>
        <v/>
      </c>
      <c r="BH270" s="268" t="str">
        <f t="shared" si="315"/>
        <v/>
      </c>
      <c r="BI270" s="268" t="str">
        <f t="shared" si="315"/>
        <v/>
      </c>
      <c r="BJ270" s="268" t="str">
        <f t="shared" si="315"/>
        <v/>
      </c>
      <c r="BK270" s="268" t="str">
        <f t="shared" si="315"/>
        <v/>
      </c>
      <c r="BL270" s="268" t="str">
        <f t="shared" si="315"/>
        <v/>
      </c>
      <c r="BM270" s="268" t="str">
        <f t="shared" si="315"/>
        <v/>
      </c>
      <c r="BN270" s="268" t="str">
        <f t="shared" si="315"/>
        <v/>
      </c>
      <c r="BO270" s="268" t="str">
        <f t="shared" si="315"/>
        <v/>
      </c>
      <c r="BP270" s="268" t="str">
        <f t="shared" si="315"/>
        <v/>
      </c>
      <c r="BQ270" s="268" t="str">
        <f t="shared" si="315"/>
        <v/>
      </c>
      <c r="BR270" s="268" t="str">
        <f t="shared" si="315"/>
        <v/>
      </c>
      <c r="BS270" s="268" t="str">
        <f t="shared" si="315"/>
        <v/>
      </c>
      <c r="BT270" s="268" t="str">
        <f t="shared" si="315"/>
        <v/>
      </c>
      <c r="BU270" s="268" t="str">
        <f t="shared" si="301"/>
        <v/>
      </c>
      <c r="BV270" s="247">
        <v>1.49</v>
      </c>
      <c r="BW270" s="729">
        <f t="shared" si="308"/>
        <v>8940</v>
      </c>
      <c r="BX270" s="730">
        <f t="shared" si="309"/>
        <v>69285</v>
      </c>
      <c r="BY270" s="731" t="str">
        <f t="shared" si="282"/>
        <v>SR</v>
      </c>
    </row>
    <row r="271" s="697" customFormat="1" customHeight="1" spans="1:77">
      <c r="A271" s="116">
        <v>46077</v>
      </c>
      <c r="B271" s="566">
        <v>46308</v>
      </c>
      <c r="C271" s="118" t="s">
        <v>515</v>
      </c>
      <c r="D271" s="118" t="s">
        <v>516</v>
      </c>
      <c r="E271" s="572" t="s">
        <v>59</v>
      </c>
      <c r="F271" s="573">
        <v>2184</v>
      </c>
      <c r="G271" s="422" t="s">
        <v>270</v>
      </c>
      <c r="H271" s="118" t="str">
        <f>IFERROR(VLOOKUP(E271,名称!A:E,4,0),"")</f>
        <v>三代</v>
      </c>
      <c r="I271" s="418" t="str">
        <f t="shared" ref="I271:BT271" si="316">IF(OR($E271="",I$1=""),"",IF(TRIM(LEFT($E271,MIN(IFERROR(FIND("CDU",UPPER($E271)),999),IFERROR(FIND("BULK",UPPER($E271)),999),IFERROR(FIND("-",$E271),999),IFERROR(FIND("（",$E271),999))-1))=I$1,$F271,""))</f>
        <v/>
      </c>
      <c r="J271" s="418" t="str">
        <f t="shared" si="316"/>
        <v/>
      </c>
      <c r="K271" s="418" t="str">
        <f t="shared" si="316"/>
        <v/>
      </c>
      <c r="L271" s="418" t="str">
        <f t="shared" si="316"/>
        <v/>
      </c>
      <c r="M271" s="418" t="str">
        <f t="shared" si="316"/>
        <v/>
      </c>
      <c r="N271" s="418" t="str">
        <f t="shared" si="316"/>
        <v/>
      </c>
      <c r="O271" s="418" t="str">
        <f t="shared" si="316"/>
        <v/>
      </c>
      <c r="P271" s="418" t="str">
        <f t="shared" si="316"/>
        <v/>
      </c>
      <c r="Q271" s="418" t="str">
        <f t="shared" si="316"/>
        <v/>
      </c>
      <c r="R271" s="418" t="str">
        <f t="shared" si="316"/>
        <v/>
      </c>
      <c r="S271" s="418" t="str">
        <f t="shared" si="316"/>
        <v/>
      </c>
      <c r="T271" s="418" t="str">
        <f t="shared" si="316"/>
        <v/>
      </c>
      <c r="U271" s="418" t="str">
        <f t="shared" si="316"/>
        <v/>
      </c>
      <c r="V271" s="418" t="str">
        <f t="shared" si="316"/>
        <v/>
      </c>
      <c r="W271" s="418" t="str">
        <f t="shared" si="316"/>
        <v/>
      </c>
      <c r="X271" s="418" t="str">
        <f t="shared" si="316"/>
        <v/>
      </c>
      <c r="Y271" s="418" t="str">
        <f t="shared" si="316"/>
        <v/>
      </c>
      <c r="Z271" s="418" t="str">
        <f t="shared" si="316"/>
        <v/>
      </c>
      <c r="AA271" s="418" t="str">
        <f t="shared" si="316"/>
        <v/>
      </c>
      <c r="AB271" s="418" t="str">
        <f t="shared" si="316"/>
        <v/>
      </c>
      <c r="AC271" s="418" t="str">
        <f t="shared" si="316"/>
        <v/>
      </c>
      <c r="AD271" s="418">
        <f t="shared" si="316"/>
        <v>2184</v>
      </c>
      <c r="AE271" s="418" t="str">
        <f t="shared" si="316"/>
        <v/>
      </c>
      <c r="AF271" s="418" t="str">
        <f t="shared" si="316"/>
        <v/>
      </c>
      <c r="AG271" s="418" t="str">
        <f t="shared" si="316"/>
        <v/>
      </c>
      <c r="AH271" s="418" t="str">
        <f t="shared" si="316"/>
        <v/>
      </c>
      <c r="AI271" s="418" t="str">
        <f t="shared" si="316"/>
        <v/>
      </c>
      <c r="AJ271" s="418" t="str">
        <f t="shared" si="316"/>
        <v/>
      </c>
      <c r="AK271" s="418" t="str">
        <f t="shared" si="316"/>
        <v/>
      </c>
      <c r="AL271" s="418" t="str">
        <f t="shared" si="316"/>
        <v/>
      </c>
      <c r="AM271" s="418" t="str">
        <f t="shared" si="316"/>
        <v/>
      </c>
      <c r="AN271" s="418" t="str">
        <f t="shared" si="316"/>
        <v/>
      </c>
      <c r="AO271" s="418" t="str">
        <f t="shared" si="316"/>
        <v/>
      </c>
      <c r="AP271" s="418" t="str">
        <f t="shared" si="316"/>
        <v/>
      </c>
      <c r="AQ271" s="418" t="str">
        <f t="shared" si="316"/>
        <v/>
      </c>
      <c r="AR271" s="418" t="str">
        <f t="shared" si="316"/>
        <v/>
      </c>
      <c r="AS271" s="418" t="str">
        <f t="shared" si="316"/>
        <v/>
      </c>
      <c r="AT271" s="418" t="str">
        <f t="shared" si="316"/>
        <v/>
      </c>
      <c r="AU271" s="418" t="str">
        <f t="shared" si="316"/>
        <v/>
      </c>
      <c r="AV271" s="418" t="str">
        <f t="shared" si="316"/>
        <v/>
      </c>
      <c r="AW271" s="418" t="str">
        <f t="shared" si="316"/>
        <v/>
      </c>
      <c r="AX271" s="418" t="str">
        <f t="shared" si="316"/>
        <v/>
      </c>
      <c r="AY271" s="418" t="str">
        <f t="shared" si="316"/>
        <v/>
      </c>
      <c r="AZ271" s="418" t="str">
        <f t="shared" si="316"/>
        <v/>
      </c>
      <c r="BA271" s="418" t="str">
        <f t="shared" si="316"/>
        <v/>
      </c>
      <c r="BB271" s="418" t="str">
        <f t="shared" si="316"/>
        <v/>
      </c>
      <c r="BC271" s="418" t="str">
        <f t="shared" si="316"/>
        <v/>
      </c>
      <c r="BD271" s="418" t="str">
        <f t="shared" si="316"/>
        <v/>
      </c>
      <c r="BE271" s="418" t="str">
        <f t="shared" si="316"/>
        <v/>
      </c>
      <c r="BF271" s="418" t="str">
        <f t="shared" si="316"/>
        <v/>
      </c>
      <c r="BG271" s="418" t="str">
        <f t="shared" si="316"/>
        <v/>
      </c>
      <c r="BH271" s="418" t="str">
        <f t="shared" si="316"/>
        <v/>
      </c>
      <c r="BI271" s="418" t="str">
        <f t="shared" si="316"/>
        <v/>
      </c>
      <c r="BJ271" s="418" t="str">
        <f t="shared" si="316"/>
        <v/>
      </c>
      <c r="BK271" s="418" t="str">
        <f t="shared" si="316"/>
        <v/>
      </c>
      <c r="BL271" s="418" t="str">
        <f t="shared" si="316"/>
        <v/>
      </c>
      <c r="BM271" s="418" t="str">
        <f t="shared" si="316"/>
        <v/>
      </c>
      <c r="BN271" s="418" t="str">
        <f t="shared" si="316"/>
        <v/>
      </c>
      <c r="BO271" s="418" t="str">
        <f t="shared" si="316"/>
        <v/>
      </c>
      <c r="BP271" s="418" t="str">
        <f t="shared" si="316"/>
        <v/>
      </c>
      <c r="BQ271" s="418" t="str">
        <f t="shared" si="316"/>
        <v/>
      </c>
      <c r="BR271" s="418" t="str">
        <f t="shared" si="316"/>
        <v/>
      </c>
      <c r="BS271" s="418" t="str">
        <f t="shared" si="316"/>
        <v/>
      </c>
      <c r="BT271" s="418" t="str">
        <f t="shared" si="316"/>
        <v/>
      </c>
      <c r="BU271" s="418" t="str">
        <f t="shared" si="301"/>
        <v/>
      </c>
      <c r="BV271" s="544">
        <v>0.63</v>
      </c>
      <c r="BW271" s="723">
        <f t="shared" si="308"/>
        <v>1375.92</v>
      </c>
      <c r="BX271" s="724">
        <f t="shared" si="309"/>
        <v>10663.38</v>
      </c>
      <c r="BY271" s="725" t="str">
        <f t="shared" si="282"/>
        <v>SR</v>
      </c>
    </row>
    <row r="272" s="698" customFormat="1" customHeight="1" spans="1:77">
      <c r="A272" s="208">
        <v>46077</v>
      </c>
      <c r="B272" s="208">
        <v>46139</v>
      </c>
      <c r="C272" s="211"/>
      <c r="D272" s="211" t="s">
        <v>517</v>
      </c>
      <c r="E272" s="211" t="s">
        <v>99</v>
      </c>
      <c r="F272" s="732">
        <v>24000</v>
      </c>
      <c r="G272" s="211" t="s">
        <v>334</v>
      </c>
      <c r="H272" s="211" t="str">
        <f>IFERROR(VLOOKUP(E272,名称!A:E,4,0),"")</f>
        <v>三代</v>
      </c>
      <c r="I272" s="268" t="str">
        <f t="shared" ref="I272:BT272" si="317">IF(OR($E272="",I$1=""),"",IF(TRIM(LEFT($E272,MIN(IFERROR(FIND("CDU",UPPER($E272)),999),IFERROR(FIND("BULK",UPPER($E272)),999),IFERROR(FIND("-",$E272),999),IFERROR(FIND("（",$E272),999))-1))=I$1,$F272,""))</f>
        <v/>
      </c>
      <c r="J272" s="268" t="str">
        <f t="shared" si="317"/>
        <v/>
      </c>
      <c r="K272" s="268" t="str">
        <f t="shared" si="317"/>
        <v/>
      </c>
      <c r="L272" s="268" t="str">
        <f t="shared" si="317"/>
        <v/>
      </c>
      <c r="M272" s="268" t="str">
        <f t="shared" si="317"/>
        <v/>
      </c>
      <c r="N272" s="268" t="str">
        <f t="shared" si="317"/>
        <v/>
      </c>
      <c r="O272" s="268" t="str">
        <f t="shared" si="317"/>
        <v/>
      </c>
      <c r="P272" s="268" t="str">
        <f t="shared" si="317"/>
        <v/>
      </c>
      <c r="Q272" s="268" t="str">
        <f t="shared" si="317"/>
        <v/>
      </c>
      <c r="R272" s="268" t="str">
        <f t="shared" si="317"/>
        <v/>
      </c>
      <c r="S272" s="268" t="str">
        <f t="shared" si="317"/>
        <v/>
      </c>
      <c r="T272" s="268" t="str">
        <f t="shared" si="317"/>
        <v/>
      </c>
      <c r="U272" s="268" t="str">
        <f t="shared" si="317"/>
        <v/>
      </c>
      <c r="V272" s="268" t="str">
        <f t="shared" si="317"/>
        <v/>
      </c>
      <c r="W272" s="268" t="str">
        <f t="shared" si="317"/>
        <v/>
      </c>
      <c r="X272" s="268" t="str">
        <f t="shared" si="317"/>
        <v/>
      </c>
      <c r="Y272" s="268" t="str">
        <f t="shared" si="317"/>
        <v/>
      </c>
      <c r="Z272" s="268" t="str">
        <f t="shared" si="317"/>
        <v/>
      </c>
      <c r="AA272" s="268" t="str">
        <f t="shared" si="317"/>
        <v/>
      </c>
      <c r="AB272" s="268" t="str">
        <f t="shared" si="317"/>
        <v/>
      </c>
      <c r="AC272" s="268">
        <f t="shared" si="317"/>
        <v>24000</v>
      </c>
      <c r="AD272" s="268" t="str">
        <f t="shared" si="317"/>
        <v/>
      </c>
      <c r="AE272" s="268" t="str">
        <f t="shared" si="317"/>
        <v/>
      </c>
      <c r="AF272" s="268" t="str">
        <f t="shared" si="317"/>
        <v/>
      </c>
      <c r="AG272" s="268" t="str">
        <f t="shared" si="317"/>
        <v/>
      </c>
      <c r="AH272" s="268" t="str">
        <f t="shared" si="317"/>
        <v/>
      </c>
      <c r="AI272" s="268" t="str">
        <f t="shared" si="317"/>
        <v/>
      </c>
      <c r="AJ272" s="268" t="str">
        <f t="shared" si="317"/>
        <v/>
      </c>
      <c r="AK272" s="268" t="str">
        <f t="shared" si="317"/>
        <v/>
      </c>
      <c r="AL272" s="268" t="str">
        <f t="shared" si="317"/>
        <v/>
      </c>
      <c r="AM272" s="268" t="str">
        <f t="shared" si="317"/>
        <v/>
      </c>
      <c r="AN272" s="268" t="str">
        <f t="shared" si="317"/>
        <v/>
      </c>
      <c r="AO272" s="268" t="str">
        <f t="shared" si="317"/>
        <v/>
      </c>
      <c r="AP272" s="268" t="str">
        <f t="shared" si="317"/>
        <v/>
      </c>
      <c r="AQ272" s="268" t="str">
        <f t="shared" si="317"/>
        <v/>
      </c>
      <c r="AR272" s="268" t="str">
        <f t="shared" si="317"/>
        <v/>
      </c>
      <c r="AS272" s="268" t="str">
        <f t="shared" si="317"/>
        <v/>
      </c>
      <c r="AT272" s="268" t="str">
        <f t="shared" si="317"/>
        <v/>
      </c>
      <c r="AU272" s="268" t="str">
        <f t="shared" si="317"/>
        <v/>
      </c>
      <c r="AV272" s="268" t="str">
        <f t="shared" si="317"/>
        <v/>
      </c>
      <c r="AW272" s="268" t="str">
        <f t="shared" si="317"/>
        <v/>
      </c>
      <c r="AX272" s="268" t="str">
        <f t="shared" si="317"/>
        <v/>
      </c>
      <c r="AY272" s="268" t="str">
        <f t="shared" si="317"/>
        <v/>
      </c>
      <c r="AZ272" s="268" t="str">
        <f t="shared" si="317"/>
        <v/>
      </c>
      <c r="BA272" s="268" t="str">
        <f t="shared" si="317"/>
        <v/>
      </c>
      <c r="BB272" s="268" t="str">
        <f t="shared" si="317"/>
        <v/>
      </c>
      <c r="BC272" s="268" t="str">
        <f t="shared" si="317"/>
        <v/>
      </c>
      <c r="BD272" s="268" t="str">
        <f t="shared" si="317"/>
        <v/>
      </c>
      <c r="BE272" s="268" t="str">
        <f t="shared" si="317"/>
        <v/>
      </c>
      <c r="BF272" s="268" t="str">
        <f t="shared" si="317"/>
        <v/>
      </c>
      <c r="BG272" s="268" t="str">
        <f t="shared" si="317"/>
        <v/>
      </c>
      <c r="BH272" s="268" t="str">
        <f t="shared" si="317"/>
        <v/>
      </c>
      <c r="BI272" s="268" t="str">
        <f t="shared" si="317"/>
        <v/>
      </c>
      <c r="BJ272" s="268" t="str">
        <f t="shared" si="317"/>
        <v/>
      </c>
      <c r="BK272" s="268" t="str">
        <f t="shared" si="317"/>
        <v/>
      </c>
      <c r="BL272" s="268" t="str">
        <f t="shared" si="317"/>
        <v/>
      </c>
      <c r="BM272" s="268" t="str">
        <f t="shared" si="317"/>
        <v/>
      </c>
      <c r="BN272" s="268" t="str">
        <f t="shared" si="317"/>
        <v/>
      </c>
      <c r="BO272" s="268" t="str">
        <f t="shared" si="317"/>
        <v/>
      </c>
      <c r="BP272" s="268" t="str">
        <f t="shared" si="317"/>
        <v/>
      </c>
      <c r="BQ272" s="268" t="str">
        <f t="shared" si="317"/>
        <v/>
      </c>
      <c r="BR272" s="268" t="str">
        <f t="shared" si="317"/>
        <v/>
      </c>
      <c r="BS272" s="268" t="str">
        <f t="shared" si="317"/>
        <v/>
      </c>
      <c r="BT272" s="268" t="str">
        <f t="shared" si="317"/>
        <v/>
      </c>
      <c r="BU272" s="268" t="str">
        <f t="shared" si="301"/>
        <v/>
      </c>
      <c r="BV272" s="247">
        <v>0.87</v>
      </c>
      <c r="BW272" s="729">
        <f t="shared" ref="BW272:BW278" si="318">SUM(I272:BU272)*BV272</f>
        <v>20880</v>
      </c>
      <c r="BX272" s="730">
        <f t="shared" ref="BX272:BX278" si="319">BW272*7.75</f>
        <v>161820</v>
      </c>
      <c r="BY272" s="731" t="str">
        <f t="shared" ref="BY272:BY274" si="320">MID(E272,1,2)</f>
        <v>SR</v>
      </c>
    </row>
    <row r="273" s="698" customFormat="1" customHeight="1" spans="1:77">
      <c r="A273" s="208">
        <v>46077</v>
      </c>
      <c r="B273" s="208">
        <v>46139</v>
      </c>
      <c r="C273" s="211"/>
      <c r="D273" s="211" t="s">
        <v>517</v>
      </c>
      <c r="E273" s="211" t="s">
        <v>103</v>
      </c>
      <c r="F273" s="732">
        <v>30006</v>
      </c>
      <c r="G273" s="211" t="s">
        <v>334</v>
      </c>
      <c r="H273" s="211" t="str">
        <f>IFERROR(VLOOKUP(E273,名称!A:E,4,0),"")</f>
        <v>三代</v>
      </c>
      <c r="I273" s="268" t="str">
        <f t="shared" ref="I273:BT273" si="321">IF(OR($E273="",I$1=""),"",IF(TRIM(LEFT($E273,MIN(IFERROR(FIND("CDU",UPPER($E273)),999),IFERROR(FIND("BULK",UPPER($E273)),999),IFERROR(FIND("-",$E273),999),IFERROR(FIND("（",$E273),999))-1))=I$1,$F273,""))</f>
        <v/>
      </c>
      <c r="J273" s="268" t="str">
        <f t="shared" si="321"/>
        <v/>
      </c>
      <c r="K273" s="268" t="str">
        <f t="shared" si="321"/>
        <v/>
      </c>
      <c r="L273" s="268" t="str">
        <f t="shared" si="321"/>
        <v/>
      </c>
      <c r="M273" s="268" t="str">
        <f t="shared" si="321"/>
        <v/>
      </c>
      <c r="N273" s="268" t="str">
        <f t="shared" si="321"/>
        <v/>
      </c>
      <c r="O273" s="268" t="str">
        <f t="shared" si="321"/>
        <v/>
      </c>
      <c r="P273" s="268" t="str">
        <f t="shared" si="321"/>
        <v/>
      </c>
      <c r="Q273" s="268" t="str">
        <f t="shared" si="321"/>
        <v/>
      </c>
      <c r="R273" s="268" t="str">
        <f t="shared" si="321"/>
        <v/>
      </c>
      <c r="S273" s="268" t="str">
        <f t="shared" si="321"/>
        <v/>
      </c>
      <c r="T273" s="268" t="str">
        <f t="shared" si="321"/>
        <v/>
      </c>
      <c r="U273" s="268" t="str">
        <f t="shared" si="321"/>
        <v/>
      </c>
      <c r="V273" s="268" t="str">
        <f t="shared" si="321"/>
        <v/>
      </c>
      <c r="W273" s="268" t="str">
        <f t="shared" si="321"/>
        <v/>
      </c>
      <c r="X273" s="268" t="str">
        <f t="shared" si="321"/>
        <v/>
      </c>
      <c r="Y273" s="268" t="str">
        <f t="shared" si="321"/>
        <v/>
      </c>
      <c r="Z273" s="268" t="str">
        <f t="shared" si="321"/>
        <v/>
      </c>
      <c r="AA273" s="268" t="str">
        <f t="shared" si="321"/>
        <v/>
      </c>
      <c r="AB273" s="268" t="str">
        <f t="shared" si="321"/>
        <v/>
      </c>
      <c r="AC273" s="268">
        <f t="shared" si="321"/>
        <v>30006</v>
      </c>
      <c r="AD273" s="268" t="str">
        <f t="shared" si="321"/>
        <v/>
      </c>
      <c r="AE273" s="268" t="str">
        <f t="shared" si="321"/>
        <v/>
      </c>
      <c r="AF273" s="268" t="str">
        <f t="shared" si="321"/>
        <v/>
      </c>
      <c r="AG273" s="268" t="str">
        <f t="shared" si="321"/>
        <v/>
      </c>
      <c r="AH273" s="268" t="str">
        <f t="shared" si="321"/>
        <v/>
      </c>
      <c r="AI273" s="268" t="str">
        <f t="shared" si="321"/>
        <v/>
      </c>
      <c r="AJ273" s="268" t="str">
        <f t="shared" si="321"/>
        <v/>
      </c>
      <c r="AK273" s="268" t="str">
        <f t="shared" si="321"/>
        <v/>
      </c>
      <c r="AL273" s="268" t="str">
        <f t="shared" si="321"/>
        <v/>
      </c>
      <c r="AM273" s="268" t="str">
        <f t="shared" si="321"/>
        <v/>
      </c>
      <c r="AN273" s="268" t="str">
        <f t="shared" si="321"/>
        <v/>
      </c>
      <c r="AO273" s="268" t="str">
        <f t="shared" si="321"/>
        <v/>
      </c>
      <c r="AP273" s="268" t="str">
        <f t="shared" si="321"/>
        <v/>
      </c>
      <c r="AQ273" s="268" t="str">
        <f t="shared" si="321"/>
        <v/>
      </c>
      <c r="AR273" s="268" t="str">
        <f t="shared" si="321"/>
        <v/>
      </c>
      <c r="AS273" s="268" t="str">
        <f t="shared" si="321"/>
        <v/>
      </c>
      <c r="AT273" s="268" t="str">
        <f t="shared" si="321"/>
        <v/>
      </c>
      <c r="AU273" s="268" t="str">
        <f t="shared" si="321"/>
        <v/>
      </c>
      <c r="AV273" s="268" t="str">
        <f t="shared" si="321"/>
        <v/>
      </c>
      <c r="AW273" s="268" t="str">
        <f t="shared" si="321"/>
        <v/>
      </c>
      <c r="AX273" s="268" t="str">
        <f t="shared" si="321"/>
        <v/>
      </c>
      <c r="AY273" s="268" t="str">
        <f t="shared" si="321"/>
        <v/>
      </c>
      <c r="AZ273" s="268" t="str">
        <f t="shared" si="321"/>
        <v/>
      </c>
      <c r="BA273" s="268" t="str">
        <f t="shared" si="321"/>
        <v/>
      </c>
      <c r="BB273" s="268" t="str">
        <f t="shared" si="321"/>
        <v/>
      </c>
      <c r="BC273" s="268" t="str">
        <f t="shared" si="321"/>
        <v/>
      </c>
      <c r="BD273" s="268" t="str">
        <f t="shared" si="321"/>
        <v/>
      </c>
      <c r="BE273" s="268" t="str">
        <f t="shared" si="321"/>
        <v/>
      </c>
      <c r="BF273" s="268" t="str">
        <f t="shared" si="321"/>
        <v/>
      </c>
      <c r="BG273" s="268" t="str">
        <f t="shared" si="321"/>
        <v/>
      </c>
      <c r="BH273" s="268" t="str">
        <f t="shared" si="321"/>
        <v/>
      </c>
      <c r="BI273" s="268" t="str">
        <f t="shared" si="321"/>
        <v/>
      </c>
      <c r="BJ273" s="268" t="str">
        <f t="shared" si="321"/>
        <v/>
      </c>
      <c r="BK273" s="268" t="str">
        <f t="shared" si="321"/>
        <v/>
      </c>
      <c r="BL273" s="268" t="str">
        <f t="shared" si="321"/>
        <v/>
      </c>
      <c r="BM273" s="268" t="str">
        <f t="shared" si="321"/>
        <v/>
      </c>
      <c r="BN273" s="268" t="str">
        <f t="shared" si="321"/>
        <v/>
      </c>
      <c r="BO273" s="268" t="str">
        <f t="shared" si="321"/>
        <v/>
      </c>
      <c r="BP273" s="268" t="str">
        <f t="shared" si="321"/>
        <v/>
      </c>
      <c r="BQ273" s="268" t="str">
        <f t="shared" si="321"/>
        <v/>
      </c>
      <c r="BR273" s="268" t="str">
        <f t="shared" si="321"/>
        <v/>
      </c>
      <c r="BS273" s="268" t="str">
        <f t="shared" si="321"/>
        <v/>
      </c>
      <c r="BT273" s="268" t="str">
        <f t="shared" si="321"/>
        <v/>
      </c>
      <c r="BU273" s="268" t="str">
        <f t="shared" ref="BU273:BU278" si="322">IF(OR($E273="",BU$1=""),"",IF(TRIM(LEFT($E273,MIN(IFERROR(FIND("CDU",UPPER($E273)),999),IFERROR(FIND("BULK",UPPER($E273)),999),IFERROR(FIND("-",$E273),999),IFERROR(FIND("（",$E273),999))-1))=BU$1,$F273,""))</f>
        <v/>
      </c>
      <c r="BV273" s="247">
        <v>0.85</v>
      </c>
      <c r="BW273" s="729">
        <f t="shared" si="318"/>
        <v>25505.1</v>
      </c>
      <c r="BX273" s="730">
        <f t="shared" si="319"/>
        <v>197664.53</v>
      </c>
      <c r="BY273" s="731" t="str">
        <f t="shared" si="320"/>
        <v>SR</v>
      </c>
    </row>
    <row r="274" s="698" customFormat="1" customHeight="1" spans="1:77">
      <c r="A274" s="208">
        <v>46077</v>
      </c>
      <c r="B274" s="208">
        <v>46139</v>
      </c>
      <c r="C274" s="211"/>
      <c r="D274" s="211" t="s">
        <v>517</v>
      </c>
      <c r="E274" s="211" t="s">
        <v>66</v>
      </c>
      <c r="F274" s="732">
        <v>24000</v>
      </c>
      <c r="G274" s="211" t="s">
        <v>334</v>
      </c>
      <c r="H274" s="211" t="str">
        <f>IFERROR(VLOOKUP(E274,名称!A:E,4,0),"")</f>
        <v>三代</v>
      </c>
      <c r="I274" s="268" t="str">
        <f t="shared" ref="I274:BT274" si="323">IF(OR($E274="",I$1=""),"",IF(TRIM(LEFT($E274,MIN(IFERROR(FIND("CDU",UPPER($E274)),999),IFERROR(FIND("BULK",UPPER($E274)),999),IFERROR(FIND("-",$E274),999),IFERROR(FIND("（",$E274),999))-1))=I$1,$F274,""))</f>
        <v/>
      </c>
      <c r="J274" s="268" t="str">
        <f t="shared" si="323"/>
        <v/>
      </c>
      <c r="K274" s="268" t="str">
        <f t="shared" si="323"/>
        <v/>
      </c>
      <c r="L274" s="268" t="str">
        <f t="shared" si="323"/>
        <v/>
      </c>
      <c r="M274" s="268" t="str">
        <f t="shared" si="323"/>
        <v/>
      </c>
      <c r="N274" s="268" t="str">
        <f t="shared" si="323"/>
        <v/>
      </c>
      <c r="O274" s="268" t="str">
        <f t="shared" si="323"/>
        <v/>
      </c>
      <c r="P274" s="268" t="str">
        <f t="shared" si="323"/>
        <v/>
      </c>
      <c r="Q274" s="268" t="str">
        <f t="shared" si="323"/>
        <v/>
      </c>
      <c r="R274" s="268" t="str">
        <f t="shared" si="323"/>
        <v/>
      </c>
      <c r="S274" s="268" t="str">
        <f t="shared" si="323"/>
        <v/>
      </c>
      <c r="T274" s="268" t="str">
        <f t="shared" si="323"/>
        <v/>
      </c>
      <c r="U274" s="268" t="str">
        <f t="shared" si="323"/>
        <v/>
      </c>
      <c r="V274" s="268" t="str">
        <f t="shared" si="323"/>
        <v/>
      </c>
      <c r="W274" s="268" t="str">
        <f t="shared" si="323"/>
        <v/>
      </c>
      <c r="X274" s="268" t="str">
        <f t="shared" si="323"/>
        <v/>
      </c>
      <c r="Y274" s="268" t="str">
        <f t="shared" si="323"/>
        <v/>
      </c>
      <c r="Z274" s="268" t="str">
        <f t="shared" si="323"/>
        <v/>
      </c>
      <c r="AA274" s="268" t="str">
        <f t="shared" si="323"/>
        <v/>
      </c>
      <c r="AB274" s="268" t="str">
        <f t="shared" si="323"/>
        <v/>
      </c>
      <c r="AC274" s="268" t="str">
        <f t="shared" si="323"/>
        <v/>
      </c>
      <c r="AD274" s="268" t="str">
        <f t="shared" si="323"/>
        <v/>
      </c>
      <c r="AE274" s="268" t="str">
        <f t="shared" si="323"/>
        <v/>
      </c>
      <c r="AF274" s="268" t="str">
        <f t="shared" si="323"/>
        <v/>
      </c>
      <c r="AG274" s="268">
        <f t="shared" si="323"/>
        <v>24000</v>
      </c>
      <c r="AH274" s="268" t="str">
        <f t="shared" si="323"/>
        <v/>
      </c>
      <c r="AI274" s="268" t="str">
        <f t="shared" si="323"/>
        <v/>
      </c>
      <c r="AJ274" s="268" t="str">
        <f t="shared" si="323"/>
        <v/>
      </c>
      <c r="AK274" s="268" t="str">
        <f t="shared" si="323"/>
        <v/>
      </c>
      <c r="AL274" s="268" t="str">
        <f t="shared" si="323"/>
        <v/>
      </c>
      <c r="AM274" s="268" t="str">
        <f t="shared" si="323"/>
        <v/>
      </c>
      <c r="AN274" s="268" t="str">
        <f t="shared" si="323"/>
        <v/>
      </c>
      <c r="AO274" s="268" t="str">
        <f t="shared" si="323"/>
        <v/>
      </c>
      <c r="AP274" s="268" t="str">
        <f t="shared" si="323"/>
        <v/>
      </c>
      <c r="AQ274" s="268" t="str">
        <f t="shared" si="323"/>
        <v/>
      </c>
      <c r="AR274" s="268" t="str">
        <f t="shared" si="323"/>
        <v/>
      </c>
      <c r="AS274" s="268" t="str">
        <f t="shared" si="323"/>
        <v/>
      </c>
      <c r="AT274" s="268" t="str">
        <f t="shared" si="323"/>
        <v/>
      </c>
      <c r="AU274" s="268" t="str">
        <f t="shared" si="323"/>
        <v/>
      </c>
      <c r="AV274" s="268" t="str">
        <f t="shared" si="323"/>
        <v/>
      </c>
      <c r="AW274" s="268" t="str">
        <f t="shared" si="323"/>
        <v/>
      </c>
      <c r="AX274" s="268" t="str">
        <f t="shared" si="323"/>
        <v/>
      </c>
      <c r="AY274" s="268" t="str">
        <f t="shared" si="323"/>
        <v/>
      </c>
      <c r="AZ274" s="268" t="str">
        <f t="shared" si="323"/>
        <v/>
      </c>
      <c r="BA274" s="268" t="str">
        <f t="shared" si="323"/>
        <v/>
      </c>
      <c r="BB274" s="268" t="str">
        <f t="shared" si="323"/>
        <v/>
      </c>
      <c r="BC274" s="268" t="str">
        <f t="shared" si="323"/>
        <v/>
      </c>
      <c r="BD274" s="268" t="str">
        <f t="shared" si="323"/>
        <v/>
      </c>
      <c r="BE274" s="268" t="str">
        <f t="shared" si="323"/>
        <v/>
      </c>
      <c r="BF274" s="268" t="str">
        <f t="shared" si="323"/>
        <v/>
      </c>
      <c r="BG274" s="268" t="str">
        <f t="shared" si="323"/>
        <v/>
      </c>
      <c r="BH274" s="268" t="str">
        <f t="shared" si="323"/>
        <v/>
      </c>
      <c r="BI274" s="268" t="str">
        <f t="shared" si="323"/>
        <v/>
      </c>
      <c r="BJ274" s="268" t="str">
        <f t="shared" si="323"/>
        <v/>
      </c>
      <c r="BK274" s="268" t="str">
        <f t="shared" si="323"/>
        <v/>
      </c>
      <c r="BL274" s="268" t="str">
        <f t="shared" si="323"/>
        <v/>
      </c>
      <c r="BM274" s="268" t="str">
        <f t="shared" si="323"/>
        <v/>
      </c>
      <c r="BN274" s="268" t="str">
        <f t="shared" si="323"/>
        <v/>
      </c>
      <c r="BO274" s="268" t="str">
        <f t="shared" si="323"/>
        <v/>
      </c>
      <c r="BP274" s="268" t="str">
        <f t="shared" si="323"/>
        <v/>
      </c>
      <c r="BQ274" s="268" t="str">
        <f t="shared" si="323"/>
        <v/>
      </c>
      <c r="BR274" s="268" t="str">
        <f t="shared" si="323"/>
        <v/>
      </c>
      <c r="BS274" s="268" t="str">
        <f t="shared" si="323"/>
        <v/>
      </c>
      <c r="BT274" s="268" t="str">
        <f t="shared" si="323"/>
        <v/>
      </c>
      <c r="BU274" s="268" t="str">
        <f t="shared" si="322"/>
        <v/>
      </c>
      <c r="BV274" s="247">
        <v>2.02</v>
      </c>
      <c r="BW274" s="729">
        <f t="shared" si="318"/>
        <v>48480</v>
      </c>
      <c r="BX274" s="730">
        <f t="shared" si="319"/>
        <v>375720</v>
      </c>
      <c r="BY274" s="731" t="str">
        <f t="shared" si="320"/>
        <v>SR</v>
      </c>
    </row>
    <row r="275" s="698" customFormat="1" customHeight="1" spans="1:77">
      <c r="A275" s="208">
        <v>46077</v>
      </c>
      <c r="B275" s="208">
        <v>46139</v>
      </c>
      <c r="C275" s="211"/>
      <c r="D275" s="211" t="s">
        <v>517</v>
      </c>
      <c r="E275" s="211" t="s">
        <v>104</v>
      </c>
      <c r="F275" s="732">
        <v>5004</v>
      </c>
      <c r="G275" s="211" t="s">
        <v>334</v>
      </c>
      <c r="H275" s="211" t="str">
        <f>IFERROR(VLOOKUP(E275,名称!A:E,4,0),"")</f>
        <v>三代</v>
      </c>
      <c r="I275" s="268" t="str">
        <f t="shared" ref="I275:BT275" si="324">IF(OR($E275="",I$1=""),"",IF(TRIM(LEFT($E275,MIN(IFERROR(FIND("CDU",UPPER($E275)),999),IFERROR(FIND("BULK",UPPER($E275)),999),IFERROR(FIND("-",$E275),999),IFERROR(FIND("（",$E275),999))-1))=I$1,$F275,""))</f>
        <v/>
      </c>
      <c r="J275" s="268" t="str">
        <f t="shared" si="324"/>
        <v/>
      </c>
      <c r="K275" s="268" t="str">
        <f t="shared" si="324"/>
        <v/>
      </c>
      <c r="L275" s="268" t="str">
        <f t="shared" si="324"/>
        <v/>
      </c>
      <c r="M275" s="268" t="str">
        <f t="shared" si="324"/>
        <v/>
      </c>
      <c r="N275" s="268" t="str">
        <f t="shared" si="324"/>
        <v/>
      </c>
      <c r="O275" s="268" t="str">
        <f t="shared" si="324"/>
        <v/>
      </c>
      <c r="P275" s="268" t="str">
        <f t="shared" si="324"/>
        <v/>
      </c>
      <c r="Q275" s="268" t="str">
        <f t="shared" si="324"/>
        <v/>
      </c>
      <c r="R275" s="268" t="str">
        <f t="shared" si="324"/>
        <v/>
      </c>
      <c r="S275" s="268" t="str">
        <f t="shared" si="324"/>
        <v/>
      </c>
      <c r="T275" s="268" t="str">
        <f t="shared" si="324"/>
        <v/>
      </c>
      <c r="U275" s="268" t="str">
        <f t="shared" si="324"/>
        <v/>
      </c>
      <c r="V275" s="268" t="str">
        <f t="shared" si="324"/>
        <v/>
      </c>
      <c r="W275" s="268" t="str">
        <f t="shared" si="324"/>
        <v/>
      </c>
      <c r="X275" s="268" t="str">
        <f t="shared" si="324"/>
        <v/>
      </c>
      <c r="Y275" s="268" t="str">
        <f t="shared" si="324"/>
        <v/>
      </c>
      <c r="Z275" s="268" t="str">
        <f t="shared" si="324"/>
        <v/>
      </c>
      <c r="AA275" s="268" t="str">
        <f t="shared" si="324"/>
        <v/>
      </c>
      <c r="AB275" s="268" t="str">
        <f t="shared" si="324"/>
        <v/>
      </c>
      <c r="AC275" s="268" t="str">
        <f t="shared" si="324"/>
        <v/>
      </c>
      <c r="AD275" s="268" t="str">
        <f t="shared" si="324"/>
        <v/>
      </c>
      <c r="AE275" s="268" t="str">
        <f t="shared" si="324"/>
        <v/>
      </c>
      <c r="AF275" s="268" t="str">
        <f t="shared" si="324"/>
        <v/>
      </c>
      <c r="AG275" s="268" t="str">
        <f t="shared" si="324"/>
        <v/>
      </c>
      <c r="AH275" s="268" t="str">
        <f t="shared" si="324"/>
        <v/>
      </c>
      <c r="AI275" s="268" t="str">
        <f t="shared" si="324"/>
        <v/>
      </c>
      <c r="AJ275" s="268" t="str">
        <f t="shared" si="324"/>
        <v/>
      </c>
      <c r="AK275" s="268" t="str">
        <f t="shared" si="324"/>
        <v/>
      </c>
      <c r="AL275" s="268" t="str">
        <f t="shared" si="324"/>
        <v/>
      </c>
      <c r="AM275" s="268" t="str">
        <f t="shared" si="324"/>
        <v/>
      </c>
      <c r="AN275" s="268" t="str">
        <f t="shared" si="324"/>
        <v/>
      </c>
      <c r="AO275" s="268" t="str">
        <f t="shared" si="324"/>
        <v/>
      </c>
      <c r="AP275" s="268" t="str">
        <f t="shared" si="324"/>
        <v/>
      </c>
      <c r="AQ275" s="268" t="str">
        <f t="shared" si="324"/>
        <v/>
      </c>
      <c r="AR275" s="268">
        <f t="shared" si="324"/>
        <v>5004</v>
      </c>
      <c r="AS275" s="268" t="str">
        <f t="shared" si="324"/>
        <v/>
      </c>
      <c r="AT275" s="268" t="str">
        <f t="shared" si="324"/>
        <v/>
      </c>
      <c r="AU275" s="268" t="str">
        <f t="shared" si="324"/>
        <v/>
      </c>
      <c r="AV275" s="268" t="str">
        <f t="shared" si="324"/>
        <v/>
      </c>
      <c r="AW275" s="268" t="str">
        <f t="shared" si="324"/>
        <v/>
      </c>
      <c r="AX275" s="268" t="str">
        <f t="shared" si="324"/>
        <v/>
      </c>
      <c r="AY275" s="268" t="str">
        <f t="shared" si="324"/>
        <v/>
      </c>
      <c r="AZ275" s="268" t="str">
        <f t="shared" si="324"/>
        <v/>
      </c>
      <c r="BA275" s="268" t="str">
        <f t="shared" si="324"/>
        <v/>
      </c>
      <c r="BB275" s="268" t="str">
        <f t="shared" si="324"/>
        <v/>
      </c>
      <c r="BC275" s="268" t="str">
        <f t="shared" si="324"/>
        <v/>
      </c>
      <c r="BD275" s="268" t="str">
        <f t="shared" si="324"/>
        <v/>
      </c>
      <c r="BE275" s="268" t="str">
        <f t="shared" si="324"/>
        <v/>
      </c>
      <c r="BF275" s="268" t="str">
        <f t="shared" si="324"/>
        <v/>
      </c>
      <c r="BG275" s="268" t="str">
        <f t="shared" si="324"/>
        <v/>
      </c>
      <c r="BH275" s="268" t="str">
        <f t="shared" si="324"/>
        <v/>
      </c>
      <c r="BI275" s="268" t="str">
        <f t="shared" si="324"/>
        <v/>
      </c>
      <c r="BJ275" s="268" t="str">
        <f t="shared" si="324"/>
        <v/>
      </c>
      <c r="BK275" s="268" t="str">
        <f t="shared" si="324"/>
        <v/>
      </c>
      <c r="BL275" s="268" t="str">
        <f t="shared" si="324"/>
        <v/>
      </c>
      <c r="BM275" s="268" t="str">
        <f t="shared" si="324"/>
        <v/>
      </c>
      <c r="BN275" s="268" t="str">
        <f t="shared" si="324"/>
        <v/>
      </c>
      <c r="BO275" s="268" t="str">
        <f t="shared" si="324"/>
        <v/>
      </c>
      <c r="BP275" s="268" t="str">
        <f t="shared" si="324"/>
        <v/>
      </c>
      <c r="BQ275" s="268" t="str">
        <f t="shared" si="324"/>
        <v/>
      </c>
      <c r="BR275" s="268" t="str">
        <f t="shared" si="324"/>
        <v/>
      </c>
      <c r="BS275" s="268" t="str">
        <f t="shared" si="324"/>
        <v/>
      </c>
      <c r="BT275" s="268" t="str">
        <f t="shared" si="324"/>
        <v/>
      </c>
      <c r="BU275" s="268" t="str">
        <f t="shared" si="322"/>
        <v/>
      </c>
      <c r="BV275" s="247">
        <v>1.56</v>
      </c>
      <c r="BW275" s="729">
        <f t="shared" si="318"/>
        <v>7806.24</v>
      </c>
      <c r="BX275" s="730">
        <f t="shared" si="319"/>
        <v>60498.36</v>
      </c>
      <c r="BY275" s="731" t="str">
        <f t="shared" ref="BY275:BY280" si="325">MID(E275,1,2)</f>
        <v>SR</v>
      </c>
    </row>
    <row r="276" s="698" customFormat="1" customHeight="1" spans="1:77">
      <c r="A276" s="208">
        <v>46079</v>
      </c>
      <c r="B276" s="208">
        <v>46197</v>
      </c>
      <c r="C276" s="211" t="s">
        <v>518</v>
      </c>
      <c r="D276" s="211" t="s">
        <v>519</v>
      </c>
      <c r="E276" s="211" t="s">
        <v>105</v>
      </c>
      <c r="F276" s="732">
        <v>1380</v>
      </c>
      <c r="G276" s="211" t="s">
        <v>270</v>
      </c>
      <c r="H276" s="211" t="str">
        <f>IFERROR(VLOOKUP(E276,名称!A:E,4,0),"")</f>
        <v>三代</v>
      </c>
      <c r="I276" s="268" t="str">
        <f t="shared" ref="I276:BT276" si="326">IF(OR($E276="",I$1=""),"",IF(TRIM(LEFT($E276,MIN(IFERROR(FIND("CDU",UPPER($E276)),999),IFERROR(FIND("BULK",UPPER($E276)),999),IFERROR(FIND("-",$E276),999),IFERROR(FIND("（",$E276),999))-1))=I$1,$F276,""))</f>
        <v/>
      </c>
      <c r="J276" s="268" t="str">
        <f t="shared" si="326"/>
        <v/>
      </c>
      <c r="K276" s="268" t="str">
        <f t="shared" si="326"/>
        <v/>
      </c>
      <c r="L276" s="268" t="str">
        <f t="shared" si="326"/>
        <v/>
      </c>
      <c r="M276" s="268" t="str">
        <f t="shared" si="326"/>
        <v/>
      </c>
      <c r="N276" s="268" t="str">
        <f t="shared" si="326"/>
        <v/>
      </c>
      <c r="O276" s="268" t="str">
        <f t="shared" si="326"/>
        <v/>
      </c>
      <c r="P276" s="268" t="str">
        <f t="shared" si="326"/>
        <v/>
      </c>
      <c r="Q276" s="268" t="str">
        <f t="shared" si="326"/>
        <v/>
      </c>
      <c r="R276" s="268" t="str">
        <f t="shared" si="326"/>
        <v/>
      </c>
      <c r="S276" s="268" t="str">
        <f t="shared" si="326"/>
        <v/>
      </c>
      <c r="T276" s="268" t="str">
        <f t="shared" si="326"/>
        <v/>
      </c>
      <c r="U276" s="268" t="str">
        <f t="shared" si="326"/>
        <v/>
      </c>
      <c r="V276" s="268" t="str">
        <f t="shared" si="326"/>
        <v/>
      </c>
      <c r="W276" s="268" t="str">
        <f t="shared" si="326"/>
        <v/>
      </c>
      <c r="X276" s="268" t="str">
        <f t="shared" si="326"/>
        <v/>
      </c>
      <c r="Y276" s="268" t="str">
        <f t="shared" si="326"/>
        <v/>
      </c>
      <c r="Z276" s="268" t="str">
        <f t="shared" si="326"/>
        <v/>
      </c>
      <c r="AA276" s="268" t="str">
        <f t="shared" si="326"/>
        <v/>
      </c>
      <c r="AB276" s="268" t="str">
        <f t="shared" si="326"/>
        <v/>
      </c>
      <c r="AC276" s="268" t="str">
        <f t="shared" si="326"/>
        <v/>
      </c>
      <c r="AD276" s="268" t="str">
        <f t="shared" si="326"/>
        <v/>
      </c>
      <c r="AE276" s="268" t="str">
        <f t="shared" si="326"/>
        <v/>
      </c>
      <c r="AF276" s="268">
        <f t="shared" si="326"/>
        <v>1380</v>
      </c>
      <c r="AG276" s="268" t="str">
        <f t="shared" si="326"/>
        <v/>
      </c>
      <c r="AH276" s="268" t="str">
        <f t="shared" si="326"/>
        <v/>
      </c>
      <c r="AI276" s="268" t="str">
        <f t="shared" si="326"/>
        <v/>
      </c>
      <c r="AJ276" s="268" t="str">
        <f t="shared" si="326"/>
        <v/>
      </c>
      <c r="AK276" s="268" t="str">
        <f t="shared" si="326"/>
        <v/>
      </c>
      <c r="AL276" s="268" t="str">
        <f t="shared" si="326"/>
        <v/>
      </c>
      <c r="AM276" s="268" t="str">
        <f t="shared" si="326"/>
        <v/>
      </c>
      <c r="AN276" s="268" t="str">
        <f t="shared" si="326"/>
        <v/>
      </c>
      <c r="AO276" s="268" t="str">
        <f t="shared" si="326"/>
        <v/>
      </c>
      <c r="AP276" s="268" t="str">
        <f t="shared" si="326"/>
        <v/>
      </c>
      <c r="AQ276" s="268" t="str">
        <f t="shared" si="326"/>
        <v/>
      </c>
      <c r="AR276" s="268" t="str">
        <f t="shared" si="326"/>
        <v/>
      </c>
      <c r="AS276" s="268" t="str">
        <f t="shared" si="326"/>
        <v/>
      </c>
      <c r="AT276" s="268" t="str">
        <f t="shared" si="326"/>
        <v/>
      </c>
      <c r="AU276" s="268" t="str">
        <f t="shared" si="326"/>
        <v/>
      </c>
      <c r="AV276" s="268" t="str">
        <f t="shared" si="326"/>
        <v/>
      </c>
      <c r="AW276" s="268" t="str">
        <f t="shared" si="326"/>
        <v/>
      </c>
      <c r="AX276" s="268" t="str">
        <f t="shared" si="326"/>
        <v/>
      </c>
      <c r="AY276" s="268" t="str">
        <f t="shared" si="326"/>
        <v/>
      </c>
      <c r="AZ276" s="268" t="str">
        <f t="shared" si="326"/>
        <v/>
      </c>
      <c r="BA276" s="268" t="str">
        <f t="shared" si="326"/>
        <v/>
      </c>
      <c r="BB276" s="268" t="str">
        <f t="shared" si="326"/>
        <v/>
      </c>
      <c r="BC276" s="268" t="str">
        <f t="shared" si="326"/>
        <v/>
      </c>
      <c r="BD276" s="268" t="str">
        <f t="shared" si="326"/>
        <v/>
      </c>
      <c r="BE276" s="268" t="str">
        <f t="shared" si="326"/>
        <v/>
      </c>
      <c r="BF276" s="268" t="str">
        <f t="shared" si="326"/>
        <v/>
      </c>
      <c r="BG276" s="268" t="str">
        <f t="shared" si="326"/>
        <v/>
      </c>
      <c r="BH276" s="268" t="str">
        <f t="shared" si="326"/>
        <v/>
      </c>
      <c r="BI276" s="268" t="str">
        <f t="shared" si="326"/>
        <v/>
      </c>
      <c r="BJ276" s="268" t="str">
        <f t="shared" si="326"/>
        <v/>
      </c>
      <c r="BK276" s="268" t="str">
        <f t="shared" si="326"/>
        <v/>
      </c>
      <c r="BL276" s="268" t="str">
        <f t="shared" si="326"/>
        <v/>
      </c>
      <c r="BM276" s="268" t="str">
        <f t="shared" si="326"/>
        <v/>
      </c>
      <c r="BN276" s="268" t="str">
        <f t="shared" si="326"/>
        <v/>
      </c>
      <c r="BO276" s="268" t="str">
        <f t="shared" si="326"/>
        <v/>
      </c>
      <c r="BP276" s="268" t="str">
        <f t="shared" si="326"/>
        <v/>
      </c>
      <c r="BQ276" s="268" t="str">
        <f t="shared" si="326"/>
        <v/>
      </c>
      <c r="BR276" s="268" t="str">
        <f t="shared" si="326"/>
        <v/>
      </c>
      <c r="BS276" s="268" t="str">
        <f t="shared" si="326"/>
        <v/>
      </c>
      <c r="BT276" s="268" t="str">
        <f t="shared" si="326"/>
        <v/>
      </c>
      <c r="BU276" s="268" t="str">
        <f t="shared" si="322"/>
        <v/>
      </c>
      <c r="BV276" s="247">
        <v>0.61</v>
      </c>
      <c r="BW276" s="729">
        <f t="shared" si="318"/>
        <v>841.8</v>
      </c>
      <c r="BX276" s="730">
        <f t="shared" si="319"/>
        <v>6523.95</v>
      </c>
      <c r="BY276" s="731" t="str">
        <f t="shared" si="325"/>
        <v>SR</v>
      </c>
    </row>
    <row r="277" s="698" customFormat="1" customHeight="1" spans="1:77">
      <c r="A277" s="208">
        <v>46079</v>
      </c>
      <c r="B277" s="208">
        <v>46183</v>
      </c>
      <c r="C277" s="211" t="s">
        <v>520</v>
      </c>
      <c r="D277" s="211" t="s">
        <v>521</v>
      </c>
      <c r="E277" s="211" t="s">
        <v>83</v>
      </c>
      <c r="F277" s="732">
        <v>1836</v>
      </c>
      <c r="G277" s="211" t="s">
        <v>270</v>
      </c>
      <c r="H277" s="211" t="str">
        <f>IFERROR(VLOOKUP(E277,名称!A:E,4,0),"")</f>
        <v>三代</v>
      </c>
      <c r="I277" s="268" t="str">
        <f t="shared" ref="I277:BT277" si="327">IF(OR($E277="",I$1=""),"",IF(TRIM(LEFT($E277,MIN(IFERROR(FIND("CDU",UPPER($E277)),999),IFERROR(FIND("BULK",UPPER($E277)),999),IFERROR(FIND("-",$E277),999),IFERROR(FIND("（",$E277),999))-1))=I$1,$F277,""))</f>
        <v/>
      </c>
      <c r="J277" s="268" t="str">
        <f t="shared" si="327"/>
        <v/>
      </c>
      <c r="K277" s="268" t="str">
        <f t="shared" si="327"/>
        <v/>
      </c>
      <c r="L277" s="268" t="str">
        <f t="shared" si="327"/>
        <v/>
      </c>
      <c r="M277" s="268" t="str">
        <f t="shared" si="327"/>
        <v/>
      </c>
      <c r="N277" s="268" t="str">
        <f t="shared" si="327"/>
        <v/>
      </c>
      <c r="O277" s="268" t="str">
        <f t="shared" si="327"/>
        <v/>
      </c>
      <c r="P277" s="268" t="str">
        <f t="shared" si="327"/>
        <v/>
      </c>
      <c r="Q277" s="268" t="str">
        <f t="shared" si="327"/>
        <v/>
      </c>
      <c r="R277" s="268" t="str">
        <f t="shared" si="327"/>
        <v/>
      </c>
      <c r="S277" s="268" t="str">
        <f t="shared" si="327"/>
        <v/>
      </c>
      <c r="T277" s="268" t="str">
        <f t="shared" si="327"/>
        <v/>
      </c>
      <c r="U277" s="268" t="str">
        <f t="shared" si="327"/>
        <v/>
      </c>
      <c r="V277" s="268" t="str">
        <f t="shared" si="327"/>
        <v/>
      </c>
      <c r="W277" s="268" t="str">
        <f t="shared" si="327"/>
        <v/>
      </c>
      <c r="X277" s="268" t="str">
        <f t="shared" si="327"/>
        <v/>
      </c>
      <c r="Y277" s="268" t="str">
        <f t="shared" si="327"/>
        <v/>
      </c>
      <c r="Z277" s="268" t="str">
        <f t="shared" si="327"/>
        <v/>
      </c>
      <c r="AA277" s="268" t="str">
        <f t="shared" si="327"/>
        <v/>
      </c>
      <c r="AB277" s="268" t="str">
        <f t="shared" si="327"/>
        <v/>
      </c>
      <c r="AC277" s="268" t="str">
        <f t="shared" si="327"/>
        <v/>
      </c>
      <c r="AD277" s="268" t="str">
        <f t="shared" si="327"/>
        <v/>
      </c>
      <c r="AE277" s="268" t="str">
        <f t="shared" si="327"/>
        <v/>
      </c>
      <c r="AF277" s="268" t="str">
        <f t="shared" si="327"/>
        <v/>
      </c>
      <c r="AG277" s="268" t="str">
        <f t="shared" si="327"/>
        <v/>
      </c>
      <c r="AH277" s="268" t="str">
        <f t="shared" si="327"/>
        <v/>
      </c>
      <c r="AI277" s="268" t="str">
        <f t="shared" si="327"/>
        <v/>
      </c>
      <c r="AJ277" s="268" t="str">
        <f t="shared" si="327"/>
        <v/>
      </c>
      <c r="AK277" s="268" t="str">
        <f t="shared" si="327"/>
        <v/>
      </c>
      <c r="AL277" s="268" t="str">
        <f t="shared" si="327"/>
        <v/>
      </c>
      <c r="AM277" s="268" t="str">
        <f t="shared" si="327"/>
        <v/>
      </c>
      <c r="AN277" s="268">
        <f t="shared" si="327"/>
        <v>1836</v>
      </c>
      <c r="AO277" s="268" t="str">
        <f t="shared" si="327"/>
        <v/>
      </c>
      <c r="AP277" s="268" t="str">
        <f t="shared" si="327"/>
        <v/>
      </c>
      <c r="AQ277" s="268" t="str">
        <f t="shared" si="327"/>
        <v/>
      </c>
      <c r="AR277" s="268" t="str">
        <f t="shared" si="327"/>
        <v/>
      </c>
      <c r="AS277" s="268" t="str">
        <f t="shared" si="327"/>
        <v/>
      </c>
      <c r="AT277" s="268" t="str">
        <f t="shared" si="327"/>
        <v/>
      </c>
      <c r="AU277" s="268" t="str">
        <f t="shared" si="327"/>
        <v/>
      </c>
      <c r="AV277" s="268" t="str">
        <f t="shared" si="327"/>
        <v/>
      </c>
      <c r="AW277" s="268" t="str">
        <f t="shared" si="327"/>
        <v/>
      </c>
      <c r="AX277" s="268" t="str">
        <f t="shared" si="327"/>
        <v/>
      </c>
      <c r="AY277" s="268" t="str">
        <f t="shared" si="327"/>
        <v/>
      </c>
      <c r="AZ277" s="268" t="str">
        <f t="shared" si="327"/>
        <v/>
      </c>
      <c r="BA277" s="268" t="str">
        <f t="shared" si="327"/>
        <v/>
      </c>
      <c r="BB277" s="268" t="str">
        <f t="shared" si="327"/>
        <v/>
      </c>
      <c r="BC277" s="268" t="str">
        <f t="shared" si="327"/>
        <v/>
      </c>
      <c r="BD277" s="268" t="str">
        <f t="shared" si="327"/>
        <v/>
      </c>
      <c r="BE277" s="268" t="str">
        <f t="shared" si="327"/>
        <v/>
      </c>
      <c r="BF277" s="268" t="str">
        <f t="shared" si="327"/>
        <v/>
      </c>
      <c r="BG277" s="268" t="str">
        <f t="shared" si="327"/>
        <v/>
      </c>
      <c r="BH277" s="268" t="str">
        <f t="shared" si="327"/>
        <v/>
      </c>
      <c r="BI277" s="268" t="str">
        <f t="shared" si="327"/>
        <v/>
      </c>
      <c r="BJ277" s="268" t="str">
        <f t="shared" si="327"/>
        <v/>
      </c>
      <c r="BK277" s="268" t="str">
        <f t="shared" si="327"/>
        <v/>
      </c>
      <c r="BL277" s="268" t="str">
        <f t="shared" si="327"/>
        <v/>
      </c>
      <c r="BM277" s="268" t="str">
        <f t="shared" si="327"/>
        <v/>
      </c>
      <c r="BN277" s="268" t="str">
        <f t="shared" si="327"/>
        <v/>
      </c>
      <c r="BO277" s="268" t="str">
        <f t="shared" si="327"/>
        <v/>
      </c>
      <c r="BP277" s="268" t="str">
        <f t="shared" si="327"/>
        <v/>
      </c>
      <c r="BQ277" s="268" t="str">
        <f t="shared" si="327"/>
        <v/>
      </c>
      <c r="BR277" s="268" t="str">
        <f t="shared" si="327"/>
        <v/>
      </c>
      <c r="BS277" s="268" t="str">
        <f t="shared" si="327"/>
        <v/>
      </c>
      <c r="BT277" s="268" t="str">
        <f t="shared" si="327"/>
        <v/>
      </c>
      <c r="BU277" s="268" t="str">
        <f t="shared" si="322"/>
        <v/>
      </c>
      <c r="BV277" s="247">
        <v>0.91</v>
      </c>
      <c r="BW277" s="729">
        <f t="shared" si="318"/>
        <v>1670.76</v>
      </c>
      <c r="BX277" s="730">
        <f t="shared" si="319"/>
        <v>12948.39</v>
      </c>
      <c r="BY277" s="731" t="str">
        <f t="shared" si="325"/>
        <v>SR</v>
      </c>
    </row>
    <row r="278" s="698" customFormat="1" customHeight="1" spans="1:77">
      <c r="A278" s="208">
        <v>46079</v>
      </c>
      <c r="B278" s="208">
        <v>46183</v>
      </c>
      <c r="C278" s="211" t="s">
        <v>520</v>
      </c>
      <c r="D278" s="211" t="s">
        <v>521</v>
      </c>
      <c r="E278" s="211" t="s">
        <v>83</v>
      </c>
      <c r="F278" s="732">
        <v>720</v>
      </c>
      <c r="G278" s="211" t="s">
        <v>270</v>
      </c>
      <c r="H278" s="211" t="str">
        <f>IFERROR(VLOOKUP(E278,名称!A:E,4,0),"")</f>
        <v>三代</v>
      </c>
      <c r="I278" s="268" t="str">
        <f t="shared" ref="I278:BT278" si="328">IF(OR($E278="",I$1=""),"",IF(TRIM(LEFT($E278,MIN(IFERROR(FIND("CDU",UPPER($E278)),999),IFERROR(FIND("BULK",UPPER($E278)),999),IFERROR(FIND("-",$E278),999),IFERROR(FIND("（",$E278),999))-1))=I$1,$F278,""))</f>
        <v/>
      </c>
      <c r="J278" s="268" t="str">
        <f t="shared" si="328"/>
        <v/>
      </c>
      <c r="K278" s="268" t="str">
        <f t="shared" si="328"/>
        <v/>
      </c>
      <c r="L278" s="268" t="str">
        <f t="shared" si="328"/>
        <v/>
      </c>
      <c r="M278" s="268" t="str">
        <f t="shared" si="328"/>
        <v/>
      </c>
      <c r="N278" s="268" t="str">
        <f t="shared" si="328"/>
        <v/>
      </c>
      <c r="O278" s="268" t="str">
        <f t="shared" si="328"/>
        <v/>
      </c>
      <c r="P278" s="268" t="str">
        <f t="shared" si="328"/>
        <v/>
      </c>
      <c r="Q278" s="268" t="str">
        <f t="shared" si="328"/>
        <v/>
      </c>
      <c r="R278" s="268" t="str">
        <f t="shared" si="328"/>
        <v/>
      </c>
      <c r="S278" s="268" t="str">
        <f t="shared" si="328"/>
        <v/>
      </c>
      <c r="T278" s="268" t="str">
        <f t="shared" si="328"/>
        <v/>
      </c>
      <c r="U278" s="268" t="str">
        <f t="shared" si="328"/>
        <v/>
      </c>
      <c r="V278" s="268" t="str">
        <f t="shared" si="328"/>
        <v/>
      </c>
      <c r="W278" s="268" t="str">
        <f t="shared" si="328"/>
        <v/>
      </c>
      <c r="X278" s="268" t="str">
        <f t="shared" si="328"/>
        <v/>
      </c>
      <c r="Y278" s="268" t="str">
        <f t="shared" si="328"/>
        <v/>
      </c>
      <c r="Z278" s="268" t="str">
        <f t="shared" si="328"/>
        <v/>
      </c>
      <c r="AA278" s="268" t="str">
        <f t="shared" si="328"/>
        <v/>
      </c>
      <c r="AB278" s="268" t="str">
        <f t="shared" si="328"/>
        <v/>
      </c>
      <c r="AC278" s="268" t="str">
        <f t="shared" si="328"/>
        <v/>
      </c>
      <c r="AD278" s="268" t="str">
        <f t="shared" si="328"/>
        <v/>
      </c>
      <c r="AE278" s="268" t="str">
        <f t="shared" si="328"/>
        <v/>
      </c>
      <c r="AF278" s="268" t="str">
        <f t="shared" si="328"/>
        <v/>
      </c>
      <c r="AG278" s="268" t="str">
        <f t="shared" si="328"/>
        <v/>
      </c>
      <c r="AH278" s="268" t="str">
        <f t="shared" si="328"/>
        <v/>
      </c>
      <c r="AI278" s="268" t="str">
        <f t="shared" si="328"/>
        <v/>
      </c>
      <c r="AJ278" s="268" t="str">
        <f t="shared" si="328"/>
        <v/>
      </c>
      <c r="AK278" s="268" t="str">
        <f t="shared" si="328"/>
        <v/>
      </c>
      <c r="AL278" s="268" t="str">
        <f t="shared" si="328"/>
        <v/>
      </c>
      <c r="AM278" s="268" t="str">
        <f t="shared" si="328"/>
        <v/>
      </c>
      <c r="AN278" s="268">
        <f t="shared" si="328"/>
        <v>720</v>
      </c>
      <c r="AO278" s="268" t="str">
        <f t="shared" si="328"/>
        <v/>
      </c>
      <c r="AP278" s="268" t="str">
        <f t="shared" si="328"/>
        <v/>
      </c>
      <c r="AQ278" s="268" t="str">
        <f t="shared" si="328"/>
        <v/>
      </c>
      <c r="AR278" s="268" t="str">
        <f t="shared" si="328"/>
        <v/>
      </c>
      <c r="AS278" s="268" t="str">
        <f t="shared" si="328"/>
        <v/>
      </c>
      <c r="AT278" s="268" t="str">
        <f t="shared" si="328"/>
        <v/>
      </c>
      <c r="AU278" s="268" t="str">
        <f t="shared" si="328"/>
        <v/>
      </c>
      <c r="AV278" s="268" t="str">
        <f t="shared" si="328"/>
        <v/>
      </c>
      <c r="AW278" s="268" t="str">
        <f t="shared" si="328"/>
        <v/>
      </c>
      <c r="AX278" s="268" t="str">
        <f t="shared" si="328"/>
        <v/>
      </c>
      <c r="AY278" s="268" t="str">
        <f t="shared" si="328"/>
        <v/>
      </c>
      <c r="AZ278" s="268" t="str">
        <f t="shared" si="328"/>
        <v/>
      </c>
      <c r="BA278" s="268" t="str">
        <f t="shared" si="328"/>
        <v/>
      </c>
      <c r="BB278" s="268" t="str">
        <f t="shared" si="328"/>
        <v/>
      </c>
      <c r="BC278" s="268" t="str">
        <f t="shared" si="328"/>
        <v/>
      </c>
      <c r="BD278" s="268" t="str">
        <f t="shared" si="328"/>
        <v/>
      </c>
      <c r="BE278" s="268" t="str">
        <f t="shared" si="328"/>
        <v/>
      </c>
      <c r="BF278" s="268" t="str">
        <f t="shared" si="328"/>
        <v/>
      </c>
      <c r="BG278" s="268" t="str">
        <f t="shared" si="328"/>
        <v/>
      </c>
      <c r="BH278" s="268" t="str">
        <f t="shared" si="328"/>
        <v/>
      </c>
      <c r="BI278" s="268" t="str">
        <f t="shared" si="328"/>
        <v/>
      </c>
      <c r="BJ278" s="268" t="str">
        <f t="shared" si="328"/>
        <v/>
      </c>
      <c r="BK278" s="268" t="str">
        <f t="shared" si="328"/>
        <v/>
      </c>
      <c r="BL278" s="268" t="str">
        <f t="shared" si="328"/>
        <v/>
      </c>
      <c r="BM278" s="268" t="str">
        <f t="shared" si="328"/>
        <v/>
      </c>
      <c r="BN278" s="268" t="str">
        <f t="shared" si="328"/>
        <v/>
      </c>
      <c r="BO278" s="268" t="str">
        <f t="shared" si="328"/>
        <v/>
      </c>
      <c r="BP278" s="268" t="str">
        <f t="shared" si="328"/>
        <v/>
      </c>
      <c r="BQ278" s="268" t="str">
        <f t="shared" si="328"/>
        <v/>
      </c>
      <c r="BR278" s="268" t="str">
        <f t="shared" si="328"/>
        <v/>
      </c>
      <c r="BS278" s="268" t="str">
        <f t="shared" si="328"/>
        <v/>
      </c>
      <c r="BT278" s="268" t="str">
        <f t="shared" si="328"/>
        <v/>
      </c>
      <c r="BU278" s="268" t="str">
        <f t="shared" si="322"/>
        <v/>
      </c>
      <c r="BV278" s="247">
        <v>0.91</v>
      </c>
      <c r="BW278" s="729">
        <f t="shared" si="318"/>
        <v>655.2</v>
      </c>
      <c r="BX278" s="730">
        <f t="shared" si="319"/>
        <v>5077.8</v>
      </c>
      <c r="BY278" s="731" t="str">
        <f t="shared" si="325"/>
        <v>SR</v>
      </c>
    </row>
    <row r="279" s="697" customFormat="1" customHeight="1" spans="1:77">
      <c r="A279" s="116">
        <v>46079</v>
      </c>
      <c r="B279" s="116">
        <v>46183</v>
      </c>
      <c r="C279" s="118" t="s">
        <v>520</v>
      </c>
      <c r="D279" s="118" t="s">
        <v>521</v>
      </c>
      <c r="E279" s="118" t="s">
        <v>83</v>
      </c>
      <c r="F279" s="726">
        <f>3948-1836-720</f>
        <v>1392</v>
      </c>
      <c r="G279" s="118" t="s">
        <v>270</v>
      </c>
      <c r="H279" s="118" t="str">
        <f>IFERROR(VLOOKUP(E279,名称!A:E,4,0),"")</f>
        <v>三代</v>
      </c>
      <c r="I279" s="418" t="str">
        <f t="shared" ref="I279:BT279" si="329">IF(OR($E279="",I$1=""),"",IF(TRIM(LEFT($E279,MIN(IFERROR(FIND("CDU",UPPER($E279)),999),IFERROR(FIND("BULK",UPPER($E279)),999),IFERROR(FIND("-",$E279),999),IFERROR(FIND("（",$E279),999))-1))=I$1,$F279,""))</f>
        <v/>
      </c>
      <c r="J279" s="418" t="str">
        <f t="shared" si="329"/>
        <v/>
      </c>
      <c r="K279" s="418" t="str">
        <f t="shared" si="329"/>
        <v/>
      </c>
      <c r="L279" s="418" t="str">
        <f t="shared" si="329"/>
        <v/>
      </c>
      <c r="M279" s="418" t="str">
        <f t="shared" si="329"/>
        <v/>
      </c>
      <c r="N279" s="418" t="str">
        <f t="shared" si="329"/>
        <v/>
      </c>
      <c r="O279" s="418" t="str">
        <f t="shared" si="329"/>
        <v/>
      </c>
      <c r="P279" s="418" t="str">
        <f t="shared" si="329"/>
        <v/>
      </c>
      <c r="Q279" s="418" t="str">
        <f t="shared" si="329"/>
        <v/>
      </c>
      <c r="R279" s="418" t="str">
        <f t="shared" si="329"/>
        <v/>
      </c>
      <c r="S279" s="418" t="str">
        <f t="shared" si="329"/>
        <v/>
      </c>
      <c r="T279" s="418" t="str">
        <f t="shared" si="329"/>
        <v/>
      </c>
      <c r="U279" s="418" t="str">
        <f t="shared" si="329"/>
        <v/>
      </c>
      <c r="V279" s="418" t="str">
        <f t="shared" si="329"/>
        <v/>
      </c>
      <c r="W279" s="418" t="str">
        <f t="shared" si="329"/>
        <v/>
      </c>
      <c r="X279" s="418" t="str">
        <f t="shared" si="329"/>
        <v/>
      </c>
      <c r="Y279" s="418" t="str">
        <f t="shared" si="329"/>
        <v/>
      </c>
      <c r="Z279" s="418" t="str">
        <f t="shared" si="329"/>
        <v/>
      </c>
      <c r="AA279" s="418" t="str">
        <f t="shared" si="329"/>
        <v/>
      </c>
      <c r="AB279" s="418" t="str">
        <f t="shared" si="329"/>
        <v/>
      </c>
      <c r="AC279" s="418" t="str">
        <f t="shared" si="329"/>
        <v/>
      </c>
      <c r="AD279" s="418" t="str">
        <f t="shared" si="329"/>
        <v/>
      </c>
      <c r="AE279" s="418" t="str">
        <f t="shared" si="329"/>
        <v/>
      </c>
      <c r="AF279" s="418" t="str">
        <f t="shared" si="329"/>
        <v/>
      </c>
      <c r="AG279" s="418" t="str">
        <f t="shared" si="329"/>
        <v/>
      </c>
      <c r="AH279" s="418" t="str">
        <f t="shared" si="329"/>
        <v/>
      </c>
      <c r="AI279" s="418" t="str">
        <f t="shared" si="329"/>
        <v/>
      </c>
      <c r="AJ279" s="418" t="str">
        <f t="shared" si="329"/>
        <v/>
      </c>
      <c r="AK279" s="418" t="str">
        <f t="shared" si="329"/>
        <v/>
      </c>
      <c r="AL279" s="418" t="str">
        <f t="shared" si="329"/>
        <v/>
      </c>
      <c r="AM279" s="418" t="str">
        <f t="shared" si="329"/>
        <v/>
      </c>
      <c r="AN279" s="418">
        <f t="shared" si="329"/>
        <v>1392</v>
      </c>
      <c r="AO279" s="418" t="str">
        <f t="shared" si="329"/>
        <v/>
      </c>
      <c r="AP279" s="418" t="str">
        <f t="shared" si="329"/>
        <v/>
      </c>
      <c r="AQ279" s="418" t="str">
        <f t="shared" si="329"/>
        <v/>
      </c>
      <c r="AR279" s="418" t="str">
        <f t="shared" si="329"/>
        <v/>
      </c>
      <c r="AS279" s="418" t="str">
        <f t="shared" si="329"/>
        <v/>
      </c>
      <c r="AT279" s="418" t="str">
        <f t="shared" si="329"/>
        <v/>
      </c>
      <c r="AU279" s="418" t="str">
        <f t="shared" si="329"/>
        <v/>
      </c>
      <c r="AV279" s="418" t="str">
        <f t="shared" si="329"/>
        <v/>
      </c>
      <c r="AW279" s="418" t="str">
        <f t="shared" si="329"/>
        <v/>
      </c>
      <c r="AX279" s="418" t="str">
        <f t="shared" si="329"/>
        <v/>
      </c>
      <c r="AY279" s="418" t="str">
        <f t="shared" si="329"/>
        <v/>
      </c>
      <c r="AZ279" s="418" t="str">
        <f t="shared" si="329"/>
        <v/>
      </c>
      <c r="BA279" s="418" t="str">
        <f t="shared" si="329"/>
        <v/>
      </c>
      <c r="BB279" s="418" t="str">
        <f t="shared" si="329"/>
        <v/>
      </c>
      <c r="BC279" s="418" t="str">
        <f t="shared" si="329"/>
        <v/>
      </c>
      <c r="BD279" s="418" t="str">
        <f t="shared" si="329"/>
        <v/>
      </c>
      <c r="BE279" s="418" t="str">
        <f t="shared" si="329"/>
        <v/>
      </c>
      <c r="BF279" s="418" t="str">
        <f t="shared" si="329"/>
        <v/>
      </c>
      <c r="BG279" s="418" t="str">
        <f t="shared" si="329"/>
        <v/>
      </c>
      <c r="BH279" s="418" t="str">
        <f t="shared" si="329"/>
        <v/>
      </c>
      <c r="BI279" s="418" t="str">
        <f t="shared" si="329"/>
        <v/>
      </c>
      <c r="BJ279" s="418" t="str">
        <f t="shared" si="329"/>
        <v/>
      </c>
      <c r="BK279" s="418" t="str">
        <f t="shared" si="329"/>
        <v/>
      </c>
      <c r="BL279" s="418" t="str">
        <f t="shared" si="329"/>
        <v/>
      </c>
      <c r="BM279" s="418" t="str">
        <f t="shared" si="329"/>
        <v/>
      </c>
      <c r="BN279" s="418" t="str">
        <f t="shared" si="329"/>
        <v/>
      </c>
      <c r="BO279" s="418" t="str">
        <f t="shared" si="329"/>
        <v/>
      </c>
      <c r="BP279" s="418" t="str">
        <f t="shared" si="329"/>
        <v/>
      </c>
      <c r="BQ279" s="418" t="str">
        <f t="shared" si="329"/>
        <v/>
      </c>
      <c r="BR279" s="418" t="str">
        <f t="shared" si="329"/>
        <v/>
      </c>
      <c r="BS279" s="418" t="str">
        <f t="shared" si="329"/>
        <v/>
      </c>
      <c r="BT279" s="418" t="str">
        <f t="shared" si="329"/>
        <v/>
      </c>
      <c r="BU279" s="418" t="str">
        <f t="shared" ref="BU279:BU323" si="330">IF(OR($E279="",BU$1=""),"",IF(TRIM(LEFT($E279,MIN(IFERROR(FIND("CDU",UPPER($E279)),999),IFERROR(FIND("BULK",UPPER($E279)),999),IFERROR(FIND("-",$E279),999),IFERROR(FIND("（",$E279),999))-1))=BU$1,$F279,""))</f>
        <v/>
      </c>
      <c r="BV279" s="544">
        <v>0.83</v>
      </c>
      <c r="BW279" s="723">
        <f t="shared" ref="BW279:BW290" si="331">SUM(I279:BU279)*BV279</f>
        <v>1155.36</v>
      </c>
      <c r="BX279" s="724">
        <f t="shared" ref="BX279:BX290" si="332">BW279*7.75</f>
        <v>8954.04</v>
      </c>
      <c r="BY279" s="725" t="str">
        <f t="shared" si="325"/>
        <v>SR</v>
      </c>
    </row>
    <row r="280" s="698" customFormat="1" customHeight="1" spans="1:77">
      <c r="A280" s="208">
        <v>46079</v>
      </c>
      <c r="B280" s="208">
        <v>46195</v>
      </c>
      <c r="C280" s="211" t="s">
        <v>522</v>
      </c>
      <c r="D280" s="211" t="s">
        <v>523</v>
      </c>
      <c r="E280" s="211" t="s">
        <v>60</v>
      </c>
      <c r="F280" s="732">
        <v>4200</v>
      </c>
      <c r="G280" s="211" t="s">
        <v>270</v>
      </c>
      <c r="H280" s="211" t="str">
        <f>IFERROR(VLOOKUP(E280,名称!A:E,4,0),"")</f>
        <v>三代</v>
      </c>
      <c r="I280" s="268" t="str">
        <f t="shared" ref="I280:BT280" si="333">IF(OR($E280="",I$1=""),"",IF(TRIM(LEFT($E280,MIN(IFERROR(FIND("CDU",UPPER($E280)),999),IFERROR(FIND("BULK",UPPER($E280)),999),IFERROR(FIND("-",$E280),999),IFERROR(FIND("（",$E280),999))-1))=I$1,$F280,""))</f>
        <v/>
      </c>
      <c r="J280" s="268" t="str">
        <f t="shared" si="333"/>
        <v/>
      </c>
      <c r="K280" s="268" t="str">
        <f t="shared" si="333"/>
        <v/>
      </c>
      <c r="L280" s="268" t="str">
        <f t="shared" si="333"/>
        <v/>
      </c>
      <c r="M280" s="268" t="str">
        <f t="shared" si="333"/>
        <v/>
      </c>
      <c r="N280" s="268" t="str">
        <f t="shared" si="333"/>
        <v/>
      </c>
      <c r="O280" s="268" t="str">
        <f t="shared" si="333"/>
        <v/>
      </c>
      <c r="P280" s="268" t="str">
        <f t="shared" si="333"/>
        <v/>
      </c>
      <c r="Q280" s="268" t="str">
        <f t="shared" si="333"/>
        <v/>
      </c>
      <c r="R280" s="268" t="str">
        <f t="shared" si="333"/>
        <v/>
      </c>
      <c r="S280" s="268" t="str">
        <f t="shared" si="333"/>
        <v/>
      </c>
      <c r="T280" s="268" t="str">
        <f t="shared" si="333"/>
        <v/>
      </c>
      <c r="U280" s="268" t="str">
        <f t="shared" si="333"/>
        <v/>
      </c>
      <c r="V280" s="268" t="str">
        <f t="shared" si="333"/>
        <v/>
      </c>
      <c r="W280" s="268" t="str">
        <f t="shared" si="333"/>
        <v/>
      </c>
      <c r="X280" s="268" t="str">
        <f t="shared" si="333"/>
        <v/>
      </c>
      <c r="Y280" s="268" t="str">
        <f t="shared" si="333"/>
        <v/>
      </c>
      <c r="Z280" s="268" t="str">
        <f t="shared" si="333"/>
        <v/>
      </c>
      <c r="AA280" s="268" t="str">
        <f t="shared" si="333"/>
        <v/>
      </c>
      <c r="AB280" s="268" t="str">
        <f t="shared" si="333"/>
        <v/>
      </c>
      <c r="AC280" s="268" t="str">
        <f t="shared" si="333"/>
        <v/>
      </c>
      <c r="AD280" s="268" t="str">
        <f t="shared" si="333"/>
        <v/>
      </c>
      <c r="AE280" s="268">
        <f t="shared" si="333"/>
        <v>4200</v>
      </c>
      <c r="AF280" s="268" t="str">
        <f t="shared" si="333"/>
        <v/>
      </c>
      <c r="AG280" s="268" t="str">
        <f t="shared" si="333"/>
        <v/>
      </c>
      <c r="AH280" s="268" t="str">
        <f t="shared" si="333"/>
        <v/>
      </c>
      <c r="AI280" s="268" t="str">
        <f t="shared" si="333"/>
        <v/>
      </c>
      <c r="AJ280" s="268" t="str">
        <f t="shared" si="333"/>
        <v/>
      </c>
      <c r="AK280" s="268" t="str">
        <f t="shared" si="333"/>
        <v/>
      </c>
      <c r="AL280" s="268" t="str">
        <f t="shared" si="333"/>
        <v/>
      </c>
      <c r="AM280" s="268" t="str">
        <f t="shared" si="333"/>
        <v/>
      </c>
      <c r="AN280" s="268" t="str">
        <f t="shared" si="333"/>
        <v/>
      </c>
      <c r="AO280" s="268" t="str">
        <f t="shared" si="333"/>
        <v/>
      </c>
      <c r="AP280" s="268" t="str">
        <f t="shared" si="333"/>
        <v/>
      </c>
      <c r="AQ280" s="268" t="str">
        <f t="shared" si="333"/>
        <v/>
      </c>
      <c r="AR280" s="268" t="str">
        <f t="shared" si="333"/>
        <v/>
      </c>
      <c r="AS280" s="268" t="str">
        <f t="shared" si="333"/>
        <v/>
      </c>
      <c r="AT280" s="268" t="str">
        <f t="shared" si="333"/>
        <v/>
      </c>
      <c r="AU280" s="268" t="str">
        <f t="shared" si="333"/>
        <v/>
      </c>
      <c r="AV280" s="268" t="str">
        <f t="shared" si="333"/>
        <v/>
      </c>
      <c r="AW280" s="268" t="str">
        <f t="shared" si="333"/>
        <v/>
      </c>
      <c r="AX280" s="268" t="str">
        <f t="shared" si="333"/>
        <v/>
      </c>
      <c r="AY280" s="268" t="str">
        <f t="shared" si="333"/>
        <v/>
      </c>
      <c r="AZ280" s="268" t="str">
        <f t="shared" si="333"/>
        <v/>
      </c>
      <c r="BA280" s="268" t="str">
        <f t="shared" si="333"/>
        <v/>
      </c>
      <c r="BB280" s="268" t="str">
        <f t="shared" si="333"/>
        <v/>
      </c>
      <c r="BC280" s="268" t="str">
        <f t="shared" si="333"/>
        <v/>
      </c>
      <c r="BD280" s="268" t="str">
        <f t="shared" si="333"/>
        <v/>
      </c>
      <c r="BE280" s="268" t="str">
        <f t="shared" si="333"/>
        <v/>
      </c>
      <c r="BF280" s="268" t="str">
        <f t="shared" si="333"/>
        <v/>
      </c>
      <c r="BG280" s="268" t="str">
        <f t="shared" si="333"/>
        <v/>
      </c>
      <c r="BH280" s="268" t="str">
        <f t="shared" si="333"/>
        <v/>
      </c>
      <c r="BI280" s="268" t="str">
        <f t="shared" si="333"/>
        <v/>
      </c>
      <c r="BJ280" s="268" t="str">
        <f t="shared" si="333"/>
        <v/>
      </c>
      <c r="BK280" s="268" t="str">
        <f t="shared" si="333"/>
        <v/>
      </c>
      <c r="BL280" s="268" t="str">
        <f t="shared" si="333"/>
        <v/>
      </c>
      <c r="BM280" s="268" t="str">
        <f t="shared" si="333"/>
        <v/>
      </c>
      <c r="BN280" s="268" t="str">
        <f t="shared" si="333"/>
        <v/>
      </c>
      <c r="BO280" s="268" t="str">
        <f t="shared" si="333"/>
        <v/>
      </c>
      <c r="BP280" s="268" t="str">
        <f t="shared" si="333"/>
        <v/>
      </c>
      <c r="BQ280" s="268" t="str">
        <f t="shared" si="333"/>
        <v/>
      </c>
      <c r="BR280" s="268" t="str">
        <f t="shared" si="333"/>
        <v/>
      </c>
      <c r="BS280" s="268" t="str">
        <f t="shared" si="333"/>
        <v/>
      </c>
      <c r="BT280" s="268" t="str">
        <f t="shared" si="333"/>
        <v/>
      </c>
      <c r="BU280" s="268" t="str">
        <f t="shared" si="330"/>
        <v/>
      </c>
      <c r="BV280" s="247">
        <v>0.6</v>
      </c>
      <c r="BW280" s="729">
        <f t="shared" si="331"/>
        <v>2520</v>
      </c>
      <c r="BX280" s="730">
        <f t="shared" si="332"/>
        <v>19530</v>
      </c>
      <c r="BY280" s="731" t="str">
        <f t="shared" si="325"/>
        <v>SR</v>
      </c>
    </row>
    <row r="281" s="698" customFormat="1" customHeight="1" spans="1:77">
      <c r="A281" s="208">
        <v>46083</v>
      </c>
      <c r="B281" s="208">
        <v>46146</v>
      </c>
      <c r="C281" s="211"/>
      <c r="D281" s="211" t="s">
        <v>524</v>
      </c>
      <c r="E281" s="211" t="s">
        <v>93</v>
      </c>
      <c r="F281" s="732">
        <v>4200</v>
      </c>
      <c r="G281" s="211" t="s">
        <v>270</v>
      </c>
      <c r="H281" s="211" t="str">
        <f>IFERROR(VLOOKUP(E281,名称!A:E,4,0),"")</f>
        <v>三代</v>
      </c>
      <c r="I281" s="268" t="str">
        <f t="shared" ref="I281:BT281" si="334">IF(OR($E281="",I$1=""),"",IF(TRIM(LEFT($E281,MIN(IFERROR(FIND("CDU",UPPER($E281)),999),IFERROR(FIND("BULK",UPPER($E281)),999),IFERROR(FIND("-",$E281),999),IFERROR(FIND("（",$E281),999))-1))=I$1,$F281,""))</f>
        <v/>
      </c>
      <c r="J281" s="268" t="str">
        <f t="shared" si="334"/>
        <v/>
      </c>
      <c r="K281" s="268" t="str">
        <f t="shared" si="334"/>
        <v/>
      </c>
      <c r="L281" s="268" t="str">
        <f t="shared" si="334"/>
        <v/>
      </c>
      <c r="M281" s="268" t="str">
        <f t="shared" si="334"/>
        <v/>
      </c>
      <c r="N281" s="268" t="str">
        <f t="shared" si="334"/>
        <v/>
      </c>
      <c r="O281" s="268" t="str">
        <f t="shared" si="334"/>
        <v/>
      </c>
      <c r="P281" s="268" t="str">
        <f t="shared" si="334"/>
        <v/>
      </c>
      <c r="Q281" s="268" t="str">
        <f t="shared" si="334"/>
        <v/>
      </c>
      <c r="R281" s="268" t="str">
        <f t="shared" si="334"/>
        <v/>
      </c>
      <c r="S281" s="268" t="str">
        <f t="shared" si="334"/>
        <v/>
      </c>
      <c r="T281" s="268" t="str">
        <f t="shared" si="334"/>
        <v/>
      </c>
      <c r="U281" s="268" t="str">
        <f t="shared" si="334"/>
        <v/>
      </c>
      <c r="V281" s="268" t="str">
        <f t="shared" si="334"/>
        <v/>
      </c>
      <c r="W281" s="268" t="str">
        <f t="shared" si="334"/>
        <v/>
      </c>
      <c r="X281" s="268" t="str">
        <f t="shared" si="334"/>
        <v/>
      </c>
      <c r="Y281" s="268" t="str">
        <f t="shared" si="334"/>
        <v/>
      </c>
      <c r="Z281" s="268" t="str">
        <f t="shared" si="334"/>
        <v/>
      </c>
      <c r="AA281" s="268" t="str">
        <f t="shared" si="334"/>
        <v/>
      </c>
      <c r="AB281" s="268" t="str">
        <f t="shared" si="334"/>
        <v/>
      </c>
      <c r="AC281" s="268" t="str">
        <f t="shared" si="334"/>
        <v/>
      </c>
      <c r="AD281" s="268" t="str">
        <f t="shared" si="334"/>
        <v/>
      </c>
      <c r="AE281" s="268" t="str">
        <f t="shared" si="334"/>
        <v/>
      </c>
      <c r="AF281" s="268" t="str">
        <f t="shared" si="334"/>
        <v/>
      </c>
      <c r="AG281" s="268" t="str">
        <f t="shared" si="334"/>
        <v/>
      </c>
      <c r="AH281" s="268" t="str">
        <f t="shared" si="334"/>
        <v/>
      </c>
      <c r="AI281" s="268" t="str">
        <f t="shared" si="334"/>
        <v/>
      </c>
      <c r="AJ281" s="268" t="str">
        <f t="shared" si="334"/>
        <v/>
      </c>
      <c r="AK281" s="268" t="str">
        <f t="shared" si="334"/>
        <v/>
      </c>
      <c r="AL281" s="268" t="str">
        <f t="shared" si="334"/>
        <v/>
      </c>
      <c r="AM281" s="268" t="str">
        <f t="shared" si="334"/>
        <v/>
      </c>
      <c r="AN281" s="268" t="str">
        <f t="shared" si="334"/>
        <v/>
      </c>
      <c r="AO281" s="268" t="str">
        <f t="shared" si="334"/>
        <v/>
      </c>
      <c r="AP281" s="268" t="str">
        <f t="shared" si="334"/>
        <v/>
      </c>
      <c r="AQ281" s="268" t="str">
        <f t="shared" si="334"/>
        <v/>
      </c>
      <c r="AR281" s="268" t="str">
        <f t="shared" si="334"/>
        <v/>
      </c>
      <c r="AS281" s="268" t="str">
        <f t="shared" si="334"/>
        <v/>
      </c>
      <c r="AT281" s="268" t="str">
        <f t="shared" si="334"/>
        <v/>
      </c>
      <c r="AU281" s="268" t="str">
        <f t="shared" si="334"/>
        <v/>
      </c>
      <c r="AV281" s="268" t="str">
        <f t="shared" si="334"/>
        <v/>
      </c>
      <c r="AW281" s="268" t="str">
        <f t="shared" si="334"/>
        <v/>
      </c>
      <c r="AX281" s="268" t="str">
        <f t="shared" si="334"/>
        <v/>
      </c>
      <c r="AY281" s="268">
        <f t="shared" si="334"/>
        <v>4200</v>
      </c>
      <c r="AZ281" s="268" t="str">
        <f t="shared" si="334"/>
        <v/>
      </c>
      <c r="BA281" s="268" t="str">
        <f t="shared" si="334"/>
        <v/>
      </c>
      <c r="BB281" s="268" t="str">
        <f t="shared" si="334"/>
        <v/>
      </c>
      <c r="BC281" s="268" t="str">
        <f t="shared" si="334"/>
        <v/>
      </c>
      <c r="BD281" s="268" t="str">
        <f t="shared" si="334"/>
        <v/>
      </c>
      <c r="BE281" s="268" t="str">
        <f t="shared" si="334"/>
        <v/>
      </c>
      <c r="BF281" s="268" t="str">
        <f t="shared" si="334"/>
        <v/>
      </c>
      <c r="BG281" s="268" t="str">
        <f t="shared" si="334"/>
        <v/>
      </c>
      <c r="BH281" s="268" t="str">
        <f t="shared" si="334"/>
        <v/>
      </c>
      <c r="BI281" s="268" t="str">
        <f t="shared" si="334"/>
        <v/>
      </c>
      <c r="BJ281" s="268" t="str">
        <f t="shared" si="334"/>
        <v/>
      </c>
      <c r="BK281" s="268" t="str">
        <f t="shared" si="334"/>
        <v/>
      </c>
      <c r="BL281" s="268" t="str">
        <f t="shared" si="334"/>
        <v/>
      </c>
      <c r="BM281" s="268" t="str">
        <f t="shared" si="334"/>
        <v/>
      </c>
      <c r="BN281" s="268" t="str">
        <f t="shared" si="334"/>
        <v/>
      </c>
      <c r="BO281" s="268" t="str">
        <f t="shared" si="334"/>
        <v/>
      </c>
      <c r="BP281" s="268" t="str">
        <f t="shared" si="334"/>
        <v/>
      </c>
      <c r="BQ281" s="268" t="str">
        <f t="shared" si="334"/>
        <v/>
      </c>
      <c r="BR281" s="268" t="str">
        <f t="shared" si="334"/>
        <v/>
      </c>
      <c r="BS281" s="268" t="str">
        <f t="shared" si="334"/>
        <v/>
      </c>
      <c r="BT281" s="268" t="str">
        <f t="shared" si="334"/>
        <v/>
      </c>
      <c r="BU281" s="268" t="str">
        <f t="shared" si="330"/>
        <v/>
      </c>
      <c r="BV281" s="247">
        <v>0.61</v>
      </c>
      <c r="BW281" s="729">
        <f t="shared" si="331"/>
        <v>2562</v>
      </c>
      <c r="BX281" s="730">
        <f t="shared" si="332"/>
        <v>19855.5</v>
      </c>
      <c r="BY281" s="731" t="str">
        <f t="shared" ref="BY279:BY289" si="335">MID(E281,1,2)</f>
        <v>SR</v>
      </c>
    </row>
    <row r="282" s="698" customFormat="1" customHeight="1" spans="1:77">
      <c r="A282" s="208">
        <v>46083</v>
      </c>
      <c r="B282" s="208">
        <v>46153</v>
      </c>
      <c r="C282" s="211"/>
      <c r="D282" s="211" t="s">
        <v>525</v>
      </c>
      <c r="E282" s="211" t="s">
        <v>55</v>
      </c>
      <c r="F282" s="732">
        <v>3600</v>
      </c>
      <c r="G282" s="211" t="s">
        <v>510</v>
      </c>
      <c r="H282" s="211" t="str">
        <f>IFERROR(VLOOKUP(E282,名称!A:E,4,0),"")</f>
        <v>三代</v>
      </c>
      <c r="I282" s="268" t="str">
        <f t="shared" ref="I282:BT282" si="336">IF(OR($E282="",I$1=""),"",IF(TRIM(LEFT($E282,MIN(IFERROR(FIND("CDU",UPPER($E282)),999),IFERROR(FIND("BULK",UPPER($E282)),999),IFERROR(FIND("-",$E282),999),IFERROR(FIND("（",$E282),999))-1))=I$1,$F282,""))</f>
        <v/>
      </c>
      <c r="J282" s="268" t="str">
        <f t="shared" si="336"/>
        <v/>
      </c>
      <c r="K282" s="268" t="str">
        <f t="shared" si="336"/>
        <v/>
      </c>
      <c r="L282" s="268" t="str">
        <f t="shared" si="336"/>
        <v/>
      </c>
      <c r="M282" s="268" t="str">
        <f t="shared" si="336"/>
        <v/>
      </c>
      <c r="N282" s="268" t="str">
        <f t="shared" si="336"/>
        <v/>
      </c>
      <c r="O282" s="268" t="str">
        <f t="shared" si="336"/>
        <v/>
      </c>
      <c r="P282" s="268" t="str">
        <f t="shared" si="336"/>
        <v/>
      </c>
      <c r="Q282" s="268" t="str">
        <f t="shared" si="336"/>
        <v/>
      </c>
      <c r="R282" s="268" t="str">
        <f t="shared" si="336"/>
        <v/>
      </c>
      <c r="S282" s="268" t="str">
        <f t="shared" si="336"/>
        <v/>
      </c>
      <c r="T282" s="268" t="str">
        <f t="shared" si="336"/>
        <v/>
      </c>
      <c r="U282" s="268" t="str">
        <f t="shared" si="336"/>
        <v/>
      </c>
      <c r="V282" s="268" t="str">
        <f t="shared" si="336"/>
        <v/>
      </c>
      <c r="W282" s="268" t="str">
        <f t="shared" si="336"/>
        <v/>
      </c>
      <c r="X282" s="268" t="str">
        <f t="shared" si="336"/>
        <v/>
      </c>
      <c r="Y282" s="268" t="str">
        <f t="shared" si="336"/>
        <v/>
      </c>
      <c r="Z282" s="268" t="str">
        <f t="shared" si="336"/>
        <v/>
      </c>
      <c r="AA282" s="268" t="str">
        <f t="shared" si="336"/>
        <v/>
      </c>
      <c r="AB282" s="268" t="str">
        <f t="shared" si="336"/>
        <v/>
      </c>
      <c r="AC282" s="268">
        <f t="shared" si="336"/>
        <v>3600</v>
      </c>
      <c r="AD282" s="268" t="str">
        <f t="shared" si="336"/>
        <v/>
      </c>
      <c r="AE282" s="268" t="str">
        <f t="shared" si="336"/>
        <v/>
      </c>
      <c r="AF282" s="268" t="str">
        <f t="shared" si="336"/>
        <v/>
      </c>
      <c r="AG282" s="268" t="str">
        <f t="shared" si="336"/>
        <v/>
      </c>
      <c r="AH282" s="268" t="str">
        <f t="shared" si="336"/>
        <v/>
      </c>
      <c r="AI282" s="268" t="str">
        <f t="shared" si="336"/>
        <v/>
      </c>
      <c r="AJ282" s="268" t="str">
        <f t="shared" si="336"/>
        <v/>
      </c>
      <c r="AK282" s="268" t="str">
        <f t="shared" si="336"/>
        <v/>
      </c>
      <c r="AL282" s="268" t="str">
        <f t="shared" si="336"/>
        <v/>
      </c>
      <c r="AM282" s="268" t="str">
        <f t="shared" si="336"/>
        <v/>
      </c>
      <c r="AN282" s="268" t="str">
        <f t="shared" si="336"/>
        <v/>
      </c>
      <c r="AO282" s="268" t="str">
        <f t="shared" si="336"/>
        <v/>
      </c>
      <c r="AP282" s="268" t="str">
        <f t="shared" si="336"/>
        <v/>
      </c>
      <c r="AQ282" s="268" t="str">
        <f t="shared" si="336"/>
        <v/>
      </c>
      <c r="AR282" s="268" t="str">
        <f t="shared" si="336"/>
        <v/>
      </c>
      <c r="AS282" s="268" t="str">
        <f t="shared" si="336"/>
        <v/>
      </c>
      <c r="AT282" s="268" t="str">
        <f t="shared" si="336"/>
        <v/>
      </c>
      <c r="AU282" s="268" t="str">
        <f t="shared" si="336"/>
        <v/>
      </c>
      <c r="AV282" s="268" t="str">
        <f t="shared" si="336"/>
        <v/>
      </c>
      <c r="AW282" s="268" t="str">
        <f t="shared" si="336"/>
        <v/>
      </c>
      <c r="AX282" s="268" t="str">
        <f t="shared" si="336"/>
        <v/>
      </c>
      <c r="AY282" s="268" t="str">
        <f t="shared" si="336"/>
        <v/>
      </c>
      <c r="AZ282" s="268" t="str">
        <f t="shared" si="336"/>
        <v/>
      </c>
      <c r="BA282" s="268" t="str">
        <f t="shared" si="336"/>
        <v/>
      </c>
      <c r="BB282" s="268" t="str">
        <f t="shared" si="336"/>
        <v/>
      </c>
      <c r="BC282" s="268" t="str">
        <f t="shared" si="336"/>
        <v/>
      </c>
      <c r="BD282" s="268" t="str">
        <f t="shared" si="336"/>
        <v/>
      </c>
      <c r="BE282" s="268" t="str">
        <f t="shared" si="336"/>
        <v/>
      </c>
      <c r="BF282" s="268" t="str">
        <f t="shared" si="336"/>
        <v/>
      </c>
      <c r="BG282" s="268" t="str">
        <f t="shared" si="336"/>
        <v/>
      </c>
      <c r="BH282" s="268" t="str">
        <f t="shared" si="336"/>
        <v/>
      </c>
      <c r="BI282" s="268" t="str">
        <f t="shared" si="336"/>
        <v/>
      </c>
      <c r="BJ282" s="268" t="str">
        <f t="shared" si="336"/>
        <v/>
      </c>
      <c r="BK282" s="268" t="str">
        <f t="shared" si="336"/>
        <v/>
      </c>
      <c r="BL282" s="268" t="str">
        <f t="shared" si="336"/>
        <v/>
      </c>
      <c r="BM282" s="268" t="str">
        <f t="shared" si="336"/>
        <v/>
      </c>
      <c r="BN282" s="268" t="str">
        <f t="shared" si="336"/>
        <v/>
      </c>
      <c r="BO282" s="268" t="str">
        <f t="shared" si="336"/>
        <v/>
      </c>
      <c r="BP282" s="268" t="str">
        <f t="shared" si="336"/>
        <v/>
      </c>
      <c r="BQ282" s="268" t="str">
        <f t="shared" si="336"/>
        <v/>
      </c>
      <c r="BR282" s="268" t="str">
        <f t="shared" si="336"/>
        <v/>
      </c>
      <c r="BS282" s="268" t="str">
        <f t="shared" si="336"/>
        <v/>
      </c>
      <c r="BT282" s="268" t="str">
        <f t="shared" si="336"/>
        <v/>
      </c>
      <c r="BU282" s="268" t="str">
        <f t="shared" si="330"/>
        <v/>
      </c>
      <c r="BV282" s="247">
        <v>0.93</v>
      </c>
      <c r="BW282" s="729">
        <f t="shared" si="331"/>
        <v>3348</v>
      </c>
      <c r="BX282" s="730">
        <f t="shared" si="332"/>
        <v>25947</v>
      </c>
      <c r="BY282" s="731" t="str">
        <f t="shared" si="335"/>
        <v>SR</v>
      </c>
    </row>
    <row r="283" s="698" customFormat="1" customHeight="1" spans="1:77">
      <c r="A283" s="208">
        <v>46083</v>
      </c>
      <c r="B283" s="208">
        <v>46153</v>
      </c>
      <c r="C283" s="211"/>
      <c r="D283" s="211" t="s">
        <v>525</v>
      </c>
      <c r="E283" s="211" t="s">
        <v>59</v>
      </c>
      <c r="F283" s="732">
        <v>3600</v>
      </c>
      <c r="G283" s="211" t="s">
        <v>510</v>
      </c>
      <c r="H283" s="211" t="str">
        <f>IFERROR(VLOOKUP(E283,名称!A:E,4,0),"")</f>
        <v>三代</v>
      </c>
      <c r="I283" s="268" t="str">
        <f t="shared" ref="I283:BT283" si="337">IF(OR($E283="",I$1=""),"",IF(TRIM(LEFT($E283,MIN(IFERROR(FIND("CDU",UPPER($E283)),999),IFERROR(FIND("BULK",UPPER($E283)),999),IFERROR(FIND("-",$E283),999),IFERROR(FIND("（",$E283),999))-1))=I$1,$F283,""))</f>
        <v/>
      </c>
      <c r="J283" s="268" t="str">
        <f t="shared" si="337"/>
        <v/>
      </c>
      <c r="K283" s="268" t="str">
        <f t="shared" si="337"/>
        <v/>
      </c>
      <c r="L283" s="268" t="str">
        <f t="shared" si="337"/>
        <v/>
      </c>
      <c r="M283" s="268" t="str">
        <f t="shared" si="337"/>
        <v/>
      </c>
      <c r="N283" s="268" t="str">
        <f t="shared" si="337"/>
        <v/>
      </c>
      <c r="O283" s="268" t="str">
        <f t="shared" si="337"/>
        <v/>
      </c>
      <c r="P283" s="268" t="str">
        <f t="shared" si="337"/>
        <v/>
      </c>
      <c r="Q283" s="268" t="str">
        <f t="shared" si="337"/>
        <v/>
      </c>
      <c r="R283" s="268" t="str">
        <f t="shared" si="337"/>
        <v/>
      </c>
      <c r="S283" s="268" t="str">
        <f t="shared" si="337"/>
        <v/>
      </c>
      <c r="T283" s="268" t="str">
        <f t="shared" si="337"/>
        <v/>
      </c>
      <c r="U283" s="268" t="str">
        <f t="shared" si="337"/>
        <v/>
      </c>
      <c r="V283" s="268" t="str">
        <f t="shared" si="337"/>
        <v/>
      </c>
      <c r="W283" s="268" t="str">
        <f t="shared" si="337"/>
        <v/>
      </c>
      <c r="X283" s="268" t="str">
        <f t="shared" si="337"/>
        <v/>
      </c>
      <c r="Y283" s="268" t="str">
        <f t="shared" si="337"/>
        <v/>
      </c>
      <c r="Z283" s="268" t="str">
        <f t="shared" si="337"/>
        <v/>
      </c>
      <c r="AA283" s="268" t="str">
        <f t="shared" si="337"/>
        <v/>
      </c>
      <c r="AB283" s="268" t="str">
        <f t="shared" si="337"/>
        <v/>
      </c>
      <c r="AC283" s="268" t="str">
        <f t="shared" si="337"/>
        <v/>
      </c>
      <c r="AD283" s="268">
        <f t="shared" si="337"/>
        <v>3600</v>
      </c>
      <c r="AE283" s="268" t="str">
        <f t="shared" si="337"/>
        <v/>
      </c>
      <c r="AF283" s="268" t="str">
        <f t="shared" si="337"/>
        <v/>
      </c>
      <c r="AG283" s="268" t="str">
        <f t="shared" si="337"/>
        <v/>
      </c>
      <c r="AH283" s="268" t="str">
        <f t="shared" si="337"/>
        <v/>
      </c>
      <c r="AI283" s="268" t="str">
        <f t="shared" si="337"/>
        <v/>
      </c>
      <c r="AJ283" s="268" t="str">
        <f t="shared" si="337"/>
        <v/>
      </c>
      <c r="AK283" s="268" t="str">
        <f t="shared" si="337"/>
        <v/>
      </c>
      <c r="AL283" s="268" t="str">
        <f t="shared" si="337"/>
        <v/>
      </c>
      <c r="AM283" s="268" t="str">
        <f t="shared" si="337"/>
        <v/>
      </c>
      <c r="AN283" s="268" t="str">
        <f t="shared" si="337"/>
        <v/>
      </c>
      <c r="AO283" s="268" t="str">
        <f t="shared" si="337"/>
        <v/>
      </c>
      <c r="AP283" s="268" t="str">
        <f t="shared" si="337"/>
        <v/>
      </c>
      <c r="AQ283" s="268" t="str">
        <f t="shared" si="337"/>
        <v/>
      </c>
      <c r="AR283" s="268" t="str">
        <f t="shared" si="337"/>
        <v/>
      </c>
      <c r="AS283" s="268" t="str">
        <f t="shared" si="337"/>
        <v/>
      </c>
      <c r="AT283" s="268" t="str">
        <f t="shared" si="337"/>
        <v/>
      </c>
      <c r="AU283" s="268" t="str">
        <f t="shared" si="337"/>
        <v/>
      </c>
      <c r="AV283" s="268" t="str">
        <f t="shared" si="337"/>
        <v/>
      </c>
      <c r="AW283" s="268" t="str">
        <f t="shared" si="337"/>
        <v/>
      </c>
      <c r="AX283" s="268" t="str">
        <f t="shared" si="337"/>
        <v/>
      </c>
      <c r="AY283" s="268" t="str">
        <f t="shared" si="337"/>
        <v/>
      </c>
      <c r="AZ283" s="268" t="str">
        <f t="shared" si="337"/>
        <v/>
      </c>
      <c r="BA283" s="268" t="str">
        <f t="shared" si="337"/>
        <v/>
      </c>
      <c r="BB283" s="268" t="str">
        <f t="shared" si="337"/>
        <v/>
      </c>
      <c r="BC283" s="268" t="str">
        <f t="shared" si="337"/>
        <v/>
      </c>
      <c r="BD283" s="268" t="str">
        <f t="shared" si="337"/>
        <v/>
      </c>
      <c r="BE283" s="268" t="str">
        <f t="shared" si="337"/>
        <v/>
      </c>
      <c r="BF283" s="268" t="str">
        <f t="shared" si="337"/>
        <v/>
      </c>
      <c r="BG283" s="268" t="str">
        <f t="shared" si="337"/>
        <v/>
      </c>
      <c r="BH283" s="268" t="str">
        <f t="shared" si="337"/>
        <v/>
      </c>
      <c r="BI283" s="268" t="str">
        <f t="shared" si="337"/>
        <v/>
      </c>
      <c r="BJ283" s="268" t="str">
        <f t="shared" si="337"/>
        <v/>
      </c>
      <c r="BK283" s="268" t="str">
        <f t="shared" si="337"/>
        <v/>
      </c>
      <c r="BL283" s="268" t="str">
        <f t="shared" si="337"/>
        <v/>
      </c>
      <c r="BM283" s="268" t="str">
        <f t="shared" si="337"/>
        <v/>
      </c>
      <c r="BN283" s="268" t="str">
        <f t="shared" si="337"/>
        <v/>
      </c>
      <c r="BO283" s="268" t="str">
        <f t="shared" si="337"/>
        <v/>
      </c>
      <c r="BP283" s="268" t="str">
        <f t="shared" si="337"/>
        <v/>
      </c>
      <c r="BQ283" s="268" t="str">
        <f t="shared" si="337"/>
        <v/>
      </c>
      <c r="BR283" s="268" t="str">
        <f t="shared" si="337"/>
        <v/>
      </c>
      <c r="BS283" s="268" t="str">
        <f t="shared" si="337"/>
        <v/>
      </c>
      <c r="BT283" s="268" t="str">
        <f t="shared" si="337"/>
        <v/>
      </c>
      <c r="BU283" s="268" t="str">
        <f t="shared" si="330"/>
        <v/>
      </c>
      <c r="BV283" s="247">
        <v>0.66</v>
      </c>
      <c r="BW283" s="729">
        <f t="shared" si="331"/>
        <v>2376</v>
      </c>
      <c r="BX283" s="730">
        <f t="shared" si="332"/>
        <v>18414</v>
      </c>
      <c r="BY283" s="731" t="str">
        <f t="shared" si="335"/>
        <v>SR</v>
      </c>
    </row>
    <row r="284" s="698" customFormat="1" customHeight="1" spans="1:77">
      <c r="A284" s="208">
        <v>46083</v>
      </c>
      <c r="B284" s="208">
        <v>46153</v>
      </c>
      <c r="C284" s="211"/>
      <c r="D284" s="211" t="s">
        <v>525</v>
      </c>
      <c r="E284" s="211" t="s">
        <v>66</v>
      </c>
      <c r="F284" s="732">
        <v>840</v>
      </c>
      <c r="G284" s="211" t="s">
        <v>510</v>
      </c>
      <c r="H284" s="211" t="str">
        <f>IFERROR(VLOOKUP(E284,名称!A:E,4,0),"")</f>
        <v>三代</v>
      </c>
      <c r="I284" s="268" t="str">
        <f t="shared" ref="I284:BT284" si="338">IF(OR($E284="",I$1=""),"",IF(TRIM(LEFT($E284,MIN(IFERROR(FIND("CDU",UPPER($E284)),999),IFERROR(FIND("BULK",UPPER($E284)),999),IFERROR(FIND("-",$E284),999),IFERROR(FIND("（",$E284),999))-1))=I$1,$F284,""))</f>
        <v/>
      </c>
      <c r="J284" s="268" t="str">
        <f t="shared" si="338"/>
        <v/>
      </c>
      <c r="K284" s="268" t="str">
        <f t="shared" si="338"/>
        <v/>
      </c>
      <c r="L284" s="268" t="str">
        <f t="shared" si="338"/>
        <v/>
      </c>
      <c r="M284" s="268" t="str">
        <f t="shared" si="338"/>
        <v/>
      </c>
      <c r="N284" s="268" t="str">
        <f t="shared" si="338"/>
        <v/>
      </c>
      <c r="O284" s="268" t="str">
        <f t="shared" si="338"/>
        <v/>
      </c>
      <c r="P284" s="268" t="str">
        <f t="shared" si="338"/>
        <v/>
      </c>
      <c r="Q284" s="268" t="str">
        <f t="shared" si="338"/>
        <v/>
      </c>
      <c r="R284" s="268" t="str">
        <f t="shared" si="338"/>
        <v/>
      </c>
      <c r="S284" s="268" t="str">
        <f t="shared" si="338"/>
        <v/>
      </c>
      <c r="T284" s="268" t="str">
        <f t="shared" si="338"/>
        <v/>
      </c>
      <c r="U284" s="268" t="str">
        <f t="shared" si="338"/>
        <v/>
      </c>
      <c r="V284" s="268" t="str">
        <f t="shared" si="338"/>
        <v/>
      </c>
      <c r="W284" s="268" t="str">
        <f t="shared" si="338"/>
        <v/>
      </c>
      <c r="X284" s="268" t="str">
        <f t="shared" si="338"/>
        <v/>
      </c>
      <c r="Y284" s="268" t="str">
        <f t="shared" si="338"/>
        <v/>
      </c>
      <c r="Z284" s="268" t="str">
        <f t="shared" si="338"/>
        <v/>
      </c>
      <c r="AA284" s="268" t="str">
        <f t="shared" si="338"/>
        <v/>
      </c>
      <c r="AB284" s="268" t="str">
        <f t="shared" si="338"/>
        <v/>
      </c>
      <c r="AC284" s="268" t="str">
        <f t="shared" si="338"/>
        <v/>
      </c>
      <c r="AD284" s="268" t="str">
        <f t="shared" si="338"/>
        <v/>
      </c>
      <c r="AE284" s="268" t="str">
        <f t="shared" si="338"/>
        <v/>
      </c>
      <c r="AF284" s="268" t="str">
        <f t="shared" si="338"/>
        <v/>
      </c>
      <c r="AG284" s="268">
        <f t="shared" si="338"/>
        <v>840</v>
      </c>
      <c r="AH284" s="268" t="str">
        <f t="shared" si="338"/>
        <v/>
      </c>
      <c r="AI284" s="268" t="str">
        <f t="shared" si="338"/>
        <v/>
      </c>
      <c r="AJ284" s="268" t="str">
        <f t="shared" si="338"/>
        <v/>
      </c>
      <c r="AK284" s="268" t="str">
        <f t="shared" si="338"/>
        <v/>
      </c>
      <c r="AL284" s="268" t="str">
        <f t="shared" si="338"/>
        <v/>
      </c>
      <c r="AM284" s="268" t="str">
        <f t="shared" si="338"/>
        <v/>
      </c>
      <c r="AN284" s="268" t="str">
        <f t="shared" si="338"/>
        <v/>
      </c>
      <c r="AO284" s="268" t="str">
        <f t="shared" si="338"/>
        <v/>
      </c>
      <c r="AP284" s="268" t="str">
        <f t="shared" si="338"/>
        <v/>
      </c>
      <c r="AQ284" s="268" t="str">
        <f t="shared" si="338"/>
        <v/>
      </c>
      <c r="AR284" s="268" t="str">
        <f t="shared" si="338"/>
        <v/>
      </c>
      <c r="AS284" s="268" t="str">
        <f t="shared" si="338"/>
        <v/>
      </c>
      <c r="AT284" s="268" t="str">
        <f t="shared" si="338"/>
        <v/>
      </c>
      <c r="AU284" s="268" t="str">
        <f t="shared" si="338"/>
        <v/>
      </c>
      <c r="AV284" s="268" t="str">
        <f t="shared" si="338"/>
        <v/>
      </c>
      <c r="AW284" s="268" t="str">
        <f t="shared" si="338"/>
        <v/>
      </c>
      <c r="AX284" s="268" t="str">
        <f t="shared" si="338"/>
        <v/>
      </c>
      <c r="AY284" s="268" t="str">
        <f t="shared" si="338"/>
        <v/>
      </c>
      <c r="AZ284" s="268" t="str">
        <f t="shared" si="338"/>
        <v/>
      </c>
      <c r="BA284" s="268" t="str">
        <f t="shared" si="338"/>
        <v/>
      </c>
      <c r="BB284" s="268" t="str">
        <f t="shared" si="338"/>
        <v/>
      </c>
      <c r="BC284" s="268" t="str">
        <f t="shared" si="338"/>
        <v/>
      </c>
      <c r="BD284" s="268" t="str">
        <f t="shared" si="338"/>
        <v/>
      </c>
      <c r="BE284" s="268" t="str">
        <f t="shared" si="338"/>
        <v/>
      </c>
      <c r="BF284" s="268" t="str">
        <f t="shared" si="338"/>
        <v/>
      </c>
      <c r="BG284" s="268" t="str">
        <f t="shared" si="338"/>
        <v/>
      </c>
      <c r="BH284" s="268" t="str">
        <f t="shared" si="338"/>
        <v/>
      </c>
      <c r="BI284" s="268" t="str">
        <f t="shared" si="338"/>
        <v/>
      </c>
      <c r="BJ284" s="268" t="str">
        <f t="shared" si="338"/>
        <v/>
      </c>
      <c r="BK284" s="268" t="str">
        <f t="shared" si="338"/>
        <v/>
      </c>
      <c r="BL284" s="268" t="str">
        <f t="shared" si="338"/>
        <v/>
      </c>
      <c r="BM284" s="268" t="str">
        <f t="shared" si="338"/>
        <v/>
      </c>
      <c r="BN284" s="268" t="str">
        <f t="shared" si="338"/>
        <v/>
      </c>
      <c r="BO284" s="268" t="str">
        <f t="shared" si="338"/>
        <v/>
      </c>
      <c r="BP284" s="268" t="str">
        <f t="shared" si="338"/>
        <v/>
      </c>
      <c r="BQ284" s="268" t="str">
        <f t="shared" si="338"/>
        <v/>
      </c>
      <c r="BR284" s="268" t="str">
        <f t="shared" si="338"/>
        <v/>
      </c>
      <c r="BS284" s="268" t="str">
        <f t="shared" si="338"/>
        <v/>
      </c>
      <c r="BT284" s="268" t="str">
        <f t="shared" si="338"/>
        <v/>
      </c>
      <c r="BU284" s="268" t="str">
        <f t="shared" si="330"/>
        <v/>
      </c>
      <c r="BV284" s="247">
        <v>2.09</v>
      </c>
      <c r="BW284" s="729">
        <f t="shared" si="331"/>
        <v>1755.6</v>
      </c>
      <c r="BX284" s="730">
        <f t="shared" si="332"/>
        <v>13605.9</v>
      </c>
      <c r="BY284" s="731" t="str">
        <f t="shared" si="335"/>
        <v>SR</v>
      </c>
    </row>
    <row r="285" s="698" customFormat="1" customHeight="1" spans="1:77">
      <c r="A285" s="208">
        <v>46083</v>
      </c>
      <c r="B285" s="208">
        <v>46153</v>
      </c>
      <c r="C285" s="211"/>
      <c r="D285" s="211" t="s">
        <v>525</v>
      </c>
      <c r="E285" s="211" t="s">
        <v>97</v>
      </c>
      <c r="F285" s="732">
        <v>1800</v>
      </c>
      <c r="G285" s="211" t="s">
        <v>510</v>
      </c>
      <c r="H285" s="211" t="str">
        <f>IFERROR(VLOOKUP(E285,名称!A:E,4,0),"")</f>
        <v>三代</v>
      </c>
      <c r="I285" s="268" t="str">
        <f t="shared" ref="I285:BT285" si="339">IF(OR($E285="",I$1=""),"",IF(TRIM(LEFT($E285,MIN(IFERROR(FIND("CDU",UPPER($E285)),999),IFERROR(FIND("BULK",UPPER($E285)),999),IFERROR(FIND("-",$E285),999),IFERROR(FIND("（",$E285),999))-1))=I$1,$F285,""))</f>
        <v/>
      </c>
      <c r="J285" s="268" t="str">
        <f t="shared" si="339"/>
        <v/>
      </c>
      <c r="K285" s="268" t="str">
        <f t="shared" si="339"/>
        <v/>
      </c>
      <c r="L285" s="268" t="str">
        <f t="shared" si="339"/>
        <v/>
      </c>
      <c r="M285" s="268" t="str">
        <f t="shared" si="339"/>
        <v/>
      </c>
      <c r="N285" s="268" t="str">
        <f t="shared" si="339"/>
        <v/>
      </c>
      <c r="O285" s="268" t="str">
        <f t="shared" si="339"/>
        <v/>
      </c>
      <c r="P285" s="268" t="str">
        <f t="shared" si="339"/>
        <v/>
      </c>
      <c r="Q285" s="268" t="str">
        <f t="shared" si="339"/>
        <v/>
      </c>
      <c r="R285" s="268" t="str">
        <f t="shared" si="339"/>
        <v/>
      </c>
      <c r="S285" s="268" t="str">
        <f t="shared" si="339"/>
        <v/>
      </c>
      <c r="T285" s="268" t="str">
        <f t="shared" si="339"/>
        <v/>
      </c>
      <c r="U285" s="268" t="str">
        <f t="shared" si="339"/>
        <v/>
      </c>
      <c r="V285" s="268" t="str">
        <f t="shared" si="339"/>
        <v/>
      </c>
      <c r="W285" s="268" t="str">
        <f t="shared" si="339"/>
        <v/>
      </c>
      <c r="X285" s="268" t="str">
        <f t="shared" si="339"/>
        <v/>
      </c>
      <c r="Y285" s="268" t="str">
        <f t="shared" si="339"/>
        <v/>
      </c>
      <c r="Z285" s="268" t="str">
        <f t="shared" si="339"/>
        <v/>
      </c>
      <c r="AA285" s="268" t="str">
        <f t="shared" si="339"/>
        <v/>
      </c>
      <c r="AB285" s="268" t="str">
        <f t="shared" si="339"/>
        <v/>
      </c>
      <c r="AC285" s="268" t="str">
        <f t="shared" si="339"/>
        <v/>
      </c>
      <c r="AD285" s="268" t="str">
        <f t="shared" si="339"/>
        <v/>
      </c>
      <c r="AE285" s="268" t="str">
        <f t="shared" si="339"/>
        <v/>
      </c>
      <c r="AF285" s="268" t="str">
        <f t="shared" si="339"/>
        <v/>
      </c>
      <c r="AG285" s="268" t="str">
        <f t="shared" si="339"/>
        <v/>
      </c>
      <c r="AH285" s="268" t="str">
        <f t="shared" si="339"/>
        <v/>
      </c>
      <c r="AI285" s="268" t="str">
        <f t="shared" si="339"/>
        <v/>
      </c>
      <c r="AJ285" s="268" t="str">
        <f t="shared" si="339"/>
        <v/>
      </c>
      <c r="AK285" s="268" t="str">
        <f t="shared" si="339"/>
        <v/>
      </c>
      <c r="AL285" s="268" t="str">
        <f t="shared" si="339"/>
        <v/>
      </c>
      <c r="AM285" s="268" t="str">
        <f t="shared" si="339"/>
        <v/>
      </c>
      <c r="AN285" s="268" t="str">
        <f t="shared" si="339"/>
        <v/>
      </c>
      <c r="AO285" s="268" t="str">
        <f t="shared" si="339"/>
        <v/>
      </c>
      <c r="AP285" s="268" t="str">
        <f t="shared" si="339"/>
        <v/>
      </c>
      <c r="AQ285" s="268" t="str">
        <f t="shared" si="339"/>
        <v/>
      </c>
      <c r="AR285" s="268" t="str">
        <f t="shared" si="339"/>
        <v/>
      </c>
      <c r="AS285" s="268" t="str">
        <f t="shared" si="339"/>
        <v/>
      </c>
      <c r="AT285" s="268" t="str">
        <f t="shared" si="339"/>
        <v/>
      </c>
      <c r="AU285" s="268" t="str">
        <f t="shared" si="339"/>
        <v/>
      </c>
      <c r="AV285" s="268" t="str">
        <f t="shared" si="339"/>
        <v/>
      </c>
      <c r="AW285" s="268" t="str">
        <f t="shared" si="339"/>
        <v/>
      </c>
      <c r="AX285" s="268" t="str">
        <f t="shared" si="339"/>
        <v/>
      </c>
      <c r="AY285" s="268" t="str">
        <f t="shared" si="339"/>
        <v/>
      </c>
      <c r="AZ285" s="268" t="str">
        <f t="shared" si="339"/>
        <v/>
      </c>
      <c r="BA285" s="268">
        <f t="shared" si="339"/>
        <v>1800</v>
      </c>
      <c r="BB285" s="268" t="str">
        <f t="shared" si="339"/>
        <v/>
      </c>
      <c r="BC285" s="268" t="str">
        <f t="shared" si="339"/>
        <v/>
      </c>
      <c r="BD285" s="268" t="str">
        <f t="shared" si="339"/>
        <v/>
      </c>
      <c r="BE285" s="268" t="str">
        <f t="shared" si="339"/>
        <v/>
      </c>
      <c r="BF285" s="268" t="str">
        <f t="shared" si="339"/>
        <v/>
      </c>
      <c r="BG285" s="268" t="str">
        <f t="shared" si="339"/>
        <v/>
      </c>
      <c r="BH285" s="268" t="str">
        <f t="shared" si="339"/>
        <v/>
      </c>
      <c r="BI285" s="268" t="str">
        <f t="shared" si="339"/>
        <v/>
      </c>
      <c r="BJ285" s="268" t="str">
        <f t="shared" si="339"/>
        <v/>
      </c>
      <c r="BK285" s="268" t="str">
        <f t="shared" si="339"/>
        <v/>
      </c>
      <c r="BL285" s="268" t="str">
        <f t="shared" si="339"/>
        <v/>
      </c>
      <c r="BM285" s="268" t="str">
        <f t="shared" si="339"/>
        <v/>
      </c>
      <c r="BN285" s="268" t="str">
        <f t="shared" si="339"/>
        <v/>
      </c>
      <c r="BO285" s="268" t="str">
        <f t="shared" si="339"/>
        <v/>
      </c>
      <c r="BP285" s="268" t="str">
        <f t="shared" si="339"/>
        <v/>
      </c>
      <c r="BQ285" s="268" t="str">
        <f t="shared" si="339"/>
        <v/>
      </c>
      <c r="BR285" s="268" t="str">
        <f t="shared" si="339"/>
        <v/>
      </c>
      <c r="BS285" s="268" t="str">
        <f t="shared" si="339"/>
        <v/>
      </c>
      <c r="BT285" s="268" t="str">
        <f t="shared" si="339"/>
        <v/>
      </c>
      <c r="BU285" s="268" t="str">
        <f t="shared" si="330"/>
        <v/>
      </c>
      <c r="BV285" s="247">
        <v>0.66</v>
      </c>
      <c r="BW285" s="729">
        <f t="shared" si="331"/>
        <v>1188</v>
      </c>
      <c r="BX285" s="730">
        <f t="shared" si="332"/>
        <v>9207</v>
      </c>
      <c r="BY285" s="731" t="str">
        <f t="shared" si="335"/>
        <v>SR</v>
      </c>
    </row>
    <row r="286" s="698" customFormat="1" customHeight="1" spans="1:77">
      <c r="A286" s="208">
        <v>46083</v>
      </c>
      <c r="B286" s="208">
        <v>46171</v>
      </c>
      <c r="C286" s="211"/>
      <c r="D286" s="211" t="s">
        <v>525</v>
      </c>
      <c r="E286" s="211" t="s">
        <v>98</v>
      </c>
      <c r="F286" s="732">
        <v>600</v>
      </c>
      <c r="G286" s="211" t="s">
        <v>510</v>
      </c>
      <c r="H286" s="211" t="str">
        <f>IFERROR(VLOOKUP(E286,名称!A:E,4,0),"")</f>
        <v>三代</v>
      </c>
      <c r="I286" s="268" t="str">
        <f t="shared" ref="I286:BT286" si="340">IF(OR($E286="",I$1=""),"",IF(TRIM(LEFT($E286,MIN(IFERROR(FIND("CDU",UPPER($E286)),999),IFERROR(FIND("BULK",UPPER($E286)),999),IFERROR(FIND("-",$E286),999),IFERROR(FIND("（",$E286),999))-1))=I$1,$F286,""))</f>
        <v/>
      </c>
      <c r="J286" s="268" t="str">
        <f t="shared" si="340"/>
        <v/>
      </c>
      <c r="K286" s="268" t="str">
        <f t="shared" si="340"/>
        <v/>
      </c>
      <c r="L286" s="268" t="str">
        <f t="shared" si="340"/>
        <v/>
      </c>
      <c r="M286" s="268" t="str">
        <f t="shared" si="340"/>
        <v/>
      </c>
      <c r="N286" s="268" t="str">
        <f t="shared" si="340"/>
        <v/>
      </c>
      <c r="O286" s="268" t="str">
        <f t="shared" si="340"/>
        <v/>
      </c>
      <c r="P286" s="268" t="str">
        <f t="shared" si="340"/>
        <v/>
      </c>
      <c r="Q286" s="268" t="str">
        <f t="shared" si="340"/>
        <v/>
      </c>
      <c r="R286" s="268" t="str">
        <f t="shared" si="340"/>
        <v/>
      </c>
      <c r="S286" s="268" t="str">
        <f t="shared" si="340"/>
        <v/>
      </c>
      <c r="T286" s="268" t="str">
        <f t="shared" si="340"/>
        <v/>
      </c>
      <c r="U286" s="268" t="str">
        <f t="shared" si="340"/>
        <v/>
      </c>
      <c r="V286" s="268" t="str">
        <f t="shared" si="340"/>
        <v/>
      </c>
      <c r="W286" s="268" t="str">
        <f t="shared" si="340"/>
        <v/>
      </c>
      <c r="X286" s="268" t="str">
        <f t="shared" si="340"/>
        <v/>
      </c>
      <c r="Y286" s="268" t="str">
        <f t="shared" si="340"/>
        <v/>
      </c>
      <c r="Z286" s="268" t="str">
        <f t="shared" si="340"/>
        <v/>
      </c>
      <c r="AA286" s="268" t="str">
        <f t="shared" si="340"/>
        <v/>
      </c>
      <c r="AB286" s="268" t="str">
        <f t="shared" si="340"/>
        <v/>
      </c>
      <c r="AC286" s="268" t="str">
        <f t="shared" si="340"/>
        <v/>
      </c>
      <c r="AD286" s="268" t="str">
        <f t="shared" si="340"/>
        <v/>
      </c>
      <c r="AE286" s="268" t="str">
        <f t="shared" si="340"/>
        <v/>
      </c>
      <c r="AF286" s="268" t="str">
        <f t="shared" si="340"/>
        <v/>
      </c>
      <c r="AG286" s="268" t="str">
        <f t="shared" si="340"/>
        <v/>
      </c>
      <c r="AH286" s="268" t="str">
        <f t="shared" si="340"/>
        <v/>
      </c>
      <c r="AI286" s="268" t="str">
        <f t="shared" si="340"/>
        <v/>
      </c>
      <c r="AJ286" s="268" t="str">
        <f t="shared" si="340"/>
        <v/>
      </c>
      <c r="AK286" s="268" t="str">
        <f t="shared" si="340"/>
        <v/>
      </c>
      <c r="AL286" s="268" t="str">
        <f t="shared" si="340"/>
        <v/>
      </c>
      <c r="AM286" s="268" t="str">
        <f t="shared" si="340"/>
        <v/>
      </c>
      <c r="AN286" s="268" t="str">
        <f t="shared" si="340"/>
        <v/>
      </c>
      <c r="AO286" s="268" t="str">
        <f t="shared" si="340"/>
        <v/>
      </c>
      <c r="AP286" s="268" t="str">
        <f t="shared" si="340"/>
        <v/>
      </c>
      <c r="AQ286" s="268" t="str">
        <f t="shared" si="340"/>
        <v/>
      </c>
      <c r="AR286" s="268" t="str">
        <f t="shared" si="340"/>
        <v/>
      </c>
      <c r="AS286" s="268" t="str">
        <f t="shared" si="340"/>
        <v/>
      </c>
      <c r="AT286" s="268" t="str">
        <f t="shared" si="340"/>
        <v/>
      </c>
      <c r="AU286" s="268" t="str">
        <f t="shared" si="340"/>
        <v/>
      </c>
      <c r="AV286" s="268" t="str">
        <f t="shared" si="340"/>
        <v/>
      </c>
      <c r="AW286" s="268" t="str">
        <f t="shared" si="340"/>
        <v/>
      </c>
      <c r="AX286" s="268" t="str">
        <f t="shared" si="340"/>
        <v/>
      </c>
      <c r="AY286" s="268" t="str">
        <f t="shared" si="340"/>
        <v/>
      </c>
      <c r="AZ286" s="268" t="str">
        <f t="shared" si="340"/>
        <v/>
      </c>
      <c r="BA286" s="268" t="str">
        <f t="shared" si="340"/>
        <v/>
      </c>
      <c r="BB286" s="268">
        <f t="shared" si="340"/>
        <v>600</v>
      </c>
      <c r="BC286" s="268" t="str">
        <f t="shared" si="340"/>
        <v/>
      </c>
      <c r="BD286" s="268" t="str">
        <f t="shared" si="340"/>
        <v/>
      </c>
      <c r="BE286" s="268" t="str">
        <f t="shared" si="340"/>
        <v/>
      </c>
      <c r="BF286" s="268" t="str">
        <f t="shared" si="340"/>
        <v/>
      </c>
      <c r="BG286" s="268" t="str">
        <f t="shared" si="340"/>
        <v/>
      </c>
      <c r="BH286" s="268" t="str">
        <f t="shared" si="340"/>
        <v/>
      </c>
      <c r="BI286" s="268" t="str">
        <f t="shared" si="340"/>
        <v/>
      </c>
      <c r="BJ286" s="268" t="str">
        <f t="shared" si="340"/>
        <v/>
      </c>
      <c r="BK286" s="268" t="str">
        <f t="shared" si="340"/>
        <v/>
      </c>
      <c r="BL286" s="268" t="str">
        <f t="shared" si="340"/>
        <v/>
      </c>
      <c r="BM286" s="268" t="str">
        <f t="shared" si="340"/>
        <v/>
      </c>
      <c r="BN286" s="268" t="str">
        <f t="shared" si="340"/>
        <v/>
      </c>
      <c r="BO286" s="268" t="str">
        <f t="shared" si="340"/>
        <v/>
      </c>
      <c r="BP286" s="268" t="str">
        <f t="shared" si="340"/>
        <v/>
      </c>
      <c r="BQ286" s="268" t="str">
        <f t="shared" si="340"/>
        <v/>
      </c>
      <c r="BR286" s="268" t="str">
        <f t="shared" si="340"/>
        <v/>
      </c>
      <c r="BS286" s="268" t="str">
        <f t="shared" si="340"/>
        <v/>
      </c>
      <c r="BT286" s="268" t="str">
        <f t="shared" si="340"/>
        <v/>
      </c>
      <c r="BU286" s="268" t="str">
        <f t="shared" si="330"/>
        <v/>
      </c>
      <c r="BV286" s="247">
        <v>1.65</v>
      </c>
      <c r="BW286" s="729">
        <f t="shared" si="331"/>
        <v>990</v>
      </c>
      <c r="BX286" s="730">
        <f t="shared" si="332"/>
        <v>7672.5</v>
      </c>
      <c r="BY286" s="731" t="str">
        <f t="shared" si="335"/>
        <v>SR</v>
      </c>
    </row>
    <row r="287" s="698" customFormat="1" customHeight="1" spans="1:77">
      <c r="A287" s="208">
        <v>46083</v>
      </c>
      <c r="B287" s="208">
        <v>46171</v>
      </c>
      <c r="C287" s="211"/>
      <c r="D287" s="211" t="s">
        <v>525</v>
      </c>
      <c r="E287" s="211" t="s">
        <v>88</v>
      </c>
      <c r="F287" s="732">
        <v>1800</v>
      </c>
      <c r="G287" s="211" t="s">
        <v>510</v>
      </c>
      <c r="H287" s="211" t="str">
        <f>IFERROR(VLOOKUP(E287,名称!A:E,4,0),"")</f>
        <v>三代</v>
      </c>
      <c r="I287" s="268" t="str">
        <f t="shared" ref="I287:BT287" si="341">IF(OR($E287="",I$1=""),"",IF(TRIM(LEFT($E287,MIN(IFERROR(FIND("CDU",UPPER($E287)),999),IFERROR(FIND("BULK",UPPER($E287)),999),IFERROR(FIND("-",$E287),999),IFERROR(FIND("（",$E287),999))-1))=I$1,$F287,""))</f>
        <v/>
      </c>
      <c r="J287" s="268" t="str">
        <f t="shared" si="341"/>
        <v/>
      </c>
      <c r="K287" s="268" t="str">
        <f t="shared" si="341"/>
        <v/>
      </c>
      <c r="L287" s="268" t="str">
        <f t="shared" si="341"/>
        <v/>
      </c>
      <c r="M287" s="268" t="str">
        <f t="shared" si="341"/>
        <v/>
      </c>
      <c r="N287" s="268" t="str">
        <f t="shared" si="341"/>
        <v/>
      </c>
      <c r="O287" s="268" t="str">
        <f t="shared" si="341"/>
        <v/>
      </c>
      <c r="P287" s="268" t="str">
        <f t="shared" si="341"/>
        <v/>
      </c>
      <c r="Q287" s="268" t="str">
        <f t="shared" si="341"/>
        <v/>
      </c>
      <c r="R287" s="268" t="str">
        <f t="shared" si="341"/>
        <v/>
      </c>
      <c r="S287" s="268" t="str">
        <f t="shared" si="341"/>
        <v/>
      </c>
      <c r="T287" s="268" t="str">
        <f t="shared" si="341"/>
        <v/>
      </c>
      <c r="U287" s="268" t="str">
        <f t="shared" si="341"/>
        <v/>
      </c>
      <c r="V287" s="268" t="str">
        <f t="shared" si="341"/>
        <v/>
      </c>
      <c r="W287" s="268" t="str">
        <f t="shared" si="341"/>
        <v/>
      </c>
      <c r="X287" s="268" t="str">
        <f t="shared" si="341"/>
        <v/>
      </c>
      <c r="Y287" s="268" t="str">
        <f t="shared" si="341"/>
        <v/>
      </c>
      <c r="Z287" s="268" t="str">
        <f t="shared" si="341"/>
        <v/>
      </c>
      <c r="AA287" s="268" t="str">
        <f t="shared" si="341"/>
        <v/>
      </c>
      <c r="AB287" s="268" t="str">
        <f t="shared" si="341"/>
        <v/>
      </c>
      <c r="AC287" s="268" t="str">
        <f t="shared" si="341"/>
        <v/>
      </c>
      <c r="AD287" s="268" t="str">
        <f t="shared" si="341"/>
        <v/>
      </c>
      <c r="AE287" s="268" t="str">
        <f t="shared" si="341"/>
        <v/>
      </c>
      <c r="AF287" s="268" t="str">
        <f t="shared" si="341"/>
        <v/>
      </c>
      <c r="AG287" s="268" t="str">
        <f t="shared" si="341"/>
        <v/>
      </c>
      <c r="AH287" s="268" t="str">
        <f t="shared" si="341"/>
        <v/>
      </c>
      <c r="AI287" s="268" t="str">
        <f t="shared" si="341"/>
        <v/>
      </c>
      <c r="AJ287" s="268" t="str">
        <f t="shared" si="341"/>
        <v/>
      </c>
      <c r="AK287" s="268" t="str">
        <f t="shared" si="341"/>
        <v/>
      </c>
      <c r="AL287" s="268" t="str">
        <f t="shared" si="341"/>
        <v/>
      </c>
      <c r="AM287" s="268" t="str">
        <f t="shared" si="341"/>
        <v/>
      </c>
      <c r="AN287" s="268" t="str">
        <f t="shared" si="341"/>
        <v/>
      </c>
      <c r="AO287" s="268" t="str">
        <f t="shared" si="341"/>
        <v/>
      </c>
      <c r="AP287" s="268" t="str">
        <f t="shared" si="341"/>
        <v/>
      </c>
      <c r="AQ287" s="268" t="str">
        <f t="shared" si="341"/>
        <v/>
      </c>
      <c r="AR287" s="268" t="str">
        <f t="shared" si="341"/>
        <v/>
      </c>
      <c r="AS287" s="268" t="str">
        <f t="shared" si="341"/>
        <v/>
      </c>
      <c r="AT287" s="268">
        <f t="shared" si="341"/>
        <v>1800</v>
      </c>
      <c r="AU287" s="268" t="str">
        <f t="shared" si="341"/>
        <v/>
      </c>
      <c r="AV287" s="268" t="str">
        <f t="shared" si="341"/>
        <v/>
      </c>
      <c r="AW287" s="268" t="str">
        <f t="shared" si="341"/>
        <v/>
      </c>
      <c r="AX287" s="268" t="str">
        <f t="shared" si="341"/>
        <v/>
      </c>
      <c r="AY287" s="268" t="str">
        <f t="shared" si="341"/>
        <v/>
      </c>
      <c r="AZ287" s="268" t="str">
        <f t="shared" si="341"/>
        <v/>
      </c>
      <c r="BA287" s="268" t="str">
        <f t="shared" si="341"/>
        <v/>
      </c>
      <c r="BB287" s="268" t="str">
        <f t="shared" si="341"/>
        <v/>
      </c>
      <c r="BC287" s="268" t="str">
        <f t="shared" si="341"/>
        <v/>
      </c>
      <c r="BD287" s="268" t="str">
        <f t="shared" si="341"/>
        <v/>
      </c>
      <c r="BE287" s="268" t="str">
        <f t="shared" si="341"/>
        <v/>
      </c>
      <c r="BF287" s="268" t="str">
        <f t="shared" si="341"/>
        <v/>
      </c>
      <c r="BG287" s="268" t="str">
        <f t="shared" si="341"/>
        <v/>
      </c>
      <c r="BH287" s="268" t="str">
        <f t="shared" si="341"/>
        <v/>
      </c>
      <c r="BI287" s="268" t="str">
        <f t="shared" si="341"/>
        <v/>
      </c>
      <c r="BJ287" s="268" t="str">
        <f t="shared" si="341"/>
        <v/>
      </c>
      <c r="BK287" s="268" t="str">
        <f t="shared" si="341"/>
        <v/>
      </c>
      <c r="BL287" s="268" t="str">
        <f t="shared" si="341"/>
        <v/>
      </c>
      <c r="BM287" s="268" t="str">
        <f t="shared" si="341"/>
        <v/>
      </c>
      <c r="BN287" s="268" t="str">
        <f t="shared" si="341"/>
        <v/>
      </c>
      <c r="BO287" s="268" t="str">
        <f t="shared" si="341"/>
        <v/>
      </c>
      <c r="BP287" s="268" t="str">
        <f t="shared" si="341"/>
        <v/>
      </c>
      <c r="BQ287" s="268" t="str">
        <f t="shared" si="341"/>
        <v/>
      </c>
      <c r="BR287" s="268" t="str">
        <f t="shared" si="341"/>
        <v/>
      </c>
      <c r="BS287" s="268" t="str">
        <f t="shared" si="341"/>
        <v/>
      </c>
      <c r="BT287" s="268" t="str">
        <f t="shared" si="341"/>
        <v/>
      </c>
      <c r="BU287" s="268" t="str">
        <f t="shared" si="330"/>
        <v/>
      </c>
      <c r="BV287" s="247">
        <v>0.83</v>
      </c>
      <c r="BW287" s="729">
        <f t="shared" si="331"/>
        <v>1494</v>
      </c>
      <c r="BX287" s="730">
        <f t="shared" si="332"/>
        <v>11578.5</v>
      </c>
      <c r="BY287" s="731" t="str">
        <f t="shared" si="335"/>
        <v>SR</v>
      </c>
    </row>
    <row r="288" s="698" customFormat="1" customHeight="1" spans="1:77">
      <c r="A288" s="208">
        <v>46083</v>
      </c>
      <c r="B288" s="208">
        <v>46153</v>
      </c>
      <c r="C288" s="211"/>
      <c r="D288" s="211" t="s">
        <v>525</v>
      </c>
      <c r="E288" s="211" t="s">
        <v>89</v>
      </c>
      <c r="F288" s="732">
        <v>720</v>
      </c>
      <c r="G288" s="211" t="s">
        <v>510</v>
      </c>
      <c r="H288" s="211" t="str">
        <f>IFERROR(VLOOKUP(E288,名称!A:E,4,0),"")</f>
        <v>三代</v>
      </c>
      <c r="I288" s="268" t="str">
        <f t="shared" ref="I288:BT288" si="342">IF(OR($E288="",I$1=""),"",IF(TRIM(LEFT($E288,MIN(IFERROR(FIND("CDU",UPPER($E288)),999),IFERROR(FIND("BULK",UPPER($E288)),999),IFERROR(FIND("-",$E288),999),IFERROR(FIND("（",$E288),999))-1))=I$1,$F288,""))</f>
        <v/>
      </c>
      <c r="J288" s="268" t="str">
        <f t="shared" si="342"/>
        <v/>
      </c>
      <c r="K288" s="268" t="str">
        <f t="shared" si="342"/>
        <v/>
      </c>
      <c r="L288" s="268" t="str">
        <f t="shared" si="342"/>
        <v/>
      </c>
      <c r="M288" s="268" t="str">
        <f t="shared" si="342"/>
        <v/>
      </c>
      <c r="N288" s="268" t="str">
        <f t="shared" si="342"/>
        <v/>
      </c>
      <c r="O288" s="268" t="str">
        <f t="shared" si="342"/>
        <v/>
      </c>
      <c r="P288" s="268" t="str">
        <f t="shared" si="342"/>
        <v/>
      </c>
      <c r="Q288" s="268" t="str">
        <f t="shared" si="342"/>
        <v/>
      </c>
      <c r="R288" s="268" t="str">
        <f t="shared" si="342"/>
        <v/>
      </c>
      <c r="S288" s="268" t="str">
        <f t="shared" si="342"/>
        <v/>
      </c>
      <c r="T288" s="268" t="str">
        <f t="shared" si="342"/>
        <v/>
      </c>
      <c r="U288" s="268" t="str">
        <f t="shared" si="342"/>
        <v/>
      </c>
      <c r="V288" s="268" t="str">
        <f t="shared" si="342"/>
        <v/>
      </c>
      <c r="W288" s="268" t="str">
        <f t="shared" si="342"/>
        <v/>
      </c>
      <c r="X288" s="268" t="str">
        <f t="shared" si="342"/>
        <v/>
      </c>
      <c r="Y288" s="268" t="str">
        <f t="shared" si="342"/>
        <v/>
      </c>
      <c r="Z288" s="268" t="str">
        <f t="shared" si="342"/>
        <v/>
      </c>
      <c r="AA288" s="268" t="str">
        <f t="shared" si="342"/>
        <v/>
      </c>
      <c r="AB288" s="268" t="str">
        <f t="shared" si="342"/>
        <v/>
      </c>
      <c r="AC288" s="268" t="str">
        <f t="shared" si="342"/>
        <v/>
      </c>
      <c r="AD288" s="268" t="str">
        <f t="shared" si="342"/>
        <v/>
      </c>
      <c r="AE288" s="268" t="str">
        <f t="shared" si="342"/>
        <v/>
      </c>
      <c r="AF288" s="268" t="str">
        <f t="shared" si="342"/>
        <v/>
      </c>
      <c r="AG288" s="268" t="str">
        <f t="shared" si="342"/>
        <v/>
      </c>
      <c r="AH288" s="268" t="str">
        <f t="shared" si="342"/>
        <v/>
      </c>
      <c r="AI288" s="268" t="str">
        <f t="shared" si="342"/>
        <v/>
      </c>
      <c r="AJ288" s="268" t="str">
        <f t="shared" si="342"/>
        <v/>
      </c>
      <c r="AK288" s="268" t="str">
        <f t="shared" si="342"/>
        <v/>
      </c>
      <c r="AL288" s="268" t="str">
        <f t="shared" si="342"/>
        <v/>
      </c>
      <c r="AM288" s="268" t="str">
        <f t="shared" si="342"/>
        <v/>
      </c>
      <c r="AN288" s="268" t="str">
        <f t="shared" si="342"/>
        <v/>
      </c>
      <c r="AO288" s="268" t="str">
        <f t="shared" si="342"/>
        <v/>
      </c>
      <c r="AP288" s="268" t="str">
        <f t="shared" si="342"/>
        <v/>
      </c>
      <c r="AQ288" s="268" t="str">
        <f t="shared" si="342"/>
        <v/>
      </c>
      <c r="AR288" s="268" t="str">
        <f t="shared" si="342"/>
        <v/>
      </c>
      <c r="AS288" s="268" t="str">
        <f t="shared" si="342"/>
        <v/>
      </c>
      <c r="AT288" s="268" t="str">
        <f t="shared" si="342"/>
        <v/>
      </c>
      <c r="AU288" s="268">
        <f t="shared" si="342"/>
        <v>720</v>
      </c>
      <c r="AV288" s="268" t="str">
        <f t="shared" si="342"/>
        <v/>
      </c>
      <c r="AW288" s="268" t="str">
        <f t="shared" si="342"/>
        <v/>
      </c>
      <c r="AX288" s="268" t="str">
        <f t="shared" si="342"/>
        <v/>
      </c>
      <c r="AY288" s="268" t="str">
        <f t="shared" si="342"/>
        <v/>
      </c>
      <c r="AZ288" s="268" t="str">
        <f t="shared" si="342"/>
        <v/>
      </c>
      <c r="BA288" s="268" t="str">
        <f t="shared" si="342"/>
        <v/>
      </c>
      <c r="BB288" s="268" t="str">
        <f t="shared" si="342"/>
        <v/>
      </c>
      <c r="BC288" s="268" t="str">
        <f t="shared" si="342"/>
        <v/>
      </c>
      <c r="BD288" s="268" t="str">
        <f t="shared" si="342"/>
        <v/>
      </c>
      <c r="BE288" s="268" t="str">
        <f t="shared" si="342"/>
        <v/>
      </c>
      <c r="BF288" s="268" t="str">
        <f t="shared" si="342"/>
        <v/>
      </c>
      <c r="BG288" s="268" t="str">
        <f t="shared" si="342"/>
        <v/>
      </c>
      <c r="BH288" s="268" t="str">
        <f t="shared" si="342"/>
        <v/>
      </c>
      <c r="BI288" s="268" t="str">
        <f t="shared" si="342"/>
        <v/>
      </c>
      <c r="BJ288" s="268" t="str">
        <f t="shared" si="342"/>
        <v/>
      </c>
      <c r="BK288" s="268" t="str">
        <f t="shared" si="342"/>
        <v/>
      </c>
      <c r="BL288" s="268" t="str">
        <f t="shared" si="342"/>
        <v/>
      </c>
      <c r="BM288" s="268" t="str">
        <f t="shared" si="342"/>
        <v/>
      </c>
      <c r="BN288" s="268" t="str">
        <f t="shared" si="342"/>
        <v/>
      </c>
      <c r="BO288" s="268" t="str">
        <f t="shared" si="342"/>
        <v/>
      </c>
      <c r="BP288" s="268" t="str">
        <f t="shared" si="342"/>
        <v/>
      </c>
      <c r="BQ288" s="268" t="str">
        <f t="shared" si="342"/>
        <v/>
      </c>
      <c r="BR288" s="268" t="str">
        <f t="shared" si="342"/>
        <v/>
      </c>
      <c r="BS288" s="268" t="str">
        <f t="shared" si="342"/>
        <v/>
      </c>
      <c r="BT288" s="268" t="str">
        <f t="shared" si="342"/>
        <v/>
      </c>
      <c r="BU288" s="268" t="str">
        <f t="shared" si="330"/>
        <v/>
      </c>
      <c r="BV288" s="247">
        <v>1.9</v>
      </c>
      <c r="BW288" s="729">
        <f t="shared" si="331"/>
        <v>1368</v>
      </c>
      <c r="BX288" s="730">
        <f t="shared" si="332"/>
        <v>10602</v>
      </c>
      <c r="BY288" s="731" t="str">
        <f t="shared" si="335"/>
        <v>SR</v>
      </c>
    </row>
    <row r="289" s="698" customFormat="1" customHeight="1" spans="1:77">
      <c r="A289" s="208">
        <v>46084</v>
      </c>
      <c r="B289" s="208">
        <v>46142</v>
      </c>
      <c r="C289" s="211"/>
      <c r="D289" s="211" t="s">
        <v>526</v>
      </c>
      <c r="E289" s="211" t="s">
        <v>94</v>
      </c>
      <c r="F289" s="732">
        <v>6000</v>
      </c>
      <c r="G289" s="211" t="s">
        <v>510</v>
      </c>
      <c r="H289" s="211" t="str">
        <f>IFERROR(VLOOKUP(E289,名称!A:E,4,0),"")</f>
        <v>三代</v>
      </c>
      <c r="I289" s="268" t="str">
        <f t="shared" ref="I289:BT289" si="343">IF(OR($E289="",I$1=""),"",IF(TRIM(LEFT($E289,MIN(IFERROR(FIND("CDU",UPPER($E289)),999),IFERROR(FIND("BULK",UPPER($E289)),999),IFERROR(FIND("-",$E289),999),IFERROR(FIND("（",$E289),999))-1))=I$1,$F289,""))</f>
        <v/>
      </c>
      <c r="J289" s="268" t="str">
        <f t="shared" si="343"/>
        <v/>
      </c>
      <c r="K289" s="268" t="str">
        <f t="shared" si="343"/>
        <v/>
      </c>
      <c r="L289" s="268" t="str">
        <f t="shared" si="343"/>
        <v/>
      </c>
      <c r="M289" s="268" t="str">
        <f t="shared" si="343"/>
        <v/>
      </c>
      <c r="N289" s="268" t="str">
        <f t="shared" si="343"/>
        <v/>
      </c>
      <c r="O289" s="268" t="str">
        <f t="shared" si="343"/>
        <v/>
      </c>
      <c r="P289" s="268" t="str">
        <f t="shared" si="343"/>
        <v/>
      </c>
      <c r="Q289" s="268" t="str">
        <f t="shared" si="343"/>
        <v/>
      </c>
      <c r="R289" s="268" t="str">
        <f t="shared" si="343"/>
        <v/>
      </c>
      <c r="S289" s="268" t="str">
        <f t="shared" si="343"/>
        <v/>
      </c>
      <c r="T289" s="268" t="str">
        <f t="shared" si="343"/>
        <v/>
      </c>
      <c r="U289" s="268" t="str">
        <f t="shared" si="343"/>
        <v/>
      </c>
      <c r="V289" s="268" t="str">
        <f t="shared" si="343"/>
        <v/>
      </c>
      <c r="W289" s="268" t="str">
        <f t="shared" si="343"/>
        <v/>
      </c>
      <c r="X289" s="268" t="str">
        <f t="shared" si="343"/>
        <v/>
      </c>
      <c r="Y289" s="268" t="str">
        <f t="shared" si="343"/>
        <v/>
      </c>
      <c r="Z289" s="268" t="str">
        <f t="shared" si="343"/>
        <v/>
      </c>
      <c r="AA289" s="268" t="str">
        <f t="shared" si="343"/>
        <v/>
      </c>
      <c r="AB289" s="268" t="str">
        <f t="shared" si="343"/>
        <v/>
      </c>
      <c r="AC289" s="268" t="str">
        <f t="shared" si="343"/>
        <v/>
      </c>
      <c r="AD289" s="268" t="str">
        <f t="shared" si="343"/>
        <v/>
      </c>
      <c r="AE289" s="268" t="str">
        <f t="shared" si="343"/>
        <v/>
      </c>
      <c r="AF289" s="268" t="str">
        <f t="shared" si="343"/>
        <v/>
      </c>
      <c r="AG289" s="268" t="str">
        <f t="shared" si="343"/>
        <v/>
      </c>
      <c r="AH289" s="268" t="str">
        <f t="shared" si="343"/>
        <v/>
      </c>
      <c r="AI289" s="268" t="str">
        <f t="shared" si="343"/>
        <v/>
      </c>
      <c r="AJ289" s="268" t="str">
        <f t="shared" si="343"/>
        <v/>
      </c>
      <c r="AK289" s="268" t="str">
        <f t="shared" si="343"/>
        <v/>
      </c>
      <c r="AL289" s="268" t="str">
        <f t="shared" si="343"/>
        <v/>
      </c>
      <c r="AM289" s="268" t="str">
        <f t="shared" si="343"/>
        <v/>
      </c>
      <c r="AN289" s="268" t="str">
        <f t="shared" si="343"/>
        <v/>
      </c>
      <c r="AO289" s="268" t="str">
        <f t="shared" si="343"/>
        <v/>
      </c>
      <c r="AP289" s="268" t="str">
        <f t="shared" si="343"/>
        <v/>
      </c>
      <c r="AQ289" s="268" t="str">
        <f t="shared" si="343"/>
        <v/>
      </c>
      <c r="AR289" s="268" t="str">
        <f t="shared" si="343"/>
        <v/>
      </c>
      <c r="AS289" s="268" t="str">
        <f t="shared" si="343"/>
        <v/>
      </c>
      <c r="AT289" s="268" t="str">
        <f t="shared" si="343"/>
        <v/>
      </c>
      <c r="AU289" s="268" t="str">
        <f t="shared" si="343"/>
        <v/>
      </c>
      <c r="AV289" s="268" t="str">
        <f t="shared" si="343"/>
        <v/>
      </c>
      <c r="AW289" s="268" t="str">
        <f t="shared" si="343"/>
        <v/>
      </c>
      <c r="AX289" s="268" t="str">
        <f t="shared" si="343"/>
        <v/>
      </c>
      <c r="AY289" s="268">
        <f t="shared" si="343"/>
        <v>6000</v>
      </c>
      <c r="AZ289" s="268" t="str">
        <f t="shared" si="343"/>
        <v/>
      </c>
      <c r="BA289" s="268" t="str">
        <f t="shared" si="343"/>
        <v/>
      </c>
      <c r="BB289" s="268" t="str">
        <f t="shared" si="343"/>
        <v/>
      </c>
      <c r="BC289" s="268" t="str">
        <f t="shared" si="343"/>
        <v/>
      </c>
      <c r="BD289" s="268" t="str">
        <f t="shared" si="343"/>
        <v/>
      </c>
      <c r="BE289" s="268" t="str">
        <f t="shared" si="343"/>
        <v/>
      </c>
      <c r="BF289" s="268" t="str">
        <f t="shared" si="343"/>
        <v/>
      </c>
      <c r="BG289" s="268" t="str">
        <f t="shared" si="343"/>
        <v/>
      </c>
      <c r="BH289" s="268" t="str">
        <f t="shared" si="343"/>
        <v/>
      </c>
      <c r="BI289" s="268" t="str">
        <f t="shared" si="343"/>
        <v/>
      </c>
      <c r="BJ289" s="268" t="str">
        <f t="shared" si="343"/>
        <v/>
      </c>
      <c r="BK289" s="268" t="str">
        <f t="shared" si="343"/>
        <v/>
      </c>
      <c r="BL289" s="268" t="str">
        <f t="shared" si="343"/>
        <v/>
      </c>
      <c r="BM289" s="268" t="str">
        <f t="shared" si="343"/>
        <v/>
      </c>
      <c r="BN289" s="268" t="str">
        <f t="shared" si="343"/>
        <v/>
      </c>
      <c r="BO289" s="268" t="str">
        <f t="shared" si="343"/>
        <v/>
      </c>
      <c r="BP289" s="268" t="str">
        <f t="shared" si="343"/>
        <v/>
      </c>
      <c r="BQ289" s="268" t="str">
        <f t="shared" si="343"/>
        <v/>
      </c>
      <c r="BR289" s="268" t="str">
        <f t="shared" si="343"/>
        <v/>
      </c>
      <c r="BS289" s="268" t="str">
        <f t="shared" si="343"/>
        <v/>
      </c>
      <c r="BT289" s="268" t="str">
        <f t="shared" si="343"/>
        <v/>
      </c>
      <c r="BU289" s="268" t="str">
        <f t="shared" si="330"/>
        <v/>
      </c>
      <c r="BV289" s="247">
        <v>0.63</v>
      </c>
      <c r="BW289" s="729">
        <f t="shared" si="331"/>
        <v>3780</v>
      </c>
      <c r="BX289" s="730">
        <f t="shared" si="332"/>
        <v>29295</v>
      </c>
      <c r="BY289" s="731" t="str">
        <f t="shared" si="335"/>
        <v>SR</v>
      </c>
    </row>
    <row r="290" s="698" customFormat="1" customHeight="1" spans="1:77">
      <c r="A290" s="208">
        <v>46084</v>
      </c>
      <c r="B290" s="208">
        <v>46142</v>
      </c>
      <c r="C290" s="211"/>
      <c r="D290" s="211" t="s">
        <v>526</v>
      </c>
      <c r="E290" s="211" t="s">
        <v>92</v>
      </c>
      <c r="F290" s="732">
        <v>2400</v>
      </c>
      <c r="G290" s="211" t="s">
        <v>510</v>
      </c>
      <c r="H290" s="211" t="str">
        <f>IFERROR(VLOOKUP(E290,名称!A:E,4,0),"")</f>
        <v>三代</v>
      </c>
      <c r="I290" s="268" t="str">
        <f t="shared" ref="I290:BT290" si="344">IF(OR($E290="",I$1=""),"",IF(TRIM(LEFT($E290,MIN(IFERROR(FIND("CDU",UPPER($E290)),999),IFERROR(FIND("BULK",UPPER($E290)),999),IFERROR(FIND("-",$E290),999),IFERROR(FIND("（",$E290),999))-1))=I$1,$F290,""))</f>
        <v/>
      </c>
      <c r="J290" s="268" t="str">
        <f t="shared" si="344"/>
        <v/>
      </c>
      <c r="K290" s="268" t="str">
        <f t="shared" si="344"/>
        <v/>
      </c>
      <c r="L290" s="268" t="str">
        <f t="shared" si="344"/>
        <v/>
      </c>
      <c r="M290" s="268" t="str">
        <f t="shared" si="344"/>
        <v/>
      </c>
      <c r="N290" s="268" t="str">
        <f t="shared" si="344"/>
        <v/>
      </c>
      <c r="O290" s="268" t="str">
        <f t="shared" si="344"/>
        <v/>
      </c>
      <c r="P290" s="268" t="str">
        <f t="shared" si="344"/>
        <v/>
      </c>
      <c r="Q290" s="268" t="str">
        <f t="shared" si="344"/>
        <v/>
      </c>
      <c r="R290" s="268" t="str">
        <f t="shared" si="344"/>
        <v/>
      </c>
      <c r="S290" s="268" t="str">
        <f t="shared" si="344"/>
        <v/>
      </c>
      <c r="T290" s="268" t="str">
        <f t="shared" si="344"/>
        <v/>
      </c>
      <c r="U290" s="268" t="str">
        <f t="shared" si="344"/>
        <v/>
      </c>
      <c r="V290" s="268" t="str">
        <f t="shared" si="344"/>
        <v/>
      </c>
      <c r="W290" s="268" t="str">
        <f t="shared" si="344"/>
        <v/>
      </c>
      <c r="X290" s="268" t="str">
        <f t="shared" si="344"/>
        <v/>
      </c>
      <c r="Y290" s="268" t="str">
        <f t="shared" si="344"/>
        <v/>
      </c>
      <c r="Z290" s="268" t="str">
        <f t="shared" si="344"/>
        <v/>
      </c>
      <c r="AA290" s="268" t="str">
        <f t="shared" si="344"/>
        <v/>
      </c>
      <c r="AB290" s="268" t="str">
        <f t="shared" si="344"/>
        <v/>
      </c>
      <c r="AC290" s="268" t="str">
        <f t="shared" si="344"/>
        <v/>
      </c>
      <c r="AD290" s="268" t="str">
        <f t="shared" si="344"/>
        <v/>
      </c>
      <c r="AE290" s="268" t="str">
        <f t="shared" si="344"/>
        <v/>
      </c>
      <c r="AF290" s="268" t="str">
        <f t="shared" si="344"/>
        <v/>
      </c>
      <c r="AG290" s="268" t="str">
        <f t="shared" si="344"/>
        <v/>
      </c>
      <c r="AH290" s="268" t="str">
        <f t="shared" si="344"/>
        <v/>
      </c>
      <c r="AI290" s="268" t="str">
        <f t="shared" si="344"/>
        <v/>
      </c>
      <c r="AJ290" s="268" t="str">
        <f t="shared" si="344"/>
        <v/>
      </c>
      <c r="AK290" s="268" t="str">
        <f t="shared" si="344"/>
        <v/>
      </c>
      <c r="AL290" s="268" t="str">
        <f t="shared" si="344"/>
        <v/>
      </c>
      <c r="AM290" s="268" t="str">
        <f t="shared" si="344"/>
        <v/>
      </c>
      <c r="AN290" s="268" t="str">
        <f t="shared" si="344"/>
        <v/>
      </c>
      <c r="AO290" s="268" t="str">
        <f t="shared" si="344"/>
        <v/>
      </c>
      <c r="AP290" s="268" t="str">
        <f t="shared" si="344"/>
        <v/>
      </c>
      <c r="AQ290" s="268" t="str">
        <f t="shared" si="344"/>
        <v/>
      </c>
      <c r="AR290" s="268" t="str">
        <f t="shared" si="344"/>
        <v/>
      </c>
      <c r="AS290" s="268" t="str">
        <f t="shared" si="344"/>
        <v/>
      </c>
      <c r="AT290" s="268" t="str">
        <f t="shared" si="344"/>
        <v/>
      </c>
      <c r="AU290" s="268" t="str">
        <f t="shared" si="344"/>
        <v/>
      </c>
      <c r="AV290" s="268" t="str">
        <f t="shared" si="344"/>
        <v/>
      </c>
      <c r="AW290" s="268" t="str">
        <f t="shared" si="344"/>
        <v/>
      </c>
      <c r="AX290" s="268">
        <f t="shared" si="344"/>
        <v>2400</v>
      </c>
      <c r="AY290" s="268" t="str">
        <f t="shared" si="344"/>
        <v/>
      </c>
      <c r="AZ290" s="268" t="str">
        <f t="shared" si="344"/>
        <v/>
      </c>
      <c r="BA290" s="268" t="str">
        <f t="shared" si="344"/>
        <v/>
      </c>
      <c r="BB290" s="268" t="str">
        <f t="shared" si="344"/>
        <v/>
      </c>
      <c r="BC290" s="268" t="str">
        <f t="shared" si="344"/>
        <v/>
      </c>
      <c r="BD290" s="268" t="str">
        <f t="shared" si="344"/>
        <v/>
      </c>
      <c r="BE290" s="268" t="str">
        <f t="shared" si="344"/>
        <v/>
      </c>
      <c r="BF290" s="268" t="str">
        <f t="shared" si="344"/>
        <v/>
      </c>
      <c r="BG290" s="268" t="str">
        <f t="shared" si="344"/>
        <v/>
      </c>
      <c r="BH290" s="268" t="str">
        <f t="shared" si="344"/>
        <v/>
      </c>
      <c r="BI290" s="268" t="str">
        <f t="shared" si="344"/>
        <v/>
      </c>
      <c r="BJ290" s="268" t="str">
        <f t="shared" si="344"/>
        <v/>
      </c>
      <c r="BK290" s="268" t="str">
        <f t="shared" si="344"/>
        <v/>
      </c>
      <c r="BL290" s="268" t="str">
        <f t="shared" si="344"/>
        <v/>
      </c>
      <c r="BM290" s="268" t="str">
        <f t="shared" si="344"/>
        <v/>
      </c>
      <c r="BN290" s="268" t="str">
        <f t="shared" si="344"/>
        <v/>
      </c>
      <c r="BO290" s="268" t="str">
        <f t="shared" si="344"/>
        <v/>
      </c>
      <c r="BP290" s="268" t="str">
        <f t="shared" si="344"/>
        <v/>
      </c>
      <c r="BQ290" s="268" t="str">
        <f t="shared" si="344"/>
        <v/>
      </c>
      <c r="BR290" s="268" t="str">
        <f t="shared" si="344"/>
        <v/>
      </c>
      <c r="BS290" s="268" t="str">
        <f t="shared" si="344"/>
        <v/>
      </c>
      <c r="BT290" s="268" t="str">
        <f t="shared" si="344"/>
        <v/>
      </c>
      <c r="BU290" s="268" t="str">
        <f t="shared" si="330"/>
        <v/>
      </c>
      <c r="BV290" s="247">
        <v>0.88</v>
      </c>
      <c r="BW290" s="729">
        <f t="shared" ref="BW290:BW312" si="345">SUM(I290:BU290)*BV290</f>
        <v>2112</v>
      </c>
      <c r="BX290" s="730">
        <f t="shared" ref="BX290:BX312" si="346">BW290*7.75</f>
        <v>16368</v>
      </c>
      <c r="BY290" s="731" t="str">
        <f t="shared" ref="BY290:BY311" si="347">MID(E290,1,2)</f>
        <v>SR</v>
      </c>
    </row>
    <row r="291" s="698" customFormat="1" customHeight="1" spans="1:77">
      <c r="A291" s="208">
        <v>46084</v>
      </c>
      <c r="B291" s="208">
        <v>46142</v>
      </c>
      <c r="C291" s="211"/>
      <c r="D291" s="211" t="s">
        <v>526</v>
      </c>
      <c r="E291" s="211" t="s">
        <v>95</v>
      </c>
      <c r="F291" s="732">
        <v>600</v>
      </c>
      <c r="G291" s="211" t="s">
        <v>510</v>
      </c>
      <c r="H291" s="211" t="str">
        <f>IFERROR(VLOOKUP(E291,名称!A:E,4,0),"")</f>
        <v>三代</v>
      </c>
      <c r="I291" s="268" t="str">
        <f t="shared" ref="I291:BT291" si="348">IF(OR($E291="",I$1=""),"",IF(TRIM(LEFT($E291,MIN(IFERROR(FIND("CDU",UPPER($E291)),999),IFERROR(FIND("BULK",UPPER($E291)),999),IFERROR(FIND("-",$E291),999),IFERROR(FIND("（",$E291),999))-1))=I$1,$F291,""))</f>
        <v/>
      </c>
      <c r="J291" s="268" t="str">
        <f t="shared" si="348"/>
        <v/>
      </c>
      <c r="K291" s="268" t="str">
        <f t="shared" si="348"/>
        <v/>
      </c>
      <c r="L291" s="268" t="str">
        <f t="shared" si="348"/>
        <v/>
      </c>
      <c r="M291" s="268" t="str">
        <f t="shared" si="348"/>
        <v/>
      </c>
      <c r="N291" s="268" t="str">
        <f t="shared" si="348"/>
        <v/>
      </c>
      <c r="O291" s="268" t="str">
        <f t="shared" si="348"/>
        <v/>
      </c>
      <c r="P291" s="268" t="str">
        <f t="shared" si="348"/>
        <v/>
      </c>
      <c r="Q291" s="268" t="str">
        <f t="shared" si="348"/>
        <v/>
      </c>
      <c r="R291" s="268" t="str">
        <f t="shared" si="348"/>
        <v/>
      </c>
      <c r="S291" s="268" t="str">
        <f t="shared" si="348"/>
        <v/>
      </c>
      <c r="T291" s="268" t="str">
        <f t="shared" si="348"/>
        <v/>
      </c>
      <c r="U291" s="268" t="str">
        <f t="shared" si="348"/>
        <v/>
      </c>
      <c r="V291" s="268" t="str">
        <f t="shared" si="348"/>
        <v/>
      </c>
      <c r="W291" s="268" t="str">
        <f t="shared" si="348"/>
        <v/>
      </c>
      <c r="X291" s="268" t="str">
        <f t="shared" si="348"/>
        <v/>
      </c>
      <c r="Y291" s="268" t="str">
        <f t="shared" si="348"/>
        <v/>
      </c>
      <c r="Z291" s="268" t="str">
        <f t="shared" si="348"/>
        <v/>
      </c>
      <c r="AA291" s="268" t="str">
        <f t="shared" si="348"/>
        <v/>
      </c>
      <c r="AB291" s="268" t="str">
        <f t="shared" si="348"/>
        <v/>
      </c>
      <c r="AC291" s="268" t="str">
        <f t="shared" si="348"/>
        <v/>
      </c>
      <c r="AD291" s="268" t="str">
        <f t="shared" si="348"/>
        <v/>
      </c>
      <c r="AE291" s="268" t="str">
        <f t="shared" si="348"/>
        <v/>
      </c>
      <c r="AF291" s="268" t="str">
        <f t="shared" si="348"/>
        <v/>
      </c>
      <c r="AG291" s="268" t="str">
        <f t="shared" si="348"/>
        <v/>
      </c>
      <c r="AH291" s="268" t="str">
        <f t="shared" si="348"/>
        <v/>
      </c>
      <c r="AI291" s="268" t="str">
        <f t="shared" si="348"/>
        <v/>
      </c>
      <c r="AJ291" s="268" t="str">
        <f t="shared" si="348"/>
        <v/>
      </c>
      <c r="AK291" s="268" t="str">
        <f t="shared" si="348"/>
        <v/>
      </c>
      <c r="AL291" s="268" t="str">
        <f t="shared" si="348"/>
        <v/>
      </c>
      <c r="AM291" s="268" t="str">
        <f t="shared" si="348"/>
        <v/>
      </c>
      <c r="AN291" s="268" t="str">
        <f t="shared" si="348"/>
        <v/>
      </c>
      <c r="AO291" s="268" t="str">
        <f t="shared" si="348"/>
        <v/>
      </c>
      <c r="AP291" s="268" t="str">
        <f t="shared" si="348"/>
        <v/>
      </c>
      <c r="AQ291" s="268" t="str">
        <f t="shared" si="348"/>
        <v/>
      </c>
      <c r="AR291" s="268" t="str">
        <f t="shared" si="348"/>
        <v/>
      </c>
      <c r="AS291" s="268" t="str">
        <f t="shared" si="348"/>
        <v/>
      </c>
      <c r="AT291" s="268" t="str">
        <f t="shared" si="348"/>
        <v/>
      </c>
      <c r="AU291" s="268" t="str">
        <f t="shared" si="348"/>
        <v/>
      </c>
      <c r="AV291" s="268" t="str">
        <f t="shared" si="348"/>
        <v/>
      </c>
      <c r="AW291" s="268" t="str">
        <f t="shared" si="348"/>
        <v/>
      </c>
      <c r="AX291" s="268" t="str">
        <f t="shared" si="348"/>
        <v/>
      </c>
      <c r="AY291" s="268" t="str">
        <f t="shared" si="348"/>
        <v/>
      </c>
      <c r="AZ291" s="268">
        <f t="shared" si="348"/>
        <v>600</v>
      </c>
      <c r="BA291" s="268" t="str">
        <f t="shared" si="348"/>
        <v/>
      </c>
      <c r="BB291" s="268" t="str">
        <f t="shared" si="348"/>
        <v/>
      </c>
      <c r="BC291" s="268" t="str">
        <f t="shared" si="348"/>
        <v/>
      </c>
      <c r="BD291" s="268" t="str">
        <f t="shared" si="348"/>
        <v/>
      </c>
      <c r="BE291" s="268" t="str">
        <f t="shared" si="348"/>
        <v/>
      </c>
      <c r="BF291" s="268" t="str">
        <f t="shared" si="348"/>
        <v/>
      </c>
      <c r="BG291" s="268" t="str">
        <f t="shared" si="348"/>
        <v/>
      </c>
      <c r="BH291" s="268" t="str">
        <f t="shared" si="348"/>
        <v/>
      </c>
      <c r="BI291" s="268" t="str">
        <f t="shared" si="348"/>
        <v/>
      </c>
      <c r="BJ291" s="268" t="str">
        <f t="shared" si="348"/>
        <v/>
      </c>
      <c r="BK291" s="268" t="str">
        <f t="shared" si="348"/>
        <v/>
      </c>
      <c r="BL291" s="268" t="str">
        <f t="shared" si="348"/>
        <v/>
      </c>
      <c r="BM291" s="268" t="str">
        <f t="shared" si="348"/>
        <v/>
      </c>
      <c r="BN291" s="268" t="str">
        <f t="shared" si="348"/>
        <v/>
      </c>
      <c r="BO291" s="268" t="str">
        <f t="shared" si="348"/>
        <v/>
      </c>
      <c r="BP291" s="268" t="str">
        <f t="shared" si="348"/>
        <v/>
      </c>
      <c r="BQ291" s="268" t="str">
        <f t="shared" si="348"/>
        <v/>
      </c>
      <c r="BR291" s="268" t="str">
        <f t="shared" si="348"/>
        <v/>
      </c>
      <c r="BS291" s="268" t="str">
        <f t="shared" si="348"/>
        <v/>
      </c>
      <c r="BT291" s="268" t="str">
        <f t="shared" si="348"/>
        <v/>
      </c>
      <c r="BU291" s="268" t="str">
        <f t="shared" si="330"/>
        <v/>
      </c>
      <c r="BV291" s="247">
        <v>3.12</v>
      </c>
      <c r="BW291" s="729">
        <f t="shared" si="345"/>
        <v>1872</v>
      </c>
      <c r="BX291" s="730">
        <f t="shared" si="346"/>
        <v>14508</v>
      </c>
      <c r="BY291" s="731" t="str">
        <f t="shared" si="347"/>
        <v>SR</v>
      </c>
    </row>
    <row r="292" s="698" customFormat="1" customHeight="1" spans="1:77">
      <c r="A292" s="208">
        <v>46084</v>
      </c>
      <c r="B292" s="208">
        <v>46142</v>
      </c>
      <c r="C292" s="211"/>
      <c r="D292" s="211" t="s">
        <v>526</v>
      </c>
      <c r="E292" s="211" t="s">
        <v>112</v>
      </c>
      <c r="F292" s="732">
        <v>600</v>
      </c>
      <c r="G292" s="211" t="s">
        <v>510</v>
      </c>
      <c r="H292" s="211" t="str">
        <f>IFERROR(VLOOKUP(E292,名称!A:E,4,0),"")</f>
        <v>三代</v>
      </c>
      <c r="I292" s="268" t="str">
        <f t="shared" ref="I292:BT292" si="349">IF(OR($E292="",I$1=""),"",IF(TRIM(LEFT($E292,MIN(IFERROR(FIND("CDU",UPPER($E292)),999),IFERROR(FIND("BULK",UPPER($E292)),999),IFERROR(FIND("-",$E292),999),IFERROR(FIND("（",$E292),999))-1))=I$1,$F292,""))</f>
        <v/>
      </c>
      <c r="J292" s="268" t="str">
        <f t="shared" si="349"/>
        <v/>
      </c>
      <c r="K292" s="268" t="str">
        <f t="shared" si="349"/>
        <v/>
      </c>
      <c r="L292" s="268" t="str">
        <f t="shared" si="349"/>
        <v/>
      </c>
      <c r="M292" s="268" t="str">
        <f t="shared" si="349"/>
        <v/>
      </c>
      <c r="N292" s="268" t="str">
        <f t="shared" si="349"/>
        <v/>
      </c>
      <c r="O292" s="268" t="str">
        <f t="shared" si="349"/>
        <v/>
      </c>
      <c r="P292" s="268" t="str">
        <f t="shared" si="349"/>
        <v/>
      </c>
      <c r="Q292" s="268" t="str">
        <f t="shared" si="349"/>
        <v/>
      </c>
      <c r="R292" s="268" t="str">
        <f t="shared" si="349"/>
        <v/>
      </c>
      <c r="S292" s="268" t="str">
        <f t="shared" si="349"/>
        <v/>
      </c>
      <c r="T292" s="268" t="str">
        <f t="shared" si="349"/>
        <v/>
      </c>
      <c r="U292" s="268" t="str">
        <f t="shared" si="349"/>
        <v/>
      </c>
      <c r="V292" s="268" t="str">
        <f t="shared" si="349"/>
        <v/>
      </c>
      <c r="W292" s="268" t="str">
        <f t="shared" si="349"/>
        <v/>
      </c>
      <c r="X292" s="268" t="str">
        <f t="shared" si="349"/>
        <v/>
      </c>
      <c r="Y292" s="268" t="str">
        <f t="shared" si="349"/>
        <v/>
      </c>
      <c r="Z292" s="268" t="str">
        <f t="shared" si="349"/>
        <v/>
      </c>
      <c r="AA292" s="268" t="str">
        <f t="shared" si="349"/>
        <v/>
      </c>
      <c r="AB292" s="268" t="str">
        <f t="shared" si="349"/>
        <v/>
      </c>
      <c r="AC292" s="268" t="str">
        <f t="shared" si="349"/>
        <v/>
      </c>
      <c r="AD292" s="268" t="str">
        <f t="shared" si="349"/>
        <v/>
      </c>
      <c r="AE292" s="268" t="str">
        <f t="shared" si="349"/>
        <v/>
      </c>
      <c r="AF292" s="268" t="str">
        <f t="shared" si="349"/>
        <v/>
      </c>
      <c r="AG292" s="268" t="str">
        <f t="shared" si="349"/>
        <v/>
      </c>
      <c r="AH292" s="268" t="str">
        <f t="shared" si="349"/>
        <v/>
      </c>
      <c r="AI292" s="268">
        <f t="shared" si="349"/>
        <v>600</v>
      </c>
      <c r="AJ292" s="268" t="str">
        <f t="shared" si="349"/>
        <v/>
      </c>
      <c r="AK292" s="268" t="str">
        <f t="shared" si="349"/>
        <v/>
      </c>
      <c r="AL292" s="268" t="str">
        <f t="shared" si="349"/>
        <v/>
      </c>
      <c r="AM292" s="268" t="str">
        <f t="shared" si="349"/>
        <v/>
      </c>
      <c r="AN292" s="268" t="str">
        <f t="shared" si="349"/>
        <v/>
      </c>
      <c r="AO292" s="268" t="str">
        <f t="shared" si="349"/>
        <v/>
      </c>
      <c r="AP292" s="268" t="str">
        <f t="shared" si="349"/>
        <v/>
      </c>
      <c r="AQ292" s="268" t="str">
        <f t="shared" si="349"/>
        <v/>
      </c>
      <c r="AR292" s="268" t="str">
        <f t="shared" si="349"/>
        <v/>
      </c>
      <c r="AS292" s="268" t="str">
        <f t="shared" si="349"/>
        <v/>
      </c>
      <c r="AT292" s="268" t="str">
        <f t="shared" si="349"/>
        <v/>
      </c>
      <c r="AU292" s="268" t="str">
        <f t="shared" si="349"/>
        <v/>
      </c>
      <c r="AV292" s="268" t="str">
        <f t="shared" si="349"/>
        <v/>
      </c>
      <c r="AW292" s="268" t="str">
        <f t="shared" si="349"/>
        <v/>
      </c>
      <c r="AX292" s="268" t="str">
        <f t="shared" si="349"/>
        <v/>
      </c>
      <c r="AY292" s="268" t="str">
        <f t="shared" si="349"/>
        <v/>
      </c>
      <c r="AZ292" s="268" t="str">
        <f t="shared" si="349"/>
        <v/>
      </c>
      <c r="BA292" s="268" t="str">
        <f t="shared" si="349"/>
        <v/>
      </c>
      <c r="BB292" s="268" t="str">
        <f t="shared" si="349"/>
        <v/>
      </c>
      <c r="BC292" s="268" t="str">
        <f t="shared" si="349"/>
        <v/>
      </c>
      <c r="BD292" s="268" t="str">
        <f t="shared" si="349"/>
        <v/>
      </c>
      <c r="BE292" s="268" t="str">
        <f t="shared" si="349"/>
        <v/>
      </c>
      <c r="BF292" s="268" t="str">
        <f t="shared" si="349"/>
        <v/>
      </c>
      <c r="BG292" s="268" t="str">
        <f t="shared" si="349"/>
        <v/>
      </c>
      <c r="BH292" s="268" t="str">
        <f t="shared" si="349"/>
        <v/>
      </c>
      <c r="BI292" s="268" t="str">
        <f t="shared" si="349"/>
        <v/>
      </c>
      <c r="BJ292" s="268" t="str">
        <f t="shared" si="349"/>
        <v/>
      </c>
      <c r="BK292" s="268" t="str">
        <f t="shared" si="349"/>
        <v/>
      </c>
      <c r="BL292" s="268" t="str">
        <f t="shared" si="349"/>
        <v/>
      </c>
      <c r="BM292" s="268" t="str">
        <f t="shared" si="349"/>
        <v/>
      </c>
      <c r="BN292" s="268" t="str">
        <f t="shared" si="349"/>
        <v/>
      </c>
      <c r="BO292" s="268" t="str">
        <f t="shared" si="349"/>
        <v/>
      </c>
      <c r="BP292" s="268" t="str">
        <f t="shared" si="349"/>
        <v/>
      </c>
      <c r="BQ292" s="268" t="str">
        <f t="shared" si="349"/>
        <v/>
      </c>
      <c r="BR292" s="268" t="str">
        <f t="shared" si="349"/>
        <v/>
      </c>
      <c r="BS292" s="268" t="str">
        <f t="shared" si="349"/>
        <v/>
      </c>
      <c r="BT292" s="268" t="str">
        <f t="shared" si="349"/>
        <v/>
      </c>
      <c r="BU292" s="268" t="str">
        <f t="shared" si="330"/>
        <v/>
      </c>
      <c r="BV292" s="247">
        <v>9.39</v>
      </c>
      <c r="BW292" s="729">
        <f t="shared" si="345"/>
        <v>5634</v>
      </c>
      <c r="BX292" s="730">
        <f t="shared" si="346"/>
        <v>43663.5</v>
      </c>
      <c r="BY292" s="731" t="str">
        <f t="shared" si="347"/>
        <v>SR</v>
      </c>
    </row>
    <row r="293" s="698" customFormat="1" customHeight="1" spans="1:77">
      <c r="A293" s="208">
        <v>46084</v>
      </c>
      <c r="B293" s="208">
        <v>46142</v>
      </c>
      <c r="C293" s="211"/>
      <c r="D293" s="211" t="s">
        <v>527</v>
      </c>
      <c r="E293" s="211" t="s">
        <v>59</v>
      </c>
      <c r="F293" s="732">
        <v>3000</v>
      </c>
      <c r="G293" s="211" t="s">
        <v>510</v>
      </c>
      <c r="H293" s="211" t="str">
        <f>IFERROR(VLOOKUP(E293,名称!A:E,4,0),"")</f>
        <v>三代</v>
      </c>
      <c r="I293" s="268" t="str">
        <f t="shared" ref="I293:BT293" si="350">IF(OR($E293="",I$1=""),"",IF(TRIM(LEFT($E293,MIN(IFERROR(FIND("CDU",UPPER($E293)),999),IFERROR(FIND("BULK",UPPER($E293)),999),IFERROR(FIND("-",$E293),999),IFERROR(FIND("（",$E293),999))-1))=I$1,$F293,""))</f>
        <v/>
      </c>
      <c r="J293" s="268" t="str">
        <f t="shared" si="350"/>
        <v/>
      </c>
      <c r="K293" s="268" t="str">
        <f t="shared" si="350"/>
        <v/>
      </c>
      <c r="L293" s="268" t="str">
        <f t="shared" si="350"/>
        <v/>
      </c>
      <c r="M293" s="268" t="str">
        <f t="shared" si="350"/>
        <v/>
      </c>
      <c r="N293" s="268" t="str">
        <f t="shared" si="350"/>
        <v/>
      </c>
      <c r="O293" s="268" t="str">
        <f t="shared" si="350"/>
        <v/>
      </c>
      <c r="P293" s="268" t="str">
        <f t="shared" si="350"/>
        <v/>
      </c>
      <c r="Q293" s="268" t="str">
        <f t="shared" si="350"/>
        <v/>
      </c>
      <c r="R293" s="268" t="str">
        <f t="shared" si="350"/>
        <v/>
      </c>
      <c r="S293" s="268" t="str">
        <f t="shared" si="350"/>
        <v/>
      </c>
      <c r="T293" s="268" t="str">
        <f t="shared" si="350"/>
        <v/>
      </c>
      <c r="U293" s="268" t="str">
        <f t="shared" si="350"/>
        <v/>
      </c>
      <c r="V293" s="268" t="str">
        <f t="shared" si="350"/>
        <v/>
      </c>
      <c r="W293" s="268" t="str">
        <f t="shared" si="350"/>
        <v/>
      </c>
      <c r="X293" s="268" t="str">
        <f t="shared" si="350"/>
        <v/>
      </c>
      <c r="Y293" s="268" t="str">
        <f t="shared" si="350"/>
        <v/>
      </c>
      <c r="Z293" s="268" t="str">
        <f t="shared" si="350"/>
        <v/>
      </c>
      <c r="AA293" s="268" t="str">
        <f t="shared" si="350"/>
        <v/>
      </c>
      <c r="AB293" s="268" t="str">
        <f t="shared" si="350"/>
        <v/>
      </c>
      <c r="AC293" s="268" t="str">
        <f t="shared" si="350"/>
        <v/>
      </c>
      <c r="AD293" s="268">
        <f t="shared" si="350"/>
        <v>3000</v>
      </c>
      <c r="AE293" s="268" t="str">
        <f t="shared" si="350"/>
        <v/>
      </c>
      <c r="AF293" s="268" t="str">
        <f t="shared" si="350"/>
        <v/>
      </c>
      <c r="AG293" s="268" t="str">
        <f t="shared" si="350"/>
        <v/>
      </c>
      <c r="AH293" s="268" t="str">
        <f t="shared" si="350"/>
        <v/>
      </c>
      <c r="AI293" s="268" t="str">
        <f t="shared" si="350"/>
        <v/>
      </c>
      <c r="AJ293" s="268" t="str">
        <f t="shared" si="350"/>
        <v/>
      </c>
      <c r="AK293" s="268" t="str">
        <f t="shared" si="350"/>
        <v/>
      </c>
      <c r="AL293" s="268" t="str">
        <f t="shared" si="350"/>
        <v/>
      </c>
      <c r="AM293" s="268" t="str">
        <f t="shared" si="350"/>
        <v/>
      </c>
      <c r="AN293" s="268" t="str">
        <f t="shared" si="350"/>
        <v/>
      </c>
      <c r="AO293" s="268" t="str">
        <f t="shared" si="350"/>
        <v/>
      </c>
      <c r="AP293" s="268" t="str">
        <f t="shared" si="350"/>
        <v/>
      </c>
      <c r="AQ293" s="268" t="str">
        <f t="shared" si="350"/>
        <v/>
      </c>
      <c r="AR293" s="268" t="str">
        <f t="shared" si="350"/>
        <v/>
      </c>
      <c r="AS293" s="268" t="str">
        <f t="shared" si="350"/>
        <v/>
      </c>
      <c r="AT293" s="268" t="str">
        <f t="shared" si="350"/>
        <v/>
      </c>
      <c r="AU293" s="268" t="str">
        <f t="shared" si="350"/>
        <v/>
      </c>
      <c r="AV293" s="268" t="str">
        <f t="shared" si="350"/>
        <v/>
      </c>
      <c r="AW293" s="268" t="str">
        <f t="shared" si="350"/>
        <v/>
      </c>
      <c r="AX293" s="268" t="str">
        <f t="shared" si="350"/>
        <v/>
      </c>
      <c r="AY293" s="268" t="str">
        <f t="shared" si="350"/>
        <v/>
      </c>
      <c r="AZ293" s="268" t="str">
        <f t="shared" si="350"/>
        <v/>
      </c>
      <c r="BA293" s="268" t="str">
        <f t="shared" si="350"/>
        <v/>
      </c>
      <c r="BB293" s="268" t="str">
        <f t="shared" si="350"/>
        <v/>
      </c>
      <c r="BC293" s="268" t="str">
        <f t="shared" si="350"/>
        <v/>
      </c>
      <c r="BD293" s="268" t="str">
        <f t="shared" si="350"/>
        <v/>
      </c>
      <c r="BE293" s="268" t="str">
        <f t="shared" si="350"/>
        <v/>
      </c>
      <c r="BF293" s="268" t="str">
        <f t="shared" si="350"/>
        <v/>
      </c>
      <c r="BG293" s="268" t="str">
        <f t="shared" si="350"/>
        <v/>
      </c>
      <c r="BH293" s="268" t="str">
        <f t="shared" si="350"/>
        <v/>
      </c>
      <c r="BI293" s="268" t="str">
        <f t="shared" si="350"/>
        <v/>
      </c>
      <c r="BJ293" s="268" t="str">
        <f t="shared" si="350"/>
        <v/>
      </c>
      <c r="BK293" s="268" t="str">
        <f t="shared" si="350"/>
        <v/>
      </c>
      <c r="BL293" s="268" t="str">
        <f t="shared" si="350"/>
        <v/>
      </c>
      <c r="BM293" s="268" t="str">
        <f t="shared" si="350"/>
        <v/>
      </c>
      <c r="BN293" s="268" t="str">
        <f t="shared" si="350"/>
        <v/>
      </c>
      <c r="BO293" s="268" t="str">
        <f t="shared" si="350"/>
        <v/>
      </c>
      <c r="BP293" s="268" t="str">
        <f t="shared" si="350"/>
        <v/>
      </c>
      <c r="BQ293" s="268" t="str">
        <f t="shared" si="350"/>
        <v/>
      </c>
      <c r="BR293" s="268" t="str">
        <f t="shared" si="350"/>
        <v/>
      </c>
      <c r="BS293" s="268" t="str">
        <f t="shared" si="350"/>
        <v/>
      </c>
      <c r="BT293" s="268" t="str">
        <f t="shared" si="350"/>
        <v/>
      </c>
      <c r="BU293" s="268" t="str">
        <f t="shared" si="330"/>
        <v/>
      </c>
      <c r="BV293" s="247">
        <v>0.64</v>
      </c>
      <c r="BW293" s="729">
        <f t="shared" si="345"/>
        <v>1920</v>
      </c>
      <c r="BX293" s="730">
        <f t="shared" si="346"/>
        <v>14880</v>
      </c>
      <c r="BY293" s="731" t="str">
        <f t="shared" si="347"/>
        <v>SR</v>
      </c>
    </row>
    <row r="294" s="698" customFormat="1" customHeight="1" spans="1:77">
      <c r="A294" s="208">
        <v>46084</v>
      </c>
      <c r="B294" s="208">
        <v>46142</v>
      </c>
      <c r="C294" s="211"/>
      <c r="D294" s="211" t="s">
        <v>527</v>
      </c>
      <c r="E294" s="211" t="s">
        <v>99</v>
      </c>
      <c r="F294" s="732">
        <v>2400</v>
      </c>
      <c r="G294" s="211" t="s">
        <v>510</v>
      </c>
      <c r="H294" s="211" t="str">
        <f>IFERROR(VLOOKUP(E294,名称!A:E,4,0),"")</f>
        <v>三代</v>
      </c>
      <c r="I294" s="268" t="str">
        <f t="shared" ref="I294:BT294" si="351">IF(OR($E294="",I$1=""),"",IF(TRIM(LEFT($E294,MIN(IFERROR(FIND("CDU",UPPER($E294)),999),IFERROR(FIND("BULK",UPPER($E294)),999),IFERROR(FIND("-",$E294),999),IFERROR(FIND("（",$E294),999))-1))=I$1,$F294,""))</f>
        <v/>
      </c>
      <c r="J294" s="268" t="str">
        <f t="shared" si="351"/>
        <v/>
      </c>
      <c r="K294" s="268" t="str">
        <f t="shared" si="351"/>
        <v/>
      </c>
      <c r="L294" s="268" t="str">
        <f t="shared" si="351"/>
        <v/>
      </c>
      <c r="M294" s="268" t="str">
        <f t="shared" si="351"/>
        <v/>
      </c>
      <c r="N294" s="268" t="str">
        <f t="shared" si="351"/>
        <v/>
      </c>
      <c r="O294" s="268" t="str">
        <f t="shared" si="351"/>
        <v/>
      </c>
      <c r="P294" s="268" t="str">
        <f t="shared" si="351"/>
        <v/>
      </c>
      <c r="Q294" s="268" t="str">
        <f t="shared" si="351"/>
        <v/>
      </c>
      <c r="R294" s="268" t="str">
        <f t="shared" si="351"/>
        <v/>
      </c>
      <c r="S294" s="268" t="str">
        <f t="shared" si="351"/>
        <v/>
      </c>
      <c r="T294" s="268" t="str">
        <f t="shared" si="351"/>
        <v/>
      </c>
      <c r="U294" s="268" t="str">
        <f t="shared" si="351"/>
        <v/>
      </c>
      <c r="V294" s="268" t="str">
        <f t="shared" si="351"/>
        <v/>
      </c>
      <c r="W294" s="268" t="str">
        <f t="shared" si="351"/>
        <v/>
      </c>
      <c r="X294" s="268" t="str">
        <f t="shared" si="351"/>
        <v/>
      </c>
      <c r="Y294" s="268" t="str">
        <f t="shared" si="351"/>
        <v/>
      </c>
      <c r="Z294" s="268" t="str">
        <f t="shared" si="351"/>
        <v/>
      </c>
      <c r="AA294" s="268" t="str">
        <f t="shared" si="351"/>
        <v/>
      </c>
      <c r="AB294" s="268" t="str">
        <f t="shared" si="351"/>
        <v/>
      </c>
      <c r="AC294" s="268">
        <f t="shared" si="351"/>
        <v>2400</v>
      </c>
      <c r="AD294" s="268" t="str">
        <f t="shared" si="351"/>
        <v/>
      </c>
      <c r="AE294" s="268" t="str">
        <f t="shared" si="351"/>
        <v/>
      </c>
      <c r="AF294" s="268" t="str">
        <f t="shared" si="351"/>
        <v/>
      </c>
      <c r="AG294" s="268" t="str">
        <f t="shared" si="351"/>
        <v/>
      </c>
      <c r="AH294" s="268" t="str">
        <f t="shared" si="351"/>
        <v/>
      </c>
      <c r="AI294" s="268" t="str">
        <f t="shared" si="351"/>
        <v/>
      </c>
      <c r="AJ294" s="268" t="str">
        <f t="shared" si="351"/>
        <v/>
      </c>
      <c r="AK294" s="268" t="str">
        <f t="shared" si="351"/>
        <v/>
      </c>
      <c r="AL294" s="268" t="str">
        <f t="shared" si="351"/>
        <v/>
      </c>
      <c r="AM294" s="268" t="str">
        <f t="shared" si="351"/>
        <v/>
      </c>
      <c r="AN294" s="268" t="str">
        <f t="shared" si="351"/>
        <v/>
      </c>
      <c r="AO294" s="268" t="str">
        <f t="shared" si="351"/>
        <v/>
      </c>
      <c r="AP294" s="268" t="str">
        <f t="shared" si="351"/>
        <v/>
      </c>
      <c r="AQ294" s="268" t="str">
        <f t="shared" si="351"/>
        <v/>
      </c>
      <c r="AR294" s="268" t="str">
        <f t="shared" si="351"/>
        <v/>
      </c>
      <c r="AS294" s="268" t="str">
        <f t="shared" si="351"/>
        <v/>
      </c>
      <c r="AT294" s="268" t="str">
        <f t="shared" si="351"/>
        <v/>
      </c>
      <c r="AU294" s="268" t="str">
        <f t="shared" si="351"/>
        <v/>
      </c>
      <c r="AV294" s="268" t="str">
        <f t="shared" si="351"/>
        <v/>
      </c>
      <c r="AW294" s="268" t="str">
        <f t="shared" si="351"/>
        <v/>
      </c>
      <c r="AX294" s="268" t="str">
        <f t="shared" si="351"/>
        <v/>
      </c>
      <c r="AY294" s="268" t="str">
        <f t="shared" si="351"/>
        <v/>
      </c>
      <c r="AZ294" s="268" t="str">
        <f t="shared" si="351"/>
        <v/>
      </c>
      <c r="BA294" s="268" t="str">
        <f t="shared" si="351"/>
        <v/>
      </c>
      <c r="BB294" s="268" t="str">
        <f t="shared" si="351"/>
        <v/>
      </c>
      <c r="BC294" s="268" t="str">
        <f t="shared" si="351"/>
        <v/>
      </c>
      <c r="BD294" s="268" t="str">
        <f t="shared" si="351"/>
        <v/>
      </c>
      <c r="BE294" s="268" t="str">
        <f t="shared" si="351"/>
        <v/>
      </c>
      <c r="BF294" s="268" t="str">
        <f t="shared" si="351"/>
        <v/>
      </c>
      <c r="BG294" s="268" t="str">
        <f t="shared" si="351"/>
        <v/>
      </c>
      <c r="BH294" s="268" t="str">
        <f t="shared" si="351"/>
        <v/>
      </c>
      <c r="BI294" s="268" t="str">
        <f t="shared" si="351"/>
        <v/>
      </c>
      <c r="BJ294" s="268" t="str">
        <f t="shared" si="351"/>
        <v/>
      </c>
      <c r="BK294" s="268" t="str">
        <f t="shared" si="351"/>
        <v/>
      </c>
      <c r="BL294" s="268" t="str">
        <f t="shared" si="351"/>
        <v/>
      </c>
      <c r="BM294" s="268" t="str">
        <f t="shared" si="351"/>
        <v/>
      </c>
      <c r="BN294" s="268" t="str">
        <f t="shared" si="351"/>
        <v/>
      </c>
      <c r="BO294" s="268" t="str">
        <f t="shared" si="351"/>
        <v/>
      </c>
      <c r="BP294" s="268" t="str">
        <f t="shared" si="351"/>
        <v/>
      </c>
      <c r="BQ294" s="268" t="str">
        <f t="shared" si="351"/>
        <v/>
      </c>
      <c r="BR294" s="268" t="str">
        <f t="shared" si="351"/>
        <v/>
      </c>
      <c r="BS294" s="268" t="str">
        <f t="shared" si="351"/>
        <v/>
      </c>
      <c r="BT294" s="268" t="str">
        <f t="shared" si="351"/>
        <v/>
      </c>
      <c r="BU294" s="268" t="str">
        <f t="shared" si="330"/>
        <v/>
      </c>
      <c r="BV294" s="247">
        <v>0.89</v>
      </c>
      <c r="BW294" s="729">
        <f t="shared" si="345"/>
        <v>2136</v>
      </c>
      <c r="BX294" s="730">
        <f t="shared" si="346"/>
        <v>16554</v>
      </c>
      <c r="BY294" s="731" t="str">
        <f t="shared" si="347"/>
        <v>SR</v>
      </c>
    </row>
    <row r="295" s="698" customFormat="1" customHeight="1" spans="1:77">
      <c r="A295" s="208">
        <v>46084</v>
      </c>
      <c r="B295" s="208">
        <v>46142</v>
      </c>
      <c r="C295" s="211"/>
      <c r="D295" s="211" t="s">
        <v>527</v>
      </c>
      <c r="E295" s="211" t="s">
        <v>66</v>
      </c>
      <c r="F295" s="732">
        <v>2400</v>
      </c>
      <c r="G295" s="211" t="s">
        <v>510</v>
      </c>
      <c r="H295" s="211" t="str">
        <f>IFERROR(VLOOKUP(E295,名称!A:E,4,0),"")</f>
        <v>三代</v>
      </c>
      <c r="I295" s="268" t="str">
        <f t="shared" ref="I295:BT295" si="352">IF(OR($E295="",I$1=""),"",IF(TRIM(LEFT($E295,MIN(IFERROR(FIND("CDU",UPPER($E295)),999),IFERROR(FIND("BULK",UPPER($E295)),999),IFERROR(FIND("-",$E295),999),IFERROR(FIND("（",$E295),999))-1))=I$1,$F295,""))</f>
        <v/>
      </c>
      <c r="J295" s="268" t="str">
        <f t="shared" si="352"/>
        <v/>
      </c>
      <c r="K295" s="268" t="str">
        <f t="shared" si="352"/>
        <v/>
      </c>
      <c r="L295" s="268" t="str">
        <f t="shared" si="352"/>
        <v/>
      </c>
      <c r="M295" s="268" t="str">
        <f t="shared" si="352"/>
        <v/>
      </c>
      <c r="N295" s="268" t="str">
        <f t="shared" si="352"/>
        <v/>
      </c>
      <c r="O295" s="268" t="str">
        <f t="shared" si="352"/>
        <v/>
      </c>
      <c r="P295" s="268" t="str">
        <f t="shared" si="352"/>
        <v/>
      </c>
      <c r="Q295" s="268" t="str">
        <f t="shared" si="352"/>
        <v/>
      </c>
      <c r="R295" s="268" t="str">
        <f t="shared" si="352"/>
        <v/>
      </c>
      <c r="S295" s="268" t="str">
        <f t="shared" si="352"/>
        <v/>
      </c>
      <c r="T295" s="268" t="str">
        <f t="shared" si="352"/>
        <v/>
      </c>
      <c r="U295" s="268" t="str">
        <f t="shared" si="352"/>
        <v/>
      </c>
      <c r="V295" s="268" t="str">
        <f t="shared" si="352"/>
        <v/>
      </c>
      <c r="W295" s="268" t="str">
        <f t="shared" si="352"/>
        <v/>
      </c>
      <c r="X295" s="268" t="str">
        <f t="shared" si="352"/>
        <v/>
      </c>
      <c r="Y295" s="268" t="str">
        <f t="shared" si="352"/>
        <v/>
      </c>
      <c r="Z295" s="268" t="str">
        <f t="shared" si="352"/>
        <v/>
      </c>
      <c r="AA295" s="268" t="str">
        <f t="shared" si="352"/>
        <v/>
      </c>
      <c r="AB295" s="268" t="str">
        <f t="shared" si="352"/>
        <v/>
      </c>
      <c r="AC295" s="268" t="str">
        <f t="shared" si="352"/>
        <v/>
      </c>
      <c r="AD295" s="268" t="str">
        <f t="shared" si="352"/>
        <v/>
      </c>
      <c r="AE295" s="268" t="str">
        <f t="shared" si="352"/>
        <v/>
      </c>
      <c r="AF295" s="268" t="str">
        <f t="shared" si="352"/>
        <v/>
      </c>
      <c r="AG295" s="268">
        <f t="shared" si="352"/>
        <v>2400</v>
      </c>
      <c r="AH295" s="268" t="str">
        <f t="shared" si="352"/>
        <v/>
      </c>
      <c r="AI295" s="268" t="str">
        <f t="shared" si="352"/>
        <v/>
      </c>
      <c r="AJ295" s="268" t="str">
        <f t="shared" si="352"/>
        <v/>
      </c>
      <c r="AK295" s="268" t="str">
        <f t="shared" si="352"/>
        <v/>
      </c>
      <c r="AL295" s="268" t="str">
        <f t="shared" si="352"/>
        <v/>
      </c>
      <c r="AM295" s="268" t="str">
        <f t="shared" si="352"/>
        <v/>
      </c>
      <c r="AN295" s="268" t="str">
        <f t="shared" si="352"/>
        <v/>
      </c>
      <c r="AO295" s="268" t="str">
        <f t="shared" si="352"/>
        <v/>
      </c>
      <c r="AP295" s="268" t="str">
        <f t="shared" si="352"/>
        <v/>
      </c>
      <c r="AQ295" s="268" t="str">
        <f t="shared" si="352"/>
        <v/>
      </c>
      <c r="AR295" s="268" t="str">
        <f t="shared" si="352"/>
        <v/>
      </c>
      <c r="AS295" s="268" t="str">
        <f t="shared" si="352"/>
        <v/>
      </c>
      <c r="AT295" s="268" t="str">
        <f t="shared" si="352"/>
        <v/>
      </c>
      <c r="AU295" s="268" t="str">
        <f t="shared" si="352"/>
        <v/>
      </c>
      <c r="AV295" s="268" t="str">
        <f t="shared" si="352"/>
        <v/>
      </c>
      <c r="AW295" s="268" t="str">
        <f t="shared" si="352"/>
        <v/>
      </c>
      <c r="AX295" s="268" t="str">
        <f t="shared" si="352"/>
        <v/>
      </c>
      <c r="AY295" s="268" t="str">
        <f t="shared" si="352"/>
        <v/>
      </c>
      <c r="AZ295" s="268" t="str">
        <f t="shared" si="352"/>
        <v/>
      </c>
      <c r="BA295" s="268" t="str">
        <f t="shared" si="352"/>
        <v/>
      </c>
      <c r="BB295" s="268" t="str">
        <f t="shared" si="352"/>
        <v/>
      </c>
      <c r="BC295" s="268" t="str">
        <f t="shared" si="352"/>
        <v/>
      </c>
      <c r="BD295" s="268" t="str">
        <f t="shared" si="352"/>
        <v/>
      </c>
      <c r="BE295" s="268" t="str">
        <f t="shared" si="352"/>
        <v/>
      </c>
      <c r="BF295" s="268" t="str">
        <f t="shared" si="352"/>
        <v/>
      </c>
      <c r="BG295" s="268" t="str">
        <f t="shared" si="352"/>
        <v/>
      </c>
      <c r="BH295" s="268" t="str">
        <f t="shared" si="352"/>
        <v/>
      </c>
      <c r="BI295" s="268" t="str">
        <f t="shared" si="352"/>
        <v/>
      </c>
      <c r="BJ295" s="268" t="str">
        <f t="shared" si="352"/>
        <v/>
      </c>
      <c r="BK295" s="268" t="str">
        <f t="shared" si="352"/>
        <v/>
      </c>
      <c r="BL295" s="268" t="str">
        <f t="shared" si="352"/>
        <v/>
      </c>
      <c r="BM295" s="268" t="str">
        <f t="shared" si="352"/>
        <v/>
      </c>
      <c r="BN295" s="268" t="str">
        <f t="shared" si="352"/>
        <v/>
      </c>
      <c r="BO295" s="268" t="str">
        <f t="shared" si="352"/>
        <v/>
      </c>
      <c r="BP295" s="268" t="str">
        <f t="shared" si="352"/>
        <v/>
      </c>
      <c r="BQ295" s="268" t="str">
        <f t="shared" si="352"/>
        <v/>
      </c>
      <c r="BR295" s="268" t="str">
        <f t="shared" si="352"/>
        <v/>
      </c>
      <c r="BS295" s="268" t="str">
        <f t="shared" si="352"/>
        <v/>
      </c>
      <c r="BT295" s="268" t="str">
        <f t="shared" si="352"/>
        <v/>
      </c>
      <c r="BU295" s="268" t="str">
        <f t="shared" si="330"/>
        <v/>
      </c>
      <c r="BV295" s="247">
        <v>2.04</v>
      </c>
      <c r="BW295" s="729">
        <f t="shared" si="345"/>
        <v>4896</v>
      </c>
      <c r="BX295" s="730">
        <f t="shared" si="346"/>
        <v>37944</v>
      </c>
      <c r="BY295" s="731" t="str">
        <f t="shared" si="347"/>
        <v>SR</v>
      </c>
    </row>
    <row r="296" s="698" customFormat="1" customHeight="1" spans="1:77">
      <c r="A296" s="208">
        <v>46084</v>
      </c>
      <c r="B296" s="208">
        <v>46142</v>
      </c>
      <c r="C296" s="211"/>
      <c r="D296" s="211" t="s">
        <v>527</v>
      </c>
      <c r="E296" s="211" t="s">
        <v>68</v>
      </c>
      <c r="F296" s="732">
        <v>600</v>
      </c>
      <c r="G296" s="211" t="s">
        <v>510</v>
      </c>
      <c r="H296" s="211" t="str">
        <f>IFERROR(VLOOKUP(E296,名称!A:E,4,0),"")</f>
        <v>三代</v>
      </c>
      <c r="I296" s="268" t="str">
        <f t="shared" ref="I296:BT296" si="353">IF(OR($E296="",I$1=""),"",IF(TRIM(LEFT($E296,MIN(IFERROR(FIND("CDU",UPPER($E296)),999),IFERROR(FIND("BULK",UPPER($E296)),999),IFERROR(FIND("-",$E296),999),IFERROR(FIND("（",$E296),999))-1))=I$1,$F296,""))</f>
        <v/>
      </c>
      <c r="J296" s="268" t="str">
        <f t="shared" si="353"/>
        <v/>
      </c>
      <c r="K296" s="268" t="str">
        <f t="shared" si="353"/>
        <v/>
      </c>
      <c r="L296" s="268" t="str">
        <f t="shared" si="353"/>
        <v/>
      </c>
      <c r="M296" s="268" t="str">
        <f t="shared" si="353"/>
        <v/>
      </c>
      <c r="N296" s="268" t="str">
        <f t="shared" si="353"/>
        <v/>
      </c>
      <c r="O296" s="268" t="str">
        <f t="shared" si="353"/>
        <v/>
      </c>
      <c r="P296" s="268" t="str">
        <f t="shared" si="353"/>
        <v/>
      </c>
      <c r="Q296" s="268" t="str">
        <f t="shared" si="353"/>
        <v/>
      </c>
      <c r="R296" s="268" t="str">
        <f t="shared" si="353"/>
        <v/>
      </c>
      <c r="S296" s="268" t="str">
        <f t="shared" si="353"/>
        <v/>
      </c>
      <c r="T296" s="268" t="str">
        <f t="shared" si="353"/>
        <v/>
      </c>
      <c r="U296" s="268" t="str">
        <f t="shared" si="353"/>
        <v/>
      </c>
      <c r="V296" s="268" t="str">
        <f t="shared" si="353"/>
        <v/>
      </c>
      <c r="W296" s="268" t="str">
        <f t="shared" si="353"/>
        <v/>
      </c>
      <c r="X296" s="268" t="str">
        <f t="shared" si="353"/>
        <v/>
      </c>
      <c r="Y296" s="268" t="str">
        <f t="shared" si="353"/>
        <v/>
      </c>
      <c r="Z296" s="268" t="str">
        <f t="shared" si="353"/>
        <v/>
      </c>
      <c r="AA296" s="268" t="str">
        <f t="shared" si="353"/>
        <v/>
      </c>
      <c r="AB296" s="268" t="str">
        <f t="shared" si="353"/>
        <v/>
      </c>
      <c r="AC296" s="268" t="str">
        <f t="shared" si="353"/>
        <v/>
      </c>
      <c r="AD296" s="268" t="str">
        <f t="shared" si="353"/>
        <v/>
      </c>
      <c r="AE296" s="268" t="str">
        <f t="shared" si="353"/>
        <v/>
      </c>
      <c r="AF296" s="268" t="str">
        <f t="shared" si="353"/>
        <v/>
      </c>
      <c r="AG296" s="268" t="str">
        <f t="shared" si="353"/>
        <v/>
      </c>
      <c r="AH296" s="268">
        <f t="shared" si="353"/>
        <v>600</v>
      </c>
      <c r="AI296" s="268" t="str">
        <f t="shared" si="353"/>
        <v/>
      </c>
      <c r="AJ296" s="268" t="str">
        <f t="shared" si="353"/>
        <v/>
      </c>
      <c r="AK296" s="268" t="str">
        <f t="shared" si="353"/>
        <v/>
      </c>
      <c r="AL296" s="268" t="str">
        <f t="shared" si="353"/>
        <v/>
      </c>
      <c r="AM296" s="268" t="str">
        <f t="shared" si="353"/>
        <v/>
      </c>
      <c r="AN296" s="268" t="str">
        <f t="shared" si="353"/>
        <v/>
      </c>
      <c r="AO296" s="268" t="str">
        <f t="shared" si="353"/>
        <v/>
      </c>
      <c r="AP296" s="268" t="str">
        <f t="shared" si="353"/>
        <v/>
      </c>
      <c r="AQ296" s="268" t="str">
        <f t="shared" si="353"/>
        <v/>
      </c>
      <c r="AR296" s="268" t="str">
        <f t="shared" si="353"/>
        <v/>
      </c>
      <c r="AS296" s="268" t="str">
        <f t="shared" si="353"/>
        <v/>
      </c>
      <c r="AT296" s="268" t="str">
        <f t="shared" si="353"/>
        <v/>
      </c>
      <c r="AU296" s="268" t="str">
        <f t="shared" si="353"/>
        <v/>
      </c>
      <c r="AV296" s="268" t="str">
        <f t="shared" si="353"/>
        <v/>
      </c>
      <c r="AW296" s="268" t="str">
        <f t="shared" si="353"/>
        <v/>
      </c>
      <c r="AX296" s="268" t="str">
        <f t="shared" si="353"/>
        <v/>
      </c>
      <c r="AY296" s="268" t="str">
        <f t="shared" si="353"/>
        <v/>
      </c>
      <c r="AZ296" s="268" t="str">
        <f t="shared" si="353"/>
        <v/>
      </c>
      <c r="BA296" s="268" t="str">
        <f t="shared" si="353"/>
        <v/>
      </c>
      <c r="BB296" s="268" t="str">
        <f t="shared" si="353"/>
        <v/>
      </c>
      <c r="BC296" s="268" t="str">
        <f t="shared" si="353"/>
        <v/>
      </c>
      <c r="BD296" s="268" t="str">
        <f t="shared" si="353"/>
        <v/>
      </c>
      <c r="BE296" s="268" t="str">
        <f t="shared" si="353"/>
        <v/>
      </c>
      <c r="BF296" s="268" t="str">
        <f t="shared" si="353"/>
        <v/>
      </c>
      <c r="BG296" s="268" t="str">
        <f t="shared" si="353"/>
        <v/>
      </c>
      <c r="BH296" s="268" t="str">
        <f t="shared" si="353"/>
        <v/>
      </c>
      <c r="BI296" s="268" t="str">
        <f t="shared" si="353"/>
        <v/>
      </c>
      <c r="BJ296" s="268" t="str">
        <f t="shared" si="353"/>
        <v/>
      </c>
      <c r="BK296" s="268" t="str">
        <f t="shared" si="353"/>
        <v/>
      </c>
      <c r="BL296" s="268" t="str">
        <f t="shared" si="353"/>
        <v/>
      </c>
      <c r="BM296" s="268" t="str">
        <f t="shared" si="353"/>
        <v/>
      </c>
      <c r="BN296" s="268" t="str">
        <f t="shared" si="353"/>
        <v/>
      </c>
      <c r="BO296" s="268" t="str">
        <f t="shared" si="353"/>
        <v/>
      </c>
      <c r="BP296" s="268" t="str">
        <f t="shared" si="353"/>
        <v/>
      </c>
      <c r="BQ296" s="268" t="str">
        <f t="shared" si="353"/>
        <v/>
      </c>
      <c r="BR296" s="268" t="str">
        <f t="shared" si="353"/>
        <v/>
      </c>
      <c r="BS296" s="268" t="str">
        <f t="shared" si="353"/>
        <v/>
      </c>
      <c r="BT296" s="268" t="str">
        <f t="shared" si="353"/>
        <v/>
      </c>
      <c r="BU296" s="268" t="str">
        <f t="shared" si="330"/>
        <v/>
      </c>
      <c r="BV296" s="247">
        <v>3.12</v>
      </c>
      <c r="BW296" s="729">
        <f t="shared" si="345"/>
        <v>1872</v>
      </c>
      <c r="BX296" s="730">
        <f t="shared" si="346"/>
        <v>14508</v>
      </c>
      <c r="BY296" s="731" t="str">
        <f t="shared" si="347"/>
        <v>SR</v>
      </c>
    </row>
    <row r="297" s="698" customFormat="1" customHeight="1" spans="1:77">
      <c r="A297" s="208">
        <v>46084</v>
      </c>
      <c r="B297" s="208">
        <v>46142</v>
      </c>
      <c r="C297" s="211"/>
      <c r="D297" s="211" t="s">
        <v>527</v>
      </c>
      <c r="E297" s="211" t="s">
        <v>72</v>
      </c>
      <c r="F297" s="732">
        <v>1500</v>
      </c>
      <c r="G297" s="211" t="s">
        <v>510</v>
      </c>
      <c r="H297" s="211" t="str">
        <f>IFERROR(VLOOKUP(E297,名称!A:E,4,0),"")</f>
        <v>三代</v>
      </c>
      <c r="I297" s="268" t="str">
        <f t="shared" ref="I297:BT297" si="354">IF(OR($E297="",I$1=""),"",IF(TRIM(LEFT($E297,MIN(IFERROR(FIND("CDU",UPPER($E297)),999),IFERROR(FIND("BULK",UPPER($E297)),999),IFERROR(FIND("-",$E297),999),IFERROR(FIND("（",$E297),999))-1))=I$1,$F297,""))</f>
        <v/>
      </c>
      <c r="J297" s="268" t="str">
        <f t="shared" si="354"/>
        <v/>
      </c>
      <c r="K297" s="268" t="str">
        <f t="shared" si="354"/>
        <v/>
      </c>
      <c r="L297" s="268" t="str">
        <f t="shared" si="354"/>
        <v/>
      </c>
      <c r="M297" s="268" t="str">
        <f t="shared" si="354"/>
        <v/>
      </c>
      <c r="N297" s="268" t="str">
        <f t="shared" si="354"/>
        <v/>
      </c>
      <c r="O297" s="268" t="str">
        <f t="shared" si="354"/>
        <v/>
      </c>
      <c r="P297" s="268" t="str">
        <f t="shared" si="354"/>
        <v/>
      </c>
      <c r="Q297" s="268" t="str">
        <f t="shared" si="354"/>
        <v/>
      </c>
      <c r="R297" s="268" t="str">
        <f t="shared" si="354"/>
        <v/>
      </c>
      <c r="S297" s="268" t="str">
        <f t="shared" si="354"/>
        <v/>
      </c>
      <c r="T297" s="268" t="str">
        <f t="shared" si="354"/>
        <v/>
      </c>
      <c r="U297" s="268" t="str">
        <f t="shared" si="354"/>
        <v/>
      </c>
      <c r="V297" s="268" t="str">
        <f t="shared" si="354"/>
        <v/>
      </c>
      <c r="W297" s="268" t="str">
        <f t="shared" si="354"/>
        <v/>
      </c>
      <c r="X297" s="268" t="str">
        <f t="shared" si="354"/>
        <v/>
      </c>
      <c r="Y297" s="268" t="str">
        <f t="shared" si="354"/>
        <v/>
      </c>
      <c r="Z297" s="268" t="str">
        <f t="shared" si="354"/>
        <v/>
      </c>
      <c r="AA297" s="268" t="str">
        <f t="shared" si="354"/>
        <v/>
      </c>
      <c r="AB297" s="268" t="str">
        <f t="shared" si="354"/>
        <v/>
      </c>
      <c r="AC297" s="268" t="str">
        <f t="shared" si="354"/>
        <v/>
      </c>
      <c r="AD297" s="268" t="str">
        <f t="shared" si="354"/>
        <v/>
      </c>
      <c r="AE297" s="268" t="str">
        <f t="shared" si="354"/>
        <v/>
      </c>
      <c r="AF297" s="268" t="str">
        <f t="shared" si="354"/>
        <v/>
      </c>
      <c r="AG297" s="268" t="str">
        <f t="shared" si="354"/>
        <v/>
      </c>
      <c r="AH297" s="268" t="str">
        <f t="shared" si="354"/>
        <v/>
      </c>
      <c r="AI297" s="268" t="str">
        <f t="shared" si="354"/>
        <v/>
      </c>
      <c r="AJ297" s="268" t="str">
        <f t="shared" si="354"/>
        <v/>
      </c>
      <c r="AK297" s="268" t="str">
        <f t="shared" si="354"/>
        <v/>
      </c>
      <c r="AL297" s="268">
        <f t="shared" si="354"/>
        <v>1500</v>
      </c>
      <c r="AM297" s="268" t="str">
        <f t="shared" si="354"/>
        <v/>
      </c>
      <c r="AN297" s="268" t="str">
        <f t="shared" si="354"/>
        <v/>
      </c>
      <c r="AO297" s="268" t="str">
        <f t="shared" si="354"/>
        <v/>
      </c>
      <c r="AP297" s="268" t="str">
        <f t="shared" si="354"/>
        <v/>
      </c>
      <c r="AQ297" s="268" t="str">
        <f t="shared" si="354"/>
        <v/>
      </c>
      <c r="AR297" s="268" t="str">
        <f t="shared" si="354"/>
        <v/>
      </c>
      <c r="AS297" s="268" t="str">
        <f t="shared" si="354"/>
        <v/>
      </c>
      <c r="AT297" s="268" t="str">
        <f t="shared" si="354"/>
        <v/>
      </c>
      <c r="AU297" s="268" t="str">
        <f t="shared" si="354"/>
        <v/>
      </c>
      <c r="AV297" s="268" t="str">
        <f t="shared" si="354"/>
        <v/>
      </c>
      <c r="AW297" s="268" t="str">
        <f t="shared" si="354"/>
        <v/>
      </c>
      <c r="AX297" s="268" t="str">
        <f t="shared" si="354"/>
        <v/>
      </c>
      <c r="AY297" s="268" t="str">
        <f t="shared" si="354"/>
        <v/>
      </c>
      <c r="AZ297" s="268" t="str">
        <f t="shared" si="354"/>
        <v/>
      </c>
      <c r="BA297" s="268" t="str">
        <f t="shared" si="354"/>
        <v/>
      </c>
      <c r="BB297" s="268" t="str">
        <f t="shared" si="354"/>
        <v/>
      </c>
      <c r="BC297" s="268" t="str">
        <f t="shared" si="354"/>
        <v/>
      </c>
      <c r="BD297" s="268" t="str">
        <f t="shared" si="354"/>
        <v/>
      </c>
      <c r="BE297" s="268" t="str">
        <f t="shared" si="354"/>
        <v/>
      </c>
      <c r="BF297" s="268" t="str">
        <f t="shared" si="354"/>
        <v/>
      </c>
      <c r="BG297" s="268" t="str">
        <f t="shared" si="354"/>
        <v/>
      </c>
      <c r="BH297" s="268" t="str">
        <f t="shared" si="354"/>
        <v/>
      </c>
      <c r="BI297" s="268" t="str">
        <f t="shared" si="354"/>
        <v/>
      </c>
      <c r="BJ297" s="268" t="str">
        <f t="shared" si="354"/>
        <v/>
      </c>
      <c r="BK297" s="268" t="str">
        <f t="shared" si="354"/>
        <v/>
      </c>
      <c r="BL297" s="268" t="str">
        <f t="shared" si="354"/>
        <v/>
      </c>
      <c r="BM297" s="268" t="str">
        <f t="shared" si="354"/>
        <v/>
      </c>
      <c r="BN297" s="268" t="str">
        <f t="shared" si="354"/>
        <v/>
      </c>
      <c r="BO297" s="268" t="str">
        <f t="shared" si="354"/>
        <v/>
      </c>
      <c r="BP297" s="268" t="str">
        <f t="shared" si="354"/>
        <v/>
      </c>
      <c r="BQ297" s="268" t="str">
        <f t="shared" si="354"/>
        <v/>
      </c>
      <c r="BR297" s="268" t="str">
        <f t="shared" si="354"/>
        <v/>
      </c>
      <c r="BS297" s="268" t="str">
        <f t="shared" si="354"/>
        <v/>
      </c>
      <c r="BT297" s="268" t="str">
        <f t="shared" si="354"/>
        <v/>
      </c>
      <c r="BU297" s="268" t="str">
        <f t="shared" si="330"/>
        <v/>
      </c>
      <c r="BV297" s="247">
        <v>1.6</v>
      </c>
      <c r="BW297" s="729">
        <f t="shared" si="345"/>
        <v>2400</v>
      </c>
      <c r="BX297" s="730">
        <f t="shared" si="346"/>
        <v>18600</v>
      </c>
      <c r="BY297" s="731" t="str">
        <f t="shared" si="347"/>
        <v>SR</v>
      </c>
    </row>
    <row r="298" s="698" customFormat="1" customHeight="1" spans="1:77">
      <c r="A298" s="208">
        <v>46084</v>
      </c>
      <c r="B298" s="208">
        <v>46142</v>
      </c>
      <c r="C298" s="211"/>
      <c r="D298" s="211" t="s">
        <v>527</v>
      </c>
      <c r="E298" s="211" t="s">
        <v>85</v>
      </c>
      <c r="F298" s="732">
        <v>12000</v>
      </c>
      <c r="G298" s="211" t="s">
        <v>510</v>
      </c>
      <c r="H298" s="211" t="str">
        <f>IFERROR(VLOOKUP(E298,名称!A:E,4,0),"")</f>
        <v>三代</v>
      </c>
      <c r="I298" s="268" t="str">
        <f t="shared" ref="I298:BT298" si="355">IF(OR($E298="",I$1=""),"",IF(TRIM(LEFT($E298,MIN(IFERROR(FIND("CDU",UPPER($E298)),999),IFERROR(FIND("BULK",UPPER($E298)),999),IFERROR(FIND("-",$E298),999),IFERROR(FIND("（",$E298),999))-1))=I$1,$F298,""))</f>
        <v/>
      </c>
      <c r="J298" s="268" t="str">
        <f t="shared" si="355"/>
        <v/>
      </c>
      <c r="K298" s="268" t="str">
        <f t="shared" si="355"/>
        <v/>
      </c>
      <c r="L298" s="268" t="str">
        <f t="shared" si="355"/>
        <v/>
      </c>
      <c r="M298" s="268" t="str">
        <f t="shared" si="355"/>
        <v/>
      </c>
      <c r="N298" s="268" t="str">
        <f t="shared" si="355"/>
        <v/>
      </c>
      <c r="O298" s="268" t="str">
        <f t="shared" si="355"/>
        <v/>
      </c>
      <c r="P298" s="268" t="str">
        <f t="shared" si="355"/>
        <v/>
      </c>
      <c r="Q298" s="268" t="str">
        <f t="shared" si="355"/>
        <v/>
      </c>
      <c r="R298" s="268" t="str">
        <f t="shared" si="355"/>
        <v/>
      </c>
      <c r="S298" s="268" t="str">
        <f t="shared" si="355"/>
        <v/>
      </c>
      <c r="T298" s="268" t="str">
        <f t="shared" si="355"/>
        <v/>
      </c>
      <c r="U298" s="268" t="str">
        <f t="shared" si="355"/>
        <v/>
      </c>
      <c r="V298" s="268" t="str">
        <f t="shared" si="355"/>
        <v/>
      </c>
      <c r="W298" s="268" t="str">
        <f t="shared" si="355"/>
        <v/>
      </c>
      <c r="X298" s="268" t="str">
        <f t="shared" si="355"/>
        <v/>
      </c>
      <c r="Y298" s="268" t="str">
        <f t="shared" si="355"/>
        <v/>
      </c>
      <c r="Z298" s="268" t="str">
        <f t="shared" si="355"/>
        <v/>
      </c>
      <c r="AA298" s="268" t="str">
        <f t="shared" si="355"/>
        <v/>
      </c>
      <c r="AB298" s="268" t="str">
        <f t="shared" si="355"/>
        <v/>
      </c>
      <c r="AC298" s="268" t="str">
        <f t="shared" si="355"/>
        <v/>
      </c>
      <c r="AD298" s="268" t="str">
        <f t="shared" si="355"/>
        <v/>
      </c>
      <c r="AE298" s="268" t="str">
        <f t="shared" si="355"/>
        <v/>
      </c>
      <c r="AF298" s="268" t="str">
        <f t="shared" si="355"/>
        <v/>
      </c>
      <c r="AG298" s="268" t="str">
        <f t="shared" si="355"/>
        <v/>
      </c>
      <c r="AH298" s="268" t="str">
        <f t="shared" si="355"/>
        <v/>
      </c>
      <c r="AI298" s="268" t="str">
        <f t="shared" si="355"/>
        <v/>
      </c>
      <c r="AJ298" s="268" t="str">
        <f t="shared" si="355"/>
        <v/>
      </c>
      <c r="AK298" s="268" t="str">
        <f t="shared" si="355"/>
        <v/>
      </c>
      <c r="AL298" s="268" t="str">
        <f t="shared" si="355"/>
        <v/>
      </c>
      <c r="AM298" s="268" t="str">
        <f t="shared" si="355"/>
        <v/>
      </c>
      <c r="AN298" s="268">
        <f t="shared" si="355"/>
        <v>12000</v>
      </c>
      <c r="AO298" s="268" t="str">
        <f t="shared" si="355"/>
        <v/>
      </c>
      <c r="AP298" s="268" t="str">
        <f t="shared" si="355"/>
        <v/>
      </c>
      <c r="AQ298" s="268" t="str">
        <f t="shared" si="355"/>
        <v/>
      </c>
      <c r="AR298" s="268" t="str">
        <f t="shared" si="355"/>
        <v/>
      </c>
      <c r="AS298" s="268" t="str">
        <f t="shared" si="355"/>
        <v/>
      </c>
      <c r="AT298" s="268" t="str">
        <f t="shared" si="355"/>
        <v/>
      </c>
      <c r="AU298" s="268" t="str">
        <f t="shared" si="355"/>
        <v/>
      </c>
      <c r="AV298" s="268" t="str">
        <f t="shared" si="355"/>
        <v/>
      </c>
      <c r="AW298" s="268" t="str">
        <f t="shared" si="355"/>
        <v/>
      </c>
      <c r="AX298" s="268" t="str">
        <f t="shared" si="355"/>
        <v/>
      </c>
      <c r="AY298" s="268" t="str">
        <f t="shared" si="355"/>
        <v/>
      </c>
      <c r="AZ298" s="268" t="str">
        <f t="shared" si="355"/>
        <v/>
      </c>
      <c r="BA298" s="268" t="str">
        <f t="shared" si="355"/>
        <v/>
      </c>
      <c r="BB298" s="268" t="str">
        <f t="shared" si="355"/>
        <v/>
      </c>
      <c r="BC298" s="268" t="str">
        <f t="shared" si="355"/>
        <v/>
      </c>
      <c r="BD298" s="268" t="str">
        <f t="shared" si="355"/>
        <v/>
      </c>
      <c r="BE298" s="268" t="str">
        <f t="shared" si="355"/>
        <v/>
      </c>
      <c r="BF298" s="268" t="str">
        <f t="shared" si="355"/>
        <v/>
      </c>
      <c r="BG298" s="268" t="str">
        <f t="shared" si="355"/>
        <v/>
      </c>
      <c r="BH298" s="268" t="str">
        <f t="shared" si="355"/>
        <v/>
      </c>
      <c r="BI298" s="268" t="str">
        <f t="shared" si="355"/>
        <v/>
      </c>
      <c r="BJ298" s="268" t="str">
        <f t="shared" si="355"/>
        <v/>
      </c>
      <c r="BK298" s="268" t="str">
        <f t="shared" si="355"/>
        <v/>
      </c>
      <c r="BL298" s="268" t="str">
        <f t="shared" si="355"/>
        <v/>
      </c>
      <c r="BM298" s="268" t="str">
        <f t="shared" si="355"/>
        <v/>
      </c>
      <c r="BN298" s="268" t="str">
        <f t="shared" si="355"/>
        <v/>
      </c>
      <c r="BO298" s="268" t="str">
        <f t="shared" si="355"/>
        <v/>
      </c>
      <c r="BP298" s="268" t="str">
        <f t="shared" si="355"/>
        <v/>
      </c>
      <c r="BQ298" s="268" t="str">
        <f t="shared" si="355"/>
        <v/>
      </c>
      <c r="BR298" s="268" t="str">
        <f t="shared" si="355"/>
        <v/>
      </c>
      <c r="BS298" s="268" t="str">
        <f t="shared" si="355"/>
        <v/>
      </c>
      <c r="BT298" s="268" t="str">
        <f t="shared" si="355"/>
        <v/>
      </c>
      <c r="BU298" s="268" t="str">
        <f t="shared" si="330"/>
        <v/>
      </c>
      <c r="BV298" s="247">
        <v>0.89</v>
      </c>
      <c r="BW298" s="729">
        <f t="shared" si="345"/>
        <v>10680</v>
      </c>
      <c r="BX298" s="730">
        <f t="shared" si="346"/>
        <v>82770</v>
      </c>
      <c r="BY298" s="731" t="str">
        <f t="shared" si="347"/>
        <v>SR</v>
      </c>
    </row>
    <row r="299" s="698" customFormat="1" customHeight="1" spans="1:77">
      <c r="A299" s="208">
        <v>46085</v>
      </c>
      <c r="B299" s="208">
        <v>46178</v>
      </c>
      <c r="C299" s="211" t="s">
        <v>528</v>
      </c>
      <c r="D299" s="211" t="s">
        <v>529</v>
      </c>
      <c r="E299" s="211" t="s">
        <v>50</v>
      </c>
      <c r="F299" s="732">
        <v>2178</v>
      </c>
      <c r="G299" s="211" t="s">
        <v>510</v>
      </c>
      <c r="H299" s="211" t="str">
        <f>IFERROR(VLOOKUP(E299,名称!A:E,4,0),"")</f>
        <v>蛋糕</v>
      </c>
      <c r="I299" s="268" t="str">
        <f t="shared" ref="I299:BT299" si="356">IF(OR($E299="",I$1=""),"",IF(TRIM(LEFT($E299,MIN(IFERROR(FIND("CDU",UPPER($E299)),999),IFERROR(FIND("BULK",UPPER($E299)),999),IFERROR(FIND("-",$E299),999),IFERROR(FIND("（",$E299),999))-1))=I$1,$F299,""))</f>
        <v/>
      </c>
      <c r="J299" s="268" t="str">
        <f t="shared" si="356"/>
        <v/>
      </c>
      <c r="K299" s="268" t="str">
        <f t="shared" si="356"/>
        <v/>
      </c>
      <c r="L299" s="268" t="str">
        <f t="shared" si="356"/>
        <v/>
      </c>
      <c r="M299" s="268" t="str">
        <f t="shared" si="356"/>
        <v/>
      </c>
      <c r="N299" s="268" t="str">
        <f t="shared" si="356"/>
        <v/>
      </c>
      <c r="O299" s="268" t="str">
        <f t="shared" si="356"/>
        <v/>
      </c>
      <c r="P299" s="268" t="str">
        <f t="shared" si="356"/>
        <v/>
      </c>
      <c r="Q299" s="268" t="str">
        <f t="shared" si="356"/>
        <v/>
      </c>
      <c r="R299" s="268" t="str">
        <f t="shared" si="356"/>
        <v/>
      </c>
      <c r="S299" s="268" t="str">
        <f t="shared" si="356"/>
        <v/>
      </c>
      <c r="T299" s="268" t="str">
        <f t="shared" si="356"/>
        <v/>
      </c>
      <c r="U299" s="268" t="str">
        <f t="shared" si="356"/>
        <v/>
      </c>
      <c r="V299" s="268" t="str">
        <f t="shared" si="356"/>
        <v/>
      </c>
      <c r="W299" s="268" t="str">
        <f t="shared" si="356"/>
        <v/>
      </c>
      <c r="X299" s="268" t="str">
        <f t="shared" si="356"/>
        <v/>
      </c>
      <c r="Y299" s="268" t="str">
        <f t="shared" si="356"/>
        <v/>
      </c>
      <c r="Z299" s="268" t="str">
        <f t="shared" si="356"/>
        <v/>
      </c>
      <c r="AA299" s="268" t="str">
        <f t="shared" si="356"/>
        <v/>
      </c>
      <c r="AB299" s="268" t="str">
        <f t="shared" si="356"/>
        <v/>
      </c>
      <c r="AC299" s="268" t="str">
        <f t="shared" si="356"/>
        <v/>
      </c>
      <c r="AD299" s="268" t="str">
        <f t="shared" si="356"/>
        <v/>
      </c>
      <c r="AE299" s="268" t="str">
        <f t="shared" si="356"/>
        <v/>
      </c>
      <c r="AF299" s="268" t="str">
        <f t="shared" si="356"/>
        <v/>
      </c>
      <c r="AG299" s="268" t="str">
        <f t="shared" si="356"/>
        <v/>
      </c>
      <c r="AH299" s="268" t="str">
        <f t="shared" si="356"/>
        <v/>
      </c>
      <c r="AI299" s="268" t="str">
        <f t="shared" si="356"/>
        <v/>
      </c>
      <c r="AJ299" s="268" t="str">
        <f t="shared" si="356"/>
        <v/>
      </c>
      <c r="AK299" s="268" t="str">
        <f t="shared" si="356"/>
        <v/>
      </c>
      <c r="AL299" s="268" t="str">
        <f t="shared" si="356"/>
        <v/>
      </c>
      <c r="AM299" s="268" t="str">
        <f t="shared" si="356"/>
        <v/>
      </c>
      <c r="AN299" s="268" t="str">
        <f t="shared" si="356"/>
        <v/>
      </c>
      <c r="AO299" s="268" t="str">
        <f t="shared" si="356"/>
        <v/>
      </c>
      <c r="AP299" s="268" t="str">
        <f t="shared" si="356"/>
        <v/>
      </c>
      <c r="AQ299" s="268" t="str">
        <f t="shared" si="356"/>
        <v/>
      </c>
      <c r="AR299" s="268" t="str">
        <f t="shared" si="356"/>
        <v/>
      </c>
      <c r="AS299" s="268" t="str">
        <f t="shared" si="356"/>
        <v/>
      </c>
      <c r="AT299" s="268" t="str">
        <f t="shared" si="356"/>
        <v/>
      </c>
      <c r="AU299" s="268" t="str">
        <f t="shared" si="356"/>
        <v/>
      </c>
      <c r="AV299" s="268" t="str">
        <f t="shared" si="356"/>
        <v/>
      </c>
      <c r="AW299" s="268" t="str">
        <f t="shared" si="356"/>
        <v/>
      </c>
      <c r="AX299" s="268" t="str">
        <f t="shared" si="356"/>
        <v/>
      </c>
      <c r="AY299" s="268" t="str">
        <f t="shared" si="356"/>
        <v/>
      </c>
      <c r="AZ299" s="268" t="str">
        <f t="shared" si="356"/>
        <v/>
      </c>
      <c r="BA299" s="268" t="str">
        <f t="shared" si="356"/>
        <v/>
      </c>
      <c r="BB299" s="268" t="str">
        <f t="shared" si="356"/>
        <v/>
      </c>
      <c r="BC299" s="268" t="str">
        <f t="shared" si="356"/>
        <v/>
      </c>
      <c r="BD299" s="268" t="str">
        <f t="shared" si="356"/>
        <v/>
      </c>
      <c r="BE299" s="268" t="str">
        <f t="shared" si="356"/>
        <v/>
      </c>
      <c r="BF299" s="268" t="str">
        <f t="shared" si="356"/>
        <v/>
      </c>
      <c r="BG299" s="268">
        <f t="shared" si="356"/>
        <v>2178</v>
      </c>
      <c r="BH299" s="268" t="str">
        <f t="shared" si="356"/>
        <v/>
      </c>
      <c r="BI299" s="268" t="str">
        <f t="shared" si="356"/>
        <v/>
      </c>
      <c r="BJ299" s="268" t="str">
        <f t="shared" si="356"/>
        <v/>
      </c>
      <c r="BK299" s="268" t="str">
        <f t="shared" si="356"/>
        <v/>
      </c>
      <c r="BL299" s="268" t="str">
        <f t="shared" si="356"/>
        <v/>
      </c>
      <c r="BM299" s="268" t="str">
        <f t="shared" si="356"/>
        <v/>
      </c>
      <c r="BN299" s="268" t="str">
        <f t="shared" si="356"/>
        <v/>
      </c>
      <c r="BO299" s="268" t="str">
        <f t="shared" si="356"/>
        <v/>
      </c>
      <c r="BP299" s="268" t="str">
        <f t="shared" si="356"/>
        <v/>
      </c>
      <c r="BQ299" s="268" t="str">
        <f t="shared" si="356"/>
        <v/>
      </c>
      <c r="BR299" s="268" t="str">
        <f t="shared" si="356"/>
        <v/>
      </c>
      <c r="BS299" s="268" t="str">
        <f t="shared" si="356"/>
        <v/>
      </c>
      <c r="BT299" s="268" t="str">
        <f t="shared" si="356"/>
        <v/>
      </c>
      <c r="BU299" s="268" t="str">
        <f t="shared" si="330"/>
        <v/>
      </c>
      <c r="BV299" s="247">
        <v>1.06</v>
      </c>
      <c r="BW299" s="729">
        <f t="shared" si="345"/>
        <v>2308.68</v>
      </c>
      <c r="BX299" s="730">
        <f t="shared" si="346"/>
        <v>17892.27</v>
      </c>
      <c r="BY299" s="731" t="str">
        <f t="shared" si="347"/>
        <v>JC</v>
      </c>
    </row>
    <row r="300" s="697" customFormat="1" customHeight="1" spans="1:77">
      <c r="A300" s="116">
        <v>46085</v>
      </c>
      <c r="B300" s="116">
        <v>46239</v>
      </c>
      <c r="C300" s="118" t="s">
        <v>530</v>
      </c>
      <c r="D300" s="118" t="s">
        <v>531</v>
      </c>
      <c r="E300" s="118" t="s">
        <v>50</v>
      </c>
      <c r="F300" s="726">
        <v>2106</v>
      </c>
      <c r="G300" s="118" t="s">
        <v>510</v>
      </c>
      <c r="H300" s="118" t="str">
        <f>IFERROR(VLOOKUP(E300,名称!A:E,4,0),"")</f>
        <v>蛋糕</v>
      </c>
      <c r="I300" s="418" t="str">
        <f t="shared" ref="I300:BT300" si="357">IF(OR($E300="",I$1=""),"",IF(TRIM(LEFT($E300,MIN(IFERROR(FIND("CDU",UPPER($E300)),999),IFERROR(FIND("BULK",UPPER($E300)),999),IFERROR(FIND("-",$E300),999),IFERROR(FIND("（",$E300),999))-1))=I$1,$F300,""))</f>
        <v/>
      </c>
      <c r="J300" s="418" t="str">
        <f t="shared" si="357"/>
        <v/>
      </c>
      <c r="K300" s="418" t="str">
        <f t="shared" si="357"/>
        <v/>
      </c>
      <c r="L300" s="418" t="str">
        <f t="shared" si="357"/>
        <v/>
      </c>
      <c r="M300" s="418" t="str">
        <f t="shared" si="357"/>
        <v/>
      </c>
      <c r="N300" s="418" t="str">
        <f t="shared" si="357"/>
        <v/>
      </c>
      <c r="O300" s="418" t="str">
        <f t="shared" si="357"/>
        <v/>
      </c>
      <c r="P300" s="418" t="str">
        <f t="shared" si="357"/>
        <v/>
      </c>
      <c r="Q300" s="418" t="str">
        <f t="shared" si="357"/>
        <v/>
      </c>
      <c r="R300" s="418" t="str">
        <f t="shared" si="357"/>
        <v/>
      </c>
      <c r="S300" s="418" t="str">
        <f t="shared" si="357"/>
        <v/>
      </c>
      <c r="T300" s="418" t="str">
        <f t="shared" si="357"/>
        <v/>
      </c>
      <c r="U300" s="418" t="str">
        <f t="shared" si="357"/>
        <v/>
      </c>
      <c r="V300" s="418" t="str">
        <f t="shared" si="357"/>
        <v/>
      </c>
      <c r="W300" s="418" t="str">
        <f t="shared" si="357"/>
        <v/>
      </c>
      <c r="X300" s="418" t="str">
        <f t="shared" si="357"/>
        <v/>
      </c>
      <c r="Y300" s="418" t="str">
        <f t="shared" si="357"/>
        <v/>
      </c>
      <c r="Z300" s="418" t="str">
        <f t="shared" si="357"/>
        <v/>
      </c>
      <c r="AA300" s="418" t="str">
        <f t="shared" si="357"/>
        <v/>
      </c>
      <c r="AB300" s="418" t="str">
        <f t="shared" si="357"/>
        <v/>
      </c>
      <c r="AC300" s="418" t="str">
        <f t="shared" si="357"/>
        <v/>
      </c>
      <c r="AD300" s="418" t="str">
        <f t="shared" si="357"/>
        <v/>
      </c>
      <c r="AE300" s="418" t="str">
        <f t="shared" si="357"/>
        <v/>
      </c>
      <c r="AF300" s="418" t="str">
        <f t="shared" si="357"/>
        <v/>
      </c>
      <c r="AG300" s="418" t="str">
        <f t="shared" si="357"/>
        <v/>
      </c>
      <c r="AH300" s="418" t="str">
        <f t="shared" si="357"/>
        <v/>
      </c>
      <c r="AI300" s="418" t="str">
        <f t="shared" si="357"/>
        <v/>
      </c>
      <c r="AJ300" s="418" t="str">
        <f t="shared" si="357"/>
        <v/>
      </c>
      <c r="AK300" s="418" t="str">
        <f t="shared" si="357"/>
        <v/>
      </c>
      <c r="AL300" s="418" t="str">
        <f t="shared" si="357"/>
        <v/>
      </c>
      <c r="AM300" s="418" t="str">
        <f t="shared" si="357"/>
        <v/>
      </c>
      <c r="AN300" s="418" t="str">
        <f t="shared" si="357"/>
        <v/>
      </c>
      <c r="AO300" s="418" t="str">
        <f t="shared" si="357"/>
        <v/>
      </c>
      <c r="AP300" s="418" t="str">
        <f t="shared" si="357"/>
        <v/>
      </c>
      <c r="AQ300" s="418" t="str">
        <f t="shared" si="357"/>
        <v/>
      </c>
      <c r="AR300" s="418" t="str">
        <f t="shared" si="357"/>
        <v/>
      </c>
      <c r="AS300" s="418" t="str">
        <f t="shared" si="357"/>
        <v/>
      </c>
      <c r="AT300" s="418" t="str">
        <f t="shared" si="357"/>
        <v/>
      </c>
      <c r="AU300" s="418" t="str">
        <f t="shared" si="357"/>
        <v/>
      </c>
      <c r="AV300" s="418" t="str">
        <f t="shared" si="357"/>
        <v/>
      </c>
      <c r="AW300" s="418" t="str">
        <f t="shared" si="357"/>
        <v/>
      </c>
      <c r="AX300" s="418" t="str">
        <f t="shared" si="357"/>
        <v/>
      </c>
      <c r="AY300" s="418" t="str">
        <f t="shared" si="357"/>
        <v/>
      </c>
      <c r="AZ300" s="418" t="str">
        <f t="shared" si="357"/>
        <v/>
      </c>
      <c r="BA300" s="418" t="str">
        <f t="shared" si="357"/>
        <v/>
      </c>
      <c r="BB300" s="418" t="str">
        <f t="shared" si="357"/>
        <v/>
      </c>
      <c r="BC300" s="418" t="str">
        <f t="shared" si="357"/>
        <v/>
      </c>
      <c r="BD300" s="418" t="str">
        <f t="shared" si="357"/>
        <v/>
      </c>
      <c r="BE300" s="418" t="str">
        <f t="shared" si="357"/>
        <v/>
      </c>
      <c r="BF300" s="418" t="str">
        <f t="shared" si="357"/>
        <v/>
      </c>
      <c r="BG300" s="418">
        <f t="shared" si="357"/>
        <v>2106</v>
      </c>
      <c r="BH300" s="418" t="str">
        <f t="shared" si="357"/>
        <v/>
      </c>
      <c r="BI300" s="418" t="str">
        <f t="shared" si="357"/>
        <v/>
      </c>
      <c r="BJ300" s="418" t="str">
        <f t="shared" si="357"/>
        <v/>
      </c>
      <c r="BK300" s="418" t="str">
        <f t="shared" si="357"/>
        <v/>
      </c>
      <c r="BL300" s="418" t="str">
        <f t="shared" si="357"/>
        <v/>
      </c>
      <c r="BM300" s="418" t="str">
        <f t="shared" si="357"/>
        <v/>
      </c>
      <c r="BN300" s="418" t="str">
        <f t="shared" si="357"/>
        <v/>
      </c>
      <c r="BO300" s="418" t="str">
        <f t="shared" si="357"/>
        <v/>
      </c>
      <c r="BP300" s="418" t="str">
        <f t="shared" si="357"/>
        <v/>
      </c>
      <c r="BQ300" s="418" t="str">
        <f t="shared" si="357"/>
        <v/>
      </c>
      <c r="BR300" s="418" t="str">
        <f t="shared" si="357"/>
        <v/>
      </c>
      <c r="BS300" s="418" t="str">
        <f t="shared" si="357"/>
        <v/>
      </c>
      <c r="BT300" s="418" t="str">
        <f t="shared" si="357"/>
        <v/>
      </c>
      <c r="BU300" s="418" t="str">
        <f t="shared" si="330"/>
        <v/>
      </c>
      <c r="BV300" s="544">
        <v>1.09</v>
      </c>
      <c r="BW300" s="723">
        <f t="shared" si="345"/>
        <v>2295.54</v>
      </c>
      <c r="BX300" s="724">
        <f t="shared" si="346"/>
        <v>17790.44</v>
      </c>
      <c r="BY300" s="725" t="str">
        <f t="shared" si="347"/>
        <v>JC</v>
      </c>
    </row>
    <row r="301" s="698" customFormat="1" customHeight="1" spans="1:77">
      <c r="A301" s="208">
        <v>46085</v>
      </c>
      <c r="B301" s="208">
        <v>46208</v>
      </c>
      <c r="C301" s="211" t="s">
        <v>532</v>
      </c>
      <c r="D301" s="211" t="s">
        <v>533</v>
      </c>
      <c r="E301" s="211" t="s">
        <v>50</v>
      </c>
      <c r="F301" s="732">
        <v>1980</v>
      </c>
      <c r="G301" s="211" t="s">
        <v>510</v>
      </c>
      <c r="H301" s="211" t="str">
        <f>IFERROR(VLOOKUP(E301,名称!A:E,4,0),"")</f>
        <v>蛋糕</v>
      </c>
      <c r="I301" s="268" t="str">
        <f t="shared" ref="I301:BT301" si="358">IF(OR($E301="",I$1=""),"",IF(TRIM(LEFT($E301,MIN(IFERROR(FIND("CDU",UPPER($E301)),999),IFERROR(FIND("BULK",UPPER($E301)),999),IFERROR(FIND("-",$E301),999),IFERROR(FIND("（",$E301),999))-1))=I$1,$F301,""))</f>
        <v/>
      </c>
      <c r="J301" s="268" t="str">
        <f t="shared" si="358"/>
        <v/>
      </c>
      <c r="K301" s="268" t="str">
        <f t="shared" si="358"/>
        <v/>
      </c>
      <c r="L301" s="268" t="str">
        <f t="shared" si="358"/>
        <v/>
      </c>
      <c r="M301" s="268" t="str">
        <f t="shared" si="358"/>
        <v/>
      </c>
      <c r="N301" s="268" t="str">
        <f t="shared" si="358"/>
        <v/>
      </c>
      <c r="O301" s="268" t="str">
        <f t="shared" si="358"/>
        <v/>
      </c>
      <c r="P301" s="268" t="str">
        <f t="shared" si="358"/>
        <v/>
      </c>
      <c r="Q301" s="268" t="str">
        <f t="shared" si="358"/>
        <v/>
      </c>
      <c r="R301" s="268" t="str">
        <f t="shared" si="358"/>
        <v/>
      </c>
      <c r="S301" s="268" t="str">
        <f t="shared" si="358"/>
        <v/>
      </c>
      <c r="T301" s="268" t="str">
        <f t="shared" si="358"/>
        <v/>
      </c>
      <c r="U301" s="268" t="str">
        <f t="shared" si="358"/>
        <v/>
      </c>
      <c r="V301" s="268" t="str">
        <f t="shared" si="358"/>
        <v/>
      </c>
      <c r="W301" s="268" t="str">
        <f t="shared" si="358"/>
        <v/>
      </c>
      <c r="X301" s="268" t="str">
        <f t="shared" si="358"/>
        <v/>
      </c>
      <c r="Y301" s="268" t="str">
        <f t="shared" si="358"/>
        <v/>
      </c>
      <c r="Z301" s="268" t="str">
        <f t="shared" si="358"/>
        <v/>
      </c>
      <c r="AA301" s="268" t="str">
        <f t="shared" si="358"/>
        <v/>
      </c>
      <c r="AB301" s="268" t="str">
        <f t="shared" si="358"/>
        <v/>
      </c>
      <c r="AC301" s="268" t="str">
        <f t="shared" si="358"/>
        <v/>
      </c>
      <c r="AD301" s="268" t="str">
        <f t="shared" si="358"/>
        <v/>
      </c>
      <c r="AE301" s="268" t="str">
        <f t="shared" si="358"/>
        <v/>
      </c>
      <c r="AF301" s="268" t="str">
        <f t="shared" si="358"/>
        <v/>
      </c>
      <c r="AG301" s="268" t="str">
        <f t="shared" si="358"/>
        <v/>
      </c>
      <c r="AH301" s="268" t="str">
        <f t="shared" si="358"/>
        <v/>
      </c>
      <c r="AI301" s="268" t="str">
        <f t="shared" si="358"/>
        <v/>
      </c>
      <c r="AJ301" s="268" t="str">
        <f t="shared" si="358"/>
        <v/>
      </c>
      <c r="AK301" s="268" t="str">
        <f t="shared" si="358"/>
        <v/>
      </c>
      <c r="AL301" s="268" t="str">
        <f t="shared" si="358"/>
        <v/>
      </c>
      <c r="AM301" s="268" t="str">
        <f t="shared" si="358"/>
        <v/>
      </c>
      <c r="AN301" s="268" t="str">
        <f t="shared" si="358"/>
        <v/>
      </c>
      <c r="AO301" s="268" t="str">
        <f t="shared" si="358"/>
        <v/>
      </c>
      <c r="AP301" s="268" t="str">
        <f t="shared" si="358"/>
        <v/>
      </c>
      <c r="AQ301" s="268" t="str">
        <f t="shared" si="358"/>
        <v/>
      </c>
      <c r="AR301" s="268" t="str">
        <f t="shared" si="358"/>
        <v/>
      </c>
      <c r="AS301" s="268" t="str">
        <f t="shared" si="358"/>
        <v/>
      </c>
      <c r="AT301" s="268" t="str">
        <f t="shared" si="358"/>
        <v/>
      </c>
      <c r="AU301" s="268" t="str">
        <f t="shared" si="358"/>
        <v/>
      </c>
      <c r="AV301" s="268" t="str">
        <f t="shared" si="358"/>
        <v/>
      </c>
      <c r="AW301" s="268" t="str">
        <f t="shared" si="358"/>
        <v/>
      </c>
      <c r="AX301" s="268" t="str">
        <f t="shared" si="358"/>
        <v/>
      </c>
      <c r="AY301" s="268" t="str">
        <f t="shared" si="358"/>
        <v/>
      </c>
      <c r="AZ301" s="268" t="str">
        <f t="shared" si="358"/>
        <v/>
      </c>
      <c r="BA301" s="268" t="str">
        <f t="shared" si="358"/>
        <v/>
      </c>
      <c r="BB301" s="268" t="str">
        <f t="shared" si="358"/>
        <v/>
      </c>
      <c r="BC301" s="268" t="str">
        <f t="shared" si="358"/>
        <v/>
      </c>
      <c r="BD301" s="268" t="str">
        <f t="shared" si="358"/>
        <v/>
      </c>
      <c r="BE301" s="268" t="str">
        <f t="shared" si="358"/>
        <v/>
      </c>
      <c r="BF301" s="268" t="str">
        <f t="shared" si="358"/>
        <v/>
      </c>
      <c r="BG301" s="268">
        <f t="shared" si="358"/>
        <v>1980</v>
      </c>
      <c r="BH301" s="268" t="str">
        <f t="shared" si="358"/>
        <v/>
      </c>
      <c r="BI301" s="268" t="str">
        <f t="shared" si="358"/>
        <v/>
      </c>
      <c r="BJ301" s="268" t="str">
        <f t="shared" si="358"/>
        <v/>
      </c>
      <c r="BK301" s="268" t="str">
        <f t="shared" si="358"/>
        <v/>
      </c>
      <c r="BL301" s="268" t="str">
        <f t="shared" si="358"/>
        <v/>
      </c>
      <c r="BM301" s="268" t="str">
        <f t="shared" si="358"/>
        <v/>
      </c>
      <c r="BN301" s="268" t="str">
        <f t="shared" si="358"/>
        <v/>
      </c>
      <c r="BO301" s="268" t="str">
        <f t="shared" si="358"/>
        <v/>
      </c>
      <c r="BP301" s="268" t="str">
        <f t="shared" si="358"/>
        <v/>
      </c>
      <c r="BQ301" s="268" t="str">
        <f t="shared" si="358"/>
        <v/>
      </c>
      <c r="BR301" s="268" t="str">
        <f t="shared" si="358"/>
        <v/>
      </c>
      <c r="BS301" s="268" t="str">
        <f t="shared" si="358"/>
        <v/>
      </c>
      <c r="BT301" s="268" t="str">
        <f t="shared" si="358"/>
        <v/>
      </c>
      <c r="BU301" s="268" t="str">
        <f t="shared" si="330"/>
        <v/>
      </c>
      <c r="BV301" s="247">
        <v>1.06</v>
      </c>
      <c r="BW301" s="729">
        <f t="shared" si="345"/>
        <v>2098.8</v>
      </c>
      <c r="BX301" s="730">
        <f t="shared" si="346"/>
        <v>16265.7</v>
      </c>
      <c r="BY301" s="731" t="str">
        <f t="shared" si="347"/>
        <v>JC</v>
      </c>
    </row>
    <row r="302" s="698" customFormat="1" customHeight="1" spans="1:77">
      <c r="A302" s="208">
        <v>46085</v>
      </c>
      <c r="B302" s="208">
        <v>46141</v>
      </c>
      <c r="C302" s="211" t="s">
        <v>534</v>
      </c>
      <c r="D302" s="211" t="s">
        <v>535</v>
      </c>
      <c r="E302" s="211" t="s">
        <v>50</v>
      </c>
      <c r="F302" s="732">
        <v>18684</v>
      </c>
      <c r="G302" s="211" t="s">
        <v>510</v>
      </c>
      <c r="H302" s="211" t="str">
        <f>IFERROR(VLOOKUP(E302,名称!A:E,4,0),"")</f>
        <v>蛋糕</v>
      </c>
      <c r="I302" s="268" t="str">
        <f t="shared" ref="I302:BT302" si="359">IF(OR($E302="",I$1=""),"",IF(TRIM(LEFT($E302,MIN(IFERROR(FIND("CDU",UPPER($E302)),999),IFERROR(FIND("BULK",UPPER($E302)),999),IFERROR(FIND("-",$E302),999),IFERROR(FIND("（",$E302),999))-1))=I$1,$F302,""))</f>
        <v/>
      </c>
      <c r="J302" s="268" t="str">
        <f t="shared" si="359"/>
        <v/>
      </c>
      <c r="K302" s="268" t="str">
        <f t="shared" si="359"/>
        <v/>
      </c>
      <c r="L302" s="268" t="str">
        <f t="shared" si="359"/>
        <v/>
      </c>
      <c r="M302" s="268" t="str">
        <f t="shared" si="359"/>
        <v/>
      </c>
      <c r="N302" s="268" t="str">
        <f t="shared" si="359"/>
        <v/>
      </c>
      <c r="O302" s="268" t="str">
        <f t="shared" si="359"/>
        <v/>
      </c>
      <c r="P302" s="268" t="str">
        <f t="shared" si="359"/>
        <v/>
      </c>
      <c r="Q302" s="268" t="str">
        <f t="shared" si="359"/>
        <v/>
      </c>
      <c r="R302" s="268" t="str">
        <f t="shared" si="359"/>
        <v/>
      </c>
      <c r="S302" s="268" t="str">
        <f t="shared" si="359"/>
        <v/>
      </c>
      <c r="T302" s="268" t="str">
        <f t="shared" si="359"/>
        <v/>
      </c>
      <c r="U302" s="268" t="str">
        <f t="shared" si="359"/>
        <v/>
      </c>
      <c r="V302" s="268" t="str">
        <f t="shared" si="359"/>
        <v/>
      </c>
      <c r="W302" s="268" t="str">
        <f t="shared" si="359"/>
        <v/>
      </c>
      <c r="X302" s="268" t="str">
        <f t="shared" si="359"/>
        <v/>
      </c>
      <c r="Y302" s="268" t="str">
        <f t="shared" si="359"/>
        <v/>
      </c>
      <c r="Z302" s="268" t="str">
        <f t="shared" si="359"/>
        <v/>
      </c>
      <c r="AA302" s="268" t="str">
        <f t="shared" si="359"/>
        <v/>
      </c>
      <c r="AB302" s="268" t="str">
        <f t="shared" si="359"/>
        <v/>
      </c>
      <c r="AC302" s="268" t="str">
        <f t="shared" si="359"/>
        <v/>
      </c>
      <c r="AD302" s="268" t="str">
        <f t="shared" si="359"/>
        <v/>
      </c>
      <c r="AE302" s="268" t="str">
        <f t="shared" si="359"/>
        <v/>
      </c>
      <c r="AF302" s="268" t="str">
        <f t="shared" si="359"/>
        <v/>
      </c>
      <c r="AG302" s="268" t="str">
        <f t="shared" si="359"/>
        <v/>
      </c>
      <c r="AH302" s="268" t="str">
        <f t="shared" si="359"/>
        <v/>
      </c>
      <c r="AI302" s="268" t="str">
        <f t="shared" si="359"/>
        <v/>
      </c>
      <c r="AJ302" s="268" t="str">
        <f t="shared" si="359"/>
        <v/>
      </c>
      <c r="AK302" s="268" t="str">
        <f t="shared" si="359"/>
        <v/>
      </c>
      <c r="AL302" s="268" t="str">
        <f t="shared" si="359"/>
        <v/>
      </c>
      <c r="AM302" s="268" t="str">
        <f t="shared" si="359"/>
        <v/>
      </c>
      <c r="AN302" s="268" t="str">
        <f t="shared" si="359"/>
        <v/>
      </c>
      <c r="AO302" s="268" t="str">
        <f t="shared" si="359"/>
        <v/>
      </c>
      <c r="AP302" s="268" t="str">
        <f t="shared" si="359"/>
        <v/>
      </c>
      <c r="AQ302" s="268" t="str">
        <f t="shared" si="359"/>
        <v/>
      </c>
      <c r="AR302" s="268" t="str">
        <f t="shared" si="359"/>
        <v/>
      </c>
      <c r="AS302" s="268" t="str">
        <f t="shared" si="359"/>
        <v/>
      </c>
      <c r="AT302" s="268" t="str">
        <f t="shared" si="359"/>
        <v/>
      </c>
      <c r="AU302" s="268" t="str">
        <f t="shared" si="359"/>
        <v/>
      </c>
      <c r="AV302" s="268" t="str">
        <f t="shared" si="359"/>
        <v/>
      </c>
      <c r="AW302" s="268" t="str">
        <f t="shared" si="359"/>
        <v/>
      </c>
      <c r="AX302" s="268" t="str">
        <f t="shared" si="359"/>
        <v/>
      </c>
      <c r="AY302" s="268" t="str">
        <f t="shared" si="359"/>
        <v/>
      </c>
      <c r="AZ302" s="268" t="str">
        <f t="shared" si="359"/>
        <v/>
      </c>
      <c r="BA302" s="268" t="str">
        <f t="shared" si="359"/>
        <v/>
      </c>
      <c r="BB302" s="268" t="str">
        <f t="shared" si="359"/>
        <v/>
      </c>
      <c r="BC302" s="268" t="str">
        <f t="shared" si="359"/>
        <v/>
      </c>
      <c r="BD302" s="268" t="str">
        <f t="shared" si="359"/>
        <v/>
      </c>
      <c r="BE302" s="268" t="str">
        <f t="shared" si="359"/>
        <v/>
      </c>
      <c r="BF302" s="268" t="str">
        <f t="shared" si="359"/>
        <v/>
      </c>
      <c r="BG302" s="268">
        <f t="shared" si="359"/>
        <v>18684</v>
      </c>
      <c r="BH302" s="268" t="str">
        <f t="shared" si="359"/>
        <v/>
      </c>
      <c r="BI302" s="268" t="str">
        <f t="shared" si="359"/>
        <v/>
      </c>
      <c r="BJ302" s="268" t="str">
        <f t="shared" si="359"/>
        <v/>
      </c>
      <c r="BK302" s="268" t="str">
        <f t="shared" si="359"/>
        <v/>
      </c>
      <c r="BL302" s="268" t="str">
        <f t="shared" si="359"/>
        <v/>
      </c>
      <c r="BM302" s="268" t="str">
        <f t="shared" si="359"/>
        <v/>
      </c>
      <c r="BN302" s="268" t="str">
        <f t="shared" si="359"/>
        <v/>
      </c>
      <c r="BO302" s="268" t="str">
        <f t="shared" si="359"/>
        <v/>
      </c>
      <c r="BP302" s="268" t="str">
        <f t="shared" si="359"/>
        <v/>
      </c>
      <c r="BQ302" s="268" t="str">
        <f t="shared" si="359"/>
        <v/>
      </c>
      <c r="BR302" s="268" t="str">
        <f t="shared" si="359"/>
        <v/>
      </c>
      <c r="BS302" s="268" t="str">
        <f t="shared" si="359"/>
        <v/>
      </c>
      <c r="BT302" s="268" t="str">
        <f t="shared" si="359"/>
        <v/>
      </c>
      <c r="BU302" s="268" t="str">
        <f t="shared" si="330"/>
        <v/>
      </c>
      <c r="BV302" s="247">
        <v>1.11</v>
      </c>
      <c r="BW302" s="729">
        <f t="shared" si="345"/>
        <v>20739.24</v>
      </c>
      <c r="BX302" s="730">
        <f t="shared" si="346"/>
        <v>160729.11</v>
      </c>
      <c r="BY302" s="731" t="str">
        <f t="shared" si="347"/>
        <v>JC</v>
      </c>
    </row>
    <row r="303" s="698" customFormat="1" customHeight="1" spans="1:77">
      <c r="A303" s="208">
        <v>46085</v>
      </c>
      <c r="B303" s="208">
        <v>46133</v>
      </c>
      <c r="C303" s="211" t="s">
        <v>536</v>
      </c>
      <c r="D303" s="211" t="s">
        <v>537</v>
      </c>
      <c r="E303" s="211" t="s">
        <v>50</v>
      </c>
      <c r="F303" s="732">
        <v>13572</v>
      </c>
      <c r="G303" s="211" t="s">
        <v>510</v>
      </c>
      <c r="H303" s="211" t="str">
        <f>IFERROR(VLOOKUP(E303,名称!A:E,4,0),"")</f>
        <v>蛋糕</v>
      </c>
      <c r="I303" s="268" t="str">
        <f t="shared" ref="I303:BT303" si="360">IF(OR($E303="",I$1=""),"",IF(TRIM(LEFT($E303,MIN(IFERROR(FIND("CDU",UPPER($E303)),999),IFERROR(FIND("BULK",UPPER($E303)),999),IFERROR(FIND("-",$E303),999),IFERROR(FIND("（",$E303),999))-1))=I$1,$F303,""))</f>
        <v/>
      </c>
      <c r="J303" s="268" t="str">
        <f t="shared" si="360"/>
        <v/>
      </c>
      <c r="K303" s="268" t="str">
        <f t="shared" si="360"/>
        <v/>
      </c>
      <c r="L303" s="268" t="str">
        <f t="shared" si="360"/>
        <v/>
      </c>
      <c r="M303" s="268" t="str">
        <f t="shared" si="360"/>
        <v/>
      </c>
      <c r="N303" s="268" t="str">
        <f t="shared" si="360"/>
        <v/>
      </c>
      <c r="O303" s="268" t="str">
        <f t="shared" si="360"/>
        <v/>
      </c>
      <c r="P303" s="268" t="str">
        <f t="shared" si="360"/>
        <v/>
      </c>
      <c r="Q303" s="268" t="str">
        <f t="shared" si="360"/>
        <v/>
      </c>
      <c r="R303" s="268" t="str">
        <f t="shared" si="360"/>
        <v/>
      </c>
      <c r="S303" s="268" t="str">
        <f t="shared" si="360"/>
        <v/>
      </c>
      <c r="T303" s="268" t="str">
        <f t="shared" si="360"/>
        <v/>
      </c>
      <c r="U303" s="268" t="str">
        <f t="shared" si="360"/>
        <v/>
      </c>
      <c r="V303" s="268" t="str">
        <f t="shared" si="360"/>
        <v/>
      </c>
      <c r="W303" s="268" t="str">
        <f t="shared" si="360"/>
        <v/>
      </c>
      <c r="X303" s="268" t="str">
        <f t="shared" si="360"/>
        <v/>
      </c>
      <c r="Y303" s="268" t="str">
        <f t="shared" si="360"/>
        <v/>
      </c>
      <c r="Z303" s="268" t="str">
        <f t="shared" si="360"/>
        <v/>
      </c>
      <c r="AA303" s="268" t="str">
        <f t="shared" si="360"/>
        <v/>
      </c>
      <c r="AB303" s="268" t="str">
        <f t="shared" si="360"/>
        <v/>
      </c>
      <c r="AC303" s="268" t="str">
        <f t="shared" si="360"/>
        <v/>
      </c>
      <c r="AD303" s="268" t="str">
        <f t="shared" si="360"/>
        <v/>
      </c>
      <c r="AE303" s="268" t="str">
        <f t="shared" si="360"/>
        <v/>
      </c>
      <c r="AF303" s="268" t="str">
        <f t="shared" si="360"/>
        <v/>
      </c>
      <c r="AG303" s="268" t="str">
        <f t="shared" si="360"/>
        <v/>
      </c>
      <c r="AH303" s="268" t="str">
        <f t="shared" si="360"/>
        <v/>
      </c>
      <c r="AI303" s="268" t="str">
        <f t="shared" si="360"/>
        <v/>
      </c>
      <c r="AJ303" s="268" t="str">
        <f t="shared" si="360"/>
        <v/>
      </c>
      <c r="AK303" s="268" t="str">
        <f t="shared" si="360"/>
        <v/>
      </c>
      <c r="AL303" s="268" t="str">
        <f t="shared" si="360"/>
        <v/>
      </c>
      <c r="AM303" s="268" t="str">
        <f t="shared" si="360"/>
        <v/>
      </c>
      <c r="AN303" s="268" t="str">
        <f t="shared" si="360"/>
        <v/>
      </c>
      <c r="AO303" s="268" t="str">
        <f t="shared" si="360"/>
        <v/>
      </c>
      <c r="AP303" s="268" t="str">
        <f t="shared" si="360"/>
        <v/>
      </c>
      <c r="AQ303" s="268" t="str">
        <f t="shared" si="360"/>
        <v/>
      </c>
      <c r="AR303" s="268" t="str">
        <f t="shared" si="360"/>
        <v/>
      </c>
      <c r="AS303" s="268" t="str">
        <f t="shared" si="360"/>
        <v/>
      </c>
      <c r="AT303" s="268" t="str">
        <f t="shared" si="360"/>
        <v/>
      </c>
      <c r="AU303" s="268" t="str">
        <f t="shared" si="360"/>
        <v/>
      </c>
      <c r="AV303" s="268" t="str">
        <f t="shared" si="360"/>
        <v/>
      </c>
      <c r="AW303" s="268" t="str">
        <f t="shared" si="360"/>
        <v/>
      </c>
      <c r="AX303" s="268" t="str">
        <f t="shared" si="360"/>
        <v/>
      </c>
      <c r="AY303" s="268" t="str">
        <f t="shared" si="360"/>
        <v/>
      </c>
      <c r="AZ303" s="268" t="str">
        <f t="shared" si="360"/>
        <v/>
      </c>
      <c r="BA303" s="268" t="str">
        <f t="shared" si="360"/>
        <v/>
      </c>
      <c r="BB303" s="268" t="str">
        <f t="shared" si="360"/>
        <v/>
      </c>
      <c r="BC303" s="268" t="str">
        <f t="shared" si="360"/>
        <v/>
      </c>
      <c r="BD303" s="268" t="str">
        <f t="shared" si="360"/>
        <v/>
      </c>
      <c r="BE303" s="268" t="str">
        <f t="shared" si="360"/>
        <v/>
      </c>
      <c r="BF303" s="268" t="str">
        <f t="shared" si="360"/>
        <v/>
      </c>
      <c r="BG303" s="268">
        <f t="shared" si="360"/>
        <v>13572</v>
      </c>
      <c r="BH303" s="268" t="str">
        <f t="shared" si="360"/>
        <v/>
      </c>
      <c r="BI303" s="268" t="str">
        <f t="shared" si="360"/>
        <v/>
      </c>
      <c r="BJ303" s="268" t="str">
        <f t="shared" si="360"/>
        <v/>
      </c>
      <c r="BK303" s="268" t="str">
        <f t="shared" si="360"/>
        <v/>
      </c>
      <c r="BL303" s="268" t="str">
        <f t="shared" si="360"/>
        <v/>
      </c>
      <c r="BM303" s="268" t="str">
        <f t="shared" si="360"/>
        <v/>
      </c>
      <c r="BN303" s="268" t="str">
        <f t="shared" si="360"/>
        <v/>
      </c>
      <c r="BO303" s="268" t="str">
        <f t="shared" si="360"/>
        <v/>
      </c>
      <c r="BP303" s="268" t="str">
        <f t="shared" si="360"/>
        <v/>
      </c>
      <c r="BQ303" s="268" t="str">
        <f t="shared" si="360"/>
        <v/>
      </c>
      <c r="BR303" s="268" t="str">
        <f t="shared" si="360"/>
        <v/>
      </c>
      <c r="BS303" s="268" t="str">
        <f t="shared" si="360"/>
        <v/>
      </c>
      <c r="BT303" s="268" t="str">
        <f t="shared" si="360"/>
        <v/>
      </c>
      <c r="BU303" s="268" t="str">
        <f t="shared" si="330"/>
        <v/>
      </c>
      <c r="BV303" s="247">
        <v>1.11</v>
      </c>
      <c r="BW303" s="729">
        <f t="shared" si="345"/>
        <v>15064.92</v>
      </c>
      <c r="BX303" s="730">
        <f t="shared" si="346"/>
        <v>116753.13</v>
      </c>
      <c r="BY303" s="731" t="str">
        <f t="shared" si="347"/>
        <v>JC</v>
      </c>
    </row>
    <row r="304" s="698" customFormat="1" customHeight="1" spans="1:77">
      <c r="A304" s="208">
        <v>46085</v>
      </c>
      <c r="B304" s="208">
        <v>46136</v>
      </c>
      <c r="C304" s="211" t="s">
        <v>538</v>
      </c>
      <c r="D304" s="211" t="s">
        <v>539</v>
      </c>
      <c r="E304" s="211" t="s">
        <v>50</v>
      </c>
      <c r="F304" s="732">
        <v>504</v>
      </c>
      <c r="G304" s="211" t="s">
        <v>510</v>
      </c>
      <c r="H304" s="211" t="str">
        <f>IFERROR(VLOOKUP(E304,名称!A:E,4,0),"")</f>
        <v>蛋糕</v>
      </c>
      <c r="I304" s="268" t="str">
        <f t="shared" ref="I304:BT304" si="361">IF(OR($E304="",I$1=""),"",IF(TRIM(LEFT($E304,MIN(IFERROR(FIND("CDU",UPPER($E304)),999),IFERROR(FIND("BULK",UPPER($E304)),999),IFERROR(FIND("-",$E304),999),IFERROR(FIND("（",$E304),999))-1))=I$1,$F304,""))</f>
        <v/>
      </c>
      <c r="J304" s="268" t="str">
        <f t="shared" si="361"/>
        <v/>
      </c>
      <c r="K304" s="268" t="str">
        <f t="shared" si="361"/>
        <v/>
      </c>
      <c r="L304" s="268" t="str">
        <f t="shared" si="361"/>
        <v/>
      </c>
      <c r="M304" s="268" t="str">
        <f t="shared" si="361"/>
        <v/>
      </c>
      <c r="N304" s="268" t="str">
        <f t="shared" si="361"/>
        <v/>
      </c>
      <c r="O304" s="268" t="str">
        <f t="shared" si="361"/>
        <v/>
      </c>
      <c r="P304" s="268" t="str">
        <f t="shared" si="361"/>
        <v/>
      </c>
      <c r="Q304" s="268" t="str">
        <f t="shared" si="361"/>
        <v/>
      </c>
      <c r="R304" s="268" t="str">
        <f t="shared" si="361"/>
        <v/>
      </c>
      <c r="S304" s="268" t="str">
        <f t="shared" si="361"/>
        <v/>
      </c>
      <c r="T304" s="268" t="str">
        <f t="shared" si="361"/>
        <v/>
      </c>
      <c r="U304" s="268" t="str">
        <f t="shared" si="361"/>
        <v/>
      </c>
      <c r="V304" s="268" t="str">
        <f t="shared" si="361"/>
        <v/>
      </c>
      <c r="W304" s="268" t="str">
        <f t="shared" si="361"/>
        <v/>
      </c>
      <c r="X304" s="268" t="str">
        <f t="shared" si="361"/>
        <v/>
      </c>
      <c r="Y304" s="268" t="str">
        <f t="shared" si="361"/>
        <v/>
      </c>
      <c r="Z304" s="268" t="str">
        <f t="shared" si="361"/>
        <v/>
      </c>
      <c r="AA304" s="268" t="str">
        <f t="shared" si="361"/>
        <v/>
      </c>
      <c r="AB304" s="268" t="str">
        <f t="shared" si="361"/>
        <v/>
      </c>
      <c r="AC304" s="268" t="str">
        <f t="shared" si="361"/>
        <v/>
      </c>
      <c r="AD304" s="268" t="str">
        <f t="shared" si="361"/>
        <v/>
      </c>
      <c r="AE304" s="268" t="str">
        <f t="shared" si="361"/>
        <v/>
      </c>
      <c r="AF304" s="268" t="str">
        <f t="shared" si="361"/>
        <v/>
      </c>
      <c r="AG304" s="268" t="str">
        <f t="shared" si="361"/>
        <v/>
      </c>
      <c r="AH304" s="268" t="str">
        <f t="shared" si="361"/>
        <v/>
      </c>
      <c r="AI304" s="268" t="str">
        <f t="shared" si="361"/>
        <v/>
      </c>
      <c r="AJ304" s="268" t="str">
        <f t="shared" si="361"/>
        <v/>
      </c>
      <c r="AK304" s="268" t="str">
        <f t="shared" si="361"/>
        <v/>
      </c>
      <c r="AL304" s="268" t="str">
        <f t="shared" si="361"/>
        <v/>
      </c>
      <c r="AM304" s="268" t="str">
        <f t="shared" si="361"/>
        <v/>
      </c>
      <c r="AN304" s="268" t="str">
        <f t="shared" si="361"/>
        <v/>
      </c>
      <c r="AO304" s="268" t="str">
        <f t="shared" si="361"/>
        <v/>
      </c>
      <c r="AP304" s="268" t="str">
        <f t="shared" si="361"/>
        <v/>
      </c>
      <c r="AQ304" s="268" t="str">
        <f t="shared" si="361"/>
        <v/>
      </c>
      <c r="AR304" s="268" t="str">
        <f t="shared" si="361"/>
        <v/>
      </c>
      <c r="AS304" s="268" t="str">
        <f t="shared" si="361"/>
        <v/>
      </c>
      <c r="AT304" s="268" t="str">
        <f t="shared" si="361"/>
        <v/>
      </c>
      <c r="AU304" s="268" t="str">
        <f t="shared" si="361"/>
        <v/>
      </c>
      <c r="AV304" s="268" t="str">
        <f t="shared" si="361"/>
        <v/>
      </c>
      <c r="AW304" s="268" t="str">
        <f t="shared" si="361"/>
        <v/>
      </c>
      <c r="AX304" s="268" t="str">
        <f t="shared" si="361"/>
        <v/>
      </c>
      <c r="AY304" s="268" t="str">
        <f t="shared" si="361"/>
        <v/>
      </c>
      <c r="AZ304" s="268" t="str">
        <f t="shared" si="361"/>
        <v/>
      </c>
      <c r="BA304" s="268" t="str">
        <f t="shared" si="361"/>
        <v/>
      </c>
      <c r="BB304" s="268" t="str">
        <f t="shared" si="361"/>
        <v/>
      </c>
      <c r="BC304" s="268" t="str">
        <f t="shared" si="361"/>
        <v/>
      </c>
      <c r="BD304" s="268" t="str">
        <f t="shared" si="361"/>
        <v/>
      </c>
      <c r="BE304" s="268" t="str">
        <f t="shared" si="361"/>
        <v/>
      </c>
      <c r="BF304" s="268" t="str">
        <f t="shared" si="361"/>
        <v/>
      </c>
      <c r="BG304" s="268">
        <f t="shared" si="361"/>
        <v>504</v>
      </c>
      <c r="BH304" s="268" t="str">
        <f t="shared" si="361"/>
        <v/>
      </c>
      <c r="BI304" s="268" t="str">
        <f t="shared" si="361"/>
        <v/>
      </c>
      <c r="BJ304" s="268" t="str">
        <f t="shared" si="361"/>
        <v/>
      </c>
      <c r="BK304" s="268" t="str">
        <f t="shared" si="361"/>
        <v/>
      </c>
      <c r="BL304" s="268" t="str">
        <f t="shared" si="361"/>
        <v/>
      </c>
      <c r="BM304" s="268" t="str">
        <f t="shared" si="361"/>
        <v/>
      </c>
      <c r="BN304" s="268" t="str">
        <f t="shared" si="361"/>
        <v/>
      </c>
      <c r="BO304" s="268" t="str">
        <f t="shared" si="361"/>
        <v/>
      </c>
      <c r="BP304" s="268" t="str">
        <f t="shared" si="361"/>
        <v/>
      </c>
      <c r="BQ304" s="268" t="str">
        <f t="shared" si="361"/>
        <v/>
      </c>
      <c r="BR304" s="268" t="str">
        <f t="shared" si="361"/>
        <v/>
      </c>
      <c r="BS304" s="268" t="str">
        <f t="shared" si="361"/>
        <v/>
      </c>
      <c r="BT304" s="268" t="str">
        <f t="shared" si="361"/>
        <v/>
      </c>
      <c r="BU304" s="268" t="str">
        <f t="shared" si="330"/>
        <v/>
      </c>
      <c r="BV304" s="247">
        <v>1.11</v>
      </c>
      <c r="BW304" s="729">
        <f t="shared" si="345"/>
        <v>559.44</v>
      </c>
      <c r="BX304" s="730">
        <f t="shared" si="346"/>
        <v>4335.66</v>
      </c>
      <c r="BY304" s="731" t="str">
        <f t="shared" si="347"/>
        <v>JC</v>
      </c>
    </row>
    <row r="305" s="698" customFormat="1" customHeight="1" spans="1:77">
      <c r="A305" s="208">
        <v>46086</v>
      </c>
      <c r="B305" s="208">
        <v>46157</v>
      </c>
      <c r="C305" s="211"/>
      <c r="D305" s="211" t="s">
        <v>540</v>
      </c>
      <c r="E305" s="211" t="s">
        <v>108</v>
      </c>
      <c r="F305" s="732">
        <v>280</v>
      </c>
      <c r="G305" s="220" t="s">
        <v>334</v>
      </c>
      <c r="H305" s="211" t="str">
        <f>IFERROR(VLOOKUP(E305,名称!A:E,4,0),"")</f>
        <v>三代</v>
      </c>
      <c r="I305" s="268" t="str">
        <f t="shared" ref="I305:BT305" si="362">IF(OR($E305="",I$1=""),"",IF(TRIM(LEFT($E305,MIN(IFERROR(FIND("CDU",UPPER($E305)),999),IFERROR(FIND("BULK",UPPER($E305)),999),IFERROR(FIND("-",$E305),999),IFERROR(FIND("（",$E305),999))-1))=I$1,$F305,""))</f>
        <v/>
      </c>
      <c r="J305" s="268" t="str">
        <f t="shared" si="362"/>
        <v/>
      </c>
      <c r="K305" s="268" t="str">
        <f t="shared" si="362"/>
        <v/>
      </c>
      <c r="L305" s="268" t="str">
        <f t="shared" si="362"/>
        <v/>
      </c>
      <c r="M305" s="268" t="str">
        <f t="shared" si="362"/>
        <v/>
      </c>
      <c r="N305" s="268" t="str">
        <f t="shared" si="362"/>
        <v/>
      </c>
      <c r="O305" s="268" t="str">
        <f t="shared" si="362"/>
        <v/>
      </c>
      <c r="P305" s="268" t="str">
        <f t="shared" si="362"/>
        <v/>
      </c>
      <c r="Q305" s="268" t="str">
        <f t="shared" si="362"/>
        <v/>
      </c>
      <c r="R305" s="268" t="str">
        <f t="shared" si="362"/>
        <v/>
      </c>
      <c r="S305" s="268" t="str">
        <f t="shared" si="362"/>
        <v/>
      </c>
      <c r="T305" s="268" t="str">
        <f t="shared" si="362"/>
        <v/>
      </c>
      <c r="U305" s="268" t="str">
        <f t="shared" si="362"/>
        <v/>
      </c>
      <c r="V305" s="268" t="str">
        <f t="shared" si="362"/>
        <v/>
      </c>
      <c r="W305" s="268" t="str">
        <f t="shared" si="362"/>
        <v/>
      </c>
      <c r="X305" s="268" t="str">
        <f t="shared" si="362"/>
        <v/>
      </c>
      <c r="Y305" s="268" t="str">
        <f t="shared" si="362"/>
        <v/>
      </c>
      <c r="Z305" s="268" t="str">
        <f t="shared" si="362"/>
        <v/>
      </c>
      <c r="AA305" s="268" t="str">
        <f t="shared" si="362"/>
        <v/>
      </c>
      <c r="AB305" s="268" t="str">
        <f t="shared" si="362"/>
        <v/>
      </c>
      <c r="AC305" s="268" t="str">
        <f t="shared" si="362"/>
        <v/>
      </c>
      <c r="AD305" s="268" t="str">
        <f t="shared" si="362"/>
        <v/>
      </c>
      <c r="AE305" s="268" t="str">
        <f t="shared" si="362"/>
        <v/>
      </c>
      <c r="AF305" s="268" t="str">
        <f t="shared" si="362"/>
        <v/>
      </c>
      <c r="AG305" s="268" t="str">
        <f t="shared" si="362"/>
        <v/>
      </c>
      <c r="AH305" s="268" t="str">
        <f t="shared" si="362"/>
        <v/>
      </c>
      <c r="AI305" s="268" t="str">
        <f t="shared" si="362"/>
        <v/>
      </c>
      <c r="AJ305" s="268" t="str">
        <f t="shared" si="362"/>
        <v/>
      </c>
      <c r="AK305" s="268" t="str">
        <f t="shared" si="362"/>
        <v/>
      </c>
      <c r="AL305" s="268" t="str">
        <f t="shared" si="362"/>
        <v/>
      </c>
      <c r="AM305" s="268" t="str">
        <f t="shared" si="362"/>
        <v/>
      </c>
      <c r="AN305" s="268" t="str">
        <f t="shared" si="362"/>
        <v/>
      </c>
      <c r="AO305" s="268" t="str">
        <f t="shared" si="362"/>
        <v/>
      </c>
      <c r="AP305" s="268" t="str">
        <f t="shared" si="362"/>
        <v/>
      </c>
      <c r="AQ305" s="268" t="str">
        <f t="shared" si="362"/>
        <v/>
      </c>
      <c r="AR305" s="268" t="str">
        <f t="shared" si="362"/>
        <v/>
      </c>
      <c r="AS305" s="268">
        <f t="shared" si="362"/>
        <v>280</v>
      </c>
      <c r="AT305" s="268" t="str">
        <f t="shared" si="362"/>
        <v/>
      </c>
      <c r="AU305" s="268" t="str">
        <f t="shared" si="362"/>
        <v/>
      </c>
      <c r="AV305" s="268" t="str">
        <f t="shared" si="362"/>
        <v/>
      </c>
      <c r="AW305" s="268" t="str">
        <f t="shared" si="362"/>
        <v/>
      </c>
      <c r="AX305" s="268" t="str">
        <f t="shared" si="362"/>
        <v/>
      </c>
      <c r="AY305" s="268" t="str">
        <f t="shared" si="362"/>
        <v/>
      </c>
      <c r="AZ305" s="268" t="str">
        <f t="shared" si="362"/>
        <v/>
      </c>
      <c r="BA305" s="268" t="str">
        <f t="shared" si="362"/>
        <v/>
      </c>
      <c r="BB305" s="268" t="str">
        <f t="shared" si="362"/>
        <v/>
      </c>
      <c r="BC305" s="268" t="str">
        <f t="shared" si="362"/>
        <v/>
      </c>
      <c r="BD305" s="268" t="str">
        <f t="shared" si="362"/>
        <v/>
      </c>
      <c r="BE305" s="268" t="str">
        <f t="shared" si="362"/>
        <v/>
      </c>
      <c r="BF305" s="268" t="str">
        <f t="shared" si="362"/>
        <v/>
      </c>
      <c r="BG305" s="268" t="str">
        <f t="shared" si="362"/>
        <v/>
      </c>
      <c r="BH305" s="268" t="str">
        <f t="shared" si="362"/>
        <v/>
      </c>
      <c r="BI305" s="268" t="str">
        <f t="shared" si="362"/>
        <v/>
      </c>
      <c r="BJ305" s="268" t="str">
        <f t="shared" si="362"/>
        <v/>
      </c>
      <c r="BK305" s="268" t="str">
        <f t="shared" si="362"/>
        <v/>
      </c>
      <c r="BL305" s="268" t="str">
        <f t="shared" si="362"/>
        <v/>
      </c>
      <c r="BM305" s="268" t="str">
        <f t="shared" si="362"/>
        <v/>
      </c>
      <c r="BN305" s="268" t="str">
        <f t="shared" si="362"/>
        <v/>
      </c>
      <c r="BO305" s="268" t="str">
        <f t="shared" si="362"/>
        <v/>
      </c>
      <c r="BP305" s="268" t="str">
        <f t="shared" si="362"/>
        <v/>
      </c>
      <c r="BQ305" s="268" t="str">
        <f t="shared" si="362"/>
        <v/>
      </c>
      <c r="BR305" s="268" t="str">
        <f t="shared" si="362"/>
        <v/>
      </c>
      <c r="BS305" s="268" t="str">
        <f t="shared" si="362"/>
        <v/>
      </c>
      <c r="BT305" s="268" t="str">
        <f t="shared" si="362"/>
        <v/>
      </c>
      <c r="BU305" s="268" t="str">
        <f t="shared" si="330"/>
        <v/>
      </c>
      <c r="BV305" s="215">
        <v>7.62</v>
      </c>
      <c r="BW305" s="729">
        <f t="shared" si="345"/>
        <v>2133.6</v>
      </c>
      <c r="BX305" s="730">
        <f t="shared" si="346"/>
        <v>16535.4</v>
      </c>
      <c r="BY305" s="731" t="str">
        <f t="shared" si="347"/>
        <v>SR</v>
      </c>
    </row>
    <row r="306" s="698" customFormat="1" customHeight="1" spans="1:77">
      <c r="A306" s="208">
        <v>46086</v>
      </c>
      <c r="B306" s="208">
        <v>46157</v>
      </c>
      <c r="C306" s="211"/>
      <c r="D306" s="211" t="s">
        <v>540</v>
      </c>
      <c r="E306" s="211" t="s">
        <v>108</v>
      </c>
      <c r="F306" s="732">
        <f>4620-280</f>
        <v>4340</v>
      </c>
      <c r="G306" s="220" t="s">
        <v>334</v>
      </c>
      <c r="H306" s="211" t="str">
        <f>IFERROR(VLOOKUP(E306,名称!A:E,4,0),"")</f>
        <v>三代</v>
      </c>
      <c r="I306" s="268" t="str">
        <f t="shared" ref="I306:BT306" si="363">IF(OR($E306="",I$1=""),"",IF(TRIM(LEFT($E306,MIN(IFERROR(FIND("CDU",UPPER($E306)),999),IFERROR(FIND("BULK",UPPER($E306)),999),IFERROR(FIND("-",$E306),999),IFERROR(FIND("（",$E306),999))-1))=I$1,$F306,""))</f>
        <v/>
      </c>
      <c r="J306" s="268" t="str">
        <f t="shared" si="363"/>
        <v/>
      </c>
      <c r="K306" s="268" t="str">
        <f t="shared" si="363"/>
        <v/>
      </c>
      <c r="L306" s="268" t="str">
        <f t="shared" si="363"/>
        <v/>
      </c>
      <c r="M306" s="268" t="str">
        <f t="shared" si="363"/>
        <v/>
      </c>
      <c r="N306" s="268" t="str">
        <f t="shared" si="363"/>
        <v/>
      </c>
      <c r="O306" s="268" t="str">
        <f t="shared" si="363"/>
        <v/>
      </c>
      <c r="P306" s="268" t="str">
        <f t="shared" si="363"/>
        <v/>
      </c>
      <c r="Q306" s="268" t="str">
        <f t="shared" si="363"/>
        <v/>
      </c>
      <c r="R306" s="268" t="str">
        <f t="shared" si="363"/>
        <v/>
      </c>
      <c r="S306" s="268" t="str">
        <f t="shared" si="363"/>
        <v/>
      </c>
      <c r="T306" s="268" t="str">
        <f t="shared" si="363"/>
        <v/>
      </c>
      <c r="U306" s="268" t="str">
        <f t="shared" si="363"/>
        <v/>
      </c>
      <c r="V306" s="268" t="str">
        <f t="shared" si="363"/>
        <v/>
      </c>
      <c r="W306" s="268" t="str">
        <f t="shared" si="363"/>
        <v/>
      </c>
      <c r="X306" s="268" t="str">
        <f t="shared" si="363"/>
        <v/>
      </c>
      <c r="Y306" s="268" t="str">
        <f t="shared" si="363"/>
        <v/>
      </c>
      <c r="Z306" s="268" t="str">
        <f t="shared" si="363"/>
        <v/>
      </c>
      <c r="AA306" s="268" t="str">
        <f t="shared" si="363"/>
        <v/>
      </c>
      <c r="AB306" s="268" t="str">
        <f t="shared" si="363"/>
        <v/>
      </c>
      <c r="AC306" s="268" t="str">
        <f t="shared" si="363"/>
        <v/>
      </c>
      <c r="AD306" s="268" t="str">
        <f t="shared" si="363"/>
        <v/>
      </c>
      <c r="AE306" s="268" t="str">
        <f t="shared" si="363"/>
        <v/>
      </c>
      <c r="AF306" s="268" t="str">
        <f t="shared" si="363"/>
        <v/>
      </c>
      <c r="AG306" s="268" t="str">
        <f t="shared" si="363"/>
        <v/>
      </c>
      <c r="AH306" s="268" t="str">
        <f t="shared" si="363"/>
        <v/>
      </c>
      <c r="AI306" s="268" t="str">
        <f t="shared" si="363"/>
        <v/>
      </c>
      <c r="AJ306" s="268" t="str">
        <f t="shared" si="363"/>
        <v/>
      </c>
      <c r="AK306" s="268" t="str">
        <f t="shared" si="363"/>
        <v/>
      </c>
      <c r="AL306" s="268" t="str">
        <f t="shared" si="363"/>
        <v/>
      </c>
      <c r="AM306" s="268" t="str">
        <f t="shared" si="363"/>
        <v/>
      </c>
      <c r="AN306" s="268" t="str">
        <f t="shared" si="363"/>
        <v/>
      </c>
      <c r="AO306" s="268" t="str">
        <f t="shared" si="363"/>
        <v/>
      </c>
      <c r="AP306" s="268" t="str">
        <f t="shared" si="363"/>
        <v/>
      </c>
      <c r="AQ306" s="268" t="str">
        <f t="shared" si="363"/>
        <v/>
      </c>
      <c r="AR306" s="268" t="str">
        <f t="shared" si="363"/>
        <v/>
      </c>
      <c r="AS306" s="268">
        <f t="shared" si="363"/>
        <v>4340</v>
      </c>
      <c r="AT306" s="268" t="str">
        <f t="shared" si="363"/>
        <v/>
      </c>
      <c r="AU306" s="268" t="str">
        <f t="shared" si="363"/>
        <v/>
      </c>
      <c r="AV306" s="268" t="str">
        <f t="shared" si="363"/>
        <v/>
      </c>
      <c r="AW306" s="268" t="str">
        <f t="shared" si="363"/>
        <v/>
      </c>
      <c r="AX306" s="268" t="str">
        <f t="shared" si="363"/>
        <v/>
      </c>
      <c r="AY306" s="268" t="str">
        <f t="shared" si="363"/>
        <v/>
      </c>
      <c r="AZ306" s="268" t="str">
        <f t="shared" si="363"/>
        <v/>
      </c>
      <c r="BA306" s="268" t="str">
        <f t="shared" si="363"/>
        <v/>
      </c>
      <c r="BB306" s="268" t="str">
        <f t="shared" si="363"/>
        <v/>
      </c>
      <c r="BC306" s="268" t="str">
        <f t="shared" si="363"/>
        <v/>
      </c>
      <c r="BD306" s="268" t="str">
        <f t="shared" si="363"/>
        <v/>
      </c>
      <c r="BE306" s="268" t="str">
        <f t="shared" si="363"/>
        <v/>
      </c>
      <c r="BF306" s="268" t="str">
        <f t="shared" si="363"/>
        <v/>
      </c>
      <c r="BG306" s="268" t="str">
        <f t="shared" si="363"/>
        <v/>
      </c>
      <c r="BH306" s="268" t="str">
        <f t="shared" si="363"/>
        <v/>
      </c>
      <c r="BI306" s="268" t="str">
        <f t="shared" si="363"/>
        <v/>
      </c>
      <c r="BJ306" s="268" t="str">
        <f t="shared" si="363"/>
        <v/>
      </c>
      <c r="BK306" s="268" t="str">
        <f t="shared" si="363"/>
        <v/>
      </c>
      <c r="BL306" s="268" t="str">
        <f t="shared" si="363"/>
        <v/>
      </c>
      <c r="BM306" s="268" t="str">
        <f t="shared" si="363"/>
        <v/>
      </c>
      <c r="BN306" s="268" t="str">
        <f t="shared" si="363"/>
        <v/>
      </c>
      <c r="BO306" s="268" t="str">
        <f t="shared" si="363"/>
        <v/>
      </c>
      <c r="BP306" s="268" t="str">
        <f t="shared" si="363"/>
        <v/>
      </c>
      <c r="BQ306" s="268" t="str">
        <f t="shared" si="363"/>
        <v/>
      </c>
      <c r="BR306" s="268" t="str">
        <f t="shared" si="363"/>
        <v/>
      </c>
      <c r="BS306" s="268" t="str">
        <f t="shared" si="363"/>
        <v/>
      </c>
      <c r="BT306" s="268" t="str">
        <f t="shared" si="363"/>
        <v/>
      </c>
      <c r="BU306" s="268" t="str">
        <f t="shared" si="330"/>
        <v/>
      </c>
      <c r="BV306" s="215">
        <v>7.02</v>
      </c>
      <c r="BW306" s="729">
        <f t="shared" si="345"/>
        <v>30466.8</v>
      </c>
      <c r="BX306" s="730">
        <f t="shared" si="346"/>
        <v>236117.7</v>
      </c>
      <c r="BY306" s="731" t="str">
        <f t="shared" si="347"/>
        <v>SR</v>
      </c>
    </row>
    <row r="307" s="698" customFormat="1" customHeight="1" spans="1:77">
      <c r="A307" s="208">
        <v>46091</v>
      </c>
      <c r="B307" s="208">
        <v>46101</v>
      </c>
      <c r="C307" s="211"/>
      <c r="D307" s="211" t="s">
        <v>541</v>
      </c>
      <c r="E307" s="211" t="s">
        <v>37</v>
      </c>
      <c r="F307" s="732">
        <v>3000</v>
      </c>
      <c r="G307" s="211" t="s">
        <v>327</v>
      </c>
      <c r="H307" s="211" t="str">
        <f>IFERROR(VLOOKUP(E307,名称!A:E,4,0),"")</f>
        <v>二代</v>
      </c>
      <c r="I307" s="268" t="str">
        <f t="shared" ref="I307:BT307" si="364">IF(OR($E307="",I$1=""),"",IF(TRIM(LEFT($E307,MIN(IFERROR(FIND("CDU",UPPER($E307)),999),IFERROR(FIND("BULK",UPPER($E307)),999),IFERROR(FIND("-",$E307),999),IFERROR(FIND("（",$E307),999))-1))=I$1,$F307,""))</f>
        <v/>
      </c>
      <c r="J307" s="268" t="str">
        <f t="shared" si="364"/>
        <v/>
      </c>
      <c r="K307" s="268" t="str">
        <f t="shared" si="364"/>
        <v/>
      </c>
      <c r="L307" s="268" t="str">
        <f t="shared" si="364"/>
        <v/>
      </c>
      <c r="M307" s="268" t="str">
        <f t="shared" si="364"/>
        <v/>
      </c>
      <c r="N307" s="268" t="str">
        <f t="shared" si="364"/>
        <v/>
      </c>
      <c r="O307" s="268" t="str">
        <f t="shared" si="364"/>
        <v/>
      </c>
      <c r="P307" s="268" t="str">
        <f t="shared" si="364"/>
        <v/>
      </c>
      <c r="Q307" s="268" t="str">
        <f t="shared" si="364"/>
        <v/>
      </c>
      <c r="R307" s="268">
        <f t="shared" si="364"/>
        <v>3000</v>
      </c>
      <c r="S307" s="268" t="str">
        <f t="shared" si="364"/>
        <v/>
      </c>
      <c r="T307" s="268" t="str">
        <f t="shared" si="364"/>
        <v/>
      </c>
      <c r="U307" s="268" t="str">
        <f t="shared" si="364"/>
        <v/>
      </c>
      <c r="V307" s="268" t="str">
        <f t="shared" si="364"/>
        <v/>
      </c>
      <c r="W307" s="268" t="str">
        <f t="shared" si="364"/>
        <v/>
      </c>
      <c r="X307" s="268" t="str">
        <f t="shared" si="364"/>
        <v/>
      </c>
      <c r="Y307" s="268" t="str">
        <f t="shared" si="364"/>
        <v/>
      </c>
      <c r="Z307" s="268" t="str">
        <f t="shared" si="364"/>
        <v/>
      </c>
      <c r="AA307" s="268" t="str">
        <f t="shared" si="364"/>
        <v/>
      </c>
      <c r="AB307" s="268" t="str">
        <f t="shared" si="364"/>
        <v/>
      </c>
      <c r="AC307" s="268" t="str">
        <f t="shared" si="364"/>
        <v/>
      </c>
      <c r="AD307" s="268" t="str">
        <f t="shared" si="364"/>
        <v/>
      </c>
      <c r="AE307" s="268" t="str">
        <f t="shared" si="364"/>
        <v/>
      </c>
      <c r="AF307" s="268" t="str">
        <f t="shared" si="364"/>
        <v/>
      </c>
      <c r="AG307" s="268" t="str">
        <f t="shared" si="364"/>
        <v/>
      </c>
      <c r="AH307" s="268" t="str">
        <f t="shared" si="364"/>
        <v/>
      </c>
      <c r="AI307" s="268" t="str">
        <f t="shared" si="364"/>
        <v/>
      </c>
      <c r="AJ307" s="268" t="str">
        <f t="shared" si="364"/>
        <v/>
      </c>
      <c r="AK307" s="268" t="str">
        <f t="shared" si="364"/>
        <v/>
      </c>
      <c r="AL307" s="268" t="str">
        <f t="shared" si="364"/>
        <v/>
      </c>
      <c r="AM307" s="268" t="str">
        <f t="shared" si="364"/>
        <v/>
      </c>
      <c r="AN307" s="268" t="str">
        <f t="shared" si="364"/>
        <v/>
      </c>
      <c r="AO307" s="268" t="str">
        <f t="shared" si="364"/>
        <v/>
      </c>
      <c r="AP307" s="268" t="str">
        <f t="shared" si="364"/>
        <v/>
      </c>
      <c r="AQ307" s="268" t="str">
        <f t="shared" si="364"/>
        <v/>
      </c>
      <c r="AR307" s="268" t="str">
        <f t="shared" si="364"/>
        <v/>
      </c>
      <c r="AS307" s="268" t="str">
        <f t="shared" si="364"/>
        <v/>
      </c>
      <c r="AT307" s="268" t="str">
        <f t="shared" si="364"/>
        <v/>
      </c>
      <c r="AU307" s="268" t="str">
        <f t="shared" si="364"/>
        <v/>
      </c>
      <c r="AV307" s="268" t="str">
        <f t="shared" si="364"/>
        <v/>
      </c>
      <c r="AW307" s="268" t="str">
        <f t="shared" si="364"/>
        <v/>
      </c>
      <c r="AX307" s="268" t="str">
        <f t="shared" si="364"/>
        <v/>
      </c>
      <c r="AY307" s="268" t="str">
        <f t="shared" si="364"/>
        <v/>
      </c>
      <c r="AZ307" s="268" t="str">
        <f t="shared" si="364"/>
        <v/>
      </c>
      <c r="BA307" s="268" t="str">
        <f t="shared" si="364"/>
        <v/>
      </c>
      <c r="BB307" s="268" t="str">
        <f t="shared" si="364"/>
        <v/>
      </c>
      <c r="BC307" s="268" t="str">
        <f t="shared" si="364"/>
        <v/>
      </c>
      <c r="BD307" s="268" t="str">
        <f t="shared" si="364"/>
        <v/>
      </c>
      <c r="BE307" s="268" t="str">
        <f t="shared" si="364"/>
        <v/>
      </c>
      <c r="BF307" s="268" t="str">
        <f t="shared" si="364"/>
        <v/>
      </c>
      <c r="BG307" s="268" t="str">
        <f t="shared" si="364"/>
        <v/>
      </c>
      <c r="BH307" s="268" t="str">
        <f t="shared" si="364"/>
        <v/>
      </c>
      <c r="BI307" s="268" t="str">
        <f t="shared" si="364"/>
        <v/>
      </c>
      <c r="BJ307" s="268" t="str">
        <f t="shared" si="364"/>
        <v/>
      </c>
      <c r="BK307" s="268" t="str">
        <f t="shared" si="364"/>
        <v/>
      </c>
      <c r="BL307" s="268" t="str">
        <f t="shared" si="364"/>
        <v/>
      </c>
      <c r="BM307" s="268" t="str">
        <f t="shared" si="364"/>
        <v/>
      </c>
      <c r="BN307" s="268" t="str">
        <f t="shared" si="364"/>
        <v/>
      </c>
      <c r="BO307" s="268" t="str">
        <f t="shared" si="364"/>
        <v/>
      </c>
      <c r="BP307" s="268" t="str">
        <f t="shared" si="364"/>
        <v/>
      </c>
      <c r="BQ307" s="268" t="str">
        <f t="shared" si="364"/>
        <v/>
      </c>
      <c r="BR307" s="268" t="str">
        <f t="shared" si="364"/>
        <v/>
      </c>
      <c r="BS307" s="268" t="str">
        <f t="shared" si="364"/>
        <v/>
      </c>
      <c r="BT307" s="268" t="str">
        <f t="shared" si="364"/>
        <v/>
      </c>
      <c r="BU307" s="268" t="str">
        <f t="shared" si="330"/>
        <v/>
      </c>
      <c r="BV307" s="247">
        <v>2.09</v>
      </c>
      <c r="BW307" s="729">
        <f t="shared" si="345"/>
        <v>6270</v>
      </c>
      <c r="BX307" s="730">
        <f t="shared" si="346"/>
        <v>48592.5</v>
      </c>
      <c r="BY307" s="731" t="str">
        <f t="shared" si="347"/>
        <v>SR</v>
      </c>
    </row>
    <row r="308" s="698" customFormat="1" customHeight="1" spans="1:77">
      <c r="A308" s="208">
        <v>46090</v>
      </c>
      <c r="B308" s="208">
        <v>46149</v>
      </c>
      <c r="C308" s="211"/>
      <c r="D308" s="211" t="s">
        <v>542</v>
      </c>
      <c r="E308" s="211" t="s">
        <v>99</v>
      </c>
      <c r="F308" s="732">
        <v>9408</v>
      </c>
      <c r="G308" s="211" t="s">
        <v>510</v>
      </c>
      <c r="H308" s="211" t="str">
        <f>IFERROR(VLOOKUP(E308,名称!A:E,4,0),"")</f>
        <v>三代</v>
      </c>
      <c r="I308" s="268" t="str">
        <f t="shared" ref="I308:BT308" si="365">IF(OR($E308="",I$1=""),"",IF(TRIM(LEFT($E308,MIN(IFERROR(FIND("CDU",UPPER($E308)),999),IFERROR(FIND("BULK",UPPER($E308)),999),IFERROR(FIND("-",$E308),999),IFERROR(FIND("（",$E308),999))-1))=I$1,$F308,""))</f>
        <v/>
      </c>
      <c r="J308" s="268" t="str">
        <f t="shared" si="365"/>
        <v/>
      </c>
      <c r="K308" s="268" t="str">
        <f t="shared" si="365"/>
        <v/>
      </c>
      <c r="L308" s="268" t="str">
        <f t="shared" si="365"/>
        <v/>
      </c>
      <c r="M308" s="268" t="str">
        <f t="shared" si="365"/>
        <v/>
      </c>
      <c r="N308" s="268" t="str">
        <f t="shared" si="365"/>
        <v/>
      </c>
      <c r="O308" s="268" t="str">
        <f t="shared" si="365"/>
        <v/>
      </c>
      <c r="P308" s="268" t="str">
        <f t="shared" si="365"/>
        <v/>
      </c>
      <c r="Q308" s="268" t="str">
        <f t="shared" si="365"/>
        <v/>
      </c>
      <c r="R308" s="268" t="str">
        <f t="shared" si="365"/>
        <v/>
      </c>
      <c r="S308" s="268" t="str">
        <f t="shared" si="365"/>
        <v/>
      </c>
      <c r="T308" s="268" t="str">
        <f t="shared" si="365"/>
        <v/>
      </c>
      <c r="U308" s="268" t="str">
        <f t="shared" si="365"/>
        <v/>
      </c>
      <c r="V308" s="268" t="str">
        <f t="shared" si="365"/>
        <v/>
      </c>
      <c r="W308" s="268" t="str">
        <f t="shared" si="365"/>
        <v/>
      </c>
      <c r="X308" s="268" t="str">
        <f t="shared" si="365"/>
        <v/>
      </c>
      <c r="Y308" s="268" t="str">
        <f t="shared" si="365"/>
        <v/>
      </c>
      <c r="Z308" s="268" t="str">
        <f t="shared" si="365"/>
        <v/>
      </c>
      <c r="AA308" s="268" t="str">
        <f t="shared" si="365"/>
        <v/>
      </c>
      <c r="AB308" s="268" t="str">
        <f t="shared" si="365"/>
        <v/>
      </c>
      <c r="AC308" s="268">
        <f t="shared" si="365"/>
        <v>9408</v>
      </c>
      <c r="AD308" s="268" t="str">
        <f t="shared" si="365"/>
        <v/>
      </c>
      <c r="AE308" s="268" t="str">
        <f t="shared" si="365"/>
        <v/>
      </c>
      <c r="AF308" s="268" t="str">
        <f t="shared" si="365"/>
        <v/>
      </c>
      <c r="AG308" s="268" t="str">
        <f t="shared" si="365"/>
        <v/>
      </c>
      <c r="AH308" s="268" t="str">
        <f t="shared" si="365"/>
        <v/>
      </c>
      <c r="AI308" s="268" t="str">
        <f t="shared" si="365"/>
        <v/>
      </c>
      <c r="AJ308" s="268" t="str">
        <f t="shared" si="365"/>
        <v/>
      </c>
      <c r="AK308" s="268" t="str">
        <f t="shared" si="365"/>
        <v/>
      </c>
      <c r="AL308" s="268" t="str">
        <f t="shared" si="365"/>
        <v/>
      </c>
      <c r="AM308" s="268" t="str">
        <f t="shared" si="365"/>
        <v/>
      </c>
      <c r="AN308" s="268" t="str">
        <f t="shared" si="365"/>
        <v/>
      </c>
      <c r="AO308" s="268" t="str">
        <f t="shared" si="365"/>
        <v/>
      </c>
      <c r="AP308" s="268" t="str">
        <f t="shared" si="365"/>
        <v/>
      </c>
      <c r="AQ308" s="268" t="str">
        <f t="shared" si="365"/>
        <v/>
      </c>
      <c r="AR308" s="268" t="str">
        <f t="shared" si="365"/>
        <v/>
      </c>
      <c r="AS308" s="268" t="str">
        <f t="shared" si="365"/>
        <v/>
      </c>
      <c r="AT308" s="268" t="str">
        <f t="shared" si="365"/>
        <v/>
      </c>
      <c r="AU308" s="268" t="str">
        <f t="shared" si="365"/>
        <v/>
      </c>
      <c r="AV308" s="268" t="str">
        <f t="shared" si="365"/>
        <v/>
      </c>
      <c r="AW308" s="268" t="str">
        <f t="shared" si="365"/>
        <v/>
      </c>
      <c r="AX308" s="268" t="str">
        <f t="shared" si="365"/>
        <v/>
      </c>
      <c r="AY308" s="268" t="str">
        <f t="shared" si="365"/>
        <v/>
      </c>
      <c r="AZ308" s="268" t="str">
        <f t="shared" si="365"/>
        <v/>
      </c>
      <c r="BA308" s="268" t="str">
        <f t="shared" si="365"/>
        <v/>
      </c>
      <c r="BB308" s="268" t="str">
        <f t="shared" si="365"/>
        <v/>
      </c>
      <c r="BC308" s="268" t="str">
        <f t="shared" si="365"/>
        <v/>
      </c>
      <c r="BD308" s="268" t="str">
        <f t="shared" si="365"/>
        <v/>
      </c>
      <c r="BE308" s="268" t="str">
        <f t="shared" si="365"/>
        <v/>
      </c>
      <c r="BF308" s="268" t="str">
        <f t="shared" si="365"/>
        <v/>
      </c>
      <c r="BG308" s="268" t="str">
        <f t="shared" si="365"/>
        <v/>
      </c>
      <c r="BH308" s="268" t="str">
        <f t="shared" si="365"/>
        <v/>
      </c>
      <c r="BI308" s="268" t="str">
        <f t="shared" si="365"/>
        <v/>
      </c>
      <c r="BJ308" s="268" t="str">
        <f t="shared" si="365"/>
        <v/>
      </c>
      <c r="BK308" s="268" t="str">
        <f t="shared" si="365"/>
        <v/>
      </c>
      <c r="BL308" s="268" t="str">
        <f t="shared" si="365"/>
        <v/>
      </c>
      <c r="BM308" s="268" t="str">
        <f t="shared" si="365"/>
        <v/>
      </c>
      <c r="BN308" s="268" t="str">
        <f t="shared" si="365"/>
        <v/>
      </c>
      <c r="BO308" s="268" t="str">
        <f t="shared" si="365"/>
        <v/>
      </c>
      <c r="BP308" s="268" t="str">
        <f t="shared" si="365"/>
        <v/>
      </c>
      <c r="BQ308" s="268" t="str">
        <f t="shared" si="365"/>
        <v/>
      </c>
      <c r="BR308" s="268" t="str">
        <f t="shared" si="365"/>
        <v/>
      </c>
      <c r="BS308" s="268" t="str">
        <f t="shared" si="365"/>
        <v/>
      </c>
      <c r="BT308" s="268" t="str">
        <f t="shared" si="365"/>
        <v/>
      </c>
      <c r="BU308" s="268" t="str">
        <f t="shared" si="330"/>
        <v/>
      </c>
      <c r="BV308" s="247">
        <v>0.87</v>
      </c>
      <c r="BW308" s="729">
        <f t="shared" ref="BW308:BW352" si="366">SUM(I308:BU308)*BV308</f>
        <v>8184.96</v>
      </c>
      <c r="BX308" s="730">
        <f t="shared" ref="BX308:BX352" si="367">BW308*7.75</f>
        <v>63433.44</v>
      </c>
      <c r="BY308" s="731" t="str">
        <f t="shared" ref="BY308:BY352" si="368">MID(E308,1,2)</f>
        <v>SR</v>
      </c>
    </row>
    <row r="309" s="698" customFormat="1" customHeight="1" spans="1:77">
      <c r="A309" s="208">
        <v>46090</v>
      </c>
      <c r="B309" s="208">
        <v>46149</v>
      </c>
      <c r="C309" s="211"/>
      <c r="D309" s="211" t="s">
        <v>542</v>
      </c>
      <c r="E309" s="211" t="s">
        <v>59</v>
      </c>
      <c r="F309" s="732">
        <v>9408</v>
      </c>
      <c r="G309" s="211" t="s">
        <v>510</v>
      </c>
      <c r="H309" s="211" t="str">
        <f>IFERROR(VLOOKUP(E309,名称!A:E,4,0),"")</f>
        <v>三代</v>
      </c>
      <c r="I309" s="268" t="str">
        <f t="shared" ref="I309:BT309" si="369">IF(OR($E309="",I$1=""),"",IF(TRIM(LEFT($E309,MIN(IFERROR(FIND("CDU",UPPER($E309)),999),IFERROR(FIND("BULK",UPPER($E309)),999),IFERROR(FIND("-",$E309),999),IFERROR(FIND("（",$E309),999))-1))=I$1,$F309,""))</f>
        <v/>
      </c>
      <c r="J309" s="268" t="str">
        <f t="shared" si="369"/>
        <v/>
      </c>
      <c r="K309" s="268" t="str">
        <f t="shared" si="369"/>
        <v/>
      </c>
      <c r="L309" s="268" t="str">
        <f t="shared" si="369"/>
        <v/>
      </c>
      <c r="M309" s="268" t="str">
        <f t="shared" si="369"/>
        <v/>
      </c>
      <c r="N309" s="268" t="str">
        <f t="shared" si="369"/>
        <v/>
      </c>
      <c r="O309" s="268" t="str">
        <f t="shared" si="369"/>
        <v/>
      </c>
      <c r="P309" s="268" t="str">
        <f t="shared" si="369"/>
        <v/>
      </c>
      <c r="Q309" s="268" t="str">
        <f t="shared" si="369"/>
        <v/>
      </c>
      <c r="R309" s="268" t="str">
        <f t="shared" si="369"/>
        <v/>
      </c>
      <c r="S309" s="268" t="str">
        <f t="shared" si="369"/>
        <v/>
      </c>
      <c r="T309" s="268" t="str">
        <f t="shared" si="369"/>
        <v/>
      </c>
      <c r="U309" s="268" t="str">
        <f t="shared" si="369"/>
        <v/>
      </c>
      <c r="V309" s="268" t="str">
        <f t="shared" si="369"/>
        <v/>
      </c>
      <c r="W309" s="268" t="str">
        <f t="shared" si="369"/>
        <v/>
      </c>
      <c r="X309" s="268" t="str">
        <f t="shared" si="369"/>
        <v/>
      </c>
      <c r="Y309" s="268" t="str">
        <f t="shared" si="369"/>
        <v/>
      </c>
      <c r="Z309" s="268" t="str">
        <f t="shared" si="369"/>
        <v/>
      </c>
      <c r="AA309" s="268" t="str">
        <f t="shared" si="369"/>
        <v/>
      </c>
      <c r="AB309" s="268" t="str">
        <f t="shared" si="369"/>
        <v/>
      </c>
      <c r="AC309" s="268" t="str">
        <f t="shared" si="369"/>
        <v/>
      </c>
      <c r="AD309" s="268">
        <f t="shared" si="369"/>
        <v>9408</v>
      </c>
      <c r="AE309" s="268" t="str">
        <f t="shared" si="369"/>
        <v/>
      </c>
      <c r="AF309" s="268" t="str">
        <f t="shared" si="369"/>
        <v/>
      </c>
      <c r="AG309" s="268" t="str">
        <f t="shared" si="369"/>
        <v/>
      </c>
      <c r="AH309" s="268" t="str">
        <f t="shared" si="369"/>
        <v/>
      </c>
      <c r="AI309" s="268" t="str">
        <f t="shared" si="369"/>
        <v/>
      </c>
      <c r="AJ309" s="268" t="str">
        <f t="shared" si="369"/>
        <v/>
      </c>
      <c r="AK309" s="268" t="str">
        <f t="shared" si="369"/>
        <v/>
      </c>
      <c r="AL309" s="268" t="str">
        <f t="shared" si="369"/>
        <v/>
      </c>
      <c r="AM309" s="268" t="str">
        <f t="shared" si="369"/>
        <v/>
      </c>
      <c r="AN309" s="268" t="str">
        <f t="shared" si="369"/>
        <v/>
      </c>
      <c r="AO309" s="268" t="str">
        <f t="shared" si="369"/>
        <v/>
      </c>
      <c r="AP309" s="268" t="str">
        <f t="shared" si="369"/>
        <v/>
      </c>
      <c r="AQ309" s="268" t="str">
        <f t="shared" si="369"/>
        <v/>
      </c>
      <c r="AR309" s="268" t="str">
        <f t="shared" si="369"/>
        <v/>
      </c>
      <c r="AS309" s="268" t="str">
        <f t="shared" si="369"/>
        <v/>
      </c>
      <c r="AT309" s="268" t="str">
        <f t="shared" si="369"/>
        <v/>
      </c>
      <c r="AU309" s="268" t="str">
        <f t="shared" si="369"/>
        <v/>
      </c>
      <c r="AV309" s="268" t="str">
        <f t="shared" si="369"/>
        <v/>
      </c>
      <c r="AW309" s="268" t="str">
        <f t="shared" si="369"/>
        <v/>
      </c>
      <c r="AX309" s="268" t="str">
        <f t="shared" si="369"/>
        <v/>
      </c>
      <c r="AY309" s="268" t="str">
        <f t="shared" si="369"/>
        <v/>
      </c>
      <c r="AZ309" s="268" t="str">
        <f t="shared" si="369"/>
        <v/>
      </c>
      <c r="BA309" s="268" t="str">
        <f t="shared" si="369"/>
        <v/>
      </c>
      <c r="BB309" s="268" t="str">
        <f t="shared" si="369"/>
        <v/>
      </c>
      <c r="BC309" s="268" t="str">
        <f t="shared" si="369"/>
        <v/>
      </c>
      <c r="BD309" s="268" t="str">
        <f t="shared" si="369"/>
        <v/>
      </c>
      <c r="BE309" s="268" t="str">
        <f t="shared" si="369"/>
        <v/>
      </c>
      <c r="BF309" s="268" t="str">
        <f t="shared" si="369"/>
        <v/>
      </c>
      <c r="BG309" s="268" t="str">
        <f t="shared" si="369"/>
        <v/>
      </c>
      <c r="BH309" s="268" t="str">
        <f t="shared" si="369"/>
        <v/>
      </c>
      <c r="BI309" s="268" t="str">
        <f t="shared" si="369"/>
        <v/>
      </c>
      <c r="BJ309" s="268" t="str">
        <f t="shared" si="369"/>
        <v/>
      </c>
      <c r="BK309" s="268" t="str">
        <f t="shared" si="369"/>
        <v/>
      </c>
      <c r="BL309" s="268" t="str">
        <f t="shared" si="369"/>
        <v/>
      </c>
      <c r="BM309" s="268" t="str">
        <f t="shared" si="369"/>
        <v/>
      </c>
      <c r="BN309" s="268" t="str">
        <f t="shared" si="369"/>
        <v/>
      </c>
      <c r="BO309" s="268" t="str">
        <f t="shared" si="369"/>
        <v/>
      </c>
      <c r="BP309" s="268" t="str">
        <f t="shared" si="369"/>
        <v/>
      </c>
      <c r="BQ309" s="268" t="str">
        <f t="shared" si="369"/>
        <v/>
      </c>
      <c r="BR309" s="268" t="str">
        <f t="shared" si="369"/>
        <v/>
      </c>
      <c r="BS309" s="268" t="str">
        <f t="shared" si="369"/>
        <v/>
      </c>
      <c r="BT309" s="268" t="str">
        <f t="shared" si="369"/>
        <v/>
      </c>
      <c r="BU309" s="268" t="str">
        <f t="shared" si="330"/>
        <v/>
      </c>
      <c r="BV309" s="247">
        <v>0.62</v>
      </c>
      <c r="BW309" s="729">
        <f t="shared" si="366"/>
        <v>5832.96</v>
      </c>
      <c r="BX309" s="730">
        <f t="shared" si="367"/>
        <v>45205.44</v>
      </c>
      <c r="BY309" s="731" t="str">
        <f t="shared" si="368"/>
        <v>SR</v>
      </c>
    </row>
    <row r="310" s="698" customFormat="1" customHeight="1" spans="1:77">
      <c r="A310" s="208">
        <v>46090</v>
      </c>
      <c r="B310" s="208">
        <v>46149</v>
      </c>
      <c r="C310" s="211"/>
      <c r="D310" s="211" t="s">
        <v>542</v>
      </c>
      <c r="E310" s="211" t="s">
        <v>66</v>
      </c>
      <c r="F310" s="732">
        <v>1512</v>
      </c>
      <c r="G310" s="211" t="s">
        <v>510</v>
      </c>
      <c r="H310" s="211" t="str">
        <f>IFERROR(VLOOKUP(E310,名称!A:E,4,0),"")</f>
        <v>三代</v>
      </c>
      <c r="I310" s="268" t="str">
        <f t="shared" ref="I310:BT310" si="370">IF(OR($E310="",I$1=""),"",IF(TRIM(LEFT($E310,MIN(IFERROR(FIND("CDU",UPPER($E310)),999),IFERROR(FIND("BULK",UPPER($E310)),999),IFERROR(FIND("-",$E310),999),IFERROR(FIND("（",$E310),999))-1))=I$1,$F310,""))</f>
        <v/>
      </c>
      <c r="J310" s="268" t="str">
        <f t="shared" si="370"/>
        <v/>
      </c>
      <c r="K310" s="268" t="str">
        <f t="shared" si="370"/>
        <v/>
      </c>
      <c r="L310" s="268" t="str">
        <f t="shared" si="370"/>
        <v/>
      </c>
      <c r="M310" s="268" t="str">
        <f t="shared" si="370"/>
        <v/>
      </c>
      <c r="N310" s="268" t="str">
        <f t="shared" si="370"/>
        <v/>
      </c>
      <c r="O310" s="268" t="str">
        <f t="shared" si="370"/>
        <v/>
      </c>
      <c r="P310" s="268" t="str">
        <f t="shared" si="370"/>
        <v/>
      </c>
      <c r="Q310" s="268" t="str">
        <f t="shared" si="370"/>
        <v/>
      </c>
      <c r="R310" s="268" t="str">
        <f t="shared" si="370"/>
        <v/>
      </c>
      <c r="S310" s="268" t="str">
        <f t="shared" si="370"/>
        <v/>
      </c>
      <c r="T310" s="268" t="str">
        <f t="shared" si="370"/>
        <v/>
      </c>
      <c r="U310" s="268" t="str">
        <f t="shared" si="370"/>
        <v/>
      </c>
      <c r="V310" s="268" t="str">
        <f t="shared" si="370"/>
        <v/>
      </c>
      <c r="W310" s="268" t="str">
        <f t="shared" si="370"/>
        <v/>
      </c>
      <c r="X310" s="268" t="str">
        <f t="shared" si="370"/>
        <v/>
      </c>
      <c r="Y310" s="268" t="str">
        <f t="shared" si="370"/>
        <v/>
      </c>
      <c r="Z310" s="268" t="str">
        <f t="shared" si="370"/>
        <v/>
      </c>
      <c r="AA310" s="268" t="str">
        <f t="shared" si="370"/>
        <v/>
      </c>
      <c r="AB310" s="268" t="str">
        <f t="shared" si="370"/>
        <v/>
      </c>
      <c r="AC310" s="268" t="str">
        <f t="shared" si="370"/>
        <v/>
      </c>
      <c r="AD310" s="268" t="str">
        <f t="shared" si="370"/>
        <v/>
      </c>
      <c r="AE310" s="268" t="str">
        <f t="shared" si="370"/>
        <v/>
      </c>
      <c r="AF310" s="268" t="str">
        <f t="shared" si="370"/>
        <v/>
      </c>
      <c r="AG310" s="268">
        <f t="shared" si="370"/>
        <v>1512</v>
      </c>
      <c r="AH310" s="268" t="str">
        <f t="shared" si="370"/>
        <v/>
      </c>
      <c r="AI310" s="268" t="str">
        <f t="shared" si="370"/>
        <v/>
      </c>
      <c r="AJ310" s="268" t="str">
        <f t="shared" si="370"/>
        <v/>
      </c>
      <c r="AK310" s="268" t="str">
        <f t="shared" si="370"/>
        <v/>
      </c>
      <c r="AL310" s="268" t="str">
        <f t="shared" si="370"/>
        <v/>
      </c>
      <c r="AM310" s="268" t="str">
        <f t="shared" si="370"/>
        <v/>
      </c>
      <c r="AN310" s="268" t="str">
        <f t="shared" si="370"/>
        <v/>
      </c>
      <c r="AO310" s="268" t="str">
        <f t="shared" si="370"/>
        <v/>
      </c>
      <c r="AP310" s="268" t="str">
        <f t="shared" si="370"/>
        <v/>
      </c>
      <c r="AQ310" s="268" t="str">
        <f t="shared" si="370"/>
        <v/>
      </c>
      <c r="AR310" s="268" t="str">
        <f t="shared" si="370"/>
        <v/>
      </c>
      <c r="AS310" s="268" t="str">
        <f t="shared" si="370"/>
        <v/>
      </c>
      <c r="AT310" s="268" t="str">
        <f t="shared" si="370"/>
        <v/>
      </c>
      <c r="AU310" s="268" t="str">
        <f t="shared" si="370"/>
        <v/>
      </c>
      <c r="AV310" s="268" t="str">
        <f t="shared" si="370"/>
        <v/>
      </c>
      <c r="AW310" s="268" t="str">
        <f t="shared" si="370"/>
        <v/>
      </c>
      <c r="AX310" s="268" t="str">
        <f t="shared" si="370"/>
        <v/>
      </c>
      <c r="AY310" s="268" t="str">
        <f t="shared" si="370"/>
        <v/>
      </c>
      <c r="AZ310" s="268" t="str">
        <f t="shared" si="370"/>
        <v/>
      </c>
      <c r="BA310" s="268" t="str">
        <f t="shared" si="370"/>
        <v/>
      </c>
      <c r="BB310" s="268" t="str">
        <f t="shared" si="370"/>
        <v/>
      </c>
      <c r="BC310" s="268" t="str">
        <f t="shared" si="370"/>
        <v/>
      </c>
      <c r="BD310" s="268" t="str">
        <f t="shared" si="370"/>
        <v/>
      </c>
      <c r="BE310" s="268" t="str">
        <f t="shared" si="370"/>
        <v/>
      </c>
      <c r="BF310" s="268" t="str">
        <f t="shared" si="370"/>
        <v/>
      </c>
      <c r="BG310" s="268" t="str">
        <f t="shared" si="370"/>
        <v/>
      </c>
      <c r="BH310" s="268" t="str">
        <f t="shared" si="370"/>
        <v/>
      </c>
      <c r="BI310" s="268" t="str">
        <f t="shared" si="370"/>
        <v/>
      </c>
      <c r="BJ310" s="268" t="str">
        <f t="shared" si="370"/>
        <v/>
      </c>
      <c r="BK310" s="268" t="str">
        <f t="shared" si="370"/>
        <v/>
      </c>
      <c r="BL310" s="268" t="str">
        <f t="shared" si="370"/>
        <v/>
      </c>
      <c r="BM310" s="268" t="str">
        <f t="shared" si="370"/>
        <v/>
      </c>
      <c r="BN310" s="268" t="str">
        <f t="shared" si="370"/>
        <v/>
      </c>
      <c r="BO310" s="268" t="str">
        <f t="shared" si="370"/>
        <v/>
      </c>
      <c r="BP310" s="268" t="str">
        <f t="shared" si="370"/>
        <v/>
      </c>
      <c r="BQ310" s="268" t="str">
        <f t="shared" si="370"/>
        <v/>
      </c>
      <c r="BR310" s="268" t="str">
        <f t="shared" si="370"/>
        <v/>
      </c>
      <c r="BS310" s="268" t="str">
        <f t="shared" si="370"/>
        <v/>
      </c>
      <c r="BT310" s="268" t="str">
        <f t="shared" si="370"/>
        <v/>
      </c>
      <c r="BU310" s="268" t="str">
        <f t="shared" si="330"/>
        <v/>
      </c>
      <c r="BV310" s="247">
        <v>2.02</v>
      </c>
      <c r="BW310" s="729">
        <f t="shared" si="366"/>
        <v>3054.24</v>
      </c>
      <c r="BX310" s="730">
        <f t="shared" si="367"/>
        <v>23670.36</v>
      </c>
      <c r="BY310" s="731" t="str">
        <f t="shared" si="368"/>
        <v>SR</v>
      </c>
    </row>
    <row r="311" s="698" customFormat="1" customHeight="1" spans="1:77">
      <c r="A311" s="208">
        <v>46090</v>
      </c>
      <c r="B311" s="208">
        <v>46149</v>
      </c>
      <c r="C311" s="211"/>
      <c r="D311" s="211" t="s">
        <v>542</v>
      </c>
      <c r="E311" s="211" t="s">
        <v>68</v>
      </c>
      <c r="F311" s="732">
        <v>1212</v>
      </c>
      <c r="G311" s="211" t="s">
        <v>510</v>
      </c>
      <c r="H311" s="211" t="str">
        <f>IFERROR(VLOOKUP(E311,名称!A:E,4,0),"")</f>
        <v>三代</v>
      </c>
      <c r="I311" s="268" t="str">
        <f t="shared" ref="I311:BT311" si="371">IF(OR($E311="",I$1=""),"",IF(TRIM(LEFT($E311,MIN(IFERROR(FIND("CDU",UPPER($E311)),999),IFERROR(FIND("BULK",UPPER($E311)),999),IFERROR(FIND("-",$E311),999),IFERROR(FIND("（",$E311),999))-1))=I$1,$F311,""))</f>
        <v/>
      </c>
      <c r="J311" s="268" t="str">
        <f t="shared" si="371"/>
        <v/>
      </c>
      <c r="K311" s="268" t="str">
        <f t="shared" si="371"/>
        <v/>
      </c>
      <c r="L311" s="268" t="str">
        <f t="shared" si="371"/>
        <v/>
      </c>
      <c r="M311" s="268" t="str">
        <f t="shared" si="371"/>
        <v/>
      </c>
      <c r="N311" s="268" t="str">
        <f t="shared" si="371"/>
        <v/>
      </c>
      <c r="O311" s="268" t="str">
        <f t="shared" si="371"/>
        <v/>
      </c>
      <c r="P311" s="268" t="str">
        <f t="shared" si="371"/>
        <v/>
      </c>
      <c r="Q311" s="268" t="str">
        <f t="shared" si="371"/>
        <v/>
      </c>
      <c r="R311" s="268" t="str">
        <f t="shared" si="371"/>
        <v/>
      </c>
      <c r="S311" s="268" t="str">
        <f t="shared" si="371"/>
        <v/>
      </c>
      <c r="T311" s="268" t="str">
        <f t="shared" si="371"/>
        <v/>
      </c>
      <c r="U311" s="268" t="str">
        <f t="shared" si="371"/>
        <v/>
      </c>
      <c r="V311" s="268" t="str">
        <f t="shared" si="371"/>
        <v/>
      </c>
      <c r="W311" s="268" t="str">
        <f t="shared" si="371"/>
        <v/>
      </c>
      <c r="X311" s="268" t="str">
        <f t="shared" si="371"/>
        <v/>
      </c>
      <c r="Y311" s="268" t="str">
        <f t="shared" si="371"/>
        <v/>
      </c>
      <c r="Z311" s="268" t="str">
        <f t="shared" si="371"/>
        <v/>
      </c>
      <c r="AA311" s="268" t="str">
        <f t="shared" si="371"/>
        <v/>
      </c>
      <c r="AB311" s="268" t="str">
        <f t="shared" si="371"/>
        <v/>
      </c>
      <c r="AC311" s="268" t="str">
        <f t="shared" si="371"/>
        <v/>
      </c>
      <c r="AD311" s="268" t="str">
        <f t="shared" si="371"/>
        <v/>
      </c>
      <c r="AE311" s="268" t="str">
        <f t="shared" si="371"/>
        <v/>
      </c>
      <c r="AF311" s="268" t="str">
        <f t="shared" si="371"/>
        <v/>
      </c>
      <c r="AG311" s="268" t="str">
        <f t="shared" si="371"/>
        <v/>
      </c>
      <c r="AH311" s="268">
        <f t="shared" si="371"/>
        <v>1212</v>
      </c>
      <c r="AI311" s="268" t="str">
        <f t="shared" si="371"/>
        <v/>
      </c>
      <c r="AJ311" s="268" t="str">
        <f t="shared" si="371"/>
        <v/>
      </c>
      <c r="AK311" s="268" t="str">
        <f t="shared" si="371"/>
        <v/>
      </c>
      <c r="AL311" s="268" t="str">
        <f t="shared" si="371"/>
        <v/>
      </c>
      <c r="AM311" s="268" t="str">
        <f t="shared" si="371"/>
        <v/>
      </c>
      <c r="AN311" s="268" t="str">
        <f t="shared" si="371"/>
        <v/>
      </c>
      <c r="AO311" s="268" t="str">
        <f t="shared" si="371"/>
        <v/>
      </c>
      <c r="AP311" s="268" t="str">
        <f t="shared" si="371"/>
        <v/>
      </c>
      <c r="AQ311" s="268" t="str">
        <f t="shared" si="371"/>
        <v/>
      </c>
      <c r="AR311" s="268" t="str">
        <f t="shared" si="371"/>
        <v/>
      </c>
      <c r="AS311" s="268" t="str">
        <f t="shared" si="371"/>
        <v/>
      </c>
      <c r="AT311" s="268" t="str">
        <f t="shared" si="371"/>
        <v/>
      </c>
      <c r="AU311" s="268" t="str">
        <f t="shared" si="371"/>
        <v/>
      </c>
      <c r="AV311" s="268" t="str">
        <f t="shared" si="371"/>
        <v/>
      </c>
      <c r="AW311" s="268" t="str">
        <f t="shared" si="371"/>
        <v/>
      </c>
      <c r="AX311" s="268" t="str">
        <f t="shared" si="371"/>
        <v/>
      </c>
      <c r="AY311" s="268" t="str">
        <f t="shared" si="371"/>
        <v/>
      </c>
      <c r="AZ311" s="268" t="str">
        <f t="shared" si="371"/>
        <v/>
      </c>
      <c r="BA311" s="268" t="str">
        <f t="shared" si="371"/>
        <v/>
      </c>
      <c r="BB311" s="268" t="str">
        <f t="shared" si="371"/>
        <v/>
      </c>
      <c r="BC311" s="268" t="str">
        <f t="shared" si="371"/>
        <v/>
      </c>
      <c r="BD311" s="268" t="str">
        <f t="shared" si="371"/>
        <v/>
      </c>
      <c r="BE311" s="268" t="str">
        <f t="shared" si="371"/>
        <v/>
      </c>
      <c r="BF311" s="268" t="str">
        <f t="shared" si="371"/>
        <v/>
      </c>
      <c r="BG311" s="268" t="str">
        <f t="shared" si="371"/>
        <v/>
      </c>
      <c r="BH311" s="268" t="str">
        <f t="shared" si="371"/>
        <v/>
      </c>
      <c r="BI311" s="268" t="str">
        <f t="shared" si="371"/>
        <v/>
      </c>
      <c r="BJ311" s="268" t="str">
        <f t="shared" si="371"/>
        <v/>
      </c>
      <c r="BK311" s="268" t="str">
        <f t="shared" si="371"/>
        <v/>
      </c>
      <c r="BL311" s="268" t="str">
        <f t="shared" si="371"/>
        <v/>
      </c>
      <c r="BM311" s="268" t="str">
        <f t="shared" si="371"/>
        <v/>
      </c>
      <c r="BN311" s="268" t="str">
        <f t="shared" si="371"/>
        <v/>
      </c>
      <c r="BO311" s="268" t="str">
        <f t="shared" si="371"/>
        <v/>
      </c>
      <c r="BP311" s="268" t="str">
        <f t="shared" si="371"/>
        <v/>
      </c>
      <c r="BQ311" s="268" t="str">
        <f t="shared" si="371"/>
        <v/>
      </c>
      <c r="BR311" s="268" t="str">
        <f t="shared" si="371"/>
        <v/>
      </c>
      <c r="BS311" s="268" t="str">
        <f t="shared" si="371"/>
        <v/>
      </c>
      <c r="BT311" s="268" t="str">
        <f t="shared" si="371"/>
        <v/>
      </c>
      <c r="BU311" s="268" t="str">
        <f t="shared" si="330"/>
        <v/>
      </c>
      <c r="BV311" s="247">
        <v>3.09</v>
      </c>
      <c r="BW311" s="729">
        <f t="shared" si="366"/>
        <v>3745.08</v>
      </c>
      <c r="BX311" s="730">
        <f t="shared" si="367"/>
        <v>29024.37</v>
      </c>
      <c r="BY311" s="731" t="str">
        <f t="shared" si="368"/>
        <v>SR</v>
      </c>
    </row>
    <row r="312" s="698" customFormat="1" customHeight="1" spans="1:77">
      <c r="A312" s="208">
        <v>46090</v>
      </c>
      <c r="B312" s="208">
        <v>46149</v>
      </c>
      <c r="C312" s="211"/>
      <c r="D312" s="211" t="s">
        <v>542</v>
      </c>
      <c r="E312" s="211" t="s">
        <v>72</v>
      </c>
      <c r="F312" s="732">
        <v>2424</v>
      </c>
      <c r="G312" s="211" t="s">
        <v>510</v>
      </c>
      <c r="H312" s="211" t="str">
        <f>IFERROR(VLOOKUP(E312,名称!A:E,4,0),"")</f>
        <v>三代</v>
      </c>
      <c r="I312" s="268" t="str">
        <f t="shared" ref="I312:BT312" si="372">IF(OR($E312="",I$1=""),"",IF(TRIM(LEFT($E312,MIN(IFERROR(FIND("CDU",UPPER($E312)),999),IFERROR(FIND("BULK",UPPER($E312)),999),IFERROR(FIND("-",$E312),999),IFERROR(FIND("（",$E312),999))-1))=I$1,$F312,""))</f>
        <v/>
      </c>
      <c r="J312" s="268" t="str">
        <f t="shared" si="372"/>
        <v/>
      </c>
      <c r="K312" s="268" t="str">
        <f t="shared" si="372"/>
        <v/>
      </c>
      <c r="L312" s="268" t="str">
        <f t="shared" si="372"/>
        <v/>
      </c>
      <c r="M312" s="268" t="str">
        <f t="shared" si="372"/>
        <v/>
      </c>
      <c r="N312" s="268" t="str">
        <f t="shared" si="372"/>
        <v/>
      </c>
      <c r="O312" s="268" t="str">
        <f t="shared" si="372"/>
        <v/>
      </c>
      <c r="P312" s="268" t="str">
        <f t="shared" si="372"/>
        <v/>
      </c>
      <c r="Q312" s="268" t="str">
        <f t="shared" si="372"/>
        <v/>
      </c>
      <c r="R312" s="268" t="str">
        <f t="shared" si="372"/>
        <v/>
      </c>
      <c r="S312" s="268" t="str">
        <f t="shared" si="372"/>
        <v/>
      </c>
      <c r="T312" s="268" t="str">
        <f t="shared" si="372"/>
        <v/>
      </c>
      <c r="U312" s="268" t="str">
        <f t="shared" si="372"/>
        <v/>
      </c>
      <c r="V312" s="268" t="str">
        <f t="shared" si="372"/>
        <v/>
      </c>
      <c r="W312" s="268" t="str">
        <f t="shared" si="372"/>
        <v/>
      </c>
      <c r="X312" s="268" t="str">
        <f t="shared" si="372"/>
        <v/>
      </c>
      <c r="Y312" s="268" t="str">
        <f t="shared" si="372"/>
        <v/>
      </c>
      <c r="Z312" s="268" t="str">
        <f t="shared" si="372"/>
        <v/>
      </c>
      <c r="AA312" s="268" t="str">
        <f t="shared" si="372"/>
        <v/>
      </c>
      <c r="AB312" s="268" t="str">
        <f t="shared" si="372"/>
        <v/>
      </c>
      <c r="AC312" s="268" t="str">
        <f t="shared" si="372"/>
        <v/>
      </c>
      <c r="AD312" s="268" t="str">
        <f t="shared" si="372"/>
        <v/>
      </c>
      <c r="AE312" s="268" t="str">
        <f t="shared" si="372"/>
        <v/>
      </c>
      <c r="AF312" s="268" t="str">
        <f t="shared" si="372"/>
        <v/>
      </c>
      <c r="AG312" s="268" t="str">
        <f t="shared" si="372"/>
        <v/>
      </c>
      <c r="AH312" s="268" t="str">
        <f t="shared" si="372"/>
        <v/>
      </c>
      <c r="AI312" s="268" t="str">
        <f t="shared" si="372"/>
        <v/>
      </c>
      <c r="AJ312" s="268" t="str">
        <f t="shared" si="372"/>
        <v/>
      </c>
      <c r="AK312" s="268" t="str">
        <f t="shared" si="372"/>
        <v/>
      </c>
      <c r="AL312" s="268">
        <f t="shared" si="372"/>
        <v>2424</v>
      </c>
      <c r="AM312" s="268" t="str">
        <f t="shared" si="372"/>
        <v/>
      </c>
      <c r="AN312" s="268" t="str">
        <f t="shared" si="372"/>
        <v/>
      </c>
      <c r="AO312" s="268" t="str">
        <f t="shared" si="372"/>
        <v/>
      </c>
      <c r="AP312" s="268" t="str">
        <f t="shared" si="372"/>
        <v/>
      </c>
      <c r="AQ312" s="268" t="str">
        <f t="shared" si="372"/>
        <v/>
      </c>
      <c r="AR312" s="268" t="str">
        <f t="shared" si="372"/>
        <v/>
      </c>
      <c r="AS312" s="268" t="str">
        <f t="shared" si="372"/>
        <v/>
      </c>
      <c r="AT312" s="268" t="str">
        <f t="shared" si="372"/>
        <v/>
      </c>
      <c r="AU312" s="268" t="str">
        <f t="shared" si="372"/>
        <v/>
      </c>
      <c r="AV312" s="268" t="str">
        <f t="shared" si="372"/>
        <v/>
      </c>
      <c r="AW312" s="268" t="str">
        <f t="shared" si="372"/>
        <v/>
      </c>
      <c r="AX312" s="268" t="str">
        <f t="shared" si="372"/>
        <v/>
      </c>
      <c r="AY312" s="268" t="str">
        <f t="shared" si="372"/>
        <v/>
      </c>
      <c r="AZ312" s="268" t="str">
        <f t="shared" si="372"/>
        <v/>
      </c>
      <c r="BA312" s="268" t="str">
        <f t="shared" si="372"/>
        <v/>
      </c>
      <c r="BB312" s="268" t="str">
        <f t="shared" si="372"/>
        <v/>
      </c>
      <c r="BC312" s="268" t="str">
        <f t="shared" si="372"/>
        <v/>
      </c>
      <c r="BD312" s="268" t="str">
        <f t="shared" si="372"/>
        <v/>
      </c>
      <c r="BE312" s="268" t="str">
        <f t="shared" si="372"/>
        <v/>
      </c>
      <c r="BF312" s="268" t="str">
        <f t="shared" si="372"/>
        <v/>
      </c>
      <c r="BG312" s="268" t="str">
        <f t="shared" si="372"/>
        <v/>
      </c>
      <c r="BH312" s="268" t="str">
        <f t="shared" si="372"/>
        <v/>
      </c>
      <c r="BI312" s="268" t="str">
        <f t="shared" si="372"/>
        <v/>
      </c>
      <c r="BJ312" s="268" t="str">
        <f t="shared" si="372"/>
        <v/>
      </c>
      <c r="BK312" s="268" t="str">
        <f t="shared" si="372"/>
        <v/>
      </c>
      <c r="BL312" s="268" t="str">
        <f t="shared" si="372"/>
        <v/>
      </c>
      <c r="BM312" s="268" t="str">
        <f t="shared" si="372"/>
        <v/>
      </c>
      <c r="BN312" s="268" t="str">
        <f t="shared" si="372"/>
        <v/>
      </c>
      <c r="BO312" s="268" t="str">
        <f t="shared" si="372"/>
        <v/>
      </c>
      <c r="BP312" s="268" t="str">
        <f t="shared" si="372"/>
        <v/>
      </c>
      <c r="BQ312" s="268" t="str">
        <f t="shared" si="372"/>
        <v/>
      </c>
      <c r="BR312" s="268" t="str">
        <f t="shared" si="372"/>
        <v/>
      </c>
      <c r="BS312" s="268" t="str">
        <f t="shared" si="372"/>
        <v/>
      </c>
      <c r="BT312" s="268" t="str">
        <f t="shared" si="372"/>
        <v/>
      </c>
      <c r="BU312" s="268" t="str">
        <f t="shared" si="330"/>
        <v/>
      </c>
      <c r="BV312" s="247">
        <v>1.58</v>
      </c>
      <c r="BW312" s="729">
        <f t="shared" si="366"/>
        <v>3829.92</v>
      </c>
      <c r="BX312" s="730">
        <f t="shared" si="367"/>
        <v>29681.88</v>
      </c>
      <c r="BY312" s="731" t="str">
        <f t="shared" si="368"/>
        <v>SR</v>
      </c>
    </row>
    <row r="313" s="698" customFormat="1" customHeight="1" spans="1:77">
      <c r="A313" s="208">
        <v>46090</v>
      </c>
      <c r="B313" s="208">
        <v>46149</v>
      </c>
      <c r="C313" s="211"/>
      <c r="D313" s="211" t="s">
        <v>542</v>
      </c>
      <c r="E313" s="211" t="s">
        <v>112</v>
      </c>
      <c r="F313" s="732">
        <v>808</v>
      </c>
      <c r="G313" s="211" t="s">
        <v>510</v>
      </c>
      <c r="H313" s="211" t="str">
        <f>IFERROR(VLOOKUP(E313,名称!A:E,4,0),"")</f>
        <v>三代</v>
      </c>
      <c r="I313" s="268" t="str">
        <f t="shared" ref="I313:BT313" si="373">IF(OR($E313="",I$1=""),"",IF(TRIM(LEFT($E313,MIN(IFERROR(FIND("CDU",UPPER($E313)),999),IFERROR(FIND("BULK",UPPER($E313)),999),IFERROR(FIND("-",$E313),999),IFERROR(FIND("（",$E313),999))-1))=I$1,$F313,""))</f>
        <v/>
      </c>
      <c r="J313" s="268" t="str">
        <f t="shared" si="373"/>
        <v/>
      </c>
      <c r="K313" s="268" t="str">
        <f t="shared" si="373"/>
        <v/>
      </c>
      <c r="L313" s="268" t="str">
        <f t="shared" si="373"/>
        <v/>
      </c>
      <c r="M313" s="268" t="str">
        <f t="shared" si="373"/>
        <v/>
      </c>
      <c r="N313" s="268" t="str">
        <f t="shared" si="373"/>
        <v/>
      </c>
      <c r="O313" s="268" t="str">
        <f t="shared" si="373"/>
        <v/>
      </c>
      <c r="P313" s="268" t="str">
        <f t="shared" si="373"/>
        <v/>
      </c>
      <c r="Q313" s="268" t="str">
        <f t="shared" si="373"/>
        <v/>
      </c>
      <c r="R313" s="268" t="str">
        <f t="shared" si="373"/>
        <v/>
      </c>
      <c r="S313" s="268" t="str">
        <f t="shared" si="373"/>
        <v/>
      </c>
      <c r="T313" s="268" t="str">
        <f t="shared" si="373"/>
        <v/>
      </c>
      <c r="U313" s="268" t="str">
        <f t="shared" si="373"/>
        <v/>
      </c>
      <c r="V313" s="268" t="str">
        <f t="shared" si="373"/>
        <v/>
      </c>
      <c r="W313" s="268" t="str">
        <f t="shared" si="373"/>
        <v/>
      </c>
      <c r="X313" s="268" t="str">
        <f t="shared" si="373"/>
        <v/>
      </c>
      <c r="Y313" s="268" t="str">
        <f t="shared" si="373"/>
        <v/>
      </c>
      <c r="Z313" s="268" t="str">
        <f t="shared" si="373"/>
        <v/>
      </c>
      <c r="AA313" s="268" t="str">
        <f t="shared" si="373"/>
        <v/>
      </c>
      <c r="AB313" s="268" t="str">
        <f t="shared" si="373"/>
        <v/>
      </c>
      <c r="AC313" s="268" t="str">
        <f t="shared" si="373"/>
        <v/>
      </c>
      <c r="AD313" s="268" t="str">
        <f t="shared" si="373"/>
        <v/>
      </c>
      <c r="AE313" s="268" t="str">
        <f t="shared" si="373"/>
        <v/>
      </c>
      <c r="AF313" s="268" t="str">
        <f t="shared" si="373"/>
        <v/>
      </c>
      <c r="AG313" s="268" t="str">
        <f t="shared" si="373"/>
        <v/>
      </c>
      <c r="AH313" s="268" t="str">
        <f t="shared" si="373"/>
        <v/>
      </c>
      <c r="AI313" s="268">
        <f t="shared" si="373"/>
        <v>808</v>
      </c>
      <c r="AJ313" s="268" t="str">
        <f t="shared" si="373"/>
        <v/>
      </c>
      <c r="AK313" s="268" t="str">
        <f t="shared" si="373"/>
        <v/>
      </c>
      <c r="AL313" s="268" t="str">
        <f t="shared" si="373"/>
        <v/>
      </c>
      <c r="AM313" s="268" t="str">
        <f t="shared" si="373"/>
        <v/>
      </c>
      <c r="AN313" s="268" t="str">
        <f t="shared" si="373"/>
        <v/>
      </c>
      <c r="AO313" s="268" t="str">
        <f t="shared" si="373"/>
        <v/>
      </c>
      <c r="AP313" s="268" t="str">
        <f t="shared" si="373"/>
        <v/>
      </c>
      <c r="AQ313" s="268" t="str">
        <f t="shared" si="373"/>
        <v/>
      </c>
      <c r="AR313" s="268" t="str">
        <f t="shared" si="373"/>
        <v/>
      </c>
      <c r="AS313" s="268" t="str">
        <f t="shared" si="373"/>
        <v/>
      </c>
      <c r="AT313" s="268" t="str">
        <f t="shared" si="373"/>
        <v/>
      </c>
      <c r="AU313" s="268" t="str">
        <f t="shared" si="373"/>
        <v/>
      </c>
      <c r="AV313" s="268" t="str">
        <f t="shared" si="373"/>
        <v/>
      </c>
      <c r="AW313" s="268" t="str">
        <f t="shared" si="373"/>
        <v/>
      </c>
      <c r="AX313" s="268" t="str">
        <f t="shared" si="373"/>
        <v/>
      </c>
      <c r="AY313" s="268" t="str">
        <f t="shared" si="373"/>
        <v/>
      </c>
      <c r="AZ313" s="268" t="str">
        <f t="shared" si="373"/>
        <v/>
      </c>
      <c r="BA313" s="268" t="str">
        <f t="shared" si="373"/>
        <v/>
      </c>
      <c r="BB313" s="268" t="str">
        <f t="shared" si="373"/>
        <v/>
      </c>
      <c r="BC313" s="268" t="str">
        <f t="shared" si="373"/>
        <v/>
      </c>
      <c r="BD313" s="268" t="str">
        <f t="shared" si="373"/>
        <v/>
      </c>
      <c r="BE313" s="268" t="str">
        <f t="shared" si="373"/>
        <v/>
      </c>
      <c r="BF313" s="268" t="str">
        <f t="shared" si="373"/>
        <v/>
      </c>
      <c r="BG313" s="268" t="str">
        <f t="shared" si="373"/>
        <v/>
      </c>
      <c r="BH313" s="268" t="str">
        <f t="shared" si="373"/>
        <v/>
      </c>
      <c r="BI313" s="268" t="str">
        <f t="shared" si="373"/>
        <v/>
      </c>
      <c r="BJ313" s="268" t="str">
        <f t="shared" si="373"/>
        <v/>
      </c>
      <c r="BK313" s="268" t="str">
        <f t="shared" si="373"/>
        <v/>
      </c>
      <c r="BL313" s="268" t="str">
        <f t="shared" si="373"/>
        <v/>
      </c>
      <c r="BM313" s="268" t="str">
        <f t="shared" si="373"/>
        <v/>
      </c>
      <c r="BN313" s="268" t="str">
        <f t="shared" si="373"/>
        <v/>
      </c>
      <c r="BO313" s="268" t="str">
        <f t="shared" si="373"/>
        <v/>
      </c>
      <c r="BP313" s="268" t="str">
        <f t="shared" si="373"/>
        <v/>
      </c>
      <c r="BQ313" s="268" t="str">
        <f t="shared" si="373"/>
        <v/>
      </c>
      <c r="BR313" s="268" t="str">
        <f t="shared" si="373"/>
        <v/>
      </c>
      <c r="BS313" s="268" t="str">
        <f t="shared" si="373"/>
        <v/>
      </c>
      <c r="BT313" s="268" t="str">
        <f t="shared" si="373"/>
        <v/>
      </c>
      <c r="BU313" s="268" t="str">
        <f t="shared" si="330"/>
        <v/>
      </c>
      <c r="BV313" s="247">
        <v>9.12</v>
      </c>
      <c r="BW313" s="729">
        <f t="shared" si="366"/>
        <v>7368.96</v>
      </c>
      <c r="BX313" s="730">
        <f t="shared" si="367"/>
        <v>57109.44</v>
      </c>
      <c r="BY313" s="731" t="str">
        <f t="shared" si="368"/>
        <v>SR</v>
      </c>
    </row>
    <row r="314" s="698" customFormat="1" customHeight="1" spans="1:77">
      <c r="A314" s="208">
        <v>46090</v>
      </c>
      <c r="B314" s="208">
        <v>46149</v>
      </c>
      <c r="C314" s="211"/>
      <c r="D314" s="211" t="s">
        <v>542</v>
      </c>
      <c r="E314" s="211" t="s">
        <v>85</v>
      </c>
      <c r="F314" s="732">
        <v>9408</v>
      </c>
      <c r="G314" s="211" t="s">
        <v>510</v>
      </c>
      <c r="H314" s="211" t="str">
        <f>IFERROR(VLOOKUP(E314,名称!A:E,4,0),"")</f>
        <v>三代</v>
      </c>
      <c r="I314" s="268" t="str">
        <f t="shared" ref="I314:BT314" si="374">IF(OR($E314="",I$1=""),"",IF(TRIM(LEFT($E314,MIN(IFERROR(FIND("CDU",UPPER($E314)),999),IFERROR(FIND("BULK",UPPER($E314)),999),IFERROR(FIND("-",$E314),999),IFERROR(FIND("（",$E314),999))-1))=I$1,$F314,""))</f>
        <v/>
      </c>
      <c r="J314" s="268" t="str">
        <f t="shared" si="374"/>
        <v/>
      </c>
      <c r="K314" s="268" t="str">
        <f t="shared" si="374"/>
        <v/>
      </c>
      <c r="L314" s="268" t="str">
        <f t="shared" si="374"/>
        <v/>
      </c>
      <c r="M314" s="268" t="str">
        <f t="shared" si="374"/>
        <v/>
      </c>
      <c r="N314" s="268" t="str">
        <f t="shared" si="374"/>
        <v/>
      </c>
      <c r="O314" s="268" t="str">
        <f t="shared" si="374"/>
        <v/>
      </c>
      <c r="P314" s="268" t="str">
        <f t="shared" si="374"/>
        <v/>
      </c>
      <c r="Q314" s="268" t="str">
        <f t="shared" si="374"/>
        <v/>
      </c>
      <c r="R314" s="268" t="str">
        <f t="shared" si="374"/>
        <v/>
      </c>
      <c r="S314" s="268" t="str">
        <f t="shared" si="374"/>
        <v/>
      </c>
      <c r="T314" s="268" t="str">
        <f t="shared" si="374"/>
        <v/>
      </c>
      <c r="U314" s="268" t="str">
        <f t="shared" si="374"/>
        <v/>
      </c>
      <c r="V314" s="268" t="str">
        <f t="shared" si="374"/>
        <v/>
      </c>
      <c r="W314" s="268" t="str">
        <f t="shared" si="374"/>
        <v/>
      </c>
      <c r="X314" s="268" t="str">
        <f t="shared" si="374"/>
        <v/>
      </c>
      <c r="Y314" s="268" t="str">
        <f t="shared" si="374"/>
        <v/>
      </c>
      <c r="Z314" s="268" t="str">
        <f t="shared" si="374"/>
        <v/>
      </c>
      <c r="AA314" s="268" t="str">
        <f t="shared" si="374"/>
        <v/>
      </c>
      <c r="AB314" s="268" t="str">
        <f t="shared" si="374"/>
        <v/>
      </c>
      <c r="AC314" s="268" t="str">
        <f t="shared" si="374"/>
        <v/>
      </c>
      <c r="AD314" s="268" t="str">
        <f t="shared" si="374"/>
        <v/>
      </c>
      <c r="AE314" s="268" t="str">
        <f t="shared" si="374"/>
        <v/>
      </c>
      <c r="AF314" s="268" t="str">
        <f t="shared" si="374"/>
        <v/>
      </c>
      <c r="AG314" s="268" t="str">
        <f t="shared" si="374"/>
        <v/>
      </c>
      <c r="AH314" s="268" t="str">
        <f t="shared" si="374"/>
        <v/>
      </c>
      <c r="AI314" s="268" t="str">
        <f t="shared" si="374"/>
        <v/>
      </c>
      <c r="AJ314" s="268" t="str">
        <f t="shared" si="374"/>
        <v/>
      </c>
      <c r="AK314" s="268" t="str">
        <f t="shared" si="374"/>
        <v/>
      </c>
      <c r="AL314" s="268" t="str">
        <f t="shared" si="374"/>
        <v/>
      </c>
      <c r="AM314" s="268" t="str">
        <f t="shared" si="374"/>
        <v/>
      </c>
      <c r="AN314" s="268">
        <f t="shared" si="374"/>
        <v>9408</v>
      </c>
      <c r="AO314" s="268" t="str">
        <f t="shared" si="374"/>
        <v/>
      </c>
      <c r="AP314" s="268" t="str">
        <f t="shared" si="374"/>
        <v/>
      </c>
      <c r="AQ314" s="268" t="str">
        <f t="shared" si="374"/>
        <v/>
      </c>
      <c r="AR314" s="268" t="str">
        <f t="shared" si="374"/>
        <v/>
      </c>
      <c r="AS314" s="268" t="str">
        <f t="shared" si="374"/>
        <v/>
      </c>
      <c r="AT314" s="268" t="str">
        <f t="shared" si="374"/>
        <v/>
      </c>
      <c r="AU314" s="268" t="str">
        <f t="shared" si="374"/>
        <v/>
      </c>
      <c r="AV314" s="268" t="str">
        <f t="shared" si="374"/>
        <v/>
      </c>
      <c r="AW314" s="268" t="str">
        <f t="shared" si="374"/>
        <v/>
      </c>
      <c r="AX314" s="268" t="str">
        <f t="shared" si="374"/>
        <v/>
      </c>
      <c r="AY314" s="268" t="str">
        <f t="shared" si="374"/>
        <v/>
      </c>
      <c r="AZ314" s="268" t="str">
        <f t="shared" si="374"/>
        <v/>
      </c>
      <c r="BA314" s="268" t="str">
        <f t="shared" si="374"/>
        <v/>
      </c>
      <c r="BB314" s="268" t="str">
        <f t="shared" si="374"/>
        <v/>
      </c>
      <c r="BC314" s="268" t="str">
        <f t="shared" si="374"/>
        <v/>
      </c>
      <c r="BD314" s="268" t="str">
        <f t="shared" si="374"/>
        <v/>
      </c>
      <c r="BE314" s="268" t="str">
        <f t="shared" si="374"/>
        <v/>
      </c>
      <c r="BF314" s="268" t="str">
        <f t="shared" si="374"/>
        <v/>
      </c>
      <c r="BG314" s="268" t="str">
        <f t="shared" si="374"/>
        <v/>
      </c>
      <c r="BH314" s="268" t="str">
        <f t="shared" si="374"/>
        <v/>
      </c>
      <c r="BI314" s="268" t="str">
        <f t="shared" si="374"/>
        <v/>
      </c>
      <c r="BJ314" s="268" t="str">
        <f t="shared" si="374"/>
        <v/>
      </c>
      <c r="BK314" s="268" t="str">
        <f t="shared" si="374"/>
        <v/>
      </c>
      <c r="BL314" s="268" t="str">
        <f t="shared" si="374"/>
        <v/>
      </c>
      <c r="BM314" s="268" t="str">
        <f t="shared" si="374"/>
        <v/>
      </c>
      <c r="BN314" s="268" t="str">
        <f t="shared" si="374"/>
        <v/>
      </c>
      <c r="BO314" s="268" t="str">
        <f t="shared" si="374"/>
        <v/>
      </c>
      <c r="BP314" s="268" t="str">
        <f t="shared" si="374"/>
        <v/>
      </c>
      <c r="BQ314" s="268" t="str">
        <f t="shared" si="374"/>
        <v/>
      </c>
      <c r="BR314" s="268" t="str">
        <f t="shared" si="374"/>
        <v/>
      </c>
      <c r="BS314" s="268" t="str">
        <f t="shared" si="374"/>
        <v/>
      </c>
      <c r="BT314" s="268" t="str">
        <f t="shared" si="374"/>
        <v/>
      </c>
      <c r="BU314" s="268" t="str">
        <f t="shared" si="330"/>
        <v/>
      </c>
      <c r="BV314" s="247">
        <v>0.88</v>
      </c>
      <c r="BW314" s="729">
        <f t="shared" si="366"/>
        <v>8279.04</v>
      </c>
      <c r="BX314" s="730">
        <f t="shared" si="367"/>
        <v>64162.56</v>
      </c>
      <c r="BY314" s="731" t="str">
        <f t="shared" si="368"/>
        <v>SR</v>
      </c>
    </row>
    <row r="315" s="698" customFormat="1" customHeight="1" spans="1:77">
      <c r="A315" s="208">
        <v>46090</v>
      </c>
      <c r="B315" s="208">
        <v>46149</v>
      </c>
      <c r="C315" s="211"/>
      <c r="D315" s="211" t="s">
        <v>542</v>
      </c>
      <c r="E315" s="211" t="s">
        <v>109</v>
      </c>
      <c r="F315" s="732">
        <v>2424</v>
      </c>
      <c r="G315" s="211" t="s">
        <v>510</v>
      </c>
      <c r="H315" s="211" t="str">
        <f>IFERROR(VLOOKUP(E315,名称!A:E,4,0),"")</f>
        <v>三代</v>
      </c>
      <c r="I315" s="268" t="str">
        <f t="shared" ref="I315:BT315" si="375">IF(OR($E315="",I$1=""),"",IF(TRIM(LEFT($E315,MIN(IFERROR(FIND("CDU",UPPER($E315)),999),IFERROR(FIND("BULK",UPPER($E315)),999),IFERROR(FIND("-",$E315),999),IFERROR(FIND("（",$E315),999))-1))=I$1,$F315,""))</f>
        <v/>
      </c>
      <c r="J315" s="268" t="str">
        <f t="shared" si="375"/>
        <v/>
      </c>
      <c r="K315" s="268" t="str">
        <f t="shared" si="375"/>
        <v/>
      </c>
      <c r="L315" s="268" t="str">
        <f t="shared" si="375"/>
        <v/>
      </c>
      <c r="M315" s="268" t="str">
        <f t="shared" si="375"/>
        <v/>
      </c>
      <c r="N315" s="268" t="str">
        <f t="shared" si="375"/>
        <v/>
      </c>
      <c r="O315" s="268" t="str">
        <f t="shared" si="375"/>
        <v/>
      </c>
      <c r="P315" s="268" t="str">
        <f t="shared" si="375"/>
        <v/>
      </c>
      <c r="Q315" s="268" t="str">
        <f t="shared" si="375"/>
        <v/>
      </c>
      <c r="R315" s="268" t="str">
        <f t="shared" si="375"/>
        <v/>
      </c>
      <c r="S315" s="268" t="str">
        <f t="shared" si="375"/>
        <v/>
      </c>
      <c r="T315" s="268" t="str">
        <f t="shared" si="375"/>
        <v/>
      </c>
      <c r="U315" s="268" t="str">
        <f t="shared" si="375"/>
        <v/>
      </c>
      <c r="V315" s="268" t="str">
        <f t="shared" si="375"/>
        <v/>
      </c>
      <c r="W315" s="268" t="str">
        <f t="shared" si="375"/>
        <v/>
      </c>
      <c r="X315" s="268" t="str">
        <f t="shared" si="375"/>
        <v/>
      </c>
      <c r="Y315" s="268" t="str">
        <f t="shared" si="375"/>
        <v/>
      </c>
      <c r="Z315" s="268" t="str">
        <f t="shared" si="375"/>
        <v/>
      </c>
      <c r="AA315" s="268" t="str">
        <f t="shared" si="375"/>
        <v/>
      </c>
      <c r="AB315" s="268" t="str">
        <f t="shared" si="375"/>
        <v/>
      </c>
      <c r="AC315" s="268" t="str">
        <f t="shared" si="375"/>
        <v/>
      </c>
      <c r="AD315" s="268" t="str">
        <f t="shared" si="375"/>
        <v/>
      </c>
      <c r="AE315" s="268" t="str">
        <f t="shared" si="375"/>
        <v/>
      </c>
      <c r="AF315" s="268" t="str">
        <f t="shared" si="375"/>
        <v/>
      </c>
      <c r="AG315" s="268" t="str">
        <f t="shared" si="375"/>
        <v/>
      </c>
      <c r="AH315" s="268" t="str">
        <f t="shared" si="375"/>
        <v/>
      </c>
      <c r="AI315" s="268" t="str">
        <f t="shared" si="375"/>
        <v/>
      </c>
      <c r="AJ315" s="268" t="str">
        <f t="shared" si="375"/>
        <v/>
      </c>
      <c r="AK315" s="268" t="str">
        <f t="shared" si="375"/>
        <v/>
      </c>
      <c r="AL315" s="268" t="str">
        <f t="shared" si="375"/>
        <v/>
      </c>
      <c r="AM315" s="268" t="str">
        <f t="shared" si="375"/>
        <v/>
      </c>
      <c r="AN315" s="268" t="str">
        <f t="shared" si="375"/>
        <v/>
      </c>
      <c r="AO315" s="268" t="str">
        <f t="shared" si="375"/>
        <v/>
      </c>
      <c r="AP315" s="268" t="str">
        <f t="shared" si="375"/>
        <v/>
      </c>
      <c r="AQ315" s="268" t="str">
        <f t="shared" si="375"/>
        <v/>
      </c>
      <c r="AR315" s="268" t="str">
        <f t="shared" si="375"/>
        <v/>
      </c>
      <c r="AS315" s="268" t="str">
        <f t="shared" si="375"/>
        <v/>
      </c>
      <c r="AT315" s="268" t="str">
        <f t="shared" si="375"/>
        <v/>
      </c>
      <c r="AU315" s="268" t="str">
        <f t="shared" si="375"/>
        <v/>
      </c>
      <c r="AV315" s="268" t="str">
        <f t="shared" si="375"/>
        <v/>
      </c>
      <c r="AW315" s="268" t="str">
        <f t="shared" si="375"/>
        <v/>
      </c>
      <c r="AX315" s="268" t="str">
        <f t="shared" si="375"/>
        <v/>
      </c>
      <c r="AY315" s="268" t="str">
        <f t="shared" si="375"/>
        <v/>
      </c>
      <c r="AZ315" s="268" t="str">
        <f t="shared" si="375"/>
        <v/>
      </c>
      <c r="BA315" s="268" t="str">
        <f t="shared" si="375"/>
        <v/>
      </c>
      <c r="BB315" s="268" t="str">
        <f t="shared" si="375"/>
        <v/>
      </c>
      <c r="BC315" s="268">
        <f t="shared" si="375"/>
        <v>2424</v>
      </c>
      <c r="BD315" s="268" t="str">
        <f t="shared" si="375"/>
        <v/>
      </c>
      <c r="BE315" s="268" t="str">
        <f t="shared" si="375"/>
        <v/>
      </c>
      <c r="BF315" s="268" t="str">
        <f t="shared" si="375"/>
        <v/>
      </c>
      <c r="BG315" s="268" t="str">
        <f t="shared" si="375"/>
        <v/>
      </c>
      <c r="BH315" s="268" t="str">
        <f t="shared" si="375"/>
        <v/>
      </c>
      <c r="BI315" s="268" t="str">
        <f t="shared" si="375"/>
        <v/>
      </c>
      <c r="BJ315" s="268" t="str">
        <f t="shared" si="375"/>
        <v/>
      </c>
      <c r="BK315" s="268" t="str">
        <f t="shared" si="375"/>
        <v/>
      </c>
      <c r="BL315" s="268" t="str">
        <f t="shared" si="375"/>
        <v/>
      </c>
      <c r="BM315" s="268" t="str">
        <f t="shared" si="375"/>
        <v/>
      </c>
      <c r="BN315" s="268" t="str">
        <f t="shared" si="375"/>
        <v/>
      </c>
      <c r="BO315" s="268" t="str">
        <f t="shared" si="375"/>
        <v/>
      </c>
      <c r="BP315" s="268" t="str">
        <f t="shared" si="375"/>
        <v/>
      </c>
      <c r="BQ315" s="268" t="str">
        <f t="shared" si="375"/>
        <v/>
      </c>
      <c r="BR315" s="268" t="str">
        <f t="shared" si="375"/>
        <v/>
      </c>
      <c r="BS315" s="268" t="str">
        <f t="shared" si="375"/>
        <v/>
      </c>
      <c r="BT315" s="268" t="str">
        <f t="shared" si="375"/>
        <v/>
      </c>
      <c r="BU315" s="268" t="str">
        <f t="shared" si="330"/>
        <v/>
      </c>
      <c r="BV315" s="247">
        <v>0.59</v>
      </c>
      <c r="BW315" s="729">
        <f t="shared" si="366"/>
        <v>1430.16</v>
      </c>
      <c r="BX315" s="730">
        <f t="shared" si="367"/>
        <v>11083.74</v>
      </c>
      <c r="BY315" s="731" t="str">
        <f t="shared" si="368"/>
        <v>JS</v>
      </c>
    </row>
    <row r="316" s="698" customFormat="1" customHeight="1" spans="1:77">
      <c r="A316" s="208">
        <v>46090</v>
      </c>
      <c r="B316" s="208">
        <v>46149</v>
      </c>
      <c r="C316" s="211"/>
      <c r="D316" s="211" t="s">
        <v>542</v>
      </c>
      <c r="E316" s="211" t="s">
        <v>97</v>
      </c>
      <c r="F316" s="732">
        <v>3648</v>
      </c>
      <c r="G316" s="211" t="s">
        <v>510</v>
      </c>
      <c r="H316" s="211" t="str">
        <f>IFERROR(VLOOKUP(E316,名称!A:E,4,0),"")</f>
        <v>三代</v>
      </c>
      <c r="I316" s="268" t="str">
        <f t="shared" ref="I316:BT316" si="376">IF(OR($E316="",I$1=""),"",IF(TRIM(LEFT($E316,MIN(IFERROR(FIND("CDU",UPPER($E316)),999),IFERROR(FIND("BULK",UPPER($E316)),999),IFERROR(FIND("-",$E316),999),IFERROR(FIND("（",$E316),999))-1))=I$1,$F316,""))</f>
        <v/>
      </c>
      <c r="J316" s="268" t="str">
        <f t="shared" si="376"/>
        <v/>
      </c>
      <c r="K316" s="268" t="str">
        <f t="shared" si="376"/>
        <v/>
      </c>
      <c r="L316" s="268" t="str">
        <f t="shared" si="376"/>
        <v/>
      </c>
      <c r="M316" s="268" t="str">
        <f t="shared" si="376"/>
        <v/>
      </c>
      <c r="N316" s="268" t="str">
        <f t="shared" si="376"/>
        <v/>
      </c>
      <c r="O316" s="268" t="str">
        <f t="shared" si="376"/>
        <v/>
      </c>
      <c r="P316" s="268" t="str">
        <f t="shared" si="376"/>
        <v/>
      </c>
      <c r="Q316" s="268" t="str">
        <f t="shared" si="376"/>
        <v/>
      </c>
      <c r="R316" s="268" t="str">
        <f t="shared" si="376"/>
        <v/>
      </c>
      <c r="S316" s="268" t="str">
        <f t="shared" si="376"/>
        <v/>
      </c>
      <c r="T316" s="268" t="str">
        <f t="shared" si="376"/>
        <v/>
      </c>
      <c r="U316" s="268" t="str">
        <f t="shared" si="376"/>
        <v/>
      </c>
      <c r="V316" s="268" t="str">
        <f t="shared" si="376"/>
        <v/>
      </c>
      <c r="W316" s="268" t="str">
        <f t="shared" si="376"/>
        <v/>
      </c>
      <c r="X316" s="268" t="str">
        <f t="shared" si="376"/>
        <v/>
      </c>
      <c r="Y316" s="268" t="str">
        <f t="shared" si="376"/>
        <v/>
      </c>
      <c r="Z316" s="268" t="str">
        <f t="shared" si="376"/>
        <v/>
      </c>
      <c r="AA316" s="268" t="str">
        <f t="shared" si="376"/>
        <v/>
      </c>
      <c r="AB316" s="268" t="str">
        <f t="shared" si="376"/>
        <v/>
      </c>
      <c r="AC316" s="268" t="str">
        <f t="shared" si="376"/>
        <v/>
      </c>
      <c r="AD316" s="268" t="str">
        <f t="shared" si="376"/>
        <v/>
      </c>
      <c r="AE316" s="268" t="str">
        <f t="shared" si="376"/>
        <v/>
      </c>
      <c r="AF316" s="268" t="str">
        <f t="shared" si="376"/>
        <v/>
      </c>
      <c r="AG316" s="268" t="str">
        <f t="shared" si="376"/>
        <v/>
      </c>
      <c r="AH316" s="268" t="str">
        <f t="shared" si="376"/>
        <v/>
      </c>
      <c r="AI316" s="268" t="str">
        <f t="shared" si="376"/>
        <v/>
      </c>
      <c r="AJ316" s="268" t="str">
        <f t="shared" si="376"/>
        <v/>
      </c>
      <c r="AK316" s="268" t="str">
        <f t="shared" si="376"/>
        <v/>
      </c>
      <c r="AL316" s="268" t="str">
        <f t="shared" si="376"/>
        <v/>
      </c>
      <c r="AM316" s="268" t="str">
        <f t="shared" si="376"/>
        <v/>
      </c>
      <c r="AN316" s="268" t="str">
        <f t="shared" si="376"/>
        <v/>
      </c>
      <c r="AO316" s="268" t="str">
        <f t="shared" si="376"/>
        <v/>
      </c>
      <c r="AP316" s="268" t="str">
        <f t="shared" si="376"/>
        <v/>
      </c>
      <c r="AQ316" s="268" t="str">
        <f t="shared" si="376"/>
        <v/>
      </c>
      <c r="AR316" s="268" t="str">
        <f t="shared" si="376"/>
        <v/>
      </c>
      <c r="AS316" s="268" t="str">
        <f t="shared" si="376"/>
        <v/>
      </c>
      <c r="AT316" s="268" t="str">
        <f t="shared" si="376"/>
        <v/>
      </c>
      <c r="AU316" s="268" t="str">
        <f t="shared" si="376"/>
        <v/>
      </c>
      <c r="AV316" s="268" t="str">
        <f t="shared" si="376"/>
        <v/>
      </c>
      <c r="AW316" s="268" t="str">
        <f t="shared" si="376"/>
        <v/>
      </c>
      <c r="AX316" s="268" t="str">
        <f t="shared" si="376"/>
        <v/>
      </c>
      <c r="AY316" s="268" t="str">
        <f t="shared" si="376"/>
        <v/>
      </c>
      <c r="AZ316" s="268" t="str">
        <f t="shared" si="376"/>
        <v/>
      </c>
      <c r="BA316" s="268">
        <f t="shared" si="376"/>
        <v>3648</v>
      </c>
      <c r="BB316" s="268" t="str">
        <f t="shared" si="376"/>
        <v/>
      </c>
      <c r="BC316" s="268" t="str">
        <f t="shared" si="376"/>
        <v/>
      </c>
      <c r="BD316" s="268" t="str">
        <f t="shared" si="376"/>
        <v/>
      </c>
      <c r="BE316" s="268" t="str">
        <f t="shared" si="376"/>
        <v/>
      </c>
      <c r="BF316" s="268" t="str">
        <f t="shared" si="376"/>
        <v/>
      </c>
      <c r="BG316" s="268" t="str">
        <f t="shared" si="376"/>
        <v/>
      </c>
      <c r="BH316" s="268" t="str">
        <f t="shared" si="376"/>
        <v/>
      </c>
      <c r="BI316" s="268" t="str">
        <f t="shared" si="376"/>
        <v/>
      </c>
      <c r="BJ316" s="268" t="str">
        <f t="shared" si="376"/>
        <v/>
      </c>
      <c r="BK316" s="268" t="str">
        <f t="shared" si="376"/>
        <v/>
      </c>
      <c r="BL316" s="268" t="str">
        <f t="shared" si="376"/>
        <v/>
      </c>
      <c r="BM316" s="268" t="str">
        <f t="shared" si="376"/>
        <v/>
      </c>
      <c r="BN316" s="268" t="str">
        <f t="shared" si="376"/>
        <v/>
      </c>
      <c r="BO316" s="268" t="str">
        <f t="shared" si="376"/>
        <v/>
      </c>
      <c r="BP316" s="268" t="str">
        <f t="shared" si="376"/>
        <v/>
      </c>
      <c r="BQ316" s="268" t="str">
        <f t="shared" si="376"/>
        <v/>
      </c>
      <c r="BR316" s="268" t="str">
        <f t="shared" si="376"/>
        <v/>
      </c>
      <c r="BS316" s="268" t="str">
        <f t="shared" si="376"/>
        <v/>
      </c>
      <c r="BT316" s="268" t="str">
        <f t="shared" si="376"/>
        <v/>
      </c>
      <c r="BU316" s="268" t="str">
        <f t="shared" si="330"/>
        <v/>
      </c>
      <c r="BV316" s="247">
        <v>0.62</v>
      </c>
      <c r="BW316" s="729">
        <f t="shared" si="366"/>
        <v>2261.76</v>
      </c>
      <c r="BX316" s="730">
        <f t="shared" si="367"/>
        <v>17528.64</v>
      </c>
      <c r="BY316" s="731" t="str">
        <f t="shared" si="368"/>
        <v>SR</v>
      </c>
    </row>
    <row r="317" s="698" customFormat="1" customHeight="1" spans="1:77">
      <c r="A317" s="208">
        <v>46090</v>
      </c>
      <c r="B317" s="208">
        <v>46149</v>
      </c>
      <c r="C317" s="211"/>
      <c r="D317" s="211" t="s">
        <v>542</v>
      </c>
      <c r="E317" s="211" t="s">
        <v>98</v>
      </c>
      <c r="F317" s="732">
        <v>1212</v>
      </c>
      <c r="G317" s="211" t="s">
        <v>510</v>
      </c>
      <c r="H317" s="211" t="str">
        <f>IFERROR(VLOOKUP(E317,名称!A:E,4,0),"")</f>
        <v>三代</v>
      </c>
      <c r="I317" s="268" t="str">
        <f t="shared" ref="I317:BT317" si="377">IF(OR($E317="",I$1=""),"",IF(TRIM(LEFT($E317,MIN(IFERROR(FIND("CDU",UPPER($E317)),999),IFERROR(FIND("BULK",UPPER($E317)),999),IFERROR(FIND("-",$E317),999),IFERROR(FIND("（",$E317),999))-1))=I$1,$F317,""))</f>
        <v/>
      </c>
      <c r="J317" s="268" t="str">
        <f t="shared" si="377"/>
        <v/>
      </c>
      <c r="K317" s="268" t="str">
        <f t="shared" si="377"/>
        <v/>
      </c>
      <c r="L317" s="268" t="str">
        <f t="shared" si="377"/>
        <v/>
      </c>
      <c r="M317" s="268" t="str">
        <f t="shared" si="377"/>
        <v/>
      </c>
      <c r="N317" s="268" t="str">
        <f t="shared" si="377"/>
        <v/>
      </c>
      <c r="O317" s="268" t="str">
        <f t="shared" si="377"/>
        <v/>
      </c>
      <c r="P317" s="268" t="str">
        <f t="shared" si="377"/>
        <v/>
      </c>
      <c r="Q317" s="268" t="str">
        <f t="shared" si="377"/>
        <v/>
      </c>
      <c r="R317" s="268" t="str">
        <f t="shared" si="377"/>
        <v/>
      </c>
      <c r="S317" s="268" t="str">
        <f t="shared" si="377"/>
        <v/>
      </c>
      <c r="T317" s="268" t="str">
        <f t="shared" si="377"/>
        <v/>
      </c>
      <c r="U317" s="268" t="str">
        <f t="shared" si="377"/>
        <v/>
      </c>
      <c r="V317" s="268" t="str">
        <f t="shared" si="377"/>
        <v/>
      </c>
      <c r="W317" s="268" t="str">
        <f t="shared" si="377"/>
        <v/>
      </c>
      <c r="X317" s="268" t="str">
        <f t="shared" si="377"/>
        <v/>
      </c>
      <c r="Y317" s="268" t="str">
        <f t="shared" si="377"/>
        <v/>
      </c>
      <c r="Z317" s="268" t="str">
        <f t="shared" si="377"/>
        <v/>
      </c>
      <c r="AA317" s="268" t="str">
        <f t="shared" si="377"/>
        <v/>
      </c>
      <c r="AB317" s="268" t="str">
        <f t="shared" si="377"/>
        <v/>
      </c>
      <c r="AC317" s="268" t="str">
        <f t="shared" si="377"/>
        <v/>
      </c>
      <c r="AD317" s="268" t="str">
        <f t="shared" si="377"/>
        <v/>
      </c>
      <c r="AE317" s="268" t="str">
        <f t="shared" si="377"/>
        <v/>
      </c>
      <c r="AF317" s="268" t="str">
        <f t="shared" si="377"/>
        <v/>
      </c>
      <c r="AG317" s="268" t="str">
        <f t="shared" si="377"/>
        <v/>
      </c>
      <c r="AH317" s="268" t="str">
        <f t="shared" si="377"/>
        <v/>
      </c>
      <c r="AI317" s="268" t="str">
        <f t="shared" si="377"/>
        <v/>
      </c>
      <c r="AJ317" s="268" t="str">
        <f t="shared" si="377"/>
        <v/>
      </c>
      <c r="AK317" s="268" t="str">
        <f t="shared" si="377"/>
        <v/>
      </c>
      <c r="AL317" s="268" t="str">
        <f t="shared" si="377"/>
        <v/>
      </c>
      <c r="AM317" s="268" t="str">
        <f t="shared" si="377"/>
        <v/>
      </c>
      <c r="AN317" s="268" t="str">
        <f t="shared" si="377"/>
        <v/>
      </c>
      <c r="AO317" s="268" t="str">
        <f t="shared" si="377"/>
        <v/>
      </c>
      <c r="AP317" s="268" t="str">
        <f t="shared" si="377"/>
        <v/>
      </c>
      <c r="AQ317" s="268" t="str">
        <f t="shared" si="377"/>
        <v/>
      </c>
      <c r="AR317" s="268" t="str">
        <f t="shared" si="377"/>
        <v/>
      </c>
      <c r="AS317" s="268" t="str">
        <f t="shared" si="377"/>
        <v/>
      </c>
      <c r="AT317" s="268" t="str">
        <f t="shared" si="377"/>
        <v/>
      </c>
      <c r="AU317" s="268" t="str">
        <f t="shared" si="377"/>
        <v/>
      </c>
      <c r="AV317" s="268" t="str">
        <f t="shared" si="377"/>
        <v/>
      </c>
      <c r="AW317" s="268" t="str">
        <f t="shared" si="377"/>
        <v/>
      </c>
      <c r="AX317" s="268" t="str">
        <f t="shared" si="377"/>
        <v/>
      </c>
      <c r="AY317" s="268" t="str">
        <f t="shared" si="377"/>
        <v/>
      </c>
      <c r="AZ317" s="268" t="str">
        <f t="shared" si="377"/>
        <v/>
      </c>
      <c r="BA317" s="268" t="str">
        <f t="shared" si="377"/>
        <v/>
      </c>
      <c r="BB317" s="268">
        <f t="shared" si="377"/>
        <v>1212</v>
      </c>
      <c r="BC317" s="268" t="str">
        <f t="shared" si="377"/>
        <v/>
      </c>
      <c r="BD317" s="268" t="str">
        <f t="shared" si="377"/>
        <v/>
      </c>
      <c r="BE317" s="268" t="str">
        <f t="shared" si="377"/>
        <v/>
      </c>
      <c r="BF317" s="268" t="str">
        <f t="shared" si="377"/>
        <v/>
      </c>
      <c r="BG317" s="268" t="str">
        <f t="shared" si="377"/>
        <v/>
      </c>
      <c r="BH317" s="268" t="str">
        <f t="shared" si="377"/>
        <v/>
      </c>
      <c r="BI317" s="268" t="str">
        <f t="shared" si="377"/>
        <v/>
      </c>
      <c r="BJ317" s="268" t="str">
        <f t="shared" si="377"/>
        <v/>
      </c>
      <c r="BK317" s="268" t="str">
        <f t="shared" si="377"/>
        <v/>
      </c>
      <c r="BL317" s="268" t="str">
        <f t="shared" si="377"/>
        <v/>
      </c>
      <c r="BM317" s="268" t="str">
        <f t="shared" si="377"/>
        <v/>
      </c>
      <c r="BN317" s="268" t="str">
        <f t="shared" si="377"/>
        <v/>
      </c>
      <c r="BO317" s="268" t="str">
        <f t="shared" si="377"/>
        <v/>
      </c>
      <c r="BP317" s="268" t="str">
        <f t="shared" si="377"/>
        <v/>
      </c>
      <c r="BQ317" s="268" t="str">
        <f t="shared" si="377"/>
        <v/>
      </c>
      <c r="BR317" s="268" t="str">
        <f t="shared" si="377"/>
        <v/>
      </c>
      <c r="BS317" s="268" t="str">
        <f t="shared" si="377"/>
        <v/>
      </c>
      <c r="BT317" s="268" t="str">
        <f t="shared" si="377"/>
        <v/>
      </c>
      <c r="BU317" s="268" t="str">
        <f t="shared" si="330"/>
        <v/>
      </c>
      <c r="BV317" s="247">
        <v>1.58</v>
      </c>
      <c r="BW317" s="729">
        <f t="shared" si="366"/>
        <v>1914.96</v>
      </c>
      <c r="BX317" s="730">
        <f t="shared" si="367"/>
        <v>14840.94</v>
      </c>
      <c r="BY317" s="731" t="str">
        <f t="shared" si="368"/>
        <v>SR</v>
      </c>
    </row>
    <row r="318" s="698" customFormat="1" customHeight="1" spans="1:77">
      <c r="A318" s="208">
        <v>46090</v>
      </c>
      <c r="B318" s="208">
        <v>46149</v>
      </c>
      <c r="C318" s="211"/>
      <c r="D318" s="211" t="s">
        <v>542</v>
      </c>
      <c r="E318" s="211" t="s">
        <v>94</v>
      </c>
      <c r="F318" s="732">
        <v>3648</v>
      </c>
      <c r="G318" s="211" t="s">
        <v>510</v>
      </c>
      <c r="H318" s="211" t="str">
        <f>IFERROR(VLOOKUP(E318,名称!A:E,4,0),"")</f>
        <v>三代</v>
      </c>
      <c r="I318" s="268" t="str">
        <f t="shared" ref="I318:BT318" si="378">IF(OR($E318="",I$1=""),"",IF(TRIM(LEFT($E318,MIN(IFERROR(FIND("CDU",UPPER($E318)),999),IFERROR(FIND("BULK",UPPER($E318)),999),IFERROR(FIND("-",$E318),999),IFERROR(FIND("（",$E318),999))-1))=I$1,$F318,""))</f>
        <v/>
      </c>
      <c r="J318" s="268" t="str">
        <f t="shared" si="378"/>
        <v/>
      </c>
      <c r="K318" s="268" t="str">
        <f t="shared" si="378"/>
        <v/>
      </c>
      <c r="L318" s="268" t="str">
        <f t="shared" si="378"/>
        <v/>
      </c>
      <c r="M318" s="268" t="str">
        <f t="shared" si="378"/>
        <v/>
      </c>
      <c r="N318" s="268" t="str">
        <f t="shared" si="378"/>
        <v/>
      </c>
      <c r="O318" s="268" t="str">
        <f t="shared" si="378"/>
        <v/>
      </c>
      <c r="P318" s="268" t="str">
        <f t="shared" si="378"/>
        <v/>
      </c>
      <c r="Q318" s="268" t="str">
        <f t="shared" si="378"/>
        <v/>
      </c>
      <c r="R318" s="268" t="str">
        <f t="shared" si="378"/>
        <v/>
      </c>
      <c r="S318" s="268" t="str">
        <f t="shared" si="378"/>
        <v/>
      </c>
      <c r="T318" s="268" t="str">
        <f t="shared" si="378"/>
        <v/>
      </c>
      <c r="U318" s="268" t="str">
        <f t="shared" si="378"/>
        <v/>
      </c>
      <c r="V318" s="268" t="str">
        <f t="shared" si="378"/>
        <v/>
      </c>
      <c r="W318" s="268" t="str">
        <f t="shared" si="378"/>
        <v/>
      </c>
      <c r="X318" s="268" t="str">
        <f t="shared" si="378"/>
        <v/>
      </c>
      <c r="Y318" s="268" t="str">
        <f t="shared" si="378"/>
        <v/>
      </c>
      <c r="Z318" s="268" t="str">
        <f t="shared" si="378"/>
        <v/>
      </c>
      <c r="AA318" s="268" t="str">
        <f t="shared" si="378"/>
        <v/>
      </c>
      <c r="AB318" s="268" t="str">
        <f t="shared" si="378"/>
        <v/>
      </c>
      <c r="AC318" s="268" t="str">
        <f t="shared" si="378"/>
        <v/>
      </c>
      <c r="AD318" s="268" t="str">
        <f t="shared" si="378"/>
        <v/>
      </c>
      <c r="AE318" s="268" t="str">
        <f t="shared" si="378"/>
        <v/>
      </c>
      <c r="AF318" s="268" t="str">
        <f t="shared" si="378"/>
        <v/>
      </c>
      <c r="AG318" s="268" t="str">
        <f t="shared" si="378"/>
        <v/>
      </c>
      <c r="AH318" s="268" t="str">
        <f t="shared" si="378"/>
        <v/>
      </c>
      <c r="AI318" s="268" t="str">
        <f t="shared" si="378"/>
        <v/>
      </c>
      <c r="AJ318" s="268" t="str">
        <f t="shared" si="378"/>
        <v/>
      </c>
      <c r="AK318" s="268" t="str">
        <f t="shared" si="378"/>
        <v/>
      </c>
      <c r="AL318" s="268" t="str">
        <f t="shared" si="378"/>
        <v/>
      </c>
      <c r="AM318" s="268" t="str">
        <f t="shared" si="378"/>
        <v/>
      </c>
      <c r="AN318" s="268" t="str">
        <f t="shared" si="378"/>
        <v/>
      </c>
      <c r="AO318" s="268" t="str">
        <f t="shared" si="378"/>
        <v/>
      </c>
      <c r="AP318" s="268" t="str">
        <f t="shared" si="378"/>
        <v/>
      </c>
      <c r="AQ318" s="268" t="str">
        <f t="shared" si="378"/>
        <v/>
      </c>
      <c r="AR318" s="268" t="str">
        <f t="shared" si="378"/>
        <v/>
      </c>
      <c r="AS318" s="268" t="str">
        <f t="shared" si="378"/>
        <v/>
      </c>
      <c r="AT318" s="268" t="str">
        <f t="shared" si="378"/>
        <v/>
      </c>
      <c r="AU318" s="268" t="str">
        <f t="shared" si="378"/>
        <v/>
      </c>
      <c r="AV318" s="268" t="str">
        <f t="shared" si="378"/>
        <v/>
      </c>
      <c r="AW318" s="268" t="str">
        <f t="shared" si="378"/>
        <v/>
      </c>
      <c r="AX318" s="268" t="str">
        <f t="shared" si="378"/>
        <v/>
      </c>
      <c r="AY318" s="268">
        <f t="shared" si="378"/>
        <v>3648</v>
      </c>
      <c r="AZ318" s="268" t="str">
        <f t="shared" si="378"/>
        <v/>
      </c>
      <c r="BA318" s="268" t="str">
        <f t="shared" si="378"/>
        <v/>
      </c>
      <c r="BB318" s="268" t="str">
        <f t="shared" si="378"/>
        <v/>
      </c>
      <c r="BC318" s="268" t="str">
        <f t="shared" si="378"/>
        <v/>
      </c>
      <c r="BD318" s="268" t="str">
        <f t="shared" si="378"/>
        <v/>
      </c>
      <c r="BE318" s="268" t="str">
        <f t="shared" si="378"/>
        <v/>
      </c>
      <c r="BF318" s="268" t="str">
        <f t="shared" si="378"/>
        <v/>
      </c>
      <c r="BG318" s="268" t="str">
        <f t="shared" si="378"/>
        <v/>
      </c>
      <c r="BH318" s="268" t="str">
        <f t="shared" si="378"/>
        <v/>
      </c>
      <c r="BI318" s="268" t="str">
        <f t="shared" si="378"/>
        <v/>
      </c>
      <c r="BJ318" s="268" t="str">
        <f t="shared" si="378"/>
        <v/>
      </c>
      <c r="BK318" s="268" t="str">
        <f t="shared" si="378"/>
        <v/>
      </c>
      <c r="BL318" s="268" t="str">
        <f t="shared" si="378"/>
        <v/>
      </c>
      <c r="BM318" s="268" t="str">
        <f t="shared" si="378"/>
        <v/>
      </c>
      <c r="BN318" s="268" t="str">
        <f t="shared" si="378"/>
        <v/>
      </c>
      <c r="BO318" s="268" t="str">
        <f t="shared" si="378"/>
        <v/>
      </c>
      <c r="BP318" s="268" t="str">
        <f t="shared" si="378"/>
        <v/>
      </c>
      <c r="BQ318" s="268" t="str">
        <f t="shared" si="378"/>
        <v/>
      </c>
      <c r="BR318" s="268" t="str">
        <f t="shared" si="378"/>
        <v/>
      </c>
      <c r="BS318" s="268" t="str">
        <f t="shared" si="378"/>
        <v/>
      </c>
      <c r="BT318" s="268" t="str">
        <f t="shared" si="378"/>
        <v/>
      </c>
      <c r="BU318" s="268" t="str">
        <f t="shared" si="330"/>
        <v/>
      </c>
      <c r="BV318" s="247">
        <v>0.62</v>
      </c>
      <c r="BW318" s="729">
        <f t="shared" si="366"/>
        <v>2261.76</v>
      </c>
      <c r="BX318" s="730">
        <f t="shared" si="367"/>
        <v>17528.64</v>
      </c>
      <c r="BY318" s="731" t="str">
        <f t="shared" si="368"/>
        <v>SR</v>
      </c>
    </row>
    <row r="319" s="698" customFormat="1" customHeight="1" spans="1:77">
      <c r="A319" s="208">
        <v>46090</v>
      </c>
      <c r="B319" s="208">
        <v>46149</v>
      </c>
      <c r="C319" s="211"/>
      <c r="D319" s="211" t="s">
        <v>542</v>
      </c>
      <c r="E319" s="211" t="s">
        <v>92</v>
      </c>
      <c r="F319" s="732">
        <v>2432</v>
      </c>
      <c r="G319" s="211" t="s">
        <v>510</v>
      </c>
      <c r="H319" s="211" t="str">
        <f>IFERROR(VLOOKUP(E319,名称!A:E,4,0),"")</f>
        <v>三代</v>
      </c>
      <c r="I319" s="268" t="str">
        <f t="shared" ref="I319:BT319" si="379">IF(OR($E319="",I$1=""),"",IF(TRIM(LEFT($E319,MIN(IFERROR(FIND("CDU",UPPER($E319)),999),IFERROR(FIND("BULK",UPPER($E319)),999),IFERROR(FIND("-",$E319),999),IFERROR(FIND("（",$E319),999))-1))=I$1,$F319,""))</f>
        <v/>
      </c>
      <c r="J319" s="268" t="str">
        <f t="shared" si="379"/>
        <v/>
      </c>
      <c r="K319" s="268" t="str">
        <f t="shared" si="379"/>
        <v/>
      </c>
      <c r="L319" s="268" t="str">
        <f t="shared" si="379"/>
        <v/>
      </c>
      <c r="M319" s="268" t="str">
        <f t="shared" si="379"/>
        <v/>
      </c>
      <c r="N319" s="268" t="str">
        <f t="shared" si="379"/>
        <v/>
      </c>
      <c r="O319" s="268" t="str">
        <f t="shared" si="379"/>
        <v/>
      </c>
      <c r="P319" s="268" t="str">
        <f t="shared" si="379"/>
        <v/>
      </c>
      <c r="Q319" s="268" t="str">
        <f t="shared" si="379"/>
        <v/>
      </c>
      <c r="R319" s="268" t="str">
        <f t="shared" si="379"/>
        <v/>
      </c>
      <c r="S319" s="268" t="str">
        <f t="shared" si="379"/>
        <v/>
      </c>
      <c r="T319" s="268" t="str">
        <f t="shared" si="379"/>
        <v/>
      </c>
      <c r="U319" s="268" t="str">
        <f t="shared" si="379"/>
        <v/>
      </c>
      <c r="V319" s="268" t="str">
        <f t="shared" si="379"/>
        <v/>
      </c>
      <c r="W319" s="268" t="str">
        <f t="shared" si="379"/>
        <v/>
      </c>
      <c r="X319" s="268" t="str">
        <f t="shared" si="379"/>
        <v/>
      </c>
      <c r="Y319" s="268" t="str">
        <f t="shared" si="379"/>
        <v/>
      </c>
      <c r="Z319" s="268" t="str">
        <f t="shared" si="379"/>
        <v/>
      </c>
      <c r="AA319" s="268" t="str">
        <f t="shared" si="379"/>
        <v/>
      </c>
      <c r="AB319" s="268" t="str">
        <f t="shared" si="379"/>
        <v/>
      </c>
      <c r="AC319" s="268" t="str">
        <f t="shared" si="379"/>
        <v/>
      </c>
      <c r="AD319" s="268" t="str">
        <f t="shared" si="379"/>
        <v/>
      </c>
      <c r="AE319" s="268" t="str">
        <f t="shared" si="379"/>
        <v/>
      </c>
      <c r="AF319" s="268" t="str">
        <f t="shared" si="379"/>
        <v/>
      </c>
      <c r="AG319" s="268" t="str">
        <f t="shared" si="379"/>
        <v/>
      </c>
      <c r="AH319" s="268" t="str">
        <f t="shared" si="379"/>
        <v/>
      </c>
      <c r="AI319" s="268" t="str">
        <f t="shared" si="379"/>
        <v/>
      </c>
      <c r="AJ319" s="268" t="str">
        <f t="shared" si="379"/>
        <v/>
      </c>
      <c r="AK319" s="268" t="str">
        <f t="shared" si="379"/>
        <v/>
      </c>
      <c r="AL319" s="268" t="str">
        <f t="shared" si="379"/>
        <v/>
      </c>
      <c r="AM319" s="268" t="str">
        <f t="shared" si="379"/>
        <v/>
      </c>
      <c r="AN319" s="268" t="str">
        <f t="shared" si="379"/>
        <v/>
      </c>
      <c r="AO319" s="268" t="str">
        <f t="shared" si="379"/>
        <v/>
      </c>
      <c r="AP319" s="268" t="str">
        <f t="shared" si="379"/>
        <v/>
      </c>
      <c r="AQ319" s="268" t="str">
        <f t="shared" si="379"/>
        <v/>
      </c>
      <c r="AR319" s="268" t="str">
        <f t="shared" si="379"/>
        <v/>
      </c>
      <c r="AS319" s="268" t="str">
        <f t="shared" si="379"/>
        <v/>
      </c>
      <c r="AT319" s="268" t="str">
        <f t="shared" si="379"/>
        <v/>
      </c>
      <c r="AU319" s="268" t="str">
        <f t="shared" si="379"/>
        <v/>
      </c>
      <c r="AV319" s="268" t="str">
        <f t="shared" si="379"/>
        <v/>
      </c>
      <c r="AW319" s="268" t="str">
        <f t="shared" si="379"/>
        <v/>
      </c>
      <c r="AX319" s="268">
        <f t="shared" si="379"/>
        <v>2432</v>
      </c>
      <c r="AY319" s="268" t="str">
        <f t="shared" si="379"/>
        <v/>
      </c>
      <c r="AZ319" s="268" t="str">
        <f t="shared" si="379"/>
        <v/>
      </c>
      <c r="BA319" s="268" t="str">
        <f t="shared" si="379"/>
        <v/>
      </c>
      <c r="BB319" s="268" t="str">
        <f t="shared" si="379"/>
        <v/>
      </c>
      <c r="BC319" s="268" t="str">
        <f t="shared" si="379"/>
        <v/>
      </c>
      <c r="BD319" s="268" t="str">
        <f t="shared" si="379"/>
        <v/>
      </c>
      <c r="BE319" s="268" t="str">
        <f t="shared" si="379"/>
        <v/>
      </c>
      <c r="BF319" s="268" t="str">
        <f t="shared" si="379"/>
        <v/>
      </c>
      <c r="BG319" s="268" t="str">
        <f t="shared" si="379"/>
        <v/>
      </c>
      <c r="BH319" s="268" t="str">
        <f t="shared" si="379"/>
        <v/>
      </c>
      <c r="BI319" s="268" t="str">
        <f t="shared" si="379"/>
        <v/>
      </c>
      <c r="BJ319" s="268" t="str">
        <f t="shared" si="379"/>
        <v/>
      </c>
      <c r="BK319" s="268" t="str">
        <f t="shared" si="379"/>
        <v/>
      </c>
      <c r="BL319" s="268" t="str">
        <f t="shared" si="379"/>
        <v/>
      </c>
      <c r="BM319" s="268" t="str">
        <f t="shared" si="379"/>
        <v/>
      </c>
      <c r="BN319" s="268" t="str">
        <f t="shared" si="379"/>
        <v/>
      </c>
      <c r="BO319" s="268" t="str">
        <f t="shared" si="379"/>
        <v/>
      </c>
      <c r="BP319" s="268" t="str">
        <f t="shared" si="379"/>
        <v/>
      </c>
      <c r="BQ319" s="268" t="str">
        <f t="shared" si="379"/>
        <v/>
      </c>
      <c r="BR319" s="268" t="str">
        <f t="shared" si="379"/>
        <v/>
      </c>
      <c r="BS319" s="268" t="str">
        <f t="shared" si="379"/>
        <v/>
      </c>
      <c r="BT319" s="268" t="str">
        <f t="shared" si="379"/>
        <v/>
      </c>
      <c r="BU319" s="268" t="str">
        <f t="shared" si="330"/>
        <v/>
      </c>
      <c r="BV319" s="247">
        <v>0.86</v>
      </c>
      <c r="BW319" s="729">
        <f t="shared" si="366"/>
        <v>2091.52</v>
      </c>
      <c r="BX319" s="730">
        <f t="shared" si="367"/>
        <v>16209.28</v>
      </c>
      <c r="BY319" s="731" t="str">
        <f t="shared" si="368"/>
        <v>SR</v>
      </c>
    </row>
    <row r="320" s="698" customFormat="1" customHeight="1" spans="1:77">
      <c r="A320" s="208">
        <v>46090</v>
      </c>
      <c r="B320" s="208">
        <v>46149</v>
      </c>
      <c r="C320" s="211"/>
      <c r="D320" s="211" t="s">
        <v>542</v>
      </c>
      <c r="E320" s="211" t="s">
        <v>95</v>
      </c>
      <c r="F320" s="732">
        <v>808</v>
      </c>
      <c r="G320" s="211" t="s">
        <v>510</v>
      </c>
      <c r="H320" s="211" t="str">
        <f>IFERROR(VLOOKUP(E320,名称!A:E,4,0),"")</f>
        <v>三代</v>
      </c>
      <c r="I320" s="268" t="str">
        <f t="shared" ref="I320:BT320" si="380">IF(OR($E320="",I$1=""),"",IF(TRIM(LEFT($E320,MIN(IFERROR(FIND("CDU",UPPER($E320)),999),IFERROR(FIND("BULK",UPPER($E320)),999),IFERROR(FIND("-",$E320),999),IFERROR(FIND("（",$E320),999))-1))=I$1,$F320,""))</f>
        <v/>
      </c>
      <c r="J320" s="268" t="str">
        <f t="shared" si="380"/>
        <v/>
      </c>
      <c r="K320" s="268" t="str">
        <f t="shared" si="380"/>
        <v/>
      </c>
      <c r="L320" s="268" t="str">
        <f t="shared" si="380"/>
        <v/>
      </c>
      <c r="M320" s="268" t="str">
        <f t="shared" si="380"/>
        <v/>
      </c>
      <c r="N320" s="268" t="str">
        <f t="shared" si="380"/>
        <v/>
      </c>
      <c r="O320" s="268" t="str">
        <f t="shared" si="380"/>
        <v/>
      </c>
      <c r="P320" s="268" t="str">
        <f t="shared" si="380"/>
        <v/>
      </c>
      <c r="Q320" s="268" t="str">
        <f t="shared" si="380"/>
        <v/>
      </c>
      <c r="R320" s="268" t="str">
        <f t="shared" si="380"/>
        <v/>
      </c>
      <c r="S320" s="268" t="str">
        <f t="shared" si="380"/>
        <v/>
      </c>
      <c r="T320" s="268" t="str">
        <f t="shared" si="380"/>
        <v/>
      </c>
      <c r="U320" s="268" t="str">
        <f t="shared" si="380"/>
        <v/>
      </c>
      <c r="V320" s="268" t="str">
        <f t="shared" si="380"/>
        <v/>
      </c>
      <c r="W320" s="268" t="str">
        <f t="shared" si="380"/>
        <v/>
      </c>
      <c r="X320" s="268" t="str">
        <f t="shared" si="380"/>
        <v/>
      </c>
      <c r="Y320" s="268" t="str">
        <f t="shared" si="380"/>
        <v/>
      </c>
      <c r="Z320" s="268" t="str">
        <f t="shared" si="380"/>
        <v/>
      </c>
      <c r="AA320" s="268" t="str">
        <f t="shared" si="380"/>
        <v/>
      </c>
      <c r="AB320" s="268" t="str">
        <f t="shared" si="380"/>
        <v/>
      </c>
      <c r="AC320" s="268" t="str">
        <f t="shared" si="380"/>
        <v/>
      </c>
      <c r="AD320" s="268" t="str">
        <f t="shared" si="380"/>
        <v/>
      </c>
      <c r="AE320" s="268" t="str">
        <f t="shared" si="380"/>
        <v/>
      </c>
      <c r="AF320" s="268" t="str">
        <f t="shared" si="380"/>
        <v/>
      </c>
      <c r="AG320" s="268" t="str">
        <f t="shared" si="380"/>
        <v/>
      </c>
      <c r="AH320" s="268" t="str">
        <f t="shared" si="380"/>
        <v/>
      </c>
      <c r="AI320" s="268" t="str">
        <f t="shared" si="380"/>
        <v/>
      </c>
      <c r="AJ320" s="268" t="str">
        <f t="shared" si="380"/>
        <v/>
      </c>
      <c r="AK320" s="268" t="str">
        <f t="shared" si="380"/>
        <v/>
      </c>
      <c r="AL320" s="268" t="str">
        <f t="shared" si="380"/>
        <v/>
      </c>
      <c r="AM320" s="268" t="str">
        <f t="shared" si="380"/>
        <v/>
      </c>
      <c r="AN320" s="268" t="str">
        <f t="shared" si="380"/>
        <v/>
      </c>
      <c r="AO320" s="268" t="str">
        <f t="shared" si="380"/>
        <v/>
      </c>
      <c r="AP320" s="268" t="str">
        <f t="shared" si="380"/>
        <v/>
      </c>
      <c r="AQ320" s="268" t="str">
        <f t="shared" si="380"/>
        <v/>
      </c>
      <c r="AR320" s="268" t="str">
        <f t="shared" si="380"/>
        <v/>
      </c>
      <c r="AS320" s="268" t="str">
        <f t="shared" si="380"/>
        <v/>
      </c>
      <c r="AT320" s="268" t="str">
        <f t="shared" si="380"/>
        <v/>
      </c>
      <c r="AU320" s="268" t="str">
        <f t="shared" si="380"/>
        <v/>
      </c>
      <c r="AV320" s="268" t="str">
        <f t="shared" si="380"/>
        <v/>
      </c>
      <c r="AW320" s="268" t="str">
        <f t="shared" si="380"/>
        <v/>
      </c>
      <c r="AX320" s="268" t="str">
        <f t="shared" si="380"/>
        <v/>
      </c>
      <c r="AY320" s="268" t="str">
        <f t="shared" si="380"/>
        <v/>
      </c>
      <c r="AZ320" s="268">
        <f t="shared" si="380"/>
        <v>808</v>
      </c>
      <c r="BA320" s="268" t="str">
        <f t="shared" si="380"/>
        <v/>
      </c>
      <c r="BB320" s="268" t="str">
        <f t="shared" si="380"/>
        <v/>
      </c>
      <c r="BC320" s="268" t="str">
        <f t="shared" si="380"/>
        <v/>
      </c>
      <c r="BD320" s="268" t="str">
        <f t="shared" si="380"/>
        <v/>
      </c>
      <c r="BE320" s="268" t="str">
        <f t="shared" si="380"/>
        <v/>
      </c>
      <c r="BF320" s="268" t="str">
        <f t="shared" si="380"/>
        <v/>
      </c>
      <c r="BG320" s="268" t="str">
        <f t="shared" si="380"/>
        <v/>
      </c>
      <c r="BH320" s="268" t="str">
        <f t="shared" si="380"/>
        <v/>
      </c>
      <c r="BI320" s="268" t="str">
        <f t="shared" si="380"/>
        <v/>
      </c>
      <c r="BJ320" s="268" t="str">
        <f t="shared" si="380"/>
        <v/>
      </c>
      <c r="BK320" s="268" t="str">
        <f t="shared" si="380"/>
        <v/>
      </c>
      <c r="BL320" s="268" t="str">
        <f t="shared" si="380"/>
        <v/>
      </c>
      <c r="BM320" s="268" t="str">
        <f t="shared" si="380"/>
        <v/>
      </c>
      <c r="BN320" s="268" t="str">
        <f t="shared" si="380"/>
        <v/>
      </c>
      <c r="BO320" s="268" t="str">
        <f t="shared" si="380"/>
        <v/>
      </c>
      <c r="BP320" s="268" t="str">
        <f t="shared" si="380"/>
        <v/>
      </c>
      <c r="BQ320" s="268" t="str">
        <f t="shared" si="380"/>
        <v/>
      </c>
      <c r="BR320" s="268" t="str">
        <f t="shared" si="380"/>
        <v/>
      </c>
      <c r="BS320" s="268" t="str">
        <f t="shared" si="380"/>
        <v/>
      </c>
      <c r="BT320" s="268" t="str">
        <f t="shared" si="380"/>
        <v/>
      </c>
      <c r="BU320" s="268" t="str">
        <f t="shared" si="330"/>
        <v/>
      </c>
      <c r="BV320" s="247">
        <v>3.09</v>
      </c>
      <c r="BW320" s="729">
        <f t="shared" si="366"/>
        <v>2496.72</v>
      </c>
      <c r="BX320" s="730">
        <f t="shared" si="367"/>
        <v>19349.58</v>
      </c>
      <c r="BY320" s="731" t="str">
        <f t="shared" si="368"/>
        <v>SR</v>
      </c>
    </row>
    <row r="321" s="698" customFormat="1" customHeight="1" spans="1:77">
      <c r="A321" s="208">
        <v>46090</v>
      </c>
      <c r="B321" s="208">
        <v>46149</v>
      </c>
      <c r="C321" s="211"/>
      <c r="D321" s="211" t="s">
        <v>542</v>
      </c>
      <c r="E321" s="211" t="s">
        <v>110</v>
      </c>
      <c r="F321" s="732">
        <v>1224</v>
      </c>
      <c r="G321" s="211" t="s">
        <v>510</v>
      </c>
      <c r="H321" s="211" t="str">
        <f>IFERROR(VLOOKUP(E321,名称!A:E,4,0),"")</f>
        <v>三代</v>
      </c>
      <c r="I321" s="268" t="str">
        <f t="shared" ref="I321:BT321" si="381">IF(OR($E321="",I$1=""),"",IF(TRIM(LEFT($E321,MIN(IFERROR(FIND("CDU",UPPER($E321)),999),IFERROR(FIND("BULK",UPPER($E321)),999),IFERROR(FIND("-",$E321),999),IFERROR(FIND("（",$E321),999))-1))=I$1,$F321,""))</f>
        <v/>
      </c>
      <c r="J321" s="268" t="str">
        <f t="shared" si="381"/>
        <v/>
      </c>
      <c r="K321" s="268" t="str">
        <f t="shared" si="381"/>
        <v/>
      </c>
      <c r="L321" s="268" t="str">
        <f t="shared" si="381"/>
        <v/>
      </c>
      <c r="M321" s="268" t="str">
        <f t="shared" si="381"/>
        <v/>
      </c>
      <c r="N321" s="268" t="str">
        <f t="shared" si="381"/>
        <v/>
      </c>
      <c r="O321" s="268" t="str">
        <f t="shared" si="381"/>
        <v/>
      </c>
      <c r="P321" s="268" t="str">
        <f t="shared" si="381"/>
        <v/>
      </c>
      <c r="Q321" s="268" t="str">
        <f t="shared" si="381"/>
        <v/>
      </c>
      <c r="R321" s="268" t="str">
        <f t="shared" si="381"/>
        <v/>
      </c>
      <c r="S321" s="268" t="str">
        <f t="shared" si="381"/>
        <v/>
      </c>
      <c r="T321" s="268" t="str">
        <f t="shared" si="381"/>
        <v/>
      </c>
      <c r="U321" s="268" t="str">
        <f t="shared" si="381"/>
        <v/>
      </c>
      <c r="V321" s="268" t="str">
        <f t="shared" si="381"/>
        <v/>
      </c>
      <c r="W321" s="268" t="str">
        <f t="shared" si="381"/>
        <v/>
      </c>
      <c r="X321" s="268" t="str">
        <f t="shared" si="381"/>
        <v/>
      </c>
      <c r="Y321" s="268" t="str">
        <f t="shared" si="381"/>
        <v/>
      </c>
      <c r="Z321" s="268" t="str">
        <f t="shared" si="381"/>
        <v/>
      </c>
      <c r="AA321" s="268" t="str">
        <f t="shared" si="381"/>
        <v/>
      </c>
      <c r="AB321" s="268" t="str">
        <f t="shared" si="381"/>
        <v/>
      </c>
      <c r="AC321" s="268" t="str">
        <f t="shared" si="381"/>
        <v/>
      </c>
      <c r="AD321" s="268" t="str">
        <f t="shared" si="381"/>
        <v/>
      </c>
      <c r="AE321" s="268" t="str">
        <f t="shared" si="381"/>
        <v/>
      </c>
      <c r="AF321" s="268" t="str">
        <f t="shared" si="381"/>
        <v/>
      </c>
      <c r="AG321" s="268" t="str">
        <f t="shared" si="381"/>
        <v/>
      </c>
      <c r="AH321" s="268" t="str">
        <f t="shared" si="381"/>
        <v/>
      </c>
      <c r="AI321" s="268" t="str">
        <f t="shared" si="381"/>
        <v/>
      </c>
      <c r="AJ321" s="268" t="str">
        <f t="shared" si="381"/>
        <v/>
      </c>
      <c r="AK321" s="268" t="str">
        <f t="shared" si="381"/>
        <v/>
      </c>
      <c r="AL321" s="268" t="str">
        <f t="shared" si="381"/>
        <v/>
      </c>
      <c r="AM321" s="268" t="str">
        <f t="shared" si="381"/>
        <v/>
      </c>
      <c r="AN321" s="268" t="str">
        <f t="shared" si="381"/>
        <v/>
      </c>
      <c r="AO321" s="268" t="str">
        <f t="shared" si="381"/>
        <v/>
      </c>
      <c r="AP321" s="268" t="str">
        <f t="shared" si="381"/>
        <v/>
      </c>
      <c r="AQ321" s="268" t="str">
        <f t="shared" si="381"/>
        <v/>
      </c>
      <c r="AR321" s="268" t="str">
        <f t="shared" si="381"/>
        <v/>
      </c>
      <c r="AS321" s="268" t="str">
        <f t="shared" si="381"/>
        <v/>
      </c>
      <c r="AT321" s="268" t="str">
        <f t="shared" si="381"/>
        <v/>
      </c>
      <c r="AU321" s="268" t="str">
        <f t="shared" si="381"/>
        <v/>
      </c>
      <c r="AV321" s="268" t="str">
        <f t="shared" si="381"/>
        <v/>
      </c>
      <c r="AW321" s="268" t="str">
        <f t="shared" si="381"/>
        <v/>
      </c>
      <c r="AX321" s="268" t="str">
        <f t="shared" si="381"/>
        <v/>
      </c>
      <c r="AY321" s="268" t="str">
        <f t="shared" si="381"/>
        <v/>
      </c>
      <c r="AZ321" s="268" t="str">
        <f t="shared" si="381"/>
        <v/>
      </c>
      <c r="BA321" s="268" t="str">
        <f t="shared" si="381"/>
        <v/>
      </c>
      <c r="BB321" s="268" t="str">
        <f t="shared" si="381"/>
        <v/>
      </c>
      <c r="BC321" s="268" t="str">
        <f t="shared" si="381"/>
        <v/>
      </c>
      <c r="BD321" s="268" t="str">
        <f t="shared" si="381"/>
        <v/>
      </c>
      <c r="BE321" s="268">
        <f t="shared" si="381"/>
        <v>1224</v>
      </c>
      <c r="BF321" s="268" t="str">
        <f t="shared" si="381"/>
        <v/>
      </c>
      <c r="BG321" s="268" t="str">
        <f t="shared" si="381"/>
        <v/>
      </c>
      <c r="BH321" s="268" t="str">
        <f t="shared" si="381"/>
        <v/>
      </c>
      <c r="BI321" s="268" t="str">
        <f t="shared" si="381"/>
        <v/>
      </c>
      <c r="BJ321" s="268" t="str">
        <f t="shared" si="381"/>
        <v/>
      </c>
      <c r="BK321" s="268" t="str">
        <f t="shared" si="381"/>
        <v/>
      </c>
      <c r="BL321" s="268" t="str">
        <f t="shared" si="381"/>
        <v/>
      </c>
      <c r="BM321" s="268" t="str">
        <f t="shared" si="381"/>
        <v/>
      </c>
      <c r="BN321" s="268" t="str">
        <f t="shared" si="381"/>
        <v/>
      </c>
      <c r="BO321" s="268" t="str">
        <f t="shared" si="381"/>
        <v/>
      </c>
      <c r="BP321" s="268" t="str">
        <f t="shared" si="381"/>
        <v/>
      </c>
      <c r="BQ321" s="268" t="str">
        <f t="shared" si="381"/>
        <v/>
      </c>
      <c r="BR321" s="268" t="str">
        <f t="shared" si="381"/>
        <v/>
      </c>
      <c r="BS321" s="268" t="str">
        <f t="shared" si="381"/>
        <v/>
      </c>
      <c r="BT321" s="268" t="str">
        <f t="shared" si="381"/>
        <v/>
      </c>
      <c r="BU321" s="268" t="str">
        <f t="shared" si="330"/>
        <v/>
      </c>
      <c r="BV321" s="247">
        <v>0.59</v>
      </c>
      <c r="BW321" s="729">
        <f t="shared" si="366"/>
        <v>722.16</v>
      </c>
      <c r="BX321" s="730">
        <f t="shared" si="367"/>
        <v>5596.74</v>
      </c>
      <c r="BY321" s="731" t="str">
        <f t="shared" si="368"/>
        <v>JS</v>
      </c>
    </row>
    <row r="322" s="697" customFormat="1" customHeight="1" spans="1:77">
      <c r="A322" s="116">
        <v>46091</v>
      </c>
      <c r="B322" s="116">
        <v>46266</v>
      </c>
      <c r="C322" s="118" t="s">
        <v>543</v>
      </c>
      <c r="D322" s="118" t="s">
        <v>544</v>
      </c>
      <c r="E322" s="118" t="s">
        <v>68</v>
      </c>
      <c r="F322" s="726">
        <v>30400</v>
      </c>
      <c r="G322" s="118" t="s">
        <v>270</v>
      </c>
      <c r="H322" s="118" t="str">
        <f>IFERROR(VLOOKUP(E322,名称!A:E,4,0),"")</f>
        <v>三代</v>
      </c>
      <c r="I322" s="418" t="str">
        <f t="shared" ref="I322:BT322" si="382">IF(OR($E322="",I$1=""),"",IF(TRIM(LEFT($E322,MIN(IFERROR(FIND("CDU",UPPER($E322)),999),IFERROR(FIND("BULK",UPPER($E322)),999),IFERROR(FIND("-",$E322),999),IFERROR(FIND("（",$E322),999))-1))=I$1,$F322,""))</f>
        <v/>
      </c>
      <c r="J322" s="418" t="str">
        <f t="shared" si="382"/>
        <v/>
      </c>
      <c r="K322" s="418" t="str">
        <f t="shared" si="382"/>
        <v/>
      </c>
      <c r="L322" s="418" t="str">
        <f t="shared" si="382"/>
        <v/>
      </c>
      <c r="M322" s="418" t="str">
        <f t="shared" si="382"/>
        <v/>
      </c>
      <c r="N322" s="418" t="str">
        <f t="shared" si="382"/>
        <v/>
      </c>
      <c r="O322" s="418" t="str">
        <f t="shared" si="382"/>
        <v/>
      </c>
      <c r="P322" s="418" t="str">
        <f t="shared" si="382"/>
        <v/>
      </c>
      <c r="Q322" s="418" t="str">
        <f t="shared" si="382"/>
        <v/>
      </c>
      <c r="R322" s="418" t="str">
        <f t="shared" si="382"/>
        <v/>
      </c>
      <c r="S322" s="418" t="str">
        <f t="shared" si="382"/>
        <v/>
      </c>
      <c r="T322" s="418" t="str">
        <f t="shared" si="382"/>
        <v/>
      </c>
      <c r="U322" s="418" t="str">
        <f t="shared" si="382"/>
        <v/>
      </c>
      <c r="V322" s="418" t="str">
        <f t="shared" si="382"/>
        <v/>
      </c>
      <c r="W322" s="418" t="str">
        <f t="shared" si="382"/>
        <v/>
      </c>
      <c r="X322" s="418" t="str">
        <f t="shared" si="382"/>
        <v/>
      </c>
      <c r="Y322" s="418" t="str">
        <f t="shared" si="382"/>
        <v/>
      </c>
      <c r="Z322" s="418" t="str">
        <f t="shared" si="382"/>
        <v/>
      </c>
      <c r="AA322" s="418" t="str">
        <f t="shared" si="382"/>
        <v/>
      </c>
      <c r="AB322" s="418" t="str">
        <f t="shared" si="382"/>
        <v/>
      </c>
      <c r="AC322" s="418" t="str">
        <f t="shared" si="382"/>
        <v/>
      </c>
      <c r="AD322" s="418" t="str">
        <f t="shared" si="382"/>
        <v/>
      </c>
      <c r="AE322" s="418" t="str">
        <f t="shared" si="382"/>
        <v/>
      </c>
      <c r="AF322" s="418" t="str">
        <f t="shared" si="382"/>
        <v/>
      </c>
      <c r="AG322" s="418" t="str">
        <f t="shared" si="382"/>
        <v/>
      </c>
      <c r="AH322" s="418">
        <f t="shared" si="382"/>
        <v>30400</v>
      </c>
      <c r="AI322" s="418" t="str">
        <f t="shared" si="382"/>
        <v/>
      </c>
      <c r="AJ322" s="418" t="str">
        <f t="shared" si="382"/>
        <v/>
      </c>
      <c r="AK322" s="418" t="str">
        <f t="shared" si="382"/>
        <v/>
      </c>
      <c r="AL322" s="418" t="str">
        <f t="shared" si="382"/>
        <v/>
      </c>
      <c r="AM322" s="418" t="str">
        <f t="shared" si="382"/>
        <v/>
      </c>
      <c r="AN322" s="418" t="str">
        <f t="shared" si="382"/>
        <v/>
      </c>
      <c r="AO322" s="418" t="str">
        <f t="shared" si="382"/>
        <v/>
      </c>
      <c r="AP322" s="418" t="str">
        <f t="shared" si="382"/>
        <v/>
      </c>
      <c r="AQ322" s="418" t="str">
        <f t="shared" si="382"/>
        <v/>
      </c>
      <c r="AR322" s="418" t="str">
        <f t="shared" si="382"/>
        <v/>
      </c>
      <c r="AS322" s="418" t="str">
        <f t="shared" si="382"/>
        <v/>
      </c>
      <c r="AT322" s="418" t="str">
        <f t="shared" si="382"/>
        <v/>
      </c>
      <c r="AU322" s="418" t="str">
        <f t="shared" si="382"/>
        <v/>
      </c>
      <c r="AV322" s="418" t="str">
        <f t="shared" si="382"/>
        <v/>
      </c>
      <c r="AW322" s="418" t="str">
        <f t="shared" si="382"/>
        <v/>
      </c>
      <c r="AX322" s="418" t="str">
        <f t="shared" si="382"/>
        <v/>
      </c>
      <c r="AY322" s="418" t="str">
        <f t="shared" si="382"/>
        <v/>
      </c>
      <c r="AZ322" s="418" t="str">
        <f t="shared" si="382"/>
        <v/>
      </c>
      <c r="BA322" s="418" t="str">
        <f t="shared" si="382"/>
        <v/>
      </c>
      <c r="BB322" s="418" t="str">
        <f t="shared" si="382"/>
        <v/>
      </c>
      <c r="BC322" s="418" t="str">
        <f t="shared" si="382"/>
        <v/>
      </c>
      <c r="BD322" s="418" t="str">
        <f t="shared" si="382"/>
        <v/>
      </c>
      <c r="BE322" s="418" t="str">
        <f t="shared" si="382"/>
        <v/>
      </c>
      <c r="BF322" s="418" t="str">
        <f t="shared" si="382"/>
        <v/>
      </c>
      <c r="BG322" s="418" t="str">
        <f t="shared" si="382"/>
        <v/>
      </c>
      <c r="BH322" s="418" t="str">
        <f t="shared" si="382"/>
        <v/>
      </c>
      <c r="BI322" s="418" t="str">
        <f t="shared" si="382"/>
        <v/>
      </c>
      <c r="BJ322" s="418" t="str">
        <f t="shared" si="382"/>
        <v/>
      </c>
      <c r="BK322" s="418" t="str">
        <f t="shared" si="382"/>
        <v/>
      </c>
      <c r="BL322" s="418" t="str">
        <f t="shared" si="382"/>
        <v/>
      </c>
      <c r="BM322" s="418" t="str">
        <f t="shared" si="382"/>
        <v/>
      </c>
      <c r="BN322" s="418" t="str">
        <f t="shared" si="382"/>
        <v/>
      </c>
      <c r="BO322" s="418" t="str">
        <f t="shared" si="382"/>
        <v/>
      </c>
      <c r="BP322" s="418" t="str">
        <f t="shared" si="382"/>
        <v/>
      </c>
      <c r="BQ322" s="418" t="str">
        <f t="shared" si="382"/>
        <v/>
      </c>
      <c r="BR322" s="418" t="str">
        <f t="shared" si="382"/>
        <v/>
      </c>
      <c r="BS322" s="418" t="str">
        <f t="shared" si="382"/>
        <v/>
      </c>
      <c r="BT322" s="418" t="str">
        <f t="shared" si="382"/>
        <v/>
      </c>
      <c r="BU322" s="418" t="str">
        <f t="shared" si="330"/>
        <v/>
      </c>
      <c r="BV322" s="544">
        <v>3.09</v>
      </c>
      <c r="BW322" s="723">
        <f t="shared" si="366"/>
        <v>93936</v>
      </c>
      <c r="BX322" s="724">
        <f t="shared" si="367"/>
        <v>728004</v>
      </c>
      <c r="BY322" s="725" t="str">
        <f t="shared" si="368"/>
        <v>SR</v>
      </c>
    </row>
    <row r="323" s="698" customFormat="1" customHeight="1" spans="1:77">
      <c r="A323" s="208">
        <v>46092</v>
      </c>
      <c r="B323" s="208">
        <v>46150</v>
      </c>
      <c r="C323" s="211"/>
      <c r="D323" s="211" t="s">
        <v>545</v>
      </c>
      <c r="E323" s="211" t="s">
        <v>113</v>
      </c>
      <c r="F323" s="732">
        <v>6000</v>
      </c>
      <c r="G323" s="211" t="s">
        <v>334</v>
      </c>
      <c r="H323" s="211" t="str">
        <f>IFERROR(VLOOKUP(E323,名称!A:E,4,0),"")</f>
        <v>三代</v>
      </c>
      <c r="I323" s="268" t="str">
        <f t="shared" ref="I323:BT323" si="383">IF(OR($E323="",I$1=""),"",IF(TRIM(LEFT($E323,MIN(IFERROR(FIND("CDU",UPPER($E323)),999),IFERROR(FIND("BULK",UPPER($E323)),999),IFERROR(FIND("-",$E323),999),IFERROR(FIND("（",$E323),999))-1))=I$1,$F323,""))</f>
        <v/>
      </c>
      <c r="J323" s="268" t="str">
        <f t="shared" si="383"/>
        <v/>
      </c>
      <c r="K323" s="268" t="str">
        <f t="shared" si="383"/>
        <v/>
      </c>
      <c r="L323" s="268" t="str">
        <f t="shared" si="383"/>
        <v/>
      </c>
      <c r="M323" s="268" t="str">
        <f t="shared" si="383"/>
        <v/>
      </c>
      <c r="N323" s="268" t="str">
        <f t="shared" si="383"/>
        <v/>
      </c>
      <c r="O323" s="268" t="str">
        <f t="shared" si="383"/>
        <v/>
      </c>
      <c r="P323" s="268" t="str">
        <f t="shared" si="383"/>
        <v/>
      </c>
      <c r="Q323" s="268" t="str">
        <f t="shared" si="383"/>
        <v/>
      </c>
      <c r="R323" s="268" t="str">
        <f t="shared" si="383"/>
        <v/>
      </c>
      <c r="S323" s="268" t="str">
        <f t="shared" si="383"/>
        <v/>
      </c>
      <c r="T323" s="268" t="str">
        <f t="shared" si="383"/>
        <v/>
      </c>
      <c r="U323" s="268" t="str">
        <f t="shared" si="383"/>
        <v/>
      </c>
      <c r="V323" s="268" t="str">
        <f t="shared" si="383"/>
        <v/>
      </c>
      <c r="W323" s="268" t="str">
        <f t="shared" si="383"/>
        <v/>
      </c>
      <c r="X323" s="268" t="str">
        <f t="shared" si="383"/>
        <v/>
      </c>
      <c r="Y323" s="268" t="str">
        <f t="shared" si="383"/>
        <v/>
      </c>
      <c r="Z323" s="268" t="str">
        <f t="shared" si="383"/>
        <v/>
      </c>
      <c r="AA323" s="268" t="str">
        <f t="shared" si="383"/>
        <v/>
      </c>
      <c r="AB323" s="268" t="str">
        <f t="shared" si="383"/>
        <v/>
      </c>
      <c r="AC323" s="268" t="str">
        <f t="shared" si="383"/>
        <v/>
      </c>
      <c r="AD323" s="268" t="str">
        <f t="shared" si="383"/>
        <v/>
      </c>
      <c r="AE323" s="268" t="str">
        <f t="shared" si="383"/>
        <v/>
      </c>
      <c r="AF323" s="268" t="str">
        <f t="shared" si="383"/>
        <v/>
      </c>
      <c r="AG323" s="268" t="str">
        <f t="shared" si="383"/>
        <v/>
      </c>
      <c r="AH323" s="268" t="str">
        <f t="shared" si="383"/>
        <v/>
      </c>
      <c r="AI323" s="268" t="str">
        <f t="shared" si="383"/>
        <v/>
      </c>
      <c r="AJ323" s="268" t="str">
        <f t="shared" si="383"/>
        <v/>
      </c>
      <c r="AK323" s="268" t="str">
        <f t="shared" si="383"/>
        <v/>
      </c>
      <c r="AL323" s="268" t="str">
        <f t="shared" si="383"/>
        <v/>
      </c>
      <c r="AM323" s="268">
        <f t="shared" si="383"/>
        <v>6000</v>
      </c>
      <c r="AN323" s="268" t="str">
        <f t="shared" si="383"/>
        <v/>
      </c>
      <c r="AO323" s="268" t="str">
        <f t="shared" si="383"/>
        <v/>
      </c>
      <c r="AP323" s="268" t="str">
        <f t="shared" si="383"/>
        <v/>
      </c>
      <c r="AQ323" s="268" t="str">
        <f t="shared" si="383"/>
        <v/>
      </c>
      <c r="AR323" s="268" t="str">
        <f t="shared" si="383"/>
        <v/>
      </c>
      <c r="AS323" s="268" t="str">
        <f t="shared" si="383"/>
        <v/>
      </c>
      <c r="AT323" s="268" t="str">
        <f t="shared" si="383"/>
        <v/>
      </c>
      <c r="AU323" s="268" t="str">
        <f t="shared" si="383"/>
        <v/>
      </c>
      <c r="AV323" s="268" t="str">
        <f t="shared" si="383"/>
        <v/>
      </c>
      <c r="AW323" s="268" t="str">
        <f t="shared" si="383"/>
        <v/>
      </c>
      <c r="AX323" s="268" t="str">
        <f t="shared" si="383"/>
        <v/>
      </c>
      <c r="AY323" s="268" t="str">
        <f t="shared" si="383"/>
        <v/>
      </c>
      <c r="AZ323" s="268" t="str">
        <f t="shared" si="383"/>
        <v/>
      </c>
      <c r="BA323" s="268" t="str">
        <f t="shared" si="383"/>
        <v/>
      </c>
      <c r="BB323" s="268" t="str">
        <f t="shared" si="383"/>
        <v/>
      </c>
      <c r="BC323" s="268" t="str">
        <f t="shared" si="383"/>
        <v/>
      </c>
      <c r="BD323" s="268" t="str">
        <f t="shared" si="383"/>
        <v/>
      </c>
      <c r="BE323" s="268" t="str">
        <f t="shared" si="383"/>
        <v/>
      </c>
      <c r="BF323" s="268" t="str">
        <f t="shared" si="383"/>
        <v/>
      </c>
      <c r="BG323" s="268" t="str">
        <f t="shared" si="383"/>
        <v/>
      </c>
      <c r="BH323" s="268" t="str">
        <f t="shared" si="383"/>
        <v/>
      </c>
      <c r="BI323" s="268" t="str">
        <f t="shared" si="383"/>
        <v/>
      </c>
      <c r="BJ323" s="268" t="str">
        <f t="shared" si="383"/>
        <v/>
      </c>
      <c r="BK323" s="268" t="str">
        <f t="shared" si="383"/>
        <v/>
      </c>
      <c r="BL323" s="268" t="str">
        <f t="shared" si="383"/>
        <v/>
      </c>
      <c r="BM323" s="268" t="str">
        <f t="shared" si="383"/>
        <v/>
      </c>
      <c r="BN323" s="268" t="str">
        <f t="shared" si="383"/>
        <v/>
      </c>
      <c r="BO323" s="268" t="str">
        <f t="shared" si="383"/>
        <v/>
      </c>
      <c r="BP323" s="268" t="str">
        <f t="shared" si="383"/>
        <v/>
      </c>
      <c r="BQ323" s="268" t="str">
        <f t="shared" si="383"/>
        <v/>
      </c>
      <c r="BR323" s="268" t="str">
        <f t="shared" si="383"/>
        <v/>
      </c>
      <c r="BS323" s="268" t="str">
        <f t="shared" si="383"/>
        <v/>
      </c>
      <c r="BT323" s="268" t="str">
        <f t="shared" si="383"/>
        <v/>
      </c>
      <c r="BU323" s="268" t="str">
        <f t="shared" si="330"/>
        <v/>
      </c>
      <c r="BV323" s="247">
        <v>1.52</v>
      </c>
      <c r="BW323" s="729">
        <f t="shared" si="366"/>
        <v>9120</v>
      </c>
      <c r="BX323" s="730">
        <f t="shared" si="367"/>
        <v>70680</v>
      </c>
      <c r="BY323" s="731" t="str">
        <f t="shared" si="368"/>
        <v>SR</v>
      </c>
    </row>
    <row r="324" s="698" customFormat="1" customHeight="1" spans="1:77">
      <c r="A324" s="208">
        <v>46092</v>
      </c>
      <c r="B324" s="208">
        <v>46150</v>
      </c>
      <c r="C324" s="211"/>
      <c r="D324" s="211" t="s">
        <v>545</v>
      </c>
      <c r="E324" s="211" t="s">
        <v>115</v>
      </c>
      <c r="F324" s="732">
        <v>6003</v>
      </c>
      <c r="G324" s="211" t="s">
        <v>334</v>
      </c>
      <c r="H324" s="211" t="str">
        <f>IFERROR(VLOOKUP(E324,名称!A:E,4,0),"")</f>
        <v>三代</v>
      </c>
      <c r="I324" s="268" t="str">
        <f t="shared" ref="I324:BT324" si="384">IF(OR($E324="",I$1=""),"",IF(TRIM(LEFT($E324,MIN(IFERROR(FIND("CDU",UPPER($E324)),999),IFERROR(FIND("BULK",UPPER($E324)),999),IFERROR(FIND("-",$E324),999),IFERROR(FIND("（",$E324),999))-1))=I$1,$F324,""))</f>
        <v/>
      </c>
      <c r="J324" s="268" t="str">
        <f t="shared" si="384"/>
        <v/>
      </c>
      <c r="K324" s="268" t="str">
        <f t="shared" si="384"/>
        <v/>
      </c>
      <c r="L324" s="268" t="str">
        <f t="shared" si="384"/>
        <v/>
      </c>
      <c r="M324" s="268" t="str">
        <f t="shared" si="384"/>
        <v/>
      </c>
      <c r="N324" s="268" t="str">
        <f t="shared" si="384"/>
        <v/>
      </c>
      <c r="O324" s="268" t="str">
        <f t="shared" si="384"/>
        <v/>
      </c>
      <c r="P324" s="268" t="str">
        <f t="shared" si="384"/>
        <v/>
      </c>
      <c r="Q324" s="268" t="str">
        <f t="shared" si="384"/>
        <v/>
      </c>
      <c r="R324" s="268" t="str">
        <f t="shared" si="384"/>
        <v/>
      </c>
      <c r="S324" s="268" t="str">
        <f t="shared" si="384"/>
        <v/>
      </c>
      <c r="T324" s="268" t="str">
        <f t="shared" si="384"/>
        <v/>
      </c>
      <c r="U324" s="268" t="str">
        <f t="shared" si="384"/>
        <v/>
      </c>
      <c r="V324" s="268" t="str">
        <f t="shared" si="384"/>
        <v/>
      </c>
      <c r="W324" s="268" t="str">
        <f t="shared" si="384"/>
        <v/>
      </c>
      <c r="X324" s="268" t="str">
        <f t="shared" si="384"/>
        <v/>
      </c>
      <c r="Y324" s="268" t="str">
        <f t="shared" si="384"/>
        <v/>
      </c>
      <c r="Z324" s="268" t="str">
        <f t="shared" si="384"/>
        <v/>
      </c>
      <c r="AA324" s="268" t="str">
        <f t="shared" si="384"/>
        <v/>
      </c>
      <c r="AB324" s="268" t="str">
        <f t="shared" si="384"/>
        <v/>
      </c>
      <c r="AC324" s="268" t="str">
        <f t="shared" si="384"/>
        <v/>
      </c>
      <c r="AD324" s="268" t="str">
        <f t="shared" si="384"/>
        <v/>
      </c>
      <c r="AE324" s="268" t="str">
        <f t="shared" si="384"/>
        <v/>
      </c>
      <c r="AF324" s="268" t="str">
        <f t="shared" si="384"/>
        <v/>
      </c>
      <c r="AG324" s="268" t="str">
        <f t="shared" si="384"/>
        <v/>
      </c>
      <c r="AH324" s="268" t="str">
        <f t="shared" si="384"/>
        <v/>
      </c>
      <c r="AI324" s="268" t="str">
        <f t="shared" si="384"/>
        <v/>
      </c>
      <c r="AJ324" s="268" t="str">
        <f t="shared" si="384"/>
        <v/>
      </c>
      <c r="AK324" s="268" t="str">
        <f t="shared" si="384"/>
        <v/>
      </c>
      <c r="AL324" s="268" t="str">
        <f t="shared" si="384"/>
        <v/>
      </c>
      <c r="AM324" s="268" t="str">
        <f t="shared" si="384"/>
        <v/>
      </c>
      <c r="AN324" s="268" t="str">
        <f t="shared" si="384"/>
        <v/>
      </c>
      <c r="AO324" s="268" t="str">
        <f t="shared" si="384"/>
        <v/>
      </c>
      <c r="AP324" s="268" t="str">
        <f t="shared" si="384"/>
        <v/>
      </c>
      <c r="AQ324" s="268" t="str">
        <f t="shared" si="384"/>
        <v/>
      </c>
      <c r="AR324" s="268" t="str">
        <f t="shared" si="384"/>
        <v/>
      </c>
      <c r="AS324" s="268" t="str">
        <f t="shared" si="384"/>
        <v/>
      </c>
      <c r="AT324" s="268" t="str">
        <f t="shared" si="384"/>
        <v/>
      </c>
      <c r="AU324" s="268" t="str">
        <f t="shared" si="384"/>
        <v/>
      </c>
      <c r="AV324" s="268" t="str">
        <f t="shared" si="384"/>
        <v/>
      </c>
      <c r="AW324" s="268" t="str">
        <f t="shared" si="384"/>
        <v/>
      </c>
      <c r="AX324" s="268">
        <f t="shared" si="384"/>
        <v>6003</v>
      </c>
      <c r="AY324" s="268" t="str">
        <f t="shared" si="384"/>
        <v/>
      </c>
      <c r="AZ324" s="268" t="str">
        <f t="shared" si="384"/>
        <v/>
      </c>
      <c r="BA324" s="268" t="str">
        <f t="shared" si="384"/>
        <v/>
      </c>
      <c r="BB324" s="268" t="str">
        <f t="shared" si="384"/>
        <v/>
      </c>
      <c r="BC324" s="268" t="str">
        <f t="shared" si="384"/>
        <v/>
      </c>
      <c r="BD324" s="268" t="str">
        <f t="shared" si="384"/>
        <v/>
      </c>
      <c r="BE324" s="268" t="str">
        <f t="shared" si="384"/>
        <v/>
      </c>
      <c r="BF324" s="268" t="str">
        <f t="shared" si="384"/>
        <v/>
      </c>
      <c r="BG324" s="268" t="str">
        <f t="shared" si="384"/>
        <v/>
      </c>
      <c r="BH324" s="268" t="str">
        <f t="shared" si="384"/>
        <v/>
      </c>
      <c r="BI324" s="268" t="str">
        <f t="shared" si="384"/>
        <v/>
      </c>
      <c r="BJ324" s="268" t="str">
        <f t="shared" si="384"/>
        <v/>
      </c>
      <c r="BK324" s="268" t="str">
        <f t="shared" si="384"/>
        <v/>
      </c>
      <c r="BL324" s="268" t="str">
        <f t="shared" si="384"/>
        <v/>
      </c>
      <c r="BM324" s="268" t="str">
        <f t="shared" si="384"/>
        <v/>
      </c>
      <c r="BN324" s="268" t="str">
        <f t="shared" si="384"/>
        <v/>
      </c>
      <c r="BO324" s="268" t="str">
        <f t="shared" si="384"/>
        <v/>
      </c>
      <c r="BP324" s="268" t="str">
        <f t="shared" si="384"/>
        <v/>
      </c>
      <c r="BQ324" s="268" t="str">
        <f t="shared" si="384"/>
        <v/>
      </c>
      <c r="BR324" s="268" t="str">
        <f t="shared" si="384"/>
        <v/>
      </c>
      <c r="BS324" s="268" t="str">
        <f t="shared" si="384"/>
        <v/>
      </c>
      <c r="BT324" s="268" t="str">
        <f t="shared" si="384"/>
        <v/>
      </c>
      <c r="BU324" s="268" t="str">
        <f t="shared" ref="BU324:BU387" si="385">IF(OR($E324="",BU$1=""),"",IF(TRIM(LEFT($E324,MIN(IFERROR(FIND("CDU",UPPER($E324)),999),IFERROR(FIND("BULK",UPPER($E324)),999),IFERROR(FIND("-",$E324),999),IFERROR(FIND("（",$E324),999))-1))=BU$1,$F324,""))</f>
        <v/>
      </c>
      <c r="BV324" s="215">
        <v>0.9</v>
      </c>
      <c r="BW324" s="729">
        <f t="shared" si="366"/>
        <v>5402.7</v>
      </c>
      <c r="BX324" s="730">
        <f t="shared" si="367"/>
        <v>41870.93</v>
      </c>
      <c r="BY324" s="731" t="str">
        <f t="shared" si="368"/>
        <v>SR</v>
      </c>
    </row>
    <row r="325" s="698" customFormat="1" customHeight="1" spans="1:77">
      <c r="A325" s="208">
        <v>46092</v>
      </c>
      <c r="B325" s="208">
        <v>46150</v>
      </c>
      <c r="C325" s="211"/>
      <c r="D325" s="211" t="s">
        <v>545</v>
      </c>
      <c r="E325" s="211" t="s">
        <v>94</v>
      </c>
      <c r="F325" s="732">
        <v>24000</v>
      </c>
      <c r="G325" s="211" t="s">
        <v>334</v>
      </c>
      <c r="H325" s="211" t="str">
        <f>IFERROR(VLOOKUP(E325,名称!A:E,4,0),"")</f>
        <v>三代</v>
      </c>
      <c r="I325" s="268" t="str">
        <f t="shared" ref="I325:BT325" si="386">IF(OR($E325="",I$1=""),"",IF(TRIM(LEFT($E325,MIN(IFERROR(FIND("CDU",UPPER($E325)),999),IFERROR(FIND("BULK",UPPER($E325)),999),IFERROR(FIND("-",$E325),999),IFERROR(FIND("（",$E325),999))-1))=I$1,$F325,""))</f>
        <v/>
      </c>
      <c r="J325" s="268" t="str">
        <f t="shared" si="386"/>
        <v/>
      </c>
      <c r="K325" s="268" t="str">
        <f t="shared" si="386"/>
        <v/>
      </c>
      <c r="L325" s="268" t="str">
        <f t="shared" si="386"/>
        <v/>
      </c>
      <c r="M325" s="268" t="str">
        <f t="shared" si="386"/>
        <v/>
      </c>
      <c r="N325" s="268" t="str">
        <f t="shared" si="386"/>
        <v/>
      </c>
      <c r="O325" s="268" t="str">
        <f t="shared" si="386"/>
        <v/>
      </c>
      <c r="P325" s="268" t="str">
        <f t="shared" si="386"/>
        <v/>
      </c>
      <c r="Q325" s="268" t="str">
        <f t="shared" si="386"/>
        <v/>
      </c>
      <c r="R325" s="268" t="str">
        <f t="shared" si="386"/>
        <v/>
      </c>
      <c r="S325" s="268" t="str">
        <f t="shared" si="386"/>
        <v/>
      </c>
      <c r="T325" s="268" t="str">
        <f t="shared" si="386"/>
        <v/>
      </c>
      <c r="U325" s="268" t="str">
        <f t="shared" si="386"/>
        <v/>
      </c>
      <c r="V325" s="268" t="str">
        <f t="shared" si="386"/>
        <v/>
      </c>
      <c r="W325" s="268" t="str">
        <f t="shared" si="386"/>
        <v/>
      </c>
      <c r="X325" s="268" t="str">
        <f t="shared" si="386"/>
        <v/>
      </c>
      <c r="Y325" s="268" t="str">
        <f t="shared" si="386"/>
        <v/>
      </c>
      <c r="Z325" s="268" t="str">
        <f t="shared" si="386"/>
        <v/>
      </c>
      <c r="AA325" s="268" t="str">
        <f t="shared" si="386"/>
        <v/>
      </c>
      <c r="AB325" s="268" t="str">
        <f t="shared" si="386"/>
        <v/>
      </c>
      <c r="AC325" s="268" t="str">
        <f t="shared" si="386"/>
        <v/>
      </c>
      <c r="AD325" s="268" t="str">
        <f t="shared" si="386"/>
        <v/>
      </c>
      <c r="AE325" s="268" t="str">
        <f t="shared" si="386"/>
        <v/>
      </c>
      <c r="AF325" s="268" t="str">
        <f t="shared" si="386"/>
        <v/>
      </c>
      <c r="AG325" s="268" t="str">
        <f t="shared" si="386"/>
        <v/>
      </c>
      <c r="AH325" s="268" t="str">
        <f t="shared" si="386"/>
        <v/>
      </c>
      <c r="AI325" s="268" t="str">
        <f t="shared" si="386"/>
        <v/>
      </c>
      <c r="AJ325" s="268" t="str">
        <f t="shared" si="386"/>
        <v/>
      </c>
      <c r="AK325" s="268" t="str">
        <f t="shared" si="386"/>
        <v/>
      </c>
      <c r="AL325" s="268" t="str">
        <f t="shared" si="386"/>
        <v/>
      </c>
      <c r="AM325" s="268" t="str">
        <f t="shared" si="386"/>
        <v/>
      </c>
      <c r="AN325" s="268" t="str">
        <f t="shared" si="386"/>
        <v/>
      </c>
      <c r="AO325" s="268" t="str">
        <f t="shared" si="386"/>
        <v/>
      </c>
      <c r="AP325" s="268" t="str">
        <f t="shared" si="386"/>
        <v/>
      </c>
      <c r="AQ325" s="268" t="str">
        <f t="shared" si="386"/>
        <v/>
      </c>
      <c r="AR325" s="268" t="str">
        <f t="shared" si="386"/>
        <v/>
      </c>
      <c r="AS325" s="268" t="str">
        <f t="shared" si="386"/>
        <v/>
      </c>
      <c r="AT325" s="268" t="str">
        <f t="shared" si="386"/>
        <v/>
      </c>
      <c r="AU325" s="268" t="str">
        <f t="shared" si="386"/>
        <v/>
      </c>
      <c r="AV325" s="268" t="str">
        <f t="shared" si="386"/>
        <v/>
      </c>
      <c r="AW325" s="268" t="str">
        <f t="shared" si="386"/>
        <v/>
      </c>
      <c r="AX325" s="268" t="str">
        <f t="shared" si="386"/>
        <v/>
      </c>
      <c r="AY325" s="268">
        <f t="shared" si="386"/>
        <v>24000</v>
      </c>
      <c r="AZ325" s="268" t="str">
        <f t="shared" si="386"/>
        <v/>
      </c>
      <c r="BA325" s="268" t="str">
        <f t="shared" si="386"/>
        <v/>
      </c>
      <c r="BB325" s="268" t="str">
        <f t="shared" si="386"/>
        <v/>
      </c>
      <c r="BC325" s="268" t="str">
        <f t="shared" si="386"/>
        <v/>
      </c>
      <c r="BD325" s="268" t="str">
        <f t="shared" si="386"/>
        <v/>
      </c>
      <c r="BE325" s="268" t="str">
        <f t="shared" si="386"/>
        <v/>
      </c>
      <c r="BF325" s="268" t="str">
        <f t="shared" si="386"/>
        <v/>
      </c>
      <c r="BG325" s="268" t="str">
        <f t="shared" si="386"/>
        <v/>
      </c>
      <c r="BH325" s="268" t="str">
        <f t="shared" si="386"/>
        <v/>
      </c>
      <c r="BI325" s="268" t="str">
        <f t="shared" si="386"/>
        <v/>
      </c>
      <c r="BJ325" s="268" t="str">
        <f t="shared" si="386"/>
        <v/>
      </c>
      <c r="BK325" s="268" t="str">
        <f t="shared" si="386"/>
        <v/>
      </c>
      <c r="BL325" s="268" t="str">
        <f t="shared" si="386"/>
        <v/>
      </c>
      <c r="BM325" s="268" t="str">
        <f t="shared" si="386"/>
        <v/>
      </c>
      <c r="BN325" s="268" t="str">
        <f t="shared" si="386"/>
        <v/>
      </c>
      <c r="BO325" s="268" t="str">
        <f t="shared" si="386"/>
        <v/>
      </c>
      <c r="BP325" s="268" t="str">
        <f t="shared" si="386"/>
        <v/>
      </c>
      <c r="BQ325" s="268" t="str">
        <f t="shared" si="386"/>
        <v/>
      </c>
      <c r="BR325" s="268" t="str">
        <f t="shared" si="386"/>
        <v/>
      </c>
      <c r="BS325" s="268" t="str">
        <f t="shared" si="386"/>
        <v/>
      </c>
      <c r="BT325" s="268" t="str">
        <f t="shared" si="386"/>
        <v/>
      </c>
      <c r="BU325" s="268" t="str">
        <f t="shared" si="385"/>
        <v/>
      </c>
      <c r="BV325" s="247">
        <v>0.62</v>
      </c>
      <c r="BW325" s="729">
        <f t="shared" si="366"/>
        <v>14880</v>
      </c>
      <c r="BX325" s="730">
        <f t="shared" si="367"/>
        <v>115320</v>
      </c>
      <c r="BY325" s="731" t="str">
        <f t="shared" si="368"/>
        <v>SR</v>
      </c>
    </row>
    <row r="326" s="698" customFormat="1" customHeight="1" spans="1:77">
      <c r="A326" s="208">
        <v>46092</v>
      </c>
      <c r="B326" s="208">
        <v>46150</v>
      </c>
      <c r="C326" s="211"/>
      <c r="D326" s="211" t="s">
        <v>545</v>
      </c>
      <c r="E326" s="211" t="s">
        <v>95</v>
      </c>
      <c r="F326" s="732">
        <v>6000</v>
      </c>
      <c r="G326" s="211" t="s">
        <v>334</v>
      </c>
      <c r="H326" s="211" t="str">
        <f>IFERROR(VLOOKUP(E326,名称!A:E,4,0),"")</f>
        <v>三代</v>
      </c>
      <c r="I326" s="268" t="str">
        <f t="shared" ref="I326:BT326" si="387">IF(OR($E326="",I$1=""),"",IF(TRIM(LEFT($E326,MIN(IFERROR(FIND("CDU",UPPER($E326)),999),IFERROR(FIND("BULK",UPPER($E326)),999),IFERROR(FIND("-",$E326),999),IFERROR(FIND("（",$E326),999))-1))=I$1,$F326,""))</f>
        <v/>
      </c>
      <c r="J326" s="268" t="str">
        <f t="shared" si="387"/>
        <v/>
      </c>
      <c r="K326" s="268" t="str">
        <f t="shared" si="387"/>
        <v/>
      </c>
      <c r="L326" s="268" t="str">
        <f t="shared" si="387"/>
        <v/>
      </c>
      <c r="M326" s="268" t="str">
        <f t="shared" si="387"/>
        <v/>
      </c>
      <c r="N326" s="268" t="str">
        <f t="shared" si="387"/>
        <v/>
      </c>
      <c r="O326" s="268" t="str">
        <f t="shared" si="387"/>
        <v/>
      </c>
      <c r="P326" s="268" t="str">
        <f t="shared" si="387"/>
        <v/>
      </c>
      <c r="Q326" s="268" t="str">
        <f t="shared" si="387"/>
        <v/>
      </c>
      <c r="R326" s="268" t="str">
        <f t="shared" si="387"/>
        <v/>
      </c>
      <c r="S326" s="268" t="str">
        <f t="shared" si="387"/>
        <v/>
      </c>
      <c r="T326" s="268" t="str">
        <f t="shared" si="387"/>
        <v/>
      </c>
      <c r="U326" s="268" t="str">
        <f t="shared" si="387"/>
        <v/>
      </c>
      <c r="V326" s="268" t="str">
        <f t="shared" si="387"/>
        <v/>
      </c>
      <c r="W326" s="268" t="str">
        <f t="shared" si="387"/>
        <v/>
      </c>
      <c r="X326" s="268" t="str">
        <f t="shared" si="387"/>
        <v/>
      </c>
      <c r="Y326" s="268" t="str">
        <f t="shared" si="387"/>
        <v/>
      </c>
      <c r="Z326" s="268" t="str">
        <f t="shared" si="387"/>
        <v/>
      </c>
      <c r="AA326" s="268" t="str">
        <f t="shared" si="387"/>
        <v/>
      </c>
      <c r="AB326" s="268" t="str">
        <f t="shared" si="387"/>
        <v/>
      </c>
      <c r="AC326" s="268" t="str">
        <f t="shared" si="387"/>
        <v/>
      </c>
      <c r="AD326" s="268" t="str">
        <f t="shared" si="387"/>
        <v/>
      </c>
      <c r="AE326" s="268" t="str">
        <f t="shared" si="387"/>
        <v/>
      </c>
      <c r="AF326" s="268" t="str">
        <f t="shared" si="387"/>
        <v/>
      </c>
      <c r="AG326" s="268" t="str">
        <f t="shared" si="387"/>
        <v/>
      </c>
      <c r="AH326" s="268" t="str">
        <f t="shared" si="387"/>
        <v/>
      </c>
      <c r="AI326" s="268" t="str">
        <f t="shared" si="387"/>
        <v/>
      </c>
      <c r="AJ326" s="268" t="str">
        <f t="shared" si="387"/>
        <v/>
      </c>
      <c r="AK326" s="268" t="str">
        <f t="shared" si="387"/>
        <v/>
      </c>
      <c r="AL326" s="268" t="str">
        <f t="shared" si="387"/>
        <v/>
      </c>
      <c r="AM326" s="268" t="str">
        <f t="shared" si="387"/>
        <v/>
      </c>
      <c r="AN326" s="268" t="str">
        <f t="shared" si="387"/>
        <v/>
      </c>
      <c r="AO326" s="268" t="str">
        <f t="shared" si="387"/>
        <v/>
      </c>
      <c r="AP326" s="268" t="str">
        <f t="shared" si="387"/>
        <v/>
      </c>
      <c r="AQ326" s="268" t="str">
        <f t="shared" si="387"/>
        <v/>
      </c>
      <c r="AR326" s="268" t="str">
        <f t="shared" si="387"/>
        <v/>
      </c>
      <c r="AS326" s="268" t="str">
        <f t="shared" si="387"/>
        <v/>
      </c>
      <c r="AT326" s="268" t="str">
        <f t="shared" si="387"/>
        <v/>
      </c>
      <c r="AU326" s="268" t="str">
        <f t="shared" si="387"/>
        <v/>
      </c>
      <c r="AV326" s="268" t="str">
        <f t="shared" si="387"/>
        <v/>
      </c>
      <c r="AW326" s="268" t="str">
        <f t="shared" si="387"/>
        <v/>
      </c>
      <c r="AX326" s="268" t="str">
        <f t="shared" si="387"/>
        <v/>
      </c>
      <c r="AY326" s="268" t="str">
        <f t="shared" si="387"/>
        <v/>
      </c>
      <c r="AZ326" s="268">
        <f t="shared" si="387"/>
        <v>6000</v>
      </c>
      <c r="BA326" s="268" t="str">
        <f t="shared" si="387"/>
        <v/>
      </c>
      <c r="BB326" s="268" t="str">
        <f t="shared" si="387"/>
        <v/>
      </c>
      <c r="BC326" s="268" t="str">
        <f t="shared" si="387"/>
        <v/>
      </c>
      <c r="BD326" s="268" t="str">
        <f t="shared" si="387"/>
        <v/>
      </c>
      <c r="BE326" s="268" t="str">
        <f t="shared" si="387"/>
        <v/>
      </c>
      <c r="BF326" s="268" t="str">
        <f t="shared" si="387"/>
        <v/>
      </c>
      <c r="BG326" s="268" t="str">
        <f t="shared" si="387"/>
        <v/>
      </c>
      <c r="BH326" s="268" t="str">
        <f t="shared" si="387"/>
        <v/>
      </c>
      <c r="BI326" s="268" t="str">
        <f t="shared" si="387"/>
        <v/>
      </c>
      <c r="BJ326" s="268" t="str">
        <f t="shared" si="387"/>
        <v/>
      </c>
      <c r="BK326" s="268" t="str">
        <f t="shared" si="387"/>
        <v/>
      </c>
      <c r="BL326" s="268" t="str">
        <f t="shared" si="387"/>
        <v/>
      </c>
      <c r="BM326" s="268" t="str">
        <f t="shared" si="387"/>
        <v/>
      </c>
      <c r="BN326" s="268" t="str">
        <f t="shared" si="387"/>
        <v/>
      </c>
      <c r="BO326" s="268" t="str">
        <f t="shared" si="387"/>
        <v/>
      </c>
      <c r="BP326" s="268" t="str">
        <f t="shared" si="387"/>
        <v/>
      </c>
      <c r="BQ326" s="268" t="str">
        <f t="shared" si="387"/>
        <v/>
      </c>
      <c r="BR326" s="268" t="str">
        <f t="shared" si="387"/>
        <v/>
      </c>
      <c r="BS326" s="268" t="str">
        <f t="shared" si="387"/>
        <v/>
      </c>
      <c r="BT326" s="268" t="str">
        <f t="shared" si="387"/>
        <v/>
      </c>
      <c r="BU326" s="268" t="str">
        <f t="shared" si="385"/>
        <v/>
      </c>
      <c r="BV326" s="247">
        <v>3.23</v>
      </c>
      <c r="BW326" s="729">
        <f t="shared" si="366"/>
        <v>19380</v>
      </c>
      <c r="BX326" s="730">
        <f t="shared" si="367"/>
        <v>150195</v>
      </c>
      <c r="BY326" s="731" t="str">
        <f t="shared" si="368"/>
        <v>SR</v>
      </c>
    </row>
    <row r="327" s="698" customFormat="1" customHeight="1" spans="1:77">
      <c r="A327" s="208">
        <v>46092</v>
      </c>
      <c r="B327" s="208">
        <v>46150</v>
      </c>
      <c r="C327" s="211"/>
      <c r="D327" s="211" t="s">
        <v>545</v>
      </c>
      <c r="E327" s="211" t="s">
        <v>114</v>
      </c>
      <c r="F327" s="732">
        <v>10008</v>
      </c>
      <c r="G327" s="211" t="s">
        <v>334</v>
      </c>
      <c r="H327" s="211" t="str">
        <f>IFERROR(VLOOKUP(E327,名称!A:E,4,0),"")</f>
        <v>三代</v>
      </c>
      <c r="I327" s="268" t="str">
        <f t="shared" ref="I327:BT327" si="388">IF(OR($E327="",I$1=""),"",IF(TRIM(LEFT($E327,MIN(IFERROR(FIND("CDU",UPPER($E327)),999),IFERROR(FIND("BULK",UPPER($E327)),999),IFERROR(FIND("-",$E327),999),IFERROR(FIND("（",$E327),999))-1))=I$1,$F327,""))</f>
        <v/>
      </c>
      <c r="J327" s="268" t="str">
        <f t="shared" si="388"/>
        <v/>
      </c>
      <c r="K327" s="268" t="str">
        <f t="shared" si="388"/>
        <v/>
      </c>
      <c r="L327" s="268" t="str">
        <f t="shared" si="388"/>
        <v/>
      </c>
      <c r="M327" s="268" t="str">
        <f t="shared" si="388"/>
        <v/>
      </c>
      <c r="N327" s="268" t="str">
        <f t="shared" si="388"/>
        <v/>
      </c>
      <c r="O327" s="268" t="str">
        <f t="shared" si="388"/>
        <v/>
      </c>
      <c r="P327" s="268" t="str">
        <f t="shared" si="388"/>
        <v/>
      </c>
      <c r="Q327" s="268" t="str">
        <f t="shared" si="388"/>
        <v/>
      </c>
      <c r="R327" s="268" t="str">
        <f t="shared" si="388"/>
        <v/>
      </c>
      <c r="S327" s="268" t="str">
        <f t="shared" si="388"/>
        <v/>
      </c>
      <c r="T327" s="268" t="str">
        <f t="shared" si="388"/>
        <v/>
      </c>
      <c r="U327" s="268" t="str">
        <f t="shared" si="388"/>
        <v/>
      </c>
      <c r="V327" s="268" t="str">
        <f t="shared" si="388"/>
        <v/>
      </c>
      <c r="W327" s="268" t="str">
        <f t="shared" si="388"/>
        <v/>
      </c>
      <c r="X327" s="268" t="str">
        <f t="shared" si="388"/>
        <v/>
      </c>
      <c r="Y327" s="268" t="str">
        <f t="shared" si="388"/>
        <v/>
      </c>
      <c r="Z327" s="268" t="str">
        <f t="shared" si="388"/>
        <v/>
      </c>
      <c r="AA327" s="268" t="str">
        <f t="shared" si="388"/>
        <v/>
      </c>
      <c r="AB327" s="268" t="str">
        <f t="shared" si="388"/>
        <v/>
      </c>
      <c r="AC327" s="268" t="str">
        <f t="shared" si="388"/>
        <v/>
      </c>
      <c r="AD327" s="268" t="str">
        <f t="shared" si="388"/>
        <v/>
      </c>
      <c r="AE327" s="268" t="str">
        <f t="shared" si="388"/>
        <v/>
      </c>
      <c r="AF327" s="268" t="str">
        <f t="shared" si="388"/>
        <v/>
      </c>
      <c r="AG327" s="268" t="str">
        <f t="shared" si="388"/>
        <v/>
      </c>
      <c r="AH327" s="268" t="str">
        <f t="shared" si="388"/>
        <v/>
      </c>
      <c r="AI327" s="268" t="str">
        <f t="shared" si="388"/>
        <v/>
      </c>
      <c r="AJ327" s="268" t="str">
        <f t="shared" si="388"/>
        <v/>
      </c>
      <c r="AK327" s="268" t="str">
        <f t="shared" si="388"/>
        <v/>
      </c>
      <c r="AL327" s="268" t="str">
        <f t="shared" si="388"/>
        <v/>
      </c>
      <c r="AM327" s="268" t="str">
        <f t="shared" si="388"/>
        <v/>
      </c>
      <c r="AN327" s="268" t="str">
        <f t="shared" si="388"/>
        <v/>
      </c>
      <c r="AO327" s="268" t="str">
        <f t="shared" si="388"/>
        <v/>
      </c>
      <c r="AP327" s="268" t="str">
        <f t="shared" si="388"/>
        <v/>
      </c>
      <c r="AQ327" s="268" t="str">
        <f t="shared" si="388"/>
        <v/>
      </c>
      <c r="AR327" s="268" t="str">
        <f t="shared" si="388"/>
        <v/>
      </c>
      <c r="AS327" s="268" t="str">
        <f t="shared" si="388"/>
        <v/>
      </c>
      <c r="AT327" s="268" t="str">
        <f t="shared" si="388"/>
        <v/>
      </c>
      <c r="AU327" s="268" t="str">
        <f t="shared" si="388"/>
        <v/>
      </c>
      <c r="AV327" s="268" t="str">
        <f t="shared" si="388"/>
        <v/>
      </c>
      <c r="AW327" s="268" t="str">
        <f t="shared" si="388"/>
        <v/>
      </c>
      <c r="AX327" s="268" t="str">
        <f t="shared" si="388"/>
        <v/>
      </c>
      <c r="AY327" s="268" t="str">
        <f t="shared" si="388"/>
        <v/>
      </c>
      <c r="AZ327" s="268" t="str">
        <f t="shared" si="388"/>
        <v/>
      </c>
      <c r="BA327" s="268" t="str">
        <f t="shared" si="388"/>
        <v/>
      </c>
      <c r="BB327" s="268" t="str">
        <f t="shared" si="388"/>
        <v/>
      </c>
      <c r="BC327" s="268">
        <f t="shared" si="388"/>
        <v>10008</v>
      </c>
      <c r="BD327" s="268" t="str">
        <f t="shared" si="388"/>
        <v/>
      </c>
      <c r="BE327" s="268" t="str">
        <f t="shared" si="388"/>
        <v/>
      </c>
      <c r="BF327" s="268" t="str">
        <f t="shared" si="388"/>
        <v/>
      </c>
      <c r="BG327" s="268" t="str">
        <f t="shared" si="388"/>
        <v/>
      </c>
      <c r="BH327" s="268" t="str">
        <f t="shared" si="388"/>
        <v/>
      </c>
      <c r="BI327" s="268" t="str">
        <f t="shared" si="388"/>
        <v/>
      </c>
      <c r="BJ327" s="268" t="str">
        <f t="shared" si="388"/>
        <v/>
      </c>
      <c r="BK327" s="268" t="str">
        <f t="shared" si="388"/>
        <v/>
      </c>
      <c r="BL327" s="268" t="str">
        <f t="shared" si="388"/>
        <v/>
      </c>
      <c r="BM327" s="268" t="str">
        <f t="shared" si="388"/>
        <v/>
      </c>
      <c r="BN327" s="268" t="str">
        <f t="shared" si="388"/>
        <v/>
      </c>
      <c r="BO327" s="268" t="str">
        <f t="shared" si="388"/>
        <v/>
      </c>
      <c r="BP327" s="268" t="str">
        <f t="shared" si="388"/>
        <v/>
      </c>
      <c r="BQ327" s="268" t="str">
        <f t="shared" si="388"/>
        <v/>
      </c>
      <c r="BR327" s="268" t="str">
        <f t="shared" si="388"/>
        <v/>
      </c>
      <c r="BS327" s="268" t="str">
        <f t="shared" si="388"/>
        <v/>
      </c>
      <c r="BT327" s="268" t="str">
        <f t="shared" si="388"/>
        <v/>
      </c>
      <c r="BU327" s="268" t="str">
        <f t="shared" si="385"/>
        <v/>
      </c>
      <c r="BV327" s="247">
        <v>0.64</v>
      </c>
      <c r="BW327" s="729">
        <f t="shared" si="366"/>
        <v>6405.12</v>
      </c>
      <c r="BX327" s="730">
        <f t="shared" si="367"/>
        <v>49639.68</v>
      </c>
      <c r="BY327" s="731" t="str">
        <f t="shared" si="368"/>
        <v>JS</v>
      </c>
    </row>
    <row r="328" s="698" customFormat="1" customHeight="1" spans="1:77">
      <c r="A328" s="208">
        <v>46092</v>
      </c>
      <c r="B328" s="208">
        <v>46150</v>
      </c>
      <c r="C328" s="211"/>
      <c r="D328" s="211" t="s">
        <v>545</v>
      </c>
      <c r="E328" s="211" t="s">
        <v>119</v>
      </c>
      <c r="F328" s="732">
        <v>24000</v>
      </c>
      <c r="G328" s="211" t="s">
        <v>334</v>
      </c>
      <c r="H328" s="211" t="str">
        <f>IFERROR(VLOOKUP(E328,名称!A:E,4,0),"")</f>
        <v>三代</v>
      </c>
      <c r="I328" s="268" t="str">
        <f t="shared" ref="I328:BT328" si="389">IF(OR($E328="",I$1=""),"",IF(TRIM(LEFT($E328,MIN(IFERROR(FIND("CDU",UPPER($E328)),999),IFERROR(FIND("BULK",UPPER($E328)),999),IFERROR(FIND("-",$E328),999),IFERROR(FIND("（",$E328),999))-1))=I$1,$F328,""))</f>
        <v/>
      </c>
      <c r="J328" s="268" t="str">
        <f t="shared" si="389"/>
        <v/>
      </c>
      <c r="K328" s="268" t="str">
        <f t="shared" si="389"/>
        <v/>
      </c>
      <c r="L328" s="268" t="str">
        <f t="shared" si="389"/>
        <v/>
      </c>
      <c r="M328" s="268" t="str">
        <f t="shared" si="389"/>
        <v/>
      </c>
      <c r="N328" s="268" t="str">
        <f t="shared" si="389"/>
        <v/>
      </c>
      <c r="O328" s="268" t="str">
        <f t="shared" si="389"/>
        <v/>
      </c>
      <c r="P328" s="268" t="str">
        <f t="shared" si="389"/>
        <v/>
      </c>
      <c r="Q328" s="268" t="str">
        <f t="shared" si="389"/>
        <v/>
      </c>
      <c r="R328" s="268" t="str">
        <f t="shared" si="389"/>
        <v/>
      </c>
      <c r="S328" s="268" t="str">
        <f t="shared" si="389"/>
        <v/>
      </c>
      <c r="T328" s="268" t="str">
        <f t="shared" si="389"/>
        <v/>
      </c>
      <c r="U328" s="268" t="str">
        <f t="shared" si="389"/>
        <v/>
      </c>
      <c r="V328" s="268" t="str">
        <f t="shared" si="389"/>
        <v/>
      </c>
      <c r="W328" s="268" t="str">
        <f t="shared" si="389"/>
        <v/>
      </c>
      <c r="X328" s="268" t="str">
        <f t="shared" si="389"/>
        <v/>
      </c>
      <c r="Y328" s="268" t="str">
        <f t="shared" si="389"/>
        <v/>
      </c>
      <c r="Z328" s="268" t="str">
        <f t="shared" si="389"/>
        <v/>
      </c>
      <c r="AA328" s="268" t="str">
        <f t="shared" si="389"/>
        <v/>
      </c>
      <c r="AB328" s="268" t="str">
        <f t="shared" si="389"/>
        <v/>
      </c>
      <c r="AC328" s="268" t="str">
        <f t="shared" si="389"/>
        <v/>
      </c>
      <c r="AD328" s="268" t="str">
        <f t="shared" si="389"/>
        <v/>
      </c>
      <c r="AE328" s="268" t="str">
        <f t="shared" si="389"/>
        <v/>
      </c>
      <c r="AF328" s="268" t="str">
        <f t="shared" si="389"/>
        <v/>
      </c>
      <c r="AG328" s="268" t="str">
        <f t="shared" si="389"/>
        <v/>
      </c>
      <c r="AH328" s="268" t="str">
        <f t="shared" si="389"/>
        <v/>
      </c>
      <c r="AI328" s="268" t="str">
        <f t="shared" si="389"/>
        <v/>
      </c>
      <c r="AJ328" s="268" t="str">
        <f t="shared" si="389"/>
        <v/>
      </c>
      <c r="AK328" s="268" t="str">
        <f t="shared" si="389"/>
        <v/>
      </c>
      <c r="AL328" s="268" t="str">
        <f t="shared" si="389"/>
        <v/>
      </c>
      <c r="AM328" s="268" t="str">
        <f t="shared" si="389"/>
        <v/>
      </c>
      <c r="AN328" s="268" t="str">
        <f t="shared" si="389"/>
        <v/>
      </c>
      <c r="AO328" s="268" t="str">
        <f t="shared" si="389"/>
        <v/>
      </c>
      <c r="AP328" s="268">
        <f t="shared" si="389"/>
        <v>24000</v>
      </c>
      <c r="AQ328" s="268" t="str">
        <f t="shared" si="389"/>
        <v/>
      </c>
      <c r="AR328" s="268" t="str">
        <f t="shared" si="389"/>
        <v/>
      </c>
      <c r="AS328" s="268" t="str">
        <f t="shared" si="389"/>
        <v/>
      </c>
      <c r="AT328" s="268" t="str">
        <f t="shared" si="389"/>
        <v/>
      </c>
      <c r="AU328" s="268" t="str">
        <f t="shared" si="389"/>
        <v/>
      </c>
      <c r="AV328" s="268" t="str">
        <f t="shared" si="389"/>
        <v/>
      </c>
      <c r="AW328" s="268" t="str">
        <f t="shared" si="389"/>
        <v/>
      </c>
      <c r="AX328" s="268" t="str">
        <f t="shared" si="389"/>
        <v/>
      </c>
      <c r="AY328" s="268" t="str">
        <f t="shared" si="389"/>
        <v/>
      </c>
      <c r="AZ328" s="268" t="str">
        <f t="shared" si="389"/>
        <v/>
      </c>
      <c r="BA328" s="268" t="str">
        <f t="shared" si="389"/>
        <v/>
      </c>
      <c r="BB328" s="268" t="str">
        <f t="shared" si="389"/>
        <v/>
      </c>
      <c r="BC328" s="268" t="str">
        <f t="shared" si="389"/>
        <v/>
      </c>
      <c r="BD328" s="268" t="str">
        <f t="shared" si="389"/>
        <v/>
      </c>
      <c r="BE328" s="268" t="str">
        <f t="shared" si="389"/>
        <v/>
      </c>
      <c r="BF328" s="268" t="str">
        <f t="shared" si="389"/>
        <v/>
      </c>
      <c r="BG328" s="268" t="str">
        <f t="shared" si="389"/>
        <v/>
      </c>
      <c r="BH328" s="268" t="str">
        <f t="shared" si="389"/>
        <v/>
      </c>
      <c r="BI328" s="268" t="str">
        <f t="shared" si="389"/>
        <v/>
      </c>
      <c r="BJ328" s="268" t="str">
        <f t="shared" si="389"/>
        <v/>
      </c>
      <c r="BK328" s="268" t="str">
        <f t="shared" si="389"/>
        <v/>
      </c>
      <c r="BL328" s="268" t="str">
        <f t="shared" si="389"/>
        <v/>
      </c>
      <c r="BM328" s="268" t="str">
        <f t="shared" si="389"/>
        <v/>
      </c>
      <c r="BN328" s="268" t="str">
        <f t="shared" si="389"/>
        <v/>
      </c>
      <c r="BO328" s="268" t="str">
        <f t="shared" si="389"/>
        <v/>
      </c>
      <c r="BP328" s="268" t="str">
        <f t="shared" si="389"/>
        <v/>
      </c>
      <c r="BQ328" s="268" t="str">
        <f t="shared" si="389"/>
        <v/>
      </c>
      <c r="BR328" s="268" t="str">
        <f t="shared" si="389"/>
        <v/>
      </c>
      <c r="BS328" s="268" t="str">
        <f t="shared" si="389"/>
        <v/>
      </c>
      <c r="BT328" s="268" t="str">
        <f t="shared" si="389"/>
        <v/>
      </c>
      <c r="BU328" s="268" t="str">
        <f t="shared" si="385"/>
        <v/>
      </c>
      <c r="BV328" s="247">
        <v>0.65</v>
      </c>
      <c r="BW328" s="729">
        <f t="shared" si="366"/>
        <v>15600</v>
      </c>
      <c r="BX328" s="730">
        <f t="shared" si="367"/>
        <v>120900</v>
      </c>
      <c r="BY328" s="731" t="str">
        <f t="shared" si="368"/>
        <v>SR</v>
      </c>
    </row>
    <row r="329" s="698" customFormat="1" customHeight="1" spans="1:77">
      <c r="A329" s="208">
        <v>46092</v>
      </c>
      <c r="B329" s="208">
        <v>46150</v>
      </c>
      <c r="C329" s="211"/>
      <c r="D329" s="211" t="s">
        <v>545</v>
      </c>
      <c r="E329" s="211" t="s">
        <v>84</v>
      </c>
      <c r="F329" s="732">
        <v>24012</v>
      </c>
      <c r="G329" s="211" t="s">
        <v>334</v>
      </c>
      <c r="H329" s="211" t="str">
        <f>IFERROR(VLOOKUP(E329,名称!A:E,4,0),"")</f>
        <v>三代</v>
      </c>
      <c r="I329" s="268" t="str">
        <f t="shared" ref="I329:BT329" si="390">IF(OR($E329="",I$1=""),"",IF(TRIM(LEFT($E329,MIN(IFERROR(FIND("CDU",UPPER($E329)),999),IFERROR(FIND("BULK",UPPER($E329)),999),IFERROR(FIND("-",$E329),999),IFERROR(FIND("（",$E329),999))-1))=I$1,$F329,""))</f>
        <v/>
      </c>
      <c r="J329" s="268" t="str">
        <f t="shared" si="390"/>
        <v/>
      </c>
      <c r="K329" s="268" t="str">
        <f t="shared" si="390"/>
        <v/>
      </c>
      <c r="L329" s="268" t="str">
        <f t="shared" si="390"/>
        <v/>
      </c>
      <c r="M329" s="268" t="str">
        <f t="shared" si="390"/>
        <v/>
      </c>
      <c r="N329" s="268" t="str">
        <f t="shared" si="390"/>
        <v/>
      </c>
      <c r="O329" s="268" t="str">
        <f t="shared" si="390"/>
        <v/>
      </c>
      <c r="P329" s="268" t="str">
        <f t="shared" si="390"/>
        <v/>
      </c>
      <c r="Q329" s="268" t="str">
        <f t="shared" si="390"/>
        <v/>
      </c>
      <c r="R329" s="268" t="str">
        <f t="shared" si="390"/>
        <v/>
      </c>
      <c r="S329" s="268" t="str">
        <f t="shared" si="390"/>
        <v/>
      </c>
      <c r="T329" s="268" t="str">
        <f t="shared" si="390"/>
        <v/>
      </c>
      <c r="U329" s="268" t="str">
        <f t="shared" si="390"/>
        <v/>
      </c>
      <c r="V329" s="268" t="str">
        <f t="shared" si="390"/>
        <v/>
      </c>
      <c r="W329" s="268" t="str">
        <f t="shared" si="390"/>
        <v/>
      </c>
      <c r="X329" s="268" t="str">
        <f t="shared" si="390"/>
        <v/>
      </c>
      <c r="Y329" s="268" t="str">
        <f t="shared" si="390"/>
        <v/>
      </c>
      <c r="Z329" s="268" t="str">
        <f t="shared" si="390"/>
        <v/>
      </c>
      <c r="AA329" s="268" t="str">
        <f t="shared" si="390"/>
        <v/>
      </c>
      <c r="AB329" s="268" t="str">
        <f t="shared" si="390"/>
        <v/>
      </c>
      <c r="AC329" s="268" t="str">
        <f t="shared" si="390"/>
        <v/>
      </c>
      <c r="AD329" s="268" t="str">
        <f t="shared" si="390"/>
        <v/>
      </c>
      <c r="AE329" s="268" t="str">
        <f t="shared" si="390"/>
        <v/>
      </c>
      <c r="AF329" s="268" t="str">
        <f t="shared" si="390"/>
        <v/>
      </c>
      <c r="AG329" s="268" t="str">
        <f t="shared" si="390"/>
        <v/>
      </c>
      <c r="AH329" s="268" t="str">
        <f t="shared" si="390"/>
        <v/>
      </c>
      <c r="AI329" s="268" t="str">
        <f t="shared" si="390"/>
        <v/>
      </c>
      <c r="AJ329" s="268" t="str">
        <f t="shared" si="390"/>
        <v/>
      </c>
      <c r="AK329" s="268" t="str">
        <f t="shared" si="390"/>
        <v/>
      </c>
      <c r="AL329" s="268" t="str">
        <f t="shared" si="390"/>
        <v/>
      </c>
      <c r="AM329" s="268" t="str">
        <f t="shared" si="390"/>
        <v/>
      </c>
      <c r="AN329" s="268">
        <f t="shared" si="390"/>
        <v>24012</v>
      </c>
      <c r="AO329" s="268" t="str">
        <f t="shared" si="390"/>
        <v/>
      </c>
      <c r="AP329" s="268" t="str">
        <f t="shared" si="390"/>
        <v/>
      </c>
      <c r="AQ329" s="268" t="str">
        <f t="shared" si="390"/>
        <v/>
      </c>
      <c r="AR329" s="268" t="str">
        <f t="shared" si="390"/>
        <v/>
      </c>
      <c r="AS329" s="268" t="str">
        <f t="shared" si="390"/>
        <v/>
      </c>
      <c r="AT329" s="268" t="str">
        <f t="shared" si="390"/>
        <v/>
      </c>
      <c r="AU329" s="268" t="str">
        <f t="shared" si="390"/>
        <v/>
      </c>
      <c r="AV329" s="268" t="str">
        <f t="shared" si="390"/>
        <v/>
      </c>
      <c r="AW329" s="268" t="str">
        <f t="shared" si="390"/>
        <v/>
      </c>
      <c r="AX329" s="268" t="str">
        <f t="shared" si="390"/>
        <v/>
      </c>
      <c r="AY329" s="268" t="str">
        <f t="shared" si="390"/>
        <v/>
      </c>
      <c r="AZ329" s="268" t="str">
        <f t="shared" si="390"/>
        <v/>
      </c>
      <c r="BA329" s="268" t="str">
        <f t="shared" si="390"/>
        <v/>
      </c>
      <c r="BB329" s="268" t="str">
        <f t="shared" si="390"/>
        <v/>
      </c>
      <c r="BC329" s="268" t="str">
        <f t="shared" si="390"/>
        <v/>
      </c>
      <c r="BD329" s="268" t="str">
        <f t="shared" si="390"/>
        <v/>
      </c>
      <c r="BE329" s="268" t="str">
        <f t="shared" si="390"/>
        <v/>
      </c>
      <c r="BF329" s="268" t="str">
        <f t="shared" si="390"/>
        <v/>
      </c>
      <c r="BG329" s="268" t="str">
        <f t="shared" si="390"/>
        <v/>
      </c>
      <c r="BH329" s="268" t="str">
        <f t="shared" si="390"/>
        <v/>
      </c>
      <c r="BI329" s="268" t="str">
        <f t="shared" si="390"/>
        <v/>
      </c>
      <c r="BJ329" s="268" t="str">
        <f t="shared" si="390"/>
        <v/>
      </c>
      <c r="BK329" s="268" t="str">
        <f t="shared" si="390"/>
        <v/>
      </c>
      <c r="BL329" s="268" t="str">
        <f t="shared" si="390"/>
        <v/>
      </c>
      <c r="BM329" s="268" t="str">
        <f t="shared" si="390"/>
        <v/>
      </c>
      <c r="BN329" s="268" t="str">
        <f t="shared" si="390"/>
        <v/>
      </c>
      <c r="BO329" s="268" t="str">
        <f t="shared" si="390"/>
        <v/>
      </c>
      <c r="BP329" s="268" t="str">
        <f t="shared" si="390"/>
        <v/>
      </c>
      <c r="BQ329" s="268" t="str">
        <f t="shared" si="390"/>
        <v/>
      </c>
      <c r="BR329" s="268" t="str">
        <f t="shared" si="390"/>
        <v/>
      </c>
      <c r="BS329" s="268" t="str">
        <f t="shared" si="390"/>
        <v/>
      </c>
      <c r="BT329" s="268" t="str">
        <f t="shared" si="390"/>
        <v/>
      </c>
      <c r="BU329" s="268" t="str">
        <f t="shared" si="385"/>
        <v/>
      </c>
      <c r="BV329" s="247">
        <v>0.86</v>
      </c>
      <c r="BW329" s="729">
        <f t="shared" si="366"/>
        <v>20650.32</v>
      </c>
      <c r="BX329" s="730">
        <f t="shared" si="367"/>
        <v>160039.98</v>
      </c>
      <c r="BY329" s="731" t="str">
        <f t="shared" si="368"/>
        <v>SR</v>
      </c>
    </row>
    <row r="330" s="698" customFormat="1" customHeight="1" spans="1:77">
      <c r="A330" s="208">
        <v>46092</v>
      </c>
      <c r="B330" s="208">
        <v>46150</v>
      </c>
      <c r="C330" s="211"/>
      <c r="D330" s="211" t="s">
        <v>545</v>
      </c>
      <c r="E330" s="211" t="s">
        <v>99</v>
      </c>
      <c r="F330" s="732">
        <v>12000</v>
      </c>
      <c r="G330" s="211" t="s">
        <v>510</v>
      </c>
      <c r="H330" s="211" t="str">
        <f>IFERROR(VLOOKUP(E330,名称!A:E,4,0),"")</f>
        <v>三代</v>
      </c>
      <c r="I330" s="268" t="str">
        <f t="shared" ref="I330:BT330" si="391">IF(OR($E330="",I$1=""),"",IF(TRIM(LEFT($E330,MIN(IFERROR(FIND("CDU",UPPER($E330)),999),IFERROR(FIND("BULK",UPPER($E330)),999),IFERROR(FIND("-",$E330),999),IFERROR(FIND("（",$E330),999))-1))=I$1,$F330,""))</f>
        <v/>
      </c>
      <c r="J330" s="268" t="str">
        <f t="shared" si="391"/>
        <v/>
      </c>
      <c r="K330" s="268" t="str">
        <f t="shared" si="391"/>
        <v/>
      </c>
      <c r="L330" s="268" t="str">
        <f t="shared" si="391"/>
        <v/>
      </c>
      <c r="M330" s="268" t="str">
        <f t="shared" si="391"/>
        <v/>
      </c>
      <c r="N330" s="268" t="str">
        <f t="shared" si="391"/>
        <v/>
      </c>
      <c r="O330" s="268" t="str">
        <f t="shared" si="391"/>
        <v/>
      </c>
      <c r="P330" s="268" t="str">
        <f t="shared" si="391"/>
        <v/>
      </c>
      <c r="Q330" s="268" t="str">
        <f t="shared" si="391"/>
        <v/>
      </c>
      <c r="R330" s="268" t="str">
        <f t="shared" si="391"/>
        <v/>
      </c>
      <c r="S330" s="268" t="str">
        <f t="shared" si="391"/>
        <v/>
      </c>
      <c r="T330" s="268" t="str">
        <f t="shared" si="391"/>
        <v/>
      </c>
      <c r="U330" s="268" t="str">
        <f t="shared" si="391"/>
        <v/>
      </c>
      <c r="V330" s="268" t="str">
        <f t="shared" si="391"/>
        <v/>
      </c>
      <c r="W330" s="268" t="str">
        <f t="shared" si="391"/>
        <v/>
      </c>
      <c r="X330" s="268" t="str">
        <f t="shared" si="391"/>
        <v/>
      </c>
      <c r="Y330" s="268" t="str">
        <f t="shared" si="391"/>
        <v/>
      </c>
      <c r="Z330" s="268" t="str">
        <f t="shared" si="391"/>
        <v/>
      </c>
      <c r="AA330" s="268" t="str">
        <f t="shared" si="391"/>
        <v/>
      </c>
      <c r="AB330" s="268" t="str">
        <f t="shared" si="391"/>
        <v/>
      </c>
      <c r="AC330" s="268">
        <f t="shared" si="391"/>
        <v>12000</v>
      </c>
      <c r="AD330" s="268" t="str">
        <f t="shared" si="391"/>
        <v/>
      </c>
      <c r="AE330" s="268" t="str">
        <f t="shared" si="391"/>
        <v/>
      </c>
      <c r="AF330" s="268" t="str">
        <f t="shared" si="391"/>
        <v/>
      </c>
      <c r="AG330" s="268" t="str">
        <f t="shared" si="391"/>
        <v/>
      </c>
      <c r="AH330" s="268" t="str">
        <f t="shared" si="391"/>
        <v/>
      </c>
      <c r="AI330" s="268" t="str">
        <f t="shared" si="391"/>
        <v/>
      </c>
      <c r="AJ330" s="268" t="str">
        <f t="shared" si="391"/>
        <v/>
      </c>
      <c r="AK330" s="268" t="str">
        <f t="shared" si="391"/>
        <v/>
      </c>
      <c r="AL330" s="268" t="str">
        <f t="shared" si="391"/>
        <v/>
      </c>
      <c r="AM330" s="268" t="str">
        <f t="shared" si="391"/>
        <v/>
      </c>
      <c r="AN330" s="268" t="str">
        <f t="shared" si="391"/>
        <v/>
      </c>
      <c r="AO330" s="268" t="str">
        <f t="shared" si="391"/>
        <v/>
      </c>
      <c r="AP330" s="268" t="str">
        <f t="shared" si="391"/>
        <v/>
      </c>
      <c r="AQ330" s="268" t="str">
        <f t="shared" si="391"/>
        <v/>
      </c>
      <c r="AR330" s="268" t="str">
        <f t="shared" si="391"/>
        <v/>
      </c>
      <c r="AS330" s="268" t="str">
        <f t="shared" si="391"/>
        <v/>
      </c>
      <c r="AT330" s="268" t="str">
        <f t="shared" si="391"/>
        <v/>
      </c>
      <c r="AU330" s="268" t="str">
        <f t="shared" si="391"/>
        <v/>
      </c>
      <c r="AV330" s="268" t="str">
        <f t="shared" si="391"/>
        <v/>
      </c>
      <c r="AW330" s="268" t="str">
        <f t="shared" si="391"/>
        <v/>
      </c>
      <c r="AX330" s="268" t="str">
        <f t="shared" si="391"/>
        <v/>
      </c>
      <c r="AY330" s="268" t="str">
        <f t="shared" si="391"/>
        <v/>
      </c>
      <c r="AZ330" s="268" t="str">
        <f t="shared" si="391"/>
        <v/>
      </c>
      <c r="BA330" s="268" t="str">
        <f t="shared" si="391"/>
        <v/>
      </c>
      <c r="BB330" s="268" t="str">
        <f t="shared" si="391"/>
        <v/>
      </c>
      <c r="BC330" s="268" t="str">
        <f t="shared" si="391"/>
        <v/>
      </c>
      <c r="BD330" s="268" t="str">
        <f t="shared" si="391"/>
        <v/>
      </c>
      <c r="BE330" s="268" t="str">
        <f t="shared" si="391"/>
        <v/>
      </c>
      <c r="BF330" s="268" t="str">
        <f t="shared" si="391"/>
        <v/>
      </c>
      <c r="BG330" s="268" t="str">
        <f t="shared" si="391"/>
        <v/>
      </c>
      <c r="BH330" s="268" t="str">
        <f t="shared" si="391"/>
        <v/>
      </c>
      <c r="BI330" s="268" t="str">
        <f t="shared" si="391"/>
        <v/>
      </c>
      <c r="BJ330" s="268" t="str">
        <f t="shared" si="391"/>
        <v/>
      </c>
      <c r="BK330" s="268" t="str">
        <f t="shared" si="391"/>
        <v/>
      </c>
      <c r="BL330" s="268" t="str">
        <f t="shared" si="391"/>
        <v/>
      </c>
      <c r="BM330" s="268" t="str">
        <f t="shared" si="391"/>
        <v/>
      </c>
      <c r="BN330" s="268" t="str">
        <f t="shared" si="391"/>
        <v/>
      </c>
      <c r="BO330" s="268" t="str">
        <f t="shared" si="391"/>
        <v/>
      </c>
      <c r="BP330" s="268" t="str">
        <f t="shared" si="391"/>
        <v/>
      </c>
      <c r="BQ330" s="268" t="str">
        <f t="shared" si="391"/>
        <v/>
      </c>
      <c r="BR330" s="268" t="str">
        <f t="shared" si="391"/>
        <v/>
      </c>
      <c r="BS330" s="268" t="str">
        <f t="shared" si="391"/>
        <v/>
      </c>
      <c r="BT330" s="268" t="str">
        <f t="shared" si="391"/>
        <v/>
      </c>
      <c r="BU330" s="268" t="str">
        <f t="shared" si="385"/>
        <v/>
      </c>
      <c r="BV330" s="247">
        <v>0.87</v>
      </c>
      <c r="BW330" s="729">
        <f t="shared" si="366"/>
        <v>10440</v>
      </c>
      <c r="BX330" s="730">
        <f t="shared" si="367"/>
        <v>80910</v>
      </c>
      <c r="BY330" s="731" t="str">
        <f t="shared" si="368"/>
        <v>SR</v>
      </c>
    </row>
    <row r="331" s="698" customFormat="1" customHeight="1" spans="1:77">
      <c r="A331" s="208">
        <v>46092</v>
      </c>
      <c r="B331" s="208">
        <v>46150</v>
      </c>
      <c r="C331" s="211"/>
      <c r="D331" s="211" t="s">
        <v>545</v>
      </c>
      <c r="E331" s="211" t="s">
        <v>103</v>
      </c>
      <c r="F331" s="732">
        <v>12006</v>
      </c>
      <c r="G331" s="211" t="s">
        <v>334</v>
      </c>
      <c r="H331" s="211" t="str">
        <f>IFERROR(VLOOKUP(E331,名称!A:E,4,0),"")</f>
        <v>三代</v>
      </c>
      <c r="I331" s="268" t="str">
        <f t="shared" ref="I331:BT331" si="392">IF(OR($E331="",I$1=""),"",IF(TRIM(LEFT($E331,MIN(IFERROR(FIND("CDU",UPPER($E331)),999),IFERROR(FIND("BULK",UPPER($E331)),999),IFERROR(FIND("-",$E331),999),IFERROR(FIND("（",$E331),999))-1))=I$1,$F331,""))</f>
        <v/>
      </c>
      <c r="J331" s="268" t="str">
        <f t="shared" si="392"/>
        <v/>
      </c>
      <c r="K331" s="268" t="str">
        <f t="shared" si="392"/>
        <v/>
      </c>
      <c r="L331" s="268" t="str">
        <f t="shared" si="392"/>
        <v/>
      </c>
      <c r="M331" s="268" t="str">
        <f t="shared" si="392"/>
        <v/>
      </c>
      <c r="N331" s="268" t="str">
        <f t="shared" si="392"/>
        <v/>
      </c>
      <c r="O331" s="268" t="str">
        <f t="shared" si="392"/>
        <v/>
      </c>
      <c r="P331" s="268" t="str">
        <f t="shared" si="392"/>
        <v/>
      </c>
      <c r="Q331" s="268" t="str">
        <f t="shared" si="392"/>
        <v/>
      </c>
      <c r="R331" s="268" t="str">
        <f t="shared" si="392"/>
        <v/>
      </c>
      <c r="S331" s="268" t="str">
        <f t="shared" si="392"/>
        <v/>
      </c>
      <c r="T331" s="268" t="str">
        <f t="shared" si="392"/>
        <v/>
      </c>
      <c r="U331" s="268" t="str">
        <f t="shared" si="392"/>
        <v/>
      </c>
      <c r="V331" s="268" t="str">
        <f t="shared" si="392"/>
        <v/>
      </c>
      <c r="W331" s="268" t="str">
        <f t="shared" si="392"/>
        <v/>
      </c>
      <c r="X331" s="268" t="str">
        <f t="shared" si="392"/>
        <v/>
      </c>
      <c r="Y331" s="268" t="str">
        <f t="shared" si="392"/>
        <v/>
      </c>
      <c r="Z331" s="268" t="str">
        <f t="shared" si="392"/>
        <v/>
      </c>
      <c r="AA331" s="268" t="str">
        <f t="shared" si="392"/>
        <v/>
      </c>
      <c r="AB331" s="268" t="str">
        <f t="shared" si="392"/>
        <v/>
      </c>
      <c r="AC331" s="268">
        <f t="shared" si="392"/>
        <v>12006</v>
      </c>
      <c r="AD331" s="268" t="str">
        <f t="shared" si="392"/>
        <v/>
      </c>
      <c r="AE331" s="268" t="str">
        <f t="shared" si="392"/>
        <v/>
      </c>
      <c r="AF331" s="268" t="str">
        <f t="shared" si="392"/>
        <v/>
      </c>
      <c r="AG331" s="268" t="str">
        <f t="shared" si="392"/>
        <v/>
      </c>
      <c r="AH331" s="268" t="str">
        <f t="shared" si="392"/>
        <v/>
      </c>
      <c r="AI331" s="268" t="str">
        <f t="shared" si="392"/>
        <v/>
      </c>
      <c r="AJ331" s="268" t="str">
        <f t="shared" si="392"/>
        <v/>
      </c>
      <c r="AK331" s="268" t="str">
        <f t="shared" si="392"/>
        <v/>
      </c>
      <c r="AL331" s="268" t="str">
        <f t="shared" si="392"/>
        <v/>
      </c>
      <c r="AM331" s="268" t="str">
        <f t="shared" si="392"/>
        <v/>
      </c>
      <c r="AN331" s="268" t="str">
        <f t="shared" si="392"/>
        <v/>
      </c>
      <c r="AO331" s="268" t="str">
        <f t="shared" si="392"/>
        <v/>
      </c>
      <c r="AP331" s="268" t="str">
        <f t="shared" si="392"/>
        <v/>
      </c>
      <c r="AQ331" s="268" t="str">
        <f t="shared" si="392"/>
        <v/>
      </c>
      <c r="AR331" s="268" t="str">
        <f t="shared" si="392"/>
        <v/>
      </c>
      <c r="AS331" s="268" t="str">
        <f t="shared" si="392"/>
        <v/>
      </c>
      <c r="AT331" s="268" t="str">
        <f t="shared" si="392"/>
        <v/>
      </c>
      <c r="AU331" s="268" t="str">
        <f t="shared" si="392"/>
        <v/>
      </c>
      <c r="AV331" s="268" t="str">
        <f t="shared" si="392"/>
        <v/>
      </c>
      <c r="AW331" s="268" t="str">
        <f t="shared" si="392"/>
        <v/>
      </c>
      <c r="AX331" s="268" t="str">
        <f t="shared" si="392"/>
        <v/>
      </c>
      <c r="AY331" s="268" t="str">
        <f t="shared" si="392"/>
        <v/>
      </c>
      <c r="AZ331" s="268" t="str">
        <f t="shared" si="392"/>
        <v/>
      </c>
      <c r="BA331" s="268" t="str">
        <f t="shared" si="392"/>
        <v/>
      </c>
      <c r="BB331" s="268" t="str">
        <f t="shared" si="392"/>
        <v/>
      </c>
      <c r="BC331" s="268" t="str">
        <f t="shared" si="392"/>
        <v/>
      </c>
      <c r="BD331" s="268" t="str">
        <f t="shared" si="392"/>
        <v/>
      </c>
      <c r="BE331" s="268" t="str">
        <f t="shared" si="392"/>
        <v/>
      </c>
      <c r="BF331" s="268" t="str">
        <f t="shared" si="392"/>
        <v/>
      </c>
      <c r="BG331" s="268" t="str">
        <f t="shared" si="392"/>
        <v/>
      </c>
      <c r="BH331" s="268" t="str">
        <f t="shared" si="392"/>
        <v/>
      </c>
      <c r="BI331" s="268" t="str">
        <f t="shared" si="392"/>
        <v/>
      </c>
      <c r="BJ331" s="268" t="str">
        <f t="shared" si="392"/>
        <v/>
      </c>
      <c r="BK331" s="268" t="str">
        <f t="shared" si="392"/>
        <v/>
      </c>
      <c r="BL331" s="268" t="str">
        <f t="shared" si="392"/>
        <v/>
      </c>
      <c r="BM331" s="268" t="str">
        <f t="shared" si="392"/>
        <v/>
      </c>
      <c r="BN331" s="268" t="str">
        <f t="shared" si="392"/>
        <v/>
      </c>
      <c r="BO331" s="268" t="str">
        <f t="shared" si="392"/>
        <v/>
      </c>
      <c r="BP331" s="268" t="str">
        <f t="shared" si="392"/>
        <v/>
      </c>
      <c r="BQ331" s="268" t="str">
        <f t="shared" si="392"/>
        <v/>
      </c>
      <c r="BR331" s="268" t="str">
        <f t="shared" si="392"/>
        <v/>
      </c>
      <c r="BS331" s="268" t="str">
        <f t="shared" si="392"/>
        <v/>
      </c>
      <c r="BT331" s="268" t="str">
        <f t="shared" si="392"/>
        <v/>
      </c>
      <c r="BU331" s="268" t="str">
        <f t="shared" si="385"/>
        <v/>
      </c>
      <c r="BV331" s="247">
        <v>0.85</v>
      </c>
      <c r="BW331" s="729">
        <f t="shared" si="366"/>
        <v>10205.1</v>
      </c>
      <c r="BX331" s="730">
        <f t="shared" si="367"/>
        <v>79089.53</v>
      </c>
      <c r="BY331" s="731" t="str">
        <f t="shared" si="368"/>
        <v>SR</v>
      </c>
    </row>
    <row r="332" s="698" customFormat="1" customHeight="1" spans="1:77">
      <c r="A332" s="208">
        <v>46092</v>
      </c>
      <c r="B332" s="208">
        <v>46150</v>
      </c>
      <c r="C332" s="211"/>
      <c r="D332" s="211" t="s">
        <v>545</v>
      </c>
      <c r="E332" s="211" t="s">
        <v>66</v>
      </c>
      <c r="F332" s="732">
        <v>11100</v>
      </c>
      <c r="G332" s="211" t="s">
        <v>334</v>
      </c>
      <c r="H332" s="211" t="str">
        <f>IFERROR(VLOOKUP(E332,名称!A:E,4,0),"")</f>
        <v>三代</v>
      </c>
      <c r="I332" s="268" t="str">
        <f t="shared" ref="I332:BT332" si="393">IF(OR($E332="",I$1=""),"",IF(TRIM(LEFT($E332,MIN(IFERROR(FIND("CDU",UPPER($E332)),999),IFERROR(FIND("BULK",UPPER($E332)),999),IFERROR(FIND("-",$E332),999),IFERROR(FIND("（",$E332),999))-1))=I$1,$F332,""))</f>
        <v/>
      </c>
      <c r="J332" s="268" t="str">
        <f t="shared" si="393"/>
        <v/>
      </c>
      <c r="K332" s="268" t="str">
        <f t="shared" si="393"/>
        <v/>
      </c>
      <c r="L332" s="268" t="str">
        <f t="shared" si="393"/>
        <v/>
      </c>
      <c r="M332" s="268" t="str">
        <f t="shared" si="393"/>
        <v/>
      </c>
      <c r="N332" s="268" t="str">
        <f t="shared" si="393"/>
        <v/>
      </c>
      <c r="O332" s="268" t="str">
        <f t="shared" si="393"/>
        <v/>
      </c>
      <c r="P332" s="268" t="str">
        <f t="shared" si="393"/>
        <v/>
      </c>
      <c r="Q332" s="268" t="str">
        <f t="shared" si="393"/>
        <v/>
      </c>
      <c r="R332" s="268" t="str">
        <f t="shared" si="393"/>
        <v/>
      </c>
      <c r="S332" s="268" t="str">
        <f t="shared" si="393"/>
        <v/>
      </c>
      <c r="T332" s="268" t="str">
        <f t="shared" si="393"/>
        <v/>
      </c>
      <c r="U332" s="268" t="str">
        <f t="shared" si="393"/>
        <v/>
      </c>
      <c r="V332" s="268" t="str">
        <f t="shared" si="393"/>
        <v/>
      </c>
      <c r="W332" s="268" t="str">
        <f t="shared" si="393"/>
        <v/>
      </c>
      <c r="X332" s="268" t="str">
        <f t="shared" si="393"/>
        <v/>
      </c>
      <c r="Y332" s="268" t="str">
        <f t="shared" si="393"/>
        <v/>
      </c>
      <c r="Z332" s="268" t="str">
        <f t="shared" si="393"/>
        <v/>
      </c>
      <c r="AA332" s="268" t="str">
        <f t="shared" si="393"/>
        <v/>
      </c>
      <c r="AB332" s="268" t="str">
        <f t="shared" si="393"/>
        <v/>
      </c>
      <c r="AC332" s="268" t="str">
        <f t="shared" si="393"/>
        <v/>
      </c>
      <c r="AD332" s="268" t="str">
        <f t="shared" si="393"/>
        <v/>
      </c>
      <c r="AE332" s="268" t="str">
        <f t="shared" si="393"/>
        <v/>
      </c>
      <c r="AF332" s="268" t="str">
        <f t="shared" si="393"/>
        <v/>
      </c>
      <c r="AG332" s="268">
        <f t="shared" si="393"/>
        <v>11100</v>
      </c>
      <c r="AH332" s="268" t="str">
        <f t="shared" si="393"/>
        <v/>
      </c>
      <c r="AI332" s="268" t="str">
        <f t="shared" si="393"/>
        <v/>
      </c>
      <c r="AJ332" s="268" t="str">
        <f t="shared" si="393"/>
        <v/>
      </c>
      <c r="AK332" s="268" t="str">
        <f t="shared" si="393"/>
        <v/>
      </c>
      <c r="AL332" s="268" t="str">
        <f t="shared" si="393"/>
        <v/>
      </c>
      <c r="AM332" s="268" t="str">
        <f t="shared" si="393"/>
        <v/>
      </c>
      <c r="AN332" s="268" t="str">
        <f t="shared" si="393"/>
        <v/>
      </c>
      <c r="AO332" s="268" t="str">
        <f t="shared" si="393"/>
        <v/>
      </c>
      <c r="AP332" s="268" t="str">
        <f t="shared" si="393"/>
        <v/>
      </c>
      <c r="AQ332" s="268" t="str">
        <f t="shared" si="393"/>
        <v/>
      </c>
      <c r="AR332" s="268" t="str">
        <f t="shared" si="393"/>
        <v/>
      </c>
      <c r="AS332" s="268" t="str">
        <f t="shared" si="393"/>
        <v/>
      </c>
      <c r="AT332" s="268" t="str">
        <f t="shared" si="393"/>
        <v/>
      </c>
      <c r="AU332" s="268" t="str">
        <f t="shared" si="393"/>
        <v/>
      </c>
      <c r="AV332" s="268" t="str">
        <f t="shared" si="393"/>
        <v/>
      </c>
      <c r="AW332" s="268" t="str">
        <f t="shared" si="393"/>
        <v/>
      </c>
      <c r="AX332" s="268" t="str">
        <f t="shared" si="393"/>
        <v/>
      </c>
      <c r="AY332" s="268" t="str">
        <f t="shared" si="393"/>
        <v/>
      </c>
      <c r="AZ332" s="268" t="str">
        <f t="shared" si="393"/>
        <v/>
      </c>
      <c r="BA332" s="268" t="str">
        <f t="shared" si="393"/>
        <v/>
      </c>
      <c r="BB332" s="268" t="str">
        <f t="shared" si="393"/>
        <v/>
      </c>
      <c r="BC332" s="268" t="str">
        <f t="shared" si="393"/>
        <v/>
      </c>
      <c r="BD332" s="268" t="str">
        <f t="shared" si="393"/>
        <v/>
      </c>
      <c r="BE332" s="268" t="str">
        <f t="shared" si="393"/>
        <v/>
      </c>
      <c r="BF332" s="268" t="str">
        <f t="shared" si="393"/>
        <v/>
      </c>
      <c r="BG332" s="268" t="str">
        <f t="shared" si="393"/>
        <v/>
      </c>
      <c r="BH332" s="268" t="str">
        <f t="shared" si="393"/>
        <v/>
      </c>
      <c r="BI332" s="268" t="str">
        <f t="shared" si="393"/>
        <v/>
      </c>
      <c r="BJ332" s="268" t="str">
        <f t="shared" si="393"/>
        <v/>
      </c>
      <c r="BK332" s="268" t="str">
        <f t="shared" si="393"/>
        <v/>
      </c>
      <c r="BL332" s="268" t="str">
        <f t="shared" si="393"/>
        <v/>
      </c>
      <c r="BM332" s="268" t="str">
        <f t="shared" si="393"/>
        <v/>
      </c>
      <c r="BN332" s="268" t="str">
        <f t="shared" si="393"/>
        <v/>
      </c>
      <c r="BO332" s="268" t="str">
        <f t="shared" si="393"/>
        <v/>
      </c>
      <c r="BP332" s="268" t="str">
        <f t="shared" si="393"/>
        <v/>
      </c>
      <c r="BQ332" s="268" t="str">
        <f t="shared" si="393"/>
        <v/>
      </c>
      <c r="BR332" s="268" t="str">
        <f t="shared" si="393"/>
        <v/>
      </c>
      <c r="BS332" s="268" t="str">
        <f t="shared" si="393"/>
        <v/>
      </c>
      <c r="BT332" s="268" t="str">
        <f t="shared" si="393"/>
        <v/>
      </c>
      <c r="BU332" s="268" t="str">
        <f t="shared" si="385"/>
        <v/>
      </c>
      <c r="BV332" s="247">
        <v>2.02</v>
      </c>
      <c r="BW332" s="729">
        <f t="shared" si="366"/>
        <v>22422</v>
      </c>
      <c r="BX332" s="730">
        <f t="shared" si="367"/>
        <v>173770.5</v>
      </c>
      <c r="BY332" s="731" t="str">
        <f t="shared" si="368"/>
        <v>SR</v>
      </c>
    </row>
    <row r="333" s="698" customFormat="1" customHeight="1" spans="1:77">
      <c r="A333" s="208">
        <v>46092</v>
      </c>
      <c r="B333" s="208">
        <v>46150</v>
      </c>
      <c r="C333" s="211"/>
      <c r="D333" s="211" t="s">
        <v>545</v>
      </c>
      <c r="E333" s="211" t="s">
        <v>66</v>
      </c>
      <c r="F333" s="732">
        <f>12000-11100</f>
        <v>900</v>
      </c>
      <c r="G333" s="211" t="s">
        <v>334</v>
      </c>
      <c r="H333" s="211" t="str">
        <f>IFERROR(VLOOKUP(E333,名称!A:E,4,0),"")</f>
        <v>三代</v>
      </c>
      <c r="I333" s="268" t="str">
        <f t="shared" ref="I333:BT333" si="394">IF(OR($E333="",I$1=""),"",IF(TRIM(LEFT($E333,MIN(IFERROR(FIND("CDU",UPPER($E333)),999),IFERROR(FIND("BULK",UPPER($E333)),999),IFERROR(FIND("-",$E333),999),IFERROR(FIND("（",$E333),999))-1))=I$1,$F333,""))</f>
        <v/>
      </c>
      <c r="J333" s="268" t="str">
        <f t="shared" si="394"/>
        <v/>
      </c>
      <c r="K333" s="268" t="str">
        <f t="shared" si="394"/>
        <v/>
      </c>
      <c r="L333" s="268" t="str">
        <f t="shared" si="394"/>
        <v/>
      </c>
      <c r="M333" s="268" t="str">
        <f t="shared" si="394"/>
        <v/>
      </c>
      <c r="N333" s="268" t="str">
        <f t="shared" si="394"/>
        <v/>
      </c>
      <c r="O333" s="268" t="str">
        <f t="shared" si="394"/>
        <v/>
      </c>
      <c r="P333" s="268" t="str">
        <f t="shared" si="394"/>
        <v/>
      </c>
      <c r="Q333" s="268" t="str">
        <f t="shared" si="394"/>
        <v/>
      </c>
      <c r="R333" s="268" t="str">
        <f t="shared" si="394"/>
        <v/>
      </c>
      <c r="S333" s="268" t="str">
        <f t="shared" si="394"/>
        <v/>
      </c>
      <c r="T333" s="268" t="str">
        <f t="shared" si="394"/>
        <v/>
      </c>
      <c r="U333" s="268" t="str">
        <f t="shared" si="394"/>
        <v/>
      </c>
      <c r="V333" s="268" t="str">
        <f t="shared" si="394"/>
        <v/>
      </c>
      <c r="W333" s="268" t="str">
        <f t="shared" si="394"/>
        <v/>
      </c>
      <c r="X333" s="268" t="str">
        <f t="shared" si="394"/>
        <v/>
      </c>
      <c r="Y333" s="268" t="str">
        <f t="shared" si="394"/>
        <v/>
      </c>
      <c r="Z333" s="268" t="str">
        <f t="shared" si="394"/>
        <v/>
      </c>
      <c r="AA333" s="268" t="str">
        <f t="shared" si="394"/>
        <v/>
      </c>
      <c r="AB333" s="268" t="str">
        <f t="shared" si="394"/>
        <v/>
      </c>
      <c r="AC333" s="268" t="str">
        <f t="shared" si="394"/>
        <v/>
      </c>
      <c r="AD333" s="268" t="str">
        <f t="shared" si="394"/>
        <v/>
      </c>
      <c r="AE333" s="268" t="str">
        <f t="shared" si="394"/>
        <v/>
      </c>
      <c r="AF333" s="268" t="str">
        <f t="shared" si="394"/>
        <v/>
      </c>
      <c r="AG333" s="268">
        <f t="shared" si="394"/>
        <v>900</v>
      </c>
      <c r="AH333" s="268" t="str">
        <f t="shared" si="394"/>
        <v/>
      </c>
      <c r="AI333" s="268" t="str">
        <f t="shared" si="394"/>
        <v/>
      </c>
      <c r="AJ333" s="268" t="str">
        <f t="shared" si="394"/>
        <v/>
      </c>
      <c r="AK333" s="268" t="str">
        <f t="shared" si="394"/>
        <v/>
      </c>
      <c r="AL333" s="268" t="str">
        <f t="shared" si="394"/>
        <v/>
      </c>
      <c r="AM333" s="268" t="str">
        <f t="shared" si="394"/>
        <v/>
      </c>
      <c r="AN333" s="268" t="str">
        <f t="shared" si="394"/>
        <v/>
      </c>
      <c r="AO333" s="268" t="str">
        <f t="shared" si="394"/>
        <v/>
      </c>
      <c r="AP333" s="268" t="str">
        <f t="shared" si="394"/>
        <v/>
      </c>
      <c r="AQ333" s="268" t="str">
        <f t="shared" si="394"/>
        <v/>
      </c>
      <c r="AR333" s="268" t="str">
        <f t="shared" si="394"/>
        <v/>
      </c>
      <c r="AS333" s="268" t="str">
        <f t="shared" si="394"/>
        <v/>
      </c>
      <c r="AT333" s="268" t="str">
        <f t="shared" si="394"/>
        <v/>
      </c>
      <c r="AU333" s="268" t="str">
        <f t="shared" si="394"/>
        <v/>
      </c>
      <c r="AV333" s="268" t="str">
        <f t="shared" si="394"/>
        <v/>
      </c>
      <c r="AW333" s="268" t="str">
        <f t="shared" si="394"/>
        <v/>
      </c>
      <c r="AX333" s="268" t="str">
        <f t="shared" si="394"/>
        <v/>
      </c>
      <c r="AY333" s="268" t="str">
        <f t="shared" si="394"/>
        <v/>
      </c>
      <c r="AZ333" s="268" t="str">
        <f t="shared" si="394"/>
        <v/>
      </c>
      <c r="BA333" s="268" t="str">
        <f t="shared" si="394"/>
        <v/>
      </c>
      <c r="BB333" s="268" t="str">
        <f t="shared" si="394"/>
        <v/>
      </c>
      <c r="BC333" s="268" t="str">
        <f t="shared" si="394"/>
        <v/>
      </c>
      <c r="BD333" s="268" t="str">
        <f t="shared" si="394"/>
        <v/>
      </c>
      <c r="BE333" s="268" t="str">
        <f t="shared" si="394"/>
        <v/>
      </c>
      <c r="BF333" s="268" t="str">
        <f t="shared" si="394"/>
        <v/>
      </c>
      <c r="BG333" s="268" t="str">
        <f t="shared" si="394"/>
        <v/>
      </c>
      <c r="BH333" s="268" t="str">
        <f t="shared" si="394"/>
        <v/>
      </c>
      <c r="BI333" s="268" t="str">
        <f t="shared" si="394"/>
        <v/>
      </c>
      <c r="BJ333" s="268" t="str">
        <f t="shared" si="394"/>
        <v/>
      </c>
      <c r="BK333" s="268" t="str">
        <f t="shared" si="394"/>
        <v/>
      </c>
      <c r="BL333" s="268" t="str">
        <f t="shared" si="394"/>
        <v/>
      </c>
      <c r="BM333" s="268" t="str">
        <f t="shared" si="394"/>
        <v/>
      </c>
      <c r="BN333" s="268" t="str">
        <f t="shared" si="394"/>
        <v/>
      </c>
      <c r="BO333" s="268" t="str">
        <f t="shared" si="394"/>
        <v/>
      </c>
      <c r="BP333" s="268" t="str">
        <f t="shared" si="394"/>
        <v/>
      </c>
      <c r="BQ333" s="268" t="str">
        <f t="shared" si="394"/>
        <v/>
      </c>
      <c r="BR333" s="268" t="str">
        <f t="shared" si="394"/>
        <v/>
      </c>
      <c r="BS333" s="268" t="str">
        <f t="shared" si="394"/>
        <v/>
      </c>
      <c r="BT333" s="268" t="str">
        <f t="shared" si="394"/>
        <v/>
      </c>
      <c r="BU333" s="268" t="str">
        <f t="shared" si="385"/>
        <v/>
      </c>
      <c r="BV333" s="247">
        <v>1.99</v>
      </c>
      <c r="BW333" s="729">
        <f t="shared" si="366"/>
        <v>1791</v>
      </c>
      <c r="BX333" s="730">
        <f t="shared" si="367"/>
        <v>13880.25</v>
      </c>
      <c r="BY333" s="731" t="str">
        <f t="shared" si="368"/>
        <v>SR</v>
      </c>
    </row>
    <row r="334" s="698" customFormat="1" customHeight="1" spans="1:77">
      <c r="A334" s="208">
        <v>46092</v>
      </c>
      <c r="B334" s="208">
        <v>46150</v>
      </c>
      <c r="C334" s="211"/>
      <c r="D334" s="211" t="s">
        <v>545</v>
      </c>
      <c r="E334" s="211" t="s">
        <v>68</v>
      </c>
      <c r="F334" s="732">
        <v>10000</v>
      </c>
      <c r="G334" s="211" t="s">
        <v>334</v>
      </c>
      <c r="H334" s="211" t="str">
        <f>IFERROR(VLOOKUP(E334,名称!A:E,4,0),"")</f>
        <v>三代</v>
      </c>
      <c r="I334" s="268" t="str">
        <f t="shared" ref="I334:BT334" si="395">IF(OR($E334="",I$1=""),"",IF(TRIM(LEFT($E334,MIN(IFERROR(FIND("CDU",UPPER($E334)),999),IFERROR(FIND("BULK",UPPER($E334)),999),IFERROR(FIND("-",$E334),999),IFERROR(FIND("（",$E334),999))-1))=I$1,$F334,""))</f>
        <v/>
      </c>
      <c r="J334" s="268" t="str">
        <f t="shared" si="395"/>
        <v/>
      </c>
      <c r="K334" s="268" t="str">
        <f t="shared" si="395"/>
        <v/>
      </c>
      <c r="L334" s="268" t="str">
        <f t="shared" si="395"/>
        <v/>
      </c>
      <c r="M334" s="268" t="str">
        <f t="shared" si="395"/>
        <v/>
      </c>
      <c r="N334" s="268" t="str">
        <f t="shared" si="395"/>
        <v/>
      </c>
      <c r="O334" s="268" t="str">
        <f t="shared" si="395"/>
        <v/>
      </c>
      <c r="P334" s="268" t="str">
        <f t="shared" si="395"/>
        <v/>
      </c>
      <c r="Q334" s="268" t="str">
        <f t="shared" si="395"/>
        <v/>
      </c>
      <c r="R334" s="268" t="str">
        <f t="shared" si="395"/>
        <v/>
      </c>
      <c r="S334" s="268" t="str">
        <f t="shared" si="395"/>
        <v/>
      </c>
      <c r="T334" s="268" t="str">
        <f t="shared" si="395"/>
        <v/>
      </c>
      <c r="U334" s="268" t="str">
        <f t="shared" si="395"/>
        <v/>
      </c>
      <c r="V334" s="268" t="str">
        <f t="shared" si="395"/>
        <v/>
      </c>
      <c r="W334" s="268" t="str">
        <f t="shared" si="395"/>
        <v/>
      </c>
      <c r="X334" s="268" t="str">
        <f t="shared" si="395"/>
        <v/>
      </c>
      <c r="Y334" s="268" t="str">
        <f t="shared" si="395"/>
        <v/>
      </c>
      <c r="Z334" s="268" t="str">
        <f t="shared" si="395"/>
        <v/>
      </c>
      <c r="AA334" s="268" t="str">
        <f t="shared" si="395"/>
        <v/>
      </c>
      <c r="AB334" s="268" t="str">
        <f t="shared" si="395"/>
        <v/>
      </c>
      <c r="AC334" s="268" t="str">
        <f t="shared" si="395"/>
        <v/>
      </c>
      <c r="AD334" s="268" t="str">
        <f t="shared" si="395"/>
        <v/>
      </c>
      <c r="AE334" s="268" t="str">
        <f t="shared" si="395"/>
        <v/>
      </c>
      <c r="AF334" s="268" t="str">
        <f t="shared" si="395"/>
        <v/>
      </c>
      <c r="AG334" s="268" t="str">
        <f t="shared" si="395"/>
        <v/>
      </c>
      <c r="AH334" s="268">
        <f t="shared" si="395"/>
        <v>10000</v>
      </c>
      <c r="AI334" s="268" t="str">
        <f t="shared" si="395"/>
        <v/>
      </c>
      <c r="AJ334" s="268" t="str">
        <f t="shared" si="395"/>
        <v/>
      </c>
      <c r="AK334" s="268" t="str">
        <f t="shared" si="395"/>
        <v/>
      </c>
      <c r="AL334" s="268" t="str">
        <f t="shared" si="395"/>
        <v/>
      </c>
      <c r="AM334" s="268" t="str">
        <f t="shared" si="395"/>
        <v/>
      </c>
      <c r="AN334" s="268" t="str">
        <f t="shared" si="395"/>
        <v/>
      </c>
      <c r="AO334" s="268" t="str">
        <f t="shared" si="395"/>
        <v/>
      </c>
      <c r="AP334" s="268" t="str">
        <f t="shared" si="395"/>
        <v/>
      </c>
      <c r="AQ334" s="268" t="str">
        <f t="shared" si="395"/>
        <v/>
      </c>
      <c r="AR334" s="268" t="str">
        <f t="shared" si="395"/>
        <v/>
      </c>
      <c r="AS334" s="268" t="str">
        <f t="shared" si="395"/>
        <v/>
      </c>
      <c r="AT334" s="268" t="str">
        <f t="shared" si="395"/>
        <v/>
      </c>
      <c r="AU334" s="268" t="str">
        <f t="shared" si="395"/>
        <v/>
      </c>
      <c r="AV334" s="268" t="str">
        <f t="shared" si="395"/>
        <v/>
      </c>
      <c r="AW334" s="268" t="str">
        <f t="shared" si="395"/>
        <v/>
      </c>
      <c r="AX334" s="268" t="str">
        <f t="shared" si="395"/>
        <v/>
      </c>
      <c r="AY334" s="268" t="str">
        <f t="shared" si="395"/>
        <v/>
      </c>
      <c r="AZ334" s="268" t="str">
        <f t="shared" si="395"/>
        <v/>
      </c>
      <c r="BA334" s="268" t="str">
        <f t="shared" si="395"/>
        <v/>
      </c>
      <c r="BB334" s="268" t="str">
        <f t="shared" si="395"/>
        <v/>
      </c>
      <c r="BC334" s="268" t="str">
        <f t="shared" si="395"/>
        <v/>
      </c>
      <c r="BD334" s="268" t="str">
        <f t="shared" si="395"/>
        <v/>
      </c>
      <c r="BE334" s="268" t="str">
        <f t="shared" si="395"/>
        <v/>
      </c>
      <c r="BF334" s="268" t="str">
        <f t="shared" si="395"/>
        <v/>
      </c>
      <c r="BG334" s="268" t="str">
        <f t="shared" si="395"/>
        <v/>
      </c>
      <c r="BH334" s="268" t="str">
        <f t="shared" si="395"/>
        <v/>
      </c>
      <c r="BI334" s="268" t="str">
        <f t="shared" si="395"/>
        <v/>
      </c>
      <c r="BJ334" s="268" t="str">
        <f t="shared" si="395"/>
        <v/>
      </c>
      <c r="BK334" s="268" t="str">
        <f t="shared" si="395"/>
        <v/>
      </c>
      <c r="BL334" s="268" t="str">
        <f t="shared" si="395"/>
        <v/>
      </c>
      <c r="BM334" s="268" t="str">
        <f t="shared" si="395"/>
        <v/>
      </c>
      <c r="BN334" s="268" t="str">
        <f t="shared" si="395"/>
        <v/>
      </c>
      <c r="BO334" s="268" t="str">
        <f t="shared" si="395"/>
        <v/>
      </c>
      <c r="BP334" s="268" t="str">
        <f t="shared" si="395"/>
        <v/>
      </c>
      <c r="BQ334" s="268" t="str">
        <f t="shared" si="395"/>
        <v/>
      </c>
      <c r="BR334" s="268" t="str">
        <f t="shared" si="395"/>
        <v/>
      </c>
      <c r="BS334" s="268" t="str">
        <f t="shared" si="395"/>
        <v/>
      </c>
      <c r="BT334" s="268" t="str">
        <f t="shared" si="395"/>
        <v/>
      </c>
      <c r="BU334" s="268" t="str">
        <f t="shared" si="385"/>
        <v/>
      </c>
      <c r="BV334" s="247">
        <v>3.09</v>
      </c>
      <c r="BW334" s="729">
        <f t="shared" si="366"/>
        <v>30900</v>
      </c>
      <c r="BX334" s="730">
        <f t="shared" si="367"/>
        <v>239475</v>
      </c>
      <c r="BY334" s="731" t="str">
        <f t="shared" si="368"/>
        <v>SR</v>
      </c>
    </row>
    <row r="335" s="698" customFormat="1" customHeight="1" spans="1:77">
      <c r="A335" s="208">
        <v>46092</v>
      </c>
      <c r="B335" s="208">
        <v>46150</v>
      </c>
      <c r="C335" s="211"/>
      <c r="D335" s="211" t="s">
        <v>545</v>
      </c>
      <c r="E335" s="211" t="s">
        <v>82</v>
      </c>
      <c r="F335" s="732">
        <v>9000</v>
      </c>
      <c r="G335" s="211" t="s">
        <v>334</v>
      </c>
      <c r="H335" s="211" t="str">
        <f>IFERROR(VLOOKUP(E335,名称!A:E,4,0),"")</f>
        <v>二代</v>
      </c>
      <c r="I335" s="268" t="str">
        <f t="shared" ref="I335:BT335" si="396">IF(OR($E335="",I$1=""),"",IF(TRIM(LEFT($E335,MIN(IFERROR(FIND("CDU",UPPER($E335)),999),IFERROR(FIND("BULK",UPPER($E335)),999),IFERROR(FIND("-",$E335),999),IFERROR(FIND("（",$E335),999))-1))=I$1,$F335,""))</f>
        <v/>
      </c>
      <c r="J335" s="268" t="str">
        <f t="shared" si="396"/>
        <v/>
      </c>
      <c r="K335" s="268" t="str">
        <f t="shared" si="396"/>
        <v/>
      </c>
      <c r="L335" s="268" t="str">
        <f t="shared" si="396"/>
        <v/>
      </c>
      <c r="M335" s="268" t="str">
        <f t="shared" si="396"/>
        <v/>
      </c>
      <c r="N335" s="268" t="str">
        <f t="shared" si="396"/>
        <v/>
      </c>
      <c r="O335" s="268" t="str">
        <f t="shared" si="396"/>
        <v/>
      </c>
      <c r="P335" s="268" t="str">
        <f t="shared" si="396"/>
        <v/>
      </c>
      <c r="Q335" s="268" t="str">
        <f t="shared" si="396"/>
        <v/>
      </c>
      <c r="R335" s="268" t="str">
        <f t="shared" si="396"/>
        <v/>
      </c>
      <c r="S335" s="268" t="str">
        <f t="shared" si="396"/>
        <v/>
      </c>
      <c r="T335" s="268" t="str">
        <f t="shared" si="396"/>
        <v/>
      </c>
      <c r="U335" s="268" t="str">
        <f t="shared" si="396"/>
        <v/>
      </c>
      <c r="V335" s="268" t="str">
        <f t="shared" si="396"/>
        <v/>
      </c>
      <c r="W335" s="268" t="str">
        <f t="shared" si="396"/>
        <v/>
      </c>
      <c r="X335" s="268" t="str">
        <f t="shared" si="396"/>
        <v/>
      </c>
      <c r="Y335" s="268" t="str">
        <f t="shared" si="396"/>
        <v/>
      </c>
      <c r="Z335" s="268">
        <f t="shared" si="396"/>
        <v>9000</v>
      </c>
      <c r="AA335" s="268" t="str">
        <f t="shared" si="396"/>
        <v/>
      </c>
      <c r="AB335" s="268" t="str">
        <f t="shared" si="396"/>
        <v/>
      </c>
      <c r="AC335" s="268" t="str">
        <f t="shared" si="396"/>
        <v/>
      </c>
      <c r="AD335" s="268" t="str">
        <f t="shared" si="396"/>
        <v/>
      </c>
      <c r="AE335" s="268" t="str">
        <f t="shared" si="396"/>
        <v/>
      </c>
      <c r="AF335" s="268" t="str">
        <f t="shared" si="396"/>
        <v/>
      </c>
      <c r="AG335" s="268" t="str">
        <f t="shared" si="396"/>
        <v/>
      </c>
      <c r="AH335" s="268" t="str">
        <f t="shared" si="396"/>
        <v/>
      </c>
      <c r="AI335" s="268" t="str">
        <f t="shared" si="396"/>
        <v/>
      </c>
      <c r="AJ335" s="268" t="str">
        <f t="shared" si="396"/>
        <v/>
      </c>
      <c r="AK335" s="268" t="str">
        <f t="shared" si="396"/>
        <v/>
      </c>
      <c r="AL335" s="268" t="str">
        <f t="shared" si="396"/>
        <v/>
      </c>
      <c r="AM335" s="268" t="str">
        <f t="shared" si="396"/>
        <v/>
      </c>
      <c r="AN335" s="268" t="str">
        <f t="shared" si="396"/>
        <v/>
      </c>
      <c r="AO335" s="268" t="str">
        <f t="shared" si="396"/>
        <v/>
      </c>
      <c r="AP335" s="268" t="str">
        <f t="shared" si="396"/>
        <v/>
      </c>
      <c r="AQ335" s="268" t="str">
        <f t="shared" si="396"/>
        <v/>
      </c>
      <c r="AR335" s="268" t="str">
        <f t="shared" si="396"/>
        <v/>
      </c>
      <c r="AS335" s="268" t="str">
        <f t="shared" si="396"/>
        <v/>
      </c>
      <c r="AT335" s="268" t="str">
        <f t="shared" si="396"/>
        <v/>
      </c>
      <c r="AU335" s="268" t="str">
        <f t="shared" si="396"/>
        <v/>
      </c>
      <c r="AV335" s="268" t="str">
        <f t="shared" si="396"/>
        <v/>
      </c>
      <c r="AW335" s="268" t="str">
        <f t="shared" si="396"/>
        <v/>
      </c>
      <c r="AX335" s="268" t="str">
        <f t="shared" si="396"/>
        <v/>
      </c>
      <c r="AY335" s="268" t="str">
        <f t="shared" si="396"/>
        <v/>
      </c>
      <c r="AZ335" s="268" t="str">
        <f t="shared" si="396"/>
        <v/>
      </c>
      <c r="BA335" s="268" t="str">
        <f t="shared" si="396"/>
        <v/>
      </c>
      <c r="BB335" s="268" t="str">
        <f t="shared" si="396"/>
        <v/>
      </c>
      <c r="BC335" s="268" t="str">
        <f t="shared" si="396"/>
        <v/>
      </c>
      <c r="BD335" s="268" t="str">
        <f t="shared" si="396"/>
        <v/>
      </c>
      <c r="BE335" s="268" t="str">
        <f t="shared" si="396"/>
        <v/>
      </c>
      <c r="BF335" s="268" t="str">
        <f t="shared" si="396"/>
        <v/>
      </c>
      <c r="BG335" s="268" t="str">
        <f t="shared" si="396"/>
        <v/>
      </c>
      <c r="BH335" s="268" t="str">
        <f t="shared" si="396"/>
        <v/>
      </c>
      <c r="BI335" s="268" t="str">
        <f t="shared" si="396"/>
        <v/>
      </c>
      <c r="BJ335" s="268" t="str">
        <f t="shared" si="396"/>
        <v/>
      </c>
      <c r="BK335" s="268" t="str">
        <f t="shared" si="396"/>
        <v/>
      </c>
      <c r="BL335" s="268" t="str">
        <f t="shared" si="396"/>
        <v/>
      </c>
      <c r="BM335" s="268" t="str">
        <f t="shared" si="396"/>
        <v/>
      </c>
      <c r="BN335" s="268" t="str">
        <f t="shared" si="396"/>
        <v/>
      </c>
      <c r="BO335" s="268" t="str">
        <f t="shared" si="396"/>
        <v/>
      </c>
      <c r="BP335" s="268" t="str">
        <f t="shared" si="396"/>
        <v/>
      </c>
      <c r="BQ335" s="268" t="str">
        <f t="shared" si="396"/>
        <v/>
      </c>
      <c r="BR335" s="268" t="str">
        <f t="shared" si="396"/>
        <v/>
      </c>
      <c r="BS335" s="268" t="str">
        <f t="shared" si="396"/>
        <v/>
      </c>
      <c r="BT335" s="268" t="str">
        <f t="shared" si="396"/>
        <v/>
      </c>
      <c r="BU335" s="268" t="str">
        <f t="shared" si="385"/>
        <v/>
      </c>
      <c r="BV335" s="247">
        <v>1.49</v>
      </c>
      <c r="BW335" s="729">
        <f t="shared" si="366"/>
        <v>13410</v>
      </c>
      <c r="BX335" s="730">
        <f t="shared" si="367"/>
        <v>103927.5</v>
      </c>
      <c r="BY335" s="731" t="str">
        <f t="shared" si="368"/>
        <v>SR</v>
      </c>
    </row>
    <row r="336" s="698" customFormat="1" customHeight="1" spans="1:77">
      <c r="A336" s="208">
        <v>46092</v>
      </c>
      <c r="B336" s="208">
        <v>46150</v>
      </c>
      <c r="C336" s="211"/>
      <c r="D336" s="211" t="s">
        <v>545</v>
      </c>
      <c r="E336" s="211" t="s">
        <v>104</v>
      </c>
      <c r="F336" s="732">
        <v>5004</v>
      </c>
      <c r="G336" s="211" t="s">
        <v>334</v>
      </c>
      <c r="H336" s="211" t="str">
        <f>IFERROR(VLOOKUP(E336,名称!A:E,4,0),"")</f>
        <v>三代</v>
      </c>
      <c r="I336" s="268" t="str">
        <f t="shared" ref="I336:BT336" si="397">IF(OR($E336="",I$1=""),"",IF(TRIM(LEFT($E336,MIN(IFERROR(FIND("CDU",UPPER($E336)),999),IFERROR(FIND("BULK",UPPER($E336)),999),IFERROR(FIND("-",$E336),999),IFERROR(FIND("（",$E336),999))-1))=I$1,$F336,""))</f>
        <v/>
      </c>
      <c r="J336" s="268" t="str">
        <f t="shared" si="397"/>
        <v/>
      </c>
      <c r="K336" s="268" t="str">
        <f t="shared" si="397"/>
        <v/>
      </c>
      <c r="L336" s="268" t="str">
        <f t="shared" si="397"/>
        <v/>
      </c>
      <c r="M336" s="268" t="str">
        <f t="shared" si="397"/>
        <v/>
      </c>
      <c r="N336" s="268" t="str">
        <f t="shared" si="397"/>
        <v/>
      </c>
      <c r="O336" s="268" t="str">
        <f t="shared" si="397"/>
        <v/>
      </c>
      <c r="P336" s="268" t="str">
        <f t="shared" si="397"/>
        <v/>
      </c>
      <c r="Q336" s="268" t="str">
        <f t="shared" si="397"/>
        <v/>
      </c>
      <c r="R336" s="268" t="str">
        <f t="shared" si="397"/>
        <v/>
      </c>
      <c r="S336" s="268" t="str">
        <f t="shared" si="397"/>
        <v/>
      </c>
      <c r="T336" s="268" t="str">
        <f t="shared" si="397"/>
        <v/>
      </c>
      <c r="U336" s="268" t="str">
        <f t="shared" si="397"/>
        <v/>
      </c>
      <c r="V336" s="268" t="str">
        <f t="shared" si="397"/>
        <v/>
      </c>
      <c r="W336" s="268" t="str">
        <f t="shared" si="397"/>
        <v/>
      </c>
      <c r="X336" s="268" t="str">
        <f t="shared" si="397"/>
        <v/>
      </c>
      <c r="Y336" s="268" t="str">
        <f t="shared" si="397"/>
        <v/>
      </c>
      <c r="Z336" s="268" t="str">
        <f t="shared" si="397"/>
        <v/>
      </c>
      <c r="AA336" s="268" t="str">
        <f t="shared" si="397"/>
        <v/>
      </c>
      <c r="AB336" s="268" t="str">
        <f t="shared" si="397"/>
        <v/>
      </c>
      <c r="AC336" s="268" t="str">
        <f t="shared" si="397"/>
        <v/>
      </c>
      <c r="AD336" s="268" t="str">
        <f t="shared" si="397"/>
        <v/>
      </c>
      <c r="AE336" s="268" t="str">
        <f t="shared" si="397"/>
        <v/>
      </c>
      <c r="AF336" s="268" t="str">
        <f t="shared" si="397"/>
        <v/>
      </c>
      <c r="AG336" s="268" t="str">
        <f t="shared" si="397"/>
        <v/>
      </c>
      <c r="AH336" s="268" t="str">
        <f t="shared" si="397"/>
        <v/>
      </c>
      <c r="AI336" s="268" t="str">
        <f t="shared" si="397"/>
        <v/>
      </c>
      <c r="AJ336" s="268" t="str">
        <f t="shared" si="397"/>
        <v/>
      </c>
      <c r="AK336" s="268" t="str">
        <f t="shared" si="397"/>
        <v/>
      </c>
      <c r="AL336" s="268" t="str">
        <f t="shared" si="397"/>
        <v/>
      </c>
      <c r="AM336" s="268" t="str">
        <f t="shared" si="397"/>
        <v/>
      </c>
      <c r="AN336" s="268" t="str">
        <f t="shared" si="397"/>
        <v/>
      </c>
      <c r="AO336" s="268" t="str">
        <f t="shared" si="397"/>
        <v/>
      </c>
      <c r="AP336" s="268" t="str">
        <f t="shared" si="397"/>
        <v/>
      </c>
      <c r="AQ336" s="268" t="str">
        <f t="shared" si="397"/>
        <v/>
      </c>
      <c r="AR336" s="268">
        <f t="shared" si="397"/>
        <v>5004</v>
      </c>
      <c r="AS336" s="268" t="str">
        <f t="shared" si="397"/>
        <v/>
      </c>
      <c r="AT336" s="268" t="str">
        <f t="shared" si="397"/>
        <v/>
      </c>
      <c r="AU336" s="268" t="str">
        <f t="shared" si="397"/>
        <v/>
      </c>
      <c r="AV336" s="268" t="str">
        <f t="shared" si="397"/>
        <v/>
      </c>
      <c r="AW336" s="268" t="str">
        <f t="shared" si="397"/>
        <v/>
      </c>
      <c r="AX336" s="268" t="str">
        <f t="shared" si="397"/>
        <v/>
      </c>
      <c r="AY336" s="268" t="str">
        <f t="shared" si="397"/>
        <v/>
      </c>
      <c r="AZ336" s="268" t="str">
        <f t="shared" si="397"/>
        <v/>
      </c>
      <c r="BA336" s="268" t="str">
        <f t="shared" si="397"/>
        <v/>
      </c>
      <c r="BB336" s="268" t="str">
        <f t="shared" si="397"/>
        <v/>
      </c>
      <c r="BC336" s="268" t="str">
        <f t="shared" si="397"/>
        <v/>
      </c>
      <c r="BD336" s="268" t="str">
        <f t="shared" si="397"/>
        <v/>
      </c>
      <c r="BE336" s="268" t="str">
        <f t="shared" si="397"/>
        <v/>
      </c>
      <c r="BF336" s="268" t="str">
        <f t="shared" si="397"/>
        <v/>
      </c>
      <c r="BG336" s="268" t="str">
        <f t="shared" si="397"/>
        <v/>
      </c>
      <c r="BH336" s="268" t="str">
        <f t="shared" si="397"/>
        <v/>
      </c>
      <c r="BI336" s="268" t="str">
        <f t="shared" si="397"/>
        <v/>
      </c>
      <c r="BJ336" s="268" t="str">
        <f t="shared" si="397"/>
        <v/>
      </c>
      <c r="BK336" s="268" t="str">
        <f t="shared" si="397"/>
        <v/>
      </c>
      <c r="BL336" s="268" t="str">
        <f t="shared" si="397"/>
        <v/>
      </c>
      <c r="BM336" s="268" t="str">
        <f t="shared" si="397"/>
        <v/>
      </c>
      <c r="BN336" s="268" t="str">
        <f t="shared" si="397"/>
        <v/>
      </c>
      <c r="BO336" s="268" t="str">
        <f t="shared" si="397"/>
        <v/>
      </c>
      <c r="BP336" s="268" t="str">
        <f t="shared" si="397"/>
        <v/>
      </c>
      <c r="BQ336" s="268" t="str">
        <f t="shared" si="397"/>
        <v/>
      </c>
      <c r="BR336" s="268" t="str">
        <f t="shared" si="397"/>
        <v/>
      </c>
      <c r="BS336" s="268" t="str">
        <f t="shared" si="397"/>
        <v/>
      </c>
      <c r="BT336" s="268" t="str">
        <f t="shared" si="397"/>
        <v/>
      </c>
      <c r="BU336" s="268" t="str">
        <f t="shared" si="385"/>
        <v/>
      </c>
      <c r="BV336" s="247">
        <v>1.56</v>
      </c>
      <c r="BW336" s="729">
        <f t="shared" si="366"/>
        <v>7806.24</v>
      </c>
      <c r="BX336" s="730">
        <f t="shared" si="367"/>
        <v>60498.36</v>
      </c>
      <c r="BY336" s="731" t="str">
        <f t="shared" si="368"/>
        <v>SR</v>
      </c>
    </row>
    <row r="337" s="698" customFormat="1" customHeight="1" spans="1:77">
      <c r="A337" s="208">
        <v>46093</v>
      </c>
      <c r="B337" s="208">
        <v>46147</v>
      </c>
      <c r="C337" s="211"/>
      <c r="D337" s="211" t="s">
        <v>546</v>
      </c>
      <c r="E337" s="211" t="s">
        <v>109</v>
      </c>
      <c r="F337" s="732">
        <v>18000</v>
      </c>
      <c r="G337" s="211" t="s">
        <v>510</v>
      </c>
      <c r="H337" s="211" t="str">
        <f>IFERROR(VLOOKUP(E337,名称!A:E,4,0),"")</f>
        <v>三代</v>
      </c>
      <c r="I337" s="268" t="str">
        <f t="shared" ref="I337:BT337" si="398">IF(OR($E337="",I$1=""),"",IF(TRIM(LEFT($E337,MIN(IFERROR(FIND("CDU",UPPER($E337)),999),IFERROR(FIND("BULK",UPPER($E337)),999),IFERROR(FIND("-",$E337),999),IFERROR(FIND("（",$E337),999))-1))=I$1,$F337,""))</f>
        <v/>
      </c>
      <c r="J337" s="268" t="str">
        <f t="shared" si="398"/>
        <v/>
      </c>
      <c r="K337" s="268" t="str">
        <f t="shared" si="398"/>
        <v/>
      </c>
      <c r="L337" s="268" t="str">
        <f t="shared" si="398"/>
        <v/>
      </c>
      <c r="M337" s="268" t="str">
        <f t="shared" si="398"/>
        <v/>
      </c>
      <c r="N337" s="268" t="str">
        <f t="shared" si="398"/>
        <v/>
      </c>
      <c r="O337" s="268" t="str">
        <f t="shared" si="398"/>
        <v/>
      </c>
      <c r="P337" s="268" t="str">
        <f t="shared" si="398"/>
        <v/>
      </c>
      <c r="Q337" s="268" t="str">
        <f t="shared" si="398"/>
        <v/>
      </c>
      <c r="R337" s="268" t="str">
        <f t="shared" si="398"/>
        <v/>
      </c>
      <c r="S337" s="268" t="str">
        <f t="shared" si="398"/>
        <v/>
      </c>
      <c r="T337" s="268" t="str">
        <f t="shared" si="398"/>
        <v/>
      </c>
      <c r="U337" s="268" t="str">
        <f t="shared" si="398"/>
        <v/>
      </c>
      <c r="V337" s="268" t="str">
        <f t="shared" si="398"/>
        <v/>
      </c>
      <c r="W337" s="268" t="str">
        <f t="shared" si="398"/>
        <v/>
      </c>
      <c r="X337" s="268" t="str">
        <f t="shared" si="398"/>
        <v/>
      </c>
      <c r="Y337" s="268" t="str">
        <f t="shared" si="398"/>
        <v/>
      </c>
      <c r="Z337" s="268" t="str">
        <f t="shared" si="398"/>
        <v/>
      </c>
      <c r="AA337" s="268" t="str">
        <f t="shared" si="398"/>
        <v/>
      </c>
      <c r="AB337" s="268" t="str">
        <f t="shared" si="398"/>
        <v/>
      </c>
      <c r="AC337" s="268" t="str">
        <f t="shared" si="398"/>
        <v/>
      </c>
      <c r="AD337" s="268" t="str">
        <f t="shared" si="398"/>
        <v/>
      </c>
      <c r="AE337" s="268" t="str">
        <f t="shared" si="398"/>
        <v/>
      </c>
      <c r="AF337" s="268" t="str">
        <f t="shared" si="398"/>
        <v/>
      </c>
      <c r="AG337" s="268" t="str">
        <f t="shared" si="398"/>
        <v/>
      </c>
      <c r="AH337" s="268" t="str">
        <f t="shared" si="398"/>
        <v/>
      </c>
      <c r="AI337" s="268" t="str">
        <f t="shared" si="398"/>
        <v/>
      </c>
      <c r="AJ337" s="268" t="str">
        <f t="shared" si="398"/>
        <v/>
      </c>
      <c r="AK337" s="268" t="str">
        <f t="shared" si="398"/>
        <v/>
      </c>
      <c r="AL337" s="268" t="str">
        <f t="shared" si="398"/>
        <v/>
      </c>
      <c r="AM337" s="268" t="str">
        <f t="shared" si="398"/>
        <v/>
      </c>
      <c r="AN337" s="268" t="str">
        <f t="shared" si="398"/>
        <v/>
      </c>
      <c r="AO337" s="268" t="str">
        <f t="shared" si="398"/>
        <v/>
      </c>
      <c r="AP337" s="268" t="str">
        <f t="shared" si="398"/>
        <v/>
      </c>
      <c r="AQ337" s="268" t="str">
        <f t="shared" si="398"/>
        <v/>
      </c>
      <c r="AR337" s="268" t="str">
        <f t="shared" si="398"/>
        <v/>
      </c>
      <c r="AS337" s="268" t="str">
        <f t="shared" si="398"/>
        <v/>
      </c>
      <c r="AT337" s="268" t="str">
        <f t="shared" si="398"/>
        <v/>
      </c>
      <c r="AU337" s="268" t="str">
        <f t="shared" si="398"/>
        <v/>
      </c>
      <c r="AV337" s="268" t="str">
        <f t="shared" si="398"/>
        <v/>
      </c>
      <c r="AW337" s="268" t="str">
        <f t="shared" si="398"/>
        <v/>
      </c>
      <c r="AX337" s="268" t="str">
        <f t="shared" si="398"/>
        <v/>
      </c>
      <c r="AY337" s="268" t="str">
        <f t="shared" si="398"/>
        <v/>
      </c>
      <c r="AZ337" s="268" t="str">
        <f t="shared" si="398"/>
        <v/>
      </c>
      <c r="BA337" s="268" t="str">
        <f t="shared" si="398"/>
        <v/>
      </c>
      <c r="BB337" s="268" t="str">
        <f t="shared" si="398"/>
        <v/>
      </c>
      <c r="BC337" s="268">
        <f t="shared" si="398"/>
        <v>18000</v>
      </c>
      <c r="BD337" s="268" t="str">
        <f t="shared" si="398"/>
        <v/>
      </c>
      <c r="BE337" s="268" t="str">
        <f t="shared" si="398"/>
        <v/>
      </c>
      <c r="BF337" s="268" t="str">
        <f t="shared" si="398"/>
        <v/>
      </c>
      <c r="BG337" s="268" t="str">
        <f t="shared" si="398"/>
        <v/>
      </c>
      <c r="BH337" s="268" t="str">
        <f t="shared" si="398"/>
        <v/>
      </c>
      <c r="BI337" s="268" t="str">
        <f t="shared" si="398"/>
        <v/>
      </c>
      <c r="BJ337" s="268" t="str">
        <f t="shared" si="398"/>
        <v/>
      </c>
      <c r="BK337" s="268" t="str">
        <f t="shared" si="398"/>
        <v/>
      </c>
      <c r="BL337" s="268" t="str">
        <f t="shared" si="398"/>
        <v/>
      </c>
      <c r="BM337" s="268" t="str">
        <f t="shared" si="398"/>
        <v/>
      </c>
      <c r="BN337" s="268" t="str">
        <f t="shared" si="398"/>
        <v/>
      </c>
      <c r="BO337" s="268" t="str">
        <f t="shared" si="398"/>
        <v/>
      </c>
      <c r="BP337" s="268" t="str">
        <f t="shared" si="398"/>
        <v/>
      </c>
      <c r="BQ337" s="268" t="str">
        <f t="shared" si="398"/>
        <v/>
      </c>
      <c r="BR337" s="268" t="str">
        <f t="shared" si="398"/>
        <v/>
      </c>
      <c r="BS337" s="268" t="str">
        <f t="shared" si="398"/>
        <v/>
      </c>
      <c r="BT337" s="268" t="str">
        <f t="shared" si="398"/>
        <v/>
      </c>
      <c r="BU337" s="268" t="str">
        <f t="shared" si="385"/>
        <v/>
      </c>
      <c r="BV337" s="247">
        <v>0.61</v>
      </c>
      <c r="BW337" s="729">
        <f t="shared" si="366"/>
        <v>10980</v>
      </c>
      <c r="BX337" s="730">
        <f t="shared" si="367"/>
        <v>85095</v>
      </c>
      <c r="BY337" s="731" t="str">
        <f t="shared" si="368"/>
        <v>JS</v>
      </c>
    </row>
    <row r="338" s="698" customFormat="1" customHeight="1" spans="1:77">
      <c r="A338" s="208">
        <v>46093</v>
      </c>
      <c r="B338" s="208">
        <v>46147</v>
      </c>
      <c r="C338" s="211" t="s">
        <v>547</v>
      </c>
      <c r="D338" s="211" t="s">
        <v>548</v>
      </c>
      <c r="E338" s="211" t="s">
        <v>99</v>
      </c>
      <c r="F338" s="732">
        <v>9000</v>
      </c>
      <c r="G338" s="211" t="s">
        <v>510</v>
      </c>
      <c r="H338" s="211" t="str">
        <f>IFERROR(VLOOKUP(E338,名称!A:E,4,0),"")</f>
        <v>三代</v>
      </c>
      <c r="I338" s="268" t="str">
        <f t="shared" ref="I338:BT338" si="399">IF(OR($E338="",I$1=""),"",IF(TRIM(LEFT($E338,MIN(IFERROR(FIND("CDU",UPPER($E338)),999),IFERROR(FIND("BULK",UPPER($E338)),999),IFERROR(FIND("-",$E338),999),IFERROR(FIND("（",$E338),999))-1))=I$1,$F338,""))</f>
        <v/>
      </c>
      <c r="J338" s="268" t="str">
        <f t="shared" si="399"/>
        <v/>
      </c>
      <c r="K338" s="268" t="str">
        <f t="shared" si="399"/>
        <v/>
      </c>
      <c r="L338" s="268" t="str">
        <f t="shared" si="399"/>
        <v/>
      </c>
      <c r="M338" s="268" t="str">
        <f t="shared" si="399"/>
        <v/>
      </c>
      <c r="N338" s="268" t="str">
        <f t="shared" si="399"/>
        <v/>
      </c>
      <c r="O338" s="268" t="str">
        <f t="shared" si="399"/>
        <v/>
      </c>
      <c r="P338" s="268" t="str">
        <f t="shared" si="399"/>
        <v/>
      </c>
      <c r="Q338" s="268" t="str">
        <f t="shared" si="399"/>
        <v/>
      </c>
      <c r="R338" s="268" t="str">
        <f t="shared" si="399"/>
        <v/>
      </c>
      <c r="S338" s="268" t="str">
        <f t="shared" si="399"/>
        <v/>
      </c>
      <c r="T338" s="268" t="str">
        <f t="shared" si="399"/>
        <v/>
      </c>
      <c r="U338" s="268" t="str">
        <f t="shared" si="399"/>
        <v/>
      </c>
      <c r="V338" s="268" t="str">
        <f t="shared" si="399"/>
        <v/>
      </c>
      <c r="W338" s="268" t="str">
        <f t="shared" si="399"/>
        <v/>
      </c>
      <c r="X338" s="268" t="str">
        <f t="shared" si="399"/>
        <v/>
      </c>
      <c r="Y338" s="268" t="str">
        <f t="shared" si="399"/>
        <v/>
      </c>
      <c r="Z338" s="268" t="str">
        <f t="shared" si="399"/>
        <v/>
      </c>
      <c r="AA338" s="268" t="str">
        <f t="shared" si="399"/>
        <v/>
      </c>
      <c r="AB338" s="268" t="str">
        <f t="shared" si="399"/>
        <v/>
      </c>
      <c r="AC338" s="268">
        <f t="shared" si="399"/>
        <v>9000</v>
      </c>
      <c r="AD338" s="268" t="str">
        <f t="shared" si="399"/>
        <v/>
      </c>
      <c r="AE338" s="268" t="str">
        <f t="shared" si="399"/>
        <v/>
      </c>
      <c r="AF338" s="268" t="str">
        <f t="shared" si="399"/>
        <v/>
      </c>
      <c r="AG338" s="268" t="str">
        <f t="shared" si="399"/>
        <v/>
      </c>
      <c r="AH338" s="268" t="str">
        <f t="shared" si="399"/>
        <v/>
      </c>
      <c r="AI338" s="268" t="str">
        <f t="shared" si="399"/>
        <v/>
      </c>
      <c r="AJ338" s="268" t="str">
        <f t="shared" si="399"/>
        <v/>
      </c>
      <c r="AK338" s="268" t="str">
        <f t="shared" si="399"/>
        <v/>
      </c>
      <c r="AL338" s="268" t="str">
        <f t="shared" si="399"/>
        <v/>
      </c>
      <c r="AM338" s="268" t="str">
        <f t="shared" si="399"/>
        <v/>
      </c>
      <c r="AN338" s="268" t="str">
        <f t="shared" si="399"/>
        <v/>
      </c>
      <c r="AO338" s="268" t="str">
        <f t="shared" si="399"/>
        <v/>
      </c>
      <c r="AP338" s="268" t="str">
        <f t="shared" si="399"/>
        <v/>
      </c>
      <c r="AQ338" s="268" t="str">
        <f t="shared" si="399"/>
        <v/>
      </c>
      <c r="AR338" s="268" t="str">
        <f t="shared" si="399"/>
        <v/>
      </c>
      <c r="AS338" s="268" t="str">
        <f t="shared" si="399"/>
        <v/>
      </c>
      <c r="AT338" s="268" t="str">
        <f t="shared" si="399"/>
        <v/>
      </c>
      <c r="AU338" s="268" t="str">
        <f t="shared" si="399"/>
        <v/>
      </c>
      <c r="AV338" s="268" t="str">
        <f t="shared" si="399"/>
        <v/>
      </c>
      <c r="AW338" s="268" t="str">
        <f t="shared" si="399"/>
        <v/>
      </c>
      <c r="AX338" s="268" t="str">
        <f t="shared" si="399"/>
        <v/>
      </c>
      <c r="AY338" s="268" t="str">
        <f t="shared" si="399"/>
        <v/>
      </c>
      <c r="AZ338" s="268" t="str">
        <f t="shared" si="399"/>
        <v/>
      </c>
      <c r="BA338" s="268" t="str">
        <f t="shared" si="399"/>
        <v/>
      </c>
      <c r="BB338" s="268" t="str">
        <f t="shared" si="399"/>
        <v/>
      </c>
      <c r="BC338" s="268" t="str">
        <f t="shared" si="399"/>
        <v/>
      </c>
      <c r="BD338" s="268" t="str">
        <f t="shared" si="399"/>
        <v/>
      </c>
      <c r="BE338" s="268" t="str">
        <f t="shared" si="399"/>
        <v/>
      </c>
      <c r="BF338" s="268" t="str">
        <f t="shared" si="399"/>
        <v/>
      </c>
      <c r="BG338" s="268" t="str">
        <f t="shared" si="399"/>
        <v/>
      </c>
      <c r="BH338" s="268" t="str">
        <f t="shared" si="399"/>
        <v/>
      </c>
      <c r="BI338" s="268" t="str">
        <f t="shared" si="399"/>
        <v/>
      </c>
      <c r="BJ338" s="268" t="str">
        <f t="shared" si="399"/>
        <v/>
      </c>
      <c r="BK338" s="268" t="str">
        <f t="shared" si="399"/>
        <v/>
      </c>
      <c r="BL338" s="268" t="str">
        <f t="shared" si="399"/>
        <v/>
      </c>
      <c r="BM338" s="268" t="str">
        <f t="shared" si="399"/>
        <v/>
      </c>
      <c r="BN338" s="268" t="str">
        <f t="shared" si="399"/>
        <v/>
      </c>
      <c r="BO338" s="268" t="str">
        <f t="shared" si="399"/>
        <v/>
      </c>
      <c r="BP338" s="268" t="str">
        <f t="shared" si="399"/>
        <v/>
      </c>
      <c r="BQ338" s="268" t="str">
        <f t="shared" si="399"/>
        <v/>
      </c>
      <c r="BR338" s="268" t="str">
        <f t="shared" si="399"/>
        <v/>
      </c>
      <c r="BS338" s="268" t="str">
        <f t="shared" si="399"/>
        <v/>
      </c>
      <c r="BT338" s="268" t="str">
        <f t="shared" si="399"/>
        <v/>
      </c>
      <c r="BU338" s="268" t="str">
        <f t="shared" si="385"/>
        <v/>
      </c>
      <c r="BV338" s="247">
        <v>0.87</v>
      </c>
      <c r="BW338" s="729">
        <f t="shared" si="366"/>
        <v>7830</v>
      </c>
      <c r="BX338" s="730">
        <f t="shared" si="367"/>
        <v>60682.5</v>
      </c>
      <c r="BY338" s="731" t="str">
        <f t="shared" si="368"/>
        <v>SR</v>
      </c>
    </row>
    <row r="339" s="698" customFormat="1" customHeight="1" spans="1:77">
      <c r="A339" s="208">
        <v>46093</v>
      </c>
      <c r="B339" s="208">
        <v>46147</v>
      </c>
      <c r="C339" s="211" t="s">
        <v>547</v>
      </c>
      <c r="D339" s="211" t="s">
        <v>548</v>
      </c>
      <c r="E339" s="211" t="s">
        <v>66</v>
      </c>
      <c r="F339" s="732">
        <v>4998</v>
      </c>
      <c r="G339" s="211" t="s">
        <v>510</v>
      </c>
      <c r="H339" s="211" t="str">
        <f>IFERROR(VLOOKUP(E339,名称!A:E,4,0),"")</f>
        <v>三代</v>
      </c>
      <c r="I339" s="268" t="str">
        <f t="shared" ref="I339:BT339" si="400">IF(OR($E339="",I$1=""),"",IF(TRIM(LEFT($E339,MIN(IFERROR(FIND("CDU",UPPER($E339)),999),IFERROR(FIND("BULK",UPPER($E339)),999),IFERROR(FIND("-",$E339),999),IFERROR(FIND("（",$E339),999))-1))=I$1,$F339,""))</f>
        <v/>
      </c>
      <c r="J339" s="268" t="str">
        <f t="shared" si="400"/>
        <v/>
      </c>
      <c r="K339" s="268" t="str">
        <f t="shared" si="400"/>
        <v/>
      </c>
      <c r="L339" s="268" t="str">
        <f t="shared" si="400"/>
        <v/>
      </c>
      <c r="M339" s="268" t="str">
        <f t="shared" si="400"/>
        <v/>
      </c>
      <c r="N339" s="268" t="str">
        <f t="shared" si="400"/>
        <v/>
      </c>
      <c r="O339" s="268" t="str">
        <f t="shared" si="400"/>
        <v/>
      </c>
      <c r="P339" s="268" t="str">
        <f t="shared" si="400"/>
        <v/>
      </c>
      <c r="Q339" s="268" t="str">
        <f t="shared" si="400"/>
        <v/>
      </c>
      <c r="R339" s="268" t="str">
        <f t="shared" si="400"/>
        <v/>
      </c>
      <c r="S339" s="268" t="str">
        <f t="shared" si="400"/>
        <v/>
      </c>
      <c r="T339" s="268" t="str">
        <f t="shared" si="400"/>
        <v/>
      </c>
      <c r="U339" s="268" t="str">
        <f t="shared" si="400"/>
        <v/>
      </c>
      <c r="V339" s="268" t="str">
        <f t="shared" si="400"/>
        <v/>
      </c>
      <c r="W339" s="268" t="str">
        <f t="shared" si="400"/>
        <v/>
      </c>
      <c r="X339" s="268" t="str">
        <f t="shared" si="400"/>
        <v/>
      </c>
      <c r="Y339" s="268" t="str">
        <f t="shared" si="400"/>
        <v/>
      </c>
      <c r="Z339" s="268" t="str">
        <f t="shared" si="400"/>
        <v/>
      </c>
      <c r="AA339" s="268" t="str">
        <f t="shared" si="400"/>
        <v/>
      </c>
      <c r="AB339" s="268" t="str">
        <f t="shared" si="400"/>
        <v/>
      </c>
      <c r="AC339" s="268" t="str">
        <f t="shared" si="400"/>
        <v/>
      </c>
      <c r="AD339" s="268" t="str">
        <f t="shared" si="400"/>
        <v/>
      </c>
      <c r="AE339" s="268" t="str">
        <f t="shared" si="400"/>
        <v/>
      </c>
      <c r="AF339" s="268" t="str">
        <f t="shared" si="400"/>
        <v/>
      </c>
      <c r="AG339" s="268">
        <f t="shared" si="400"/>
        <v>4998</v>
      </c>
      <c r="AH339" s="268" t="str">
        <f t="shared" si="400"/>
        <v/>
      </c>
      <c r="AI339" s="268" t="str">
        <f t="shared" si="400"/>
        <v/>
      </c>
      <c r="AJ339" s="268" t="str">
        <f t="shared" si="400"/>
        <v/>
      </c>
      <c r="AK339" s="268" t="str">
        <f t="shared" si="400"/>
        <v/>
      </c>
      <c r="AL339" s="268" t="str">
        <f t="shared" si="400"/>
        <v/>
      </c>
      <c r="AM339" s="268" t="str">
        <f t="shared" si="400"/>
        <v/>
      </c>
      <c r="AN339" s="268" t="str">
        <f t="shared" si="400"/>
        <v/>
      </c>
      <c r="AO339" s="268" t="str">
        <f t="shared" si="400"/>
        <v/>
      </c>
      <c r="AP339" s="268" t="str">
        <f t="shared" si="400"/>
        <v/>
      </c>
      <c r="AQ339" s="268" t="str">
        <f t="shared" si="400"/>
        <v/>
      </c>
      <c r="AR339" s="268" t="str">
        <f t="shared" si="400"/>
        <v/>
      </c>
      <c r="AS339" s="268" t="str">
        <f t="shared" si="400"/>
        <v/>
      </c>
      <c r="AT339" s="268" t="str">
        <f t="shared" si="400"/>
        <v/>
      </c>
      <c r="AU339" s="268" t="str">
        <f t="shared" si="400"/>
        <v/>
      </c>
      <c r="AV339" s="268" t="str">
        <f t="shared" si="400"/>
        <v/>
      </c>
      <c r="AW339" s="268" t="str">
        <f t="shared" si="400"/>
        <v/>
      </c>
      <c r="AX339" s="268" t="str">
        <f t="shared" si="400"/>
        <v/>
      </c>
      <c r="AY339" s="268" t="str">
        <f t="shared" si="400"/>
        <v/>
      </c>
      <c r="AZ339" s="268" t="str">
        <f t="shared" si="400"/>
        <v/>
      </c>
      <c r="BA339" s="268" t="str">
        <f t="shared" si="400"/>
        <v/>
      </c>
      <c r="BB339" s="268" t="str">
        <f t="shared" si="400"/>
        <v/>
      </c>
      <c r="BC339" s="268" t="str">
        <f t="shared" si="400"/>
        <v/>
      </c>
      <c r="BD339" s="268" t="str">
        <f t="shared" si="400"/>
        <v/>
      </c>
      <c r="BE339" s="268" t="str">
        <f t="shared" si="400"/>
        <v/>
      </c>
      <c r="BF339" s="268" t="str">
        <f t="shared" si="400"/>
        <v/>
      </c>
      <c r="BG339" s="268" t="str">
        <f t="shared" si="400"/>
        <v/>
      </c>
      <c r="BH339" s="268" t="str">
        <f t="shared" si="400"/>
        <v/>
      </c>
      <c r="BI339" s="268" t="str">
        <f t="shared" si="400"/>
        <v/>
      </c>
      <c r="BJ339" s="268" t="str">
        <f t="shared" si="400"/>
        <v/>
      </c>
      <c r="BK339" s="268" t="str">
        <f t="shared" si="400"/>
        <v/>
      </c>
      <c r="BL339" s="268" t="str">
        <f t="shared" si="400"/>
        <v/>
      </c>
      <c r="BM339" s="268" t="str">
        <f t="shared" si="400"/>
        <v/>
      </c>
      <c r="BN339" s="268" t="str">
        <f t="shared" si="400"/>
        <v/>
      </c>
      <c r="BO339" s="268" t="str">
        <f t="shared" si="400"/>
        <v/>
      </c>
      <c r="BP339" s="268" t="str">
        <f t="shared" si="400"/>
        <v/>
      </c>
      <c r="BQ339" s="268" t="str">
        <f t="shared" si="400"/>
        <v/>
      </c>
      <c r="BR339" s="268" t="str">
        <f t="shared" si="400"/>
        <v/>
      </c>
      <c r="BS339" s="268" t="str">
        <f t="shared" si="400"/>
        <v/>
      </c>
      <c r="BT339" s="268" t="str">
        <f t="shared" si="400"/>
        <v/>
      </c>
      <c r="BU339" s="268" t="str">
        <f t="shared" si="385"/>
        <v/>
      </c>
      <c r="BV339" s="247">
        <v>2.02</v>
      </c>
      <c r="BW339" s="729">
        <f t="shared" si="366"/>
        <v>10095.96</v>
      </c>
      <c r="BX339" s="730">
        <f t="shared" si="367"/>
        <v>78243.69</v>
      </c>
      <c r="BY339" s="731" t="str">
        <f t="shared" si="368"/>
        <v>SR</v>
      </c>
    </row>
    <row r="340" s="698" customFormat="1" customHeight="1" spans="1:77">
      <c r="A340" s="208">
        <v>46093</v>
      </c>
      <c r="B340" s="208">
        <v>46147</v>
      </c>
      <c r="C340" s="211" t="s">
        <v>547</v>
      </c>
      <c r="D340" s="211" t="s">
        <v>548</v>
      </c>
      <c r="E340" s="211" t="s">
        <v>68</v>
      </c>
      <c r="F340" s="732">
        <v>2000</v>
      </c>
      <c r="G340" s="211" t="s">
        <v>510</v>
      </c>
      <c r="H340" s="211" t="str">
        <f>IFERROR(VLOOKUP(E340,名称!A:E,4,0),"")</f>
        <v>三代</v>
      </c>
      <c r="I340" s="268" t="str">
        <f t="shared" ref="I340:BT340" si="401">IF(OR($E340="",I$1=""),"",IF(TRIM(LEFT($E340,MIN(IFERROR(FIND("CDU",UPPER($E340)),999),IFERROR(FIND("BULK",UPPER($E340)),999),IFERROR(FIND("-",$E340),999),IFERROR(FIND("（",$E340),999))-1))=I$1,$F340,""))</f>
        <v/>
      </c>
      <c r="J340" s="268" t="str">
        <f t="shared" si="401"/>
        <v/>
      </c>
      <c r="K340" s="268" t="str">
        <f t="shared" si="401"/>
        <v/>
      </c>
      <c r="L340" s="268" t="str">
        <f t="shared" si="401"/>
        <v/>
      </c>
      <c r="M340" s="268" t="str">
        <f t="shared" si="401"/>
        <v/>
      </c>
      <c r="N340" s="268" t="str">
        <f t="shared" si="401"/>
        <v/>
      </c>
      <c r="O340" s="268" t="str">
        <f t="shared" si="401"/>
        <v/>
      </c>
      <c r="P340" s="268" t="str">
        <f t="shared" si="401"/>
        <v/>
      </c>
      <c r="Q340" s="268" t="str">
        <f t="shared" si="401"/>
        <v/>
      </c>
      <c r="R340" s="268" t="str">
        <f t="shared" si="401"/>
        <v/>
      </c>
      <c r="S340" s="268" t="str">
        <f t="shared" si="401"/>
        <v/>
      </c>
      <c r="T340" s="268" t="str">
        <f t="shared" si="401"/>
        <v/>
      </c>
      <c r="U340" s="268" t="str">
        <f t="shared" si="401"/>
        <v/>
      </c>
      <c r="V340" s="268" t="str">
        <f t="shared" si="401"/>
        <v/>
      </c>
      <c r="W340" s="268" t="str">
        <f t="shared" si="401"/>
        <v/>
      </c>
      <c r="X340" s="268" t="str">
        <f t="shared" si="401"/>
        <v/>
      </c>
      <c r="Y340" s="268" t="str">
        <f t="shared" si="401"/>
        <v/>
      </c>
      <c r="Z340" s="268" t="str">
        <f t="shared" si="401"/>
        <v/>
      </c>
      <c r="AA340" s="268" t="str">
        <f t="shared" si="401"/>
        <v/>
      </c>
      <c r="AB340" s="268" t="str">
        <f t="shared" si="401"/>
        <v/>
      </c>
      <c r="AC340" s="268" t="str">
        <f t="shared" si="401"/>
        <v/>
      </c>
      <c r="AD340" s="268" t="str">
        <f t="shared" si="401"/>
        <v/>
      </c>
      <c r="AE340" s="268" t="str">
        <f t="shared" si="401"/>
        <v/>
      </c>
      <c r="AF340" s="268" t="str">
        <f t="shared" si="401"/>
        <v/>
      </c>
      <c r="AG340" s="268" t="str">
        <f t="shared" si="401"/>
        <v/>
      </c>
      <c r="AH340" s="268">
        <f t="shared" si="401"/>
        <v>2000</v>
      </c>
      <c r="AI340" s="268" t="str">
        <f t="shared" si="401"/>
        <v/>
      </c>
      <c r="AJ340" s="268" t="str">
        <f t="shared" si="401"/>
        <v/>
      </c>
      <c r="AK340" s="268" t="str">
        <f t="shared" si="401"/>
        <v/>
      </c>
      <c r="AL340" s="268" t="str">
        <f t="shared" si="401"/>
        <v/>
      </c>
      <c r="AM340" s="268" t="str">
        <f t="shared" si="401"/>
        <v/>
      </c>
      <c r="AN340" s="268" t="str">
        <f t="shared" si="401"/>
        <v/>
      </c>
      <c r="AO340" s="268" t="str">
        <f t="shared" si="401"/>
        <v/>
      </c>
      <c r="AP340" s="268" t="str">
        <f t="shared" si="401"/>
        <v/>
      </c>
      <c r="AQ340" s="268" t="str">
        <f t="shared" si="401"/>
        <v/>
      </c>
      <c r="AR340" s="268" t="str">
        <f t="shared" si="401"/>
        <v/>
      </c>
      <c r="AS340" s="268" t="str">
        <f t="shared" si="401"/>
        <v/>
      </c>
      <c r="AT340" s="268" t="str">
        <f t="shared" si="401"/>
        <v/>
      </c>
      <c r="AU340" s="268" t="str">
        <f t="shared" si="401"/>
        <v/>
      </c>
      <c r="AV340" s="268" t="str">
        <f t="shared" si="401"/>
        <v/>
      </c>
      <c r="AW340" s="268" t="str">
        <f t="shared" si="401"/>
        <v/>
      </c>
      <c r="AX340" s="268" t="str">
        <f t="shared" si="401"/>
        <v/>
      </c>
      <c r="AY340" s="268" t="str">
        <f t="shared" si="401"/>
        <v/>
      </c>
      <c r="AZ340" s="268" t="str">
        <f t="shared" si="401"/>
        <v/>
      </c>
      <c r="BA340" s="268" t="str">
        <f t="shared" si="401"/>
        <v/>
      </c>
      <c r="BB340" s="268" t="str">
        <f t="shared" si="401"/>
        <v/>
      </c>
      <c r="BC340" s="268" t="str">
        <f t="shared" si="401"/>
        <v/>
      </c>
      <c r="BD340" s="268" t="str">
        <f t="shared" si="401"/>
        <v/>
      </c>
      <c r="BE340" s="268" t="str">
        <f t="shared" si="401"/>
        <v/>
      </c>
      <c r="BF340" s="268" t="str">
        <f t="shared" si="401"/>
        <v/>
      </c>
      <c r="BG340" s="268" t="str">
        <f t="shared" si="401"/>
        <v/>
      </c>
      <c r="BH340" s="268" t="str">
        <f t="shared" si="401"/>
        <v/>
      </c>
      <c r="BI340" s="268" t="str">
        <f t="shared" si="401"/>
        <v/>
      </c>
      <c r="BJ340" s="268" t="str">
        <f t="shared" si="401"/>
        <v/>
      </c>
      <c r="BK340" s="268" t="str">
        <f t="shared" si="401"/>
        <v/>
      </c>
      <c r="BL340" s="268" t="str">
        <f t="shared" si="401"/>
        <v/>
      </c>
      <c r="BM340" s="268" t="str">
        <f t="shared" si="401"/>
        <v/>
      </c>
      <c r="BN340" s="268" t="str">
        <f t="shared" si="401"/>
        <v/>
      </c>
      <c r="BO340" s="268" t="str">
        <f t="shared" si="401"/>
        <v/>
      </c>
      <c r="BP340" s="268" t="str">
        <f t="shared" si="401"/>
        <v/>
      </c>
      <c r="BQ340" s="268" t="str">
        <f t="shared" si="401"/>
        <v/>
      </c>
      <c r="BR340" s="268" t="str">
        <f t="shared" si="401"/>
        <v/>
      </c>
      <c r="BS340" s="268" t="str">
        <f t="shared" si="401"/>
        <v/>
      </c>
      <c r="BT340" s="268" t="str">
        <f t="shared" si="401"/>
        <v/>
      </c>
      <c r="BU340" s="268" t="str">
        <f t="shared" si="385"/>
        <v/>
      </c>
      <c r="BV340" s="247">
        <v>3.09</v>
      </c>
      <c r="BW340" s="729">
        <f t="shared" si="366"/>
        <v>6180</v>
      </c>
      <c r="BX340" s="730">
        <f t="shared" si="367"/>
        <v>47895</v>
      </c>
      <c r="BY340" s="731" t="str">
        <f t="shared" si="368"/>
        <v>SR</v>
      </c>
    </row>
    <row r="341" s="698" customFormat="1" customHeight="1" spans="1:77">
      <c r="A341" s="208">
        <v>46093</v>
      </c>
      <c r="B341" s="208">
        <v>46147</v>
      </c>
      <c r="C341" s="211" t="s">
        <v>547</v>
      </c>
      <c r="D341" s="211" t="s">
        <v>548</v>
      </c>
      <c r="E341" s="211" t="s">
        <v>72</v>
      </c>
      <c r="F341" s="732">
        <v>3000</v>
      </c>
      <c r="G341" s="211" t="s">
        <v>510</v>
      </c>
      <c r="H341" s="211" t="str">
        <f>IFERROR(VLOOKUP(E341,名称!A:E,4,0),"")</f>
        <v>三代</v>
      </c>
      <c r="I341" s="268" t="str">
        <f t="shared" ref="I341:BT341" si="402">IF(OR($E341="",I$1=""),"",IF(TRIM(LEFT($E341,MIN(IFERROR(FIND("CDU",UPPER($E341)),999),IFERROR(FIND("BULK",UPPER($E341)),999),IFERROR(FIND("-",$E341),999),IFERROR(FIND("（",$E341),999))-1))=I$1,$F341,""))</f>
        <v/>
      </c>
      <c r="J341" s="268" t="str">
        <f t="shared" si="402"/>
        <v/>
      </c>
      <c r="K341" s="268" t="str">
        <f t="shared" si="402"/>
        <v/>
      </c>
      <c r="L341" s="268" t="str">
        <f t="shared" si="402"/>
        <v/>
      </c>
      <c r="M341" s="268" t="str">
        <f t="shared" si="402"/>
        <v/>
      </c>
      <c r="N341" s="268" t="str">
        <f t="shared" si="402"/>
        <v/>
      </c>
      <c r="O341" s="268" t="str">
        <f t="shared" si="402"/>
        <v/>
      </c>
      <c r="P341" s="268" t="str">
        <f t="shared" si="402"/>
        <v/>
      </c>
      <c r="Q341" s="268" t="str">
        <f t="shared" si="402"/>
        <v/>
      </c>
      <c r="R341" s="268" t="str">
        <f t="shared" si="402"/>
        <v/>
      </c>
      <c r="S341" s="268" t="str">
        <f t="shared" si="402"/>
        <v/>
      </c>
      <c r="T341" s="268" t="str">
        <f t="shared" si="402"/>
        <v/>
      </c>
      <c r="U341" s="268" t="str">
        <f t="shared" si="402"/>
        <v/>
      </c>
      <c r="V341" s="268" t="str">
        <f t="shared" si="402"/>
        <v/>
      </c>
      <c r="W341" s="268" t="str">
        <f t="shared" si="402"/>
        <v/>
      </c>
      <c r="X341" s="268" t="str">
        <f t="shared" si="402"/>
        <v/>
      </c>
      <c r="Y341" s="268" t="str">
        <f t="shared" si="402"/>
        <v/>
      </c>
      <c r="Z341" s="268" t="str">
        <f t="shared" si="402"/>
        <v/>
      </c>
      <c r="AA341" s="268" t="str">
        <f t="shared" si="402"/>
        <v/>
      </c>
      <c r="AB341" s="268" t="str">
        <f t="shared" si="402"/>
        <v/>
      </c>
      <c r="AC341" s="268" t="str">
        <f t="shared" si="402"/>
        <v/>
      </c>
      <c r="AD341" s="268" t="str">
        <f t="shared" si="402"/>
        <v/>
      </c>
      <c r="AE341" s="268" t="str">
        <f t="shared" si="402"/>
        <v/>
      </c>
      <c r="AF341" s="268" t="str">
        <f t="shared" si="402"/>
        <v/>
      </c>
      <c r="AG341" s="268" t="str">
        <f t="shared" si="402"/>
        <v/>
      </c>
      <c r="AH341" s="268" t="str">
        <f t="shared" si="402"/>
        <v/>
      </c>
      <c r="AI341" s="268" t="str">
        <f t="shared" si="402"/>
        <v/>
      </c>
      <c r="AJ341" s="268" t="str">
        <f t="shared" si="402"/>
        <v/>
      </c>
      <c r="AK341" s="268" t="str">
        <f t="shared" si="402"/>
        <v/>
      </c>
      <c r="AL341" s="268">
        <f t="shared" si="402"/>
        <v>3000</v>
      </c>
      <c r="AM341" s="268" t="str">
        <f t="shared" si="402"/>
        <v/>
      </c>
      <c r="AN341" s="268" t="str">
        <f t="shared" si="402"/>
        <v/>
      </c>
      <c r="AO341" s="268" t="str">
        <f t="shared" si="402"/>
        <v/>
      </c>
      <c r="AP341" s="268" t="str">
        <f t="shared" si="402"/>
        <v/>
      </c>
      <c r="AQ341" s="268" t="str">
        <f t="shared" si="402"/>
        <v/>
      </c>
      <c r="AR341" s="268" t="str">
        <f t="shared" si="402"/>
        <v/>
      </c>
      <c r="AS341" s="268" t="str">
        <f t="shared" si="402"/>
        <v/>
      </c>
      <c r="AT341" s="268" t="str">
        <f t="shared" si="402"/>
        <v/>
      </c>
      <c r="AU341" s="268" t="str">
        <f t="shared" si="402"/>
        <v/>
      </c>
      <c r="AV341" s="268" t="str">
        <f t="shared" si="402"/>
        <v/>
      </c>
      <c r="AW341" s="268" t="str">
        <f t="shared" si="402"/>
        <v/>
      </c>
      <c r="AX341" s="268" t="str">
        <f t="shared" si="402"/>
        <v/>
      </c>
      <c r="AY341" s="268" t="str">
        <f t="shared" si="402"/>
        <v/>
      </c>
      <c r="AZ341" s="268" t="str">
        <f t="shared" si="402"/>
        <v/>
      </c>
      <c r="BA341" s="268" t="str">
        <f t="shared" si="402"/>
        <v/>
      </c>
      <c r="BB341" s="268" t="str">
        <f t="shared" si="402"/>
        <v/>
      </c>
      <c r="BC341" s="268" t="str">
        <f t="shared" si="402"/>
        <v/>
      </c>
      <c r="BD341" s="268" t="str">
        <f t="shared" si="402"/>
        <v/>
      </c>
      <c r="BE341" s="268" t="str">
        <f t="shared" si="402"/>
        <v/>
      </c>
      <c r="BF341" s="268" t="str">
        <f t="shared" si="402"/>
        <v/>
      </c>
      <c r="BG341" s="268" t="str">
        <f t="shared" si="402"/>
        <v/>
      </c>
      <c r="BH341" s="268" t="str">
        <f t="shared" si="402"/>
        <v/>
      </c>
      <c r="BI341" s="268" t="str">
        <f t="shared" si="402"/>
        <v/>
      </c>
      <c r="BJ341" s="268" t="str">
        <f t="shared" si="402"/>
        <v/>
      </c>
      <c r="BK341" s="268" t="str">
        <f t="shared" si="402"/>
        <v/>
      </c>
      <c r="BL341" s="268" t="str">
        <f t="shared" si="402"/>
        <v/>
      </c>
      <c r="BM341" s="268" t="str">
        <f t="shared" si="402"/>
        <v/>
      </c>
      <c r="BN341" s="268" t="str">
        <f t="shared" si="402"/>
        <v/>
      </c>
      <c r="BO341" s="268" t="str">
        <f t="shared" si="402"/>
        <v/>
      </c>
      <c r="BP341" s="268" t="str">
        <f t="shared" si="402"/>
        <v/>
      </c>
      <c r="BQ341" s="268" t="str">
        <f t="shared" si="402"/>
        <v/>
      </c>
      <c r="BR341" s="268" t="str">
        <f t="shared" si="402"/>
        <v/>
      </c>
      <c r="BS341" s="268" t="str">
        <f t="shared" si="402"/>
        <v/>
      </c>
      <c r="BT341" s="268" t="str">
        <f t="shared" si="402"/>
        <v/>
      </c>
      <c r="BU341" s="268" t="str">
        <f t="shared" si="385"/>
        <v/>
      </c>
      <c r="BV341" s="247">
        <v>1.58</v>
      </c>
      <c r="BW341" s="729">
        <f t="shared" si="366"/>
        <v>4740</v>
      </c>
      <c r="BX341" s="730">
        <f t="shared" si="367"/>
        <v>36735</v>
      </c>
      <c r="BY341" s="731" t="str">
        <f t="shared" si="368"/>
        <v>SR</v>
      </c>
    </row>
    <row r="342" s="698" customFormat="1" customHeight="1" spans="1:77">
      <c r="A342" s="208">
        <v>46093</v>
      </c>
      <c r="B342" s="208">
        <v>46147</v>
      </c>
      <c r="C342" s="211" t="s">
        <v>547</v>
      </c>
      <c r="D342" s="211" t="s">
        <v>548</v>
      </c>
      <c r="E342" s="211" t="s">
        <v>112</v>
      </c>
      <c r="F342" s="732">
        <v>600</v>
      </c>
      <c r="G342" s="211" t="s">
        <v>510</v>
      </c>
      <c r="H342" s="211" t="str">
        <f>IFERROR(VLOOKUP(E342,名称!A:E,4,0),"")</f>
        <v>三代</v>
      </c>
      <c r="I342" s="268" t="str">
        <f t="shared" ref="I342:BT342" si="403">IF(OR($E342="",I$1=""),"",IF(TRIM(LEFT($E342,MIN(IFERROR(FIND("CDU",UPPER($E342)),999),IFERROR(FIND("BULK",UPPER($E342)),999),IFERROR(FIND("-",$E342),999),IFERROR(FIND("（",$E342),999))-1))=I$1,$F342,""))</f>
        <v/>
      </c>
      <c r="J342" s="268" t="str">
        <f t="shared" si="403"/>
        <v/>
      </c>
      <c r="K342" s="268" t="str">
        <f t="shared" si="403"/>
        <v/>
      </c>
      <c r="L342" s="268" t="str">
        <f t="shared" si="403"/>
        <v/>
      </c>
      <c r="M342" s="268" t="str">
        <f t="shared" si="403"/>
        <v/>
      </c>
      <c r="N342" s="268" t="str">
        <f t="shared" si="403"/>
        <v/>
      </c>
      <c r="O342" s="268" t="str">
        <f t="shared" si="403"/>
        <v/>
      </c>
      <c r="P342" s="268" t="str">
        <f t="shared" si="403"/>
        <v/>
      </c>
      <c r="Q342" s="268" t="str">
        <f t="shared" si="403"/>
        <v/>
      </c>
      <c r="R342" s="268" t="str">
        <f t="shared" si="403"/>
        <v/>
      </c>
      <c r="S342" s="268" t="str">
        <f t="shared" si="403"/>
        <v/>
      </c>
      <c r="T342" s="268" t="str">
        <f t="shared" si="403"/>
        <v/>
      </c>
      <c r="U342" s="268" t="str">
        <f t="shared" si="403"/>
        <v/>
      </c>
      <c r="V342" s="268" t="str">
        <f t="shared" si="403"/>
        <v/>
      </c>
      <c r="W342" s="268" t="str">
        <f t="shared" si="403"/>
        <v/>
      </c>
      <c r="X342" s="268" t="str">
        <f t="shared" si="403"/>
        <v/>
      </c>
      <c r="Y342" s="268" t="str">
        <f t="shared" si="403"/>
        <v/>
      </c>
      <c r="Z342" s="268" t="str">
        <f t="shared" si="403"/>
        <v/>
      </c>
      <c r="AA342" s="268" t="str">
        <f t="shared" si="403"/>
        <v/>
      </c>
      <c r="AB342" s="268" t="str">
        <f t="shared" si="403"/>
        <v/>
      </c>
      <c r="AC342" s="268" t="str">
        <f t="shared" si="403"/>
        <v/>
      </c>
      <c r="AD342" s="268" t="str">
        <f t="shared" si="403"/>
        <v/>
      </c>
      <c r="AE342" s="268" t="str">
        <f t="shared" si="403"/>
        <v/>
      </c>
      <c r="AF342" s="268" t="str">
        <f t="shared" si="403"/>
        <v/>
      </c>
      <c r="AG342" s="268" t="str">
        <f t="shared" si="403"/>
        <v/>
      </c>
      <c r="AH342" s="268" t="str">
        <f t="shared" si="403"/>
        <v/>
      </c>
      <c r="AI342" s="268">
        <f t="shared" si="403"/>
        <v>600</v>
      </c>
      <c r="AJ342" s="268" t="str">
        <f t="shared" si="403"/>
        <v/>
      </c>
      <c r="AK342" s="268" t="str">
        <f t="shared" si="403"/>
        <v/>
      </c>
      <c r="AL342" s="268" t="str">
        <f t="shared" si="403"/>
        <v/>
      </c>
      <c r="AM342" s="268" t="str">
        <f t="shared" si="403"/>
        <v/>
      </c>
      <c r="AN342" s="268" t="str">
        <f t="shared" si="403"/>
        <v/>
      </c>
      <c r="AO342" s="268" t="str">
        <f t="shared" si="403"/>
        <v/>
      </c>
      <c r="AP342" s="268" t="str">
        <f t="shared" si="403"/>
        <v/>
      </c>
      <c r="AQ342" s="268" t="str">
        <f t="shared" si="403"/>
        <v/>
      </c>
      <c r="AR342" s="268" t="str">
        <f t="shared" si="403"/>
        <v/>
      </c>
      <c r="AS342" s="268" t="str">
        <f t="shared" si="403"/>
        <v/>
      </c>
      <c r="AT342" s="268" t="str">
        <f t="shared" si="403"/>
        <v/>
      </c>
      <c r="AU342" s="268" t="str">
        <f t="shared" si="403"/>
        <v/>
      </c>
      <c r="AV342" s="268" t="str">
        <f t="shared" si="403"/>
        <v/>
      </c>
      <c r="AW342" s="268" t="str">
        <f t="shared" si="403"/>
        <v/>
      </c>
      <c r="AX342" s="268" t="str">
        <f t="shared" si="403"/>
        <v/>
      </c>
      <c r="AY342" s="268" t="str">
        <f t="shared" si="403"/>
        <v/>
      </c>
      <c r="AZ342" s="268" t="str">
        <f t="shared" si="403"/>
        <v/>
      </c>
      <c r="BA342" s="268" t="str">
        <f t="shared" si="403"/>
        <v/>
      </c>
      <c r="BB342" s="268" t="str">
        <f t="shared" si="403"/>
        <v/>
      </c>
      <c r="BC342" s="268" t="str">
        <f t="shared" si="403"/>
        <v/>
      </c>
      <c r="BD342" s="268" t="str">
        <f t="shared" si="403"/>
        <v/>
      </c>
      <c r="BE342" s="268" t="str">
        <f t="shared" si="403"/>
        <v/>
      </c>
      <c r="BF342" s="268" t="str">
        <f t="shared" si="403"/>
        <v/>
      </c>
      <c r="BG342" s="268" t="str">
        <f t="shared" si="403"/>
        <v/>
      </c>
      <c r="BH342" s="268" t="str">
        <f t="shared" si="403"/>
        <v/>
      </c>
      <c r="BI342" s="268" t="str">
        <f t="shared" si="403"/>
        <v/>
      </c>
      <c r="BJ342" s="268" t="str">
        <f t="shared" si="403"/>
        <v/>
      </c>
      <c r="BK342" s="268" t="str">
        <f t="shared" si="403"/>
        <v/>
      </c>
      <c r="BL342" s="268" t="str">
        <f t="shared" si="403"/>
        <v/>
      </c>
      <c r="BM342" s="268" t="str">
        <f t="shared" si="403"/>
        <v/>
      </c>
      <c r="BN342" s="268" t="str">
        <f t="shared" si="403"/>
        <v/>
      </c>
      <c r="BO342" s="268" t="str">
        <f t="shared" si="403"/>
        <v/>
      </c>
      <c r="BP342" s="268" t="str">
        <f t="shared" si="403"/>
        <v/>
      </c>
      <c r="BQ342" s="268" t="str">
        <f t="shared" si="403"/>
        <v/>
      </c>
      <c r="BR342" s="268" t="str">
        <f t="shared" si="403"/>
        <v/>
      </c>
      <c r="BS342" s="268" t="str">
        <f t="shared" si="403"/>
        <v/>
      </c>
      <c r="BT342" s="268" t="str">
        <f t="shared" si="403"/>
        <v/>
      </c>
      <c r="BU342" s="268" t="str">
        <f t="shared" si="385"/>
        <v/>
      </c>
      <c r="BV342" s="247">
        <v>9.12</v>
      </c>
      <c r="BW342" s="729">
        <f t="shared" si="366"/>
        <v>5472</v>
      </c>
      <c r="BX342" s="730">
        <f t="shared" si="367"/>
        <v>42408</v>
      </c>
      <c r="BY342" s="731" t="str">
        <f t="shared" si="368"/>
        <v>SR</v>
      </c>
    </row>
    <row r="343" s="698" customFormat="1" customHeight="1" spans="1:77">
      <c r="A343" s="208">
        <v>46093</v>
      </c>
      <c r="B343" s="208">
        <v>46147</v>
      </c>
      <c r="C343" s="211" t="s">
        <v>547</v>
      </c>
      <c r="D343" s="211" t="s">
        <v>548</v>
      </c>
      <c r="E343" s="211" t="s">
        <v>85</v>
      </c>
      <c r="F343" s="732">
        <v>9000</v>
      </c>
      <c r="G343" s="211" t="s">
        <v>510</v>
      </c>
      <c r="H343" s="211" t="str">
        <f>IFERROR(VLOOKUP(E343,名称!A:E,4,0),"")</f>
        <v>三代</v>
      </c>
      <c r="I343" s="268" t="str">
        <f t="shared" ref="I343:BT343" si="404">IF(OR($E343="",I$1=""),"",IF(TRIM(LEFT($E343,MIN(IFERROR(FIND("CDU",UPPER($E343)),999),IFERROR(FIND("BULK",UPPER($E343)),999),IFERROR(FIND("-",$E343),999),IFERROR(FIND("（",$E343),999))-1))=I$1,$F343,""))</f>
        <v/>
      </c>
      <c r="J343" s="268" t="str">
        <f t="shared" si="404"/>
        <v/>
      </c>
      <c r="K343" s="268" t="str">
        <f t="shared" si="404"/>
        <v/>
      </c>
      <c r="L343" s="268" t="str">
        <f t="shared" si="404"/>
        <v/>
      </c>
      <c r="M343" s="268" t="str">
        <f t="shared" si="404"/>
        <v/>
      </c>
      <c r="N343" s="268" t="str">
        <f t="shared" si="404"/>
        <v/>
      </c>
      <c r="O343" s="268" t="str">
        <f t="shared" si="404"/>
        <v/>
      </c>
      <c r="P343" s="268" t="str">
        <f t="shared" si="404"/>
        <v/>
      </c>
      <c r="Q343" s="268" t="str">
        <f t="shared" si="404"/>
        <v/>
      </c>
      <c r="R343" s="268" t="str">
        <f t="shared" si="404"/>
        <v/>
      </c>
      <c r="S343" s="268" t="str">
        <f t="shared" si="404"/>
        <v/>
      </c>
      <c r="T343" s="268" t="str">
        <f t="shared" si="404"/>
        <v/>
      </c>
      <c r="U343" s="268" t="str">
        <f t="shared" si="404"/>
        <v/>
      </c>
      <c r="V343" s="268" t="str">
        <f t="shared" si="404"/>
        <v/>
      </c>
      <c r="W343" s="268" t="str">
        <f t="shared" si="404"/>
        <v/>
      </c>
      <c r="X343" s="268" t="str">
        <f t="shared" si="404"/>
        <v/>
      </c>
      <c r="Y343" s="268" t="str">
        <f t="shared" si="404"/>
        <v/>
      </c>
      <c r="Z343" s="268" t="str">
        <f t="shared" si="404"/>
        <v/>
      </c>
      <c r="AA343" s="268" t="str">
        <f t="shared" si="404"/>
        <v/>
      </c>
      <c r="AB343" s="268" t="str">
        <f t="shared" si="404"/>
        <v/>
      </c>
      <c r="AC343" s="268" t="str">
        <f t="shared" si="404"/>
        <v/>
      </c>
      <c r="AD343" s="268" t="str">
        <f t="shared" si="404"/>
        <v/>
      </c>
      <c r="AE343" s="268" t="str">
        <f t="shared" si="404"/>
        <v/>
      </c>
      <c r="AF343" s="268" t="str">
        <f t="shared" si="404"/>
        <v/>
      </c>
      <c r="AG343" s="268" t="str">
        <f t="shared" si="404"/>
        <v/>
      </c>
      <c r="AH343" s="268" t="str">
        <f t="shared" si="404"/>
        <v/>
      </c>
      <c r="AI343" s="268" t="str">
        <f t="shared" si="404"/>
        <v/>
      </c>
      <c r="AJ343" s="268" t="str">
        <f t="shared" si="404"/>
        <v/>
      </c>
      <c r="AK343" s="268" t="str">
        <f t="shared" si="404"/>
        <v/>
      </c>
      <c r="AL343" s="268" t="str">
        <f t="shared" si="404"/>
        <v/>
      </c>
      <c r="AM343" s="268" t="str">
        <f t="shared" si="404"/>
        <v/>
      </c>
      <c r="AN343" s="268">
        <f t="shared" si="404"/>
        <v>9000</v>
      </c>
      <c r="AO343" s="268" t="str">
        <f t="shared" si="404"/>
        <v/>
      </c>
      <c r="AP343" s="268" t="str">
        <f t="shared" si="404"/>
        <v/>
      </c>
      <c r="AQ343" s="268" t="str">
        <f t="shared" si="404"/>
        <v/>
      </c>
      <c r="AR343" s="268" t="str">
        <f t="shared" si="404"/>
        <v/>
      </c>
      <c r="AS343" s="268" t="str">
        <f t="shared" si="404"/>
        <v/>
      </c>
      <c r="AT343" s="268" t="str">
        <f t="shared" si="404"/>
        <v/>
      </c>
      <c r="AU343" s="268" t="str">
        <f t="shared" si="404"/>
        <v/>
      </c>
      <c r="AV343" s="268" t="str">
        <f t="shared" si="404"/>
        <v/>
      </c>
      <c r="AW343" s="268" t="str">
        <f t="shared" si="404"/>
        <v/>
      </c>
      <c r="AX343" s="268" t="str">
        <f t="shared" si="404"/>
        <v/>
      </c>
      <c r="AY343" s="268" t="str">
        <f t="shared" si="404"/>
        <v/>
      </c>
      <c r="AZ343" s="268" t="str">
        <f t="shared" si="404"/>
        <v/>
      </c>
      <c r="BA343" s="268" t="str">
        <f t="shared" si="404"/>
        <v/>
      </c>
      <c r="BB343" s="268" t="str">
        <f t="shared" si="404"/>
        <v/>
      </c>
      <c r="BC343" s="268" t="str">
        <f t="shared" si="404"/>
        <v/>
      </c>
      <c r="BD343" s="268" t="str">
        <f t="shared" si="404"/>
        <v/>
      </c>
      <c r="BE343" s="268" t="str">
        <f t="shared" si="404"/>
        <v/>
      </c>
      <c r="BF343" s="268" t="str">
        <f t="shared" si="404"/>
        <v/>
      </c>
      <c r="BG343" s="268" t="str">
        <f t="shared" si="404"/>
        <v/>
      </c>
      <c r="BH343" s="268" t="str">
        <f t="shared" si="404"/>
        <v/>
      </c>
      <c r="BI343" s="268" t="str">
        <f t="shared" si="404"/>
        <v/>
      </c>
      <c r="BJ343" s="268" t="str">
        <f t="shared" si="404"/>
        <v/>
      </c>
      <c r="BK343" s="268" t="str">
        <f t="shared" si="404"/>
        <v/>
      </c>
      <c r="BL343" s="268" t="str">
        <f t="shared" si="404"/>
        <v/>
      </c>
      <c r="BM343" s="268" t="str">
        <f t="shared" si="404"/>
        <v/>
      </c>
      <c r="BN343" s="268" t="str">
        <f t="shared" si="404"/>
        <v/>
      </c>
      <c r="BO343" s="268" t="str">
        <f t="shared" si="404"/>
        <v/>
      </c>
      <c r="BP343" s="268" t="str">
        <f t="shared" si="404"/>
        <v/>
      </c>
      <c r="BQ343" s="268" t="str">
        <f t="shared" si="404"/>
        <v/>
      </c>
      <c r="BR343" s="268" t="str">
        <f t="shared" si="404"/>
        <v/>
      </c>
      <c r="BS343" s="268" t="str">
        <f t="shared" si="404"/>
        <v/>
      </c>
      <c r="BT343" s="268" t="str">
        <f t="shared" si="404"/>
        <v/>
      </c>
      <c r="BU343" s="268" t="str">
        <f t="shared" si="385"/>
        <v/>
      </c>
      <c r="BV343" s="247">
        <v>0.88</v>
      </c>
      <c r="BW343" s="729">
        <f t="shared" si="366"/>
        <v>7920</v>
      </c>
      <c r="BX343" s="730">
        <f t="shared" si="367"/>
        <v>61380</v>
      </c>
      <c r="BY343" s="731" t="str">
        <f t="shared" si="368"/>
        <v>SR</v>
      </c>
    </row>
    <row r="344" s="698" customFormat="1" customHeight="1" spans="1:77">
      <c r="A344" s="208">
        <v>46093</v>
      </c>
      <c r="B344" s="208">
        <v>46147</v>
      </c>
      <c r="C344" s="211" t="s">
        <v>547</v>
      </c>
      <c r="D344" s="211" t="s">
        <v>548</v>
      </c>
      <c r="E344" s="211" t="s">
        <v>98</v>
      </c>
      <c r="F344" s="732">
        <v>3000</v>
      </c>
      <c r="G344" s="211" t="s">
        <v>510</v>
      </c>
      <c r="H344" s="211" t="str">
        <f>IFERROR(VLOOKUP(E344,名称!A:E,4,0),"")</f>
        <v>三代</v>
      </c>
      <c r="I344" s="268" t="str">
        <f t="shared" ref="I344:BT344" si="405">IF(OR($E344="",I$1=""),"",IF(TRIM(LEFT($E344,MIN(IFERROR(FIND("CDU",UPPER($E344)),999),IFERROR(FIND("BULK",UPPER($E344)),999),IFERROR(FIND("-",$E344),999),IFERROR(FIND("（",$E344),999))-1))=I$1,$F344,""))</f>
        <v/>
      </c>
      <c r="J344" s="268" t="str">
        <f t="shared" si="405"/>
        <v/>
      </c>
      <c r="K344" s="268" t="str">
        <f t="shared" si="405"/>
        <v/>
      </c>
      <c r="L344" s="268" t="str">
        <f t="shared" si="405"/>
        <v/>
      </c>
      <c r="M344" s="268" t="str">
        <f t="shared" si="405"/>
        <v/>
      </c>
      <c r="N344" s="268" t="str">
        <f t="shared" si="405"/>
        <v/>
      </c>
      <c r="O344" s="268" t="str">
        <f t="shared" si="405"/>
        <v/>
      </c>
      <c r="P344" s="268" t="str">
        <f t="shared" si="405"/>
        <v/>
      </c>
      <c r="Q344" s="268" t="str">
        <f t="shared" si="405"/>
        <v/>
      </c>
      <c r="R344" s="268" t="str">
        <f t="shared" si="405"/>
        <v/>
      </c>
      <c r="S344" s="268" t="str">
        <f t="shared" si="405"/>
        <v/>
      </c>
      <c r="T344" s="268" t="str">
        <f t="shared" si="405"/>
        <v/>
      </c>
      <c r="U344" s="268" t="str">
        <f t="shared" si="405"/>
        <v/>
      </c>
      <c r="V344" s="268" t="str">
        <f t="shared" si="405"/>
        <v/>
      </c>
      <c r="W344" s="268" t="str">
        <f t="shared" si="405"/>
        <v/>
      </c>
      <c r="X344" s="268" t="str">
        <f t="shared" si="405"/>
        <v/>
      </c>
      <c r="Y344" s="268" t="str">
        <f t="shared" si="405"/>
        <v/>
      </c>
      <c r="Z344" s="268" t="str">
        <f t="shared" si="405"/>
        <v/>
      </c>
      <c r="AA344" s="268" t="str">
        <f t="shared" si="405"/>
        <v/>
      </c>
      <c r="AB344" s="268" t="str">
        <f t="shared" si="405"/>
        <v/>
      </c>
      <c r="AC344" s="268" t="str">
        <f t="shared" si="405"/>
        <v/>
      </c>
      <c r="AD344" s="268" t="str">
        <f t="shared" si="405"/>
        <v/>
      </c>
      <c r="AE344" s="268" t="str">
        <f t="shared" si="405"/>
        <v/>
      </c>
      <c r="AF344" s="268" t="str">
        <f t="shared" si="405"/>
        <v/>
      </c>
      <c r="AG344" s="268" t="str">
        <f t="shared" si="405"/>
        <v/>
      </c>
      <c r="AH344" s="268" t="str">
        <f t="shared" si="405"/>
        <v/>
      </c>
      <c r="AI344" s="268" t="str">
        <f t="shared" si="405"/>
        <v/>
      </c>
      <c r="AJ344" s="268" t="str">
        <f t="shared" si="405"/>
        <v/>
      </c>
      <c r="AK344" s="268" t="str">
        <f t="shared" si="405"/>
        <v/>
      </c>
      <c r="AL344" s="268" t="str">
        <f t="shared" si="405"/>
        <v/>
      </c>
      <c r="AM344" s="268" t="str">
        <f t="shared" si="405"/>
        <v/>
      </c>
      <c r="AN344" s="268" t="str">
        <f t="shared" si="405"/>
        <v/>
      </c>
      <c r="AO344" s="268" t="str">
        <f t="shared" si="405"/>
        <v/>
      </c>
      <c r="AP344" s="268" t="str">
        <f t="shared" si="405"/>
        <v/>
      </c>
      <c r="AQ344" s="268" t="str">
        <f t="shared" si="405"/>
        <v/>
      </c>
      <c r="AR344" s="268" t="str">
        <f t="shared" si="405"/>
        <v/>
      </c>
      <c r="AS344" s="268" t="str">
        <f t="shared" si="405"/>
        <v/>
      </c>
      <c r="AT344" s="268" t="str">
        <f t="shared" si="405"/>
        <v/>
      </c>
      <c r="AU344" s="268" t="str">
        <f t="shared" si="405"/>
        <v/>
      </c>
      <c r="AV344" s="268" t="str">
        <f t="shared" si="405"/>
        <v/>
      </c>
      <c r="AW344" s="268" t="str">
        <f t="shared" si="405"/>
        <v/>
      </c>
      <c r="AX344" s="268" t="str">
        <f t="shared" si="405"/>
        <v/>
      </c>
      <c r="AY344" s="268" t="str">
        <f t="shared" si="405"/>
        <v/>
      </c>
      <c r="AZ344" s="268" t="str">
        <f t="shared" si="405"/>
        <v/>
      </c>
      <c r="BA344" s="268" t="str">
        <f t="shared" si="405"/>
        <v/>
      </c>
      <c r="BB344" s="268">
        <f t="shared" si="405"/>
        <v>3000</v>
      </c>
      <c r="BC344" s="268" t="str">
        <f t="shared" si="405"/>
        <v/>
      </c>
      <c r="BD344" s="268" t="str">
        <f t="shared" si="405"/>
        <v/>
      </c>
      <c r="BE344" s="268" t="str">
        <f t="shared" si="405"/>
        <v/>
      </c>
      <c r="BF344" s="268" t="str">
        <f t="shared" si="405"/>
        <v/>
      </c>
      <c r="BG344" s="268" t="str">
        <f t="shared" si="405"/>
        <v/>
      </c>
      <c r="BH344" s="268" t="str">
        <f t="shared" si="405"/>
        <v/>
      </c>
      <c r="BI344" s="268" t="str">
        <f t="shared" si="405"/>
        <v/>
      </c>
      <c r="BJ344" s="268" t="str">
        <f t="shared" si="405"/>
        <v/>
      </c>
      <c r="BK344" s="268" t="str">
        <f t="shared" si="405"/>
        <v/>
      </c>
      <c r="BL344" s="268" t="str">
        <f t="shared" si="405"/>
        <v/>
      </c>
      <c r="BM344" s="268" t="str">
        <f t="shared" si="405"/>
        <v/>
      </c>
      <c r="BN344" s="268" t="str">
        <f t="shared" si="405"/>
        <v/>
      </c>
      <c r="BO344" s="268" t="str">
        <f t="shared" si="405"/>
        <v/>
      </c>
      <c r="BP344" s="268" t="str">
        <f t="shared" si="405"/>
        <v/>
      </c>
      <c r="BQ344" s="268" t="str">
        <f t="shared" si="405"/>
        <v/>
      </c>
      <c r="BR344" s="268" t="str">
        <f t="shared" si="405"/>
        <v/>
      </c>
      <c r="BS344" s="268" t="str">
        <f t="shared" si="405"/>
        <v/>
      </c>
      <c r="BT344" s="268" t="str">
        <f t="shared" si="405"/>
        <v/>
      </c>
      <c r="BU344" s="268" t="str">
        <f t="shared" si="385"/>
        <v/>
      </c>
      <c r="BV344" s="247">
        <v>1.58</v>
      </c>
      <c r="BW344" s="729">
        <f t="shared" si="366"/>
        <v>4740</v>
      </c>
      <c r="BX344" s="730">
        <f t="shared" si="367"/>
        <v>36735</v>
      </c>
      <c r="BY344" s="731" t="str">
        <f t="shared" si="368"/>
        <v>SR</v>
      </c>
    </row>
    <row r="345" s="698" customFormat="1" customHeight="1" spans="1:77">
      <c r="A345" s="208">
        <v>46093</v>
      </c>
      <c r="B345" s="208">
        <v>46147</v>
      </c>
      <c r="C345" s="211" t="s">
        <v>547</v>
      </c>
      <c r="D345" s="211" t="s">
        <v>548</v>
      </c>
      <c r="E345" s="211" t="s">
        <v>99</v>
      </c>
      <c r="F345" s="732">
        <v>384</v>
      </c>
      <c r="G345" s="211" t="s">
        <v>510</v>
      </c>
      <c r="H345" s="211" t="str">
        <f>IFERROR(VLOOKUP(E345,名称!A:E,4,0),"")</f>
        <v>三代</v>
      </c>
      <c r="I345" s="268" t="str">
        <f t="shared" ref="I345:BT345" si="406">IF(OR($E345="",I$1=""),"",IF(TRIM(LEFT($E345,MIN(IFERROR(FIND("CDU",UPPER($E345)),999),IFERROR(FIND("BULK",UPPER($E345)),999),IFERROR(FIND("-",$E345),999),IFERROR(FIND("（",$E345),999))-1))=I$1,$F345,""))</f>
        <v/>
      </c>
      <c r="J345" s="268" t="str">
        <f t="shared" si="406"/>
        <v/>
      </c>
      <c r="K345" s="268" t="str">
        <f t="shared" si="406"/>
        <v/>
      </c>
      <c r="L345" s="268" t="str">
        <f t="shared" si="406"/>
        <v/>
      </c>
      <c r="M345" s="268" t="str">
        <f t="shared" si="406"/>
        <v/>
      </c>
      <c r="N345" s="268" t="str">
        <f t="shared" si="406"/>
        <v/>
      </c>
      <c r="O345" s="268" t="str">
        <f t="shared" si="406"/>
        <v/>
      </c>
      <c r="P345" s="268" t="str">
        <f t="shared" si="406"/>
        <v/>
      </c>
      <c r="Q345" s="268" t="str">
        <f t="shared" si="406"/>
        <v/>
      </c>
      <c r="R345" s="268" t="str">
        <f t="shared" si="406"/>
        <v/>
      </c>
      <c r="S345" s="268" t="str">
        <f t="shared" si="406"/>
        <v/>
      </c>
      <c r="T345" s="268" t="str">
        <f t="shared" si="406"/>
        <v/>
      </c>
      <c r="U345" s="268" t="str">
        <f t="shared" si="406"/>
        <v/>
      </c>
      <c r="V345" s="268" t="str">
        <f t="shared" si="406"/>
        <v/>
      </c>
      <c r="W345" s="268" t="str">
        <f t="shared" si="406"/>
        <v/>
      </c>
      <c r="X345" s="268" t="str">
        <f t="shared" si="406"/>
        <v/>
      </c>
      <c r="Y345" s="268" t="str">
        <f t="shared" si="406"/>
        <v/>
      </c>
      <c r="Z345" s="268" t="str">
        <f t="shared" si="406"/>
        <v/>
      </c>
      <c r="AA345" s="268" t="str">
        <f t="shared" si="406"/>
        <v/>
      </c>
      <c r="AB345" s="268" t="str">
        <f t="shared" si="406"/>
        <v/>
      </c>
      <c r="AC345" s="268">
        <f t="shared" si="406"/>
        <v>384</v>
      </c>
      <c r="AD345" s="268" t="str">
        <f t="shared" si="406"/>
        <v/>
      </c>
      <c r="AE345" s="268" t="str">
        <f t="shared" si="406"/>
        <v/>
      </c>
      <c r="AF345" s="268" t="str">
        <f t="shared" si="406"/>
        <v/>
      </c>
      <c r="AG345" s="268" t="str">
        <f t="shared" si="406"/>
        <v/>
      </c>
      <c r="AH345" s="268" t="str">
        <f t="shared" si="406"/>
        <v/>
      </c>
      <c r="AI345" s="268" t="str">
        <f t="shared" si="406"/>
        <v/>
      </c>
      <c r="AJ345" s="268" t="str">
        <f t="shared" si="406"/>
        <v/>
      </c>
      <c r="AK345" s="268" t="str">
        <f t="shared" si="406"/>
        <v/>
      </c>
      <c r="AL345" s="268" t="str">
        <f t="shared" si="406"/>
        <v/>
      </c>
      <c r="AM345" s="268" t="str">
        <f t="shared" si="406"/>
        <v/>
      </c>
      <c r="AN345" s="268" t="str">
        <f t="shared" si="406"/>
        <v/>
      </c>
      <c r="AO345" s="268" t="str">
        <f t="shared" si="406"/>
        <v/>
      </c>
      <c r="AP345" s="268" t="str">
        <f t="shared" si="406"/>
        <v/>
      </c>
      <c r="AQ345" s="268" t="str">
        <f t="shared" si="406"/>
        <v/>
      </c>
      <c r="AR345" s="268" t="str">
        <f t="shared" si="406"/>
        <v/>
      </c>
      <c r="AS345" s="268" t="str">
        <f t="shared" si="406"/>
        <v/>
      </c>
      <c r="AT345" s="268" t="str">
        <f t="shared" si="406"/>
        <v/>
      </c>
      <c r="AU345" s="268" t="str">
        <f t="shared" si="406"/>
        <v/>
      </c>
      <c r="AV345" s="268" t="str">
        <f t="shared" si="406"/>
        <v/>
      </c>
      <c r="AW345" s="268" t="str">
        <f t="shared" si="406"/>
        <v/>
      </c>
      <c r="AX345" s="268" t="str">
        <f t="shared" si="406"/>
        <v/>
      </c>
      <c r="AY345" s="268" t="str">
        <f t="shared" si="406"/>
        <v/>
      </c>
      <c r="AZ345" s="268" t="str">
        <f t="shared" si="406"/>
        <v/>
      </c>
      <c r="BA345" s="268" t="str">
        <f t="shared" si="406"/>
        <v/>
      </c>
      <c r="BB345" s="268" t="str">
        <f t="shared" si="406"/>
        <v/>
      </c>
      <c r="BC345" s="268" t="str">
        <f t="shared" si="406"/>
        <v/>
      </c>
      <c r="BD345" s="268" t="str">
        <f t="shared" si="406"/>
        <v/>
      </c>
      <c r="BE345" s="268" t="str">
        <f t="shared" si="406"/>
        <v/>
      </c>
      <c r="BF345" s="268" t="str">
        <f t="shared" si="406"/>
        <v/>
      </c>
      <c r="BG345" s="268" t="str">
        <f t="shared" si="406"/>
        <v/>
      </c>
      <c r="BH345" s="268" t="str">
        <f t="shared" si="406"/>
        <v/>
      </c>
      <c r="BI345" s="268" t="str">
        <f t="shared" si="406"/>
        <v/>
      </c>
      <c r="BJ345" s="268" t="str">
        <f t="shared" si="406"/>
        <v/>
      </c>
      <c r="BK345" s="268" t="str">
        <f t="shared" si="406"/>
        <v/>
      </c>
      <c r="BL345" s="268" t="str">
        <f t="shared" si="406"/>
        <v/>
      </c>
      <c r="BM345" s="268" t="str">
        <f t="shared" si="406"/>
        <v/>
      </c>
      <c r="BN345" s="268" t="str">
        <f t="shared" si="406"/>
        <v/>
      </c>
      <c r="BO345" s="268" t="str">
        <f t="shared" si="406"/>
        <v/>
      </c>
      <c r="BP345" s="268" t="str">
        <f t="shared" si="406"/>
        <v/>
      </c>
      <c r="BQ345" s="268" t="str">
        <f t="shared" si="406"/>
        <v/>
      </c>
      <c r="BR345" s="268" t="str">
        <f t="shared" si="406"/>
        <v/>
      </c>
      <c r="BS345" s="268" t="str">
        <f t="shared" si="406"/>
        <v/>
      </c>
      <c r="BT345" s="268" t="str">
        <f t="shared" si="406"/>
        <v/>
      </c>
      <c r="BU345" s="268" t="str">
        <f t="shared" si="385"/>
        <v/>
      </c>
      <c r="BV345" s="247">
        <v>0.92</v>
      </c>
      <c r="BW345" s="729">
        <f t="shared" si="366"/>
        <v>353.28</v>
      </c>
      <c r="BX345" s="730">
        <f t="shared" si="367"/>
        <v>2737.92</v>
      </c>
      <c r="BY345" s="731" t="str">
        <f t="shared" si="368"/>
        <v>SR</v>
      </c>
    </row>
    <row r="346" s="698" customFormat="1" customHeight="1" spans="1:77">
      <c r="A346" s="208">
        <v>46093</v>
      </c>
      <c r="B346" s="208">
        <v>46147</v>
      </c>
      <c r="C346" s="211" t="s">
        <v>547</v>
      </c>
      <c r="D346" s="211" t="s">
        <v>548</v>
      </c>
      <c r="E346" s="211" t="s">
        <v>66</v>
      </c>
      <c r="F346" s="732">
        <v>78</v>
      </c>
      <c r="G346" s="211" t="s">
        <v>510</v>
      </c>
      <c r="H346" s="211" t="str">
        <f>IFERROR(VLOOKUP(E346,名称!A:E,4,0),"")</f>
        <v>三代</v>
      </c>
      <c r="I346" s="268" t="str">
        <f t="shared" ref="I346:BT346" si="407">IF(OR($E346="",I$1=""),"",IF(TRIM(LEFT($E346,MIN(IFERROR(FIND("CDU",UPPER($E346)),999),IFERROR(FIND("BULK",UPPER($E346)),999),IFERROR(FIND("-",$E346),999),IFERROR(FIND("（",$E346),999))-1))=I$1,$F346,""))</f>
        <v/>
      </c>
      <c r="J346" s="268" t="str">
        <f t="shared" si="407"/>
        <v/>
      </c>
      <c r="K346" s="268" t="str">
        <f t="shared" si="407"/>
        <v/>
      </c>
      <c r="L346" s="268" t="str">
        <f t="shared" si="407"/>
        <v/>
      </c>
      <c r="M346" s="268" t="str">
        <f t="shared" si="407"/>
        <v/>
      </c>
      <c r="N346" s="268" t="str">
        <f t="shared" si="407"/>
        <v/>
      </c>
      <c r="O346" s="268" t="str">
        <f t="shared" si="407"/>
        <v/>
      </c>
      <c r="P346" s="268" t="str">
        <f t="shared" si="407"/>
        <v/>
      </c>
      <c r="Q346" s="268" t="str">
        <f t="shared" si="407"/>
        <v/>
      </c>
      <c r="R346" s="268" t="str">
        <f t="shared" si="407"/>
        <v/>
      </c>
      <c r="S346" s="268" t="str">
        <f t="shared" si="407"/>
        <v/>
      </c>
      <c r="T346" s="268" t="str">
        <f t="shared" si="407"/>
        <v/>
      </c>
      <c r="U346" s="268" t="str">
        <f t="shared" si="407"/>
        <v/>
      </c>
      <c r="V346" s="268" t="str">
        <f t="shared" si="407"/>
        <v/>
      </c>
      <c r="W346" s="268" t="str">
        <f t="shared" si="407"/>
        <v/>
      </c>
      <c r="X346" s="268" t="str">
        <f t="shared" si="407"/>
        <v/>
      </c>
      <c r="Y346" s="268" t="str">
        <f t="shared" si="407"/>
        <v/>
      </c>
      <c r="Z346" s="268" t="str">
        <f t="shared" si="407"/>
        <v/>
      </c>
      <c r="AA346" s="268" t="str">
        <f t="shared" si="407"/>
        <v/>
      </c>
      <c r="AB346" s="268" t="str">
        <f t="shared" si="407"/>
        <v/>
      </c>
      <c r="AC346" s="268" t="str">
        <f t="shared" si="407"/>
        <v/>
      </c>
      <c r="AD346" s="268" t="str">
        <f t="shared" si="407"/>
        <v/>
      </c>
      <c r="AE346" s="268" t="str">
        <f t="shared" si="407"/>
        <v/>
      </c>
      <c r="AF346" s="268" t="str">
        <f t="shared" si="407"/>
        <v/>
      </c>
      <c r="AG346" s="268">
        <f t="shared" si="407"/>
        <v>78</v>
      </c>
      <c r="AH346" s="268" t="str">
        <f t="shared" si="407"/>
        <v/>
      </c>
      <c r="AI346" s="268" t="str">
        <f t="shared" si="407"/>
        <v/>
      </c>
      <c r="AJ346" s="268" t="str">
        <f t="shared" si="407"/>
        <v/>
      </c>
      <c r="AK346" s="268" t="str">
        <f t="shared" si="407"/>
        <v/>
      </c>
      <c r="AL346" s="268" t="str">
        <f t="shared" si="407"/>
        <v/>
      </c>
      <c r="AM346" s="268" t="str">
        <f t="shared" si="407"/>
        <v/>
      </c>
      <c r="AN346" s="268" t="str">
        <f t="shared" si="407"/>
        <v/>
      </c>
      <c r="AO346" s="268" t="str">
        <f t="shared" si="407"/>
        <v/>
      </c>
      <c r="AP346" s="268" t="str">
        <f t="shared" si="407"/>
        <v/>
      </c>
      <c r="AQ346" s="268" t="str">
        <f t="shared" si="407"/>
        <v/>
      </c>
      <c r="AR346" s="268" t="str">
        <f t="shared" si="407"/>
        <v/>
      </c>
      <c r="AS346" s="268" t="str">
        <f t="shared" si="407"/>
        <v/>
      </c>
      <c r="AT346" s="268" t="str">
        <f t="shared" si="407"/>
        <v/>
      </c>
      <c r="AU346" s="268" t="str">
        <f t="shared" si="407"/>
        <v/>
      </c>
      <c r="AV346" s="268" t="str">
        <f t="shared" si="407"/>
        <v/>
      </c>
      <c r="AW346" s="268" t="str">
        <f t="shared" si="407"/>
        <v/>
      </c>
      <c r="AX346" s="268" t="str">
        <f t="shared" si="407"/>
        <v/>
      </c>
      <c r="AY346" s="268" t="str">
        <f t="shared" si="407"/>
        <v/>
      </c>
      <c r="AZ346" s="268" t="str">
        <f t="shared" si="407"/>
        <v/>
      </c>
      <c r="BA346" s="268" t="str">
        <f t="shared" si="407"/>
        <v/>
      </c>
      <c r="BB346" s="268" t="str">
        <f t="shared" si="407"/>
        <v/>
      </c>
      <c r="BC346" s="268" t="str">
        <f t="shared" si="407"/>
        <v/>
      </c>
      <c r="BD346" s="268" t="str">
        <f t="shared" si="407"/>
        <v/>
      </c>
      <c r="BE346" s="268" t="str">
        <f t="shared" si="407"/>
        <v/>
      </c>
      <c r="BF346" s="268" t="str">
        <f t="shared" si="407"/>
        <v/>
      </c>
      <c r="BG346" s="268" t="str">
        <f t="shared" si="407"/>
        <v/>
      </c>
      <c r="BH346" s="268" t="str">
        <f t="shared" si="407"/>
        <v/>
      </c>
      <c r="BI346" s="268" t="str">
        <f t="shared" si="407"/>
        <v/>
      </c>
      <c r="BJ346" s="268" t="str">
        <f t="shared" si="407"/>
        <v/>
      </c>
      <c r="BK346" s="268" t="str">
        <f t="shared" si="407"/>
        <v/>
      </c>
      <c r="BL346" s="268" t="str">
        <f t="shared" si="407"/>
        <v/>
      </c>
      <c r="BM346" s="268" t="str">
        <f t="shared" si="407"/>
        <v/>
      </c>
      <c r="BN346" s="268" t="str">
        <f t="shared" si="407"/>
        <v/>
      </c>
      <c r="BO346" s="268" t="str">
        <f t="shared" si="407"/>
        <v/>
      </c>
      <c r="BP346" s="268" t="str">
        <f t="shared" si="407"/>
        <v/>
      </c>
      <c r="BQ346" s="268" t="str">
        <f t="shared" si="407"/>
        <v/>
      </c>
      <c r="BR346" s="268" t="str">
        <f t="shared" si="407"/>
        <v/>
      </c>
      <c r="BS346" s="268" t="str">
        <f t="shared" si="407"/>
        <v/>
      </c>
      <c r="BT346" s="268" t="str">
        <f t="shared" si="407"/>
        <v/>
      </c>
      <c r="BU346" s="268" t="str">
        <f t="shared" si="385"/>
        <v/>
      </c>
      <c r="BV346" s="247">
        <v>2.09</v>
      </c>
      <c r="BW346" s="729">
        <f t="shared" si="366"/>
        <v>163.02</v>
      </c>
      <c r="BX346" s="730">
        <f t="shared" si="367"/>
        <v>1263.41</v>
      </c>
      <c r="BY346" s="731" t="str">
        <f t="shared" si="368"/>
        <v>SR</v>
      </c>
    </row>
    <row r="347" s="698" customFormat="1" customHeight="1" spans="1:77">
      <c r="A347" s="208">
        <v>46093</v>
      </c>
      <c r="B347" s="208">
        <v>46147</v>
      </c>
      <c r="C347" s="211" t="s">
        <v>547</v>
      </c>
      <c r="D347" s="211" t="s">
        <v>548</v>
      </c>
      <c r="E347" s="211" t="s">
        <v>68</v>
      </c>
      <c r="F347" s="732">
        <v>76</v>
      </c>
      <c r="G347" s="211" t="s">
        <v>510</v>
      </c>
      <c r="H347" s="211" t="str">
        <f>IFERROR(VLOOKUP(E347,名称!A:E,4,0),"")</f>
        <v>三代</v>
      </c>
      <c r="I347" s="268" t="str">
        <f t="shared" ref="I347:BT347" si="408">IF(OR($E347="",I$1=""),"",IF(TRIM(LEFT($E347,MIN(IFERROR(FIND("CDU",UPPER($E347)),999),IFERROR(FIND("BULK",UPPER($E347)),999),IFERROR(FIND("-",$E347),999),IFERROR(FIND("（",$E347),999))-1))=I$1,$F347,""))</f>
        <v/>
      </c>
      <c r="J347" s="268" t="str">
        <f t="shared" si="408"/>
        <v/>
      </c>
      <c r="K347" s="268" t="str">
        <f t="shared" si="408"/>
        <v/>
      </c>
      <c r="L347" s="268" t="str">
        <f t="shared" si="408"/>
        <v/>
      </c>
      <c r="M347" s="268" t="str">
        <f t="shared" si="408"/>
        <v/>
      </c>
      <c r="N347" s="268" t="str">
        <f t="shared" si="408"/>
        <v/>
      </c>
      <c r="O347" s="268" t="str">
        <f t="shared" si="408"/>
        <v/>
      </c>
      <c r="P347" s="268" t="str">
        <f t="shared" si="408"/>
        <v/>
      </c>
      <c r="Q347" s="268" t="str">
        <f t="shared" si="408"/>
        <v/>
      </c>
      <c r="R347" s="268" t="str">
        <f t="shared" si="408"/>
        <v/>
      </c>
      <c r="S347" s="268" t="str">
        <f t="shared" si="408"/>
        <v/>
      </c>
      <c r="T347" s="268" t="str">
        <f t="shared" si="408"/>
        <v/>
      </c>
      <c r="U347" s="268" t="str">
        <f t="shared" si="408"/>
        <v/>
      </c>
      <c r="V347" s="268" t="str">
        <f t="shared" si="408"/>
        <v/>
      </c>
      <c r="W347" s="268" t="str">
        <f t="shared" si="408"/>
        <v/>
      </c>
      <c r="X347" s="268" t="str">
        <f t="shared" si="408"/>
        <v/>
      </c>
      <c r="Y347" s="268" t="str">
        <f t="shared" si="408"/>
        <v/>
      </c>
      <c r="Z347" s="268" t="str">
        <f t="shared" si="408"/>
        <v/>
      </c>
      <c r="AA347" s="268" t="str">
        <f t="shared" si="408"/>
        <v/>
      </c>
      <c r="AB347" s="268" t="str">
        <f t="shared" si="408"/>
        <v/>
      </c>
      <c r="AC347" s="268" t="str">
        <f t="shared" si="408"/>
        <v/>
      </c>
      <c r="AD347" s="268" t="str">
        <f t="shared" si="408"/>
        <v/>
      </c>
      <c r="AE347" s="268" t="str">
        <f t="shared" si="408"/>
        <v/>
      </c>
      <c r="AF347" s="268" t="str">
        <f t="shared" si="408"/>
        <v/>
      </c>
      <c r="AG347" s="268" t="str">
        <f t="shared" si="408"/>
        <v/>
      </c>
      <c r="AH347" s="268">
        <f t="shared" si="408"/>
        <v>76</v>
      </c>
      <c r="AI347" s="268" t="str">
        <f t="shared" si="408"/>
        <v/>
      </c>
      <c r="AJ347" s="268" t="str">
        <f t="shared" si="408"/>
        <v/>
      </c>
      <c r="AK347" s="268" t="str">
        <f t="shared" si="408"/>
        <v/>
      </c>
      <c r="AL347" s="268" t="str">
        <f t="shared" si="408"/>
        <v/>
      </c>
      <c r="AM347" s="268" t="str">
        <f t="shared" si="408"/>
        <v/>
      </c>
      <c r="AN347" s="268" t="str">
        <f t="shared" si="408"/>
        <v/>
      </c>
      <c r="AO347" s="268" t="str">
        <f t="shared" si="408"/>
        <v/>
      </c>
      <c r="AP347" s="268" t="str">
        <f t="shared" si="408"/>
        <v/>
      </c>
      <c r="AQ347" s="268" t="str">
        <f t="shared" si="408"/>
        <v/>
      </c>
      <c r="AR347" s="268" t="str">
        <f t="shared" si="408"/>
        <v/>
      </c>
      <c r="AS347" s="268" t="str">
        <f t="shared" si="408"/>
        <v/>
      </c>
      <c r="AT347" s="268" t="str">
        <f t="shared" si="408"/>
        <v/>
      </c>
      <c r="AU347" s="268" t="str">
        <f t="shared" si="408"/>
        <v/>
      </c>
      <c r="AV347" s="268" t="str">
        <f t="shared" si="408"/>
        <v/>
      </c>
      <c r="AW347" s="268" t="str">
        <f t="shared" si="408"/>
        <v/>
      </c>
      <c r="AX347" s="268" t="str">
        <f t="shared" si="408"/>
        <v/>
      </c>
      <c r="AY347" s="268" t="str">
        <f t="shared" si="408"/>
        <v/>
      </c>
      <c r="AZ347" s="268" t="str">
        <f t="shared" si="408"/>
        <v/>
      </c>
      <c r="BA347" s="268" t="str">
        <f t="shared" si="408"/>
        <v/>
      </c>
      <c r="BB347" s="268" t="str">
        <f t="shared" si="408"/>
        <v/>
      </c>
      <c r="BC347" s="268" t="str">
        <f t="shared" si="408"/>
        <v/>
      </c>
      <c r="BD347" s="268" t="str">
        <f t="shared" si="408"/>
        <v/>
      </c>
      <c r="BE347" s="268" t="str">
        <f t="shared" si="408"/>
        <v/>
      </c>
      <c r="BF347" s="268" t="str">
        <f t="shared" si="408"/>
        <v/>
      </c>
      <c r="BG347" s="268" t="str">
        <f t="shared" si="408"/>
        <v/>
      </c>
      <c r="BH347" s="268" t="str">
        <f t="shared" si="408"/>
        <v/>
      </c>
      <c r="BI347" s="268" t="str">
        <f t="shared" si="408"/>
        <v/>
      </c>
      <c r="BJ347" s="268" t="str">
        <f t="shared" si="408"/>
        <v/>
      </c>
      <c r="BK347" s="268" t="str">
        <f t="shared" si="408"/>
        <v/>
      </c>
      <c r="BL347" s="268" t="str">
        <f t="shared" si="408"/>
        <v/>
      </c>
      <c r="BM347" s="268" t="str">
        <f t="shared" si="408"/>
        <v/>
      </c>
      <c r="BN347" s="268" t="str">
        <f t="shared" si="408"/>
        <v/>
      </c>
      <c r="BO347" s="268" t="str">
        <f t="shared" si="408"/>
        <v/>
      </c>
      <c r="BP347" s="268" t="str">
        <f t="shared" si="408"/>
        <v/>
      </c>
      <c r="BQ347" s="268" t="str">
        <f t="shared" si="408"/>
        <v/>
      </c>
      <c r="BR347" s="268" t="str">
        <f t="shared" si="408"/>
        <v/>
      </c>
      <c r="BS347" s="268" t="str">
        <f t="shared" si="408"/>
        <v/>
      </c>
      <c r="BT347" s="268" t="str">
        <f t="shared" si="408"/>
        <v/>
      </c>
      <c r="BU347" s="268" t="str">
        <f t="shared" si="385"/>
        <v/>
      </c>
      <c r="BV347" s="247">
        <v>3.23</v>
      </c>
      <c r="BW347" s="729">
        <f t="shared" si="366"/>
        <v>245.48</v>
      </c>
      <c r="BX347" s="730">
        <f t="shared" si="367"/>
        <v>1902.47</v>
      </c>
      <c r="BY347" s="731" t="str">
        <f t="shared" si="368"/>
        <v>SR</v>
      </c>
    </row>
    <row r="348" s="698" customFormat="1" customHeight="1" spans="1:77">
      <c r="A348" s="208">
        <v>46093</v>
      </c>
      <c r="B348" s="208">
        <v>46147</v>
      </c>
      <c r="C348" s="211" t="s">
        <v>547</v>
      </c>
      <c r="D348" s="211" t="s">
        <v>548</v>
      </c>
      <c r="E348" s="211" t="s">
        <v>72</v>
      </c>
      <c r="F348" s="732">
        <v>216</v>
      </c>
      <c r="G348" s="211" t="s">
        <v>510</v>
      </c>
      <c r="H348" s="211" t="str">
        <f>IFERROR(VLOOKUP(E348,名称!A:E,4,0),"")</f>
        <v>三代</v>
      </c>
      <c r="I348" s="268" t="str">
        <f t="shared" ref="I348:BT348" si="409">IF(OR($E348="",I$1=""),"",IF(TRIM(LEFT($E348,MIN(IFERROR(FIND("CDU",UPPER($E348)),999),IFERROR(FIND("BULK",UPPER($E348)),999),IFERROR(FIND("-",$E348),999),IFERROR(FIND("（",$E348),999))-1))=I$1,$F348,""))</f>
        <v/>
      </c>
      <c r="J348" s="268" t="str">
        <f t="shared" si="409"/>
        <v/>
      </c>
      <c r="K348" s="268" t="str">
        <f t="shared" si="409"/>
        <v/>
      </c>
      <c r="L348" s="268" t="str">
        <f t="shared" si="409"/>
        <v/>
      </c>
      <c r="M348" s="268" t="str">
        <f t="shared" si="409"/>
        <v/>
      </c>
      <c r="N348" s="268" t="str">
        <f t="shared" si="409"/>
        <v/>
      </c>
      <c r="O348" s="268" t="str">
        <f t="shared" si="409"/>
        <v/>
      </c>
      <c r="P348" s="268" t="str">
        <f t="shared" si="409"/>
        <v/>
      </c>
      <c r="Q348" s="268" t="str">
        <f t="shared" si="409"/>
        <v/>
      </c>
      <c r="R348" s="268" t="str">
        <f t="shared" si="409"/>
        <v/>
      </c>
      <c r="S348" s="268" t="str">
        <f t="shared" si="409"/>
        <v/>
      </c>
      <c r="T348" s="268" t="str">
        <f t="shared" si="409"/>
        <v/>
      </c>
      <c r="U348" s="268" t="str">
        <f t="shared" si="409"/>
        <v/>
      </c>
      <c r="V348" s="268" t="str">
        <f t="shared" si="409"/>
        <v/>
      </c>
      <c r="W348" s="268" t="str">
        <f t="shared" si="409"/>
        <v/>
      </c>
      <c r="X348" s="268" t="str">
        <f t="shared" si="409"/>
        <v/>
      </c>
      <c r="Y348" s="268" t="str">
        <f t="shared" si="409"/>
        <v/>
      </c>
      <c r="Z348" s="268" t="str">
        <f t="shared" si="409"/>
        <v/>
      </c>
      <c r="AA348" s="268" t="str">
        <f t="shared" si="409"/>
        <v/>
      </c>
      <c r="AB348" s="268" t="str">
        <f t="shared" si="409"/>
        <v/>
      </c>
      <c r="AC348" s="268" t="str">
        <f t="shared" si="409"/>
        <v/>
      </c>
      <c r="AD348" s="268" t="str">
        <f t="shared" si="409"/>
        <v/>
      </c>
      <c r="AE348" s="268" t="str">
        <f t="shared" si="409"/>
        <v/>
      </c>
      <c r="AF348" s="268" t="str">
        <f t="shared" si="409"/>
        <v/>
      </c>
      <c r="AG348" s="268" t="str">
        <f t="shared" si="409"/>
        <v/>
      </c>
      <c r="AH348" s="268" t="str">
        <f t="shared" si="409"/>
        <v/>
      </c>
      <c r="AI348" s="268" t="str">
        <f t="shared" si="409"/>
        <v/>
      </c>
      <c r="AJ348" s="268" t="str">
        <f t="shared" si="409"/>
        <v/>
      </c>
      <c r="AK348" s="268" t="str">
        <f t="shared" si="409"/>
        <v/>
      </c>
      <c r="AL348" s="268">
        <f t="shared" si="409"/>
        <v>216</v>
      </c>
      <c r="AM348" s="268" t="str">
        <f t="shared" si="409"/>
        <v/>
      </c>
      <c r="AN348" s="268" t="str">
        <f t="shared" si="409"/>
        <v/>
      </c>
      <c r="AO348" s="268" t="str">
        <f t="shared" si="409"/>
        <v/>
      </c>
      <c r="AP348" s="268" t="str">
        <f t="shared" si="409"/>
        <v/>
      </c>
      <c r="AQ348" s="268" t="str">
        <f t="shared" si="409"/>
        <v/>
      </c>
      <c r="AR348" s="268" t="str">
        <f t="shared" si="409"/>
        <v/>
      </c>
      <c r="AS348" s="268" t="str">
        <f t="shared" si="409"/>
        <v/>
      </c>
      <c r="AT348" s="268" t="str">
        <f t="shared" si="409"/>
        <v/>
      </c>
      <c r="AU348" s="268" t="str">
        <f t="shared" si="409"/>
        <v/>
      </c>
      <c r="AV348" s="268" t="str">
        <f t="shared" si="409"/>
        <v/>
      </c>
      <c r="AW348" s="268" t="str">
        <f t="shared" si="409"/>
        <v/>
      </c>
      <c r="AX348" s="268" t="str">
        <f t="shared" si="409"/>
        <v/>
      </c>
      <c r="AY348" s="268" t="str">
        <f t="shared" si="409"/>
        <v/>
      </c>
      <c r="AZ348" s="268" t="str">
        <f t="shared" si="409"/>
        <v/>
      </c>
      <c r="BA348" s="268" t="str">
        <f t="shared" si="409"/>
        <v/>
      </c>
      <c r="BB348" s="268" t="str">
        <f t="shared" si="409"/>
        <v/>
      </c>
      <c r="BC348" s="268" t="str">
        <f t="shared" si="409"/>
        <v/>
      </c>
      <c r="BD348" s="268" t="str">
        <f t="shared" si="409"/>
        <v/>
      </c>
      <c r="BE348" s="268" t="str">
        <f t="shared" si="409"/>
        <v/>
      </c>
      <c r="BF348" s="268" t="str">
        <f t="shared" si="409"/>
        <v/>
      </c>
      <c r="BG348" s="268" t="str">
        <f t="shared" si="409"/>
        <v/>
      </c>
      <c r="BH348" s="268" t="str">
        <f t="shared" si="409"/>
        <v/>
      </c>
      <c r="BI348" s="268" t="str">
        <f t="shared" si="409"/>
        <v/>
      </c>
      <c r="BJ348" s="268" t="str">
        <f t="shared" si="409"/>
        <v/>
      </c>
      <c r="BK348" s="268" t="str">
        <f t="shared" si="409"/>
        <v/>
      </c>
      <c r="BL348" s="268" t="str">
        <f t="shared" si="409"/>
        <v/>
      </c>
      <c r="BM348" s="268" t="str">
        <f t="shared" si="409"/>
        <v/>
      </c>
      <c r="BN348" s="268" t="str">
        <f t="shared" si="409"/>
        <v/>
      </c>
      <c r="BO348" s="268" t="str">
        <f t="shared" si="409"/>
        <v/>
      </c>
      <c r="BP348" s="268" t="str">
        <f t="shared" si="409"/>
        <v/>
      </c>
      <c r="BQ348" s="268" t="str">
        <f t="shared" si="409"/>
        <v/>
      </c>
      <c r="BR348" s="268" t="str">
        <f t="shared" si="409"/>
        <v/>
      </c>
      <c r="BS348" s="268" t="str">
        <f t="shared" si="409"/>
        <v/>
      </c>
      <c r="BT348" s="268" t="str">
        <f t="shared" si="409"/>
        <v/>
      </c>
      <c r="BU348" s="268" t="str">
        <f t="shared" si="385"/>
        <v/>
      </c>
      <c r="BV348" s="247">
        <v>1.65</v>
      </c>
      <c r="BW348" s="729">
        <f t="shared" si="366"/>
        <v>356.4</v>
      </c>
      <c r="BX348" s="730">
        <f t="shared" si="367"/>
        <v>2762.1</v>
      </c>
      <c r="BY348" s="731" t="str">
        <f t="shared" si="368"/>
        <v>SR</v>
      </c>
    </row>
    <row r="349" s="698" customFormat="1" customHeight="1" spans="1:77">
      <c r="A349" s="208">
        <v>46093</v>
      </c>
      <c r="B349" s="208">
        <v>46147</v>
      </c>
      <c r="C349" s="211" t="s">
        <v>547</v>
      </c>
      <c r="D349" s="211" t="s">
        <v>548</v>
      </c>
      <c r="E349" s="211" t="s">
        <v>112</v>
      </c>
      <c r="F349" s="732">
        <v>76</v>
      </c>
      <c r="G349" s="211" t="s">
        <v>510</v>
      </c>
      <c r="H349" s="211" t="str">
        <f>IFERROR(VLOOKUP(E349,名称!A:E,4,0),"")</f>
        <v>三代</v>
      </c>
      <c r="I349" s="268" t="str">
        <f t="shared" ref="I349:BT349" si="410">IF(OR($E349="",I$1=""),"",IF(TRIM(LEFT($E349,MIN(IFERROR(FIND("CDU",UPPER($E349)),999),IFERROR(FIND("BULK",UPPER($E349)),999),IFERROR(FIND("-",$E349),999),IFERROR(FIND("（",$E349),999))-1))=I$1,$F349,""))</f>
        <v/>
      </c>
      <c r="J349" s="268" t="str">
        <f t="shared" si="410"/>
        <v/>
      </c>
      <c r="K349" s="268" t="str">
        <f t="shared" si="410"/>
        <v/>
      </c>
      <c r="L349" s="268" t="str">
        <f t="shared" si="410"/>
        <v/>
      </c>
      <c r="M349" s="268" t="str">
        <f t="shared" si="410"/>
        <v/>
      </c>
      <c r="N349" s="268" t="str">
        <f t="shared" si="410"/>
        <v/>
      </c>
      <c r="O349" s="268" t="str">
        <f t="shared" si="410"/>
        <v/>
      </c>
      <c r="P349" s="268" t="str">
        <f t="shared" si="410"/>
        <v/>
      </c>
      <c r="Q349" s="268" t="str">
        <f t="shared" si="410"/>
        <v/>
      </c>
      <c r="R349" s="268" t="str">
        <f t="shared" si="410"/>
        <v/>
      </c>
      <c r="S349" s="268" t="str">
        <f t="shared" si="410"/>
        <v/>
      </c>
      <c r="T349" s="268" t="str">
        <f t="shared" si="410"/>
        <v/>
      </c>
      <c r="U349" s="268" t="str">
        <f t="shared" si="410"/>
        <v/>
      </c>
      <c r="V349" s="268" t="str">
        <f t="shared" si="410"/>
        <v/>
      </c>
      <c r="W349" s="268" t="str">
        <f t="shared" si="410"/>
        <v/>
      </c>
      <c r="X349" s="268" t="str">
        <f t="shared" si="410"/>
        <v/>
      </c>
      <c r="Y349" s="268" t="str">
        <f t="shared" si="410"/>
        <v/>
      </c>
      <c r="Z349" s="268" t="str">
        <f t="shared" si="410"/>
        <v/>
      </c>
      <c r="AA349" s="268" t="str">
        <f t="shared" si="410"/>
        <v/>
      </c>
      <c r="AB349" s="268" t="str">
        <f t="shared" si="410"/>
        <v/>
      </c>
      <c r="AC349" s="268" t="str">
        <f t="shared" si="410"/>
        <v/>
      </c>
      <c r="AD349" s="268" t="str">
        <f t="shared" si="410"/>
        <v/>
      </c>
      <c r="AE349" s="268" t="str">
        <f t="shared" si="410"/>
        <v/>
      </c>
      <c r="AF349" s="268" t="str">
        <f t="shared" si="410"/>
        <v/>
      </c>
      <c r="AG349" s="268" t="str">
        <f t="shared" si="410"/>
        <v/>
      </c>
      <c r="AH349" s="268" t="str">
        <f t="shared" si="410"/>
        <v/>
      </c>
      <c r="AI349" s="268">
        <f t="shared" si="410"/>
        <v>76</v>
      </c>
      <c r="AJ349" s="268" t="str">
        <f t="shared" si="410"/>
        <v/>
      </c>
      <c r="AK349" s="268" t="str">
        <f t="shared" si="410"/>
        <v/>
      </c>
      <c r="AL349" s="268" t="str">
        <f t="shared" si="410"/>
        <v/>
      </c>
      <c r="AM349" s="268" t="str">
        <f t="shared" si="410"/>
        <v/>
      </c>
      <c r="AN349" s="268" t="str">
        <f t="shared" si="410"/>
        <v/>
      </c>
      <c r="AO349" s="268" t="str">
        <f t="shared" si="410"/>
        <v/>
      </c>
      <c r="AP349" s="268" t="str">
        <f t="shared" si="410"/>
        <v/>
      </c>
      <c r="AQ349" s="268" t="str">
        <f t="shared" si="410"/>
        <v/>
      </c>
      <c r="AR349" s="268" t="str">
        <f t="shared" si="410"/>
        <v/>
      </c>
      <c r="AS349" s="268" t="str">
        <f t="shared" si="410"/>
        <v/>
      </c>
      <c r="AT349" s="268" t="str">
        <f t="shared" si="410"/>
        <v/>
      </c>
      <c r="AU349" s="268" t="str">
        <f t="shared" si="410"/>
        <v/>
      </c>
      <c r="AV349" s="268" t="str">
        <f t="shared" si="410"/>
        <v/>
      </c>
      <c r="AW349" s="268" t="str">
        <f t="shared" si="410"/>
        <v/>
      </c>
      <c r="AX349" s="268" t="str">
        <f t="shared" si="410"/>
        <v/>
      </c>
      <c r="AY349" s="268" t="str">
        <f t="shared" si="410"/>
        <v/>
      </c>
      <c r="AZ349" s="268" t="str">
        <f t="shared" si="410"/>
        <v/>
      </c>
      <c r="BA349" s="268" t="str">
        <f t="shared" si="410"/>
        <v/>
      </c>
      <c r="BB349" s="268" t="str">
        <f t="shared" si="410"/>
        <v/>
      </c>
      <c r="BC349" s="268" t="str">
        <f t="shared" si="410"/>
        <v/>
      </c>
      <c r="BD349" s="268" t="str">
        <f t="shared" si="410"/>
        <v/>
      </c>
      <c r="BE349" s="268" t="str">
        <f t="shared" si="410"/>
        <v/>
      </c>
      <c r="BF349" s="268" t="str">
        <f t="shared" si="410"/>
        <v/>
      </c>
      <c r="BG349" s="268" t="str">
        <f t="shared" si="410"/>
        <v/>
      </c>
      <c r="BH349" s="268" t="str">
        <f t="shared" si="410"/>
        <v/>
      </c>
      <c r="BI349" s="268" t="str">
        <f t="shared" si="410"/>
        <v/>
      </c>
      <c r="BJ349" s="268" t="str">
        <f t="shared" si="410"/>
        <v/>
      </c>
      <c r="BK349" s="268" t="str">
        <f t="shared" si="410"/>
        <v/>
      </c>
      <c r="BL349" s="268" t="str">
        <f t="shared" si="410"/>
        <v/>
      </c>
      <c r="BM349" s="268" t="str">
        <f t="shared" si="410"/>
        <v/>
      </c>
      <c r="BN349" s="268" t="str">
        <f t="shared" si="410"/>
        <v/>
      </c>
      <c r="BO349" s="268" t="str">
        <f t="shared" si="410"/>
        <v/>
      </c>
      <c r="BP349" s="268" t="str">
        <f t="shared" si="410"/>
        <v/>
      </c>
      <c r="BQ349" s="268" t="str">
        <f t="shared" si="410"/>
        <v/>
      </c>
      <c r="BR349" s="268" t="str">
        <f t="shared" si="410"/>
        <v/>
      </c>
      <c r="BS349" s="268" t="str">
        <f t="shared" si="410"/>
        <v/>
      </c>
      <c r="BT349" s="268" t="str">
        <f t="shared" si="410"/>
        <v/>
      </c>
      <c r="BU349" s="268" t="str">
        <f t="shared" si="385"/>
        <v/>
      </c>
      <c r="BV349" s="247">
        <v>9.95</v>
      </c>
      <c r="BW349" s="729">
        <f t="shared" si="366"/>
        <v>756.2</v>
      </c>
      <c r="BX349" s="730">
        <f t="shared" si="367"/>
        <v>5860.55</v>
      </c>
      <c r="BY349" s="731" t="str">
        <f t="shared" si="368"/>
        <v>SR</v>
      </c>
    </row>
    <row r="350" s="698" customFormat="1" customHeight="1" spans="1:77">
      <c r="A350" s="208">
        <v>46093</v>
      </c>
      <c r="B350" s="208">
        <v>46147</v>
      </c>
      <c r="C350" s="211" t="s">
        <v>547</v>
      </c>
      <c r="D350" s="211" t="s">
        <v>548</v>
      </c>
      <c r="E350" s="211" t="s">
        <v>85</v>
      </c>
      <c r="F350" s="732">
        <v>384</v>
      </c>
      <c r="G350" s="211" t="s">
        <v>510</v>
      </c>
      <c r="H350" s="211" t="str">
        <f>IFERROR(VLOOKUP(E350,名称!A:E,4,0),"")</f>
        <v>三代</v>
      </c>
      <c r="I350" s="268" t="str">
        <f t="shared" ref="I350:BT350" si="411">IF(OR($E350="",I$1=""),"",IF(TRIM(LEFT($E350,MIN(IFERROR(FIND("CDU",UPPER($E350)),999),IFERROR(FIND("BULK",UPPER($E350)),999),IFERROR(FIND("-",$E350),999),IFERROR(FIND("（",$E350),999))-1))=I$1,$F350,""))</f>
        <v/>
      </c>
      <c r="J350" s="268" t="str">
        <f t="shared" si="411"/>
        <v/>
      </c>
      <c r="K350" s="268" t="str">
        <f t="shared" si="411"/>
        <v/>
      </c>
      <c r="L350" s="268" t="str">
        <f t="shared" si="411"/>
        <v/>
      </c>
      <c r="M350" s="268" t="str">
        <f t="shared" si="411"/>
        <v/>
      </c>
      <c r="N350" s="268" t="str">
        <f t="shared" si="411"/>
        <v/>
      </c>
      <c r="O350" s="268" t="str">
        <f t="shared" si="411"/>
        <v/>
      </c>
      <c r="P350" s="268" t="str">
        <f t="shared" si="411"/>
        <v/>
      </c>
      <c r="Q350" s="268" t="str">
        <f t="shared" si="411"/>
        <v/>
      </c>
      <c r="R350" s="268" t="str">
        <f t="shared" si="411"/>
        <v/>
      </c>
      <c r="S350" s="268" t="str">
        <f t="shared" si="411"/>
        <v/>
      </c>
      <c r="T350" s="268" t="str">
        <f t="shared" si="411"/>
        <v/>
      </c>
      <c r="U350" s="268" t="str">
        <f t="shared" si="411"/>
        <v/>
      </c>
      <c r="V350" s="268" t="str">
        <f t="shared" si="411"/>
        <v/>
      </c>
      <c r="W350" s="268" t="str">
        <f t="shared" si="411"/>
        <v/>
      </c>
      <c r="X350" s="268" t="str">
        <f t="shared" si="411"/>
        <v/>
      </c>
      <c r="Y350" s="268" t="str">
        <f t="shared" si="411"/>
        <v/>
      </c>
      <c r="Z350" s="268" t="str">
        <f t="shared" si="411"/>
        <v/>
      </c>
      <c r="AA350" s="268" t="str">
        <f t="shared" si="411"/>
        <v/>
      </c>
      <c r="AB350" s="268" t="str">
        <f t="shared" si="411"/>
        <v/>
      </c>
      <c r="AC350" s="268" t="str">
        <f t="shared" si="411"/>
        <v/>
      </c>
      <c r="AD350" s="268" t="str">
        <f t="shared" si="411"/>
        <v/>
      </c>
      <c r="AE350" s="268" t="str">
        <f t="shared" si="411"/>
        <v/>
      </c>
      <c r="AF350" s="268" t="str">
        <f t="shared" si="411"/>
        <v/>
      </c>
      <c r="AG350" s="268" t="str">
        <f t="shared" si="411"/>
        <v/>
      </c>
      <c r="AH350" s="268" t="str">
        <f t="shared" si="411"/>
        <v/>
      </c>
      <c r="AI350" s="268" t="str">
        <f t="shared" si="411"/>
        <v/>
      </c>
      <c r="AJ350" s="268" t="str">
        <f t="shared" si="411"/>
        <v/>
      </c>
      <c r="AK350" s="268" t="str">
        <f t="shared" si="411"/>
        <v/>
      </c>
      <c r="AL350" s="268" t="str">
        <f t="shared" si="411"/>
        <v/>
      </c>
      <c r="AM350" s="268" t="str">
        <f t="shared" si="411"/>
        <v/>
      </c>
      <c r="AN350" s="268">
        <f t="shared" si="411"/>
        <v>384</v>
      </c>
      <c r="AO350" s="268" t="str">
        <f t="shared" si="411"/>
        <v/>
      </c>
      <c r="AP350" s="268" t="str">
        <f t="shared" si="411"/>
        <v/>
      </c>
      <c r="AQ350" s="268" t="str">
        <f t="shared" si="411"/>
        <v/>
      </c>
      <c r="AR350" s="268" t="str">
        <f t="shared" si="411"/>
        <v/>
      </c>
      <c r="AS350" s="268" t="str">
        <f t="shared" si="411"/>
        <v/>
      </c>
      <c r="AT350" s="268" t="str">
        <f t="shared" si="411"/>
        <v/>
      </c>
      <c r="AU350" s="268" t="str">
        <f t="shared" si="411"/>
        <v/>
      </c>
      <c r="AV350" s="268" t="str">
        <f t="shared" si="411"/>
        <v/>
      </c>
      <c r="AW350" s="268" t="str">
        <f t="shared" si="411"/>
        <v/>
      </c>
      <c r="AX350" s="268" t="str">
        <f t="shared" si="411"/>
        <v/>
      </c>
      <c r="AY350" s="268" t="str">
        <f t="shared" si="411"/>
        <v/>
      </c>
      <c r="AZ350" s="268" t="str">
        <f t="shared" si="411"/>
        <v/>
      </c>
      <c r="BA350" s="268" t="str">
        <f t="shared" si="411"/>
        <v/>
      </c>
      <c r="BB350" s="268" t="str">
        <f t="shared" si="411"/>
        <v/>
      </c>
      <c r="BC350" s="268" t="str">
        <f t="shared" si="411"/>
        <v/>
      </c>
      <c r="BD350" s="268" t="str">
        <f t="shared" si="411"/>
        <v/>
      </c>
      <c r="BE350" s="268" t="str">
        <f t="shared" si="411"/>
        <v/>
      </c>
      <c r="BF350" s="268" t="str">
        <f t="shared" si="411"/>
        <v/>
      </c>
      <c r="BG350" s="268" t="str">
        <f t="shared" si="411"/>
        <v/>
      </c>
      <c r="BH350" s="268" t="str">
        <f t="shared" si="411"/>
        <v/>
      </c>
      <c r="BI350" s="268" t="str">
        <f t="shared" si="411"/>
        <v/>
      </c>
      <c r="BJ350" s="268" t="str">
        <f t="shared" si="411"/>
        <v/>
      </c>
      <c r="BK350" s="268" t="str">
        <f t="shared" si="411"/>
        <v/>
      </c>
      <c r="BL350" s="268" t="str">
        <f t="shared" si="411"/>
        <v/>
      </c>
      <c r="BM350" s="268" t="str">
        <f t="shared" si="411"/>
        <v/>
      </c>
      <c r="BN350" s="268" t="str">
        <f t="shared" si="411"/>
        <v/>
      </c>
      <c r="BO350" s="268" t="str">
        <f t="shared" si="411"/>
        <v/>
      </c>
      <c r="BP350" s="268" t="str">
        <f t="shared" si="411"/>
        <v/>
      </c>
      <c r="BQ350" s="268" t="str">
        <f t="shared" si="411"/>
        <v/>
      </c>
      <c r="BR350" s="268" t="str">
        <f t="shared" si="411"/>
        <v/>
      </c>
      <c r="BS350" s="268" t="str">
        <f t="shared" si="411"/>
        <v/>
      </c>
      <c r="BT350" s="268" t="str">
        <f t="shared" si="411"/>
        <v/>
      </c>
      <c r="BU350" s="268" t="str">
        <f t="shared" si="385"/>
        <v/>
      </c>
      <c r="BV350" s="247">
        <v>0.91</v>
      </c>
      <c r="BW350" s="729">
        <f t="shared" si="366"/>
        <v>349.44</v>
      </c>
      <c r="BX350" s="730">
        <f t="shared" si="367"/>
        <v>2708.16</v>
      </c>
      <c r="BY350" s="731" t="str">
        <f t="shared" si="368"/>
        <v>SR</v>
      </c>
    </row>
    <row r="351" s="698" customFormat="1" customHeight="1" spans="1:77">
      <c r="A351" s="208">
        <v>46093</v>
      </c>
      <c r="B351" s="208">
        <v>46147</v>
      </c>
      <c r="C351" s="211" t="s">
        <v>547</v>
      </c>
      <c r="D351" s="211" t="s">
        <v>548</v>
      </c>
      <c r="E351" s="211" t="s">
        <v>98</v>
      </c>
      <c r="F351" s="732">
        <f>72+48</f>
        <v>120</v>
      </c>
      <c r="G351" s="211" t="s">
        <v>510</v>
      </c>
      <c r="H351" s="211" t="str">
        <f>IFERROR(VLOOKUP(E351,名称!A:E,4,0),"")</f>
        <v>三代</v>
      </c>
      <c r="I351" s="268" t="str">
        <f t="shared" ref="I351:BT351" si="412">IF(OR($E351="",I$1=""),"",IF(TRIM(LEFT($E351,MIN(IFERROR(FIND("CDU",UPPER($E351)),999),IFERROR(FIND("BULK",UPPER($E351)),999),IFERROR(FIND("-",$E351),999),IFERROR(FIND("（",$E351),999))-1))=I$1,$F351,""))</f>
        <v/>
      </c>
      <c r="J351" s="268" t="str">
        <f t="shared" si="412"/>
        <v/>
      </c>
      <c r="K351" s="268" t="str">
        <f t="shared" si="412"/>
        <v/>
      </c>
      <c r="L351" s="268" t="str">
        <f t="shared" si="412"/>
        <v/>
      </c>
      <c r="M351" s="268" t="str">
        <f t="shared" si="412"/>
        <v/>
      </c>
      <c r="N351" s="268" t="str">
        <f t="shared" si="412"/>
        <v/>
      </c>
      <c r="O351" s="268" t="str">
        <f t="shared" si="412"/>
        <v/>
      </c>
      <c r="P351" s="268" t="str">
        <f t="shared" si="412"/>
        <v/>
      </c>
      <c r="Q351" s="268" t="str">
        <f t="shared" si="412"/>
        <v/>
      </c>
      <c r="R351" s="268" t="str">
        <f t="shared" si="412"/>
        <v/>
      </c>
      <c r="S351" s="268" t="str">
        <f t="shared" si="412"/>
        <v/>
      </c>
      <c r="T351" s="268" t="str">
        <f t="shared" si="412"/>
        <v/>
      </c>
      <c r="U351" s="268" t="str">
        <f t="shared" si="412"/>
        <v/>
      </c>
      <c r="V351" s="268" t="str">
        <f t="shared" si="412"/>
        <v/>
      </c>
      <c r="W351" s="268" t="str">
        <f t="shared" si="412"/>
        <v/>
      </c>
      <c r="X351" s="268" t="str">
        <f t="shared" si="412"/>
        <v/>
      </c>
      <c r="Y351" s="268" t="str">
        <f t="shared" si="412"/>
        <v/>
      </c>
      <c r="Z351" s="268" t="str">
        <f t="shared" si="412"/>
        <v/>
      </c>
      <c r="AA351" s="268" t="str">
        <f t="shared" si="412"/>
        <v/>
      </c>
      <c r="AB351" s="268" t="str">
        <f t="shared" si="412"/>
        <v/>
      </c>
      <c r="AC351" s="268" t="str">
        <f t="shared" si="412"/>
        <v/>
      </c>
      <c r="AD351" s="268" t="str">
        <f t="shared" si="412"/>
        <v/>
      </c>
      <c r="AE351" s="268" t="str">
        <f t="shared" si="412"/>
        <v/>
      </c>
      <c r="AF351" s="268" t="str">
        <f t="shared" si="412"/>
        <v/>
      </c>
      <c r="AG351" s="268" t="str">
        <f t="shared" si="412"/>
        <v/>
      </c>
      <c r="AH351" s="268" t="str">
        <f t="shared" si="412"/>
        <v/>
      </c>
      <c r="AI351" s="268" t="str">
        <f t="shared" si="412"/>
        <v/>
      </c>
      <c r="AJ351" s="268" t="str">
        <f t="shared" si="412"/>
        <v/>
      </c>
      <c r="AK351" s="268" t="str">
        <f t="shared" si="412"/>
        <v/>
      </c>
      <c r="AL351" s="268" t="str">
        <f t="shared" si="412"/>
        <v/>
      </c>
      <c r="AM351" s="268" t="str">
        <f t="shared" si="412"/>
        <v/>
      </c>
      <c r="AN351" s="268" t="str">
        <f t="shared" si="412"/>
        <v/>
      </c>
      <c r="AO351" s="268" t="str">
        <f t="shared" si="412"/>
        <v/>
      </c>
      <c r="AP351" s="268" t="str">
        <f t="shared" si="412"/>
        <v/>
      </c>
      <c r="AQ351" s="268" t="str">
        <f t="shared" si="412"/>
        <v/>
      </c>
      <c r="AR351" s="268" t="str">
        <f t="shared" si="412"/>
        <v/>
      </c>
      <c r="AS351" s="268" t="str">
        <f t="shared" si="412"/>
        <v/>
      </c>
      <c r="AT351" s="268" t="str">
        <f t="shared" si="412"/>
        <v/>
      </c>
      <c r="AU351" s="268" t="str">
        <f t="shared" si="412"/>
        <v/>
      </c>
      <c r="AV351" s="268" t="str">
        <f t="shared" si="412"/>
        <v/>
      </c>
      <c r="AW351" s="268" t="str">
        <f t="shared" si="412"/>
        <v/>
      </c>
      <c r="AX351" s="268" t="str">
        <f t="shared" si="412"/>
        <v/>
      </c>
      <c r="AY351" s="268" t="str">
        <f t="shared" si="412"/>
        <v/>
      </c>
      <c r="AZ351" s="268" t="str">
        <f t="shared" si="412"/>
        <v/>
      </c>
      <c r="BA351" s="268" t="str">
        <f t="shared" si="412"/>
        <v/>
      </c>
      <c r="BB351" s="268">
        <f t="shared" si="412"/>
        <v>120</v>
      </c>
      <c r="BC351" s="268" t="str">
        <f t="shared" si="412"/>
        <v/>
      </c>
      <c r="BD351" s="268" t="str">
        <f t="shared" si="412"/>
        <v/>
      </c>
      <c r="BE351" s="268" t="str">
        <f t="shared" si="412"/>
        <v/>
      </c>
      <c r="BF351" s="268" t="str">
        <f t="shared" si="412"/>
        <v/>
      </c>
      <c r="BG351" s="268" t="str">
        <f t="shared" si="412"/>
        <v/>
      </c>
      <c r="BH351" s="268" t="str">
        <f t="shared" si="412"/>
        <v/>
      </c>
      <c r="BI351" s="268" t="str">
        <f t="shared" si="412"/>
        <v/>
      </c>
      <c r="BJ351" s="268" t="str">
        <f t="shared" si="412"/>
        <v/>
      </c>
      <c r="BK351" s="268" t="str">
        <f t="shared" si="412"/>
        <v/>
      </c>
      <c r="BL351" s="268" t="str">
        <f t="shared" si="412"/>
        <v/>
      </c>
      <c r="BM351" s="268" t="str">
        <f t="shared" si="412"/>
        <v/>
      </c>
      <c r="BN351" s="268" t="str">
        <f t="shared" si="412"/>
        <v/>
      </c>
      <c r="BO351" s="268" t="str">
        <f t="shared" si="412"/>
        <v/>
      </c>
      <c r="BP351" s="268" t="str">
        <f t="shared" si="412"/>
        <v/>
      </c>
      <c r="BQ351" s="268" t="str">
        <f t="shared" si="412"/>
        <v/>
      </c>
      <c r="BR351" s="268" t="str">
        <f t="shared" si="412"/>
        <v/>
      </c>
      <c r="BS351" s="268" t="str">
        <f t="shared" si="412"/>
        <v/>
      </c>
      <c r="BT351" s="268" t="str">
        <f t="shared" si="412"/>
        <v/>
      </c>
      <c r="BU351" s="268" t="str">
        <f t="shared" si="385"/>
        <v/>
      </c>
      <c r="BV351" s="247">
        <v>1.65</v>
      </c>
      <c r="BW351" s="729">
        <f t="shared" si="366"/>
        <v>198</v>
      </c>
      <c r="BX351" s="730">
        <f t="shared" si="367"/>
        <v>1534.5</v>
      </c>
      <c r="BY351" s="731" t="str">
        <f t="shared" si="368"/>
        <v>SR</v>
      </c>
    </row>
    <row r="352" s="698" customFormat="1" customHeight="1" spans="1:77">
      <c r="A352" s="208">
        <v>46093</v>
      </c>
      <c r="B352" s="208">
        <v>46150</v>
      </c>
      <c r="C352" s="211" t="s">
        <v>549</v>
      </c>
      <c r="D352" s="211" t="s">
        <v>550</v>
      </c>
      <c r="E352" s="211" t="s">
        <v>107</v>
      </c>
      <c r="F352" s="732">
        <f>4060+15</f>
        <v>4075</v>
      </c>
      <c r="G352" s="220" t="s">
        <v>253</v>
      </c>
      <c r="H352" s="211" t="str">
        <f>IFERROR(VLOOKUP(E352,名称!A:E,4,0),"")</f>
        <v>三代</v>
      </c>
      <c r="I352" s="268" t="str">
        <f t="shared" ref="I352:BT352" si="413">IF(OR($E352="",I$1=""),"",IF(TRIM(LEFT($E352,MIN(IFERROR(FIND("CDU",UPPER($E352)),999),IFERROR(FIND("BULK",UPPER($E352)),999),IFERROR(FIND("-",$E352),999),IFERROR(FIND("（",$E352),999))-1))=I$1,$F352,""))</f>
        <v/>
      </c>
      <c r="J352" s="268" t="str">
        <f t="shared" si="413"/>
        <v/>
      </c>
      <c r="K352" s="268" t="str">
        <f t="shared" si="413"/>
        <v/>
      </c>
      <c r="L352" s="268" t="str">
        <f t="shared" si="413"/>
        <v/>
      </c>
      <c r="M352" s="268" t="str">
        <f t="shared" si="413"/>
        <v/>
      </c>
      <c r="N352" s="268" t="str">
        <f t="shared" si="413"/>
        <v/>
      </c>
      <c r="O352" s="268" t="str">
        <f t="shared" si="413"/>
        <v/>
      </c>
      <c r="P352" s="268" t="str">
        <f t="shared" si="413"/>
        <v/>
      </c>
      <c r="Q352" s="268" t="str">
        <f t="shared" si="413"/>
        <v/>
      </c>
      <c r="R352" s="268" t="str">
        <f t="shared" si="413"/>
        <v/>
      </c>
      <c r="S352" s="268" t="str">
        <f t="shared" si="413"/>
        <v/>
      </c>
      <c r="T352" s="268" t="str">
        <f t="shared" si="413"/>
        <v/>
      </c>
      <c r="U352" s="268" t="str">
        <f t="shared" si="413"/>
        <v/>
      </c>
      <c r="V352" s="268" t="str">
        <f t="shared" si="413"/>
        <v/>
      </c>
      <c r="W352" s="268" t="str">
        <f t="shared" si="413"/>
        <v/>
      </c>
      <c r="X352" s="268" t="str">
        <f t="shared" si="413"/>
        <v/>
      </c>
      <c r="Y352" s="268" t="str">
        <f t="shared" si="413"/>
        <v/>
      </c>
      <c r="Z352" s="268" t="str">
        <f t="shared" si="413"/>
        <v/>
      </c>
      <c r="AA352" s="268" t="str">
        <f t="shared" si="413"/>
        <v/>
      </c>
      <c r="AB352" s="268" t="str">
        <f t="shared" si="413"/>
        <v/>
      </c>
      <c r="AC352" s="268" t="str">
        <f t="shared" si="413"/>
        <v/>
      </c>
      <c r="AD352" s="268" t="str">
        <f t="shared" si="413"/>
        <v/>
      </c>
      <c r="AE352" s="268" t="str">
        <f t="shared" si="413"/>
        <v/>
      </c>
      <c r="AF352" s="268" t="str">
        <f t="shared" si="413"/>
        <v/>
      </c>
      <c r="AG352" s="268">
        <f t="shared" si="413"/>
        <v>4075</v>
      </c>
      <c r="AH352" s="268" t="str">
        <f t="shared" si="413"/>
        <v/>
      </c>
      <c r="AI352" s="268" t="str">
        <f t="shared" si="413"/>
        <v/>
      </c>
      <c r="AJ352" s="268" t="str">
        <f t="shared" si="413"/>
        <v/>
      </c>
      <c r="AK352" s="268" t="str">
        <f t="shared" si="413"/>
        <v/>
      </c>
      <c r="AL352" s="268" t="str">
        <f t="shared" si="413"/>
        <v/>
      </c>
      <c r="AM352" s="268" t="str">
        <f t="shared" si="413"/>
        <v/>
      </c>
      <c r="AN352" s="268" t="str">
        <f t="shared" si="413"/>
        <v/>
      </c>
      <c r="AO352" s="268" t="str">
        <f t="shared" si="413"/>
        <v/>
      </c>
      <c r="AP352" s="268" t="str">
        <f t="shared" si="413"/>
        <v/>
      </c>
      <c r="AQ352" s="268" t="str">
        <f t="shared" si="413"/>
        <v/>
      </c>
      <c r="AR352" s="268" t="str">
        <f t="shared" si="413"/>
        <v/>
      </c>
      <c r="AS352" s="268" t="str">
        <f t="shared" si="413"/>
        <v/>
      </c>
      <c r="AT352" s="268" t="str">
        <f t="shared" si="413"/>
        <v/>
      </c>
      <c r="AU352" s="268" t="str">
        <f t="shared" si="413"/>
        <v/>
      </c>
      <c r="AV352" s="268" t="str">
        <f t="shared" si="413"/>
        <v/>
      </c>
      <c r="AW352" s="268" t="str">
        <f t="shared" si="413"/>
        <v/>
      </c>
      <c r="AX352" s="268" t="str">
        <f t="shared" si="413"/>
        <v/>
      </c>
      <c r="AY352" s="268" t="str">
        <f t="shared" si="413"/>
        <v/>
      </c>
      <c r="AZ352" s="268" t="str">
        <f t="shared" si="413"/>
        <v/>
      </c>
      <c r="BA352" s="268" t="str">
        <f t="shared" si="413"/>
        <v/>
      </c>
      <c r="BB352" s="268" t="str">
        <f t="shared" si="413"/>
        <v/>
      </c>
      <c r="BC352" s="268" t="str">
        <f t="shared" si="413"/>
        <v/>
      </c>
      <c r="BD352" s="268" t="str">
        <f t="shared" si="413"/>
        <v/>
      </c>
      <c r="BE352" s="268" t="str">
        <f t="shared" si="413"/>
        <v/>
      </c>
      <c r="BF352" s="268" t="str">
        <f t="shared" si="413"/>
        <v/>
      </c>
      <c r="BG352" s="268" t="str">
        <f t="shared" si="413"/>
        <v/>
      </c>
      <c r="BH352" s="268" t="str">
        <f t="shared" si="413"/>
        <v/>
      </c>
      <c r="BI352" s="268" t="str">
        <f t="shared" si="413"/>
        <v/>
      </c>
      <c r="BJ352" s="268" t="str">
        <f t="shared" si="413"/>
        <v/>
      </c>
      <c r="BK352" s="268" t="str">
        <f t="shared" si="413"/>
        <v/>
      </c>
      <c r="BL352" s="268" t="str">
        <f t="shared" si="413"/>
        <v/>
      </c>
      <c r="BM352" s="268" t="str">
        <f t="shared" si="413"/>
        <v/>
      </c>
      <c r="BN352" s="268" t="str">
        <f t="shared" si="413"/>
        <v/>
      </c>
      <c r="BO352" s="268" t="str">
        <f t="shared" si="413"/>
        <v/>
      </c>
      <c r="BP352" s="268" t="str">
        <f t="shared" si="413"/>
        <v/>
      </c>
      <c r="BQ352" s="268" t="str">
        <f t="shared" si="413"/>
        <v/>
      </c>
      <c r="BR352" s="268" t="str">
        <f t="shared" si="413"/>
        <v/>
      </c>
      <c r="BS352" s="268" t="str">
        <f t="shared" si="413"/>
        <v/>
      </c>
      <c r="BT352" s="268" t="str">
        <f t="shared" si="413"/>
        <v/>
      </c>
      <c r="BU352" s="268" t="str">
        <f t="shared" si="385"/>
        <v/>
      </c>
      <c r="BV352" s="247">
        <v>2.12</v>
      </c>
      <c r="BW352" s="729">
        <f t="shared" si="366"/>
        <v>8639</v>
      </c>
      <c r="BX352" s="730">
        <f t="shared" si="367"/>
        <v>66952.25</v>
      </c>
      <c r="BY352" s="731" t="str">
        <f t="shared" si="368"/>
        <v>SR</v>
      </c>
    </row>
    <row r="353" s="698" customFormat="1" customHeight="1" spans="1:77">
      <c r="A353" s="208">
        <v>46093</v>
      </c>
      <c r="B353" s="208">
        <v>46162</v>
      </c>
      <c r="C353" s="211" t="s">
        <v>551</v>
      </c>
      <c r="D353" s="211" t="s">
        <v>552</v>
      </c>
      <c r="E353" s="211" t="s">
        <v>107</v>
      </c>
      <c r="F353" s="732">
        <f>2280+220</f>
        <v>2500</v>
      </c>
      <c r="G353" s="220" t="s">
        <v>253</v>
      </c>
      <c r="H353" s="211" t="str">
        <f>IFERROR(VLOOKUP(E353,名称!A:E,4,0),"")</f>
        <v>三代</v>
      </c>
      <c r="I353" s="268" t="str">
        <f t="shared" ref="I353:BT353" si="414">IF(OR($E353="",I$1=""),"",IF(TRIM(LEFT($E353,MIN(IFERROR(FIND("CDU",UPPER($E353)),999),IFERROR(FIND("BULK",UPPER($E353)),999),IFERROR(FIND("-",$E353),999),IFERROR(FIND("（",$E353),999))-1))=I$1,$F353,""))</f>
        <v/>
      </c>
      <c r="J353" s="268" t="str">
        <f t="shared" si="414"/>
        <v/>
      </c>
      <c r="K353" s="268" t="str">
        <f t="shared" si="414"/>
        <v/>
      </c>
      <c r="L353" s="268" t="str">
        <f t="shared" si="414"/>
        <v/>
      </c>
      <c r="M353" s="268" t="str">
        <f t="shared" si="414"/>
        <v/>
      </c>
      <c r="N353" s="268" t="str">
        <f t="shared" si="414"/>
        <v/>
      </c>
      <c r="O353" s="268" t="str">
        <f t="shared" si="414"/>
        <v/>
      </c>
      <c r="P353" s="268" t="str">
        <f t="shared" si="414"/>
        <v/>
      </c>
      <c r="Q353" s="268" t="str">
        <f t="shared" si="414"/>
        <v/>
      </c>
      <c r="R353" s="268" t="str">
        <f t="shared" si="414"/>
        <v/>
      </c>
      <c r="S353" s="268" t="str">
        <f t="shared" si="414"/>
        <v/>
      </c>
      <c r="T353" s="268" t="str">
        <f t="shared" si="414"/>
        <v/>
      </c>
      <c r="U353" s="268" t="str">
        <f t="shared" si="414"/>
        <v/>
      </c>
      <c r="V353" s="268" t="str">
        <f t="shared" si="414"/>
        <v/>
      </c>
      <c r="W353" s="268" t="str">
        <f t="shared" si="414"/>
        <v/>
      </c>
      <c r="X353" s="268" t="str">
        <f t="shared" si="414"/>
        <v/>
      </c>
      <c r="Y353" s="268" t="str">
        <f t="shared" si="414"/>
        <v/>
      </c>
      <c r="Z353" s="268" t="str">
        <f t="shared" si="414"/>
        <v/>
      </c>
      <c r="AA353" s="268" t="str">
        <f t="shared" si="414"/>
        <v/>
      </c>
      <c r="AB353" s="268" t="str">
        <f t="shared" si="414"/>
        <v/>
      </c>
      <c r="AC353" s="268" t="str">
        <f t="shared" si="414"/>
        <v/>
      </c>
      <c r="AD353" s="268" t="str">
        <f t="shared" si="414"/>
        <v/>
      </c>
      <c r="AE353" s="268" t="str">
        <f t="shared" si="414"/>
        <v/>
      </c>
      <c r="AF353" s="268" t="str">
        <f t="shared" si="414"/>
        <v/>
      </c>
      <c r="AG353" s="268">
        <f t="shared" si="414"/>
        <v>2500</v>
      </c>
      <c r="AH353" s="268" t="str">
        <f t="shared" si="414"/>
        <v/>
      </c>
      <c r="AI353" s="268" t="str">
        <f t="shared" si="414"/>
        <v/>
      </c>
      <c r="AJ353" s="268" t="str">
        <f t="shared" si="414"/>
        <v/>
      </c>
      <c r="AK353" s="268" t="str">
        <f t="shared" si="414"/>
        <v/>
      </c>
      <c r="AL353" s="268" t="str">
        <f t="shared" si="414"/>
        <v/>
      </c>
      <c r="AM353" s="268" t="str">
        <f t="shared" si="414"/>
        <v/>
      </c>
      <c r="AN353" s="268" t="str">
        <f t="shared" si="414"/>
        <v/>
      </c>
      <c r="AO353" s="268" t="str">
        <f t="shared" si="414"/>
        <v/>
      </c>
      <c r="AP353" s="268" t="str">
        <f t="shared" si="414"/>
        <v/>
      </c>
      <c r="AQ353" s="268" t="str">
        <f t="shared" si="414"/>
        <v/>
      </c>
      <c r="AR353" s="268" t="str">
        <f t="shared" si="414"/>
        <v/>
      </c>
      <c r="AS353" s="268" t="str">
        <f t="shared" si="414"/>
        <v/>
      </c>
      <c r="AT353" s="268" t="str">
        <f t="shared" si="414"/>
        <v/>
      </c>
      <c r="AU353" s="268" t="str">
        <f t="shared" si="414"/>
        <v/>
      </c>
      <c r="AV353" s="268" t="str">
        <f t="shared" si="414"/>
        <v/>
      </c>
      <c r="AW353" s="268" t="str">
        <f t="shared" si="414"/>
        <v/>
      </c>
      <c r="AX353" s="268" t="str">
        <f t="shared" si="414"/>
        <v/>
      </c>
      <c r="AY353" s="268" t="str">
        <f t="shared" si="414"/>
        <v/>
      </c>
      <c r="AZ353" s="268" t="str">
        <f t="shared" si="414"/>
        <v/>
      </c>
      <c r="BA353" s="268" t="str">
        <f t="shared" si="414"/>
        <v/>
      </c>
      <c r="BB353" s="268" t="str">
        <f t="shared" si="414"/>
        <v/>
      </c>
      <c r="BC353" s="268" t="str">
        <f t="shared" si="414"/>
        <v/>
      </c>
      <c r="BD353" s="268" t="str">
        <f t="shared" si="414"/>
        <v/>
      </c>
      <c r="BE353" s="268" t="str">
        <f t="shared" si="414"/>
        <v/>
      </c>
      <c r="BF353" s="268" t="str">
        <f t="shared" si="414"/>
        <v/>
      </c>
      <c r="BG353" s="268" t="str">
        <f t="shared" si="414"/>
        <v/>
      </c>
      <c r="BH353" s="268" t="str">
        <f t="shared" si="414"/>
        <v/>
      </c>
      <c r="BI353" s="268" t="str">
        <f t="shared" si="414"/>
        <v/>
      </c>
      <c r="BJ353" s="268" t="str">
        <f t="shared" si="414"/>
        <v/>
      </c>
      <c r="BK353" s="268" t="str">
        <f t="shared" si="414"/>
        <v/>
      </c>
      <c r="BL353" s="268" t="str">
        <f t="shared" si="414"/>
        <v/>
      </c>
      <c r="BM353" s="268" t="str">
        <f t="shared" si="414"/>
        <v/>
      </c>
      <c r="BN353" s="268" t="str">
        <f t="shared" si="414"/>
        <v/>
      </c>
      <c r="BO353" s="268" t="str">
        <f t="shared" si="414"/>
        <v/>
      </c>
      <c r="BP353" s="268" t="str">
        <f t="shared" si="414"/>
        <v/>
      </c>
      <c r="BQ353" s="268" t="str">
        <f t="shared" si="414"/>
        <v/>
      </c>
      <c r="BR353" s="268" t="str">
        <f t="shared" si="414"/>
        <v/>
      </c>
      <c r="BS353" s="268" t="str">
        <f t="shared" si="414"/>
        <v/>
      </c>
      <c r="BT353" s="268" t="str">
        <f t="shared" si="414"/>
        <v/>
      </c>
      <c r="BU353" s="268" t="str">
        <f t="shared" si="385"/>
        <v/>
      </c>
      <c r="BV353" s="247">
        <v>2.19</v>
      </c>
      <c r="BW353" s="729">
        <f t="shared" ref="BW353:BW358" si="415">SUM(I353:BU353)*BV353</f>
        <v>5475</v>
      </c>
      <c r="BX353" s="730">
        <f t="shared" ref="BX353:BX358" si="416">BW353*7.75</f>
        <v>42431.25</v>
      </c>
      <c r="BY353" s="731" t="str">
        <f t="shared" ref="BY353:BY358" si="417">MID(E353,1,2)</f>
        <v>SR</v>
      </c>
    </row>
    <row r="354" s="698" customFormat="1" customHeight="1" spans="1:77">
      <c r="A354" s="208">
        <v>46093</v>
      </c>
      <c r="B354" s="208">
        <v>46176</v>
      </c>
      <c r="C354" s="211" t="s">
        <v>553</v>
      </c>
      <c r="D354" s="211" t="s">
        <v>554</v>
      </c>
      <c r="E354" s="211" t="s">
        <v>107</v>
      </c>
      <c r="F354" s="732">
        <f>340+2660</f>
        <v>3000</v>
      </c>
      <c r="G354" s="220" t="s">
        <v>253</v>
      </c>
      <c r="H354" s="211" t="str">
        <f>IFERROR(VLOOKUP(E354,名称!A:E,4,0),"")</f>
        <v>三代</v>
      </c>
      <c r="I354" s="268" t="str">
        <f t="shared" ref="I354:BT354" si="418">IF(OR($E354="",I$1=""),"",IF(TRIM(LEFT($E354,MIN(IFERROR(FIND("CDU",UPPER($E354)),999),IFERROR(FIND("BULK",UPPER($E354)),999),IFERROR(FIND("-",$E354),999),IFERROR(FIND("（",$E354),999))-1))=I$1,$F354,""))</f>
        <v/>
      </c>
      <c r="J354" s="268" t="str">
        <f t="shared" si="418"/>
        <v/>
      </c>
      <c r="K354" s="268" t="str">
        <f t="shared" si="418"/>
        <v/>
      </c>
      <c r="L354" s="268" t="str">
        <f t="shared" si="418"/>
        <v/>
      </c>
      <c r="M354" s="268" t="str">
        <f t="shared" si="418"/>
        <v/>
      </c>
      <c r="N354" s="268" t="str">
        <f t="shared" si="418"/>
        <v/>
      </c>
      <c r="O354" s="268" t="str">
        <f t="shared" si="418"/>
        <v/>
      </c>
      <c r="P354" s="268" t="str">
        <f t="shared" si="418"/>
        <v/>
      </c>
      <c r="Q354" s="268" t="str">
        <f t="shared" si="418"/>
        <v/>
      </c>
      <c r="R354" s="268" t="str">
        <f t="shared" si="418"/>
        <v/>
      </c>
      <c r="S354" s="268" t="str">
        <f t="shared" si="418"/>
        <v/>
      </c>
      <c r="T354" s="268" t="str">
        <f t="shared" si="418"/>
        <v/>
      </c>
      <c r="U354" s="268" t="str">
        <f t="shared" si="418"/>
        <v/>
      </c>
      <c r="V354" s="268" t="str">
        <f t="shared" si="418"/>
        <v/>
      </c>
      <c r="W354" s="268" t="str">
        <f t="shared" si="418"/>
        <v/>
      </c>
      <c r="X354" s="268" t="str">
        <f t="shared" si="418"/>
        <v/>
      </c>
      <c r="Y354" s="268" t="str">
        <f t="shared" si="418"/>
        <v/>
      </c>
      <c r="Z354" s="268" t="str">
        <f t="shared" si="418"/>
        <v/>
      </c>
      <c r="AA354" s="268" t="str">
        <f t="shared" si="418"/>
        <v/>
      </c>
      <c r="AB354" s="268" t="str">
        <f t="shared" si="418"/>
        <v/>
      </c>
      <c r="AC354" s="268" t="str">
        <f t="shared" si="418"/>
        <v/>
      </c>
      <c r="AD354" s="268" t="str">
        <f t="shared" si="418"/>
        <v/>
      </c>
      <c r="AE354" s="268" t="str">
        <f t="shared" si="418"/>
        <v/>
      </c>
      <c r="AF354" s="268" t="str">
        <f t="shared" si="418"/>
        <v/>
      </c>
      <c r="AG354" s="268">
        <f t="shared" si="418"/>
        <v>3000</v>
      </c>
      <c r="AH354" s="268" t="str">
        <f t="shared" si="418"/>
        <v/>
      </c>
      <c r="AI354" s="268" t="str">
        <f t="shared" si="418"/>
        <v/>
      </c>
      <c r="AJ354" s="268" t="str">
        <f t="shared" si="418"/>
        <v/>
      </c>
      <c r="AK354" s="268" t="str">
        <f t="shared" si="418"/>
        <v/>
      </c>
      <c r="AL354" s="268" t="str">
        <f t="shared" si="418"/>
        <v/>
      </c>
      <c r="AM354" s="268" t="str">
        <f t="shared" si="418"/>
        <v/>
      </c>
      <c r="AN354" s="268" t="str">
        <f t="shared" si="418"/>
        <v/>
      </c>
      <c r="AO354" s="268" t="str">
        <f t="shared" si="418"/>
        <v/>
      </c>
      <c r="AP354" s="268" t="str">
        <f t="shared" si="418"/>
        <v/>
      </c>
      <c r="AQ354" s="268" t="str">
        <f t="shared" si="418"/>
        <v/>
      </c>
      <c r="AR354" s="268" t="str">
        <f t="shared" si="418"/>
        <v/>
      </c>
      <c r="AS354" s="268" t="str">
        <f t="shared" si="418"/>
        <v/>
      </c>
      <c r="AT354" s="268" t="str">
        <f t="shared" si="418"/>
        <v/>
      </c>
      <c r="AU354" s="268" t="str">
        <f t="shared" si="418"/>
        <v/>
      </c>
      <c r="AV354" s="268" t="str">
        <f t="shared" si="418"/>
        <v/>
      </c>
      <c r="AW354" s="268" t="str">
        <f t="shared" si="418"/>
        <v/>
      </c>
      <c r="AX354" s="268" t="str">
        <f t="shared" si="418"/>
        <v/>
      </c>
      <c r="AY354" s="268" t="str">
        <f t="shared" si="418"/>
        <v/>
      </c>
      <c r="AZ354" s="268" t="str">
        <f t="shared" si="418"/>
        <v/>
      </c>
      <c r="BA354" s="268" t="str">
        <f t="shared" si="418"/>
        <v/>
      </c>
      <c r="BB354" s="268" t="str">
        <f t="shared" si="418"/>
        <v/>
      </c>
      <c r="BC354" s="268" t="str">
        <f t="shared" si="418"/>
        <v/>
      </c>
      <c r="BD354" s="268" t="str">
        <f t="shared" si="418"/>
        <v/>
      </c>
      <c r="BE354" s="268" t="str">
        <f t="shared" si="418"/>
        <v/>
      </c>
      <c r="BF354" s="268" t="str">
        <f t="shared" si="418"/>
        <v/>
      </c>
      <c r="BG354" s="268" t="str">
        <f t="shared" si="418"/>
        <v/>
      </c>
      <c r="BH354" s="268" t="str">
        <f t="shared" si="418"/>
        <v/>
      </c>
      <c r="BI354" s="268" t="str">
        <f t="shared" si="418"/>
        <v/>
      </c>
      <c r="BJ354" s="268" t="str">
        <f t="shared" si="418"/>
        <v/>
      </c>
      <c r="BK354" s="268" t="str">
        <f t="shared" si="418"/>
        <v/>
      </c>
      <c r="BL354" s="268" t="str">
        <f t="shared" si="418"/>
        <v/>
      </c>
      <c r="BM354" s="268" t="str">
        <f t="shared" si="418"/>
        <v/>
      </c>
      <c r="BN354" s="268" t="str">
        <f t="shared" si="418"/>
        <v/>
      </c>
      <c r="BO354" s="268" t="str">
        <f t="shared" si="418"/>
        <v/>
      </c>
      <c r="BP354" s="268" t="str">
        <f t="shared" si="418"/>
        <v/>
      </c>
      <c r="BQ354" s="268" t="str">
        <f t="shared" si="418"/>
        <v/>
      </c>
      <c r="BR354" s="268" t="str">
        <f t="shared" si="418"/>
        <v/>
      </c>
      <c r="BS354" s="268" t="str">
        <f t="shared" si="418"/>
        <v/>
      </c>
      <c r="BT354" s="268" t="str">
        <f t="shared" si="418"/>
        <v/>
      </c>
      <c r="BU354" s="268" t="str">
        <f t="shared" si="385"/>
        <v/>
      </c>
      <c r="BV354" s="247">
        <v>2.19</v>
      </c>
      <c r="BW354" s="729">
        <f t="shared" si="415"/>
        <v>6570</v>
      </c>
      <c r="BX354" s="730">
        <f t="shared" si="416"/>
        <v>50917.5</v>
      </c>
      <c r="BY354" s="731" t="str">
        <f t="shared" si="417"/>
        <v>SR</v>
      </c>
    </row>
    <row r="355" s="698" customFormat="1" customHeight="1" spans="1:77">
      <c r="A355" s="208">
        <v>46093</v>
      </c>
      <c r="B355" s="208">
        <v>46190</v>
      </c>
      <c r="C355" s="211" t="s">
        <v>555</v>
      </c>
      <c r="D355" s="211" t="s">
        <v>556</v>
      </c>
      <c r="E355" s="211" t="s">
        <v>107</v>
      </c>
      <c r="F355" s="732">
        <f>340+2660</f>
        <v>3000</v>
      </c>
      <c r="G355" s="220" t="s">
        <v>253</v>
      </c>
      <c r="H355" s="211" t="str">
        <f>IFERROR(VLOOKUP(E355,名称!A:E,4,0),"")</f>
        <v>三代</v>
      </c>
      <c r="I355" s="268" t="str">
        <f t="shared" ref="I355:BT355" si="419">IF(OR($E355="",I$1=""),"",IF(TRIM(LEFT($E355,MIN(IFERROR(FIND("CDU",UPPER($E355)),999),IFERROR(FIND("BULK",UPPER($E355)),999),IFERROR(FIND("-",$E355),999),IFERROR(FIND("（",$E355),999))-1))=I$1,$F355,""))</f>
        <v/>
      </c>
      <c r="J355" s="268" t="str">
        <f t="shared" si="419"/>
        <v/>
      </c>
      <c r="K355" s="268" t="str">
        <f t="shared" si="419"/>
        <v/>
      </c>
      <c r="L355" s="268" t="str">
        <f t="shared" si="419"/>
        <v/>
      </c>
      <c r="M355" s="268" t="str">
        <f t="shared" si="419"/>
        <v/>
      </c>
      <c r="N355" s="268" t="str">
        <f t="shared" si="419"/>
        <v/>
      </c>
      <c r="O355" s="268" t="str">
        <f t="shared" si="419"/>
        <v/>
      </c>
      <c r="P355" s="268" t="str">
        <f t="shared" si="419"/>
        <v/>
      </c>
      <c r="Q355" s="268" t="str">
        <f t="shared" si="419"/>
        <v/>
      </c>
      <c r="R355" s="268" t="str">
        <f t="shared" si="419"/>
        <v/>
      </c>
      <c r="S355" s="268" t="str">
        <f t="shared" si="419"/>
        <v/>
      </c>
      <c r="T355" s="268" t="str">
        <f t="shared" si="419"/>
        <v/>
      </c>
      <c r="U355" s="268" t="str">
        <f t="shared" si="419"/>
        <v/>
      </c>
      <c r="V355" s="268" t="str">
        <f t="shared" si="419"/>
        <v/>
      </c>
      <c r="W355" s="268" t="str">
        <f t="shared" si="419"/>
        <v/>
      </c>
      <c r="X355" s="268" t="str">
        <f t="shared" si="419"/>
        <v/>
      </c>
      <c r="Y355" s="268" t="str">
        <f t="shared" si="419"/>
        <v/>
      </c>
      <c r="Z355" s="268" t="str">
        <f t="shared" si="419"/>
        <v/>
      </c>
      <c r="AA355" s="268" t="str">
        <f t="shared" si="419"/>
        <v/>
      </c>
      <c r="AB355" s="268" t="str">
        <f t="shared" si="419"/>
        <v/>
      </c>
      <c r="AC355" s="268" t="str">
        <f t="shared" si="419"/>
        <v/>
      </c>
      <c r="AD355" s="268" t="str">
        <f t="shared" si="419"/>
        <v/>
      </c>
      <c r="AE355" s="268" t="str">
        <f t="shared" si="419"/>
        <v/>
      </c>
      <c r="AF355" s="268" t="str">
        <f t="shared" si="419"/>
        <v/>
      </c>
      <c r="AG355" s="268">
        <f t="shared" si="419"/>
        <v>3000</v>
      </c>
      <c r="AH355" s="268" t="str">
        <f t="shared" si="419"/>
        <v/>
      </c>
      <c r="AI355" s="268" t="str">
        <f t="shared" si="419"/>
        <v/>
      </c>
      <c r="AJ355" s="268" t="str">
        <f t="shared" si="419"/>
        <v/>
      </c>
      <c r="AK355" s="268" t="str">
        <f t="shared" si="419"/>
        <v/>
      </c>
      <c r="AL355" s="268" t="str">
        <f t="shared" si="419"/>
        <v/>
      </c>
      <c r="AM355" s="268" t="str">
        <f t="shared" si="419"/>
        <v/>
      </c>
      <c r="AN355" s="268" t="str">
        <f t="shared" si="419"/>
        <v/>
      </c>
      <c r="AO355" s="268" t="str">
        <f t="shared" si="419"/>
        <v/>
      </c>
      <c r="AP355" s="268" t="str">
        <f t="shared" si="419"/>
        <v/>
      </c>
      <c r="AQ355" s="268" t="str">
        <f t="shared" si="419"/>
        <v/>
      </c>
      <c r="AR355" s="268" t="str">
        <f t="shared" si="419"/>
        <v/>
      </c>
      <c r="AS355" s="268" t="str">
        <f t="shared" si="419"/>
        <v/>
      </c>
      <c r="AT355" s="268" t="str">
        <f t="shared" si="419"/>
        <v/>
      </c>
      <c r="AU355" s="268" t="str">
        <f t="shared" si="419"/>
        <v/>
      </c>
      <c r="AV355" s="268" t="str">
        <f t="shared" si="419"/>
        <v/>
      </c>
      <c r="AW355" s="268" t="str">
        <f t="shared" si="419"/>
        <v/>
      </c>
      <c r="AX355" s="268" t="str">
        <f t="shared" si="419"/>
        <v/>
      </c>
      <c r="AY355" s="268" t="str">
        <f t="shared" si="419"/>
        <v/>
      </c>
      <c r="AZ355" s="268" t="str">
        <f t="shared" si="419"/>
        <v/>
      </c>
      <c r="BA355" s="268" t="str">
        <f t="shared" si="419"/>
        <v/>
      </c>
      <c r="BB355" s="268" t="str">
        <f t="shared" si="419"/>
        <v/>
      </c>
      <c r="BC355" s="268" t="str">
        <f t="shared" si="419"/>
        <v/>
      </c>
      <c r="BD355" s="268" t="str">
        <f t="shared" si="419"/>
        <v/>
      </c>
      <c r="BE355" s="268" t="str">
        <f t="shared" si="419"/>
        <v/>
      </c>
      <c r="BF355" s="268" t="str">
        <f t="shared" si="419"/>
        <v/>
      </c>
      <c r="BG355" s="268" t="str">
        <f t="shared" si="419"/>
        <v/>
      </c>
      <c r="BH355" s="268" t="str">
        <f t="shared" si="419"/>
        <v/>
      </c>
      <c r="BI355" s="268" t="str">
        <f t="shared" si="419"/>
        <v/>
      </c>
      <c r="BJ355" s="268" t="str">
        <f t="shared" si="419"/>
        <v/>
      </c>
      <c r="BK355" s="268" t="str">
        <f t="shared" si="419"/>
        <v/>
      </c>
      <c r="BL355" s="268" t="str">
        <f t="shared" si="419"/>
        <v/>
      </c>
      <c r="BM355" s="268" t="str">
        <f t="shared" si="419"/>
        <v/>
      </c>
      <c r="BN355" s="268" t="str">
        <f t="shared" si="419"/>
        <v/>
      </c>
      <c r="BO355" s="268" t="str">
        <f t="shared" si="419"/>
        <v/>
      </c>
      <c r="BP355" s="268" t="str">
        <f t="shared" si="419"/>
        <v/>
      </c>
      <c r="BQ355" s="268" t="str">
        <f t="shared" si="419"/>
        <v/>
      </c>
      <c r="BR355" s="268" t="str">
        <f t="shared" si="419"/>
        <v/>
      </c>
      <c r="BS355" s="268" t="str">
        <f t="shared" si="419"/>
        <v/>
      </c>
      <c r="BT355" s="268" t="str">
        <f t="shared" si="419"/>
        <v/>
      </c>
      <c r="BU355" s="268" t="str">
        <f t="shared" si="385"/>
        <v/>
      </c>
      <c r="BV355" s="247">
        <v>2.19</v>
      </c>
      <c r="BW355" s="729">
        <f t="shared" si="415"/>
        <v>6570</v>
      </c>
      <c r="BX355" s="730">
        <f t="shared" si="416"/>
        <v>50917.5</v>
      </c>
      <c r="BY355" s="731" t="str">
        <f t="shared" si="417"/>
        <v>SR</v>
      </c>
    </row>
    <row r="356" s="698" customFormat="1" customHeight="1" spans="1:77">
      <c r="A356" s="208">
        <v>46093</v>
      </c>
      <c r="B356" s="208">
        <v>46204</v>
      </c>
      <c r="C356" s="211" t="s">
        <v>557</v>
      </c>
      <c r="D356" s="211" t="s">
        <v>558</v>
      </c>
      <c r="E356" s="211" t="s">
        <v>107</v>
      </c>
      <c r="F356" s="732">
        <f>570+2430</f>
        <v>3000</v>
      </c>
      <c r="G356" s="220" t="s">
        <v>253</v>
      </c>
      <c r="H356" s="211" t="str">
        <f>IFERROR(VLOOKUP(E356,名称!A:E,4,0),"")</f>
        <v>三代</v>
      </c>
      <c r="I356" s="268" t="str">
        <f t="shared" ref="I356:BT356" si="420">IF(OR($E356="",I$1=""),"",IF(TRIM(LEFT($E356,MIN(IFERROR(FIND("CDU",UPPER($E356)),999),IFERROR(FIND("BULK",UPPER($E356)),999),IFERROR(FIND("-",$E356),999),IFERROR(FIND("（",$E356),999))-1))=I$1,$F356,""))</f>
        <v/>
      </c>
      <c r="J356" s="268" t="str">
        <f t="shared" si="420"/>
        <v/>
      </c>
      <c r="K356" s="268" t="str">
        <f t="shared" si="420"/>
        <v/>
      </c>
      <c r="L356" s="268" t="str">
        <f t="shared" si="420"/>
        <v/>
      </c>
      <c r="M356" s="268" t="str">
        <f t="shared" si="420"/>
        <v/>
      </c>
      <c r="N356" s="268" t="str">
        <f t="shared" si="420"/>
        <v/>
      </c>
      <c r="O356" s="268" t="str">
        <f t="shared" si="420"/>
        <v/>
      </c>
      <c r="P356" s="268" t="str">
        <f t="shared" si="420"/>
        <v/>
      </c>
      <c r="Q356" s="268" t="str">
        <f t="shared" si="420"/>
        <v/>
      </c>
      <c r="R356" s="268" t="str">
        <f t="shared" si="420"/>
        <v/>
      </c>
      <c r="S356" s="268" t="str">
        <f t="shared" si="420"/>
        <v/>
      </c>
      <c r="T356" s="268" t="str">
        <f t="shared" si="420"/>
        <v/>
      </c>
      <c r="U356" s="268" t="str">
        <f t="shared" si="420"/>
        <v/>
      </c>
      <c r="V356" s="268" t="str">
        <f t="shared" si="420"/>
        <v/>
      </c>
      <c r="W356" s="268" t="str">
        <f t="shared" si="420"/>
        <v/>
      </c>
      <c r="X356" s="268" t="str">
        <f t="shared" si="420"/>
        <v/>
      </c>
      <c r="Y356" s="268" t="str">
        <f t="shared" si="420"/>
        <v/>
      </c>
      <c r="Z356" s="268" t="str">
        <f t="shared" si="420"/>
        <v/>
      </c>
      <c r="AA356" s="268" t="str">
        <f t="shared" si="420"/>
        <v/>
      </c>
      <c r="AB356" s="268" t="str">
        <f t="shared" si="420"/>
        <v/>
      </c>
      <c r="AC356" s="268" t="str">
        <f t="shared" si="420"/>
        <v/>
      </c>
      <c r="AD356" s="268" t="str">
        <f t="shared" si="420"/>
        <v/>
      </c>
      <c r="AE356" s="268" t="str">
        <f t="shared" si="420"/>
        <v/>
      </c>
      <c r="AF356" s="268" t="str">
        <f t="shared" si="420"/>
        <v/>
      </c>
      <c r="AG356" s="268">
        <f t="shared" si="420"/>
        <v>3000</v>
      </c>
      <c r="AH356" s="268" t="str">
        <f t="shared" si="420"/>
        <v/>
      </c>
      <c r="AI356" s="268" t="str">
        <f t="shared" si="420"/>
        <v/>
      </c>
      <c r="AJ356" s="268" t="str">
        <f t="shared" si="420"/>
        <v/>
      </c>
      <c r="AK356" s="268" t="str">
        <f t="shared" si="420"/>
        <v/>
      </c>
      <c r="AL356" s="268" t="str">
        <f t="shared" si="420"/>
        <v/>
      </c>
      <c r="AM356" s="268" t="str">
        <f t="shared" si="420"/>
        <v/>
      </c>
      <c r="AN356" s="268" t="str">
        <f t="shared" si="420"/>
        <v/>
      </c>
      <c r="AO356" s="268" t="str">
        <f t="shared" si="420"/>
        <v/>
      </c>
      <c r="AP356" s="268" t="str">
        <f t="shared" si="420"/>
        <v/>
      </c>
      <c r="AQ356" s="268" t="str">
        <f t="shared" si="420"/>
        <v/>
      </c>
      <c r="AR356" s="268" t="str">
        <f t="shared" si="420"/>
        <v/>
      </c>
      <c r="AS356" s="268" t="str">
        <f t="shared" si="420"/>
        <v/>
      </c>
      <c r="AT356" s="268" t="str">
        <f t="shared" si="420"/>
        <v/>
      </c>
      <c r="AU356" s="268" t="str">
        <f t="shared" si="420"/>
        <v/>
      </c>
      <c r="AV356" s="268" t="str">
        <f t="shared" si="420"/>
        <v/>
      </c>
      <c r="AW356" s="268" t="str">
        <f t="shared" si="420"/>
        <v/>
      </c>
      <c r="AX356" s="268" t="str">
        <f t="shared" si="420"/>
        <v/>
      </c>
      <c r="AY356" s="268" t="str">
        <f t="shared" si="420"/>
        <v/>
      </c>
      <c r="AZ356" s="268" t="str">
        <f t="shared" si="420"/>
        <v/>
      </c>
      <c r="BA356" s="268" t="str">
        <f t="shared" si="420"/>
        <v/>
      </c>
      <c r="BB356" s="268" t="str">
        <f t="shared" si="420"/>
        <v/>
      </c>
      <c r="BC356" s="268" t="str">
        <f t="shared" si="420"/>
        <v/>
      </c>
      <c r="BD356" s="268" t="str">
        <f t="shared" si="420"/>
        <v/>
      </c>
      <c r="BE356" s="268" t="str">
        <f t="shared" si="420"/>
        <v/>
      </c>
      <c r="BF356" s="268" t="str">
        <f t="shared" si="420"/>
        <v/>
      </c>
      <c r="BG356" s="268" t="str">
        <f t="shared" si="420"/>
        <v/>
      </c>
      <c r="BH356" s="268" t="str">
        <f t="shared" si="420"/>
        <v/>
      </c>
      <c r="BI356" s="268" t="str">
        <f t="shared" si="420"/>
        <v/>
      </c>
      <c r="BJ356" s="268" t="str">
        <f t="shared" si="420"/>
        <v/>
      </c>
      <c r="BK356" s="268" t="str">
        <f t="shared" si="420"/>
        <v/>
      </c>
      <c r="BL356" s="268" t="str">
        <f t="shared" si="420"/>
        <v/>
      </c>
      <c r="BM356" s="268" t="str">
        <f t="shared" si="420"/>
        <v/>
      </c>
      <c r="BN356" s="268" t="str">
        <f t="shared" si="420"/>
        <v/>
      </c>
      <c r="BO356" s="268" t="str">
        <f t="shared" si="420"/>
        <v/>
      </c>
      <c r="BP356" s="268" t="str">
        <f t="shared" si="420"/>
        <v/>
      </c>
      <c r="BQ356" s="268" t="str">
        <f t="shared" si="420"/>
        <v/>
      </c>
      <c r="BR356" s="268" t="str">
        <f t="shared" si="420"/>
        <v/>
      </c>
      <c r="BS356" s="268" t="str">
        <f t="shared" si="420"/>
        <v/>
      </c>
      <c r="BT356" s="268" t="str">
        <f t="shared" si="420"/>
        <v/>
      </c>
      <c r="BU356" s="268" t="str">
        <f t="shared" si="385"/>
        <v/>
      </c>
      <c r="BV356" s="247">
        <v>2.19</v>
      </c>
      <c r="BW356" s="729">
        <f t="shared" si="415"/>
        <v>6570</v>
      </c>
      <c r="BX356" s="730">
        <f t="shared" si="416"/>
        <v>50917.5</v>
      </c>
      <c r="BY356" s="731" t="str">
        <f t="shared" si="417"/>
        <v>SR</v>
      </c>
    </row>
    <row r="357" s="698" customFormat="1" customHeight="1" spans="1:77">
      <c r="A357" s="208">
        <v>46093</v>
      </c>
      <c r="B357" s="208">
        <v>46218</v>
      </c>
      <c r="C357" s="211" t="s">
        <v>559</v>
      </c>
      <c r="D357" s="211" t="s">
        <v>560</v>
      </c>
      <c r="E357" s="211" t="s">
        <v>107</v>
      </c>
      <c r="F357" s="732">
        <f>1140+1860</f>
        <v>3000</v>
      </c>
      <c r="G357" s="220" t="s">
        <v>253</v>
      </c>
      <c r="H357" s="211" t="str">
        <f>IFERROR(VLOOKUP(E357,名称!A:E,4,0),"")</f>
        <v>三代</v>
      </c>
      <c r="I357" s="268" t="str">
        <f t="shared" ref="I357:BT357" si="421">IF(OR($E357="",I$1=""),"",IF(TRIM(LEFT($E357,MIN(IFERROR(FIND("CDU",UPPER($E357)),999),IFERROR(FIND("BULK",UPPER($E357)),999),IFERROR(FIND("-",$E357),999),IFERROR(FIND("（",$E357),999))-1))=I$1,$F357,""))</f>
        <v/>
      </c>
      <c r="J357" s="268" t="str">
        <f t="shared" si="421"/>
        <v/>
      </c>
      <c r="K357" s="268" t="str">
        <f t="shared" si="421"/>
        <v/>
      </c>
      <c r="L357" s="268" t="str">
        <f t="shared" si="421"/>
        <v/>
      </c>
      <c r="M357" s="268" t="str">
        <f t="shared" si="421"/>
        <v/>
      </c>
      <c r="N357" s="268" t="str">
        <f t="shared" si="421"/>
        <v/>
      </c>
      <c r="O357" s="268" t="str">
        <f t="shared" si="421"/>
        <v/>
      </c>
      <c r="P357" s="268" t="str">
        <f t="shared" si="421"/>
        <v/>
      </c>
      <c r="Q357" s="268" t="str">
        <f t="shared" si="421"/>
        <v/>
      </c>
      <c r="R357" s="268" t="str">
        <f t="shared" si="421"/>
        <v/>
      </c>
      <c r="S357" s="268" t="str">
        <f t="shared" si="421"/>
        <v/>
      </c>
      <c r="T357" s="268" t="str">
        <f t="shared" si="421"/>
        <v/>
      </c>
      <c r="U357" s="268" t="str">
        <f t="shared" si="421"/>
        <v/>
      </c>
      <c r="V357" s="268" t="str">
        <f t="shared" si="421"/>
        <v/>
      </c>
      <c r="W357" s="268" t="str">
        <f t="shared" si="421"/>
        <v/>
      </c>
      <c r="X357" s="268" t="str">
        <f t="shared" si="421"/>
        <v/>
      </c>
      <c r="Y357" s="268" t="str">
        <f t="shared" si="421"/>
        <v/>
      </c>
      <c r="Z357" s="268" t="str">
        <f t="shared" si="421"/>
        <v/>
      </c>
      <c r="AA357" s="268" t="str">
        <f t="shared" si="421"/>
        <v/>
      </c>
      <c r="AB357" s="268" t="str">
        <f t="shared" si="421"/>
        <v/>
      </c>
      <c r="AC357" s="268" t="str">
        <f t="shared" si="421"/>
        <v/>
      </c>
      <c r="AD357" s="268" t="str">
        <f t="shared" si="421"/>
        <v/>
      </c>
      <c r="AE357" s="268" t="str">
        <f t="shared" si="421"/>
        <v/>
      </c>
      <c r="AF357" s="268" t="str">
        <f t="shared" si="421"/>
        <v/>
      </c>
      <c r="AG357" s="268">
        <f t="shared" si="421"/>
        <v>3000</v>
      </c>
      <c r="AH357" s="268" t="str">
        <f t="shared" si="421"/>
        <v/>
      </c>
      <c r="AI357" s="268" t="str">
        <f t="shared" si="421"/>
        <v/>
      </c>
      <c r="AJ357" s="268" t="str">
        <f t="shared" si="421"/>
        <v/>
      </c>
      <c r="AK357" s="268" t="str">
        <f t="shared" si="421"/>
        <v/>
      </c>
      <c r="AL357" s="268" t="str">
        <f t="shared" si="421"/>
        <v/>
      </c>
      <c r="AM357" s="268" t="str">
        <f t="shared" si="421"/>
        <v/>
      </c>
      <c r="AN357" s="268" t="str">
        <f t="shared" si="421"/>
        <v/>
      </c>
      <c r="AO357" s="268" t="str">
        <f t="shared" si="421"/>
        <v/>
      </c>
      <c r="AP357" s="268" t="str">
        <f t="shared" si="421"/>
        <v/>
      </c>
      <c r="AQ357" s="268" t="str">
        <f t="shared" si="421"/>
        <v/>
      </c>
      <c r="AR357" s="268" t="str">
        <f t="shared" si="421"/>
        <v/>
      </c>
      <c r="AS357" s="268" t="str">
        <f t="shared" si="421"/>
        <v/>
      </c>
      <c r="AT357" s="268" t="str">
        <f t="shared" si="421"/>
        <v/>
      </c>
      <c r="AU357" s="268" t="str">
        <f t="shared" si="421"/>
        <v/>
      </c>
      <c r="AV357" s="268" t="str">
        <f t="shared" si="421"/>
        <v/>
      </c>
      <c r="AW357" s="268" t="str">
        <f t="shared" si="421"/>
        <v/>
      </c>
      <c r="AX357" s="268" t="str">
        <f t="shared" si="421"/>
        <v/>
      </c>
      <c r="AY357" s="268" t="str">
        <f t="shared" si="421"/>
        <v/>
      </c>
      <c r="AZ357" s="268" t="str">
        <f t="shared" si="421"/>
        <v/>
      </c>
      <c r="BA357" s="268" t="str">
        <f t="shared" si="421"/>
        <v/>
      </c>
      <c r="BB357" s="268" t="str">
        <f t="shared" si="421"/>
        <v/>
      </c>
      <c r="BC357" s="268" t="str">
        <f t="shared" si="421"/>
        <v/>
      </c>
      <c r="BD357" s="268" t="str">
        <f t="shared" si="421"/>
        <v/>
      </c>
      <c r="BE357" s="268" t="str">
        <f t="shared" si="421"/>
        <v/>
      </c>
      <c r="BF357" s="268" t="str">
        <f t="shared" si="421"/>
        <v/>
      </c>
      <c r="BG357" s="268" t="str">
        <f t="shared" si="421"/>
        <v/>
      </c>
      <c r="BH357" s="268" t="str">
        <f t="shared" si="421"/>
        <v/>
      </c>
      <c r="BI357" s="268" t="str">
        <f t="shared" si="421"/>
        <v/>
      </c>
      <c r="BJ357" s="268" t="str">
        <f t="shared" si="421"/>
        <v/>
      </c>
      <c r="BK357" s="268" t="str">
        <f t="shared" si="421"/>
        <v/>
      </c>
      <c r="BL357" s="268" t="str">
        <f t="shared" si="421"/>
        <v/>
      </c>
      <c r="BM357" s="268" t="str">
        <f t="shared" si="421"/>
        <v/>
      </c>
      <c r="BN357" s="268" t="str">
        <f t="shared" si="421"/>
        <v/>
      </c>
      <c r="BO357" s="268" t="str">
        <f t="shared" si="421"/>
        <v/>
      </c>
      <c r="BP357" s="268" t="str">
        <f t="shared" si="421"/>
        <v/>
      </c>
      <c r="BQ357" s="268" t="str">
        <f t="shared" si="421"/>
        <v/>
      </c>
      <c r="BR357" s="268" t="str">
        <f t="shared" si="421"/>
        <v/>
      </c>
      <c r="BS357" s="268" t="str">
        <f t="shared" si="421"/>
        <v/>
      </c>
      <c r="BT357" s="268" t="str">
        <f t="shared" si="421"/>
        <v/>
      </c>
      <c r="BU357" s="268" t="str">
        <f t="shared" si="385"/>
        <v/>
      </c>
      <c r="BV357" s="247">
        <v>2.19</v>
      </c>
      <c r="BW357" s="729">
        <f t="shared" si="415"/>
        <v>6570</v>
      </c>
      <c r="BX357" s="730">
        <f t="shared" si="416"/>
        <v>50917.5</v>
      </c>
      <c r="BY357" s="731" t="str">
        <f t="shared" si="417"/>
        <v>SR</v>
      </c>
    </row>
    <row r="358" s="697" customFormat="1" customHeight="1" spans="1:77">
      <c r="A358" s="116">
        <v>46093</v>
      </c>
      <c r="B358" s="116">
        <v>46232</v>
      </c>
      <c r="C358" s="118" t="s">
        <v>561</v>
      </c>
      <c r="D358" s="118" t="s">
        <v>562</v>
      </c>
      <c r="E358" s="118" t="s">
        <v>107</v>
      </c>
      <c r="F358" s="726">
        <f>1365+1140</f>
        <v>2505</v>
      </c>
      <c r="G358" s="123" t="s">
        <v>253</v>
      </c>
      <c r="H358" s="118" t="str">
        <f>IFERROR(VLOOKUP(E358,名称!A:E,4,0),"")</f>
        <v>三代</v>
      </c>
      <c r="I358" s="418" t="str">
        <f t="shared" ref="I358:BT358" si="422">IF(OR($E358="",I$1=""),"",IF(TRIM(LEFT($E358,MIN(IFERROR(FIND("CDU",UPPER($E358)),999),IFERROR(FIND("BULK",UPPER($E358)),999),IFERROR(FIND("-",$E358),999),IFERROR(FIND("（",$E358),999))-1))=I$1,$F358,""))</f>
        <v/>
      </c>
      <c r="J358" s="418" t="str">
        <f t="shared" si="422"/>
        <v/>
      </c>
      <c r="K358" s="418" t="str">
        <f t="shared" si="422"/>
        <v/>
      </c>
      <c r="L358" s="418" t="str">
        <f t="shared" si="422"/>
        <v/>
      </c>
      <c r="M358" s="418" t="str">
        <f t="shared" si="422"/>
        <v/>
      </c>
      <c r="N358" s="418" t="str">
        <f t="shared" si="422"/>
        <v/>
      </c>
      <c r="O358" s="418" t="str">
        <f t="shared" si="422"/>
        <v/>
      </c>
      <c r="P358" s="418" t="str">
        <f t="shared" si="422"/>
        <v/>
      </c>
      <c r="Q358" s="418" t="str">
        <f t="shared" si="422"/>
        <v/>
      </c>
      <c r="R358" s="418" t="str">
        <f t="shared" si="422"/>
        <v/>
      </c>
      <c r="S358" s="418" t="str">
        <f t="shared" si="422"/>
        <v/>
      </c>
      <c r="T358" s="418" t="str">
        <f t="shared" si="422"/>
        <v/>
      </c>
      <c r="U358" s="418" t="str">
        <f t="shared" si="422"/>
        <v/>
      </c>
      <c r="V358" s="418" t="str">
        <f t="shared" si="422"/>
        <v/>
      </c>
      <c r="W358" s="418" t="str">
        <f t="shared" si="422"/>
        <v/>
      </c>
      <c r="X358" s="418" t="str">
        <f t="shared" si="422"/>
        <v/>
      </c>
      <c r="Y358" s="418" t="str">
        <f t="shared" si="422"/>
        <v/>
      </c>
      <c r="Z358" s="418" t="str">
        <f t="shared" si="422"/>
        <v/>
      </c>
      <c r="AA358" s="418" t="str">
        <f t="shared" si="422"/>
        <v/>
      </c>
      <c r="AB358" s="418" t="str">
        <f t="shared" si="422"/>
        <v/>
      </c>
      <c r="AC358" s="418" t="str">
        <f t="shared" si="422"/>
        <v/>
      </c>
      <c r="AD358" s="418" t="str">
        <f t="shared" si="422"/>
        <v/>
      </c>
      <c r="AE358" s="418" t="str">
        <f t="shared" si="422"/>
        <v/>
      </c>
      <c r="AF358" s="418" t="str">
        <f t="shared" si="422"/>
        <v/>
      </c>
      <c r="AG358" s="418">
        <f t="shared" si="422"/>
        <v>2505</v>
      </c>
      <c r="AH358" s="418" t="str">
        <f t="shared" si="422"/>
        <v/>
      </c>
      <c r="AI358" s="418" t="str">
        <f t="shared" si="422"/>
        <v/>
      </c>
      <c r="AJ358" s="418" t="str">
        <f t="shared" si="422"/>
        <v/>
      </c>
      <c r="AK358" s="418" t="str">
        <f t="shared" si="422"/>
        <v/>
      </c>
      <c r="AL358" s="418" t="str">
        <f t="shared" si="422"/>
        <v/>
      </c>
      <c r="AM358" s="418" t="str">
        <f t="shared" si="422"/>
        <v/>
      </c>
      <c r="AN358" s="418" t="str">
        <f t="shared" si="422"/>
        <v/>
      </c>
      <c r="AO358" s="418" t="str">
        <f t="shared" si="422"/>
        <v/>
      </c>
      <c r="AP358" s="418" t="str">
        <f t="shared" si="422"/>
        <v/>
      </c>
      <c r="AQ358" s="418" t="str">
        <f t="shared" si="422"/>
        <v/>
      </c>
      <c r="AR358" s="418" t="str">
        <f t="shared" si="422"/>
        <v/>
      </c>
      <c r="AS358" s="418" t="str">
        <f t="shared" si="422"/>
        <v/>
      </c>
      <c r="AT358" s="418" t="str">
        <f t="shared" si="422"/>
        <v/>
      </c>
      <c r="AU358" s="418" t="str">
        <f t="shared" si="422"/>
        <v/>
      </c>
      <c r="AV358" s="418" t="str">
        <f t="shared" si="422"/>
        <v/>
      </c>
      <c r="AW358" s="418" t="str">
        <f t="shared" si="422"/>
        <v/>
      </c>
      <c r="AX358" s="418" t="str">
        <f t="shared" si="422"/>
        <v/>
      </c>
      <c r="AY358" s="418" t="str">
        <f t="shared" si="422"/>
        <v/>
      </c>
      <c r="AZ358" s="418" t="str">
        <f t="shared" si="422"/>
        <v/>
      </c>
      <c r="BA358" s="418" t="str">
        <f t="shared" si="422"/>
        <v/>
      </c>
      <c r="BB358" s="418" t="str">
        <f t="shared" si="422"/>
        <v/>
      </c>
      <c r="BC358" s="418" t="str">
        <f t="shared" si="422"/>
        <v/>
      </c>
      <c r="BD358" s="418" t="str">
        <f t="shared" si="422"/>
        <v/>
      </c>
      <c r="BE358" s="418" t="str">
        <f t="shared" si="422"/>
        <v/>
      </c>
      <c r="BF358" s="418" t="str">
        <f t="shared" si="422"/>
        <v/>
      </c>
      <c r="BG358" s="418" t="str">
        <f t="shared" si="422"/>
        <v/>
      </c>
      <c r="BH358" s="418" t="str">
        <f t="shared" si="422"/>
        <v/>
      </c>
      <c r="BI358" s="418" t="str">
        <f t="shared" si="422"/>
        <v/>
      </c>
      <c r="BJ358" s="418" t="str">
        <f t="shared" si="422"/>
        <v/>
      </c>
      <c r="BK358" s="418" t="str">
        <f t="shared" si="422"/>
        <v/>
      </c>
      <c r="BL358" s="418" t="str">
        <f t="shared" si="422"/>
        <v/>
      </c>
      <c r="BM358" s="418" t="str">
        <f t="shared" si="422"/>
        <v/>
      </c>
      <c r="BN358" s="418" t="str">
        <f t="shared" si="422"/>
        <v/>
      </c>
      <c r="BO358" s="418" t="str">
        <f t="shared" si="422"/>
        <v/>
      </c>
      <c r="BP358" s="418" t="str">
        <f t="shared" si="422"/>
        <v/>
      </c>
      <c r="BQ358" s="418" t="str">
        <f t="shared" si="422"/>
        <v/>
      </c>
      <c r="BR358" s="418" t="str">
        <f t="shared" si="422"/>
        <v/>
      </c>
      <c r="BS358" s="418" t="str">
        <f t="shared" si="422"/>
        <v/>
      </c>
      <c r="BT358" s="418" t="str">
        <f t="shared" si="422"/>
        <v/>
      </c>
      <c r="BU358" s="418" t="str">
        <f t="shared" si="385"/>
        <v/>
      </c>
      <c r="BV358" s="544">
        <v>2.12</v>
      </c>
      <c r="BW358" s="723">
        <f t="shared" si="415"/>
        <v>5310.6</v>
      </c>
      <c r="BX358" s="724">
        <f t="shared" si="416"/>
        <v>41157.15</v>
      </c>
      <c r="BY358" s="725" t="str">
        <f t="shared" si="417"/>
        <v>SR</v>
      </c>
    </row>
    <row r="359" s="697" customFormat="1" customHeight="1" spans="1:77">
      <c r="A359" s="116">
        <v>46093</v>
      </c>
      <c r="B359" s="116">
        <v>46232</v>
      </c>
      <c r="C359" s="118" t="s">
        <v>561</v>
      </c>
      <c r="D359" s="118" t="s">
        <v>562</v>
      </c>
      <c r="E359" s="118" t="s">
        <v>107</v>
      </c>
      <c r="F359" s="726">
        <v>995</v>
      </c>
      <c r="G359" s="123" t="s">
        <v>253</v>
      </c>
      <c r="H359" s="118" t="str">
        <f>IFERROR(VLOOKUP(E359,名称!A:E,4,0),"")</f>
        <v>三代</v>
      </c>
      <c r="I359" s="418" t="str">
        <f t="shared" ref="I359:BT359" si="423">IF(OR($E359="",I$1=""),"",IF(TRIM(LEFT($E359,MIN(IFERROR(FIND("CDU",UPPER($E359)),999),IFERROR(FIND("BULK",UPPER($E359)),999),IFERROR(FIND("-",$E359),999),IFERROR(FIND("（",$E359),999))-1))=I$1,$F359,""))</f>
        <v/>
      </c>
      <c r="J359" s="418" t="str">
        <f t="shared" si="423"/>
        <v/>
      </c>
      <c r="K359" s="418" t="str">
        <f t="shared" si="423"/>
        <v/>
      </c>
      <c r="L359" s="418" t="str">
        <f t="shared" si="423"/>
        <v/>
      </c>
      <c r="M359" s="418" t="str">
        <f t="shared" si="423"/>
        <v/>
      </c>
      <c r="N359" s="418" t="str">
        <f t="shared" si="423"/>
        <v/>
      </c>
      <c r="O359" s="418" t="str">
        <f t="shared" si="423"/>
        <v/>
      </c>
      <c r="P359" s="418" t="str">
        <f t="shared" si="423"/>
        <v/>
      </c>
      <c r="Q359" s="418" t="str">
        <f t="shared" si="423"/>
        <v/>
      </c>
      <c r="R359" s="418" t="str">
        <f t="shared" si="423"/>
        <v/>
      </c>
      <c r="S359" s="418" t="str">
        <f t="shared" si="423"/>
        <v/>
      </c>
      <c r="T359" s="418" t="str">
        <f t="shared" si="423"/>
        <v/>
      </c>
      <c r="U359" s="418" t="str">
        <f t="shared" si="423"/>
        <v/>
      </c>
      <c r="V359" s="418" t="str">
        <f t="shared" si="423"/>
        <v/>
      </c>
      <c r="W359" s="418" t="str">
        <f t="shared" si="423"/>
        <v/>
      </c>
      <c r="X359" s="418" t="str">
        <f t="shared" si="423"/>
        <v/>
      </c>
      <c r="Y359" s="418" t="str">
        <f t="shared" si="423"/>
        <v/>
      </c>
      <c r="Z359" s="418" t="str">
        <f t="shared" si="423"/>
        <v/>
      </c>
      <c r="AA359" s="418" t="str">
        <f t="shared" si="423"/>
        <v/>
      </c>
      <c r="AB359" s="418" t="str">
        <f t="shared" si="423"/>
        <v/>
      </c>
      <c r="AC359" s="418" t="str">
        <f t="shared" si="423"/>
        <v/>
      </c>
      <c r="AD359" s="418" t="str">
        <f t="shared" si="423"/>
        <v/>
      </c>
      <c r="AE359" s="418" t="str">
        <f t="shared" si="423"/>
        <v/>
      </c>
      <c r="AF359" s="418" t="str">
        <f t="shared" si="423"/>
        <v/>
      </c>
      <c r="AG359" s="418">
        <f t="shared" si="423"/>
        <v>995</v>
      </c>
      <c r="AH359" s="418" t="str">
        <f t="shared" si="423"/>
        <v/>
      </c>
      <c r="AI359" s="418" t="str">
        <f t="shared" si="423"/>
        <v/>
      </c>
      <c r="AJ359" s="418" t="str">
        <f t="shared" si="423"/>
        <v/>
      </c>
      <c r="AK359" s="418" t="str">
        <f t="shared" si="423"/>
        <v/>
      </c>
      <c r="AL359" s="418" t="str">
        <f t="shared" si="423"/>
        <v/>
      </c>
      <c r="AM359" s="418" t="str">
        <f t="shared" si="423"/>
        <v/>
      </c>
      <c r="AN359" s="418" t="str">
        <f t="shared" si="423"/>
        <v/>
      </c>
      <c r="AO359" s="418" t="str">
        <f t="shared" si="423"/>
        <v/>
      </c>
      <c r="AP359" s="418" t="str">
        <f t="shared" si="423"/>
        <v/>
      </c>
      <c r="AQ359" s="418" t="str">
        <f t="shared" si="423"/>
        <v/>
      </c>
      <c r="AR359" s="418" t="str">
        <f t="shared" si="423"/>
        <v/>
      </c>
      <c r="AS359" s="418" t="str">
        <f t="shared" si="423"/>
        <v/>
      </c>
      <c r="AT359" s="418" t="str">
        <f t="shared" si="423"/>
        <v/>
      </c>
      <c r="AU359" s="418" t="str">
        <f t="shared" si="423"/>
        <v/>
      </c>
      <c r="AV359" s="418" t="str">
        <f t="shared" si="423"/>
        <v/>
      </c>
      <c r="AW359" s="418" t="str">
        <f t="shared" si="423"/>
        <v/>
      </c>
      <c r="AX359" s="418" t="str">
        <f t="shared" si="423"/>
        <v/>
      </c>
      <c r="AY359" s="418" t="str">
        <f t="shared" si="423"/>
        <v/>
      </c>
      <c r="AZ359" s="418" t="str">
        <f t="shared" si="423"/>
        <v/>
      </c>
      <c r="BA359" s="418" t="str">
        <f t="shared" si="423"/>
        <v/>
      </c>
      <c r="BB359" s="418" t="str">
        <f t="shared" si="423"/>
        <v/>
      </c>
      <c r="BC359" s="418" t="str">
        <f t="shared" si="423"/>
        <v/>
      </c>
      <c r="BD359" s="418" t="str">
        <f t="shared" si="423"/>
        <v/>
      </c>
      <c r="BE359" s="418" t="str">
        <f t="shared" si="423"/>
        <v/>
      </c>
      <c r="BF359" s="418" t="str">
        <f t="shared" si="423"/>
        <v/>
      </c>
      <c r="BG359" s="418" t="str">
        <f t="shared" si="423"/>
        <v/>
      </c>
      <c r="BH359" s="418" t="str">
        <f t="shared" si="423"/>
        <v/>
      </c>
      <c r="BI359" s="418" t="str">
        <f t="shared" si="423"/>
        <v/>
      </c>
      <c r="BJ359" s="418" t="str">
        <f t="shared" si="423"/>
        <v/>
      </c>
      <c r="BK359" s="418" t="str">
        <f t="shared" si="423"/>
        <v/>
      </c>
      <c r="BL359" s="418" t="str">
        <f t="shared" si="423"/>
        <v/>
      </c>
      <c r="BM359" s="418" t="str">
        <f t="shared" si="423"/>
        <v/>
      </c>
      <c r="BN359" s="418" t="str">
        <f t="shared" si="423"/>
        <v/>
      </c>
      <c r="BO359" s="418" t="str">
        <f t="shared" si="423"/>
        <v/>
      </c>
      <c r="BP359" s="418" t="str">
        <f t="shared" si="423"/>
        <v/>
      </c>
      <c r="BQ359" s="418" t="str">
        <f t="shared" si="423"/>
        <v/>
      </c>
      <c r="BR359" s="418" t="str">
        <f t="shared" si="423"/>
        <v/>
      </c>
      <c r="BS359" s="418" t="str">
        <f t="shared" si="423"/>
        <v/>
      </c>
      <c r="BT359" s="418" t="str">
        <f t="shared" si="423"/>
        <v/>
      </c>
      <c r="BU359" s="418" t="str">
        <f t="shared" si="385"/>
        <v/>
      </c>
      <c r="BV359" s="544">
        <v>2.12</v>
      </c>
      <c r="BW359" s="723">
        <f t="shared" ref="BW359:BW420" si="424">SUM(I359:BU359)*BV359</f>
        <v>2109.4</v>
      </c>
      <c r="BX359" s="724">
        <f t="shared" ref="BX359:BX420" si="425">BW359*7.75</f>
        <v>16347.85</v>
      </c>
      <c r="BY359" s="725" t="str">
        <f t="shared" ref="BY359:BY420" si="426">MID(E359,1,2)</f>
        <v>SR</v>
      </c>
    </row>
    <row r="360" s="697" customFormat="1" customHeight="1" spans="1:77">
      <c r="A360" s="116">
        <v>46093</v>
      </c>
      <c r="B360" s="116">
        <v>46246</v>
      </c>
      <c r="C360" s="118">
        <v>8150979053</v>
      </c>
      <c r="D360" s="118" t="s">
        <v>563</v>
      </c>
      <c r="E360" s="118" t="s">
        <v>107</v>
      </c>
      <c r="F360" s="726">
        <v>1710</v>
      </c>
      <c r="G360" s="123" t="s">
        <v>253</v>
      </c>
      <c r="H360" s="118" t="str">
        <f>IFERROR(VLOOKUP(E360,名称!A:E,4,0),"")</f>
        <v>三代</v>
      </c>
      <c r="I360" s="418" t="str">
        <f t="shared" ref="I360:BT360" si="427">IF(OR($E360="",I$1=""),"",IF(TRIM(LEFT($E360,MIN(IFERROR(FIND("CDU",UPPER($E360)),999),IFERROR(FIND("BULK",UPPER($E360)),999),IFERROR(FIND("-",$E360),999),IFERROR(FIND("（",$E360),999))-1))=I$1,$F360,""))</f>
        <v/>
      </c>
      <c r="J360" s="418" t="str">
        <f t="shared" si="427"/>
        <v/>
      </c>
      <c r="K360" s="418" t="str">
        <f t="shared" si="427"/>
        <v/>
      </c>
      <c r="L360" s="418" t="str">
        <f t="shared" si="427"/>
        <v/>
      </c>
      <c r="M360" s="418" t="str">
        <f t="shared" si="427"/>
        <v/>
      </c>
      <c r="N360" s="418" t="str">
        <f t="shared" si="427"/>
        <v/>
      </c>
      <c r="O360" s="418" t="str">
        <f t="shared" si="427"/>
        <v/>
      </c>
      <c r="P360" s="418" t="str">
        <f t="shared" si="427"/>
        <v/>
      </c>
      <c r="Q360" s="418" t="str">
        <f t="shared" si="427"/>
        <v/>
      </c>
      <c r="R360" s="418" t="str">
        <f t="shared" si="427"/>
        <v/>
      </c>
      <c r="S360" s="418" t="str">
        <f t="shared" si="427"/>
        <v/>
      </c>
      <c r="T360" s="418" t="str">
        <f t="shared" si="427"/>
        <v/>
      </c>
      <c r="U360" s="418" t="str">
        <f t="shared" si="427"/>
        <v/>
      </c>
      <c r="V360" s="418" t="str">
        <f t="shared" si="427"/>
        <v/>
      </c>
      <c r="W360" s="418" t="str">
        <f t="shared" si="427"/>
        <v/>
      </c>
      <c r="X360" s="418" t="str">
        <f t="shared" si="427"/>
        <v/>
      </c>
      <c r="Y360" s="418" t="str">
        <f t="shared" si="427"/>
        <v/>
      </c>
      <c r="Z360" s="418" t="str">
        <f t="shared" si="427"/>
        <v/>
      </c>
      <c r="AA360" s="418" t="str">
        <f t="shared" si="427"/>
        <v/>
      </c>
      <c r="AB360" s="418" t="str">
        <f t="shared" si="427"/>
        <v/>
      </c>
      <c r="AC360" s="418" t="str">
        <f t="shared" si="427"/>
        <v/>
      </c>
      <c r="AD360" s="418" t="str">
        <f t="shared" si="427"/>
        <v/>
      </c>
      <c r="AE360" s="418" t="str">
        <f t="shared" si="427"/>
        <v/>
      </c>
      <c r="AF360" s="418" t="str">
        <f t="shared" si="427"/>
        <v/>
      </c>
      <c r="AG360" s="418">
        <f t="shared" si="427"/>
        <v>1710</v>
      </c>
      <c r="AH360" s="418" t="str">
        <f t="shared" si="427"/>
        <v/>
      </c>
      <c r="AI360" s="418" t="str">
        <f t="shared" si="427"/>
        <v/>
      </c>
      <c r="AJ360" s="418" t="str">
        <f t="shared" si="427"/>
        <v/>
      </c>
      <c r="AK360" s="418" t="str">
        <f t="shared" si="427"/>
        <v/>
      </c>
      <c r="AL360" s="418" t="str">
        <f t="shared" si="427"/>
        <v/>
      </c>
      <c r="AM360" s="418" t="str">
        <f t="shared" si="427"/>
        <v/>
      </c>
      <c r="AN360" s="418" t="str">
        <f t="shared" si="427"/>
        <v/>
      </c>
      <c r="AO360" s="418" t="str">
        <f t="shared" si="427"/>
        <v/>
      </c>
      <c r="AP360" s="418" t="str">
        <f t="shared" si="427"/>
        <v/>
      </c>
      <c r="AQ360" s="418" t="str">
        <f t="shared" si="427"/>
        <v/>
      </c>
      <c r="AR360" s="418" t="str">
        <f t="shared" si="427"/>
        <v/>
      </c>
      <c r="AS360" s="418" t="str">
        <f t="shared" si="427"/>
        <v/>
      </c>
      <c r="AT360" s="418" t="str">
        <f t="shared" si="427"/>
        <v/>
      </c>
      <c r="AU360" s="418" t="str">
        <f t="shared" si="427"/>
        <v/>
      </c>
      <c r="AV360" s="418" t="str">
        <f t="shared" si="427"/>
        <v/>
      </c>
      <c r="AW360" s="418" t="str">
        <f t="shared" si="427"/>
        <v/>
      </c>
      <c r="AX360" s="418" t="str">
        <f t="shared" si="427"/>
        <v/>
      </c>
      <c r="AY360" s="418" t="str">
        <f t="shared" si="427"/>
        <v/>
      </c>
      <c r="AZ360" s="418" t="str">
        <f t="shared" si="427"/>
        <v/>
      </c>
      <c r="BA360" s="418" t="str">
        <f t="shared" si="427"/>
        <v/>
      </c>
      <c r="BB360" s="418" t="str">
        <f t="shared" si="427"/>
        <v/>
      </c>
      <c r="BC360" s="418" t="str">
        <f t="shared" si="427"/>
        <v/>
      </c>
      <c r="BD360" s="418" t="str">
        <f t="shared" si="427"/>
        <v/>
      </c>
      <c r="BE360" s="418" t="str">
        <f t="shared" si="427"/>
        <v/>
      </c>
      <c r="BF360" s="418" t="str">
        <f t="shared" si="427"/>
        <v/>
      </c>
      <c r="BG360" s="418" t="str">
        <f t="shared" si="427"/>
        <v/>
      </c>
      <c r="BH360" s="418" t="str">
        <f t="shared" si="427"/>
        <v/>
      </c>
      <c r="BI360" s="418" t="str">
        <f t="shared" si="427"/>
        <v/>
      </c>
      <c r="BJ360" s="418" t="str">
        <f t="shared" si="427"/>
        <v/>
      </c>
      <c r="BK360" s="418" t="str">
        <f t="shared" si="427"/>
        <v/>
      </c>
      <c r="BL360" s="418" t="str">
        <f t="shared" si="427"/>
        <v/>
      </c>
      <c r="BM360" s="418" t="str">
        <f t="shared" si="427"/>
        <v/>
      </c>
      <c r="BN360" s="418" t="str">
        <f t="shared" si="427"/>
        <v/>
      </c>
      <c r="BO360" s="418" t="str">
        <f t="shared" si="427"/>
        <v/>
      </c>
      <c r="BP360" s="418" t="str">
        <f t="shared" si="427"/>
        <v/>
      </c>
      <c r="BQ360" s="418" t="str">
        <f t="shared" si="427"/>
        <v/>
      </c>
      <c r="BR360" s="418" t="str">
        <f t="shared" si="427"/>
        <v/>
      </c>
      <c r="BS360" s="418" t="str">
        <f t="shared" si="427"/>
        <v/>
      </c>
      <c r="BT360" s="418" t="str">
        <f t="shared" si="427"/>
        <v/>
      </c>
      <c r="BU360" s="418" t="str">
        <f t="shared" si="385"/>
        <v/>
      </c>
      <c r="BV360" s="544">
        <v>2.12</v>
      </c>
      <c r="BW360" s="723">
        <f t="shared" si="424"/>
        <v>3625.2</v>
      </c>
      <c r="BX360" s="724">
        <f t="shared" si="425"/>
        <v>28095.3</v>
      </c>
      <c r="BY360" s="725" t="str">
        <f t="shared" si="426"/>
        <v>SR</v>
      </c>
    </row>
    <row r="361" s="697" customFormat="1" customHeight="1" spans="1:77">
      <c r="A361" s="116">
        <v>46093</v>
      </c>
      <c r="B361" s="116">
        <v>46260</v>
      </c>
      <c r="C361" s="118">
        <v>8150979054</v>
      </c>
      <c r="D361" s="118" t="s">
        <v>564</v>
      </c>
      <c r="E361" s="118" t="s">
        <v>107</v>
      </c>
      <c r="F361" s="726">
        <v>1710</v>
      </c>
      <c r="G361" s="123" t="s">
        <v>253</v>
      </c>
      <c r="H361" s="118" t="str">
        <f>IFERROR(VLOOKUP(E361,名称!A:E,4,0),"")</f>
        <v>三代</v>
      </c>
      <c r="I361" s="418" t="str">
        <f t="shared" ref="I361:BT361" si="428">IF(OR($E361="",I$1=""),"",IF(TRIM(LEFT($E361,MIN(IFERROR(FIND("CDU",UPPER($E361)),999),IFERROR(FIND("BULK",UPPER($E361)),999),IFERROR(FIND("-",$E361),999),IFERROR(FIND("（",$E361),999))-1))=I$1,$F361,""))</f>
        <v/>
      </c>
      <c r="J361" s="418" t="str">
        <f t="shared" si="428"/>
        <v/>
      </c>
      <c r="K361" s="418" t="str">
        <f t="shared" si="428"/>
        <v/>
      </c>
      <c r="L361" s="418" t="str">
        <f t="shared" si="428"/>
        <v/>
      </c>
      <c r="M361" s="418" t="str">
        <f t="shared" si="428"/>
        <v/>
      </c>
      <c r="N361" s="418" t="str">
        <f t="shared" si="428"/>
        <v/>
      </c>
      <c r="O361" s="418" t="str">
        <f t="shared" si="428"/>
        <v/>
      </c>
      <c r="P361" s="418" t="str">
        <f t="shared" si="428"/>
        <v/>
      </c>
      <c r="Q361" s="418" t="str">
        <f t="shared" si="428"/>
        <v/>
      </c>
      <c r="R361" s="418" t="str">
        <f t="shared" si="428"/>
        <v/>
      </c>
      <c r="S361" s="418" t="str">
        <f t="shared" si="428"/>
        <v/>
      </c>
      <c r="T361" s="418" t="str">
        <f t="shared" si="428"/>
        <v/>
      </c>
      <c r="U361" s="418" t="str">
        <f t="shared" si="428"/>
        <v/>
      </c>
      <c r="V361" s="418" t="str">
        <f t="shared" si="428"/>
        <v/>
      </c>
      <c r="W361" s="418" t="str">
        <f t="shared" si="428"/>
        <v/>
      </c>
      <c r="X361" s="418" t="str">
        <f t="shared" si="428"/>
        <v/>
      </c>
      <c r="Y361" s="418" t="str">
        <f t="shared" si="428"/>
        <v/>
      </c>
      <c r="Z361" s="418" t="str">
        <f t="shared" si="428"/>
        <v/>
      </c>
      <c r="AA361" s="418" t="str">
        <f t="shared" si="428"/>
        <v/>
      </c>
      <c r="AB361" s="418" t="str">
        <f t="shared" si="428"/>
        <v/>
      </c>
      <c r="AC361" s="418" t="str">
        <f t="shared" si="428"/>
        <v/>
      </c>
      <c r="AD361" s="418" t="str">
        <f t="shared" si="428"/>
        <v/>
      </c>
      <c r="AE361" s="418" t="str">
        <f t="shared" si="428"/>
        <v/>
      </c>
      <c r="AF361" s="418" t="str">
        <f t="shared" si="428"/>
        <v/>
      </c>
      <c r="AG361" s="418">
        <f t="shared" si="428"/>
        <v>1710</v>
      </c>
      <c r="AH361" s="418" t="str">
        <f t="shared" si="428"/>
        <v/>
      </c>
      <c r="AI361" s="418" t="str">
        <f t="shared" si="428"/>
        <v/>
      </c>
      <c r="AJ361" s="418" t="str">
        <f t="shared" si="428"/>
        <v/>
      </c>
      <c r="AK361" s="418" t="str">
        <f t="shared" si="428"/>
        <v/>
      </c>
      <c r="AL361" s="418" t="str">
        <f t="shared" si="428"/>
        <v/>
      </c>
      <c r="AM361" s="418" t="str">
        <f t="shared" si="428"/>
        <v/>
      </c>
      <c r="AN361" s="418" t="str">
        <f t="shared" si="428"/>
        <v/>
      </c>
      <c r="AO361" s="418" t="str">
        <f t="shared" si="428"/>
        <v/>
      </c>
      <c r="AP361" s="418" t="str">
        <f t="shared" si="428"/>
        <v/>
      </c>
      <c r="AQ361" s="418" t="str">
        <f t="shared" si="428"/>
        <v/>
      </c>
      <c r="AR361" s="418" t="str">
        <f t="shared" si="428"/>
        <v/>
      </c>
      <c r="AS361" s="418" t="str">
        <f t="shared" si="428"/>
        <v/>
      </c>
      <c r="AT361" s="418" t="str">
        <f t="shared" si="428"/>
        <v/>
      </c>
      <c r="AU361" s="418" t="str">
        <f t="shared" si="428"/>
        <v/>
      </c>
      <c r="AV361" s="418" t="str">
        <f t="shared" si="428"/>
        <v/>
      </c>
      <c r="AW361" s="418" t="str">
        <f t="shared" si="428"/>
        <v/>
      </c>
      <c r="AX361" s="418" t="str">
        <f t="shared" si="428"/>
        <v/>
      </c>
      <c r="AY361" s="418" t="str">
        <f t="shared" si="428"/>
        <v/>
      </c>
      <c r="AZ361" s="418" t="str">
        <f t="shared" si="428"/>
        <v/>
      </c>
      <c r="BA361" s="418" t="str">
        <f t="shared" si="428"/>
        <v/>
      </c>
      <c r="BB361" s="418" t="str">
        <f t="shared" si="428"/>
        <v/>
      </c>
      <c r="BC361" s="418" t="str">
        <f t="shared" si="428"/>
        <v/>
      </c>
      <c r="BD361" s="418" t="str">
        <f t="shared" si="428"/>
        <v/>
      </c>
      <c r="BE361" s="418" t="str">
        <f t="shared" si="428"/>
        <v/>
      </c>
      <c r="BF361" s="418" t="str">
        <f t="shared" si="428"/>
        <v/>
      </c>
      <c r="BG361" s="418" t="str">
        <f t="shared" si="428"/>
        <v/>
      </c>
      <c r="BH361" s="418" t="str">
        <f t="shared" si="428"/>
        <v/>
      </c>
      <c r="BI361" s="418" t="str">
        <f t="shared" si="428"/>
        <v/>
      </c>
      <c r="BJ361" s="418" t="str">
        <f t="shared" si="428"/>
        <v/>
      </c>
      <c r="BK361" s="418" t="str">
        <f t="shared" si="428"/>
        <v/>
      </c>
      <c r="BL361" s="418" t="str">
        <f t="shared" si="428"/>
        <v/>
      </c>
      <c r="BM361" s="418" t="str">
        <f t="shared" si="428"/>
        <v/>
      </c>
      <c r="BN361" s="418" t="str">
        <f t="shared" si="428"/>
        <v/>
      </c>
      <c r="BO361" s="418" t="str">
        <f t="shared" si="428"/>
        <v/>
      </c>
      <c r="BP361" s="418" t="str">
        <f t="shared" si="428"/>
        <v/>
      </c>
      <c r="BQ361" s="418" t="str">
        <f t="shared" si="428"/>
        <v/>
      </c>
      <c r="BR361" s="418" t="str">
        <f t="shared" si="428"/>
        <v/>
      </c>
      <c r="BS361" s="418" t="str">
        <f t="shared" si="428"/>
        <v/>
      </c>
      <c r="BT361" s="418" t="str">
        <f t="shared" si="428"/>
        <v/>
      </c>
      <c r="BU361" s="418" t="str">
        <f t="shared" si="385"/>
        <v/>
      </c>
      <c r="BV361" s="544">
        <v>2.12</v>
      </c>
      <c r="BW361" s="723">
        <f t="shared" si="424"/>
        <v>3625.2</v>
      </c>
      <c r="BX361" s="724">
        <f t="shared" si="425"/>
        <v>28095.3</v>
      </c>
      <c r="BY361" s="725" t="str">
        <f t="shared" si="426"/>
        <v>SR</v>
      </c>
    </row>
    <row r="362" s="697" customFormat="1" customHeight="1" spans="1:77">
      <c r="A362" s="116">
        <v>46093</v>
      </c>
      <c r="B362" s="116">
        <v>46274</v>
      </c>
      <c r="C362" s="118">
        <v>8150979055</v>
      </c>
      <c r="D362" s="118" t="s">
        <v>565</v>
      </c>
      <c r="E362" s="118" t="s">
        <v>107</v>
      </c>
      <c r="F362" s="726">
        <v>570</v>
      </c>
      <c r="G362" s="123" t="s">
        <v>253</v>
      </c>
      <c r="H362" s="118" t="str">
        <f>IFERROR(VLOOKUP(E362,名称!A:E,4,0),"")</f>
        <v>三代</v>
      </c>
      <c r="I362" s="418" t="str">
        <f t="shared" ref="I362:BT362" si="429">IF(OR($E362="",I$1=""),"",IF(TRIM(LEFT($E362,MIN(IFERROR(FIND("CDU",UPPER($E362)),999),IFERROR(FIND("BULK",UPPER($E362)),999),IFERROR(FIND("-",$E362),999),IFERROR(FIND("（",$E362),999))-1))=I$1,$F362,""))</f>
        <v/>
      </c>
      <c r="J362" s="418" t="str">
        <f t="shared" si="429"/>
        <v/>
      </c>
      <c r="K362" s="418" t="str">
        <f t="shared" si="429"/>
        <v/>
      </c>
      <c r="L362" s="418" t="str">
        <f t="shared" si="429"/>
        <v/>
      </c>
      <c r="M362" s="418" t="str">
        <f t="shared" si="429"/>
        <v/>
      </c>
      <c r="N362" s="418" t="str">
        <f t="shared" si="429"/>
        <v/>
      </c>
      <c r="O362" s="418" t="str">
        <f t="shared" si="429"/>
        <v/>
      </c>
      <c r="P362" s="418" t="str">
        <f t="shared" si="429"/>
        <v/>
      </c>
      <c r="Q362" s="418" t="str">
        <f t="shared" si="429"/>
        <v/>
      </c>
      <c r="R362" s="418" t="str">
        <f t="shared" si="429"/>
        <v/>
      </c>
      <c r="S362" s="418" t="str">
        <f t="shared" si="429"/>
        <v/>
      </c>
      <c r="T362" s="418" t="str">
        <f t="shared" si="429"/>
        <v/>
      </c>
      <c r="U362" s="418" t="str">
        <f t="shared" si="429"/>
        <v/>
      </c>
      <c r="V362" s="418" t="str">
        <f t="shared" si="429"/>
        <v/>
      </c>
      <c r="W362" s="418" t="str">
        <f t="shared" si="429"/>
        <v/>
      </c>
      <c r="X362" s="418" t="str">
        <f t="shared" si="429"/>
        <v/>
      </c>
      <c r="Y362" s="418" t="str">
        <f t="shared" si="429"/>
        <v/>
      </c>
      <c r="Z362" s="418" t="str">
        <f t="shared" si="429"/>
        <v/>
      </c>
      <c r="AA362" s="418" t="str">
        <f t="shared" si="429"/>
        <v/>
      </c>
      <c r="AB362" s="418" t="str">
        <f t="shared" si="429"/>
        <v/>
      </c>
      <c r="AC362" s="418" t="str">
        <f t="shared" si="429"/>
        <v/>
      </c>
      <c r="AD362" s="418" t="str">
        <f t="shared" si="429"/>
        <v/>
      </c>
      <c r="AE362" s="418" t="str">
        <f t="shared" si="429"/>
        <v/>
      </c>
      <c r="AF362" s="418" t="str">
        <f t="shared" si="429"/>
        <v/>
      </c>
      <c r="AG362" s="418">
        <f t="shared" si="429"/>
        <v>570</v>
      </c>
      <c r="AH362" s="418" t="str">
        <f t="shared" si="429"/>
        <v/>
      </c>
      <c r="AI362" s="418" t="str">
        <f t="shared" si="429"/>
        <v/>
      </c>
      <c r="AJ362" s="418" t="str">
        <f t="shared" si="429"/>
        <v/>
      </c>
      <c r="AK362" s="418" t="str">
        <f t="shared" si="429"/>
        <v/>
      </c>
      <c r="AL362" s="418" t="str">
        <f t="shared" si="429"/>
        <v/>
      </c>
      <c r="AM362" s="418" t="str">
        <f t="shared" si="429"/>
        <v/>
      </c>
      <c r="AN362" s="418" t="str">
        <f t="shared" si="429"/>
        <v/>
      </c>
      <c r="AO362" s="418" t="str">
        <f t="shared" si="429"/>
        <v/>
      </c>
      <c r="AP362" s="418" t="str">
        <f t="shared" si="429"/>
        <v/>
      </c>
      <c r="AQ362" s="418" t="str">
        <f t="shared" si="429"/>
        <v/>
      </c>
      <c r="AR362" s="418" t="str">
        <f t="shared" si="429"/>
        <v/>
      </c>
      <c r="AS362" s="418" t="str">
        <f t="shared" si="429"/>
        <v/>
      </c>
      <c r="AT362" s="418" t="str">
        <f t="shared" si="429"/>
        <v/>
      </c>
      <c r="AU362" s="418" t="str">
        <f t="shared" si="429"/>
        <v/>
      </c>
      <c r="AV362" s="418" t="str">
        <f t="shared" si="429"/>
        <v/>
      </c>
      <c r="AW362" s="418" t="str">
        <f t="shared" si="429"/>
        <v/>
      </c>
      <c r="AX362" s="418" t="str">
        <f t="shared" si="429"/>
        <v/>
      </c>
      <c r="AY362" s="418" t="str">
        <f t="shared" si="429"/>
        <v/>
      </c>
      <c r="AZ362" s="418" t="str">
        <f t="shared" si="429"/>
        <v/>
      </c>
      <c r="BA362" s="418" t="str">
        <f t="shared" si="429"/>
        <v/>
      </c>
      <c r="BB362" s="418" t="str">
        <f t="shared" si="429"/>
        <v/>
      </c>
      <c r="BC362" s="418" t="str">
        <f t="shared" si="429"/>
        <v/>
      </c>
      <c r="BD362" s="418" t="str">
        <f t="shared" si="429"/>
        <v/>
      </c>
      <c r="BE362" s="418" t="str">
        <f t="shared" si="429"/>
        <v/>
      </c>
      <c r="BF362" s="418" t="str">
        <f t="shared" si="429"/>
        <v/>
      </c>
      <c r="BG362" s="418" t="str">
        <f t="shared" si="429"/>
        <v/>
      </c>
      <c r="BH362" s="418" t="str">
        <f t="shared" si="429"/>
        <v/>
      </c>
      <c r="BI362" s="418" t="str">
        <f t="shared" si="429"/>
        <v/>
      </c>
      <c r="BJ362" s="418" t="str">
        <f t="shared" si="429"/>
        <v/>
      </c>
      <c r="BK362" s="418" t="str">
        <f t="shared" si="429"/>
        <v/>
      </c>
      <c r="BL362" s="418" t="str">
        <f t="shared" si="429"/>
        <v/>
      </c>
      <c r="BM362" s="418" t="str">
        <f t="shared" si="429"/>
        <v/>
      </c>
      <c r="BN362" s="418" t="str">
        <f t="shared" si="429"/>
        <v/>
      </c>
      <c r="BO362" s="418" t="str">
        <f t="shared" si="429"/>
        <v/>
      </c>
      <c r="BP362" s="418" t="str">
        <f t="shared" si="429"/>
        <v/>
      </c>
      <c r="BQ362" s="418" t="str">
        <f t="shared" si="429"/>
        <v/>
      </c>
      <c r="BR362" s="418" t="str">
        <f t="shared" si="429"/>
        <v/>
      </c>
      <c r="BS362" s="418" t="str">
        <f t="shared" si="429"/>
        <v/>
      </c>
      <c r="BT362" s="418" t="str">
        <f t="shared" si="429"/>
        <v/>
      </c>
      <c r="BU362" s="418" t="str">
        <f t="shared" si="385"/>
        <v/>
      </c>
      <c r="BV362" s="544">
        <v>2.12</v>
      </c>
      <c r="BW362" s="723">
        <f t="shared" si="424"/>
        <v>1208.4</v>
      </c>
      <c r="BX362" s="724">
        <f t="shared" si="425"/>
        <v>9365.1</v>
      </c>
      <c r="BY362" s="725" t="str">
        <f t="shared" si="426"/>
        <v>SR</v>
      </c>
    </row>
    <row r="363" s="697" customFormat="1" customHeight="1" spans="1:77">
      <c r="A363" s="116">
        <v>46093</v>
      </c>
      <c r="B363" s="116">
        <v>46288</v>
      </c>
      <c r="C363" s="118">
        <v>8150979056</v>
      </c>
      <c r="D363" s="118" t="s">
        <v>566</v>
      </c>
      <c r="E363" s="118" t="s">
        <v>107</v>
      </c>
      <c r="F363" s="726">
        <v>570</v>
      </c>
      <c r="G363" s="123" t="s">
        <v>253</v>
      </c>
      <c r="H363" s="118" t="str">
        <f>IFERROR(VLOOKUP(E363,名称!A:E,4,0),"")</f>
        <v>三代</v>
      </c>
      <c r="I363" s="418" t="str">
        <f t="shared" ref="I363:BT363" si="430">IF(OR($E363="",I$1=""),"",IF(TRIM(LEFT($E363,MIN(IFERROR(FIND("CDU",UPPER($E363)),999),IFERROR(FIND("BULK",UPPER($E363)),999),IFERROR(FIND("-",$E363),999),IFERROR(FIND("（",$E363),999))-1))=I$1,$F363,""))</f>
        <v/>
      </c>
      <c r="J363" s="418" t="str">
        <f t="shared" si="430"/>
        <v/>
      </c>
      <c r="K363" s="418" t="str">
        <f t="shared" si="430"/>
        <v/>
      </c>
      <c r="L363" s="418" t="str">
        <f t="shared" si="430"/>
        <v/>
      </c>
      <c r="M363" s="418" t="str">
        <f t="shared" si="430"/>
        <v/>
      </c>
      <c r="N363" s="418" t="str">
        <f t="shared" si="430"/>
        <v/>
      </c>
      <c r="O363" s="418" t="str">
        <f t="shared" si="430"/>
        <v/>
      </c>
      <c r="P363" s="418" t="str">
        <f t="shared" si="430"/>
        <v/>
      </c>
      <c r="Q363" s="418" t="str">
        <f t="shared" si="430"/>
        <v/>
      </c>
      <c r="R363" s="418" t="str">
        <f t="shared" si="430"/>
        <v/>
      </c>
      <c r="S363" s="418" t="str">
        <f t="shared" si="430"/>
        <v/>
      </c>
      <c r="T363" s="418" t="str">
        <f t="shared" si="430"/>
        <v/>
      </c>
      <c r="U363" s="418" t="str">
        <f t="shared" si="430"/>
        <v/>
      </c>
      <c r="V363" s="418" t="str">
        <f t="shared" si="430"/>
        <v/>
      </c>
      <c r="W363" s="418" t="str">
        <f t="shared" si="430"/>
        <v/>
      </c>
      <c r="X363" s="418" t="str">
        <f t="shared" si="430"/>
        <v/>
      </c>
      <c r="Y363" s="418" t="str">
        <f t="shared" si="430"/>
        <v/>
      </c>
      <c r="Z363" s="418" t="str">
        <f t="shared" si="430"/>
        <v/>
      </c>
      <c r="AA363" s="418" t="str">
        <f t="shared" si="430"/>
        <v/>
      </c>
      <c r="AB363" s="418" t="str">
        <f t="shared" si="430"/>
        <v/>
      </c>
      <c r="AC363" s="418" t="str">
        <f t="shared" si="430"/>
        <v/>
      </c>
      <c r="AD363" s="418" t="str">
        <f t="shared" si="430"/>
        <v/>
      </c>
      <c r="AE363" s="418" t="str">
        <f t="shared" si="430"/>
        <v/>
      </c>
      <c r="AF363" s="418" t="str">
        <f t="shared" si="430"/>
        <v/>
      </c>
      <c r="AG363" s="418">
        <f t="shared" si="430"/>
        <v>570</v>
      </c>
      <c r="AH363" s="418" t="str">
        <f t="shared" si="430"/>
        <v/>
      </c>
      <c r="AI363" s="418" t="str">
        <f t="shared" si="430"/>
        <v/>
      </c>
      <c r="AJ363" s="418" t="str">
        <f t="shared" si="430"/>
        <v/>
      </c>
      <c r="AK363" s="418" t="str">
        <f t="shared" si="430"/>
        <v/>
      </c>
      <c r="AL363" s="418" t="str">
        <f t="shared" si="430"/>
        <v/>
      </c>
      <c r="AM363" s="418" t="str">
        <f t="shared" si="430"/>
        <v/>
      </c>
      <c r="AN363" s="418" t="str">
        <f t="shared" si="430"/>
        <v/>
      </c>
      <c r="AO363" s="418" t="str">
        <f t="shared" si="430"/>
        <v/>
      </c>
      <c r="AP363" s="418" t="str">
        <f t="shared" si="430"/>
        <v/>
      </c>
      <c r="AQ363" s="418" t="str">
        <f t="shared" si="430"/>
        <v/>
      </c>
      <c r="AR363" s="418" t="str">
        <f t="shared" si="430"/>
        <v/>
      </c>
      <c r="AS363" s="418" t="str">
        <f t="shared" si="430"/>
        <v/>
      </c>
      <c r="AT363" s="418" t="str">
        <f t="shared" si="430"/>
        <v/>
      </c>
      <c r="AU363" s="418" t="str">
        <f t="shared" si="430"/>
        <v/>
      </c>
      <c r="AV363" s="418" t="str">
        <f t="shared" si="430"/>
        <v/>
      </c>
      <c r="AW363" s="418" t="str">
        <f t="shared" si="430"/>
        <v/>
      </c>
      <c r="AX363" s="418" t="str">
        <f t="shared" si="430"/>
        <v/>
      </c>
      <c r="AY363" s="418" t="str">
        <f t="shared" si="430"/>
        <v/>
      </c>
      <c r="AZ363" s="418" t="str">
        <f t="shared" si="430"/>
        <v/>
      </c>
      <c r="BA363" s="418" t="str">
        <f t="shared" si="430"/>
        <v/>
      </c>
      <c r="BB363" s="418" t="str">
        <f t="shared" si="430"/>
        <v/>
      </c>
      <c r="BC363" s="418" t="str">
        <f t="shared" si="430"/>
        <v/>
      </c>
      <c r="BD363" s="418" t="str">
        <f t="shared" si="430"/>
        <v/>
      </c>
      <c r="BE363" s="418" t="str">
        <f t="shared" si="430"/>
        <v/>
      </c>
      <c r="BF363" s="418" t="str">
        <f t="shared" si="430"/>
        <v/>
      </c>
      <c r="BG363" s="418" t="str">
        <f t="shared" si="430"/>
        <v/>
      </c>
      <c r="BH363" s="418" t="str">
        <f t="shared" si="430"/>
        <v/>
      </c>
      <c r="BI363" s="418" t="str">
        <f t="shared" si="430"/>
        <v/>
      </c>
      <c r="BJ363" s="418" t="str">
        <f t="shared" si="430"/>
        <v/>
      </c>
      <c r="BK363" s="418" t="str">
        <f t="shared" si="430"/>
        <v/>
      </c>
      <c r="BL363" s="418" t="str">
        <f t="shared" si="430"/>
        <v/>
      </c>
      <c r="BM363" s="418" t="str">
        <f t="shared" si="430"/>
        <v/>
      </c>
      <c r="BN363" s="418" t="str">
        <f t="shared" si="430"/>
        <v/>
      </c>
      <c r="BO363" s="418" t="str">
        <f t="shared" si="430"/>
        <v/>
      </c>
      <c r="BP363" s="418" t="str">
        <f t="shared" si="430"/>
        <v/>
      </c>
      <c r="BQ363" s="418" t="str">
        <f t="shared" si="430"/>
        <v/>
      </c>
      <c r="BR363" s="418" t="str">
        <f t="shared" si="430"/>
        <v/>
      </c>
      <c r="BS363" s="418" t="str">
        <f t="shared" si="430"/>
        <v/>
      </c>
      <c r="BT363" s="418" t="str">
        <f t="shared" si="430"/>
        <v/>
      </c>
      <c r="BU363" s="418" t="str">
        <f t="shared" si="385"/>
        <v/>
      </c>
      <c r="BV363" s="544">
        <v>2.12</v>
      </c>
      <c r="BW363" s="723">
        <f t="shared" si="424"/>
        <v>1208.4</v>
      </c>
      <c r="BX363" s="724">
        <f t="shared" si="425"/>
        <v>9365.1</v>
      </c>
      <c r="BY363" s="725" t="str">
        <f t="shared" si="426"/>
        <v>SR</v>
      </c>
    </row>
    <row r="364" s="697" customFormat="1" customHeight="1" spans="1:77">
      <c r="A364" s="116">
        <v>46093</v>
      </c>
      <c r="B364" s="116">
        <v>46302</v>
      </c>
      <c r="C364" s="118">
        <v>8150979057</v>
      </c>
      <c r="D364" s="118" t="s">
        <v>567</v>
      </c>
      <c r="E364" s="118" t="s">
        <v>107</v>
      </c>
      <c r="F364" s="726">
        <v>345</v>
      </c>
      <c r="G364" s="123" t="s">
        <v>253</v>
      </c>
      <c r="H364" s="118" t="str">
        <f>IFERROR(VLOOKUP(E364,名称!A:E,4,0),"")</f>
        <v>三代</v>
      </c>
      <c r="I364" s="418" t="str">
        <f t="shared" ref="I364:BT364" si="431">IF(OR($E364="",I$1=""),"",IF(TRIM(LEFT($E364,MIN(IFERROR(FIND("CDU",UPPER($E364)),999),IFERROR(FIND("BULK",UPPER($E364)),999),IFERROR(FIND("-",$E364),999),IFERROR(FIND("（",$E364),999))-1))=I$1,$F364,""))</f>
        <v/>
      </c>
      <c r="J364" s="418" t="str">
        <f t="shared" si="431"/>
        <v/>
      </c>
      <c r="K364" s="418" t="str">
        <f t="shared" si="431"/>
        <v/>
      </c>
      <c r="L364" s="418" t="str">
        <f t="shared" si="431"/>
        <v/>
      </c>
      <c r="M364" s="418" t="str">
        <f t="shared" si="431"/>
        <v/>
      </c>
      <c r="N364" s="418" t="str">
        <f t="shared" si="431"/>
        <v/>
      </c>
      <c r="O364" s="418" t="str">
        <f t="shared" si="431"/>
        <v/>
      </c>
      <c r="P364" s="418" t="str">
        <f t="shared" si="431"/>
        <v/>
      </c>
      <c r="Q364" s="418" t="str">
        <f t="shared" si="431"/>
        <v/>
      </c>
      <c r="R364" s="418" t="str">
        <f t="shared" si="431"/>
        <v/>
      </c>
      <c r="S364" s="418" t="str">
        <f t="shared" si="431"/>
        <v/>
      </c>
      <c r="T364" s="418" t="str">
        <f t="shared" si="431"/>
        <v/>
      </c>
      <c r="U364" s="418" t="str">
        <f t="shared" si="431"/>
        <v/>
      </c>
      <c r="V364" s="418" t="str">
        <f t="shared" si="431"/>
        <v/>
      </c>
      <c r="W364" s="418" t="str">
        <f t="shared" si="431"/>
        <v/>
      </c>
      <c r="X364" s="418" t="str">
        <f t="shared" si="431"/>
        <v/>
      </c>
      <c r="Y364" s="418" t="str">
        <f t="shared" si="431"/>
        <v/>
      </c>
      <c r="Z364" s="418" t="str">
        <f t="shared" si="431"/>
        <v/>
      </c>
      <c r="AA364" s="418" t="str">
        <f t="shared" si="431"/>
        <v/>
      </c>
      <c r="AB364" s="418" t="str">
        <f t="shared" si="431"/>
        <v/>
      </c>
      <c r="AC364" s="418" t="str">
        <f t="shared" si="431"/>
        <v/>
      </c>
      <c r="AD364" s="418" t="str">
        <f t="shared" si="431"/>
        <v/>
      </c>
      <c r="AE364" s="418" t="str">
        <f t="shared" si="431"/>
        <v/>
      </c>
      <c r="AF364" s="418" t="str">
        <f t="shared" si="431"/>
        <v/>
      </c>
      <c r="AG364" s="418">
        <f t="shared" si="431"/>
        <v>345</v>
      </c>
      <c r="AH364" s="418" t="str">
        <f t="shared" si="431"/>
        <v/>
      </c>
      <c r="AI364" s="418" t="str">
        <f t="shared" si="431"/>
        <v/>
      </c>
      <c r="AJ364" s="418" t="str">
        <f t="shared" si="431"/>
        <v/>
      </c>
      <c r="AK364" s="418" t="str">
        <f t="shared" si="431"/>
        <v/>
      </c>
      <c r="AL364" s="418" t="str">
        <f t="shared" si="431"/>
        <v/>
      </c>
      <c r="AM364" s="418" t="str">
        <f t="shared" si="431"/>
        <v/>
      </c>
      <c r="AN364" s="418" t="str">
        <f t="shared" si="431"/>
        <v/>
      </c>
      <c r="AO364" s="418" t="str">
        <f t="shared" si="431"/>
        <v/>
      </c>
      <c r="AP364" s="418" t="str">
        <f t="shared" si="431"/>
        <v/>
      </c>
      <c r="AQ364" s="418" t="str">
        <f t="shared" si="431"/>
        <v/>
      </c>
      <c r="AR364" s="418" t="str">
        <f t="shared" si="431"/>
        <v/>
      </c>
      <c r="AS364" s="418" t="str">
        <f t="shared" si="431"/>
        <v/>
      </c>
      <c r="AT364" s="418" t="str">
        <f t="shared" si="431"/>
        <v/>
      </c>
      <c r="AU364" s="418" t="str">
        <f t="shared" si="431"/>
        <v/>
      </c>
      <c r="AV364" s="418" t="str">
        <f t="shared" si="431"/>
        <v/>
      </c>
      <c r="AW364" s="418" t="str">
        <f t="shared" si="431"/>
        <v/>
      </c>
      <c r="AX364" s="418" t="str">
        <f t="shared" si="431"/>
        <v/>
      </c>
      <c r="AY364" s="418" t="str">
        <f t="shared" si="431"/>
        <v/>
      </c>
      <c r="AZ364" s="418" t="str">
        <f t="shared" si="431"/>
        <v/>
      </c>
      <c r="BA364" s="418" t="str">
        <f t="shared" si="431"/>
        <v/>
      </c>
      <c r="BB364" s="418" t="str">
        <f t="shared" si="431"/>
        <v/>
      </c>
      <c r="BC364" s="418" t="str">
        <f t="shared" si="431"/>
        <v/>
      </c>
      <c r="BD364" s="418" t="str">
        <f t="shared" si="431"/>
        <v/>
      </c>
      <c r="BE364" s="418" t="str">
        <f t="shared" si="431"/>
        <v/>
      </c>
      <c r="BF364" s="418" t="str">
        <f t="shared" si="431"/>
        <v/>
      </c>
      <c r="BG364" s="418" t="str">
        <f t="shared" si="431"/>
        <v/>
      </c>
      <c r="BH364" s="418" t="str">
        <f t="shared" si="431"/>
        <v/>
      </c>
      <c r="BI364" s="418" t="str">
        <f t="shared" si="431"/>
        <v/>
      </c>
      <c r="BJ364" s="418" t="str">
        <f t="shared" si="431"/>
        <v/>
      </c>
      <c r="BK364" s="418" t="str">
        <f t="shared" si="431"/>
        <v/>
      </c>
      <c r="BL364" s="418" t="str">
        <f t="shared" si="431"/>
        <v/>
      </c>
      <c r="BM364" s="418" t="str">
        <f t="shared" si="431"/>
        <v/>
      </c>
      <c r="BN364" s="418" t="str">
        <f t="shared" si="431"/>
        <v/>
      </c>
      <c r="BO364" s="418" t="str">
        <f t="shared" si="431"/>
        <v/>
      </c>
      <c r="BP364" s="418" t="str">
        <f t="shared" si="431"/>
        <v/>
      </c>
      <c r="BQ364" s="418" t="str">
        <f t="shared" si="431"/>
        <v/>
      </c>
      <c r="BR364" s="418" t="str">
        <f t="shared" si="431"/>
        <v/>
      </c>
      <c r="BS364" s="418" t="str">
        <f t="shared" si="431"/>
        <v/>
      </c>
      <c r="BT364" s="418" t="str">
        <f t="shared" si="431"/>
        <v/>
      </c>
      <c r="BU364" s="418" t="str">
        <f t="shared" si="385"/>
        <v/>
      </c>
      <c r="BV364" s="544">
        <v>2.12</v>
      </c>
      <c r="BW364" s="723">
        <f t="shared" si="424"/>
        <v>731.4</v>
      </c>
      <c r="BX364" s="724">
        <f t="shared" si="425"/>
        <v>5668.35</v>
      </c>
      <c r="BY364" s="725" t="str">
        <f t="shared" si="426"/>
        <v>SR</v>
      </c>
    </row>
    <row r="365" s="698" customFormat="1" customHeight="1" spans="1:77">
      <c r="A365" s="208">
        <v>46094</v>
      </c>
      <c r="B365" s="208">
        <v>46188</v>
      </c>
      <c r="C365" s="211"/>
      <c r="D365" s="211" t="s">
        <v>568</v>
      </c>
      <c r="E365" s="211" t="s">
        <v>59</v>
      </c>
      <c r="F365" s="732">
        <v>6000</v>
      </c>
      <c r="G365" s="211" t="s">
        <v>510</v>
      </c>
      <c r="H365" s="211" t="str">
        <f>IFERROR(VLOOKUP(E365,名称!A:E,4,0),"")</f>
        <v>三代</v>
      </c>
      <c r="I365" s="268" t="str">
        <f t="shared" ref="I365:BT365" si="432">IF(OR($E365="",I$1=""),"",IF(TRIM(LEFT($E365,MIN(IFERROR(FIND("CDU",UPPER($E365)),999),IFERROR(FIND("BULK",UPPER($E365)),999),IFERROR(FIND("-",$E365),999),IFERROR(FIND("（",$E365),999))-1))=I$1,$F365,""))</f>
        <v/>
      </c>
      <c r="J365" s="268" t="str">
        <f t="shared" si="432"/>
        <v/>
      </c>
      <c r="K365" s="268" t="str">
        <f t="shared" si="432"/>
        <v/>
      </c>
      <c r="L365" s="268" t="str">
        <f t="shared" si="432"/>
        <v/>
      </c>
      <c r="M365" s="268" t="str">
        <f t="shared" si="432"/>
        <v/>
      </c>
      <c r="N365" s="268" t="str">
        <f t="shared" si="432"/>
        <v/>
      </c>
      <c r="O365" s="268" t="str">
        <f t="shared" si="432"/>
        <v/>
      </c>
      <c r="P365" s="268" t="str">
        <f t="shared" si="432"/>
        <v/>
      </c>
      <c r="Q365" s="268" t="str">
        <f t="shared" si="432"/>
        <v/>
      </c>
      <c r="R365" s="268" t="str">
        <f t="shared" si="432"/>
        <v/>
      </c>
      <c r="S365" s="268" t="str">
        <f t="shared" si="432"/>
        <v/>
      </c>
      <c r="T365" s="268" t="str">
        <f t="shared" si="432"/>
        <v/>
      </c>
      <c r="U365" s="268" t="str">
        <f t="shared" si="432"/>
        <v/>
      </c>
      <c r="V365" s="268" t="str">
        <f t="shared" si="432"/>
        <v/>
      </c>
      <c r="W365" s="268" t="str">
        <f t="shared" si="432"/>
        <v/>
      </c>
      <c r="X365" s="268" t="str">
        <f t="shared" si="432"/>
        <v/>
      </c>
      <c r="Y365" s="268" t="str">
        <f t="shared" si="432"/>
        <v/>
      </c>
      <c r="Z365" s="268" t="str">
        <f t="shared" si="432"/>
        <v/>
      </c>
      <c r="AA365" s="268" t="str">
        <f t="shared" si="432"/>
        <v/>
      </c>
      <c r="AB365" s="268" t="str">
        <f t="shared" si="432"/>
        <v/>
      </c>
      <c r="AC365" s="268" t="str">
        <f t="shared" si="432"/>
        <v/>
      </c>
      <c r="AD365" s="268">
        <f t="shared" si="432"/>
        <v>6000</v>
      </c>
      <c r="AE365" s="268" t="str">
        <f t="shared" si="432"/>
        <v/>
      </c>
      <c r="AF365" s="268" t="str">
        <f t="shared" si="432"/>
        <v/>
      </c>
      <c r="AG365" s="268" t="str">
        <f t="shared" si="432"/>
        <v/>
      </c>
      <c r="AH365" s="268" t="str">
        <f t="shared" si="432"/>
        <v/>
      </c>
      <c r="AI365" s="268" t="str">
        <f t="shared" si="432"/>
        <v/>
      </c>
      <c r="AJ365" s="268" t="str">
        <f t="shared" si="432"/>
        <v/>
      </c>
      <c r="AK365" s="268" t="str">
        <f t="shared" si="432"/>
        <v/>
      </c>
      <c r="AL365" s="268" t="str">
        <f t="shared" si="432"/>
        <v/>
      </c>
      <c r="AM365" s="268" t="str">
        <f t="shared" si="432"/>
        <v/>
      </c>
      <c r="AN365" s="268" t="str">
        <f t="shared" si="432"/>
        <v/>
      </c>
      <c r="AO365" s="268" t="str">
        <f t="shared" si="432"/>
        <v/>
      </c>
      <c r="AP365" s="268" t="str">
        <f t="shared" si="432"/>
        <v/>
      </c>
      <c r="AQ365" s="268" t="str">
        <f t="shared" si="432"/>
        <v/>
      </c>
      <c r="AR365" s="268" t="str">
        <f t="shared" si="432"/>
        <v/>
      </c>
      <c r="AS365" s="268" t="str">
        <f t="shared" si="432"/>
        <v/>
      </c>
      <c r="AT365" s="268" t="str">
        <f t="shared" si="432"/>
        <v/>
      </c>
      <c r="AU365" s="268" t="str">
        <f t="shared" si="432"/>
        <v/>
      </c>
      <c r="AV365" s="268" t="str">
        <f t="shared" si="432"/>
        <v/>
      </c>
      <c r="AW365" s="268" t="str">
        <f t="shared" si="432"/>
        <v/>
      </c>
      <c r="AX365" s="268" t="str">
        <f t="shared" si="432"/>
        <v/>
      </c>
      <c r="AY365" s="268" t="str">
        <f t="shared" si="432"/>
        <v/>
      </c>
      <c r="AZ365" s="268" t="str">
        <f t="shared" si="432"/>
        <v/>
      </c>
      <c r="BA365" s="268" t="str">
        <f t="shared" si="432"/>
        <v/>
      </c>
      <c r="BB365" s="268" t="str">
        <f t="shared" si="432"/>
        <v/>
      </c>
      <c r="BC365" s="268" t="str">
        <f t="shared" si="432"/>
        <v/>
      </c>
      <c r="BD365" s="268" t="str">
        <f t="shared" si="432"/>
        <v/>
      </c>
      <c r="BE365" s="268" t="str">
        <f t="shared" si="432"/>
        <v/>
      </c>
      <c r="BF365" s="268" t="str">
        <f t="shared" si="432"/>
        <v/>
      </c>
      <c r="BG365" s="268" t="str">
        <f t="shared" si="432"/>
        <v/>
      </c>
      <c r="BH365" s="268" t="str">
        <f t="shared" si="432"/>
        <v/>
      </c>
      <c r="BI365" s="268" t="str">
        <f t="shared" si="432"/>
        <v/>
      </c>
      <c r="BJ365" s="268" t="str">
        <f t="shared" si="432"/>
        <v/>
      </c>
      <c r="BK365" s="268" t="str">
        <f t="shared" si="432"/>
        <v/>
      </c>
      <c r="BL365" s="268" t="str">
        <f t="shared" si="432"/>
        <v/>
      </c>
      <c r="BM365" s="268" t="str">
        <f t="shared" si="432"/>
        <v/>
      </c>
      <c r="BN365" s="268" t="str">
        <f t="shared" si="432"/>
        <v/>
      </c>
      <c r="BO365" s="268" t="str">
        <f t="shared" si="432"/>
        <v/>
      </c>
      <c r="BP365" s="268" t="str">
        <f t="shared" si="432"/>
        <v/>
      </c>
      <c r="BQ365" s="268" t="str">
        <f t="shared" si="432"/>
        <v/>
      </c>
      <c r="BR365" s="268" t="str">
        <f t="shared" si="432"/>
        <v/>
      </c>
      <c r="BS365" s="268" t="str">
        <f t="shared" si="432"/>
        <v/>
      </c>
      <c r="BT365" s="268" t="str">
        <f t="shared" si="432"/>
        <v/>
      </c>
      <c r="BU365" s="268" t="str">
        <f t="shared" si="385"/>
        <v/>
      </c>
      <c r="BV365" s="247">
        <v>0.61</v>
      </c>
      <c r="BW365" s="729">
        <f t="shared" si="424"/>
        <v>3660</v>
      </c>
      <c r="BX365" s="730">
        <f t="shared" si="425"/>
        <v>28365</v>
      </c>
      <c r="BY365" s="731" t="str">
        <f t="shared" si="426"/>
        <v>SR</v>
      </c>
    </row>
    <row r="366" s="698" customFormat="1" customHeight="1" spans="1:77">
      <c r="A366" s="208">
        <v>46094</v>
      </c>
      <c r="B366" s="208">
        <v>46188</v>
      </c>
      <c r="C366" s="211"/>
      <c r="D366" s="211" t="s">
        <v>568</v>
      </c>
      <c r="E366" s="211" t="s">
        <v>66</v>
      </c>
      <c r="F366" s="732">
        <v>2400</v>
      </c>
      <c r="G366" s="211" t="s">
        <v>510</v>
      </c>
      <c r="H366" s="211" t="str">
        <f>IFERROR(VLOOKUP(E366,名称!A:E,4,0),"")</f>
        <v>三代</v>
      </c>
      <c r="I366" s="268" t="str">
        <f t="shared" ref="I366:BT366" si="433">IF(OR($E366="",I$1=""),"",IF(TRIM(LEFT($E366,MIN(IFERROR(FIND("CDU",UPPER($E366)),999),IFERROR(FIND("BULK",UPPER($E366)),999),IFERROR(FIND("-",$E366),999),IFERROR(FIND("（",$E366),999))-1))=I$1,$F366,""))</f>
        <v/>
      </c>
      <c r="J366" s="268" t="str">
        <f t="shared" si="433"/>
        <v/>
      </c>
      <c r="K366" s="268" t="str">
        <f t="shared" si="433"/>
        <v/>
      </c>
      <c r="L366" s="268" t="str">
        <f t="shared" si="433"/>
        <v/>
      </c>
      <c r="M366" s="268" t="str">
        <f t="shared" si="433"/>
        <v/>
      </c>
      <c r="N366" s="268" t="str">
        <f t="shared" si="433"/>
        <v/>
      </c>
      <c r="O366" s="268" t="str">
        <f t="shared" si="433"/>
        <v/>
      </c>
      <c r="P366" s="268" t="str">
        <f t="shared" si="433"/>
        <v/>
      </c>
      <c r="Q366" s="268" t="str">
        <f t="shared" si="433"/>
        <v/>
      </c>
      <c r="R366" s="268" t="str">
        <f t="shared" si="433"/>
        <v/>
      </c>
      <c r="S366" s="268" t="str">
        <f t="shared" si="433"/>
        <v/>
      </c>
      <c r="T366" s="268" t="str">
        <f t="shared" si="433"/>
        <v/>
      </c>
      <c r="U366" s="268" t="str">
        <f t="shared" si="433"/>
        <v/>
      </c>
      <c r="V366" s="268" t="str">
        <f t="shared" si="433"/>
        <v/>
      </c>
      <c r="W366" s="268" t="str">
        <f t="shared" si="433"/>
        <v/>
      </c>
      <c r="X366" s="268" t="str">
        <f t="shared" si="433"/>
        <v/>
      </c>
      <c r="Y366" s="268" t="str">
        <f t="shared" si="433"/>
        <v/>
      </c>
      <c r="Z366" s="268" t="str">
        <f t="shared" si="433"/>
        <v/>
      </c>
      <c r="AA366" s="268" t="str">
        <f t="shared" si="433"/>
        <v/>
      </c>
      <c r="AB366" s="268" t="str">
        <f t="shared" si="433"/>
        <v/>
      </c>
      <c r="AC366" s="268" t="str">
        <f t="shared" si="433"/>
        <v/>
      </c>
      <c r="AD366" s="268" t="str">
        <f t="shared" si="433"/>
        <v/>
      </c>
      <c r="AE366" s="268" t="str">
        <f t="shared" si="433"/>
        <v/>
      </c>
      <c r="AF366" s="268" t="str">
        <f t="shared" si="433"/>
        <v/>
      </c>
      <c r="AG366" s="268">
        <f t="shared" si="433"/>
        <v>2400</v>
      </c>
      <c r="AH366" s="268" t="str">
        <f t="shared" si="433"/>
        <v/>
      </c>
      <c r="AI366" s="268" t="str">
        <f t="shared" si="433"/>
        <v/>
      </c>
      <c r="AJ366" s="268" t="str">
        <f t="shared" si="433"/>
        <v/>
      </c>
      <c r="AK366" s="268" t="str">
        <f t="shared" si="433"/>
        <v/>
      </c>
      <c r="AL366" s="268" t="str">
        <f t="shared" si="433"/>
        <v/>
      </c>
      <c r="AM366" s="268" t="str">
        <f t="shared" si="433"/>
        <v/>
      </c>
      <c r="AN366" s="268" t="str">
        <f t="shared" si="433"/>
        <v/>
      </c>
      <c r="AO366" s="268" t="str">
        <f t="shared" si="433"/>
        <v/>
      </c>
      <c r="AP366" s="268" t="str">
        <f t="shared" si="433"/>
        <v/>
      </c>
      <c r="AQ366" s="268" t="str">
        <f t="shared" si="433"/>
        <v/>
      </c>
      <c r="AR366" s="268" t="str">
        <f t="shared" si="433"/>
        <v/>
      </c>
      <c r="AS366" s="268" t="str">
        <f t="shared" si="433"/>
        <v/>
      </c>
      <c r="AT366" s="268" t="str">
        <f t="shared" si="433"/>
        <v/>
      </c>
      <c r="AU366" s="268" t="str">
        <f t="shared" si="433"/>
        <v/>
      </c>
      <c r="AV366" s="268" t="str">
        <f t="shared" si="433"/>
        <v/>
      </c>
      <c r="AW366" s="268" t="str">
        <f t="shared" si="433"/>
        <v/>
      </c>
      <c r="AX366" s="268" t="str">
        <f t="shared" si="433"/>
        <v/>
      </c>
      <c r="AY366" s="268" t="str">
        <f t="shared" si="433"/>
        <v/>
      </c>
      <c r="AZ366" s="268" t="str">
        <f t="shared" si="433"/>
        <v/>
      </c>
      <c r="BA366" s="268" t="str">
        <f t="shared" si="433"/>
        <v/>
      </c>
      <c r="BB366" s="268" t="str">
        <f t="shared" si="433"/>
        <v/>
      </c>
      <c r="BC366" s="268" t="str">
        <f t="shared" si="433"/>
        <v/>
      </c>
      <c r="BD366" s="268" t="str">
        <f t="shared" si="433"/>
        <v/>
      </c>
      <c r="BE366" s="268" t="str">
        <f t="shared" si="433"/>
        <v/>
      </c>
      <c r="BF366" s="268" t="str">
        <f t="shared" si="433"/>
        <v/>
      </c>
      <c r="BG366" s="268" t="str">
        <f t="shared" si="433"/>
        <v/>
      </c>
      <c r="BH366" s="268" t="str">
        <f t="shared" si="433"/>
        <v/>
      </c>
      <c r="BI366" s="268" t="str">
        <f t="shared" si="433"/>
        <v/>
      </c>
      <c r="BJ366" s="268" t="str">
        <f t="shared" si="433"/>
        <v/>
      </c>
      <c r="BK366" s="268" t="str">
        <f t="shared" si="433"/>
        <v/>
      </c>
      <c r="BL366" s="268" t="str">
        <f t="shared" si="433"/>
        <v/>
      </c>
      <c r="BM366" s="268" t="str">
        <f t="shared" si="433"/>
        <v/>
      </c>
      <c r="BN366" s="268" t="str">
        <f t="shared" si="433"/>
        <v/>
      </c>
      <c r="BO366" s="268" t="str">
        <f t="shared" si="433"/>
        <v/>
      </c>
      <c r="BP366" s="268" t="str">
        <f t="shared" si="433"/>
        <v/>
      </c>
      <c r="BQ366" s="268" t="str">
        <f t="shared" si="433"/>
        <v/>
      </c>
      <c r="BR366" s="268" t="str">
        <f t="shared" si="433"/>
        <v/>
      </c>
      <c r="BS366" s="268" t="str">
        <f t="shared" si="433"/>
        <v/>
      </c>
      <c r="BT366" s="268" t="str">
        <f t="shared" si="433"/>
        <v/>
      </c>
      <c r="BU366" s="268" t="str">
        <f t="shared" si="385"/>
        <v/>
      </c>
      <c r="BV366" s="247">
        <v>1.99</v>
      </c>
      <c r="BW366" s="729">
        <f t="shared" si="424"/>
        <v>4776</v>
      </c>
      <c r="BX366" s="730">
        <f t="shared" si="425"/>
        <v>37014</v>
      </c>
      <c r="BY366" s="731" t="str">
        <f t="shared" si="426"/>
        <v>SR</v>
      </c>
    </row>
    <row r="367" s="698" customFormat="1" customHeight="1" spans="1:77">
      <c r="A367" s="208">
        <v>46094</v>
      </c>
      <c r="B367" s="208">
        <v>46188</v>
      </c>
      <c r="C367" s="211"/>
      <c r="D367" s="211" t="s">
        <v>568</v>
      </c>
      <c r="E367" s="211" t="s">
        <v>72</v>
      </c>
      <c r="F367" s="732">
        <v>3000</v>
      </c>
      <c r="G367" s="211" t="s">
        <v>510</v>
      </c>
      <c r="H367" s="211" t="str">
        <f>IFERROR(VLOOKUP(E367,名称!A:E,4,0),"")</f>
        <v>三代</v>
      </c>
      <c r="I367" s="268" t="str">
        <f t="shared" ref="I367:BT367" si="434">IF(OR($E367="",I$1=""),"",IF(TRIM(LEFT($E367,MIN(IFERROR(FIND("CDU",UPPER($E367)),999),IFERROR(FIND("BULK",UPPER($E367)),999),IFERROR(FIND("-",$E367),999),IFERROR(FIND("（",$E367),999))-1))=I$1,$F367,""))</f>
        <v/>
      </c>
      <c r="J367" s="268" t="str">
        <f t="shared" si="434"/>
        <v/>
      </c>
      <c r="K367" s="268" t="str">
        <f t="shared" si="434"/>
        <v/>
      </c>
      <c r="L367" s="268" t="str">
        <f t="shared" si="434"/>
        <v/>
      </c>
      <c r="M367" s="268" t="str">
        <f t="shared" si="434"/>
        <v/>
      </c>
      <c r="N367" s="268" t="str">
        <f t="shared" si="434"/>
        <v/>
      </c>
      <c r="O367" s="268" t="str">
        <f t="shared" si="434"/>
        <v/>
      </c>
      <c r="P367" s="268" t="str">
        <f t="shared" si="434"/>
        <v/>
      </c>
      <c r="Q367" s="268" t="str">
        <f t="shared" si="434"/>
        <v/>
      </c>
      <c r="R367" s="268" t="str">
        <f t="shared" si="434"/>
        <v/>
      </c>
      <c r="S367" s="268" t="str">
        <f t="shared" si="434"/>
        <v/>
      </c>
      <c r="T367" s="268" t="str">
        <f t="shared" si="434"/>
        <v/>
      </c>
      <c r="U367" s="268" t="str">
        <f t="shared" si="434"/>
        <v/>
      </c>
      <c r="V367" s="268" t="str">
        <f t="shared" si="434"/>
        <v/>
      </c>
      <c r="W367" s="268" t="str">
        <f t="shared" si="434"/>
        <v/>
      </c>
      <c r="X367" s="268" t="str">
        <f t="shared" si="434"/>
        <v/>
      </c>
      <c r="Y367" s="268" t="str">
        <f t="shared" si="434"/>
        <v/>
      </c>
      <c r="Z367" s="268" t="str">
        <f t="shared" si="434"/>
        <v/>
      </c>
      <c r="AA367" s="268" t="str">
        <f t="shared" si="434"/>
        <v/>
      </c>
      <c r="AB367" s="268" t="str">
        <f t="shared" si="434"/>
        <v/>
      </c>
      <c r="AC367" s="268" t="str">
        <f t="shared" si="434"/>
        <v/>
      </c>
      <c r="AD367" s="268" t="str">
        <f t="shared" si="434"/>
        <v/>
      </c>
      <c r="AE367" s="268" t="str">
        <f t="shared" si="434"/>
        <v/>
      </c>
      <c r="AF367" s="268" t="str">
        <f t="shared" si="434"/>
        <v/>
      </c>
      <c r="AG367" s="268" t="str">
        <f t="shared" si="434"/>
        <v/>
      </c>
      <c r="AH367" s="268" t="str">
        <f t="shared" si="434"/>
        <v/>
      </c>
      <c r="AI367" s="268" t="str">
        <f t="shared" si="434"/>
        <v/>
      </c>
      <c r="AJ367" s="268" t="str">
        <f t="shared" si="434"/>
        <v/>
      </c>
      <c r="AK367" s="268" t="str">
        <f t="shared" si="434"/>
        <v/>
      </c>
      <c r="AL367" s="268">
        <f t="shared" si="434"/>
        <v>3000</v>
      </c>
      <c r="AM367" s="268" t="str">
        <f t="shared" si="434"/>
        <v/>
      </c>
      <c r="AN367" s="268" t="str">
        <f t="shared" si="434"/>
        <v/>
      </c>
      <c r="AO367" s="268" t="str">
        <f t="shared" si="434"/>
        <v/>
      </c>
      <c r="AP367" s="268" t="str">
        <f t="shared" si="434"/>
        <v/>
      </c>
      <c r="AQ367" s="268" t="str">
        <f t="shared" si="434"/>
        <v/>
      </c>
      <c r="AR367" s="268" t="str">
        <f t="shared" si="434"/>
        <v/>
      </c>
      <c r="AS367" s="268" t="str">
        <f t="shared" si="434"/>
        <v/>
      </c>
      <c r="AT367" s="268" t="str">
        <f t="shared" si="434"/>
        <v/>
      </c>
      <c r="AU367" s="268" t="str">
        <f t="shared" si="434"/>
        <v/>
      </c>
      <c r="AV367" s="268" t="str">
        <f t="shared" si="434"/>
        <v/>
      </c>
      <c r="AW367" s="268" t="str">
        <f t="shared" si="434"/>
        <v/>
      </c>
      <c r="AX367" s="268" t="str">
        <f t="shared" si="434"/>
        <v/>
      </c>
      <c r="AY367" s="268" t="str">
        <f t="shared" si="434"/>
        <v/>
      </c>
      <c r="AZ367" s="268" t="str">
        <f t="shared" si="434"/>
        <v/>
      </c>
      <c r="BA367" s="268" t="str">
        <f t="shared" si="434"/>
        <v/>
      </c>
      <c r="BB367" s="268" t="str">
        <f t="shared" si="434"/>
        <v/>
      </c>
      <c r="BC367" s="268" t="str">
        <f t="shared" si="434"/>
        <v/>
      </c>
      <c r="BD367" s="268" t="str">
        <f t="shared" si="434"/>
        <v/>
      </c>
      <c r="BE367" s="268" t="str">
        <f t="shared" si="434"/>
        <v/>
      </c>
      <c r="BF367" s="268" t="str">
        <f t="shared" si="434"/>
        <v/>
      </c>
      <c r="BG367" s="268" t="str">
        <f t="shared" si="434"/>
        <v/>
      </c>
      <c r="BH367" s="268" t="str">
        <f t="shared" si="434"/>
        <v/>
      </c>
      <c r="BI367" s="268" t="str">
        <f t="shared" si="434"/>
        <v/>
      </c>
      <c r="BJ367" s="268" t="str">
        <f t="shared" si="434"/>
        <v/>
      </c>
      <c r="BK367" s="268" t="str">
        <f t="shared" si="434"/>
        <v/>
      </c>
      <c r="BL367" s="268" t="str">
        <f t="shared" si="434"/>
        <v/>
      </c>
      <c r="BM367" s="268" t="str">
        <f t="shared" si="434"/>
        <v/>
      </c>
      <c r="BN367" s="268" t="str">
        <f t="shared" si="434"/>
        <v/>
      </c>
      <c r="BO367" s="268" t="str">
        <f t="shared" si="434"/>
        <v/>
      </c>
      <c r="BP367" s="268" t="str">
        <f t="shared" si="434"/>
        <v/>
      </c>
      <c r="BQ367" s="268" t="str">
        <f t="shared" si="434"/>
        <v/>
      </c>
      <c r="BR367" s="268" t="str">
        <f t="shared" si="434"/>
        <v/>
      </c>
      <c r="BS367" s="268" t="str">
        <f t="shared" si="434"/>
        <v/>
      </c>
      <c r="BT367" s="268" t="str">
        <f t="shared" si="434"/>
        <v/>
      </c>
      <c r="BU367" s="268" t="str">
        <f t="shared" si="385"/>
        <v/>
      </c>
      <c r="BV367" s="247">
        <v>1.55</v>
      </c>
      <c r="BW367" s="729">
        <f t="shared" si="424"/>
        <v>4650</v>
      </c>
      <c r="BX367" s="730">
        <f t="shared" si="425"/>
        <v>36037.5</v>
      </c>
      <c r="BY367" s="731" t="str">
        <f t="shared" si="426"/>
        <v>SR</v>
      </c>
    </row>
    <row r="368" s="698" customFormat="1" customHeight="1" spans="1:77">
      <c r="A368" s="208">
        <v>46094</v>
      </c>
      <c r="B368" s="208">
        <v>46188</v>
      </c>
      <c r="C368" s="211"/>
      <c r="D368" s="211" t="s">
        <v>568</v>
      </c>
      <c r="E368" s="211" t="s">
        <v>85</v>
      </c>
      <c r="F368" s="732">
        <v>7200</v>
      </c>
      <c r="G368" s="211" t="s">
        <v>510</v>
      </c>
      <c r="H368" s="211" t="str">
        <f>IFERROR(VLOOKUP(E368,名称!A:E,4,0),"")</f>
        <v>三代</v>
      </c>
      <c r="I368" s="268" t="str">
        <f t="shared" ref="I368:BT368" si="435">IF(OR($E368="",I$1=""),"",IF(TRIM(LEFT($E368,MIN(IFERROR(FIND("CDU",UPPER($E368)),999),IFERROR(FIND("BULK",UPPER($E368)),999),IFERROR(FIND("-",$E368),999),IFERROR(FIND("（",$E368),999))-1))=I$1,$F368,""))</f>
        <v/>
      </c>
      <c r="J368" s="268" t="str">
        <f t="shared" si="435"/>
        <v/>
      </c>
      <c r="K368" s="268" t="str">
        <f t="shared" si="435"/>
        <v/>
      </c>
      <c r="L368" s="268" t="str">
        <f t="shared" si="435"/>
        <v/>
      </c>
      <c r="M368" s="268" t="str">
        <f t="shared" si="435"/>
        <v/>
      </c>
      <c r="N368" s="268" t="str">
        <f t="shared" si="435"/>
        <v/>
      </c>
      <c r="O368" s="268" t="str">
        <f t="shared" si="435"/>
        <v/>
      </c>
      <c r="P368" s="268" t="str">
        <f t="shared" si="435"/>
        <v/>
      </c>
      <c r="Q368" s="268" t="str">
        <f t="shared" si="435"/>
        <v/>
      </c>
      <c r="R368" s="268" t="str">
        <f t="shared" si="435"/>
        <v/>
      </c>
      <c r="S368" s="268" t="str">
        <f t="shared" si="435"/>
        <v/>
      </c>
      <c r="T368" s="268" t="str">
        <f t="shared" si="435"/>
        <v/>
      </c>
      <c r="U368" s="268" t="str">
        <f t="shared" si="435"/>
        <v/>
      </c>
      <c r="V368" s="268" t="str">
        <f t="shared" si="435"/>
        <v/>
      </c>
      <c r="W368" s="268" t="str">
        <f t="shared" si="435"/>
        <v/>
      </c>
      <c r="X368" s="268" t="str">
        <f t="shared" si="435"/>
        <v/>
      </c>
      <c r="Y368" s="268" t="str">
        <f t="shared" si="435"/>
        <v/>
      </c>
      <c r="Z368" s="268" t="str">
        <f t="shared" si="435"/>
        <v/>
      </c>
      <c r="AA368" s="268" t="str">
        <f t="shared" si="435"/>
        <v/>
      </c>
      <c r="AB368" s="268" t="str">
        <f t="shared" si="435"/>
        <v/>
      </c>
      <c r="AC368" s="268" t="str">
        <f t="shared" si="435"/>
        <v/>
      </c>
      <c r="AD368" s="268" t="str">
        <f t="shared" si="435"/>
        <v/>
      </c>
      <c r="AE368" s="268" t="str">
        <f t="shared" si="435"/>
        <v/>
      </c>
      <c r="AF368" s="268" t="str">
        <f t="shared" si="435"/>
        <v/>
      </c>
      <c r="AG368" s="268" t="str">
        <f t="shared" si="435"/>
        <v/>
      </c>
      <c r="AH368" s="268" t="str">
        <f t="shared" si="435"/>
        <v/>
      </c>
      <c r="AI368" s="268" t="str">
        <f t="shared" si="435"/>
        <v/>
      </c>
      <c r="AJ368" s="268" t="str">
        <f t="shared" si="435"/>
        <v/>
      </c>
      <c r="AK368" s="268" t="str">
        <f t="shared" si="435"/>
        <v/>
      </c>
      <c r="AL368" s="268" t="str">
        <f t="shared" si="435"/>
        <v/>
      </c>
      <c r="AM368" s="268" t="str">
        <f t="shared" si="435"/>
        <v/>
      </c>
      <c r="AN368" s="268">
        <f t="shared" si="435"/>
        <v>7200</v>
      </c>
      <c r="AO368" s="268" t="str">
        <f t="shared" si="435"/>
        <v/>
      </c>
      <c r="AP368" s="268" t="str">
        <f t="shared" si="435"/>
        <v/>
      </c>
      <c r="AQ368" s="268" t="str">
        <f t="shared" si="435"/>
        <v/>
      </c>
      <c r="AR368" s="268" t="str">
        <f t="shared" si="435"/>
        <v/>
      </c>
      <c r="AS368" s="268" t="str">
        <f t="shared" si="435"/>
        <v/>
      </c>
      <c r="AT368" s="268" t="str">
        <f t="shared" si="435"/>
        <v/>
      </c>
      <c r="AU368" s="268" t="str">
        <f t="shared" si="435"/>
        <v/>
      </c>
      <c r="AV368" s="268" t="str">
        <f t="shared" si="435"/>
        <v/>
      </c>
      <c r="AW368" s="268" t="str">
        <f t="shared" si="435"/>
        <v/>
      </c>
      <c r="AX368" s="268" t="str">
        <f t="shared" si="435"/>
        <v/>
      </c>
      <c r="AY368" s="268" t="str">
        <f t="shared" si="435"/>
        <v/>
      </c>
      <c r="AZ368" s="268" t="str">
        <f t="shared" si="435"/>
        <v/>
      </c>
      <c r="BA368" s="268" t="str">
        <f t="shared" si="435"/>
        <v/>
      </c>
      <c r="BB368" s="268" t="str">
        <f t="shared" si="435"/>
        <v/>
      </c>
      <c r="BC368" s="268" t="str">
        <f t="shared" si="435"/>
        <v/>
      </c>
      <c r="BD368" s="268" t="str">
        <f t="shared" si="435"/>
        <v/>
      </c>
      <c r="BE368" s="268" t="str">
        <f t="shared" si="435"/>
        <v/>
      </c>
      <c r="BF368" s="268" t="str">
        <f t="shared" si="435"/>
        <v/>
      </c>
      <c r="BG368" s="268" t="str">
        <f t="shared" si="435"/>
        <v/>
      </c>
      <c r="BH368" s="268" t="str">
        <f t="shared" si="435"/>
        <v/>
      </c>
      <c r="BI368" s="268" t="str">
        <f t="shared" si="435"/>
        <v/>
      </c>
      <c r="BJ368" s="268" t="str">
        <f t="shared" si="435"/>
        <v/>
      </c>
      <c r="BK368" s="268" t="str">
        <f t="shared" si="435"/>
        <v/>
      </c>
      <c r="BL368" s="268" t="str">
        <f t="shared" si="435"/>
        <v/>
      </c>
      <c r="BM368" s="268" t="str">
        <f t="shared" si="435"/>
        <v/>
      </c>
      <c r="BN368" s="268" t="str">
        <f t="shared" si="435"/>
        <v/>
      </c>
      <c r="BO368" s="268" t="str">
        <f t="shared" si="435"/>
        <v/>
      </c>
      <c r="BP368" s="268" t="str">
        <f t="shared" si="435"/>
        <v/>
      </c>
      <c r="BQ368" s="268" t="str">
        <f t="shared" si="435"/>
        <v/>
      </c>
      <c r="BR368" s="268" t="str">
        <f t="shared" si="435"/>
        <v/>
      </c>
      <c r="BS368" s="268" t="str">
        <f t="shared" si="435"/>
        <v/>
      </c>
      <c r="BT368" s="268" t="str">
        <f t="shared" si="435"/>
        <v/>
      </c>
      <c r="BU368" s="268" t="str">
        <f t="shared" si="385"/>
        <v/>
      </c>
      <c r="BV368" s="247">
        <v>0.86</v>
      </c>
      <c r="BW368" s="729">
        <f t="shared" si="424"/>
        <v>6192</v>
      </c>
      <c r="BX368" s="730">
        <f t="shared" si="425"/>
        <v>47988</v>
      </c>
      <c r="BY368" s="731" t="str">
        <f t="shared" si="426"/>
        <v>SR</v>
      </c>
    </row>
    <row r="369" s="698" customFormat="1" customHeight="1" spans="1:77">
      <c r="A369" s="208">
        <v>46094</v>
      </c>
      <c r="B369" s="208">
        <v>46188</v>
      </c>
      <c r="C369" s="211"/>
      <c r="D369" s="211" t="s">
        <v>568</v>
      </c>
      <c r="E369" s="211" t="s">
        <v>68</v>
      </c>
      <c r="F369" s="732">
        <v>1200</v>
      </c>
      <c r="G369" s="211" t="s">
        <v>510</v>
      </c>
      <c r="H369" s="211" t="str">
        <f>IFERROR(VLOOKUP(E369,名称!A:E,4,0),"")</f>
        <v>三代</v>
      </c>
      <c r="I369" s="268" t="str">
        <f t="shared" ref="I369:BT369" si="436">IF(OR($E369="",I$1=""),"",IF(TRIM(LEFT($E369,MIN(IFERROR(FIND("CDU",UPPER($E369)),999),IFERROR(FIND("BULK",UPPER($E369)),999),IFERROR(FIND("-",$E369),999),IFERROR(FIND("（",$E369),999))-1))=I$1,$F369,""))</f>
        <v/>
      </c>
      <c r="J369" s="268" t="str">
        <f t="shared" si="436"/>
        <v/>
      </c>
      <c r="K369" s="268" t="str">
        <f t="shared" si="436"/>
        <v/>
      </c>
      <c r="L369" s="268" t="str">
        <f t="shared" si="436"/>
        <v/>
      </c>
      <c r="M369" s="268" t="str">
        <f t="shared" si="436"/>
        <v/>
      </c>
      <c r="N369" s="268" t="str">
        <f t="shared" si="436"/>
        <v/>
      </c>
      <c r="O369" s="268" t="str">
        <f t="shared" si="436"/>
        <v/>
      </c>
      <c r="P369" s="268" t="str">
        <f t="shared" si="436"/>
        <v/>
      </c>
      <c r="Q369" s="268" t="str">
        <f t="shared" si="436"/>
        <v/>
      </c>
      <c r="R369" s="268" t="str">
        <f t="shared" si="436"/>
        <v/>
      </c>
      <c r="S369" s="268" t="str">
        <f t="shared" si="436"/>
        <v/>
      </c>
      <c r="T369" s="268" t="str">
        <f t="shared" si="436"/>
        <v/>
      </c>
      <c r="U369" s="268" t="str">
        <f t="shared" si="436"/>
        <v/>
      </c>
      <c r="V369" s="268" t="str">
        <f t="shared" si="436"/>
        <v/>
      </c>
      <c r="W369" s="268" t="str">
        <f t="shared" si="436"/>
        <v/>
      </c>
      <c r="X369" s="268" t="str">
        <f t="shared" si="436"/>
        <v/>
      </c>
      <c r="Y369" s="268" t="str">
        <f t="shared" si="436"/>
        <v/>
      </c>
      <c r="Z369" s="268" t="str">
        <f t="shared" si="436"/>
        <v/>
      </c>
      <c r="AA369" s="268" t="str">
        <f t="shared" si="436"/>
        <v/>
      </c>
      <c r="AB369" s="268" t="str">
        <f t="shared" si="436"/>
        <v/>
      </c>
      <c r="AC369" s="268" t="str">
        <f t="shared" si="436"/>
        <v/>
      </c>
      <c r="AD369" s="268" t="str">
        <f t="shared" si="436"/>
        <v/>
      </c>
      <c r="AE369" s="268" t="str">
        <f t="shared" si="436"/>
        <v/>
      </c>
      <c r="AF369" s="268" t="str">
        <f t="shared" si="436"/>
        <v/>
      </c>
      <c r="AG369" s="268" t="str">
        <f t="shared" si="436"/>
        <v/>
      </c>
      <c r="AH369" s="268">
        <f t="shared" si="436"/>
        <v>1200</v>
      </c>
      <c r="AI369" s="268" t="str">
        <f t="shared" si="436"/>
        <v/>
      </c>
      <c r="AJ369" s="268" t="str">
        <f t="shared" si="436"/>
        <v/>
      </c>
      <c r="AK369" s="268" t="str">
        <f t="shared" si="436"/>
        <v/>
      </c>
      <c r="AL369" s="268" t="str">
        <f t="shared" si="436"/>
        <v/>
      </c>
      <c r="AM369" s="268" t="str">
        <f t="shared" si="436"/>
        <v/>
      </c>
      <c r="AN369" s="268" t="str">
        <f t="shared" si="436"/>
        <v/>
      </c>
      <c r="AO369" s="268" t="str">
        <f t="shared" si="436"/>
        <v/>
      </c>
      <c r="AP369" s="268" t="str">
        <f t="shared" si="436"/>
        <v/>
      </c>
      <c r="AQ369" s="268" t="str">
        <f t="shared" si="436"/>
        <v/>
      </c>
      <c r="AR369" s="268" t="str">
        <f t="shared" si="436"/>
        <v/>
      </c>
      <c r="AS369" s="268" t="str">
        <f t="shared" si="436"/>
        <v/>
      </c>
      <c r="AT369" s="268" t="str">
        <f t="shared" si="436"/>
        <v/>
      </c>
      <c r="AU369" s="268" t="str">
        <f t="shared" si="436"/>
        <v/>
      </c>
      <c r="AV369" s="268" t="str">
        <f t="shared" si="436"/>
        <v/>
      </c>
      <c r="AW369" s="268" t="str">
        <f t="shared" si="436"/>
        <v/>
      </c>
      <c r="AX369" s="268" t="str">
        <f t="shared" si="436"/>
        <v/>
      </c>
      <c r="AY369" s="268" t="str">
        <f t="shared" si="436"/>
        <v/>
      </c>
      <c r="AZ369" s="268" t="str">
        <f t="shared" si="436"/>
        <v/>
      </c>
      <c r="BA369" s="268" t="str">
        <f t="shared" si="436"/>
        <v/>
      </c>
      <c r="BB369" s="268" t="str">
        <f t="shared" si="436"/>
        <v/>
      </c>
      <c r="BC369" s="268" t="str">
        <f t="shared" si="436"/>
        <v/>
      </c>
      <c r="BD369" s="268" t="str">
        <f t="shared" si="436"/>
        <v/>
      </c>
      <c r="BE369" s="268" t="str">
        <f t="shared" si="436"/>
        <v/>
      </c>
      <c r="BF369" s="268" t="str">
        <f t="shared" si="436"/>
        <v/>
      </c>
      <c r="BG369" s="268" t="str">
        <f t="shared" si="436"/>
        <v/>
      </c>
      <c r="BH369" s="268" t="str">
        <f t="shared" si="436"/>
        <v/>
      </c>
      <c r="BI369" s="268" t="str">
        <f t="shared" si="436"/>
        <v/>
      </c>
      <c r="BJ369" s="268" t="str">
        <f t="shared" si="436"/>
        <v/>
      </c>
      <c r="BK369" s="268" t="str">
        <f t="shared" si="436"/>
        <v/>
      </c>
      <c r="BL369" s="268" t="str">
        <f t="shared" si="436"/>
        <v/>
      </c>
      <c r="BM369" s="268" t="str">
        <f t="shared" si="436"/>
        <v/>
      </c>
      <c r="BN369" s="268" t="str">
        <f t="shared" si="436"/>
        <v/>
      </c>
      <c r="BO369" s="268" t="str">
        <f t="shared" si="436"/>
        <v/>
      </c>
      <c r="BP369" s="268" t="str">
        <f t="shared" si="436"/>
        <v/>
      </c>
      <c r="BQ369" s="268" t="str">
        <f t="shared" si="436"/>
        <v/>
      </c>
      <c r="BR369" s="268" t="str">
        <f t="shared" si="436"/>
        <v/>
      </c>
      <c r="BS369" s="268" t="str">
        <f t="shared" si="436"/>
        <v/>
      </c>
      <c r="BT369" s="268" t="str">
        <f t="shared" si="436"/>
        <v/>
      </c>
      <c r="BU369" s="268" t="str">
        <f t="shared" si="385"/>
        <v/>
      </c>
      <c r="BV369" s="247">
        <v>2.99</v>
      </c>
      <c r="BW369" s="729">
        <f t="shared" si="424"/>
        <v>3588</v>
      </c>
      <c r="BX369" s="730">
        <f t="shared" si="425"/>
        <v>27807</v>
      </c>
      <c r="BY369" s="731" t="str">
        <f t="shared" si="426"/>
        <v>SR</v>
      </c>
    </row>
    <row r="370" s="698" customFormat="1" customHeight="1" spans="1:77">
      <c r="A370" s="208">
        <v>46094</v>
      </c>
      <c r="B370" s="208">
        <v>46157</v>
      </c>
      <c r="C370" s="211"/>
      <c r="D370" s="211" t="s">
        <v>569</v>
      </c>
      <c r="E370" s="211" t="s">
        <v>109</v>
      </c>
      <c r="F370" s="732">
        <v>2400</v>
      </c>
      <c r="G370" s="211" t="s">
        <v>510</v>
      </c>
      <c r="H370" s="211" t="str">
        <f>IFERROR(VLOOKUP(E370,名称!A:E,4,0),"")</f>
        <v>三代</v>
      </c>
      <c r="I370" s="268" t="str">
        <f t="shared" ref="I370:BT370" si="437">IF(OR($E370="",I$1=""),"",IF(TRIM(LEFT($E370,MIN(IFERROR(FIND("CDU",UPPER($E370)),999),IFERROR(FIND("BULK",UPPER($E370)),999),IFERROR(FIND("-",$E370),999),IFERROR(FIND("（",$E370),999))-1))=I$1,$F370,""))</f>
        <v/>
      </c>
      <c r="J370" s="268" t="str">
        <f t="shared" si="437"/>
        <v/>
      </c>
      <c r="K370" s="268" t="str">
        <f t="shared" si="437"/>
        <v/>
      </c>
      <c r="L370" s="268" t="str">
        <f t="shared" si="437"/>
        <v/>
      </c>
      <c r="M370" s="268" t="str">
        <f t="shared" si="437"/>
        <v/>
      </c>
      <c r="N370" s="268" t="str">
        <f t="shared" si="437"/>
        <v/>
      </c>
      <c r="O370" s="268" t="str">
        <f t="shared" si="437"/>
        <v/>
      </c>
      <c r="P370" s="268" t="str">
        <f t="shared" si="437"/>
        <v/>
      </c>
      <c r="Q370" s="268" t="str">
        <f t="shared" si="437"/>
        <v/>
      </c>
      <c r="R370" s="268" t="str">
        <f t="shared" si="437"/>
        <v/>
      </c>
      <c r="S370" s="268" t="str">
        <f t="shared" si="437"/>
        <v/>
      </c>
      <c r="T370" s="268" t="str">
        <f t="shared" si="437"/>
        <v/>
      </c>
      <c r="U370" s="268" t="str">
        <f t="shared" si="437"/>
        <v/>
      </c>
      <c r="V370" s="268" t="str">
        <f t="shared" si="437"/>
        <v/>
      </c>
      <c r="W370" s="268" t="str">
        <f t="shared" si="437"/>
        <v/>
      </c>
      <c r="X370" s="268" t="str">
        <f t="shared" si="437"/>
        <v/>
      </c>
      <c r="Y370" s="268" t="str">
        <f t="shared" si="437"/>
        <v/>
      </c>
      <c r="Z370" s="268" t="str">
        <f t="shared" si="437"/>
        <v/>
      </c>
      <c r="AA370" s="268" t="str">
        <f t="shared" si="437"/>
        <v/>
      </c>
      <c r="AB370" s="268" t="str">
        <f t="shared" si="437"/>
        <v/>
      </c>
      <c r="AC370" s="268" t="str">
        <f t="shared" si="437"/>
        <v/>
      </c>
      <c r="AD370" s="268" t="str">
        <f t="shared" si="437"/>
        <v/>
      </c>
      <c r="AE370" s="268" t="str">
        <f t="shared" si="437"/>
        <v/>
      </c>
      <c r="AF370" s="268" t="str">
        <f t="shared" si="437"/>
        <v/>
      </c>
      <c r="AG370" s="268" t="str">
        <f t="shared" si="437"/>
        <v/>
      </c>
      <c r="AH370" s="268" t="str">
        <f t="shared" si="437"/>
        <v/>
      </c>
      <c r="AI370" s="268" t="str">
        <f t="shared" si="437"/>
        <v/>
      </c>
      <c r="AJ370" s="268" t="str">
        <f t="shared" si="437"/>
        <v/>
      </c>
      <c r="AK370" s="268" t="str">
        <f t="shared" si="437"/>
        <v/>
      </c>
      <c r="AL370" s="268" t="str">
        <f t="shared" si="437"/>
        <v/>
      </c>
      <c r="AM370" s="268" t="str">
        <f t="shared" si="437"/>
        <v/>
      </c>
      <c r="AN370" s="268" t="str">
        <f t="shared" si="437"/>
        <v/>
      </c>
      <c r="AO370" s="268" t="str">
        <f t="shared" si="437"/>
        <v/>
      </c>
      <c r="AP370" s="268" t="str">
        <f t="shared" si="437"/>
        <v/>
      </c>
      <c r="AQ370" s="268" t="str">
        <f t="shared" si="437"/>
        <v/>
      </c>
      <c r="AR370" s="268" t="str">
        <f t="shared" si="437"/>
        <v/>
      </c>
      <c r="AS370" s="268" t="str">
        <f t="shared" si="437"/>
        <v/>
      </c>
      <c r="AT370" s="268" t="str">
        <f t="shared" si="437"/>
        <v/>
      </c>
      <c r="AU370" s="268" t="str">
        <f t="shared" si="437"/>
        <v/>
      </c>
      <c r="AV370" s="268" t="str">
        <f t="shared" si="437"/>
        <v/>
      </c>
      <c r="AW370" s="268" t="str">
        <f t="shared" si="437"/>
        <v/>
      </c>
      <c r="AX370" s="268" t="str">
        <f t="shared" si="437"/>
        <v/>
      </c>
      <c r="AY370" s="268" t="str">
        <f t="shared" si="437"/>
        <v/>
      </c>
      <c r="AZ370" s="268" t="str">
        <f t="shared" si="437"/>
        <v/>
      </c>
      <c r="BA370" s="268" t="str">
        <f t="shared" si="437"/>
        <v/>
      </c>
      <c r="BB370" s="268" t="str">
        <f t="shared" si="437"/>
        <v/>
      </c>
      <c r="BC370" s="268">
        <f t="shared" si="437"/>
        <v>2400</v>
      </c>
      <c r="BD370" s="268" t="str">
        <f t="shared" si="437"/>
        <v/>
      </c>
      <c r="BE370" s="268" t="str">
        <f t="shared" si="437"/>
        <v/>
      </c>
      <c r="BF370" s="268" t="str">
        <f t="shared" si="437"/>
        <v/>
      </c>
      <c r="BG370" s="268" t="str">
        <f t="shared" si="437"/>
        <v/>
      </c>
      <c r="BH370" s="268" t="str">
        <f t="shared" si="437"/>
        <v/>
      </c>
      <c r="BI370" s="268" t="str">
        <f t="shared" si="437"/>
        <v/>
      </c>
      <c r="BJ370" s="268" t="str">
        <f t="shared" si="437"/>
        <v/>
      </c>
      <c r="BK370" s="268" t="str">
        <f t="shared" si="437"/>
        <v/>
      </c>
      <c r="BL370" s="268" t="str">
        <f t="shared" si="437"/>
        <v/>
      </c>
      <c r="BM370" s="268" t="str">
        <f t="shared" si="437"/>
        <v/>
      </c>
      <c r="BN370" s="268" t="str">
        <f t="shared" si="437"/>
        <v/>
      </c>
      <c r="BO370" s="268" t="str">
        <f t="shared" si="437"/>
        <v/>
      </c>
      <c r="BP370" s="268" t="str">
        <f t="shared" si="437"/>
        <v/>
      </c>
      <c r="BQ370" s="268" t="str">
        <f t="shared" si="437"/>
        <v/>
      </c>
      <c r="BR370" s="268" t="str">
        <f t="shared" si="437"/>
        <v/>
      </c>
      <c r="BS370" s="268" t="str">
        <f t="shared" si="437"/>
        <v/>
      </c>
      <c r="BT370" s="268" t="str">
        <f t="shared" si="437"/>
        <v/>
      </c>
      <c r="BU370" s="268" t="str">
        <f t="shared" si="385"/>
        <v/>
      </c>
      <c r="BV370" s="247">
        <v>0.61</v>
      </c>
      <c r="BW370" s="729">
        <f t="shared" si="424"/>
        <v>1464</v>
      </c>
      <c r="BX370" s="730">
        <f t="shared" si="425"/>
        <v>11346</v>
      </c>
      <c r="BY370" s="731" t="str">
        <f t="shared" si="426"/>
        <v>JS</v>
      </c>
    </row>
    <row r="371" s="698" customFormat="1" customHeight="1" spans="1:77">
      <c r="A371" s="208">
        <v>46094</v>
      </c>
      <c r="B371" s="208">
        <v>46157</v>
      </c>
      <c r="C371" s="211"/>
      <c r="D371" s="211" t="s">
        <v>569</v>
      </c>
      <c r="E371" s="211" t="s">
        <v>59</v>
      </c>
      <c r="F371" s="732">
        <v>2400</v>
      </c>
      <c r="G371" s="211" t="s">
        <v>510</v>
      </c>
      <c r="H371" s="211" t="str">
        <f>IFERROR(VLOOKUP(E371,名称!A:E,4,0),"")</f>
        <v>三代</v>
      </c>
      <c r="I371" s="268" t="str">
        <f t="shared" ref="I371:BT371" si="438">IF(OR($E371="",I$1=""),"",IF(TRIM(LEFT($E371,MIN(IFERROR(FIND("CDU",UPPER($E371)),999),IFERROR(FIND("BULK",UPPER($E371)),999),IFERROR(FIND("-",$E371),999),IFERROR(FIND("（",$E371),999))-1))=I$1,$F371,""))</f>
        <v/>
      </c>
      <c r="J371" s="268" t="str">
        <f t="shared" si="438"/>
        <v/>
      </c>
      <c r="K371" s="268" t="str">
        <f t="shared" si="438"/>
        <v/>
      </c>
      <c r="L371" s="268" t="str">
        <f t="shared" si="438"/>
        <v/>
      </c>
      <c r="M371" s="268" t="str">
        <f t="shared" si="438"/>
        <v/>
      </c>
      <c r="N371" s="268" t="str">
        <f t="shared" si="438"/>
        <v/>
      </c>
      <c r="O371" s="268" t="str">
        <f t="shared" si="438"/>
        <v/>
      </c>
      <c r="P371" s="268" t="str">
        <f t="shared" si="438"/>
        <v/>
      </c>
      <c r="Q371" s="268" t="str">
        <f t="shared" si="438"/>
        <v/>
      </c>
      <c r="R371" s="268" t="str">
        <f t="shared" si="438"/>
        <v/>
      </c>
      <c r="S371" s="268" t="str">
        <f t="shared" si="438"/>
        <v/>
      </c>
      <c r="T371" s="268" t="str">
        <f t="shared" si="438"/>
        <v/>
      </c>
      <c r="U371" s="268" t="str">
        <f t="shared" si="438"/>
        <v/>
      </c>
      <c r="V371" s="268" t="str">
        <f t="shared" si="438"/>
        <v/>
      </c>
      <c r="W371" s="268" t="str">
        <f t="shared" si="438"/>
        <v/>
      </c>
      <c r="X371" s="268" t="str">
        <f t="shared" si="438"/>
        <v/>
      </c>
      <c r="Y371" s="268" t="str">
        <f t="shared" si="438"/>
        <v/>
      </c>
      <c r="Z371" s="268" t="str">
        <f t="shared" si="438"/>
        <v/>
      </c>
      <c r="AA371" s="268" t="str">
        <f t="shared" si="438"/>
        <v/>
      </c>
      <c r="AB371" s="268" t="str">
        <f t="shared" si="438"/>
        <v/>
      </c>
      <c r="AC371" s="268" t="str">
        <f t="shared" si="438"/>
        <v/>
      </c>
      <c r="AD371" s="268">
        <f t="shared" si="438"/>
        <v>2400</v>
      </c>
      <c r="AE371" s="268" t="str">
        <f t="shared" si="438"/>
        <v/>
      </c>
      <c r="AF371" s="268" t="str">
        <f t="shared" si="438"/>
        <v/>
      </c>
      <c r="AG371" s="268" t="str">
        <f t="shared" si="438"/>
        <v/>
      </c>
      <c r="AH371" s="268" t="str">
        <f t="shared" si="438"/>
        <v/>
      </c>
      <c r="AI371" s="268" t="str">
        <f t="shared" si="438"/>
        <v/>
      </c>
      <c r="AJ371" s="268" t="str">
        <f t="shared" si="438"/>
        <v/>
      </c>
      <c r="AK371" s="268" t="str">
        <f t="shared" si="438"/>
        <v/>
      </c>
      <c r="AL371" s="268" t="str">
        <f t="shared" si="438"/>
        <v/>
      </c>
      <c r="AM371" s="268" t="str">
        <f t="shared" si="438"/>
        <v/>
      </c>
      <c r="AN371" s="268" t="str">
        <f t="shared" si="438"/>
        <v/>
      </c>
      <c r="AO371" s="268" t="str">
        <f t="shared" si="438"/>
        <v/>
      </c>
      <c r="AP371" s="268" t="str">
        <f t="shared" si="438"/>
        <v/>
      </c>
      <c r="AQ371" s="268" t="str">
        <f t="shared" si="438"/>
        <v/>
      </c>
      <c r="AR371" s="268" t="str">
        <f t="shared" si="438"/>
        <v/>
      </c>
      <c r="AS371" s="268" t="str">
        <f t="shared" si="438"/>
        <v/>
      </c>
      <c r="AT371" s="268" t="str">
        <f t="shared" si="438"/>
        <v/>
      </c>
      <c r="AU371" s="268" t="str">
        <f t="shared" si="438"/>
        <v/>
      </c>
      <c r="AV371" s="268" t="str">
        <f t="shared" si="438"/>
        <v/>
      </c>
      <c r="AW371" s="268" t="str">
        <f t="shared" si="438"/>
        <v/>
      </c>
      <c r="AX371" s="268" t="str">
        <f t="shared" si="438"/>
        <v/>
      </c>
      <c r="AY371" s="268" t="str">
        <f t="shared" si="438"/>
        <v/>
      </c>
      <c r="AZ371" s="268" t="str">
        <f t="shared" si="438"/>
        <v/>
      </c>
      <c r="BA371" s="268" t="str">
        <f t="shared" si="438"/>
        <v/>
      </c>
      <c r="BB371" s="268" t="str">
        <f t="shared" si="438"/>
        <v/>
      </c>
      <c r="BC371" s="268" t="str">
        <f t="shared" si="438"/>
        <v/>
      </c>
      <c r="BD371" s="268" t="str">
        <f t="shared" si="438"/>
        <v/>
      </c>
      <c r="BE371" s="268" t="str">
        <f t="shared" si="438"/>
        <v/>
      </c>
      <c r="BF371" s="268" t="str">
        <f t="shared" si="438"/>
        <v/>
      </c>
      <c r="BG371" s="268" t="str">
        <f t="shared" si="438"/>
        <v/>
      </c>
      <c r="BH371" s="268" t="str">
        <f t="shared" si="438"/>
        <v/>
      </c>
      <c r="BI371" s="268" t="str">
        <f t="shared" si="438"/>
        <v/>
      </c>
      <c r="BJ371" s="268" t="str">
        <f t="shared" si="438"/>
        <v/>
      </c>
      <c r="BK371" s="268" t="str">
        <f t="shared" si="438"/>
        <v/>
      </c>
      <c r="BL371" s="268" t="str">
        <f t="shared" si="438"/>
        <v/>
      </c>
      <c r="BM371" s="268" t="str">
        <f t="shared" si="438"/>
        <v/>
      </c>
      <c r="BN371" s="268" t="str">
        <f t="shared" si="438"/>
        <v/>
      </c>
      <c r="BO371" s="268" t="str">
        <f t="shared" si="438"/>
        <v/>
      </c>
      <c r="BP371" s="268" t="str">
        <f t="shared" si="438"/>
        <v/>
      </c>
      <c r="BQ371" s="268" t="str">
        <f t="shared" si="438"/>
        <v/>
      </c>
      <c r="BR371" s="268" t="str">
        <f t="shared" si="438"/>
        <v/>
      </c>
      <c r="BS371" s="268" t="str">
        <f t="shared" si="438"/>
        <v/>
      </c>
      <c r="BT371" s="268" t="str">
        <f t="shared" si="438"/>
        <v/>
      </c>
      <c r="BU371" s="268" t="str">
        <f t="shared" si="385"/>
        <v/>
      </c>
      <c r="BV371" s="247">
        <v>0.64</v>
      </c>
      <c r="BW371" s="729">
        <f t="shared" si="424"/>
        <v>1536</v>
      </c>
      <c r="BX371" s="730">
        <f t="shared" si="425"/>
        <v>11904</v>
      </c>
      <c r="BY371" s="731" t="str">
        <f t="shared" si="426"/>
        <v>SR</v>
      </c>
    </row>
    <row r="372" s="698" customFormat="1" customHeight="1" spans="1:77">
      <c r="A372" s="208">
        <v>46094</v>
      </c>
      <c r="B372" s="208">
        <v>46157</v>
      </c>
      <c r="C372" s="211"/>
      <c r="D372" s="211" t="s">
        <v>569</v>
      </c>
      <c r="E372" s="211" t="s">
        <v>66</v>
      </c>
      <c r="F372" s="732">
        <v>1200</v>
      </c>
      <c r="G372" s="211" t="s">
        <v>510</v>
      </c>
      <c r="H372" s="211" t="str">
        <f>IFERROR(VLOOKUP(E372,名称!A:E,4,0),"")</f>
        <v>三代</v>
      </c>
      <c r="I372" s="268" t="str">
        <f t="shared" ref="I372:BT372" si="439">IF(OR($E372="",I$1=""),"",IF(TRIM(LEFT($E372,MIN(IFERROR(FIND("CDU",UPPER($E372)),999),IFERROR(FIND("BULK",UPPER($E372)),999),IFERROR(FIND("-",$E372),999),IFERROR(FIND("（",$E372),999))-1))=I$1,$F372,""))</f>
        <v/>
      </c>
      <c r="J372" s="268" t="str">
        <f t="shared" si="439"/>
        <v/>
      </c>
      <c r="K372" s="268" t="str">
        <f t="shared" si="439"/>
        <v/>
      </c>
      <c r="L372" s="268" t="str">
        <f t="shared" si="439"/>
        <v/>
      </c>
      <c r="M372" s="268" t="str">
        <f t="shared" si="439"/>
        <v/>
      </c>
      <c r="N372" s="268" t="str">
        <f t="shared" si="439"/>
        <v/>
      </c>
      <c r="O372" s="268" t="str">
        <f t="shared" si="439"/>
        <v/>
      </c>
      <c r="P372" s="268" t="str">
        <f t="shared" si="439"/>
        <v/>
      </c>
      <c r="Q372" s="268" t="str">
        <f t="shared" si="439"/>
        <v/>
      </c>
      <c r="R372" s="268" t="str">
        <f t="shared" si="439"/>
        <v/>
      </c>
      <c r="S372" s="268" t="str">
        <f t="shared" si="439"/>
        <v/>
      </c>
      <c r="T372" s="268" t="str">
        <f t="shared" si="439"/>
        <v/>
      </c>
      <c r="U372" s="268" t="str">
        <f t="shared" si="439"/>
        <v/>
      </c>
      <c r="V372" s="268" t="str">
        <f t="shared" si="439"/>
        <v/>
      </c>
      <c r="W372" s="268" t="str">
        <f t="shared" si="439"/>
        <v/>
      </c>
      <c r="X372" s="268" t="str">
        <f t="shared" si="439"/>
        <v/>
      </c>
      <c r="Y372" s="268" t="str">
        <f t="shared" si="439"/>
        <v/>
      </c>
      <c r="Z372" s="268" t="str">
        <f t="shared" si="439"/>
        <v/>
      </c>
      <c r="AA372" s="268" t="str">
        <f t="shared" si="439"/>
        <v/>
      </c>
      <c r="AB372" s="268" t="str">
        <f t="shared" si="439"/>
        <v/>
      </c>
      <c r="AC372" s="268" t="str">
        <f t="shared" si="439"/>
        <v/>
      </c>
      <c r="AD372" s="268" t="str">
        <f t="shared" si="439"/>
        <v/>
      </c>
      <c r="AE372" s="268" t="str">
        <f t="shared" si="439"/>
        <v/>
      </c>
      <c r="AF372" s="268" t="str">
        <f t="shared" si="439"/>
        <v/>
      </c>
      <c r="AG372" s="268">
        <f t="shared" si="439"/>
        <v>1200</v>
      </c>
      <c r="AH372" s="268" t="str">
        <f t="shared" si="439"/>
        <v/>
      </c>
      <c r="AI372" s="268" t="str">
        <f t="shared" si="439"/>
        <v/>
      </c>
      <c r="AJ372" s="268" t="str">
        <f t="shared" si="439"/>
        <v/>
      </c>
      <c r="AK372" s="268" t="str">
        <f t="shared" si="439"/>
        <v/>
      </c>
      <c r="AL372" s="268" t="str">
        <f t="shared" si="439"/>
        <v/>
      </c>
      <c r="AM372" s="268" t="str">
        <f t="shared" si="439"/>
        <v/>
      </c>
      <c r="AN372" s="268" t="str">
        <f t="shared" si="439"/>
        <v/>
      </c>
      <c r="AO372" s="268" t="str">
        <f t="shared" si="439"/>
        <v/>
      </c>
      <c r="AP372" s="268" t="str">
        <f t="shared" si="439"/>
        <v/>
      </c>
      <c r="AQ372" s="268" t="str">
        <f t="shared" si="439"/>
        <v/>
      </c>
      <c r="AR372" s="268" t="str">
        <f t="shared" si="439"/>
        <v/>
      </c>
      <c r="AS372" s="268" t="str">
        <f t="shared" si="439"/>
        <v/>
      </c>
      <c r="AT372" s="268" t="str">
        <f t="shared" si="439"/>
        <v/>
      </c>
      <c r="AU372" s="268" t="str">
        <f t="shared" si="439"/>
        <v/>
      </c>
      <c r="AV372" s="268" t="str">
        <f t="shared" si="439"/>
        <v/>
      </c>
      <c r="AW372" s="268" t="str">
        <f t="shared" si="439"/>
        <v/>
      </c>
      <c r="AX372" s="268" t="str">
        <f t="shared" si="439"/>
        <v/>
      </c>
      <c r="AY372" s="268" t="str">
        <f t="shared" si="439"/>
        <v/>
      </c>
      <c r="AZ372" s="268" t="str">
        <f t="shared" si="439"/>
        <v/>
      </c>
      <c r="BA372" s="268" t="str">
        <f t="shared" si="439"/>
        <v/>
      </c>
      <c r="BB372" s="268" t="str">
        <f t="shared" si="439"/>
        <v/>
      </c>
      <c r="BC372" s="268" t="str">
        <f t="shared" si="439"/>
        <v/>
      </c>
      <c r="BD372" s="268" t="str">
        <f t="shared" si="439"/>
        <v/>
      </c>
      <c r="BE372" s="268" t="str">
        <f t="shared" si="439"/>
        <v/>
      </c>
      <c r="BF372" s="268" t="str">
        <f t="shared" si="439"/>
        <v/>
      </c>
      <c r="BG372" s="268" t="str">
        <f t="shared" si="439"/>
        <v/>
      </c>
      <c r="BH372" s="268" t="str">
        <f t="shared" si="439"/>
        <v/>
      </c>
      <c r="BI372" s="268" t="str">
        <f t="shared" si="439"/>
        <v/>
      </c>
      <c r="BJ372" s="268" t="str">
        <f t="shared" si="439"/>
        <v/>
      </c>
      <c r="BK372" s="268" t="str">
        <f t="shared" si="439"/>
        <v/>
      </c>
      <c r="BL372" s="268" t="str">
        <f t="shared" si="439"/>
        <v/>
      </c>
      <c r="BM372" s="268" t="str">
        <f t="shared" si="439"/>
        <v/>
      </c>
      <c r="BN372" s="268" t="str">
        <f t="shared" si="439"/>
        <v/>
      </c>
      <c r="BO372" s="268" t="str">
        <f t="shared" si="439"/>
        <v/>
      </c>
      <c r="BP372" s="268" t="str">
        <f t="shared" si="439"/>
        <v/>
      </c>
      <c r="BQ372" s="268" t="str">
        <f t="shared" si="439"/>
        <v/>
      </c>
      <c r="BR372" s="268" t="str">
        <f t="shared" si="439"/>
        <v/>
      </c>
      <c r="BS372" s="268" t="str">
        <f t="shared" si="439"/>
        <v/>
      </c>
      <c r="BT372" s="268" t="str">
        <f t="shared" si="439"/>
        <v/>
      </c>
      <c r="BU372" s="268" t="str">
        <f t="shared" si="385"/>
        <v/>
      </c>
      <c r="BV372" s="247">
        <v>2.04</v>
      </c>
      <c r="BW372" s="729">
        <f t="shared" si="424"/>
        <v>2448</v>
      </c>
      <c r="BX372" s="730">
        <f t="shared" si="425"/>
        <v>18972</v>
      </c>
      <c r="BY372" s="731" t="str">
        <f t="shared" si="426"/>
        <v>SR</v>
      </c>
    </row>
    <row r="373" s="698" customFormat="1" customHeight="1" spans="1:77">
      <c r="A373" s="208">
        <v>46094</v>
      </c>
      <c r="B373" s="208">
        <v>46157</v>
      </c>
      <c r="C373" s="211"/>
      <c r="D373" s="211" t="s">
        <v>569</v>
      </c>
      <c r="E373" s="211" t="s">
        <v>68</v>
      </c>
      <c r="F373" s="732">
        <v>400</v>
      </c>
      <c r="G373" s="211" t="s">
        <v>510</v>
      </c>
      <c r="H373" s="211" t="str">
        <f>IFERROR(VLOOKUP(E373,名称!A:E,4,0),"")</f>
        <v>三代</v>
      </c>
      <c r="I373" s="268" t="str">
        <f t="shared" ref="I373:BT373" si="440">IF(OR($E373="",I$1=""),"",IF(TRIM(LEFT($E373,MIN(IFERROR(FIND("CDU",UPPER($E373)),999),IFERROR(FIND("BULK",UPPER($E373)),999),IFERROR(FIND("-",$E373),999),IFERROR(FIND("（",$E373),999))-1))=I$1,$F373,""))</f>
        <v/>
      </c>
      <c r="J373" s="268" t="str">
        <f t="shared" si="440"/>
        <v/>
      </c>
      <c r="K373" s="268" t="str">
        <f t="shared" si="440"/>
        <v/>
      </c>
      <c r="L373" s="268" t="str">
        <f t="shared" si="440"/>
        <v/>
      </c>
      <c r="M373" s="268" t="str">
        <f t="shared" si="440"/>
        <v/>
      </c>
      <c r="N373" s="268" t="str">
        <f t="shared" si="440"/>
        <v/>
      </c>
      <c r="O373" s="268" t="str">
        <f t="shared" si="440"/>
        <v/>
      </c>
      <c r="P373" s="268" t="str">
        <f t="shared" si="440"/>
        <v/>
      </c>
      <c r="Q373" s="268" t="str">
        <f t="shared" si="440"/>
        <v/>
      </c>
      <c r="R373" s="268" t="str">
        <f t="shared" si="440"/>
        <v/>
      </c>
      <c r="S373" s="268" t="str">
        <f t="shared" si="440"/>
        <v/>
      </c>
      <c r="T373" s="268" t="str">
        <f t="shared" si="440"/>
        <v/>
      </c>
      <c r="U373" s="268" t="str">
        <f t="shared" si="440"/>
        <v/>
      </c>
      <c r="V373" s="268" t="str">
        <f t="shared" si="440"/>
        <v/>
      </c>
      <c r="W373" s="268" t="str">
        <f t="shared" si="440"/>
        <v/>
      </c>
      <c r="X373" s="268" t="str">
        <f t="shared" si="440"/>
        <v/>
      </c>
      <c r="Y373" s="268" t="str">
        <f t="shared" si="440"/>
        <v/>
      </c>
      <c r="Z373" s="268" t="str">
        <f t="shared" si="440"/>
        <v/>
      </c>
      <c r="AA373" s="268" t="str">
        <f t="shared" si="440"/>
        <v/>
      </c>
      <c r="AB373" s="268" t="str">
        <f t="shared" si="440"/>
        <v/>
      </c>
      <c r="AC373" s="268" t="str">
        <f t="shared" si="440"/>
        <v/>
      </c>
      <c r="AD373" s="268" t="str">
        <f t="shared" si="440"/>
        <v/>
      </c>
      <c r="AE373" s="268" t="str">
        <f t="shared" si="440"/>
        <v/>
      </c>
      <c r="AF373" s="268" t="str">
        <f t="shared" si="440"/>
        <v/>
      </c>
      <c r="AG373" s="268" t="str">
        <f t="shared" si="440"/>
        <v/>
      </c>
      <c r="AH373" s="268">
        <f t="shared" si="440"/>
        <v>400</v>
      </c>
      <c r="AI373" s="268" t="str">
        <f t="shared" si="440"/>
        <v/>
      </c>
      <c r="AJ373" s="268" t="str">
        <f t="shared" si="440"/>
        <v/>
      </c>
      <c r="AK373" s="268" t="str">
        <f t="shared" si="440"/>
        <v/>
      </c>
      <c r="AL373" s="268" t="str">
        <f t="shared" si="440"/>
        <v/>
      </c>
      <c r="AM373" s="268" t="str">
        <f t="shared" si="440"/>
        <v/>
      </c>
      <c r="AN373" s="268" t="str">
        <f t="shared" si="440"/>
        <v/>
      </c>
      <c r="AO373" s="268" t="str">
        <f t="shared" si="440"/>
        <v/>
      </c>
      <c r="AP373" s="268" t="str">
        <f t="shared" si="440"/>
        <v/>
      </c>
      <c r="AQ373" s="268" t="str">
        <f t="shared" si="440"/>
        <v/>
      </c>
      <c r="AR373" s="268" t="str">
        <f t="shared" si="440"/>
        <v/>
      </c>
      <c r="AS373" s="268" t="str">
        <f t="shared" si="440"/>
        <v/>
      </c>
      <c r="AT373" s="268" t="str">
        <f t="shared" si="440"/>
        <v/>
      </c>
      <c r="AU373" s="268" t="str">
        <f t="shared" si="440"/>
        <v/>
      </c>
      <c r="AV373" s="268" t="str">
        <f t="shared" si="440"/>
        <v/>
      </c>
      <c r="AW373" s="268" t="str">
        <f t="shared" si="440"/>
        <v/>
      </c>
      <c r="AX373" s="268" t="str">
        <f t="shared" si="440"/>
        <v/>
      </c>
      <c r="AY373" s="268" t="str">
        <f t="shared" si="440"/>
        <v/>
      </c>
      <c r="AZ373" s="268" t="str">
        <f t="shared" si="440"/>
        <v/>
      </c>
      <c r="BA373" s="268" t="str">
        <f t="shared" si="440"/>
        <v/>
      </c>
      <c r="BB373" s="268" t="str">
        <f t="shared" si="440"/>
        <v/>
      </c>
      <c r="BC373" s="268" t="str">
        <f t="shared" si="440"/>
        <v/>
      </c>
      <c r="BD373" s="268" t="str">
        <f t="shared" si="440"/>
        <v/>
      </c>
      <c r="BE373" s="268" t="str">
        <f t="shared" si="440"/>
        <v/>
      </c>
      <c r="BF373" s="268" t="str">
        <f t="shared" si="440"/>
        <v/>
      </c>
      <c r="BG373" s="268" t="str">
        <f t="shared" si="440"/>
        <v/>
      </c>
      <c r="BH373" s="268" t="str">
        <f t="shared" si="440"/>
        <v/>
      </c>
      <c r="BI373" s="268" t="str">
        <f t="shared" si="440"/>
        <v/>
      </c>
      <c r="BJ373" s="268" t="str">
        <f t="shared" si="440"/>
        <v/>
      </c>
      <c r="BK373" s="268" t="str">
        <f t="shared" si="440"/>
        <v/>
      </c>
      <c r="BL373" s="268" t="str">
        <f t="shared" si="440"/>
        <v/>
      </c>
      <c r="BM373" s="268" t="str">
        <f t="shared" si="440"/>
        <v/>
      </c>
      <c r="BN373" s="268" t="str">
        <f t="shared" si="440"/>
        <v/>
      </c>
      <c r="BO373" s="268" t="str">
        <f t="shared" si="440"/>
        <v/>
      </c>
      <c r="BP373" s="268" t="str">
        <f t="shared" si="440"/>
        <v/>
      </c>
      <c r="BQ373" s="268" t="str">
        <f t="shared" si="440"/>
        <v/>
      </c>
      <c r="BR373" s="268" t="str">
        <f t="shared" si="440"/>
        <v/>
      </c>
      <c r="BS373" s="268" t="str">
        <f t="shared" si="440"/>
        <v/>
      </c>
      <c r="BT373" s="268" t="str">
        <f t="shared" si="440"/>
        <v/>
      </c>
      <c r="BU373" s="268" t="str">
        <f t="shared" si="385"/>
        <v/>
      </c>
      <c r="BV373" s="247">
        <v>3.12</v>
      </c>
      <c r="BW373" s="729">
        <f t="shared" si="424"/>
        <v>1248</v>
      </c>
      <c r="BX373" s="730">
        <f t="shared" si="425"/>
        <v>9672</v>
      </c>
      <c r="BY373" s="731" t="str">
        <f t="shared" si="426"/>
        <v>SR</v>
      </c>
    </row>
    <row r="374" s="698" customFormat="1" customHeight="1" spans="1:77">
      <c r="A374" s="208">
        <v>46094</v>
      </c>
      <c r="B374" s="208">
        <v>46157</v>
      </c>
      <c r="C374" s="211"/>
      <c r="D374" s="211" t="s">
        <v>569</v>
      </c>
      <c r="E374" s="211" t="s">
        <v>112</v>
      </c>
      <c r="F374" s="732">
        <v>300</v>
      </c>
      <c r="G374" s="211" t="s">
        <v>510</v>
      </c>
      <c r="H374" s="211" t="str">
        <f>IFERROR(VLOOKUP(E374,名称!A:E,4,0),"")</f>
        <v>三代</v>
      </c>
      <c r="I374" s="268" t="str">
        <f t="shared" ref="I374:BT374" si="441">IF(OR($E374="",I$1=""),"",IF(TRIM(LEFT($E374,MIN(IFERROR(FIND("CDU",UPPER($E374)),999),IFERROR(FIND("BULK",UPPER($E374)),999),IFERROR(FIND("-",$E374),999),IFERROR(FIND("（",$E374),999))-1))=I$1,$F374,""))</f>
        <v/>
      </c>
      <c r="J374" s="268" t="str">
        <f t="shared" si="441"/>
        <v/>
      </c>
      <c r="K374" s="268" t="str">
        <f t="shared" si="441"/>
        <v/>
      </c>
      <c r="L374" s="268" t="str">
        <f t="shared" si="441"/>
        <v/>
      </c>
      <c r="M374" s="268" t="str">
        <f t="shared" si="441"/>
        <v/>
      </c>
      <c r="N374" s="268" t="str">
        <f t="shared" si="441"/>
        <v/>
      </c>
      <c r="O374" s="268" t="str">
        <f t="shared" si="441"/>
        <v/>
      </c>
      <c r="P374" s="268" t="str">
        <f t="shared" si="441"/>
        <v/>
      </c>
      <c r="Q374" s="268" t="str">
        <f t="shared" si="441"/>
        <v/>
      </c>
      <c r="R374" s="268" t="str">
        <f t="shared" si="441"/>
        <v/>
      </c>
      <c r="S374" s="268" t="str">
        <f t="shared" si="441"/>
        <v/>
      </c>
      <c r="T374" s="268" t="str">
        <f t="shared" si="441"/>
        <v/>
      </c>
      <c r="U374" s="268" t="str">
        <f t="shared" si="441"/>
        <v/>
      </c>
      <c r="V374" s="268" t="str">
        <f t="shared" si="441"/>
        <v/>
      </c>
      <c r="W374" s="268" t="str">
        <f t="shared" si="441"/>
        <v/>
      </c>
      <c r="X374" s="268" t="str">
        <f t="shared" si="441"/>
        <v/>
      </c>
      <c r="Y374" s="268" t="str">
        <f t="shared" si="441"/>
        <v/>
      </c>
      <c r="Z374" s="268" t="str">
        <f t="shared" si="441"/>
        <v/>
      </c>
      <c r="AA374" s="268" t="str">
        <f t="shared" si="441"/>
        <v/>
      </c>
      <c r="AB374" s="268" t="str">
        <f t="shared" si="441"/>
        <v/>
      </c>
      <c r="AC374" s="268" t="str">
        <f t="shared" si="441"/>
        <v/>
      </c>
      <c r="AD374" s="268" t="str">
        <f t="shared" si="441"/>
        <v/>
      </c>
      <c r="AE374" s="268" t="str">
        <f t="shared" si="441"/>
        <v/>
      </c>
      <c r="AF374" s="268" t="str">
        <f t="shared" si="441"/>
        <v/>
      </c>
      <c r="AG374" s="268" t="str">
        <f t="shared" si="441"/>
        <v/>
      </c>
      <c r="AH374" s="268" t="str">
        <f t="shared" si="441"/>
        <v/>
      </c>
      <c r="AI374" s="268">
        <f t="shared" si="441"/>
        <v>300</v>
      </c>
      <c r="AJ374" s="268" t="str">
        <f t="shared" si="441"/>
        <v/>
      </c>
      <c r="AK374" s="268" t="str">
        <f t="shared" si="441"/>
        <v/>
      </c>
      <c r="AL374" s="268" t="str">
        <f t="shared" si="441"/>
        <v/>
      </c>
      <c r="AM374" s="268" t="str">
        <f t="shared" si="441"/>
        <v/>
      </c>
      <c r="AN374" s="268" t="str">
        <f t="shared" si="441"/>
        <v/>
      </c>
      <c r="AO374" s="268" t="str">
        <f t="shared" si="441"/>
        <v/>
      </c>
      <c r="AP374" s="268" t="str">
        <f t="shared" si="441"/>
        <v/>
      </c>
      <c r="AQ374" s="268" t="str">
        <f t="shared" si="441"/>
        <v/>
      </c>
      <c r="AR374" s="268" t="str">
        <f t="shared" si="441"/>
        <v/>
      </c>
      <c r="AS374" s="268" t="str">
        <f t="shared" si="441"/>
        <v/>
      </c>
      <c r="AT374" s="268" t="str">
        <f t="shared" si="441"/>
        <v/>
      </c>
      <c r="AU374" s="268" t="str">
        <f t="shared" si="441"/>
        <v/>
      </c>
      <c r="AV374" s="268" t="str">
        <f t="shared" si="441"/>
        <v/>
      </c>
      <c r="AW374" s="268" t="str">
        <f t="shared" si="441"/>
        <v/>
      </c>
      <c r="AX374" s="268" t="str">
        <f t="shared" si="441"/>
        <v/>
      </c>
      <c r="AY374" s="268" t="str">
        <f t="shared" si="441"/>
        <v/>
      </c>
      <c r="AZ374" s="268" t="str">
        <f t="shared" si="441"/>
        <v/>
      </c>
      <c r="BA374" s="268" t="str">
        <f t="shared" si="441"/>
        <v/>
      </c>
      <c r="BB374" s="268" t="str">
        <f t="shared" si="441"/>
        <v/>
      </c>
      <c r="BC374" s="268" t="str">
        <f t="shared" si="441"/>
        <v/>
      </c>
      <c r="BD374" s="268" t="str">
        <f t="shared" si="441"/>
        <v/>
      </c>
      <c r="BE374" s="268" t="str">
        <f t="shared" si="441"/>
        <v/>
      </c>
      <c r="BF374" s="268" t="str">
        <f t="shared" si="441"/>
        <v/>
      </c>
      <c r="BG374" s="268" t="str">
        <f t="shared" si="441"/>
        <v/>
      </c>
      <c r="BH374" s="268" t="str">
        <f t="shared" si="441"/>
        <v/>
      </c>
      <c r="BI374" s="268" t="str">
        <f t="shared" si="441"/>
        <v/>
      </c>
      <c r="BJ374" s="268" t="str">
        <f t="shared" si="441"/>
        <v/>
      </c>
      <c r="BK374" s="268" t="str">
        <f t="shared" si="441"/>
        <v/>
      </c>
      <c r="BL374" s="268" t="str">
        <f t="shared" si="441"/>
        <v/>
      </c>
      <c r="BM374" s="268" t="str">
        <f t="shared" si="441"/>
        <v/>
      </c>
      <c r="BN374" s="268" t="str">
        <f t="shared" si="441"/>
        <v/>
      </c>
      <c r="BO374" s="268" t="str">
        <f t="shared" si="441"/>
        <v/>
      </c>
      <c r="BP374" s="268" t="str">
        <f t="shared" si="441"/>
        <v/>
      </c>
      <c r="BQ374" s="268" t="str">
        <f t="shared" si="441"/>
        <v/>
      </c>
      <c r="BR374" s="268" t="str">
        <f t="shared" si="441"/>
        <v/>
      </c>
      <c r="BS374" s="268" t="str">
        <f t="shared" si="441"/>
        <v/>
      </c>
      <c r="BT374" s="268" t="str">
        <f t="shared" si="441"/>
        <v/>
      </c>
      <c r="BU374" s="268" t="str">
        <f t="shared" si="385"/>
        <v/>
      </c>
      <c r="BV374" s="247">
        <v>9.39</v>
      </c>
      <c r="BW374" s="729">
        <f t="shared" si="424"/>
        <v>2817</v>
      </c>
      <c r="BX374" s="730">
        <f t="shared" si="425"/>
        <v>21831.75</v>
      </c>
      <c r="BY374" s="731" t="str">
        <f t="shared" si="426"/>
        <v>SR</v>
      </c>
    </row>
    <row r="375" s="698" customFormat="1" customHeight="1" spans="1:77">
      <c r="A375" s="208">
        <v>46094</v>
      </c>
      <c r="B375" s="208">
        <v>46157</v>
      </c>
      <c r="C375" s="211"/>
      <c r="D375" s="211" t="s">
        <v>569</v>
      </c>
      <c r="E375" s="211" t="s">
        <v>85</v>
      </c>
      <c r="F375" s="732">
        <v>2400</v>
      </c>
      <c r="G375" s="211" t="s">
        <v>510</v>
      </c>
      <c r="H375" s="211" t="str">
        <f>IFERROR(VLOOKUP(E375,名称!A:E,4,0),"")</f>
        <v>三代</v>
      </c>
      <c r="I375" s="268" t="str">
        <f t="shared" ref="I375:BT375" si="442">IF(OR($E375="",I$1=""),"",IF(TRIM(LEFT($E375,MIN(IFERROR(FIND("CDU",UPPER($E375)),999),IFERROR(FIND("BULK",UPPER($E375)),999),IFERROR(FIND("-",$E375),999),IFERROR(FIND("（",$E375),999))-1))=I$1,$F375,""))</f>
        <v/>
      </c>
      <c r="J375" s="268" t="str">
        <f t="shared" si="442"/>
        <v/>
      </c>
      <c r="K375" s="268" t="str">
        <f t="shared" si="442"/>
        <v/>
      </c>
      <c r="L375" s="268" t="str">
        <f t="shared" si="442"/>
        <v/>
      </c>
      <c r="M375" s="268" t="str">
        <f t="shared" si="442"/>
        <v/>
      </c>
      <c r="N375" s="268" t="str">
        <f t="shared" si="442"/>
        <v/>
      </c>
      <c r="O375" s="268" t="str">
        <f t="shared" si="442"/>
        <v/>
      </c>
      <c r="P375" s="268" t="str">
        <f t="shared" si="442"/>
        <v/>
      </c>
      <c r="Q375" s="268" t="str">
        <f t="shared" si="442"/>
        <v/>
      </c>
      <c r="R375" s="268" t="str">
        <f t="shared" si="442"/>
        <v/>
      </c>
      <c r="S375" s="268" t="str">
        <f t="shared" si="442"/>
        <v/>
      </c>
      <c r="T375" s="268" t="str">
        <f t="shared" si="442"/>
        <v/>
      </c>
      <c r="U375" s="268" t="str">
        <f t="shared" si="442"/>
        <v/>
      </c>
      <c r="V375" s="268" t="str">
        <f t="shared" si="442"/>
        <v/>
      </c>
      <c r="W375" s="268" t="str">
        <f t="shared" si="442"/>
        <v/>
      </c>
      <c r="X375" s="268" t="str">
        <f t="shared" si="442"/>
        <v/>
      </c>
      <c r="Y375" s="268" t="str">
        <f t="shared" si="442"/>
        <v/>
      </c>
      <c r="Z375" s="268" t="str">
        <f t="shared" si="442"/>
        <v/>
      </c>
      <c r="AA375" s="268" t="str">
        <f t="shared" si="442"/>
        <v/>
      </c>
      <c r="AB375" s="268" t="str">
        <f t="shared" si="442"/>
        <v/>
      </c>
      <c r="AC375" s="268" t="str">
        <f t="shared" si="442"/>
        <v/>
      </c>
      <c r="AD375" s="268" t="str">
        <f t="shared" si="442"/>
        <v/>
      </c>
      <c r="AE375" s="268" t="str">
        <f t="shared" si="442"/>
        <v/>
      </c>
      <c r="AF375" s="268" t="str">
        <f t="shared" si="442"/>
        <v/>
      </c>
      <c r="AG375" s="268" t="str">
        <f t="shared" si="442"/>
        <v/>
      </c>
      <c r="AH375" s="268" t="str">
        <f t="shared" si="442"/>
        <v/>
      </c>
      <c r="AI375" s="268" t="str">
        <f t="shared" si="442"/>
        <v/>
      </c>
      <c r="AJ375" s="268" t="str">
        <f t="shared" si="442"/>
        <v/>
      </c>
      <c r="AK375" s="268" t="str">
        <f t="shared" si="442"/>
        <v/>
      </c>
      <c r="AL375" s="268" t="str">
        <f t="shared" si="442"/>
        <v/>
      </c>
      <c r="AM375" s="268" t="str">
        <f t="shared" si="442"/>
        <v/>
      </c>
      <c r="AN375" s="268">
        <f t="shared" si="442"/>
        <v>2400</v>
      </c>
      <c r="AO375" s="268" t="str">
        <f t="shared" si="442"/>
        <v/>
      </c>
      <c r="AP375" s="268" t="str">
        <f t="shared" si="442"/>
        <v/>
      </c>
      <c r="AQ375" s="268" t="str">
        <f t="shared" si="442"/>
        <v/>
      </c>
      <c r="AR375" s="268" t="str">
        <f t="shared" si="442"/>
        <v/>
      </c>
      <c r="AS375" s="268" t="str">
        <f t="shared" si="442"/>
        <v/>
      </c>
      <c r="AT375" s="268" t="str">
        <f t="shared" si="442"/>
        <v/>
      </c>
      <c r="AU375" s="268" t="str">
        <f t="shared" si="442"/>
        <v/>
      </c>
      <c r="AV375" s="268" t="str">
        <f t="shared" si="442"/>
        <v/>
      </c>
      <c r="AW375" s="268" t="str">
        <f t="shared" si="442"/>
        <v/>
      </c>
      <c r="AX375" s="268" t="str">
        <f t="shared" si="442"/>
        <v/>
      </c>
      <c r="AY375" s="268" t="str">
        <f t="shared" si="442"/>
        <v/>
      </c>
      <c r="AZ375" s="268" t="str">
        <f t="shared" si="442"/>
        <v/>
      </c>
      <c r="BA375" s="268" t="str">
        <f t="shared" si="442"/>
        <v/>
      </c>
      <c r="BB375" s="268" t="str">
        <f t="shared" si="442"/>
        <v/>
      </c>
      <c r="BC375" s="268" t="str">
        <f t="shared" si="442"/>
        <v/>
      </c>
      <c r="BD375" s="268" t="str">
        <f t="shared" si="442"/>
        <v/>
      </c>
      <c r="BE375" s="268" t="str">
        <f t="shared" si="442"/>
        <v/>
      </c>
      <c r="BF375" s="268" t="str">
        <f t="shared" si="442"/>
        <v/>
      </c>
      <c r="BG375" s="268" t="str">
        <f t="shared" si="442"/>
        <v/>
      </c>
      <c r="BH375" s="268" t="str">
        <f t="shared" si="442"/>
        <v/>
      </c>
      <c r="BI375" s="268" t="str">
        <f t="shared" si="442"/>
        <v/>
      </c>
      <c r="BJ375" s="268" t="str">
        <f t="shared" si="442"/>
        <v/>
      </c>
      <c r="BK375" s="268" t="str">
        <f t="shared" si="442"/>
        <v/>
      </c>
      <c r="BL375" s="268" t="str">
        <f t="shared" si="442"/>
        <v/>
      </c>
      <c r="BM375" s="268" t="str">
        <f t="shared" si="442"/>
        <v/>
      </c>
      <c r="BN375" s="268" t="str">
        <f t="shared" si="442"/>
        <v/>
      </c>
      <c r="BO375" s="268" t="str">
        <f t="shared" si="442"/>
        <v/>
      </c>
      <c r="BP375" s="268" t="str">
        <f t="shared" si="442"/>
        <v/>
      </c>
      <c r="BQ375" s="268" t="str">
        <f t="shared" si="442"/>
        <v/>
      </c>
      <c r="BR375" s="268" t="str">
        <f t="shared" si="442"/>
        <v/>
      </c>
      <c r="BS375" s="268" t="str">
        <f t="shared" si="442"/>
        <v/>
      </c>
      <c r="BT375" s="268" t="str">
        <f t="shared" si="442"/>
        <v/>
      </c>
      <c r="BU375" s="268" t="str">
        <f t="shared" si="385"/>
        <v/>
      </c>
      <c r="BV375" s="247">
        <v>0.89</v>
      </c>
      <c r="BW375" s="729">
        <f t="shared" si="424"/>
        <v>2136</v>
      </c>
      <c r="BX375" s="730">
        <f t="shared" si="425"/>
        <v>16554</v>
      </c>
      <c r="BY375" s="731" t="str">
        <f t="shared" si="426"/>
        <v>SR</v>
      </c>
    </row>
    <row r="376" s="698" customFormat="1" customHeight="1" spans="1:77">
      <c r="A376" s="208">
        <v>46094</v>
      </c>
      <c r="B376" s="208">
        <v>46157</v>
      </c>
      <c r="C376" s="211"/>
      <c r="D376" s="211" t="s">
        <v>569</v>
      </c>
      <c r="E376" s="211" t="s">
        <v>116</v>
      </c>
      <c r="F376" s="732">
        <v>1200</v>
      </c>
      <c r="G376" s="211" t="s">
        <v>510</v>
      </c>
      <c r="H376" s="211" t="str">
        <f>IFERROR(VLOOKUP(E376,名称!A:E,4,0),"")</f>
        <v>三代</v>
      </c>
      <c r="I376" s="268" t="str">
        <f t="shared" ref="I376:BT376" si="443">IF(OR($E376="",I$1=""),"",IF(TRIM(LEFT($E376,MIN(IFERROR(FIND("CDU",UPPER($E376)),999),IFERROR(FIND("BULK",UPPER($E376)),999),IFERROR(FIND("-",$E376),999),IFERROR(FIND("（",$E376),999))-1))=I$1,$F376,""))</f>
        <v/>
      </c>
      <c r="J376" s="268" t="str">
        <f t="shared" si="443"/>
        <v/>
      </c>
      <c r="K376" s="268" t="str">
        <f t="shared" si="443"/>
        <v/>
      </c>
      <c r="L376" s="268" t="str">
        <f t="shared" si="443"/>
        <v/>
      </c>
      <c r="M376" s="268" t="str">
        <f t="shared" si="443"/>
        <v/>
      </c>
      <c r="N376" s="268" t="str">
        <f t="shared" si="443"/>
        <v/>
      </c>
      <c r="O376" s="268" t="str">
        <f t="shared" si="443"/>
        <v/>
      </c>
      <c r="P376" s="268" t="str">
        <f t="shared" si="443"/>
        <v/>
      </c>
      <c r="Q376" s="268" t="str">
        <f t="shared" si="443"/>
        <v/>
      </c>
      <c r="R376" s="268" t="str">
        <f t="shared" si="443"/>
        <v/>
      </c>
      <c r="S376" s="268" t="str">
        <f t="shared" si="443"/>
        <v/>
      </c>
      <c r="T376" s="268" t="str">
        <f t="shared" si="443"/>
        <v/>
      </c>
      <c r="U376" s="268" t="str">
        <f t="shared" si="443"/>
        <v/>
      </c>
      <c r="V376" s="268" t="str">
        <f t="shared" si="443"/>
        <v/>
      </c>
      <c r="W376" s="268" t="str">
        <f t="shared" si="443"/>
        <v/>
      </c>
      <c r="X376" s="268" t="str">
        <f t="shared" si="443"/>
        <v/>
      </c>
      <c r="Y376" s="268" t="str">
        <f t="shared" si="443"/>
        <v/>
      </c>
      <c r="Z376" s="268" t="str">
        <f t="shared" si="443"/>
        <v/>
      </c>
      <c r="AA376" s="268" t="str">
        <f t="shared" si="443"/>
        <v/>
      </c>
      <c r="AB376" s="268" t="str">
        <f t="shared" si="443"/>
        <v/>
      </c>
      <c r="AC376" s="268" t="str">
        <f t="shared" si="443"/>
        <v/>
      </c>
      <c r="AD376" s="268" t="str">
        <f t="shared" si="443"/>
        <v/>
      </c>
      <c r="AE376" s="268" t="str">
        <f t="shared" si="443"/>
        <v/>
      </c>
      <c r="AF376" s="268" t="str">
        <f t="shared" si="443"/>
        <v/>
      </c>
      <c r="AG376" s="268" t="str">
        <f t="shared" si="443"/>
        <v/>
      </c>
      <c r="AH376" s="268" t="str">
        <f t="shared" si="443"/>
        <v/>
      </c>
      <c r="AI376" s="268" t="str">
        <f t="shared" si="443"/>
        <v/>
      </c>
      <c r="AJ376" s="268" t="str">
        <f t="shared" si="443"/>
        <v/>
      </c>
      <c r="AK376" s="268" t="str">
        <f t="shared" si="443"/>
        <v/>
      </c>
      <c r="AL376" s="268" t="str">
        <f t="shared" si="443"/>
        <v/>
      </c>
      <c r="AM376" s="268">
        <f t="shared" si="443"/>
        <v>1200</v>
      </c>
      <c r="AN376" s="268" t="str">
        <f t="shared" si="443"/>
        <v/>
      </c>
      <c r="AO376" s="268" t="str">
        <f t="shared" si="443"/>
        <v/>
      </c>
      <c r="AP376" s="268" t="str">
        <f t="shared" si="443"/>
        <v/>
      </c>
      <c r="AQ376" s="268" t="str">
        <f t="shared" si="443"/>
        <v/>
      </c>
      <c r="AR376" s="268" t="str">
        <f t="shared" si="443"/>
        <v/>
      </c>
      <c r="AS376" s="268" t="str">
        <f t="shared" si="443"/>
        <v/>
      </c>
      <c r="AT376" s="268" t="str">
        <f t="shared" si="443"/>
        <v/>
      </c>
      <c r="AU376" s="268" t="str">
        <f t="shared" si="443"/>
        <v/>
      </c>
      <c r="AV376" s="268" t="str">
        <f t="shared" si="443"/>
        <v/>
      </c>
      <c r="AW376" s="268" t="str">
        <f t="shared" si="443"/>
        <v/>
      </c>
      <c r="AX376" s="268" t="str">
        <f t="shared" si="443"/>
        <v/>
      </c>
      <c r="AY376" s="268" t="str">
        <f t="shared" si="443"/>
        <v/>
      </c>
      <c r="AZ376" s="268" t="str">
        <f t="shared" si="443"/>
        <v/>
      </c>
      <c r="BA376" s="268" t="str">
        <f t="shared" si="443"/>
        <v/>
      </c>
      <c r="BB376" s="268" t="str">
        <f t="shared" si="443"/>
        <v/>
      </c>
      <c r="BC376" s="268" t="str">
        <f t="shared" si="443"/>
        <v/>
      </c>
      <c r="BD376" s="268" t="str">
        <f t="shared" si="443"/>
        <v/>
      </c>
      <c r="BE376" s="268" t="str">
        <f t="shared" si="443"/>
        <v/>
      </c>
      <c r="BF376" s="268" t="str">
        <f t="shared" si="443"/>
        <v/>
      </c>
      <c r="BG376" s="268" t="str">
        <f t="shared" si="443"/>
        <v/>
      </c>
      <c r="BH376" s="268" t="str">
        <f t="shared" si="443"/>
        <v/>
      </c>
      <c r="BI376" s="268" t="str">
        <f t="shared" si="443"/>
        <v/>
      </c>
      <c r="BJ376" s="268" t="str">
        <f t="shared" si="443"/>
        <v/>
      </c>
      <c r="BK376" s="268" t="str">
        <f t="shared" si="443"/>
        <v/>
      </c>
      <c r="BL376" s="268" t="str">
        <f t="shared" si="443"/>
        <v/>
      </c>
      <c r="BM376" s="268" t="str">
        <f t="shared" si="443"/>
        <v/>
      </c>
      <c r="BN376" s="268" t="str">
        <f t="shared" si="443"/>
        <v/>
      </c>
      <c r="BO376" s="268" t="str">
        <f t="shared" si="443"/>
        <v/>
      </c>
      <c r="BP376" s="268" t="str">
        <f t="shared" si="443"/>
        <v/>
      </c>
      <c r="BQ376" s="268" t="str">
        <f t="shared" si="443"/>
        <v/>
      </c>
      <c r="BR376" s="268" t="str">
        <f t="shared" si="443"/>
        <v/>
      </c>
      <c r="BS376" s="268" t="str">
        <f t="shared" si="443"/>
        <v/>
      </c>
      <c r="BT376" s="268" t="str">
        <f t="shared" si="443"/>
        <v/>
      </c>
      <c r="BU376" s="268" t="str">
        <f t="shared" si="385"/>
        <v/>
      </c>
      <c r="BV376" s="247">
        <v>1.58</v>
      </c>
      <c r="BW376" s="729">
        <f t="shared" si="424"/>
        <v>1896</v>
      </c>
      <c r="BX376" s="730">
        <f t="shared" si="425"/>
        <v>14694</v>
      </c>
      <c r="BY376" s="731" t="str">
        <f t="shared" si="426"/>
        <v>SR</v>
      </c>
    </row>
    <row r="377" s="698" customFormat="1" customHeight="1" spans="1:77">
      <c r="A377" s="208">
        <v>46094</v>
      </c>
      <c r="B377" s="208">
        <v>46157</v>
      </c>
      <c r="C377" s="211"/>
      <c r="D377" s="211" t="s">
        <v>569</v>
      </c>
      <c r="E377" s="211" t="s">
        <v>94</v>
      </c>
      <c r="F377" s="732">
        <v>1200</v>
      </c>
      <c r="G377" s="211" t="s">
        <v>510</v>
      </c>
      <c r="H377" s="211" t="str">
        <f>IFERROR(VLOOKUP(E377,名称!A:E,4,0),"")</f>
        <v>三代</v>
      </c>
      <c r="I377" s="268" t="str">
        <f t="shared" ref="I377:BT377" si="444">IF(OR($E377="",I$1=""),"",IF(TRIM(LEFT($E377,MIN(IFERROR(FIND("CDU",UPPER($E377)),999),IFERROR(FIND("BULK",UPPER($E377)),999),IFERROR(FIND("-",$E377),999),IFERROR(FIND("（",$E377),999))-1))=I$1,$F377,""))</f>
        <v/>
      </c>
      <c r="J377" s="268" t="str">
        <f t="shared" si="444"/>
        <v/>
      </c>
      <c r="K377" s="268" t="str">
        <f t="shared" si="444"/>
        <v/>
      </c>
      <c r="L377" s="268" t="str">
        <f t="shared" si="444"/>
        <v/>
      </c>
      <c r="M377" s="268" t="str">
        <f t="shared" si="444"/>
        <v/>
      </c>
      <c r="N377" s="268" t="str">
        <f t="shared" si="444"/>
        <v/>
      </c>
      <c r="O377" s="268" t="str">
        <f t="shared" si="444"/>
        <v/>
      </c>
      <c r="P377" s="268" t="str">
        <f t="shared" si="444"/>
        <v/>
      </c>
      <c r="Q377" s="268" t="str">
        <f t="shared" si="444"/>
        <v/>
      </c>
      <c r="R377" s="268" t="str">
        <f t="shared" si="444"/>
        <v/>
      </c>
      <c r="S377" s="268" t="str">
        <f t="shared" si="444"/>
        <v/>
      </c>
      <c r="T377" s="268" t="str">
        <f t="shared" si="444"/>
        <v/>
      </c>
      <c r="U377" s="268" t="str">
        <f t="shared" si="444"/>
        <v/>
      </c>
      <c r="V377" s="268" t="str">
        <f t="shared" si="444"/>
        <v/>
      </c>
      <c r="W377" s="268" t="str">
        <f t="shared" si="444"/>
        <v/>
      </c>
      <c r="X377" s="268" t="str">
        <f t="shared" si="444"/>
        <v/>
      </c>
      <c r="Y377" s="268" t="str">
        <f t="shared" si="444"/>
        <v/>
      </c>
      <c r="Z377" s="268" t="str">
        <f t="shared" si="444"/>
        <v/>
      </c>
      <c r="AA377" s="268" t="str">
        <f t="shared" si="444"/>
        <v/>
      </c>
      <c r="AB377" s="268" t="str">
        <f t="shared" si="444"/>
        <v/>
      </c>
      <c r="AC377" s="268" t="str">
        <f t="shared" si="444"/>
        <v/>
      </c>
      <c r="AD377" s="268" t="str">
        <f t="shared" si="444"/>
        <v/>
      </c>
      <c r="AE377" s="268" t="str">
        <f t="shared" si="444"/>
        <v/>
      </c>
      <c r="AF377" s="268" t="str">
        <f t="shared" si="444"/>
        <v/>
      </c>
      <c r="AG377" s="268" t="str">
        <f t="shared" si="444"/>
        <v/>
      </c>
      <c r="AH377" s="268" t="str">
        <f t="shared" si="444"/>
        <v/>
      </c>
      <c r="AI377" s="268" t="str">
        <f t="shared" si="444"/>
        <v/>
      </c>
      <c r="AJ377" s="268" t="str">
        <f t="shared" si="444"/>
        <v/>
      </c>
      <c r="AK377" s="268" t="str">
        <f t="shared" si="444"/>
        <v/>
      </c>
      <c r="AL377" s="268" t="str">
        <f t="shared" si="444"/>
        <v/>
      </c>
      <c r="AM377" s="268" t="str">
        <f t="shared" si="444"/>
        <v/>
      </c>
      <c r="AN377" s="268" t="str">
        <f t="shared" si="444"/>
        <v/>
      </c>
      <c r="AO377" s="268" t="str">
        <f t="shared" si="444"/>
        <v/>
      </c>
      <c r="AP377" s="268" t="str">
        <f t="shared" si="444"/>
        <v/>
      </c>
      <c r="AQ377" s="268" t="str">
        <f t="shared" si="444"/>
        <v/>
      </c>
      <c r="AR377" s="268" t="str">
        <f t="shared" si="444"/>
        <v/>
      </c>
      <c r="AS377" s="268" t="str">
        <f t="shared" si="444"/>
        <v/>
      </c>
      <c r="AT377" s="268" t="str">
        <f t="shared" si="444"/>
        <v/>
      </c>
      <c r="AU377" s="268" t="str">
        <f t="shared" si="444"/>
        <v/>
      </c>
      <c r="AV377" s="268" t="str">
        <f t="shared" si="444"/>
        <v/>
      </c>
      <c r="AW377" s="268" t="str">
        <f t="shared" si="444"/>
        <v/>
      </c>
      <c r="AX377" s="268" t="str">
        <f t="shared" si="444"/>
        <v/>
      </c>
      <c r="AY377" s="268">
        <f t="shared" si="444"/>
        <v>1200</v>
      </c>
      <c r="AZ377" s="268" t="str">
        <f t="shared" si="444"/>
        <v/>
      </c>
      <c r="BA377" s="268" t="str">
        <f t="shared" si="444"/>
        <v/>
      </c>
      <c r="BB377" s="268" t="str">
        <f t="shared" si="444"/>
        <v/>
      </c>
      <c r="BC377" s="268" t="str">
        <f t="shared" si="444"/>
        <v/>
      </c>
      <c r="BD377" s="268" t="str">
        <f t="shared" si="444"/>
        <v/>
      </c>
      <c r="BE377" s="268" t="str">
        <f t="shared" si="444"/>
        <v/>
      </c>
      <c r="BF377" s="268" t="str">
        <f t="shared" si="444"/>
        <v/>
      </c>
      <c r="BG377" s="268" t="str">
        <f t="shared" si="444"/>
        <v/>
      </c>
      <c r="BH377" s="268" t="str">
        <f t="shared" si="444"/>
        <v/>
      </c>
      <c r="BI377" s="268" t="str">
        <f t="shared" si="444"/>
        <v/>
      </c>
      <c r="BJ377" s="268" t="str">
        <f t="shared" si="444"/>
        <v/>
      </c>
      <c r="BK377" s="268" t="str">
        <f t="shared" si="444"/>
        <v/>
      </c>
      <c r="BL377" s="268" t="str">
        <f t="shared" si="444"/>
        <v/>
      </c>
      <c r="BM377" s="268" t="str">
        <f t="shared" si="444"/>
        <v/>
      </c>
      <c r="BN377" s="268" t="str">
        <f t="shared" si="444"/>
        <v/>
      </c>
      <c r="BO377" s="268" t="str">
        <f t="shared" si="444"/>
        <v/>
      </c>
      <c r="BP377" s="268" t="str">
        <f t="shared" si="444"/>
        <v/>
      </c>
      <c r="BQ377" s="268" t="str">
        <f t="shared" si="444"/>
        <v/>
      </c>
      <c r="BR377" s="268" t="str">
        <f t="shared" si="444"/>
        <v/>
      </c>
      <c r="BS377" s="268" t="str">
        <f t="shared" si="444"/>
        <v/>
      </c>
      <c r="BT377" s="268" t="str">
        <f t="shared" si="444"/>
        <v/>
      </c>
      <c r="BU377" s="268" t="str">
        <f t="shared" si="385"/>
        <v/>
      </c>
      <c r="BV377" s="247">
        <v>0.64</v>
      </c>
      <c r="BW377" s="729">
        <f t="shared" si="424"/>
        <v>768</v>
      </c>
      <c r="BX377" s="730">
        <f t="shared" si="425"/>
        <v>5952</v>
      </c>
      <c r="BY377" s="731" t="str">
        <f t="shared" si="426"/>
        <v>SR</v>
      </c>
    </row>
    <row r="378" s="698" customFormat="1" customHeight="1" spans="1:77">
      <c r="A378" s="208">
        <v>46094</v>
      </c>
      <c r="B378" s="208">
        <v>46157</v>
      </c>
      <c r="C378" s="211"/>
      <c r="D378" s="211" t="s">
        <v>569</v>
      </c>
      <c r="E378" s="211" t="s">
        <v>92</v>
      </c>
      <c r="F378" s="732">
        <v>800</v>
      </c>
      <c r="G378" s="211" t="s">
        <v>510</v>
      </c>
      <c r="H378" s="211" t="str">
        <f>IFERROR(VLOOKUP(E378,名称!A:E,4,0),"")</f>
        <v>三代</v>
      </c>
      <c r="I378" s="268" t="str">
        <f t="shared" ref="I378:BT378" si="445">IF(OR($E378="",I$1=""),"",IF(TRIM(LEFT($E378,MIN(IFERROR(FIND("CDU",UPPER($E378)),999),IFERROR(FIND("BULK",UPPER($E378)),999),IFERROR(FIND("-",$E378),999),IFERROR(FIND("（",$E378),999))-1))=I$1,$F378,""))</f>
        <v/>
      </c>
      <c r="J378" s="268" t="str">
        <f t="shared" si="445"/>
        <v/>
      </c>
      <c r="K378" s="268" t="str">
        <f t="shared" si="445"/>
        <v/>
      </c>
      <c r="L378" s="268" t="str">
        <f t="shared" si="445"/>
        <v/>
      </c>
      <c r="M378" s="268" t="str">
        <f t="shared" si="445"/>
        <v/>
      </c>
      <c r="N378" s="268" t="str">
        <f t="shared" si="445"/>
        <v/>
      </c>
      <c r="O378" s="268" t="str">
        <f t="shared" si="445"/>
        <v/>
      </c>
      <c r="P378" s="268" t="str">
        <f t="shared" si="445"/>
        <v/>
      </c>
      <c r="Q378" s="268" t="str">
        <f t="shared" si="445"/>
        <v/>
      </c>
      <c r="R378" s="268" t="str">
        <f t="shared" si="445"/>
        <v/>
      </c>
      <c r="S378" s="268" t="str">
        <f t="shared" si="445"/>
        <v/>
      </c>
      <c r="T378" s="268" t="str">
        <f t="shared" si="445"/>
        <v/>
      </c>
      <c r="U378" s="268" t="str">
        <f t="shared" si="445"/>
        <v/>
      </c>
      <c r="V378" s="268" t="str">
        <f t="shared" si="445"/>
        <v/>
      </c>
      <c r="W378" s="268" t="str">
        <f t="shared" si="445"/>
        <v/>
      </c>
      <c r="X378" s="268" t="str">
        <f t="shared" si="445"/>
        <v/>
      </c>
      <c r="Y378" s="268" t="str">
        <f t="shared" si="445"/>
        <v/>
      </c>
      <c r="Z378" s="268" t="str">
        <f t="shared" si="445"/>
        <v/>
      </c>
      <c r="AA378" s="268" t="str">
        <f t="shared" si="445"/>
        <v/>
      </c>
      <c r="AB378" s="268" t="str">
        <f t="shared" si="445"/>
        <v/>
      </c>
      <c r="AC378" s="268" t="str">
        <f t="shared" si="445"/>
        <v/>
      </c>
      <c r="AD378" s="268" t="str">
        <f t="shared" si="445"/>
        <v/>
      </c>
      <c r="AE378" s="268" t="str">
        <f t="shared" si="445"/>
        <v/>
      </c>
      <c r="AF378" s="268" t="str">
        <f t="shared" si="445"/>
        <v/>
      </c>
      <c r="AG378" s="268" t="str">
        <f t="shared" si="445"/>
        <v/>
      </c>
      <c r="AH378" s="268" t="str">
        <f t="shared" si="445"/>
        <v/>
      </c>
      <c r="AI378" s="268" t="str">
        <f t="shared" si="445"/>
        <v/>
      </c>
      <c r="AJ378" s="268" t="str">
        <f t="shared" si="445"/>
        <v/>
      </c>
      <c r="AK378" s="268" t="str">
        <f t="shared" si="445"/>
        <v/>
      </c>
      <c r="AL378" s="268" t="str">
        <f t="shared" si="445"/>
        <v/>
      </c>
      <c r="AM378" s="268" t="str">
        <f t="shared" si="445"/>
        <v/>
      </c>
      <c r="AN378" s="268" t="str">
        <f t="shared" si="445"/>
        <v/>
      </c>
      <c r="AO378" s="268" t="str">
        <f t="shared" si="445"/>
        <v/>
      </c>
      <c r="AP378" s="268" t="str">
        <f t="shared" si="445"/>
        <v/>
      </c>
      <c r="AQ378" s="268" t="str">
        <f t="shared" si="445"/>
        <v/>
      </c>
      <c r="AR378" s="268" t="str">
        <f t="shared" si="445"/>
        <v/>
      </c>
      <c r="AS378" s="268" t="str">
        <f t="shared" si="445"/>
        <v/>
      </c>
      <c r="AT378" s="268" t="str">
        <f t="shared" si="445"/>
        <v/>
      </c>
      <c r="AU378" s="268" t="str">
        <f t="shared" si="445"/>
        <v/>
      </c>
      <c r="AV378" s="268" t="str">
        <f t="shared" si="445"/>
        <v/>
      </c>
      <c r="AW378" s="268" t="str">
        <f t="shared" si="445"/>
        <v/>
      </c>
      <c r="AX378" s="268">
        <f t="shared" si="445"/>
        <v>800</v>
      </c>
      <c r="AY378" s="268" t="str">
        <f t="shared" si="445"/>
        <v/>
      </c>
      <c r="AZ378" s="268" t="str">
        <f t="shared" si="445"/>
        <v/>
      </c>
      <c r="BA378" s="268" t="str">
        <f t="shared" si="445"/>
        <v/>
      </c>
      <c r="BB378" s="268" t="str">
        <f t="shared" si="445"/>
        <v/>
      </c>
      <c r="BC378" s="268" t="str">
        <f t="shared" si="445"/>
        <v/>
      </c>
      <c r="BD378" s="268" t="str">
        <f t="shared" si="445"/>
        <v/>
      </c>
      <c r="BE378" s="268" t="str">
        <f t="shared" si="445"/>
        <v/>
      </c>
      <c r="BF378" s="268" t="str">
        <f t="shared" si="445"/>
        <v/>
      </c>
      <c r="BG378" s="268" t="str">
        <f t="shared" si="445"/>
        <v/>
      </c>
      <c r="BH378" s="268" t="str">
        <f t="shared" si="445"/>
        <v/>
      </c>
      <c r="BI378" s="268" t="str">
        <f t="shared" si="445"/>
        <v/>
      </c>
      <c r="BJ378" s="268" t="str">
        <f t="shared" si="445"/>
        <v/>
      </c>
      <c r="BK378" s="268" t="str">
        <f t="shared" si="445"/>
        <v/>
      </c>
      <c r="BL378" s="268" t="str">
        <f t="shared" si="445"/>
        <v/>
      </c>
      <c r="BM378" s="268" t="str">
        <f t="shared" si="445"/>
        <v/>
      </c>
      <c r="BN378" s="268" t="str">
        <f t="shared" si="445"/>
        <v/>
      </c>
      <c r="BO378" s="268" t="str">
        <f t="shared" si="445"/>
        <v/>
      </c>
      <c r="BP378" s="268" t="str">
        <f t="shared" si="445"/>
        <v/>
      </c>
      <c r="BQ378" s="268" t="str">
        <f t="shared" si="445"/>
        <v/>
      </c>
      <c r="BR378" s="268" t="str">
        <f t="shared" si="445"/>
        <v/>
      </c>
      <c r="BS378" s="268" t="str">
        <f t="shared" si="445"/>
        <v/>
      </c>
      <c r="BT378" s="268" t="str">
        <f t="shared" si="445"/>
        <v/>
      </c>
      <c r="BU378" s="268" t="str">
        <f t="shared" si="385"/>
        <v/>
      </c>
      <c r="BV378" s="247">
        <v>0.88</v>
      </c>
      <c r="BW378" s="729">
        <f t="shared" si="424"/>
        <v>704</v>
      </c>
      <c r="BX378" s="730">
        <f t="shared" si="425"/>
        <v>5456</v>
      </c>
      <c r="BY378" s="731" t="str">
        <f t="shared" si="426"/>
        <v>SR</v>
      </c>
    </row>
    <row r="379" s="698" customFormat="1" customHeight="1" spans="1:77">
      <c r="A379" s="208">
        <v>46094</v>
      </c>
      <c r="B379" s="208">
        <v>46157</v>
      </c>
      <c r="C379" s="211"/>
      <c r="D379" s="211" t="s">
        <v>569</v>
      </c>
      <c r="E379" s="211" t="s">
        <v>95</v>
      </c>
      <c r="F379" s="732">
        <v>600</v>
      </c>
      <c r="G379" s="211" t="s">
        <v>510</v>
      </c>
      <c r="H379" s="211" t="str">
        <f>IFERROR(VLOOKUP(E379,名称!A:E,4,0),"")</f>
        <v>三代</v>
      </c>
      <c r="I379" s="268" t="str">
        <f t="shared" ref="I379:BT379" si="446">IF(OR($E379="",I$1=""),"",IF(TRIM(LEFT($E379,MIN(IFERROR(FIND("CDU",UPPER($E379)),999),IFERROR(FIND("BULK",UPPER($E379)),999),IFERROR(FIND("-",$E379),999),IFERROR(FIND("（",$E379),999))-1))=I$1,$F379,""))</f>
        <v/>
      </c>
      <c r="J379" s="268" t="str">
        <f t="shared" si="446"/>
        <v/>
      </c>
      <c r="K379" s="268" t="str">
        <f t="shared" si="446"/>
        <v/>
      </c>
      <c r="L379" s="268" t="str">
        <f t="shared" si="446"/>
        <v/>
      </c>
      <c r="M379" s="268" t="str">
        <f t="shared" si="446"/>
        <v/>
      </c>
      <c r="N379" s="268" t="str">
        <f t="shared" si="446"/>
        <v/>
      </c>
      <c r="O379" s="268" t="str">
        <f t="shared" si="446"/>
        <v/>
      </c>
      <c r="P379" s="268" t="str">
        <f t="shared" si="446"/>
        <v/>
      </c>
      <c r="Q379" s="268" t="str">
        <f t="shared" si="446"/>
        <v/>
      </c>
      <c r="R379" s="268" t="str">
        <f t="shared" si="446"/>
        <v/>
      </c>
      <c r="S379" s="268" t="str">
        <f t="shared" si="446"/>
        <v/>
      </c>
      <c r="T379" s="268" t="str">
        <f t="shared" si="446"/>
        <v/>
      </c>
      <c r="U379" s="268" t="str">
        <f t="shared" si="446"/>
        <v/>
      </c>
      <c r="V379" s="268" t="str">
        <f t="shared" si="446"/>
        <v/>
      </c>
      <c r="W379" s="268" t="str">
        <f t="shared" si="446"/>
        <v/>
      </c>
      <c r="X379" s="268" t="str">
        <f t="shared" si="446"/>
        <v/>
      </c>
      <c r="Y379" s="268" t="str">
        <f t="shared" si="446"/>
        <v/>
      </c>
      <c r="Z379" s="268" t="str">
        <f t="shared" si="446"/>
        <v/>
      </c>
      <c r="AA379" s="268" t="str">
        <f t="shared" si="446"/>
        <v/>
      </c>
      <c r="AB379" s="268" t="str">
        <f t="shared" si="446"/>
        <v/>
      </c>
      <c r="AC379" s="268" t="str">
        <f t="shared" si="446"/>
        <v/>
      </c>
      <c r="AD379" s="268" t="str">
        <f t="shared" si="446"/>
        <v/>
      </c>
      <c r="AE379" s="268" t="str">
        <f t="shared" si="446"/>
        <v/>
      </c>
      <c r="AF379" s="268" t="str">
        <f t="shared" si="446"/>
        <v/>
      </c>
      <c r="AG379" s="268" t="str">
        <f t="shared" si="446"/>
        <v/>
      </c>
      <c r="AH379" s="268" t="str">
        <f t="shared" si="446"/>
        <v/>
      </c>
      <c r="AI379" s="268" t="str">
        <f t="shared" si="446"/>
        <v/>
      </c>
      <c r="AJ379" s="268" t="str">
        <f t="shared" si="446"/>
        <v/>
      </c>
      <c r="AK379" s="268" t="str">
        <f t="shared" si="446"/>
        <v/>
      </c>
      <c r="AL379" s="268" t="str">
        <f t="shared" si="446"/>
        <v/>
      </c>
      <c r="AM379" s="268" t="str">
        <f t="shared" si="446"/>
        <v/>
      </c>
      <c r="AN379" s="268" t="str">
        <f t="shared" si="446"/>
        <v/>
      </c>
      <c r="AO379" s="268" t="str">
        <f t="shared" si="446"/>
        <v/>
      </c>
      <c r="AP379" s="268" t="str">
        <f t="shared" si="446"/>
        <v/>
      </c>
      <c r="AQ379" s="268" t="str">
        <f t="shared" si="446"/>
        <v/>
      </c>
      <c r="AR379" s="268" t="str">
        <f t="shared" si="446"/>
        <v/>
      </c>
      <c r="AS379" s="268" t="str">
        <f t="shared" si="446"/>
        <v/>
      </c>
      <c r="AT379" s="268" t="str">
        <f t="shared" si="446"/>
        <v/>
      </c>
      <c r="AU379" s="268" t="str">
        <f t="shared" si="446"/>
        <v/>
      </c>
      <c r="AV379" s="268" t="str">
        <f t="shared" si="446"/>
        <v/>
      </c>
      <c r="AW379" s="268" t="str">
        <f t="shared" si="446"/>
        <v/>
      </c>
      <c r="AX379" s="268" t="str">
        <f t="shared" si="446"/>
        <v/>
      </c>
      <c r="AY379" s="268" t="str">
        <f t="shared" si="446"/>
        <v/>
      </c>
      <c r="AZ379" s="268">
        <f t="shared" si="446"/>
        <v>600</v>
      </c>
      <c r="BA379" s="268" t="str">
        <f t="shared" si="446"/>
        <v/>
      </c>
      <c r="BB379" s="268" t="str">
        <f t="shared" si="446"/>
        <v/>
      </c>
      <c r="BC379" s="268" t="str">
        <f t="shared" si="446"/>
        <v/>
      </c>
      <c r="BD379" s="268" t="str">
        <f t="shared" si="446"/>
        <v/>
      </c>
      <c r="BE379" s="268" t="str">
        <f t="shared" si="446"/>
        <v/>
      </c>
      <c r="BF379" s="268" t="str">
        <f t="shared" si="446"/>
        <v/>
      </c>
      <c r="BG379" s="268" t="str">
        <f t="shared" si="446"/>
        <v/>
      </c>
      <c r="BH379" s="268" t="str">
        <f t="shared" si="446"/>
        <v/>
      </c>
      <c r="BI379" s="268" t="str">
        <f t="shared" si="446"/>
        <v/>
      </c>
      <c r="BJ379" s="268" t="str">
        <f t="shared" si="446"/>
        <v/>
      </c>
      <c r="BK379" s="268" t="str">
        <f t="shared" si="446"/>
        <v/>
      </c>
      <c r="BL379" s="268" t="str">
        <f t="shared" si="446"/>
        <v/>
      </c>
      <c r="BM379" s="268" t="str">
        <f t="shared" si="446"/>
        <v/>
      </c>
      <c r="BN379" s="268" t="str">
        <f t="shared" si="446"/>
        <v/>
      </c>
      <c r="BO379" s="268" t="str">
        <f t="shared" si="446"/>
        <v/>
      </c>
      <c r="BP379" s="268" t="str">
        <f t="shared" si="446"/>
        <v/>
      </c>
      <c r="BQ379" s="268" t="str">
        <f t="shared" si="446"/>
        <v/>
      </c>
      <c r="BR379" s="268" t="str">
        <f t="shared" si="446"/>
        <v/>
      </c>
      <c r="BS379" s="268" t="str">
        <f t="shared" si="446"/>
        <v/>
      </c>
      <c r="BT379" s="268" t="str">
        <f t="shared" si="446"/>
        <v/>
      </c>
      <c r="BU379" s="268" t="str">
        <f t="shared" si="385"/>
        <v/>
      </c>
      <c r="BV379" s="247">
        <v>3.12</v>
      </c>
      <c r="BW379" s="729">
        <f t="shared" si="424"/>
        <v>1872</v>
      </c>
      <c r="BX379" s="730">
        <f t="shared" si="425"/>
        <v>14508</v>
      </c>
      <c r="BY379" s="731" t="str">
        <f t="shared" si="426"/>
        <v>SR</v>
      </c>
    </row>
    <row r="380" s="698" customFormat="1" customHeight="1" spans="1:77">
      <c r="A380" s="208">
        <v>46094</v>
      </c>
      <c r="B380" s="208">
        <v>46157</v>
      </c>
      <c r="C380" s="211"/>
      <c r="D380" s="211" t="s">
        <v>569</v>
      </c>
      <c r="E380" s="211" t="s">
        <v>88</v>
      </c>
      <c r="F380" s="732">
        <v>2400</v>
      </c>
      <c r="G380" s="211" t="s">
        <v>510</v>
      </c>
      <c r="H380" s="211" t="str">
        <f>IFERROR(VLOOKUP(E380,名称!A:E,4,0),"")</f>
        <v>三代</v>
      </c>
      <c r="I380" s="268" t="str">
        <f t="shared" ref="I380:BT380" si="447">IF(OR($E380="",I$1=""),"",IF(TRIM(LEFT($E380,MIN(IFERROR(FIND("CDU",UPPER($E380)),999),IFERROR(FIND("BULK",UPPER($E380)),999),IFERROR(FIND("-",$E380),999),IFERROR(FIND("（",$E380),999))-1))=I$1,$F380,""))</f>
        <v/>
      </c>
      <c r="J380" s="268" t="str">
        <f t="shared" si="447"/>
        <v/>
      </c>
      <c r="K380" s="268" t="str">
        <f t="shared" si="447"/>
        <v/>
      </c>
      <c r="L380" s="268" t="str">
        <f t="shared" si="447"/>
        <v/>
      </c>
      <c r="M380" s="268" t="str">
        <f t="shared" si="447"/>
        <v/>
      </c>
      <c r="N380" s="268" t="str">
        <f t="shared" si="447"/>
        <v/>
      </c>
      <c r="O380" s="268" t="str">
        <f t="shared" si="447"/>
        <v/>
      </c>
      <c r="P380" s="268" t="str">
        <f t="shared" si="447"/>
        <v/>
      </c>
      <c r="Q380" s="268" t="str">
        <f t="shared" si="447"/>
        <v/>
      </c>
      <c r="R380" s="268" t="str">
        <f t="shared" si="447"/>
        <v/>
      </c>
      <c r="S380" s="268" t="str">
        <f t="shared" si="447"/>
        <v/>
      </c>
      <c r="T380" s="268" t="str">
        <f t="shared" si="447"/>
        <v/>
      </c>
      <c r="U380" s="268" t="str">
        <f t="shared" si="447"/>
        <v/>
      </c>
      <c r="V380" s="268" t="str">
        <f t="shared" si="447"/>
        <v/>
      </c>
      <c r="W380" s="268" t="str">
        <f t="shared" si="447"/>
        <v/>
      </c>
      <c r="X380" s="268" t="str">
        <f t="shared" si="447"/>
        <v/>
      </c>
      <c r="Y380" s="268" t="str">
        <f t="shared" si="447"/>
        <v/>
      </c>
      <c r="Z380" s="268" t="str">
        <f t="shared" si="447"/>
        <v/>
      </c>
      <c r="AA380" s="268" t="str">
        <f t="shared" si="447"/>
        <v/>
      </c>
      <c r="AB380" s="268" t="str">
        <f t="shared" si="447"/>
        <v/>
      </c>
      <c r="AC380" s="268" t="str">
        <f t="shared" si="447"/>
        <v/>
      </c>
      <c r="AD380" s="268" t="str">
        <f t="shared" si="447"/>
        <v/>
      </c>
      <c r="AE380" s="268" t="str">
        <f t="shared" si="447"/>
        <v/>
      </c>
      <c r="AF380" s="268" t="str">
        <f t="shared" si="447"/>
        <v/>
      </c>
      <c r="AG380" s="268" t="str">
        <f t="shared" si="447"/>
        <v/>
      </c>
      <c r="AH380" s="268" t="str">
        <f t="shared" si="447"/>
        <v/>
      </c>
      <c r="AI380" s="268" t="str">
        <f t="shared" si="447"/>
        <v/>
      </c>
      <c r="AJ380" s="268" t="str">
        <f t="shared" si="447"/>
        <v/>
      </c>
      <c r="AK380" s="268" t="str">
        <f t="shared" si="447"/>
        <v/>
      </c>
      <c r="AL380" s="268" t="str">
        <f t="shared" si="447"/>
        <v/>
      </c>
      <c r="AM380" s="268" t="str">
        <f t="shared" si="447"/>
        <v/>
      </c>
      <c r="AN380" s="268" t="str">
        <f t="shared" si="447"/>
        <v/>
      </c>
      <c r="AO380" s="268" t="str">
        <f t="shared" si="447"/>
        <v/>
      </c>
      <c r="AP380" s="268" t="str">
        <f t="shared" si="447"/>
        <v/>
      </c>
      <c r="AQ380" s="268" t="str">
        <f t="shared" si="447"/>
        <v/>
      </c>
      <c r="AR380" s="268" t="str">
        <f t="shared" si="447"/>
        <v/>
      </c>
      <c r="AS380" s="268" t="str">
        <f t="shared" si="447"/>
        <v/>
      </c>
      <c r="AT380" s="268">
        <f t="shared" si="447"/>
        <v>2400</v>
      </c>
      <c r="AU380" s="268" t="str">
        <f t="shared" si="447"/>
        <v/>
      </c>
      <c r="AV380" s="268" t="str">
        <f t="shared" si="447"/>
        <v/>
      </c>
      <c r="AW380" s="268" t="str">
        <f t="shared" si="447"/>
        <v/>
      </c>
      <c r="AX380" s="268" t="str">
        <f t="shared" si="447"/>
        <v/>
      </c>
      <c r="AY380" s="268" t="str">
        <f t="shared" si="447"/>
        <v/>
      </c>
      <c r="AZ380" s="268" t="str">
        <f t="shared" si="447"/>
        <v/>
      </c>
      <c r="BA380" s="268" t="str">
        <f t="shared" si="447"/>
        <v/>
      </c>
      <c r="BB380" s="268" t="str">
        <f t="shared" si="447"/>
        <v/>
      </c>
      <c r="BC380" s="268" t="str">
        <f t="shared" si="447"/>
        <v/>
      </c>
      <c r="BD380" s="268" t="str">
        <f t="shared" si="447"/>
        <v/>
      </c>
      <c r="BE380" s="268" t="str">
        <f t="shared" si="447"/>
        <v/>
      </c>
      <c r="BF380" s="268" t="str">
        <f t="shared" si="447"/>
        <v/>
      </c>
      <c r="BG380" s="268" t="str">
        <f t="shared" si="447"/>
        <v/>
      </c>
      <c r="BH380" s="268" t="str">
        <f t="shared" si="447"/>
        <v/>
      </c>
      <c r="BI380" s="268" t="str">
        <f t="shared" si="447"/>
        <v/>
      </c>
      <c r="BJ380" s="268" t="str">
        <f t="shared" si="447"/>
        <v/>
      </c>
      <c r="BK380" s="268" t="str">
        <f t="shared" si="447"/>
        <v/>
      </c>
      <c r="BL380" s="268" t="str">
        <f t="shared" si="447"/>
        <v/>
      </c>
      <c r="BM380" s="268" t="str">
        <f t="shared" si="447"/>
        <v/>
      </c>
      <c r="BN380" s="268" t="str">
        <f t="shared" si="447"/>
        <v/>
      </c>
      <c r="BO380" s="268" t="str">
        <f t="shared" si="447"/>
        <v/>
      </c>
      <c r="BP380" s="268" t="str">
        <f t="shared" si="447"/>
        <v/>
      </c>
      <c r="BQ380" s="268" t="str">
        <f t="shared" si="447"/>
        <v/>
      </c>
      <c r="BR380" s="268" t="str">
        <f t="shared" si="447"/>
        <v/>
      </c>
      <c r="BS380" s="268" t="str">
        <f t="shared" si="447"/>
        <v/>
      </c>
      <c r="BT380" s="268" t="str">
        <f t="shared" si="447"/>
        <v/>
      </c>
      <c r="BU380" s="268" t="str">
        <f t="shared" si="385"/>
        <v/>
      </c>
      <c r="BV380" s="247">
        <v>0.81</v>
      </c>
      <c r="BW380" s="729">
        <f t="shared" si="424"/>
        <v>1944</v>
      </c>
      <c r="BX380" s="730">
        <f t="shared" si="425"/>
        <v>15066</v>
      </c>
      <c r="BY380" s="731" t="str">
        <f t="shared" si="426"/>
        <v>SR</v>
      </c>
    </row>
    <row r="381" s="698" customFormat="1" customHeight="1" spans="1:77">
      <c r="A381" s="208">
        <v>46094</v>
      </c>
      <c r="B381" s="208">
        <v>46157</v>
      </c>
      <c r="C381" s="211"/>
      <c r="D381" s="211" t="s">
        <v>569</v>
      </c>
      <c r="E381" s="211" t="s">
        <v>122</v>
      </c>
      <c r="F381" s="732">
        <v>1200</v>
      </c>
      <c r="G381" s="211" t="s">
        <v>510</v>
      </c>
      <c r="H381" s="211" t="str">
        <f>IFERROR(VLOOKUP(E381,名称!A:E,4,0),"")</f>
        <v>三代</v>
      </c>
      <c r="I381" s="268" t="str">
        <f t="shared" ref="I381:BT381" si="448">IF(OR($E381="",I$1=""),"",IF(TRIM(LEFT($E381,MIN(IFERROR(FIND("CDU",UPPER($E381)),999),IFERROR(FIND("BULK",UPPER($E381)),999),IFERROR(FIND("-",$E381),999),IFERROR(FIND("（",$E381),999))-1))=I$1,$F381,""))</f>
        <v/>
      </c>
      <c r="J381" s="268" t="str">
        <f t="shared" si="448"/>
        <v/>
      </c>
      <c r="K381" s="268" t="str">
        <f t="shared" si="448"/>
        <v/>
      </c>
      <c r="L381" s="268" t="str">
        <f t="shared" si="448"/>
        <v/>
      </c>
      <c r="M381" s="268" t="str">
        <f t="shared" si="448"/>
        <v/>
      </c>
      <c r="N381" s="268" t="str">
        <f t="shared" si="448"/>
        <v/>
      </c>
      <c r="O381" s="268" t="str">
        <f t="shared" si="448"/>
        <v/>
      </c>
      <c r="P381" s="268" t="str">
        <f t="shared" si="448"/>
        <v/>
      </c>
      <c r="Q381" s="268" t="str">
        <f t="shared" si="448"/>
        <v/>
      </c>
      <c r="R381" s="268" t="str">
        <f t="shared" si="448"/>
        <v/>
      </c>
      <c r="S381" s="268" t="str">
        <f t="shared" si="448"/>
        <v/>
      </c>
      <c r="T381" s="268" t="str">
        <f t="shared" si="448"/>
        <v/>
      </c>
      <c r="U381" s="268" t="str">
        <f t="shared" si="448"/>
        <v/>
      </c>
      <c r="V381" s="268" t="str">
        <f t="shared" si="448"/>
        <v/>
      </c>
      <c r="W381" s="268" t="str">
        <f t="shared" si="448"/>
        <v/>
      </c>
      <c r="X381" s="268" t="str">
        <f t="shared" si="448"/>
        <v/>
      </c>
      <c r="Y381" s="268" t="str">
        <f t="shared" si="448"/>
        <v/>
      </c>
      <c r="Z381" s="268" t="str">
        <f t="shared" si="448"/>
        <v/>
      </c>
      <c r="AA381" s="268" t="str">
        <f t="shared" si="448"/>
        <v/>
      </c>
      <c r="AB381" s="268" t="str">
        <f t="shared" si="448"/>
        <v/>
      </c>
      <c r="AC381" s="268" t="str">
        <f t="shared" si="448"/>
        <v/>
      </c>
      <c r="AD381" s="268" t="str">
        <f t="shared" si="448"/>
        <v/>
      </c>
      <c r="AE381" s="268" t="str">
        <f t="shared" si="448"/>
        <v/>
      </c>
      <c r="AF381" s="268" t="str">
        <f t="shared" si="448"/>
        <v/>
      </c>
      <c r="AG381" s="268" t="str">
        <f t="shared" si="448"/>
        <v/>
      </c>
      <c r="AH381" s="268" t="str">
        <f t="shared" si="448"/>
        <v/>
      </c>
      <c r="AI381" s="268" t="str">
        <f t="shared" si="448"/>
        <v/>
      </c>
      <c r="AJ381" s="268" t="str">
        <f t="shared" si="448"/>
        <v/>
      </c>
      <c r="AK381" s="268" t="str">
        <f t="shared" si="448"/>
        <v/>
      </c>
      <c r="AL381" s="268" t="str">
        <f t="shared" si="448"/>
        <v/>
      </c>
      <c r="AM381" s="268" t="str">
        <f t="shared" si="448"/>
        <v/>
      </c>
      <c r="AN381" s="268" t="str">
        <f t="shared" si="448"/>
        <v/>
      </c>
      <c r="AO381" s="268" t="str">
        <f t="shared" si="448"/>
        <v/>
      </c>
      <c r="AP381" s="268" t="str">
        <f t="shared" si="448"/>
        <v/>
      </c>
      <c r="AQ381" s="268" t="str">
        <f t="shared" si="448"/>
        <v/>
      </c>
      <c r="AR381" s="268" t="str">
        <f t="shared" si="448"/>
        <v/>
      </c>
      <c r="AS381" s="268" t="str">
        <f t="shared" si="448"/>
        <v/>
      </c>
      <c r="AT381" s="268" t="str">
        <f t="shared" si="448"/>
        <v/>
      </c>
      <c r="AU381" s="268" t="str">
        <f t="shared" si="448"/>
        <v/>
      </c>
      <c r="AV381" s="268" t="str">
        <f t="shared" si="448"/>
        <v/>
      </c>
      <c r="AW381" s="268">
        <f t="shared" si="448"/>
        <v>1200</v>
      </c>
      <c r="AX381" s="268" t="str">
        <f t="shared" si="448"/>
        <v/>
      </c>
      <c r="AY381" s="268" t="str">
        <f t="shared" si="448"/>
        <v/>
      </c>
      <c r="AZ381" s="268" t="str">
        <f t="shared" si="448"/>
        <v/>
      </c>
      <c r="BA381" s="268" t="str">
        <f t="shared" si="448"/>
        <v/>
      </c>
      <c r="BB381" s="268" t="str">
        <f t="shared" si="448"/>
        <v/>
      </c>
      <c r="BC381" s="268" t="str">
        <f t="shared" si="448"/>
        <v/>
      </c>
      <c r="BD381" s="268" t="str">
        <f t="shared" si="448"/>
        <v/>
      </c>
      <c r="BE381" s="268" t="str">
        <f t="shared" si="448"/>
        <v/>
      </c>
      <c r="BF381" s="268" t="str">
        <f t="shared" si="448"/>
        <v/>
      </c>
      <c r="BG381" s="268" t="str">
        <f t="shared" si="448"/>
        <v/>
      </c>
      <c r="BH381" s="268" t="str">
        <f t="shared" si="448"/>
        <v/>
      </c>
      <c r="BI381" s="268" t="str">
        <f t="shared" si="448"/>
        <v/>
      </c>
      <c r="BJ381" s="268" t="str">
        <f t="shared" si="448"/>
        <v/>
      </c>
      <c r="BK381" s="268" t="str">
        <f t="shared" si="448"/>
        <v/>
      </c>
      <c r="BL381" s="268" t="str">
        <f t="shared" si="448"/>
        <v/>
      </c>
      <c r="BM381" s="268" t="str">
        <f t="shared" si="448"/>
        <v/>
      </c>
      <c r="BN381" s="268" t="str">
        <f t="shared" si="448"/>
        <v/>
      </c>
      <c r="BO381" s="268" t="str">
        <f t="shared" si="448"/>
        <v/>
      </c>
      <c r="BP381" s="268" t="str">
        <f t="shared" si="448"/>
        <v/>
      </c>
      <c r="BQ381" s="268" t="str">
        <f t="shared" si="448"/>
        <v/>
      </c>
      <c r="BR381" s="268" t="str">
        <f t="shared" si="448"/>
        <v/>
      </c>
      <c r="BS381" s="268" t="str">
        <f t="shared" si="448"/>
        <v/>
      </c>
      <c r="BT381" s="268" t="str">
        <f t="shared" si="448"/>
        <v/>
      </c>
      <c r="BU381" s="268" t="str">
        <f t="shared" si="385"/>
        <v/>
      </c>
      <c r="BV381" s="247">
        <v>1.54</v>
      </c>
      <c r="BW381" s="729">
        <f t="shared" si="424"/>
        <v>1848</v>
      </c>
      <c r="BX381" s="730">
        <f t="shared" si="425"/>
        <v>14322</v>
      </c>
      <c r="BY381" s="731" t="str">
        <f t="shared" si="426"/>
        <v>SR</v>
      </c>
    </row>
    <row r="382" s="698" customFormat="1" customHeight="1" spans="1:77">
      <c r="A382" s="208">
        <v>46094</v>
      </c>
      <c r="B382" s="208">
        <v>46157</v>
      </c>
      <c r="C382" s="211"/>
      <c r="D382" s="211" t="s">
        <v>569</v>
      </c>
      <c r="E382" s="211" t="s">
        <v>89</v>
      </c>
      <c r="F382" s="732">
        <v>600</v>
      </c>
      <c r="G382" s="211" t="s">
        <v>510</v>
      </c>
      <c r="H382" s="211" t="str">
        <f>IFERROR(VLOOKUP(E382,名称!A:E,4,0),"")</f>
        <v>三代</v>
      </c>
      <c r="I382" s="268" t="str">
        <f t="shared" ref="I382:BT382" si="449">IF(OR($E382="",I$1=""),"",IF(TRIM(LEFT($E382,MIN(IFERROR(FIND("CDU",UPPER($E382)),999),IFERROR(FIND("BULK",UPPER($E382)),999),IFERROR(FIND("-",$E382),999),IFERROR(FIND("（",$E382),999))-1))=I$1,$F382,""))</f>
        <v/>
      </c>
      <c r="J382" s="268" t="str">
        <f t="shared" si="449"/>
        <v/>
      </c>
      <c r="K382" s="268" t="str">
        <f t="shared" si="449"/>
        <v/>
      </c>
      <c r="L382" s="268" t="str">
        <f t="shared" si="449"/>
        <v/>
      </c>
      <c r="M382" s="268" t="str">
        <f t="shared" si="449"/>
        <v/>
      </c>
      <c r="N382" s="268" t="str">
        <f t="shared" si="449"/>
        <v/>
      </c>
      <c r="O382" s="268" t="str">
        <f t="shared" si="449"/>
        <v/>
      </c>
      <c r="P382" s="268" t="str">
        <f t="shared" si="449"/>
        <v/>
      </c>
      <c r="Q382" s="268" t="str">
        <f t="shared" si="449"/>
        <v/>
      </c>
      <c r="R382" s="268" t="str">
        <f t="shared" si="449"/>
        <v/>
      </c>
      <c r="S382" s="268" t="str">
        <f t="shared" si="449"/>
        <v/>
      </c>
      <c r="T382" s="268" t="str">
        <f t="shared" si="449"/>
        <v/>
      </c>
      <c r="U382" s="268" t="str">
        <f t="shared" si="449"/>
        <v/>
      </c>
      <c r="V382" s="268" t="str">
        <f t="shared" si="449"/>
        <v/>
      </c>
      <c r="W382" s="268" t="str">
        <f t="shared" si="449"/>
        <v/>
      </c>
      <c r="X382" s="268" t="str">
        <f t="shared" si="449"/>
        <v/>
      </c>
      <c r="Y382" s="268" t="str">
        <f t="shared" si="449"/>
        <v/>
      </c>
      <c r="Z382" s="268" t="str">
        <f t="shared" si="449"/>
        <v/>
      </c>
      <c r="AA382" s="268" t="str">
        <f t="shared" si="449"/>
        <v/>
      </c>
      <c r="AB382" s="268" t="str">
        <f t="shared" si="449"/>
        <v/>
      </c>
      <c r="AC382" s="268" t="str">
        <f t="shared" si="449"/>
        <v/>
      </c>
      <c r="AD382" s="268" t="str">
        <f t="shared" si="449"/>
        <v/>
      </c>
      <c r="AE382" s="268" t="str">
        <f t="shared" si="449"/>
        <v/>
      </c>
      <c r="AF382" s="268" t="str">
        <f t="shared" si="449"/>
        <v/>
      </c>
      <c r="AG382" s="268" t="str">
        <f t="shared" si="449"/>
        <v/>
      </c>
      <c r="AH382" s="268" t="str">
        <f t="shared" si="449"/>
        <v/>
      </c>
      <c r="AI382" s="268" t="str">
        <f t="shared" si="449"/>
        <v/>
      </c>
      <c r="AJ382" s="268" t="str">
        <f t="shared" si="449"/>
        <v/>
      </c>
      <c r="AK382" s="268" t="str">
        <f t="shared" si="449"/>
        <v/>
      </c>
      <c r="AL382" s="268" t="str">
        <f t="shared" si="449"/>
        <v/>
      </c>
      <c r="AM382" s="268" t="str">
        <f t="shared" si="449"/>
        <v/>
      </c>
      <c r="AN382" s="268" t="str">
        <f t="shared" si="449"/>
        <v/>
      </c>
      <c r="AO382" s="268" t="str">
        <f t="shared" si="449"/>
        <v/>
      </c>
      <c r="AP382" s="268" t="str">
        <f t="shared" si="449"/>
        <v/>
      </c>
      <c r="AQ382" s="268" t="str">
        <f t="shared" si="449"/>
        <v/>
      </c>
      <c r="AR382" s="268" t="str">
        <f t="shared" si="449"/>
        <v/>
      </c>
      <c r="AS382" s="268" t="str">
        <f t="shared" si="449"/>
        <v/>
      </c>
      <c r="AT382" s="268" t="str">
        <f t="shared" si="449"/>
        <v/>
      </c>
      <c r="AU382" s="268">
        <f t="shared" si="449"/>
        <v>600</v>
      </c>
      <c r="AV382" s="268" t="str">
        <f t="shared" si="449"/>
        <v/>
      </c>
      <c r="AW382" s="268" t="str">
        <f t="shared" si="449"/>
        <v/>
      </c>
      <c r="AX382" s="268" t="str">
        <f t="shared" si="449"/>
        <v/>
      </c>
      <c r="AY382" s="268" t="str">
        <f t="shared" si="449"/>
        <v/>
      </c>
      <c r="AZ382" s="268" t="str">
        <f t="shared" si="449"/>
        <v/>
      </c>
      <c r="BA382" s="268" t="str">
        <f t="shared" si="449"/>
        <v/>
      </c>
      <c r="BB382" s="268" t="str">
        <f t="shared" si="449"/>
        <v/>
      </c>
      <c r="BC382" s="268" t="str">
        <f t="shared" si="449"/>
        <v/>
      </c>
      <c r="BD382" s="268" t="str">
        <f t="shared" si="449"/>
        <v/>
      </c>
      <c r="BE382" s="268" t="str">
        <f t="shared" si="449"/>
        <v/>
      </c>
      <c r="BF382" s="268" t="str">
        <f t="shared" si="449"/>
        <v/>
      </c>
      <c r="BG382" s="268" t="str">
        <f t="shared" si="449"/>
        <v/>
      </c>
      <c r="BH382" s="268" t="str">
        <f t="shared" si="449"/>
        <v/>
      </c>
      <c r="BI382" s="268" t="str">
        <f t="shared" si="449"/>
        <v/>
      </c>
      <c r="BJ382" s="268" t="str">
        <f t="shared" si="449"/>
        <v/>
      </c>
      <c r="BK382" s="268" t="str">
        <f t="shared" si="449"/>
        <v/>
      </c>
      <c r="BL382" s="268" t="str">
        <f t="shared" si="449"/>
        <v/>
      </c>
      <c r="BM382" s="268" t="str">
        <f t="shared" si="449"/>
        <v/>
      </c>
      <c r="BN382" s="268" t="str">
        <f t="shared" si="449"/>
        <v/>
      </c>
      <c r="BO382" s="268" t="str">
        <f t="shared" si="449"/>
        <v/>
      </c>
      <c r="BP382" s="268" t="str">
        <f t="shared" si="449"/>
        <v/>
      </c>
      <c r="BQ382" s="268" t="str">
        <f t="shared" si="449"/>
        <v/>
      </c>
      <c r="BR382" s="268" t="str">
        <f t="shared" si="449"/>
        <v/>
      </c>
      <c r="BS382" s="268" t="str">
        <f t="shared" si="449"/>
        <v/>
      </c>
      <c r="BT382" s="268" t="str">
        <f t="shared" si="449"/>
        <v/>
      </c>
      <c r="BU382" s="268" t="str">
        <f t="shared" si="385"/>
        <v/>
      </c>
      <c r="BV382" s="247">
        <v>1.85</v>
      </c>
      <c r="BW382" s="729">
        <f t="shared" si="424"/>
        <v>1110</v>
      </c>
      <c r="BX382" s="730">
        <f t="shared" si="425"/>
        <v>8602.5</v>
      </c>
      <c r="BY382" s="731" t="str">
        <f t="shared" si="426"/>
        <v>SR</v>
      </c>
    </row>
    <row r="383" s="698" customFormat="1" customHeight="1" spans="1:77">
      <c r="A383" s="208">
        <v>46094</v>
      </c>
      <c r="B383" s="208">
        <v>46164</v>
      </c>
      <c r="C383" s="211"/>
      <c r="D383" s="211" t="s">
        <v>570</v>
      </c>
      <c r="E383" s="211" t="s">
        <v>18</v>
      </c>
      <c r="F383" s="732">
        <f>504+246</f>
        <v>750</v>
      </c>
      <c r="G383" s="211" t="s">
        <v>510</v>
      </c>
      <c r="H383" s="211" t="str">
        <f>IFERROR(VLOOKUP(E383,名称!A:E,4,0),"")</f>
        <v>二代</v>
      </c>
      <c r="I383" s="268" t="str">
        <f t="shared" ref="I383:BT383" si="450">IF(OR($E383="",I$1=""),"",IF(TRIM(LEFT($E383,MIN(IFERROR(FIND("CDU",UPPER($E383)),999),IFERROR(FIND("BULK",UPPER($E383)),999),IFERROR(FIND("-",$E383),999),IFERROR(FIND("（",$E383),999))-1))=I$1,$F383,""))</f>
        <v/>
      </c>
      <c r="J383" s="268" t="str">
        <f t="shared" si="450"/>
        <v/>
      </c>
      <c r="K383" s="268" t="str">
        <f t="shared" si="450"/>
        <v/>
      </c>
      <c r="L383" s="268" t="str">
        <f t="shared" si="450"/>
        <v/>
      </c>
      <c r="M383" s="268" t="str">
        <f t="shared" si="450"/>
        <v/>
      </c>
      <c r="N383" s="268" t="str">
        <f t="shared" si="450"/>
        <v/>
      </c>
      <c r="O383" s="268" t="str">
        <f t="shared" si="450"/>
        <v/>
      </c>
      <c r="P383" s="268" t="str">
        <f t="shared" si="450"/>
        <v/>
      </c>
      <c r="Q383" s="268" t="str">
        <f t="shared" si="450"/>
        <v/>
      </c>
      <c r="R383" s="268" t="str">
        <f t="shared" si="450"/>
        <v/>
      </c>
      <c r="S383" s="268" t="str">
        <f t="shared" si="450"/>
        <v/>
      </c>
      <c r="T383" s="268" t="str">
        <f t="shared" si="450"/>
        <v/>
      </c>
      <c r="U383" s="268" t="str">
        <f t="shared" si="450"/>
        <v/>
      </c>
      <c r="V383" s="268" t="str">
        <f t="shared" si="450"/>
        <v/>
      </c>
      <c r="W383" s="268" t="str">
        <f t="shared" si="450"/>
        <v/>
      </c>
      <c r="X383" s="268" t="str">
        <f t="shared" si="450"/>
        <v/>
      </c>
      <c r="Y383" s="268" t="str">
        <f t="shared" si="450"/>
        <v/>
      </c>
      <c r="Z383" s="268">
        <f t="shared" si="450"/>
        <v>750</v>
      </c>
      <c r="AA383" s="268" t="str">
        <f t="shared" si="450"/>
        <v/>
      </c>
      <c r="AB383" s="268" t="str">
        <f t="shared" si="450"/>
        <v/>
      </c>
      <c r="AC383" s="268" t="str">
        <f t="shared" si="450"/>
        <v/>
      </c>
      <c r="AD383" s="268" t="str">
        <f t="shared" si="450"/>
        <v/>
      </c>
      <c r="AE383" s="268" t="str">
        <f t="shared" si="450"/>
        <v/>
      </c>
      <c r="AF383" s="268" t="str">
        <f t="shared" si="450"/>
        <v/>
      </c>
      <c r="AG383" s="268" t="str">
        <f t="shared" si="450"/>
        <v/>
      </c>
      <c r="AH383" s="268" t="str">
        <f t="shared" si="450"/>
        <v/>
      </c>
      <c r="AI383" s="268" t="str">
        <f t="shared" si="450"/>
        <v/>
      </c>
      <c r="AJ383" s="268" t="str">
        <f t="shared" si="450"/>
        <v/>
      </c>
      <c r="AK383" s="268" t="str">
        <f t="shared" si="450"/>
        <v/>
      </c>
      <c r="AL383" s="268" t="str">
        <f t="shared" si="450"/>
        <v/>
      </c>
      <c r="AM383" s="268" t="str">
        <f t="shared" si="450"/>
        <v/>
      </c>
      <c r="AN383" s="268" t="str">
        <f t="shared" si="450"/>
        <v/>
      </c>
      <c r="AO383" s="268" t="str">
        <f t="shared" si="450"/>
        <v/>
      </c>
      <c r="AP383" s="268" t="str">
        <f t="shared" si="450"/>
        <v/>
      </c>
      <c r="AQ383" s="268" t="str">
        <f t="shared" si="450"/>
        <v/>
      </c>
      <c r="AR383" s="268" t="str">
        <f t="shared" si="450"/>
        <v/>
      </c>
      <c r="AS383" s="268" t="str">
        <f t="shared" si="450"/>
        <v/>
      </c>
      <c r="AT383" s="268" t="str">
        <f t="shared" si="450"/>
        <v/>
      </c>
      <c r="AU383" s="268" t="str">
        <f t="shared" si="450"/>
        <v/>
      </c>
      <c r="AV383" s="268" t="str">
        <f t="shared" si="450"/>
        <v/>
      </c>
      <c r="AW383" s="268" t="str">
        <f t="shared" si="450"/>
        <v/>
      </c>
      <c r="AX383" s="268" t="str">
        <f t="shared" si="450"/>
        <v/>
      </c>
      <c r="AY383" s="268" t="str">
        <f t="shared" si="450"/>
        <v/>
      </c>
      <c r="AZ383" s="268" t="str">
        <f t="shared" si="450"/>
        <v/>
      </c>
      <c r="BA383" s="268" t="str">
        <f t="shared" si="450"/>
        <v/>
      </c>
      <c r="BB383" s="268" t="str">
        <f t="shared" si="450"/>
        <v/>
      </c>
      <c r="BC383" s="268" t="str">
        <f t="shared" si="450"/>
        <v/>
      </c>
      <c r="BD383" s="268" t="str">
        <f t="shared" si="450"/>
        <v/>
      </c>
      <c r="BE383" s="268" t="str">
        <f t="shared" si="450"/>
        <v/>
      </c>
      <c r="BF383" s="268" t="str">
        <f t="shared" si="450"/>
        <v/>
      </c>
      <c r="BG383" s="268" t="str">
        <f t="shared" si="450"/>
        <v/>
      </c>
      <c r="BH383" s="268" t="str">
        <f t="shared" si="450"/>
        <v/>
      </c>
      <c r="BI383" s="268" t="str">
        <f t="shared" si="450"/>
        <v/>
      </c>
      <c r="BJ383" s="268" t="str">
        <f t="shared" si="450"/>
        <v/>
      </c>
      <c r="BK383" s="268" t="str">
        <f t="shared" si="450"/>
        <v/>
      </c>
      <c r="BL383" s="268" t="str">
        <f t="shared" si="450"/>
        <v/>
      </c>
      <c r="BM383" s="268" t="str">
        <f t="shared" si="450"/>
        <v/>
      </c>
      <c r="BN383" s="268" t="str">
        <f t="shared" si="450"/>
        <v/>
      </c>
      <c r="BO383" s="268" t="str">
        <f t="shared" si="450"/>
        <v/>
      </c>
      <c r="BP383" s="268" t="str">
        <f t="shared" si="450"/>
        <v/>
      </c>
      <c r="BQ383" s="268" t="str">
        <f t="shared" si="450"/>
        <v/>
      </c>
      <c r="BR383" s="268" t="str">
        <f t="shared" si="450"/>
        <v/>
      </c>
      <c r="BS383" s="268" t="str">
        <f t="shared" si="450"/>
        <v/>
      </c>
      <c r="BT383" s="268" t="str">
        <f t="shared" si="450"/>
        <v/>
      </c>
      <c r="BU383" s="268" t="str">
        <f t="shared" si="385"/>
        <v/>
      </c>
      <c r="BV383" s="247">
        <v>1.47</v>
      </c>
      <c r="BW383" s="729">
        <f t="shared" si="424"/>
        <v>1102.5</v>
      </c>
      <c r="BX383" s="730">
        <f t="shared" si="425"/>
        <v>8544.38</v>
      </c>
      <c r="BY383" s="731" t="str">
        <f t="shared" si="426"/>
        <v>SR</v>
      </c>
    </row>
    <row r="384" s="698" customFormat="1" customHeight="1" spans="1:77">
      <c r="A384" s="208">
        <v>46094</v>
      </c>
      <c r="B384" s="208">
        <v>46164</v>
      </c>
      <c r="C384" s="211"/>
      <c r="D384" s="211" t="s">
        <v>570</v>
      </c>
      <c r="E384" s="211" t="s">
        <v>99</v>
      </c>
      <c r="F384" s="732">
        <f>1008+96</f>
        <v>1104</v>
      </c>
      <c r="G384" s="211" t="s">
        <v>510</v>
      </c>
      <c r="H384" s="211" t="str">
        <f>IFERROR(VLOOKUP(E384,名称!A:E,4,0),"")</f>
        <v>三代</v>
      </c>
      <c r="I384" s="268" t="str">
        <f t="shared" ref="I384:BT384" si="451">IF(OR($E384="",I$1=""),"",IF(TRIM(LEFT($E384,MIN(IFERROR(FIND("CDU",UPPER($E384)),999),IFERROR(FIND("BULK",UPPER($E384)),999),IFERROR(FIND("-",$E384),999),IFERROR(FIND("（",$E384),999))-1))=I$1,$F384,""))</f>
        <v/>
      </c>
      <c r="J384" s="268" t="str">
        <f t="shared" si="451"/>
        <v/>
      </c>
      <c r="K384" s="268" t="str">
        <f t="shared" si="451"/>
        <v/>
      </c>
      <c r="L384" s="268" t="str">
        <f t="shared" si="451"/>
        <v/>
      </c>
      <c r="M384" s="268" t="str">
        <f t="shared" si="451"/>
        <v/>
      </c>
      <c r="N384" s="268" t="str">
        <f t="shared" si="451"/>
        <v/>
      </c>
      <c r="O384" s="268" t="str">
        <f t="shared" si="451"/>
        <v/>
      </c>
      <c r="P384" s="268" t="str">
        <f t="shared" si="451"/>
        <v/>
      </c>
      <c r="Q384" s="268" t="str">
        <f t="shared" si="451"/>
        <v/>
      </c>
      <c r="R384" s="268" t="str">
        <f t="shared" si="451"/>
        <v/>
      </c>
      <c r="S384" s="268" t="str">
        <f t="shared" si="451"/>
        <v/>
      </c>
      <c r="T384" s="268" t="str">
        <f t="shared" si="451"/>
        <v/>
      </c>
      <c r="U384" s="268" t="str">
        <f t="shared" si="451"/>
        <v/>
      </c>
      <c r="V384" s="268" t="str">
        <f t="shared" si="451"/>
        <v/>
      </c>
      <c r="W384" s="268" t="str">
        <f t="shared" si="451"/>
        <v/>
      </c>
      <c r="X384" s="268" t="str">
        <f t="shared" si="451"/>
        <v/>
      </c>
      <c r="Y384" s="268" t="str">
        <f t="shared" si="451"/>
        <v/>
      </c>
      <c r="Z384" s="268" t="str">
        <f t="shared" si="451"/>
        <v/>
      </c>
      <c r="AA384" s="268" t="str">
        <f t="shared" si="451"/>
        <v/>
      </c>
      <c r="AB384" s="268" t="str">
        <f t="shared" si="451"/>
        <v/>
      </c>
      <c r="AC384" s="268">
        <f t="shared" si="451"/>
        <v>1104</v>
      </c>
      <c r="AD384" s="268" t="str">
        <f t="shared" si="451"/>
        <v/>
      </c>
      <c r="AE384" s="268" t="str">
        <f t="shared" si="451"/>
        <v/>
      </c>
      <c r="AF384" s="268" t="str">
        <f t="shared" si="451"/>
        <v/>
      </c>
      <c r="AG384" s="268" t="str">
        <f t="shared" si="451"/>
        <v/>
      </c>
      <c r="AH384" s="268" t="str">
        <f t="shared" si="451"/>
        <v/>
      </c>
      <c r="AI384" s="268" t="str">
        <f t="shared" si="451"/>
        <v/>
      </c>
      <c r="AJ384" s="268" t="str">
        <f t="shared" si="451"/>
        <v/>
      </c>
      <c r="AK384" s="268" t="str">
        <f t="shared" si="451"/>
        <v/>
      </c>
      <c r="AL384" s="268" t="str">
        <f t="shared" si="451"/>
        <v/>
      </c>
      <c r="AM384" s="268" t="str">
        <f t="shared" si="451"/>
        <v/>
      </c>
      <c r="AN384" s="268" t="str">
        <f t="shared" si="451"/>
        <v/>
      </c>
      <c r="AO384" s="268" t="str">
        <f t="shared" si="451"/>
        <v/>
      </c>
      <c r="AP384" s="268" t="str">
        <f t="shared" si="451"/>
        <v/>
      </c>
      <c r="AQ384" s="268" t="str">
        <f t="shared" si="451"/>
        <v/>
      </c>
      <c r="AR384" s="268" t="str">
        <f t="shared" si="451"/>
        <v/>
      </c>
      <c r="AS384" s="268" t="str">
        <f t="shared" si="451"/>
        <v/>
      </c>
      <c r="AT384" s="268" t="str">
        <f t="shared" si="451"/>
        <v/>
      </c>
      <c r="AU384" s="268" t="str">
        <f t="shared" si="451"/>
        <v/>
      </c>
      <c r="AV384" s="268" t="str">
        <f t="shared" si="451"/>
        <v/>
      </c>
      <c r="AW384" s="268" t="str">
        <f t="shared" si="451"/>
        <v/>
      </c>
      <c r="AX384" s="268" t="str">
        <f t="shared" si="451"/>
        <v/>
      </c>
      <c r="AY384" s="268" t="str">
        <f t="shared" si="451"/>
        <v/>
      </c>
      <c r="AZ384" s="268" t="str">
        <f t="shared" si="451"/>
        <v/>
      </c>
      <c r="BA384" s="268" t="str">
        <f t="shared" si="451"/>
        <v/>
      </c>
      <c r="BB384" s="268" t="str">
        <f t="shared" si="451"/>
        <v/>
      </c>
      <c r="BC384" s="268" t="str">
        <f t="shared" si="451"/>
        <v/>
      </c>
      <c r="BD384" s="268" t="str">
        <f t="shared" si="451"/>
        <v/>
      </c>
      <c r="BE384" s="268" t="str">
        <f t="shared" si="451"/>
        <v/>
      </c>
      <c r="BF384" s="268" t="str">
        <f t="shared" si="451"/>
        <v/>
      </c>
      <c r="BG384" s="268" t="str">
        <f t="shared" si="451"/>
        <v/>
      </c>
      <c r="BH384" s="268" t="str">
        <f t="shared" si="451"/>
        <v/>
      </c>
      <c r="BI384" s="268" t="str">
        <f t="shared" si="451"/>
        <v/>
      </c>
      <c r="BJ384" s="268" t="str">
        <f t="shared" si="451"/>
        <v/>
      </c>
      <c r="BK384" s="268" t="str">
        <f t="shared" si="451"/>
        <v/>
      </c>
      <c r="BL384" s="268" t="str">
        <f t="shared" si="451"/>
        <v/>
      </c>
      <c r="BM384" s="268" t="str">
        <f t="shared" si="451"/>
        <v/>
      </c>
      <c r="BN384" s="268" t="str">
        <f t="shared" si="451"/>
        <v/>
      </c>
      <c r="BO384" s="268" t="str">
        <f t="shared" si="451"/>
        <v/>
      </c>
      <c r="BP384" s="268" t="str">
        <f t="shared" si="451"/>
        <v/>
      </c>
      <c r="BQ384" s="268" t="str">
        <f t="shared" si="451"/>
        <v/>
      </c>
      <c r="BR384" s="268" t="str">
        <f t="shared" si="451"/>
        <v/>
      </c>
      <c r="BS384" s="268" t="str">
        <f t="shared" si="451"/>
        <v/>
      </c>
      <c r="BT384" s="268" t="str">
        <f t="shared" si="451"/>
        <v/>
      </c>
      <c r="BU384" s="268" t="str">
        <f t="shared" si="385"/>
        <v/>
      </c>
      <c r="BV384" s="247">
        <v>0.92</v>
      </c>
      <c r="BW384" s="729">
        <f t="shared" si="424"/>
        <v>1015.68</v>
      </c>
      <c r="BX384" s="730">
        <f t="shared" si="425"/>
        <v>7871.52</v>
      </c>
      <c r="BY384" s="731" t="str">
        <f t="shared" si="426"/>
        <v>SR</v>
      </c>
    </row>
    <row r="385" s="698" customFormat="1" customHeight="1" spans="1:77">
      <c r="A385" s="208">
        <v>46094</v>
      </c>
      <c r="B385" s="208">
        <v>46164</v>
      </c>
      <c r="C385" s="211"/>
      <c r="D385" s="211" t="s">
        <v>570</v>
      </c>
      <c r="E385" s="211" t="s">
        <v>66</v>
      </c>
      <c r="F385" s="732">
        <f>504+936</f>
        <v>1440</v>
      </c>
      <c r="G385" s="211" t="s">
        <v>510</v>
      </c>
      <c r="H385" s="211" t="str">
        <f>IFERROR(VLOOKUP(E385,名称!A:E,4,0),"")</f>
        <v>三代</v>
      </c>
      <c r="I385" s="268" t="str">
        <f t="shared" ref="I385:BT385" si="452">IF(OR($E385="",I$1=""),"",IF(TRIM(LEFT($E385,MIN(IFERROR(FIND("CDU",UPPER($E385)),999),IFERROR(FIND("BULK",UPPER($E385)),999),IFERROR(FIND("-",$E385),999),IFERROR(FIND("（",$E385),999))-1))=I$1,$F385,""))</f>
        <v/>
      </c>
      <c r="J385" s="268" t="str">
        <f t="shared" si="452"/>
        <v/>
      </c>
      <c r="K385" s="268" t="str">
        <f t="shared" si="452"/>
        <v/>
      </c>
      <c r="L385" s="268" t="str">
        <f t="shared" si="452"/>
        <v/>
      </c>
      <c r="M385" s="268" t="str">
        <f t="shared" si="452"/>
        <v/>
      </c>
      <c r="N385" s="268" t="str">
        <f t="shared" si="452"/>
        <v/>
      </c>
      <c r="O385" s="268" t="str">
        <f t="shared" si="452"/>
        <v/>
      </c>
      <c r="P385" s="268" t="str">
        <f t="shared" si="452"/>
        <v/>
      </c>
      <c r="Q385" s="268" t="str">
        <f t="shared" si="452"/>
        <v/>
      </c>
      <c r="R385" s="268" t="str">
        <f t="shared" si="452"/>
        <v/>
      </c>
      <c r="S385" s="268" t="str">
        <f t="shared" si="452"/>
        <v/>
      </c>
      <c r="T385" s="268" t="str">
        <f t="shared" si="452"/>
        <v/>
      </c>
      <c r="U385" s="268" t="str">
        <f t="shared" si="452"/>
        <v/>
      </c>
      <c r="V385" s="268" t="str">
        <f t="shared" si="452"/>
        <v/>
      </c>
      <c r="W385" s="268" t="str">
        <f t="shared" si="452"/>
        <v/>
      </c>
      <c r="X385" s="268" t="str">
        <f t="shared" si="452"/>
        <v/>
      </c>
      <c r="Y385" s="268" t="str">
        <f t="shared" si="452"/>
        <v/>
      </c>
      <c r="Z385" s="268" t="str">
        <f t="shared" si="452"/>
        <v/>
      </c>
      <c r="AA385" s="268" t="str">
        <f t="shared" si="452"/>
        <v/>
      </c>
      <c r="AB385" s="268" t="str">
        <f t="shared" si="452"/>
        <v/>
      </c>
      <c r="AC385" s="268" t="str">
        <f t="shared" si="452"/>
        <v/>
      </c>
      <c r="AD385" s="268" t="str">
        <f t="shared" si="452"/>
        <v/>
      </c>
      <c r="AE385" s="268" t="str">
        <f t="shared" si="452"/>
        <v/>
      </c>
      <c r="AF385" s="268" t="str">
        <f t="shared" si="452"/>
        <v/>
      </c>
      <c r="AG385" s="268">
        <f t="shared" si="452"/>
        <v>1440</v>
      </c>
      <c r="AH385" s="268" t="str">
        <f t="shared" si="452"/>
        <v/>
      </c>
      <c r="AI385" s="268" t="str">
        <f t="shared" si="452"/>
        <v/>
      </c>
      <c r="AJ385" s="268" t="str">
        <f t="shared" si="452"/>
        <v/>
      </c>
      <c r="AK385" s="268" t="str">
        <f t="shared" si="452"/>
        <v/>
      </c>
      <c r="AL385" s="268" t="str">
        <f t="shared" si="452"/>
        <v/>
      </c>
      <c r="AM385" s="268" t="str">
        <f t="shared" si="452"/>
        <v/>
      </c>
      <c r="AN385" s="268" t="str">
        <f t="shared" si="452"/>
        <v/>
      </c>
      <c r="AO385" s="268" t="str">
        <f t="shared" si="452"/>
        <v/>
      </c>
      <c r="AP385" s="268" t="str">
        <f t="shared" si="452"/>
        <v/>
      </c>
      <c r="AQ385" s="268" t="str">
        <f t="shared" si="452"/>
        <v/>
      </c>
      <c r="AR385" s="268" t="str">
        <f t="shared" si="452"/>
        <v/>
      </c>
      <c r="AS385" s="268" t="str">
        <f t="shared" si="452"/>
        <v/>
      </c>
      <c r="AT385" s="268" t="str">
        <f t="shared" si="452"/>
        <v/>
      </c>
      <c r="AU385" s="268" t="str">
        <f t="shared" si="452"/>
        <v/>
      </c>
      <c r="AV385" s="268" t="str">
        <f t="shared" si="452"/>
        <v/>
      </c>
      <c r="AW385" s="268" t="str">
        <f t="shared" si="452"/>
        <v/>
      </c>
      <c r="AX385" s="268" t="str">
        <f t="shared" si="452"/>
        <v/>
      </c>
      <c r="AY385" s="268" t="str">
        <f t="shared" si="452"/>
        <v/>
      </c>
      <c r="AZ385" s="268" t="str">
        <f t="shared" si="452"/>
        <v/>
      </c>
      <c r="BA385" s="268" t="str">
        <f t="shared" si="452"/>
        <v/>
      </c>
      <c r="BB385" s="268" t="str">
        <f t="shared" si="452"/>
        <v/>
      </c>
      <c r="BC385" s="268" t="str">
        <f t="shared" si="452"/>
        <v/>
      </c>
      <c r="BD385" s="268" t="str">
        <f t="shared" si="452"/>
        <v/>
      </c>
      <c r="BE385" s="268" t="str">
        <f t="shared" si="452"/>
        <v/>
      </c>
      <c r="BF385" s="268" t="str">
        <f t="shared" si="452"/>
        <v/>
      </c>
      <c r="BG385" s="268" t="str">
        <f t="shared" si="452"/>
        <v/>
      </c>
      <c r="BH385" s="268" t="str">
        <f t="shared" si="452"/>
        <v/>
      </c>
      <c r="BI385" s="268" t="str">
        <f t="shared" si="452"/>
        <v/>
      </c>
      <c r="BJ385" s="268" t="str">
        <f t="shared" si="452"/>
        <v/>
      </c>
      <c r="BK385" s="268" t="str">
        <f t="shared" si="452"/>
        <v/>
      </c>
      <c r="BL385" s="268" t="str">
        <f t="shared" si="452"/>
        <v/>
      </c>
      <c r="BM385" s="268" t="str">
        <f t="shared" si="452"/>
        <v/>
      </c>
      <c r="BN385" s="268" t="str">
        <f t="shared" si="452"/>
        <v/>
      </c>
      <c r="BO385" s="268" t="str">
        <f t="shared" si="452"/>
        <v/>
      </c>
      <c r="BP385" s="268" t="str">
        <f t="shared" si="452"/>
        <v/>
      </c>
      <c r="BQ385" s="268" t="str">
        <f t="shared" si="452"/>
        <v/>
      </c>
      <c r="BR385" s="268" t="str">
        <f t="shared" si="452"/>
        <v/>
      </c>
      <c r="BS385" s="268" t="str">
        <f t="shared" si="452"/>
        <v/>
      </c>
      <c r="BT385" s="268" t="str">
        <f t="shared" si="452"/>
        <v/>
      </c>
      <c r="BU385" s="268" t="str">
        <f t="shared" si="385"/>
        <v/>
      </c>
      <c r="BV385" s="247">
        <v>2.09</v>
      </c>
      <c r="BW385" s="729">
        <f t="shared" si="424"/>
        <v>3009.6</v>
      </c>
      <c r="BX385" s="730">
        <f t="shared" si="425"/>
        <v>23324.4</v>
      </c>
      <c r="BY385" s="731" t="str">
        <f t="shared" si="426"/>
        <v>SR</v>
      </c>
    </row>
    <row r="386" s="698" customFormat="1" customHeight="1" spans="1:77">
      <c r="A386" s="208">
        <v>46094</v>
      </c>
      <c r="B386" s="208">
        <v>46164</v>
      </c>
      <c r="C386" s="211"/>
      <c r="D386" s="211" t="s">
        <v>570</v>
      </c>
      <c r="E386" s="211" t="s">
        <v>85</v>
      </c>
      <c r="F386" s="732">
        <f>2064-48</f>
        <v>2016</v>
      </c>
      <c r="G386" s="211" t="s">
        <v>510</v>
      </c>
      <c r="H386" s="211" t="str">
        <f>IFERROR(VLOOKUP(E386,名称!A:E,4,0),"")</f>
        <v>三代</v>
      </c>
      <c r="I386" s="268" t="str">
        <f t="shared" ref="I386:BT386" si="453">IF(OR($E386="",I$1=""),"",IF(TRIM(LEFT($E386,MIN(IFERROR(FIND("CDU",UPPER($E386)),999),IFERROR(FIND("BULK",UPPER($E386)),999),IFERROR(FIND("-",$E386),999),IFERROR(FIND("（",$E386),999))-1))=I$1,$F386,""))</f>
        <v/>
      </c>
      <c r="J386" s="268" t="str">
        <f t="shared" si="453"/>
        <v/>
      </c>
      <c r="K386" s="268" t="str">
        <f t="shared" si="453"/>
        <v/>
      </c>
      <c r="L386" s="268" t="str">
        <f t="shared" si="453"/>
        <v/>
      </c>
      <c r="M386" s="268" t="str">
        <f t="shared" si="453"/>
        <v/>
      </c>
      <c r="N386" s="268" t="str">
        <f t="shared" si="453"/>
        <v/>
      </c>
      <c r="O386" s="268" t="str">
        <f t="shared" si="453"/>
        <v/>
      </c>
      <c r="P386" s="268" t="str">
        <f t="shared" si="453"/>
        <v/>
      </c>
      <c r="Q386" s="268" t="str">
        <f t="shared" si="453"/>
        <v/>
      </c>
      <c r="R386" s="268" t="str">
        <f t="shared" si="453"/>
        <v/>
      </c>
      <c r="S386" s="268" t="str">
        <f t="shared" si="453"/>
        <v/>
      </c>
      <c r="T386" s="268" t="str">
        <f t="shared" si="453"/>
        <v/>
      </c>
      <c r="U386" s="268" t="str">
        <f t="shared" si="453"/>
        <v/>
      </c>
      <c r="V386" s="268" t="str">
        <f t="shared" si="453"/>
        <v/>
      </c>
      <c r="W386" s="268" t="str">
        <f t="shared" si="453"/>
        <v/>
      </c>
      <c r="X386" s="268" t="str">
        <f t="shared" si="453"/>
        <v/>
      </c>
      <c r="Y386" s="268" t="str">
        <f t="shared" si="453"/>
        <v/>
      </c>
      <c r="Z386" s="268" t="str">
        <f t="shared" si="453"/>
        <v/>
      </c>
      <c r="AA386" s="268" t="str">
        <f t="shared" si="453"/>
        <v/>
      </c>
      <c r="AB386" s="268" t="str">
        <f t="shared" si="453"/>
        <v/>
      </c>
      <c r="AC386" s="268" t="str">
        <f t="shared" si="453"/>
        <v/>
      </c>
      <c r="AD386" s="268" t="str">
        <f t="shared" si="453"/>
        <v/>
      </c>
      <c r="AE386" s="268" t="str">
        <f t="shared" si="453"/>
        <v/>
      </c>
      <c r="AF386" s="268" t="str">
        <f t="shared" si="453"/>
        <v/>
      </c>
      <c r="AG386" s="268" t="str">
        <f t="shared" si="453"/>
        <v/>
      </c>
      <c r="AH386" s="268" t="str">
        <f t="shared" si="453"/>
        <v/>
      </c>
      <c r="AI386" s="268" t="str">
        <f t="shared" si="453"/>
        <v/>
      </c>
      <c r="AJ386" s="268" t="str">
        <f t="shared" si="453"/>
        <v/>
      </c>
      <c r="AK386" s="268" t="str">
        <f t="shared" si="453"/>
        <v/>
      </c>
      <c r="AL386" s="268" t="str">
        <f t="shared" si="453"/>
        <v/>
      </c>
      <c r="AM386" s="268" t="str">
        <f t="shared" si="453"/>
        <v/>
      </c>
      <c r="AN386" s="268">
        <f t="shared" si="453"/>
        <v>2016</v>
      </c>
      <c r="AO386" s="268" t="str">
        <f t="shared" si="453"/>
        <v/>
      </c>
      <c r="AP386" s="268" t="str">
        <f t="shared" si="453"/>
        <v/>
      </c>
      <c r="AQ386" s="268" t="str">
        <f t="shared" si="453"/>
        <v/>
      </c>
      <c r="AR386" s="268" t="str">
        <f t="shared" si="453"/>
        <v/>
      </c>
      <c r="AS386" s="268" t="str">
        <f t="shared" si="453"/>
        <v/>
      </c>
      <c r="AT386" s="268" t="str">
        <f t="shared" si="453"/>
        <v/>
      </c>
      <c r="AU386" s="268" t="str">
        <f t="shared" si="453"/>
        <v/>
      </c>
      <c r="AV386" s="268" t="str">
        <f t="shared" si="453"/>
        <v/>
      </c>
      <c r="AW386" s="268" t="str">
        <f t="shared" si="453"/>
        <v/>
      </c>
      <c r="AX386" s="268" t="str">
        <f t="shared" si="453"/>
        <v/>
      </c>
      <c r="AY386" s="268" t="str">
        <f t="shared" si="453"/>
        <v/>
      </c>
      <c r="AZ386" s="268" t="str">
        <f t="shared" si="453"/>
        <v/>
      </c>
      <c r="BA386" s="268" t="str">
        <f t="shared" si="453"/>
        <v/>
      </c>
      <c r="BB386" s="268" t="str">
        <f t="shared" si="453"/>
        <v/>
      </c>
      <c r="BC386" s="268" t="str">
        <f t="shared" si="453"/>
        <v/>
      </c>
      <c r="BD386" s="268" t="str">
        <f t="shared" si="453"/>
        <v/>
      </c>
      <c r="BE386" s="268" t="str">
        <f t="shared" si="453"/>
        <v/>
      </c>
      <c r="BF386" s="268" t="str">
        <f t="shared" si="453"/>
        <v/>
      </c>
      <c r="BG386" s="268" t="str">
        <f t="shared" si="453"/>
        <v/>
      </c>
      <c r="BH386" s="268" t="str">
        <f t="shared" si="453"/>
        <v/>
      </c>
      <c r="BI386" s="268" t="str">
        <f t="shared" si="453"/>
        <v/>
      </c>
      <c r="BJ386" s="268" t="str">
        <f t="shared" si="453"/>
        <v/>
      </c>
      <c r="BK386" s="268" t="str">
        <f t="shared" si="453"/>
        <v/>
      </c>
      <c r="BL386" s="268" t="str">
        <f t="shared" si="453"/>
        <v/>
      </c>
      <c r="BM386" s="268" t="str">
        <f t="shared" si="453"/>
        <v/>
      </c>
      <c r="BN386" s="268" t="str">
        <f t="shared" si="453"/>
        <v/>
      </c>
      <c r="BO386" s="268" t="str">
        <f t="shared" si="453"/>
        <v/>
      </c>
      <c r="BP386" s="268" t="str">
        <f t="shared" si="453"/>
        <v/>
      </c>
      <c r="BQ386" s="268" t="str">
        <f t="shared" si="453"/>
        <v/>
      </c>
      <c r="BR386" s="268" t="str">
        <f t="shared" si="453"/>
        <v/>
      </c>
      <c r="BS386" s="268" t="str">
        <f t="shared" si="453"/>
        <v/>
      </c>
      <c r="BT386" s="268" t="str">
        <f t="shared" si="453"/>
        <v/>
      </c>
      <c r="BU386" s="268" t="str">
        <f t="shared" si="385"/>
        <v/>
      </c>
      <c r="BV386" s="247">
        <v>0.91</v>
      </c>
      <c r="BW386" s="729">
        <f t="shared" si="424"/>
        <v>1834.56</v>
      </c>
      <c r="BX386" s="730">
        <f t="shared" si="425"/>
        <v>14217.84</v>
      </c>
      <c r="BY386" s="731" t="str">
        <f t="shared" si="426"/>
        <v>SR</v>
      </c>
    </row>
    <row r="387" s="698" customFormat="1" customHeight="1" spans="1:77">
      <c r="A387" s="208">
        <v>46094</v>
      </c>
      <c r="B387" s="208">
        <v>46164</v>
      </c>
      <c r="C387" s="211"/>
      <c r="D387" s="211" t="s">
        <v>570</v>
      </c>
      <c r="E387" s="211" t="s">
        <v>92</v>
      </c>
      <c r="F387" s="732">
        <f>672+432</f>
        <v>1104</v>
      </c>
      <c r="G387" s="211" t="s">
        <v>510</v>
      </c>
      <c r="H387" s="211" t="str">
        <f>IFERROR(VLOOKUP(E387,名称!A:E,4,0),"")</f>
        <v>三代</v>
      </c>
      <c r="I387" s="268" t="str">
        <f t="shared" ref="I387:BT387" si="454">IF(OR($E387="",I$1=""),"",IF(TRIM(LEFT($E387,MIN(IFERROR(FIND("CDU",UPPER($E387)),999),IFERROR(FIND("BULK",UPPER($E387)),999),IFERROR(FIND("-",$E387),999),IFERROR(FIND("（",$E387),999))-1))=I$1,$F387,""))</f>
        <v/>
      </c>
      <c r="J387" s="268" t="str">
        <f t="shared" si="454"/>
        <v/>
      </c>
      <c r="K387" s="268" t="str">
        <f t="shared" si="454"/>
        <v/>
      </c>
      <c r="L387" s="268" t="str">
        <f t="shared" si="454"/>
        <v/>
      </c>
      <c r="M387" s="268" t="str">
        <f t="shared" si="454"/>
        <v/>
      </c>
      <c r="N387" s="268" t="str">
        <f t="shared" si="454"/>
        <v/>
      </c>
      <c r="O387" s="268" t="str">
        <f t="shared" si="454"/>
        <v/>
      </c>
      <c r="P387" s="268" t="str">
        <f t="shared" si="454"/>
        <v/>
      </c>
      <c r="Q387" s="268" t="str">
        <f t="shared" si="454"/>
        <v/>
      </c>
      <c r="R387" s="268" t="str">
        <f t="shared" si="454"/>
        <v/>
      </c>
      <c r="S387" s="268" t="str">
        <f t="shared" si="454"/>
        <v/>
      </c>
      <c r="T387" s="268" t="str">
        <f t="shared" si="454"/>
        <v/>
      </c>
      <c r="U387" s="268" t="str">
        <f t="shared" si="454"/>
        <v/>
      </c>
      <c r="V387" s="268" t="str">
        <f t="shared" si="454"/>
        <v/>
      </c>
      <c r="W387" s="268" t="str">
        <f t="shared" si="454"/>
        <v/>
      </c>
      <c r="X387" s="268" t="str">
        <f t="shared" si="454"/>
        <v/>
      </c>
      <c r="Y387" s="268" t="str">
        <f t="shared" si="454"/>
        <v/>
      </c>
      <c r="Z387" s="268" t="str">
        <f t="shared" si="454"/>
        <v/>
      </c>
      <c r="AA387" s="268" t="str">
        <f t="shared" si="454"/>
        <v/>
      </c>
      <c r="AB387" s="268" t="str">
        <f t="shared" si="454"/>
        <v/>
      </c>
      <c r="AC387" s="268" t="str">
        <f t="shared" si="454"/>
        <v/>
      </c>
      <c r="AD387" s="268" t="str">
        <f t="shared" si="454"/>
        <v/>
      </c>
      <c r="AE387" s="268" t="str">
        <f t="shared" si="454"/>
        <v/>
      </c>
      <c r="AF387" s="268" t="str">
        <f t="shared" si="454"/>
        <v/>
      </c>
      <c r="AG387" s="268" t="str">
        <f t="shared" si="454"/>
        <v/>
      </c>
      <c r="AH387" s="268" t="str">
        <f t="shared" si="454"/>
        <v/>
      </c>
      <c r="AI387" s="268" t="str">
        <f t="shared" si="454"/>
        <v/>
      </c>
      <c r="AJ387" s="268" t="str">
        <f t="shared" si="454"/>
        <v/>
      </c>
      <c r="AK387" s="268" t="str">
        <f t="shared" si="454"/>
        <v/>
      </c>
      <c r="AL387" s="268" t="str">
        <f t="shared" si="454"/>
        <v/>
      </c>
      <c r="AM387" s="268" t="str">
        <f t="shared" si="454"/>
        <v/>
      </c>
      <c r="AN387" s="268" t="str">
        <f t="shared" si="454"/>
        <v/>
      </c>
      <c r="AO387" s="268" t="str">
        <f t="shared" si="454"/>
        <v/>
      </c>
      <c r="AP387" s="268" t="str">
        <f t="shared" si="454"/>
        <v/>
      </c>
      <c r="AQ387" s="268" t="str">
        <f t="shared" si="454"/>
        <v/>
      </c>
      <c r="AR387" s="268" t="str">
        <f t="shared" si="454"/>
        <v/>
      </c>
      <c r="AS387" s="268" t="str">
        <f t="shared" si="454"/>
        <v/>
      </c>
      <c r="AT387" s="268" t="str">
        <f t="shared" si="454"/>
        <v/>
      </c>
      <c r="AU387" s="268" t="str">
        <f t="shared" si="454"/>
        <v/>
      </c>
      <c r="AV387" s="268" t="str">
        <f t="shared" si="454"/>
        <v/>
      </c>
      <c r="AW387" s="268" t="str">
        <f t="shared" si="454"/>
        <v/>
      </c>
      <c r="AX387" s="268">
        <f t="shared" si="454"/>
        <v>1104</v>
      </c>
      <c r="AY387" s="268" t="str">
        <f t="shared" si="454"/>
        <v/>
      </c>
      <c r="AZ387" s="268" t="str">
        <f t="shared" si="454"/>
        <v/>
      </c>
      <c r="BA387" s="268" t="str">
        <f t="shared" si="454"/>
        <v/>
      </c>
      <c r="BB387" s="268" t="str">
        <f t="shared" si="454"/>
        <v/>
      </c>
      <c r="BC387" s="268" t="str">
        <f t="shared" si="454"/>
        <v/>
      </c>
      <c r="BD387" s="268" t="str">
        <f t="shared" si="454"/>
        <v/>
      </c>
      <c r="BE387" s="268" t="str">
        <f t="shared" si="454"/>
        <v/>
      </c>
      <c r="BF387" s="268" t="str">
        <f t="shared" si="454"/>
        <v/>
      </c>
      <c r="BG387" s="268" t="str">
        <f t="shared" si="454"/>
        <v/>
      </c>
      <c r="BH387" s="268" t="str">
        <f t="shared" si="454"/>
        <v/>
      </c>
      <c r="BI387" s="268" t="str">
        <f t="shared" si="454"/>
        <v/>
      </c>
      <c r="BJ387" s="268" t="str">
        <f t="shared" si="454"/>
        <v/>
      </c>
      <c r="BK387" s="268" t="str">
        <f t="shared" si="454"/>
        <v/>
      </c>
      <c r="BL387" s="268" t="str">
        <f t="shared" si="454"/>
        <v/>
      </c>
      <c r="BM387" s="268" t="str">
        <f t="shared" si="454"/>
        <v/>
      </c>
      <c r="BN387" s="268" t="str">
        <f t="shared" si="454"/>
        <v/>
      </c>
      <c r="BO387" s="268" t="str">
        <f t="shared" si="454"/>
        <v/>
      </c>
      <c r="BP387" s="268" t="str">
        <f t="shared" si="454"/>
        <v/>
      </c>
      <c r="BQ387" s="268" t="str">
        <f t="shared" si="454"/>
        <v/>
      </c>
      <c r="BR387" s="268" t="str">
        <f t="shared" si="454"/>
        <v/>
      </c>
      <c r="BS387" s="268" t="str">
        <f t="shared" si="454"/>
        <v/>
      </c>
      <c r="BT387" s="268" t="str">
        <f t="shared" si="454"/>
        <v/>
      </c>
      <c r="BU387" s="268" t="str">
        <f t="shared" si="385"/>
        <v/>
      </c>
      <c r="BV387" s="247">
        <v>0.91</v>
      </c>
      <c r="BW387" s="729">
        <f t="shared" si="424"/>
        <v>1004.64</v>
      </c>
      <c r="BX387" s="730">
        <f t="shared" si="425"/>
        <v>7785.96</v>
      </c>
      <c r="BY387" s="731" t="str">
        <f t="shared" si="426"/>
        <v>SR</v>
      </c>
    </row>
    <row r="388" s="697" customFormat="1" customHeight="1" spans="1:77">
      <c r="A388" s="116">
        <v>46095</v>
      </c>
      <c r="B388" s="116">
        <v>46248</v>
      </c>
      <c r="C388" s="118"/>
      <c r="D388" s="118" t="s">
        <v>571</v>
      </c>
      <c r="E388" s="118" t="s">
        <v>65</v>
      </c>
      <c r="F388" s="726">
        <v>3384</v>
      </c>
      <c r="G388" s="118" t="s">
        <v>510</v>
      </c>
      <c r="H388" s="118" t="str">
        <f>IFERROR(VLOOKUP(E388,名称!A:E,4,0),"")</f>
        <v>二代</v>
      </c>
      <c r="I388" s="418" t="str">
        <f t="shared" ref="I388:BT388" si="455">IF(OR($E388="",I$1=""),"",IF(TRIM(LEFT($E388,MIN(IFERROR(FIND("CDU",UPPER($E388)),999),IFERROR(FIND("BULK",UPPER($E388)),999),IFERROR(FIND("-",$E388),999),IFERROR(FIND("（",$E388),999))-1))=I$1,$F388,""))</f>
        <v/>
      </c>
      <c r="J388" s="418" t="str">
        <f t="shared" si="455"/>
        <v/>
      </c>
      <c r="K388" s="418" t="str">
        <f t="shared" si="455"/>
        <v/>
      </c>
      <c r="L388" s="418" t="str">
        <f t="shared" si="455"/>
        <v/>
      </c>
      <c r="M388" s="418" t="str">
        <f t="shared" si="455"/>
        <v/>
      </c>
      <c r="N388" s="418" t="str">
        <f t="shared" si="455"/>
        <v/>
      </c>
      <c r="O388" s="418" t="str">
        <f t="shared" si="455"/>
        <v/>
      </c>
      <c r="P388" s="418" t="str">
        <f t="shared" si="455"/>
        <v/>
      </c>
      <c r="Q388" s="418">
        <f t="shared" si="455"/>
        <v>3384</v>
      </c>
      <c r="R388" s="418" t="str">
        <f t="shared" si="455"/>
        <v/>
      </c>
      <c r="S388" s="418" t="str">
        <f t="shared" si="455"/>
        <v/>
      </c>
      <c r="T388" s="418" t="str">
        <f t="shared" si="455"/>
        <v/>
      </c>
      <c r="U388" s="418" t="str">
        <f t="shared" si="455"/>
        <v/>
      </c>
      <c r="V388" s="418" t="str">
        <f t="shared" si="455"/>
        <v/>
      </c>
      <c r="W388" s="418" t="str">
        <f t="shared" si="455"/>
        <v/>
      </c>
      <c r="X388" s="418" t="str">
        <f t="shared" si="455"/>
        <v/>
      </c>
      <c r="Y388" s="418" t="str">
        <f t="shared" si="455"/>
        <v/>
      </c>
      <c r="Z388" s="418" t="str">
        <f t="shared" si="455"/>
        <v/>
      </c>
      <c r="AA388" s="418" t="str">
        <f t="shared" si="455"/>
        <v/>
      </c>
      <c r="AB388" s="418" t="str">
        <f t="shared" si="455"/>
        <v/>
      </c>
      <c r="AC388" s="418" t="str">
        <f t="shared" si="455"/>
        <v/>
      </c>
      <c r="AD388" s="418" t="str">
        <f t="shared" si="455"/>
        <v/>
      </c>
      <c r="AE388" s="418" t="str">
        <f t="shared" si="455"/>
        <v/>
      </c>
      <c r="AF388" s="418" t="str">
        <f t="shared" si="455"/>
        <v/>
      </c>
      <c r="AG388" s="418" t="str">
        <f t="shared" si="455"/>
        <v/>
      </c>
      <c r="AH388" s="418" t="str">
        <f t="shared" si="455"/>
        <v/>
      </c>
      <c r="AI388" s="418" t="str">
        <f t="shared" si="455"/>
        <v/>
      </c>
      <c r="AJ388" s="418" t="str">
        <f t="shared" si="455"/>
        <v/>
      </c>
      <c r="AK388" s="418" t="str">
        <f t="shared" si="455"/>
        <v/>
      </c>
      <c r="AL388" s="418" t="str">
        <f t="shared" si="455"/>
        <v/>
      </c>
      <c r="AM388" s="418" t="str">
        <f t="shared" si="455"/>
        <v/>
      </c>
      <c r="AN388" s="418" t="str">
        <f t="shared" si="455"/>
        <v/>
      </c>
      <c r="AO388" s="418" t="str">
        <f t="shared" si="455"/>
        <v/>
      </c>
      <c r="AP388" s="418" t="str">
        <f t="shared" si="455"/>
        <v/>
      </c>
      <c r="AQ388" s="418" t="str">
        <f t="shared" si="455"/>
        <v/>
      </c>
      <c r="AR388" s="418" t="str">
        <f t="shared" si="455"/>
        <v/>
      </c>
      <c r="AS388" s="418" t="str">
        <f t="shared" si="455"/>
        <v/>
      </c>
      <c r="AT388" s="418" t="str">
        <f t="shared" si="455"/>
        <v/>
      </c>
      <c r="AU388" s="418" t="str">
        <f t="shared" si="455"/>
        <v/>
      </c>
      <c r="AV388" s="418" t="str">
        <f t="shared" si="455"/>
        <v/>
      </c>
      <c r="AW388" s="418" t="str">
        <f t="shared" si="455"/>
        <v/>
      </c>
      <c r="AX388" s="418" t="str">
        <f t="shared" si="455"/>
        <v/>
      </c>
      <c r="AY388" s="418" t="str">
        <f t="shared" si="455"/>
        <v/>
      </c>
      <c r="AZ388" s="418" t="str">
        <f t="shared" si="455"/>
        <v/>
      </c>
      <c r="BA388" s="418" t="str">
        <f t="shared" si="455"/>
        <v/>
      </c>
      <c r="BB388" s="418" t="str">
        <f t="shared" si="455"/>
        <v/>
      </c>
      <c r="BC388" s="418" t="str">
        <f t="shared" si="455"/>
        <v/>
      </c>
      <c r="BD388" s="418" t="str">
        <f t="shared" si="455"/>
        <v/>
      </c>
      <c r="BE388" s="418" t="str">
        <f t="shared" si="455"/>
        <v/>
      </c>
      <c r="BF388" s="418" t="str">
        <f t="shared" si="455"/>
        <v/>
      </c>
      <c r="BG388" s="418" t="str">
        <f t="shared" si="455"/>
        <v/>
      </c>
      <c r="BH388" s="418" t="str">
        <f t="shared" si="455"/>
        <v/>
      </c>
      <c r="BI388" s="418" t="str">
        <f t="shared" si="455"/>
        <v/>
      </c>
      <c r="BJ388" s="418" t="str">
        <f t="shared" si="455"/>
        <v/>
      </c>
      <c r="BK388" s="418" t="str">
        <f t="shared" si="455"/>
        <v/>
      </c>
      <c r="BL388" s="418" t="str">
        <f t="shared" si="455"/>
        <v/>
      </c>
      <c r="BM388" s="418" t="str">
        <f t="shared" si="455"/>
        <v/>
      </c>
      <c r="BN388" s="418" t="str">
        <f t="shared" si="455"/>
        <v/>
      </c>
      <c r="BO388" s="418" t="str">
        <f t="shared" si="455"/>
        <v/>
      </c>
      <c r="BP388" s="418" t="str">
        <f t="shared" si="455"/>
        <v/>
      </c>
      <c r="BQ388" s="418" t="str">
        <f t="shared" si="455"/>
        <v/>
      </c>
      <c r="BR388" s="418" t="str">
        <f t="shared" si="455"/>
        <v/>
      </c>
      <c r="BS388" s="418" t="str">
        <f t="shared" si="455"/>
        <v/>
      </c>
      <c r="BT388" s="418" t="str">
        <f t="shared" si="455"/>
        <v/>
      </c>
      <c r="BU388" s="418" t="str">
        <f t="shared" ref="BU388:BU451" si="456">IF(OR($E388="",BU$1=""),"",IF(TRIM(LEFT($E388,MIN(IFERROR(FIND("CDU",UPPER($E388)),999),IFERROR(FIND("BULK",UPPER($E388)),999),IFERROR(FIND("-",$E388),999),IFERROR(FIND("（",$E388),999))-1))=BU$1,$F388,""))</f>
        <v/>
      </c>
      <c r="BV388" s="544">
        <v>0.63</v>
      </c>
      <c r="BW388" s="723">
        <f t="shared" si="424"/>
        <v>2131.92</v>
      </c>
      <c r="BX388" s="724">
        <f t="shared" si="425"/>
        <v>16522.38</v>
      </c>
      <c r="BY388" s="725" t="str">
        <f t="shared" si="426"/>
        <v>SR</v>
      </c>
    </row>
    <row r="389" s="697" customFormat="1" customHeight="1" spans="1:77">
      <c r="A389" s="116">
        <v>46095</v>
      </c>
      <c r="B389" s="116">
        <v>46248</v>
      </c>
      <c r="C389" s="118"/>
      <c r="D389" s="118" t="s">
        <v>571</v>
      </c>
      <c r="E389" s="118" t="s">
        <v>97</v>
      </c>
      <c r="F389" s="726">
        <v>2688</v>
      </c>
      <c r="G389" s="118" t="s">
        <v>510</v>
      </c>
      <c r="H389" s="118" t="str">
        <f>IFERROR(VLOOKUP(E389,名称!A:E,4,0),"")</f>
        <v>三代</v>
      </c>
      <c r="I389" s="418" t="str">
        <f t="shared" ref="I389:BT389" si="457">IF(OR($E389="",I$1=""),"",IF(TRIM(LEFT($E389,MIN(IFERROR(FIND("CDU",UPPER($E389)),999),IFERROR(FIND("BULK",UPPER($E389)),999),IFERROR(FIND("-",$E389),999),IFERROR(FIND("（",$E389),999))-1))=I$1,$F389,""))</f>
        <v/>
      </c>
      <c r="J389" s="418" t="str">
        <f t="shared" si="457"/>
        <v/>
      </c>
      <c r="K389" s="418" t="str">
        <f t="shared" si="457"/>
        <v/>
      </c>
      <c r="L389" s="418" t="str">
        <f t="shared" si="457"/>
        <v/>
      </c>
      <c r="M389" s="418" t="str">
        <f t="shared" si="457"/>
        <v/>
      </c>
      <c r="N389" s="418" t="str">
        <f t="shared" si="457"/>
        <v/>
      </c>
      <c r="O389" s="418" t="str">
        <f t="shared" si="457"/>
        <v/>
      </c>
      <c r="P389" s="418" t="str">
        <f t="shared" si="457"/>
        <v/>
      </c>
      <c r="Q389" s="418" t="str">
        <f t="shared" si="457"/>
        <v/>
      </c>
      <c r="R389" s="418" t="str">
        <f t="shared" si="457"/>
        <v/>
      </c>
      <c r="S389" s="418" t="str">
        <f t="shared" si="457"/>
        <v/>
      </c>
      <c r="T389" s="418" t="str">
        <f t="shared" si="457"/>
        <v/>
      </c>
      <c r="U389" s="418" t="str">
        <f t="shared" si="457"/>
        <v/>
      </c>
      <c r="V389" s="418" t="str">
        <f t="shared" si="457"/>
        <v/>
      </c>
      <c r="W389" s="418" t="str">
        <f t="shared" si="457"/>
        <v/>
      </c>
      <c r="X389" s="418" t="str">
        <f t="shared" si="457"/>
        <v/>
      </c>
      <c r="Y389" s="418" t="str">
        <f t="shared" si="457"/>
        <v/>
      </c>
      <c r="Z389" s="418" t="str">
        <f t="shared" si="457"/>
        <v/>
      </c>
      <c r="AA389" s="418" t="str">
        <f t="shared" si="457"/>
        <v/>
      </c>
      <c r="AB389" s="418" t="str">
        <f t="shared" si="457"/>
        <v/>
      </c>
      <c r="AC389" s="418" t="str">
        <f t="shared" si="457"/>
        <v/>
      </c>
      <c r="AD389" s="418" t="str">
        <f t="shared" si="457"/>
        <v/>
      </c>
      <c r="AE389" s="418" t="str">
        <f t="shared" si="457"/>
        <v/>
      </c>
      <c r="AF389" s="418" t="str">
        <f t="shared" si="457"/>
        <v/>
      </c>
      <c r="AG389" s="418" t="str">
        <f t="shared" si="457"/>
        <v/>
      </c>
      <c r="AH389" s="418" t="str">
        <f t="shared" si="457"/>
        <v/>
      </c>
      <c r="AI389" s="418" t="str">
        <f t="shared" si="457"/>
        <v/>
      </c>
      <c r="AJ389" s="418" t="str">
        <f t="shared" si="457"/>
        <v/>
      </c>
      <c r="AK389" s="418" t="str">
        <f t="shared" si="457"/>
        <v/>
      </c>
      <c r="AL389" s="418" t="str">
        <f t="shared" si="457"/>
        <v/>
      </c>
      <c r="AM389" s="418" t="str">
        <f t="shared" si="457"/>
        <v/>
      </c>
      <c r="AN389" s="418" t="str">
        <f t="shared" si="457"/>
        <v/>
      </c>
      <c r="AO389" s="418" t="str">
        <f t="shared" si="457"/>
        <v/>
      </c>
      <c r="AP389" s="418" t="str">
        <f t="shared" si="457"/>
        <v/>
      </c>
      <c r="AQ389" s="418" t="str">
        <f t="shared" si="457"/>
        <v/>
      </c>
      <c r="AR389" s="418" t="str">
        <f t="shared" si="457"/>
        <v/>
      </c>
      <c r="AS389" s="418" t="str">
        <f t="shared" si="457"/>
        <v/>
      </c>
      <c r="AT389" s="418" t="str">
        <f t="shared" si="457"/>
        <v/>
      </c>
      <c r="AU389" s="418" t="str">
        <f t="shared" si="457"/>
        <v/>
      </c>
      <c r="AV389" s="418" t="str">
        <f t="shared" si="457"/>
        <v/>
      </c>
      <c r="AW389" s="418" t="str">
        <f t="shared" si="457"/>
        <v/>
      </c>
      <c r="AX389" s="418" t="str">
        <f t="shared" si="457"/>
        <v/>
      </c>
      <c r="AY389" s="418" t="str">
        <f t="shared" si="457"/>
        <v/>
      </c>
      <c r="AZ389" s="418" t="str">
        <f t="shared" si="457"/>
        <v/>
      </c>
      <c r="BA389" s="418">
        <f t="shared" si="457"/>
        <v>2688</v>
      </c>
      <c r="BB389" s="418" t="str">
        <f t="shared" si="457"/>
        <v/>
      </c>
      <c r="BC389" s="418" t="str">
        <f t="shared" si="457"/>
        <v/>
      </c>
      <c r="BD389" s="418" t="str">
        <f t="shared" si="457"/>
        <v/>
      </c>
      <c r="BE389" s="418" t="str">
        <f t="shared" si="457"/>
        <v/>
      </c>
      <c r="BF389" s="418" t="str">
        <f t="shared" si="457"/>
        <v/>
      </c>
      <c r="BG389" s="418" t="str">
        <f t="shared" si="457"/>
        <v/>
      </c>
      <c r="BH389" s="418" t="str">
        <f t="shared" si="457"/>
        <v/>
      </c>
      <c r="BI389" s="418" t="str">
        <f t="shared" si="457"/>
        <v/>
      </c>
      <c r="BJ389" s="418" t="str">
        <f t="shared" si="457"/>
        <v/>
      </c>
      <c r="BK389" s="418" t="str">
        <f t="shared" si="457"/>
        <v/>
      </c>
      <c r="BL389" s="418" t="str">
        <f t="shared" si="457"/>
        <v/>
      </c>
      <c r="BM389" s="418" t="str">
        <f t="shared" si="457"/>
        <v/>
      </c>
      <c r="BN389" s="418" t="str">
        <f t="shared" si="457"/>
        <v/>
      </c>
      <c r="BO389" s="418" t="str">
        <f t="shared" si="457"/>
        <v/>
      </c>
      <c r="BP389" s="418" t="str">
        <f t="shared" si="457"/>
        <v/>
      </c>
      <c r="BQ389" s="418" t="str">
        <f t="shared" si="457"/>
        <v/>
      </c>
      <c r="BR389" s="418" t="str">
        <f t="shared" si="457"/>
        <v/>
      </c>
      <c r="BS389" s="418" t="str">
        <f t="shared" si="457"/>
        <v/>
      </c>
      <c r="BT389" s="418" t="str">
        <f t="shared" si="457"/>
        <v/>
      </c>
      <c r="BU389" s="418" t="str">
        <f t="shared" si="456"/>
        <v/>
      </c>
      <c r="BV389" s="544">
        <v>0.63</v>
      </c>
      <c r="BW389" s="723">
        <f t="shared" si="424"/>
        <v>1693.44</v>
      </c>
      <c r="BX389" s="724">
        <f t="shared" si="425"/>
        <v>13124.16</v>
      </c>
      <c r="BY389" s="725" t="str">
        <f t="shared" si="426"/>
        <v>SR</v>
      </c>
    </row>
    <row r="390" s="697" customFormat="1" customHeight="1" spans="1:77">
      <c r="A390" s="116">
        <v>46095</v>
      </c>
      <c r="B390" s="116">
        <v>46248</v>
      </c>
      <c r="C390" s="118"/>
      <c r="D390" s="118" t="s">
        <v>571</v>
      </c>
      <c r="E390" s="118" t="s">
        <v>98</v>
      </c>
      <c r="F390" s="726">
        <v>2160</v>
      </c>
      <c r="G390" s="118" t="s">
        <v>510</v>
      </c>
      <c r="H390" s="118" t="str">
        <f>IFERROR(VLOOKUP(E390,名称!A:E,4,0),"")</f>
        <v>三代</v>
      </c>
      <c r="I390" s="418" t="str">
        <f t="shared" ref="I390:BT390" si="458">IF(OR($E390="",I$1=""),"",IF(TRIM(LEFT($E390,MIN(IFERROR(FIND("CDU",UPPER($E390)),999),IFERROR(FIND("BULK",UPPER($E390)),999),IFERROR(FIND("-",$E390),999),IFERROR(FIND("（",$E390),999))-1))=I$1,$F390,""))</f>
        <v/>
      </c>
      <c r="J390" s="418" t="str">
        <f t="shared" si="458"/>
        <v/>
      </c>
      <c r="K390" s="418" t="str">
        <f t="shared" si="458"/>
        <v/>
      </c>
      <c r="L390" s="418" t="str">
        <f t="shared" si="458"/>
        <v/>
      </c>
      <c r="M390" s="418" t="str">
        <f t="shared" si="458"/>
        <v/>
      </c>
      <c r="N390" s="418" t="str">
        <f t="shared" si="458"/>
        <v/>
      </c>
      <c r="O390" s="418" t="str">
        <f t="shared" si="458"/>
        <v/>
      </c>
      <c r="P390" s="418" t="str">
        <f t="shared" si="458"/>
        <v/>
      </c>
      <c r="Q390" s="418" t="str">
        <f t="shared" si="458"/>
        <v/>
      </c>
      <c r="R390" s="418" t="str">
        <f t="shared" si="458"/>
        <v/>
      </c>
      <c r="S390" s="418" t="str">
        <f t="shared" si="458"/>
        <v/>
      </c>
      <c r="T390" s="418" t="str">
        <f t="shared" si="458"/>
        <v/>
      </c>
      <c r="U390" s="418" t="str">
        <f t="shared" si="458"/>
        <v/>
      </c>
      <c r="V390" s="418" t="str">
        <f t="shared" si="458"/>
        <v/>
      </c>
      <c r="W390" s="418" t="str">
        <f t="shared" si="458"/>
        <v/>
      </c>
      <c r="X390" s="418" t="str">
        <f t="shared" si="458"/>
        <v/>
      </c>
      <c r="Y390" s="418" t="str">
        <f t="shared" si="458"/>
        <v/>
      </c>
      <c r="Z390" s="418" t="str">
        <f t="shared" si="458"/>
        <v/>
      </c>
      <c r="AA390" s="418" t="str">
        <f t="shared" si="458"/>
        <v/>
      </c>
      <c r="AB390" s="418" t="str">
        <f t="shared" si="458"/>
        <v/>
      </c>
      <c r="AC390" s="418" t="str">
        <f t="shared" si="458"/>
        <v/>
      </c>
      <c r="AD390" s="418" t="str">
        <f t="shared" si="458"/>
        <v/>
      </c>
      <c r="AE390" s="418" t="str">
        <f t="shared" si="458"/>
        <v/>
      </c>
      <c r="AF390" s="418" t="str">
        <f t="shared" si="458"/>
        <v/>
      </c>
      <c r="AG390" s="418" t="str">
        <f t="shared" si="458"/>
        <v/>
      </c>
      <c r="AH390" s="418" t="str">
        <f t="shared" si="458"/>
        <v/>
      </c>
      <c r="AI390" s="418" t="str">
        <f t="shared" si="458"/>
        <v/>
      </c>
      <c r="AJ390" s="418" t="str">
        <f t="shared" si="458"/>
        <v/>
      </c>
      <c r="AK390" s="418" t="str">
        <f t="shared" si="458"/>
        <v/>
      </c>
      <c r="AL390" s="418" t="str">
        <f t="shared" si="458"/>
        <v/>
      </c>
      <c r="AM390" s="418" t="str">
        <f t="shared" si="458"/>
        <v/>
      </c>
      <c r="AN390" s="418" t="str">
        <f t="shared" si="458"/>
        <v/>
      </c>
      <c r="AO390" s="418" t="str">
        <f t="shared" si="458"/>
        <v/>
      </c>
      <c r="AP390" s="418" t="str">
        <f t="shared" si="458"/>
        <v/>
      </c>
      <c r="AQ390" s="418" t="str">
        <f t="shared" si="458"/>
        <v/>
      </c>
      <c r="AR390" s="418" t="str">
        <f t="shared" si="458"/>
        <v/>
      </c>
      <c r="AS390" s="418" t="str">
        <f t="shared" si="458"/>
        <v/>
      </c>
      <c r="AT390" s="418" t="str">
        <f t="shared" si="458"/>
        <v/>
      </c>
      <c r="AU390" s="418" t="str">
        <f t="shared" si="458"/>
        <v/>
      </c>
      <c r="AV390" s="418" t="str">
        <f t="shared" si="458"/>
        <v/>
      </c>
      <c r="AW390" s="418" t="str">
        <f t="shared" si="458"/>
        <v/>
      </c>
      <c r="AX390" s="418" t="str">
        <f t="shared" si="458"/>
        <v/>
      </c>
      <c r="AY390" s="418" t="str">
        <f t="shared" si="458"/>
        <v/>
      </c>
      <c r="AZ390" s="418" t="str">
        <f t="shared" si="458"/>
        <v/>
      </c>
      <c r="BA390" s="418" t="str">
        <f t="shared" si="458"/>
        <v/>
      </c>
      <c r="BB390" s="418">
        <f t="shared" si="458"/>
        <v>2160</v>
      </c>
      <c r="BC390" s="418" t="str">
        <f t="shared" si="458"/>
        <v/>
      </c>
      <c r="BD390" s="418" t="str">
        <f t="shared" si="458"/>
        <v/>
      </c>
      <c r="BE390" s="418" t="str">
        <f t="shared" si="458"/>
        <v/>
      </c>
      <c r="BF390" s="418" t="str">
        <f t="shared" si="458"/>
        <v/>
      </c>
      <c r="BG390" s="418" t="str">
        <f t="shared" si="458"/>
        <v/>
      </c>
      <c r="BH390" s="418" t="str">
        <f t="shared" si="458"/>
        <v/>
      </c>
      <c r="BI390" s="418" t="str">
        <f t="shared" si="458"/>
        <v/>
      </c>
      <c r="BJ390" s="418" t="str">
        <f t="shared" si="458"/>
        <v/>
      </c>
      <c r="BK390" s="418" t="str">
        <f t="shared" si="458"/>
        <v/>
      </c>
      <c r="BL390" s="418" t="str">
        <f t="shared" si="458"/>
        <v/>
      </c>
      <c r="BM390" s="418" t="str">
        <f t="shared" si="458"/>
        <v/>
      </c>
      <c r="BN390" s="418" t="str">
        <f t="shared" si="458"/>
        <v/>
      </c>
      <c r="BO390" s="418" t="str">
        <f t="shared" si="458"/>
        <v/>
      </c>
      <c r="BP390" s="418" t="str">
        <f t="shared" si="458"/>
        <v/>
      </c>
      <c r="BQ390" s="418" t="str">
        <f t="shared" si="458"/>
        <v/>
      </c>
      <c r="BR390" s="418" t="str">
        <f t="shared" si="458"/>
        <v/>
      </c>
      <c r="BS390" s="418" t="str">
        <f t="shared" si="458"/>
        <v/>
      </c>
      <c r="BT390" s="418" t="str">
        <f t="shared" si="458"/>
        <v/>
      </c>
      <c r="BU390" s="418" t="str">
        <f t="shared" si="456"/>
        <v/>
      </c>
      <c r="BV390" s="544">
        <v>1.6</v>
      </c>
      <c r="BW390" s="723">
        <f t="shared" si="424"/>
        <v>3456</v>
      </c>
      <c r="BX390" s="724">
        <f t="shared" si="425"/>
        <v>26784</v>
      </c>
      <c r="BY390" s="725" t="str">
        <f t="shared" si="426"/>
        <v>SR</v>
      </c>
    </row>
    <row r="391" s="697" customFormat="1" customHeight="1" spans="1:77">
      <c r="A391" s="116">
        <v>46095</v>
      </c>
      <c r="B391" s="116">
        <v>46248</v>
      </c>
      <c r="C391" s="118"/>
      <c r="D391" s="118" t="s">
        <v>571</v>
      </c>
      <c r="E391" s="118" t="s">
        <v>94</v>
      </c>
      <c r="F391" s="726">
        <v>3552</v>
      </c>
      <c r="G391" s="118" t="s">
        <v>510</v>
      </c>
      <c r="H391" s="118" t="str">
        <f>IFERROR(VLOOKUP(E391,名称!A:E,4,0),"")</f>
        <v>三代</v>
      </c>
      <c r="I391" s="418" t="str">
        <f t="shared" ref="I391:BT391" si="459">IF(OR($E391="",I$1=""),"",IF(TRIM(LEFT($E391,MIN(IFERROR(FIND("CDU",UPPER($E391)),999),IFERROR(FIND("BULK",UPPER($E391)),999),IFERROR(FIND("-",$E391),999),IFERROR(FIND("（",$E391),999))-1))=I$1,$F391,""))</f>
        <v/>
      </c>
      <c r="J391" s="418" t="str">
        <f t="shared" si="459"/>
        <v/>
      </c>
      <c r="K391" s="418" t="str">
        <f t="shared" si="459"/>
        <v/>
      </c>
      <c r="L391" s="418" t="str">
        <f t="shared" si="459"/>
        <v/>
      </c>
      <c r="M391" s="418" t="str">
        <f t="shared" si="459"/>
        <v/>
      </c>
      <c r="N391" s="418" t="str">
        <f t="shared" si="459"/>
        <v/>
      </c>
      <c r="O391" s="418" t="str">
        <f t="shared" si="459"/>
        <v/>
      </c>
      <c r="P391" s="418" t="str">
        <f t="shared" si="459"/>
        <v/>
      </c>
      <c r="Q391" s="418" t="str">
        <f t="shared" si="459"/>
        <v/>
      </c>
      <c r="R391" s="418" t="str">
        <f t="shared" si="459"/>
        <v/>
      </c>
      <c r="S391" s="418" t="str">
        <f t="shared" si="459"/>
        <v/>
      </c>
      <c r="T391" s="418" t="str">
        <f t="shared" si="459"/>
        <v/>
      </c>
      <c r="U391" s="418" t="str">
        <f t="shared" si="459"/>
        <v/>
      </c>
      <c r="V391" s="418" t="str">
        <f t="shared" si="459"/>
        <v/>
      </c>
      <c r="W391" s="418" t="str">
        <f t="shared" si="459"/>
        <v/>
      </c>
      <c r="X391" s="418" t="str">
        <f t="shared" si="459"/>
        <v/>
      </c>
      <c r="Y391" s="418" t="str">
        <f t="shared" si="459"/>
        <v/>
      </c>
      <c r="Z391" s="418" t="str">
        <f t="shared" si="459"/>
        <v/>
      </c>
      <c r="AA391" s="418" t="str">
        <f t="shared" si="459"/>
        <v/>
      </c>
      <c r="AB391" s="418" t="str">
        <f t="shared" si="459"/>
        <v/>
      </c>
      <c r="AC391" s="418" t="str">
        <f t="shared" si="459"/>
        <v/>
      </c>
      <c r="AD391" s="418" t="str">
        <f t="shared" si="459"/>
        <v/>
      </c>
      <c r="AE391" s="418" t="str">
        <f t="shared" si="459"/>
        <v/>
      </c>
      <c r="AF391" s="418" t="str">
        <f t="shared" si="459"/>
        <v/>
      </c>
      <c r="AG391" s="418" t="str">
        <f t="shared" si="459"/>
        <v/>
      </c>
      <c r="AH391" s="418" t="str">
        <f t="shared" si="459"/>
        <v/>
      </c>
      <c r="AI391" s="418" t="str">
        <f t="shared" si="459"/>
        <v/>
      </c>
      <c r="AJ391" s="418" t="str">
        <f t="shared" si="459"/>
        <v/>
      </c>
      <c r="AK391" s="418" t="str">
        <f t="shared" si="459"/>
        <v/>
      </c>
      <c r="AL391" s="418" t="str">
        <f t="shared" si="459"/>
        <v/>
      </c>
      <c r="AM391" s="418" t="str">
        <f t="shared" si="459"/>
        <v/>
      </c>
      <c r="AN391" s="418" t="str">
        <f t="shared" si="459"/>
        <v/>
      </c>
      <c r="AO391" s="418" t="str">
        <f t="shared" si="459"/>
        <v/>
      </c>
      <c r="AP391" s="418" t="str">
        <f t="shared" si="459"/>
        <v/>
      </c>
      <c r="AQ391" s="418" t="str">
        <f t="shared" si="459"/>
        <v/>
      </c>
      <c r="AR391" s="418" t="str">
        <f t="shared" si="459"/>
        <v/>
      </c>
      <c r="AS391" s="418" t="str">
        <f t="shared" si="459"/>
        <v/>
      </c>
      <c r="AT391" s="418" t="str">
        <f t="shared" si="459"/>
        <v/>
      </c>
      <c r="AU391" s="418" t="str">
        <f t="shared" si="459"/>
        <v/>
      </c>
      <c r="AV391" s="418" t="str">
        <f t="shared" si="459"/>
        <v/>
      </c>
      <c r="AW391" s="418" t="str">
        <f t="shared" si="459"/>
        <v/>
      </c>
      <c r="AX391" s="418" t="str">
        <f t="shared" si="459"/>
        <v/>
      </c>
      <c r="AY391" s="418">
        <f t="shared" si="459"/>
        <v>3552</v>
      </c>
      <c r="AZ391" s="418" t="str">
        <f t="shared" si="459"/>
        <v/>
      </c>
      <c r="BA391" s="418" t="str">
        <f t="shared" si="459"/>
        <v/>
      </c>
      <c r="BB391" s="418" t="str">
        <f t="shared" si="459"/>
        <v/>
      </c>
      <c r="BC391" s="418" t="str">
        <f t="shared" si="459"/>
        <v/>
      </c>
      <c r="BD391" s="418" t="str">
        <f t="shared" si="459"/>
        <v/>
      </c>
      <c r="BE391" s="418" t="str">
        <f t="shared" si="459"/>
        <v/>
      </c>
      <c r="BF391" s="418" t="str">
        <f t="shared" si="459"/>
        <v/>
      </c>
      <c r="BG391" s="418" t="str">
        <f t="shared" si="459"/>
        <v/>
      </c>
      <c r="BH391" s="418" t="str">
        <f t="shared" si="459"/>
        <v/>
      </c>
      <c r="BI391" s="418" t="str">
        <f t="shared" si="459"/>
        <v/>
      </c>
      <c r="BJ391" s="418" t="str">
        <f t="shared" si="459"/>
        <v/>
      </c>
      <c r="BK391" s="418" t="str">
        <f t="shared" si="459"/>
        <v/>
      </c>
      <c r="BL391" s="418" t="str">
        <f t="shared" si="459"/>
        <v/>
      </c>
      <c r="BM391" s="418" t="str">
        <f t="shared" si="459"/>
        <v/>
      </c>
      <c r="BN391" s="418" t="str">
        <f t="shared" si="459"/>
        <v/>
      </c>
      <c r="BO391" s="418" t="str">
        <f t="shared" si="459"/>
        <v/>
      </c>
      <c r="BP391" s="418" t="str">
        <f t="shared" si="459"/>
        <v/>
      </c>
      <c r="BQ391" s="418" t="str">
        <f t="shared" si="459"/>
        <v/>
      </c>
      <c r="BR391" s="418" t="str">
        <f t="shared" si="459"/>
        <v/>
      </c>
      <c r="BS391" s="418" t="str">
        <f t="shared" si="459"/>
        <v/>
      </c>
      <c r="BT391" s="418" t="str">
        <f t="shared" si="459"/>
        <v/>
      </c>
      <c r="BU391" s="418" t="str">
        <f t="shared" si="456"/>
        <v/>
      </c>
      <c r="BV391" s="544">
        <v>0.63</v>
      </c>
      <c r="BW391" s="723">
        <f t="shared" si="424"/>
        <v>2237.76</v>
      </c>
      <c r="BX391" s="724">
        <f t="shared" si="425"/>
        <v>17342.64</v>
      </c>
      <c r="BY391" s="725" t="str">
        <f t="shared" si="426"/>
        <v>SR</v>
      </c>
    </row>
    <row r="392" s="697" customFormat="1" customHeight="1" spans="1:77">
      <c r="A392" s="116">
        <v>46095</v>
      </c>
      <c r="B392" s="116">
        <v>46248</v>
      </c>
      <c r="C392" s="118"/>
      <c r="D392" s="118" t="s">
        <v>571</v>
      </c>
      <c r="E392" s="118" t="s">
        <v>92</v>
      </c>
      <c r="F392" s="726">
        <v>2000</v>
      </c>
      <c r="G392" s="118" t="s">
        <v>510</v>
      </c>
      <c r="H392" s="118" t="str">
        <f>IFERROR(VLOOKUP(E392,名称!A:E,4,0),"")</f>
        <v>三代</v>
      </c>
      <c r="I392" s="418" t="str">
        <f t="shared" ref="I392:BT392" si="460">IF(OR($E392="",I$1=""),"",IF(TRIM(LEFT($E392,MIN(IFERROR(FIND("CDU",UPPER($E392)),999),IFERROR(FIND("BULK",UPPER($E392)),999),IFERROR(FIND("-",$E392),999),IFERROR(FIND("（",$E392),999))-1))=I$1,$F392,""))</f>
        <v/>
      </c>
      <c r="J392" s="418" t="str">
        <f t="shared" si="460"/>
        <v/>
      </c>
      <c r="K392" s="418" t="str">
        <f t="shared" si="460"/>
        <v/>
      </c>
      <c r="L392" s="418" t="str">
        <f t="shared" si="460"/>
        <v/>
      </c>
      <c r="M392" s="418" t="str">
        <f t="shared" si="460"/>
        <v/>
      </c>
      <c r="N392" s="418" t="str">
        <f t="shared" si="460"/>
        <v/>
      </c>
      <c r="O392" s="418" t="str">
        <f t="shared" si="460"/>
        <v/>
      </c>
      <c r="P392" s="418" t="str">
        <f t="shared" si="460"/>
        <v/>
      </c>
      <c r="Q392" s="418" t="str">
        <f t="shared" si="460"/>
        <v/>
      </c>
      <c r="R392" s="418" t="str">
        <f t="shared" si="460"/>
        <v/>
      </c>
      <c r="S392" s="418" t="str">
        <f t="shared" si="460"/>
        <v/>
      </c>
      <c r="T392" s="418" t="str">
        <f t="shared" si="460"/>
        <v/>
      </c>
      <c r="U392" s="418" t="str">
        <f t="shared" si="460"/>
        <v/>
      </c>
      <c r="V392" s="418" t="str">
        <f t="shared" si="460"/>
        <v/>
      </c>
      <c r="W392" s="418" t="str">
        <f t="shared" si="460"/>
        <v/>
      </c>
      <c r="X392" s="418" t="str">
        <f t="shared" si="460"/>
        <v/>
      </c>
      <c r="Y392" s="418" t="str">
        <f t="shared" si="460"/>
        <v/>
      </c>
      <c r="Z392" s="418" t="str">
        <f t="shared" si="460"/>
        <v/>
      </c>
      <c r="AA392" s="418" t="str">
        <f t="shared" si="460"/>
        <v/>
      </c>
      <c r="AB392" s="418" t="str">
        <f t="shared" si="460"/>
        <v/>
      </c>
      <c r="AC392" s="418" t="str">
        <f t="shared" si="460"/>
        <v/>
      </c>
      <c r="AD392" s="418" t="str">
        <f t="shared" si="460"/>
        <v/>
      </c>
      <c r="AE392" s="418" t="str">
        <f t="shared" si="460"/>
        <v/>
      </c>
      <c r="AF392" s="418" t="str">
        <f t="shared" si="460"/>
        <v/>
      </c>
      <c r="AG392" s="418" t="str">
        <f t="shared" si="460"/>
        <v/>
      </c>
      <c r="AH392" s="418" t="str">
        <f t="shared" si="460"/>
        <v/>
      </c>
      <c r="AI392" s="418" t="str">
        <f t="shared" si="460"/>
        <v/>
      </c>
      <c r="AJ392" s="418" t="str">
        <f t="shared" si="460"/>
        <v/>
      </c>
      <c r="AK392" s="418" t="str">
        <f t="shared" si="460"/>
        <v/>
      </c>
      <c r="AL392" s="418" t="str">
        <f t="shared" si="460"/>
        <v/>
      </c>
      <c r="AM392" s="418" t="str">
        <f t="shared" si="460"/>
        <v/>
      </c>
      <c r="AN392" s="418" t="str">
        <f t="shared" si="460"/>
        <v/>
      </c>
      <c r="AO392" s="418" t="str">
        <f t="shared" si="460"/>
        <v/>
      </c>
      <c r="AP392" s="418" t="str">
        <f t="shared" si="460"/>
        <v/>
      </c>
      <c r="AQ392" s="418" t="str">
        <f t="shared" si="460"/>
        <v/>
      </c>
      <c r="AR392" s="418" t="str">
        <f t="shared" si="460"/>
        <v/>
      </c>
      <c r="AS392" s="418" t="str">
        <f t="shared" si="460"/>
        <v/>
      </c>
      <c r="AT392" s="418" t="str">
        <f t="shared" si="460"/>
        <v/>
      </c>
      <c r="AU392" s="418" t="str">
        <f t="shared" si="460"/>
        <v/>
      </c>
      <c r="AV392" s="418" t="str">
        <f t="shared" si="460"/>
        <v/>
      </c>
      <c r="AW392" s="418" t="str">
        <f t="shared" si="460"/>
        <v/>
      </c>
      <c r="AX392" s="418">
        <f t="shared" si="460"/>
        <v>2000</v>
      </c>
      <c r="AY392" s="418" t="str">
        <f t="shared" si="460"/>
        <v/>
      </c>
      <c r="AZ392" s="418" t="str">
        <f t="shared" si="460"/>
        <v/>
      </c>
      <c r="BA392" s="418" t="str">
        <f t="shared" si="460"/>
        <v/>
      </c>
      <c r="BB392" s="418" t="str">
        <f t="shared" si="460"/>
        <v/>
      </c>
      <c r="BC392" s="418" t="str">
        <f t="shared" si="460"/>
        <v/>
      </c>
      <c r="BD392" s="418" t="str">
        <f t="shared" si="460"/>
        <v/>
      </c>
      <c r="BE392" s="418" t="str">
        <f t="shared" si="460"/>
        <v/>
      </c>
      <c r="BF392" s="418" t="str">
        <f t="shared" si="460"/>
        <v/>
      </c>
      <c r="BG392" s="418" t="str">
        <f t="shared" si="460"/>
        <v/>
      </c>
      <c r="BH392" s="418" t="str">
        <f t="shared" si="460"/>
        <v/>
      </c>
      <c r="BI392" s="418" t="str">
        <f t="shared" si="460"/>
        <v/>
      </c>
      <c r="BJ392" s="418" t="str">
        <f t="shared" si="460"/>
        <v/>
      </c>
      <c r="BK392" s="418" t="str">
        <f t="shared" si="460"/>
        <v/>
      </c>
      <c r="BL392" s="418" t="str">
        <f t="shared" si="460"/>
        <v/>
      </c>
      <c r="BM392" s="418" t="str">
        <f t="shared" si="460"/>
        <v/>
      </c>
      <c r="BN392" s="418" t="str">
        <f t="shared" si="460"/>
        <v/>
      </c>
      <c r="BO392" s="418" t="str">
        <f t="shared" si="460"/>
        <v/>
      </c>
      <c r="BP392" s="418" t="str">
        <f t="shared" si="460"/>
        <v/>
      </c>
      <c r="BQ392" s="418" t="str">
        <f t="shared" si="460"/>
        <v/>
      </c>
      <c r="BR392" s="418" t="str">
        <f t="shared" si="460"/>
        <v/>
      </c>
      <c r="BS392" s="418" t="str">
        <f t="shared" si="460"/>
        <v/>
      </c>
      <c r="BT392" s="418" t="str">
        <f t="shared" si="460"/>
        <v/>
      </c>
      <c r="BU392" s="418" t="str">
        <f t="shared" si="456"/>
        <v/>
      </c>
      <c r="BV392" s="544">
        <v>0.87</v>
      </c>
      <c r="BW392" s="723">
        <f t="shared" si="424"/>
        <v>1740</v>
      </c>
      <c r="BX392" s="724">
        <f t="shared" si="425"/>
        <v>13485</v>
      </c>
      <c r="BY392" s="725" t="str">
        <f t="shared" si="426"/>
        <v>SR</v>
      </c>
    </row>
    <row r="393" s="697" customFormat="1" customHeight="1" spans="1:77">
      <c r="A393" s="116">
        <v>46095</v>
      </c>
      <c r="B393" s="116">
        <v>46248</v>
      </c>
      <c r="C393" s="118"/>
      <c r="D393" s="118" t="s">
        <v>571</v>
      </c>
      <c r="E393" s="118" t="s">
        <v>95</v>
      </c>
      <c r="F393" s="726">
        <v>1040</v>
      </c>
      <c r="G393" s="118" t="s">
        <v>510</v>
      </c>
      <c r="H393" s="118" t="str">
        <f>IFERROR(VLOOKUP(E393,名称!A:E,4,0),"")</f>
        <v>三代</v>
      </c>
      <c r="I393" s="418" t="str">
        <f t="shared" ref="I393:BT393" si="461">IF(OR($E393="",I$1=""),"",IF(TRIM(LEFT($E393,MIN(IFERROR(FIND("CDU",UPPER($E393)),999),IFERROR(FIND("BULK",UPPER($E393)),999),IFERROR(FIND("-",$E393),999),IFERROR(FIND("（",$E393),999))-1))=I$1,$F393,""))</f>
        <v/>
      </c>
      <c r="J393" s="418" t="str">
        <f t="shared" si="461"/>
        <v/>
      </c>
      <c r="K393" s="418" t="str">
        <f t="shared" si="461"/>
        <v/>
      </c>
      <c r="L393" s="418" t="str">
        <f t="shared" si="461"/>
        <v/>
      </c>
      <c r="M393" s="418" t="str">
        <f t="shared" si="461"/>
        <v/>
      </c>
      <c r="N393" s="418" t="str">
        <f t="shared" si="461"/>
        <v/>
      </c>
      <c r="O393" s="418" t="str">
        <f t="shared" si="461"/>
        <v/>
      </c>
      <c r="P393" s="418" t="str">
        <f t="shared" si="461"/>
        <v/>
      </c>
      <c r="Q393" s="418" t="str">
        <f t="shared" si="461"/>
        <v/>
      </c>
      <c r="R393" s="418" t="str">
        <f t="shared" si="461"/>
        <v/>
      </c>
      <c r="S393" s="418" t="str">
        <f t="shared" si="461"/>
        <v/>
      </c>
      <c r="T393" s="418" t="str">
        <f t="shared" si="461"/>
        <v/>
      </c>
      <c r="U393" s="418" t="str">
        <f t="shared" si="461"/>
        <v/>
      </c>
      <c r="V393" s="418" t="str">
        <f t="shared" si="461"/>
        <v/>
      </c>
      <c r="W393" s="418" t="str">
        <f t="shared" si="461"/>
        <v/>
      </c>
      <c r="X393" s="418" t="str">
        <f t="shared" si="461"/>
        <v/>
      </c>
      <c r="Y393" s="418" t="str">
        <f t="shared" si="461"/>
        <v/>
      </c>
      <c r="Z393" s="418" t="str">
        <f t="shared" si="461"/>
        <v/>
      </c>
      <c r="AA393" s="418" t="str">
        <f t="shared" si="461"/>
        <v/>
      </c>
      <c r="AB393" s="418" t="str">
        <f t="shared" si="461"/>
        <v/>
      </c>
      <c r="AC393" s="418" t="str">
        <f t="shared" si="461"/>
        <v/>
      </c>
      <c r="AD393" s="418" t="str">
        <f t="shared" si="461"/>
        <v/>
      </c>
      <c r="AE393" s="418" t="str">
        <f t="shared" si="461"/>
        <v/>
      </c>
      <c r="AF393" s="418" t="str">
        <f t="shared" si="461"/>
        <v/>
      </c>
      <c r="AG393" s="418" t="str">
        <f t="shared" si="461"/>
        <v/>
      </c>
      <c r="AH393" s="418" t="str">
        <f t="shared" si="461"/>
        <v/>
      </c>
      <c r="AI393" s="418" t="str">
        <f t="shared" si="461"/>
        <v/>
      </c>
      <c r="AJ393" s="418" t="str">
        <f t="shared" si="461"/>
        <v/>
      </c>
      <c r="AK393" s="418" t="str">
        <f t="shared" si="461"/>
        <v/>
      </c>
      <c r="AL393" s="418" t="str">
        <f t="shared" si="461"/>
        <v/>
      </c>
      <c r="AM393" s="418" t="str">
        <f t="shared" si="461"/>
        <v/>
      </c>
      <c r="AN393" s="418" t="str">
        <f t="shared" si="461"/>
        <v/>
      </c>
      <c r="AO393" s="418" t="str">
        <f t="shared" si="461"/>
        <v/>
      </c>
      <c r="AP393" s="418" t="str">
        <f t="shared" si="461"/>
        <v/>
      </c>
      <c r="AQ393" s="418" t="str">
        <f t="shared" si="461"/>
        <v/>
      </c>
      <c r="AR393" s="418" t="str">
        <f t="shared" si="461"/>
        <v/>
      </c>
      <c r="AS393" s="418" t="str">
        <f t="shared" si="461"/>
        <v/>
      </c>
      <c r="AT393" s="418" t="str">
        <f t="shared" si="461"/>
        <v/>
      </c>
      <c r="AU393" s="418" t="str">
        <f t="shared" si="461"/>
        <v/>
      </c>
      <c r="AV393" s="418" t="str">
        <f t="shared" si="461"/>
        <v/>
      </c>
      <c r="AW393" s="418" t="str">
        <f t="shared" si="461"/>
        <v/>
      </c>
      <c r="AX393" s="418" t="str">
        <f t="shared" si="461"/>
        <v/>
      </c>
      <c r="AY393" s="418" t="str">
        <f t="shared" si="461"/>
        <v/>
      </c>
      <c r="AZ393" s="418">
        <f t="shared" si="461"/>
        <v>1040</v>
      </c>
      <c r="BA393" s="418" t="str">
        <f t="shared" si="461"/>
        <v/>
      </c>
      <c r="BB393" s="418" t="str">
        <f t="shared" si="461"/>
        <v/>
      </c>
      <c r="BC393" s="418" t="str">
        <f t="shared" si="461"/>
        <v/>
      </c>
      <c r="BD393" s="418" t="str">
        <f t="shared" si="461"/>
        <v/>
      </c>
      <c r="BE393" s="418" t="str">
        <f t="shared" si="461"/>
        <v/>
      </c>
      <c r="BF393" s="418" t="str">
        <f t="shared" si="461"/>
        <v/>
      </c>
      <c r="BG393" s="418" t="str">
        <f t="shared" si="461"/>
        <v/>
      </c>
      <c r="BH393" s="418" t="str">
        <f t="shared" si="461"/>
        <v/>
      </c>
      <c r="BI393" s="418" t="str">
        <f t="shared" si="461"/>
        <v/>
      </c>
      <c r="BJ393" s="418" t="str">
        <f t="shared" si="461"/>
        <v/>
      </c>
      <c r="BK393" s="418" t="str">
        <f t="shared" si="461"/>
        <v/>
      </c>
      <c r="BL393" s="418" t="str">
        <f t="shared" si="461"/>
        <v/>
      </c>
      <c r="BM393" s="418" t="str">
        <f t="shared" si="461"/>
        <v/>
      </c>
      <c r="BN393" s="418" t="str">
        <f t="shared" si="461"/>
        <v/>
      </c>
      <c r="BO393" s="418" t="str">
        <f t="shared" si="461"/>
        <v/>
      </c>
      <c r="BP393" s="418" t="str">
        <f t="shared" si="461"/>
        <v/>
      </c>
      <c r="BQ393" s="418" t="str">
        <f t="shared" si="461"/>
        <v/>
      </c>
      <c r="BR393" s="418" t="str">
        <f t="shared" si="461"/>
        <v/>
      </c>
      <c r="BS393" s="418" t="str">
        <f t="shared" si="461"/>
        <v/>
      </c>
      <c r="BT393" s="418" t="str">
        <f t="shared" si="461"/>
        <v/>
      </c>
      <c r="BU393" s="418" t="str">
        <f t="shared" si="456"/>
        <v/>
      </c>
      <c r="BV393" s="544">
        <v>3.12</v>
      </c>
      <c r="BW393" s="723">
        <f t="shared" si="424"/>
        <v>3244.8</v>
      </c>
      <c r="BX393" s="724">
        <f t="shared" si="425"/>
        <v>25147.2</v>
      </c>
      <c r="BY393" s="725" t="str">
        <f t="shared" si="426"/>
        <v>SR</v>
      </c>
    </row>
    <row r="394" s="697" customFormat="1" customHeight="1" spans="1:77">
      <c r="A394" s="116">
        <v>46095</v>
      </c>
      <c r="B394" s="116">
        <v>46248</v>
      </c>
      <c r="C394" s="118"/>
      <c r="D394" s="118" t="s">
        <v>571</v>
      </c>
      <c r="E394" s="118" t="s">
        <v>119</v>
      </c>
      <c r="F394" s="726">
        <v>3240</v>
      </c>
      <c r="G394" s="118" t="s">
        <v>510</v>
      </c>
      <c r="H394" s="118" t="str">
        <f>IFERROR(VLOOKUP(E394,名称!A:E,4,0),"")</f>
        <v>三代</v>
      </c>
      <c r="I394" s="418" t="str">
        <f t="shared" ref="I394:BT394" si="462">IF(OR($E394="",I$1=""),"",IF(TRIM(LEFT($E394,MIN(IFERROR(FIND("CDU",UPPER($E394)),999),IFERROR(FIND("BULK",UPPER($E394)),999),IFERROR(FIND("-",$E394),999),IFERROR(FIND("（",$E394),999))-1))=I$1,$F394,""))</f>
        <v/>
      </c>
      <c r="J394" s="418" t="str">
        <f t="shared" si="462"/>
        <v/>
      </c>
      <c r="K394" s="418" t="str">
        <f t="shared" si="462"/>
        <v/>
      </c>
      <c r="L394" s="418" t="str">
        <f t="shared" si="462"/>
        <v/>
      </c>
      <c r="M394" s="418" t="str">
        <f t="shared" si="462"/>
        <v/>
      </c>
      <c r="N394" s="418" t="str">
        <f t="shared" si="462"/>
        <v/>
      </c>
      <c r="O394" s="418" t="str">
        <f t="shared" si="462"/>
        <v/>
      </c>
      <c r="P394" s="418" t="str">
        <f t="shared" si="462"/>
        <v/>
      </c>
      <c r="Q394" s="418" t="str">
        <f t="shared" si="462"/>
        <v/>
      </c>
      <c r="R394" s="418" t="str">
        <f t="shared" si="462"/>
        <v/>
      </c>
      <c r="S394" s="418" t="str">
        <f t="shared" si="462"/>
        <v/>
      </c>
      <c r="T394" s="418" t="str">
        <f t="shared" si="462"/>
        <v/>
      </c>
      <c r="U394" s="418" t="str">
        <f t="shared" si="462"/>
        <v/>
      </c>
      <c r="V394" s="418" t="str">
        <f t="shared" si="462"/>
        <v/>
      </c>
      <c r="W394" s="418" t="str">
        <f t="shared" si="462"/>
        <v/>
      </c>
      <c r="X394" s="418" t="str">
        <f t="shared" si="462"/>
        <v/>
      </c>
      <c r="Y394" s="418" t="str">
        <f t="shared" si="462"/>
        <v/>
      </c>
      <c r="Z394" s="418" t="str">
        <f t="shared" si="462"/>
        <v/>
      </c>
      <c r="AA394" s="418" t="str">
        <f t="shared" si="462"/>
        <v/>
      </c>
      <c r="AB394" s="418" t="str">
        <f t="shared" si="462"/>
        <v/>
      </c>
      <c r="AC394" s="418" t="str">
        <f t="shared" si="462"/>
        <v/>
      </c>
      <c r="AD394" s="418" t="str">
        <f t="shared" si="462"/>
        <v/>
      </c>
      <c r="AE394" s="418" t="str">
        <f t="shared" si="462"/>
        <v/>
      </c>
      <c r="AF394" s="418" t="str">
        <f t="shared" si="462"/>
        <v/>
      </c>
      <c r="AG394" s="418" t="str">
        <f t="shared" si="462"/>
        <v/>
      </c>
      <c r="AH394" s="418" t="str">
        <f t="shared" si="462"/>
        <v/>
      </c>
      <c r="AI394" s="418" t="str">
        <f t="shared" si="462"/>
        <v/>
      </c>
      <c r="AJ394" s="418" t="str">
        <f t="shared" si="462"/>
        <v/>
      </c>
      <c r="AK394" s="418" t="str">
        <f t="shared" si="462"/>
        <v/>
      </c>
      <c r="AL394" s="418" t="str">
        <f t="shared" si="462"/>
        <v/>
      </c>
      <c r="AM394" s="418" t="str">
        <f t="shared" si="462"/>
        <v/>
      </c>
      <c r="AN394" s="418" t="str">
        <f t="shared" si="462"/>
        <v/>
      </c>
      <c r="AO394" s="418" t="str">
        <f t="shared" si="462"/>
        <v/>
      </c>
      <c r="AP394" s="418">
        <f t="shared" si="462"/>
        <v>3240</v>
      </c>
      <c r="AQ394" s="418" t="str">
        <f t="shared" si="462"/>
        <v/>
      </c>
      <c r="AR394" s="418" t="str">
        <f t="shared" si="462"/>
        <v/>
      </c>
      <c r="AS394" s="418" t="str">
        <f t="shared" si="462"/>
        <v/>
      </c>
      <c r="AT394" s="418" t="str">
        <f t="shared" si="462"/>
        <v/>
      </c>
      <c r="AU394" s="418" t="str">
        <f t="shared" si="462"/>
        <v/>
      </c>
      <c r="AV394" s="418" t="str">
        <f t="shared" si="462"/>
        <v/>
      </c>
      <c r="AW394" s="418" t="str">
        <f t="shared" si="462"/>
        <v/>
      </c>
      <c r="AX394" s="418" t="str">
        <f t="shared" si="462"/>
        <v/>
      </c>
      <c r="AY394" s="418" t="str">
        <f t="shared" si="462"/>
        <v/>
      </c>
      <c r="AZ394" s="418" t="str">
        <f t="shared" si="462"/>
        <v/>
      </c>
      <c r="BA394" s="418" t="str">
        <f t="shared" si="462"/>
        <v/>
      </c>
      <c r="BB394" s="418" t="str">
        <f t="shared" si="462"/>
        <v/>
      </c>
      <c r="BC394" s="418" t="str">
        <f t="shared" si="462"/>
        <v/>
      </c>
      <c r="BD394" s="418" t="str">
        <f t="shared" si="462"/>
        <v/>
      </c>
      <c r="BE394" s="418" t="str">
        <f t="shared" si="462"/>
        <v/>
      </c>
      <c r="BF394" s="418" t="str">
        <f t="shared" si="462"/>
        <v/>
      </c>
      <c r="BG394" s="418" t="str">
        <f t="shared" si="462"/>
        <v/>
      </c>
      <c r="BH394" s="418" t="str">
        <f t="shared" si="462"/>
        <v/>
      </c>
      <c r="BI394" s="418" t="str">
        <f t="shared" si="462"/>
        <v/>
      </c>
      <c r="BJ394" s="418" t="str">
        <f t="shared" si="462"/>
        <v/>
      </c>
      <c r="BK394" s="418" t="str">
        <f t="shared" si="462"/>
        <v/>
      </c>
      <c r="BL394" s="418" t="str">
        <f t="shared" si="462"/>
        <v/>
      </c>
      <c r="BM394" s="418" t="str">
        <f t="shared" si="462"/>
        <v/>
      </c>
      <c r="BN394" s="418" t="str">
        <f t="shared" si="462"/>
        <v/>
      </c>
      <c r="BO394" s="418" t="str">
        <f t="shared" si="462"/>
        <v/>
      </c>
      <c r="BP394" s="418" t="str">
        <f t="shared" si="462"/>
        <v/>
      </c>
      <c r="BQ394" s="418" t="str">
        <f t="shared" si="462"/>
        <v/>
      </c>
      <c r="BR394" s="418" t="str">
        <f t="shared" si="462"/>
        <v/>
      </c>
      <c r="BS394" s="418" t="str">
        <f t="shared" si="462"/>
        <v/>
      </c>
      <c r="BT394" s="418" t="str">
        <f t="shared" si="462"/>
        <v/>
      </c>
      <c r="BU394" s="418" t="str">
        <f t="shared" si="456"/>
        <v/>
      </c>
      <c r="BV394" s="544">
        <v>0.63</v>
      </c>
      <c r="BW394" s="723">
        <f t="shared" si="424"/>
        <v>2041.2</v>
      </c>
      <c r="BX394" s="724">
        <f t="shared" si="425"/>
        <v>15819.3</v>
      </c>
      <c r="BY394" s="725" t="str">
        <f t="shared" si="426"/>
        <v>SR</v>
      </c>
    </row>
    <row r="395" s="697" customFormat="1" customHeight="1" spans="1:77">
      <c r="A395" s="116">
        <v>46095</v>
      </c>
      <c r="B395" s="116">
        <v>46248</v>
      </c>
      <c r="C395" s="118"/>
      <c r="D395" s="118" t="s">
        <v>571</v>
      </c>
      <c r="E395" s="118" t="s">
        <v>125</v>
      </c>
      <c r="F395" s="726">
        <v>2160</v>
      </c>
      <c r="G395" s="118" t="s">
        <v>510</v>
      </c>
      <c r="H395" s="118" t="str">
        <f>IFERROR(VLOOKUP(E395,名称!A:E,4,0),"")</f>
        <v>三代</v>
      </c>
      <c r="I395" s="418" t="str">
        <f t="shared" ref="I395:BT395" si="463">IF(OR($E395="",I$1=""),"",IF(TRIM(LEFT($E395,MIN(IFERROR(FIND("CDU",UPPER($E395)),999),IFERROR(FIND("BULK",UPPER($E395)),999),IFERROR(FIND("-",$E395),999),IFERROR(FIND("（",$E395),999))-1))=I$1,$F395,""))</f>
        <v/>
      </c>
      <c r="J395" s="418" t="str">
        <f t="shared" si="463"/>
        <v/>
      </c>
      <c r="K395" s="418" t="str">
        <f t="shared" si="463"/>
        <v/>
      </c>
      <c r="L395" s="418" t="str">
        <f t="shared" si="463"/>
        <v/>
      </c>
      <c r="M395" s="418" t="str">
        <f t="shared" si="463"/>
        <v/>
      </c>
      <c r="N395" s="418" t="str">
        <f t="shared" si="463"/>
        <v/>
      </c>
      <c r="O395" s="418" t="str">
        <f t="shared" si="463"/>
        <v/>
      </c>
      <c r="P395" s="418" t="str">
        <f t="shared" si="463"/>
        <v/>
      </c>
      <c r="Q395" s="418" t="str">
        <f t="shared" si="463"/>
        <v/>
      </c>
      <c r="R395" s="418" t="str">
        <f t="shared" si="463"/>
        <v/>
      </c>
      <c r="S395" s="418" t="str">
        <f t="shared" si="463"/>
        <v/>
      </c>
      <c r="T395" s="418" t="str">
        <f t="shared" si="463"/>
        <v/>
      </c>
      <c r="U395" s="418" t="str">
        <f t="shared" si="463"/>
        <v/>
      </c>
      <c r="V395" s="418" t="str">
        <f t="shared" si="463"/>
        <v/>
      </c>
      <c r="W395" s="418" t="str">
        <f t="shared" si="463"/>
        <v/>
      </c>
      <c r="X395" s="418" t="str">
        <f t="shared" si="463"/>
        <v/>
      </c>
      <c r="Y395" s="418" t="str">
        <f t="shared" si="463"/>
        <v/>
      </c>
      <c r="Z395" s="418" t="str">
        <f t="shared" si="463"/>
        <v/>
      </c>
      <c r="AA395" s="418" t="str">
        <f t="shared" si="463"/>
        <v/>
      </c>
      <c r="AB395" s="418" t="str">
        <f t="shared" si="463"/>
        <v/>
      </c>
      <c r="AC395" s="418" t="str">
        <f t="shared" si="463"/>
        <v/>
      </c>
      <c r="AD395" s="418" t="str">
        <f t="shared" si="463"/>
        <v/>
      </c>
      <c r="AE395" s="418" t="str">
        <f t="shared" si="463"/>
        <v/>
      </c>
      <c r="AF395" s="418" t="str">
        <f t="shared" si="463"/>
        <v/>
      </c>
      <c r="AG395" s="418" t="str">
        <f t="shared" si="463"/>
        <v/>
      </c>
      <c r="AH395" s="418" t="str">
        <f t="shared" si="463"/>
        <v/>
      </c>
      <c r="AI395" s="418" t="str">
        <f t="shared" si="463"/>
        <v/>
      </c>
      <c r="AJ395" s="418" t="str">
        <f t="shared" si="463"/>
        <v/>
      </c>
      <c r="AK395" s="418" t="str">
        <f t="shared" si="463"/>
        <v/>
      </c>
      <c r="AL395" s="418" t="str">
        <f t="shared" si="463"/>
        <v/>
      </c>
      <c r="AM395" s="418" t="str">
        <f t="shared" si="463"/>
        <v/>
      </c>
      <c r="AN395" s="418" t="str">
        <f t="shared" si="463"/>
        <v/>
      </c>
      <c r="AO395" s="418" t="str">
        <f t="shared" si="463"/>
        <v/>
      </c>
      <c r="AP395" s="418" t="str">
        <f t="shared" si="463"/>
        <v/>
      </c>
      <c r="AQ395" s="418" t="str">
        <f t="shared" si="463"/>
        <v/>
      </c>
      <c r="AR395" s="418">
        <f t="shared" si="463"/>
        <v>2160</v>
      </c>
      <c r="AS395" s="418" t="str">
        <f t="shared" si="463"/>
        <v/>
      </c>
      <c r="AT395" s="418" t="str">
        <f t="shared" si="463"/>
        <v/>
      </c>
      <c r="AU395" s="418" t="str">
        <f t="shared" si="463"/>
        <v/>
      </c>
      <c r="AV395" s="418" t="str">
        <f t="shared" si="463"/>
        <v/>
      </c>
      <c r="AW395" s="418" t="str">
        <f t="shared" si="463"/>
        <v/>
      </c>
      <c r="AX395" s="418" t="str">
        <f t="shared" si="463"/>
        <v/>
      </c>
      <c r="AY395" s="418" t="str">
        <f t="shared" si="463"/>
        <v/>
      </c>
      <c r="AZ395" s="418" t="str">
        <f t="shared" si="463"/>
        <v/>
      </c>
      <c r="BA395" s="418" t="str">
        <f t="shared" si="463"/>
        <v/>
      </c>
      <c r="BB395" s="418" t="str">
        <f t="shared" si="463"/>
        <v/>
      </c>
      <c r="BC395" s="418" t="str">
        <f t="shared" si="463"/>
        <v/>
      </c>
      <c r="BD395" s="418" t="str">
        <f t="shared" si="463"/>
        <v/>
      </c>
      <c r="BE395" s="418" t="str">
        <f t="shared" si="463"/>
        <v/>
      </c>
      <c r="BF395" s="418" t="str">
        <f t="shared" si="463"/>
        <v/>
      </c>
      <c r="BG395" s="418" t="str">
        <f t="shared" si="463"/>
        <v/>
      </c>
      <c r="BH395" s="418" t="str">
        <f t="shared" si="463"/>
        <v/>
      </c>
      <c r="BI395" s="418" t="str">
        <f t="shared" si="463"/>
        <v/>
      </c>
      <c r="BJ395" s="418" t="str">
        <f t="shared" si="463"/>
        <v/>
      </c>
      <c r="BK395" s="418" t="str">
        <f t="shared" si="463"/>
        <v/>
      </c>
      <c r="BL395" s="418" t="str">
        <f t="shared" si="463"/>
        <v/>
      </c>
      <c r="BM395" s="418" t="str">
        <f t="shared" si="463"/>
        <v/>
      </c>
      <c r="BN395" s="418" t="str">
        <f t="shared" si="463"/>
        <v/>
      </c>
      <c r="BO395" s="418" t="str">
        <f t="shared" si="463"/>
        <v/>
      </c>
      <c r="BP395" s="418" t="str">
        <f t="shared" si="463"/>
        <v/>
      </c>
      <c r="BQ395" s="418" t="str">
        <f t="shared" si="463"/>
        <v/>
      </c>
      <c r="BR395" s="418" t="str">
        <f t="shared" si="463"/>
        <v/>
      </c>
      <c r="BS395" s="418" t="str">
        <f t="shared" si="463"/>
        <v/>
      </c>
      <c r="BT395" s="418" t="str">
        <f t="shared" si="463"/>
        <v/>
      </c>
      <c r="BU395" s="418" t="str">
        <f t="shared" si="456"/>
        <v/>
      </c>
      <c r="BV395" s="544">
        <v>1.6</v>
      </c>
      <c r="BW395" s="723">
        <f t="shared" si="424"/>
        <v>3456</v>
      </c>
      <c r="BX395" s="724">
        <f t="shared" si="425"/>
        <v>26784</v>
      </c>
      <c r="BY395" s="725" t="str">
        <f t="shared" si="426"/>
        <v>SR</v>
      </c>
    </row>
    <row r="396" s="698" customFormat="1" customHeight="1" spans="1:77">
      <c r="A396" s="208">
        <v>46095</v>
      </c>
      <c r="B396" s="208">
        <v>46153</v>
      </c>
      <c r="C396" s="211"/>
      <c r="D396" s="211" t="s">
        <v>572</v>
      </c>
      <c r="E396" s="211" t="s">
        <v>55</v>
      </c>
      <c r="F396" s="229">
        <f>3936-16</f>
        <v>3920</v>
      </c>
      <c r="G396" s="211" t="s">
        <v>510</v>
      </c>
      <c r="H396" s="211" t="str">
        <f>IFERROR(VLOOKUP(E396,名称!A:E,4,0),"")</f>
        <v>三代</v>
      </c>
      <c r="I396" s="268" t="str">
        <f t="shared" ref="I396:BT396" si="464">IF(OR($E396="",I$1=""),"",IF(TRIM(LEFT($E396,MIN(IFERROR(FIND("CDU",UPPER($E396)),999),IFERROR(FIND("BULK",UPPER($E396)),999),IFERROR(FIND("-",$E396),999),IFERROR(FIND("（",$E396),999))-1))=I$1,$F396,""))</f>
        <v/>
      </c>
      <c r="J396" s="268" t="str">
        <f t="shared" si="464"/>
        <v/>
      </c>
      <c r="K396" s="268" t="str">
        <f t="shared" si="464"/>
        <v/>
      </c>
      <c r="L396" s="268" t="str">
        <f t="shared" si="464"/>
        <v/>
      </c>
      <c r="M396" s="268" t="str">
        <f t="shared" si="464"/>
        <v/>
      </c>
      <c r="N396" s="268" t="str">
        <f t="shared" si="464"/>
        <v/>
      </c>
      <c r="O396" s="268" t="str">
        <f t="shared" si="464"/>
        <v/>
      </c>
      <c r="P396" s="268" t="str">
        <f t="shared" si="464"/>
        <v/>
      </c>
      <c r="Q396" s="268" t="str">
        <f t="shared" si="464"/>
        <v/>
      </c>
      <c r="R396" s="268" t="str">
        <f t="shared" si="464"/>
        <v/>
      </c>
      <c r="S396" s="268" t="str">
        <f t="shared" si="464"/>
        <v/>
      </c>
      <c r="T396" s="268" t="str">
        <f t="shared" si="464"/>
        <v/>
      </c>
      <c r="U396" s="268" t="str">
        <f t="shared" si="464"/>
        <v/>
      </c>
      <c r="V396" s="268" t="str">
        <f t="shared" si="464"/>
        <v/>
      </c>
      <c r="W396" s="268" t="str">
        <f t="shared" si="464"/>
        <v/>
      </c>
      <c r="X396" s="268" t="str">
        <f t="shared" si="464"/>
        <v/>
      </c>
      <c r="Y396" s="268" t="str">
        <f t="shared" si="464"/>
        <v/>
      </c>
      <c r="Z396" s="268" t="str">
        <f t="shared" si="464"/>
        <v/>
      </c>
      <c r="AA396" s="268" t="str">
        <f t="shared" si="464"/>
        <v/>
      </c>
      <c r="AB396" s="268" t="str">
        <f t="shared" si="464"/>
        <v/>
      </c>
      <c r="AC396" s="268">
        <f t="shared" si="464"/>
        <v>3920</v>
      </c>
      <c r="AD396" s="268" t="str">
        <f t="shared" si="464"/>
        <v/>
      </c>
      <c r="AE396" s="268" t="str">
        <f t="shared" si="464"/>
        <v/>
      </c>
      <c r="AF396" s="268" t="str">
        <f t="shared" si="464"/>
        <v/>
      </c>
      <c r="AG396" s="268" t="str">
        <f t="shared" si="464"/>
        <v/>
      </c>
      <c r="AH396" s="268" t="str">
        <f t="shared" si="464"/>
        <v/>
      </c>
      <c r="AI396" s="268" t="str">
        <f t="shared" si="464"/>
        <v/>
      </c>
      <c r="AJ396" s="268" t="str">
        <f t="shared" si="464"/>
        <v/>
      </c>
      <c r="AK396" s="268" t="str">
        <f t="shared" si="464"/>
        <v/>
      </c>
      <c r="AL396" s="268" t="str">
        <f t="shared" si="464"/>
        <v/>
      </c>
      <c r="AM396" s="268" t="str">
        <f t="shared" si="464"/>
        <v/>
      </c>
      <c r="AN396" s="268" t="str">
        <f t="shared" si="464"/>
        <v/>
      </c>
      <c r="AO396" s="268" t="str">
        <f t="shared" si="464"/>
        <v/>
      </c>
      <c r="AP396" s="268" t="str">
        <f t="shared" si="464"/>
        <v/>
      </c>
      <c r="AQ396" s="268" t="str">
        <f t="shared" si="464"/>
        <v/>
      </c>
      <c r="AR396" s="268" t="str">
        <f t="shared" si="464"/>
        <v/>
      </c>
      <c r="AS396" s="268" t="str">
        <f t="shared" si="464"/>
        <v/>
      </c>
      <c r="AT396" s="268" t="str">
        <f t="shared" si="464"/>
        <v/>
      </c>
      <c r="AU396" s="268" t="str">
        <f t="shared" si="464"/>
        <v/>
      </c>
      <c r="AV396" s="268" t="str">
        <f t="shared" si="464"/>
        <v/>
      </c>
      <c r="AW396" s="268" t="str">
        <f t="shared" si="464"/>
        <v/>
      </c>
      <c r="AX396" s="268" t="str">
        <f t="shared" si="464"/>
        <v/>
      </c>
      <c r="AY396" s="268" t="str">
        <f t="shared" si="464"/>
        <v/>
      </c>
      <c r="AZ396" s="268" t="str">
        <f t="shared" si="464"/>
        <v/>
      </c>
      <c r="BA396" s="268" t="str">
        <f t="shared" si="464"/>
        <v/>
      </c>
      <c r="BB396" s="268" t="str">
        <f t="shared" si="464"/>
        <v/>
      </c>
      <c r="BC396" s="268" t="str">
        <f t="shared" si="464"/>
        <v/>
      </c>
      <c r="BD396" s="268" t="str">
        <f t="shared" si="464"/>
        <v/>
      </c>
      <c r="BE396" s="268" t="str">
        <f t="shared" si="464"/>
        <v/>
      </c>
      <c r="BF396" s="268" t="str">
        <f t="shared" si="464"/>
        <v/>
      </c>
      <c r="BG396" s="268" t="str">
        <f t="shared" si="464"/>
        <v/>
      </c>
      <c r="BH396" s="268" t="str">
        <f t="shared" si="464"/>
        <v/>
      </c>
      <c r="BI396" s="268" t="str">
        <f t="shared" si="464"/>
        <v/>
      </c>
      <c r="BJ396" s="268" t="str">
        <f t="shared" si="464"/>
        <v/>
      </c>
      <c r="BK396" s="268" t="str">
        <f t="shared" si="464"/>
        <v/>
      </c>
      <c r="BL396" s="268" t="str">
        <f t="shared" si="464"/>
        <v/>
      </c>
      <c r="BM396" s="268" t="str">
        <f t="shared" si="464"/>
        <v/>
      </c>
      <c r="BN396" s="268" t="str">
        <f t="shared" si="464"/>
        <v/>
      </c>
      <c r="BO396" s="268" t="str">
        <f t="shared" si="464"/>
        <v/>
      </c>
      <c r="BP396" s="268" t="str">
        <f t="shared" si="464"/>
        <v/>
      </c>
      <c r="BQ396" s="268" t="str">
        <f t="shared" si="464"/>
        <v/>
      </c>
      <c r="BR396" s="268" t="str">
        <f t="shared" si="464"/>
        <v/>
      </c>
      <c r="BS396" s="268" t="str">
        <f t="shared" si="464"/>
        <v/>
      </c>
      <c r="BT396" s="268" t="str">
        <f t="shared" si="464"/>
        <v/>
      </c>
      <c r="BU396" s="268" t="str">
        <f t="shared" si="456"/>
        <v/>
      </c>
      <c r="BV396" s="247">
        <v>0.9</v>
      </c>
      <c r="BW396" s="729">
        <f t="shared" si="424"/>
        <v>3528</v>
      </c>
      <c r="BX396" s="730">
        <f t="shared" si="425"/>
        <v>27342</v>
      </c>
      <c r="BY396" s="731" t="str">
        <f t="shared" si="426"/>
        <v>SR</v>
      </c>
    </row>
    <row r="397" s="698" customFormat="1" customHeight="1" spans="1:77">
      <c r="A397" s="208">
        <v>46095</v>
      </c>
      <c r="B397" s="208">
        <v>46153</v>
      </c>
      <c r="C397" s="211"/>
      <c r="D397" s="211" t="s">
        <v>572</v>
      </c>
      <c r="E397" s="211" t="s">
        <v>59</v>
      </c>
      <c r="F397" s="732">
        <v>3480</v>
      </c>
      <c r="G397" s="211" t="s">
        <v>510</v>
      </c>
      <c r="H397" s="211" t="str">
        <f>IFERROR(VLOOKUP(E397,名称!A:E,4,0),"")</f>
        <v>三代</v>
      </c>
      <c r="I397" s="268" t="str">
        <f t="shared" ref="I397:BT397" si="465">IF(OR($E397="",I$1=""),"",IF(TRIM(LEFT($E397,MIN(IFERROR(FIND("CDU",UPPER($E397)),999),IFERROR(FIND("BULK",UPPER($E397)),999),IFERROR(FIND("-",$E397),999),IFERROR(FIND("（",$E397),999))-1))=I$1,$F397,""))</f>
        <v/>
      </c>
      <c r="J397" s="268" t="str">
        <f t="shared" si="465"/>
        <v/>
      </c>
      <c r="K397" s="268" t="str">
        <f t="shared" si="465"/>
        <v/>
      </c>
      <c r="L397" s="268" t="str">
        <f t="shared" si="465"/>
        <v/>
      </c>
      <c r="M397" s="268" t="str">
        <f t="shared" si="465"/>
        <v/>
      </c>
      <c r="N397" s="268" t="str">
        <f t="shared" si="465"/>
        <v/>
      </c>
      <c r="O397" s="268" t="str">
        <f t="shared" si="465"/>
        <v/>
      </c>
      <c r="P397" s="268" t="str">
        <f t="shared" si="465"/>
        <v/>
      </c>
      <c r="Q397" s="268" t="str">
        <f t="shared" si="465"/>
        <v/>
      </c>
      <c r="R397" s="268" t="str">
        <f t="shared" si="465"/>
        <v/>
      </c>
      <c r="S397" s="268" t="str">
        <f t="shared" si="465"/>
        <v/>
      </c>
      <c r="T397" s="268" t="str">
        <f t="shared" si="465"/>
        <v/>
      </c>
      <c r="U397" s="268" t="str">
        <f t="shared" si="465"/>
        <v/>
      </c>
      <c r="V397" s="268" t="str">
        <f t="shared" si="465"/>
        <v/>
      </c>
      <c r="W397" s="268" t="str">
        <f t="shared" si="465"/>
        <v/>
      </c>
      <c r="X397" s="268" t="str">
        <f t="shared" si="465"/>
        <v/>
      </c>
      <c r="Y397" s="268" t="str">
        <f t="shared" si="465"/>
        <v/>
      </c>
      <c r="Z397" s="268" t="str">
        <f t="shared" si="465"/>
        <v/>
      </c>
      <c r="AA397" s="268" t="str">
        <f t="shared" si="465"/>
        <v/>
      </c>
      <c r="AB397" s="268" t="str">
        <f t="shared" si="465"/>
        <v/>
      </c>
      <c r="AC397" s="268" t="str">
        <f t="shared" si="465"/>
        <v/>
      </c>
      <c r="AD397" s="268">
        <f t="shared" si="465"/>
        <v>3480</v>
      </c>
      <c r="AE397" s="268" t="str">
        <f t="shared" si="465"/>
        <v/>
      </c>
      <c r="AF397" s="268" t="str">
        <f t="shared" si="465"/>
        <v/>
      </c>
      <c r="AG397" s="268" t="str">
        <f t="shared" si="465"/>
        <v/>
      </c>
      <c r="AH397" s="268" t="str">
        <f t="shared" si="465"/>
        <v/>
      </c>
      <c r="AI397" s="268" t="str">
        <f t="shared" si="465"/>
        <v/>
      </c>
      <c r="AJ397" s="268" t="str">
        <f t="shared" si="465"/>
        <v/>
      </c>
      <c r="AK397" s="268" t="str">
        <f t="shared" si="465"/>
        <v/>
      </c>
      <c r="AL397" s="268" t="str">
        <f t="shared" si="465"/>
        <v/>
      </c>
      <c r="AM397" s="268" t="str">
        <f t="shared" si="465"/>
        <v/>
      </c>
      <c r="AN397" s="268" t="str">
        <f t="shared" si="465"/>
        <v/>
      </c>
      <c r="AO397" s="268" t="str">
        <f t="shared" si="465"/>
        <v/>
      </c>
      <c r="AP397" s="268" t="str">
        <f t="shared" si="465"/>
        <v/>
      </c>
      <c r="AQ397" s="268" t="str">
        <f t="shared" si="465"/>
        <v/>
      </c>
      <c r="AR397" s="268" t="str">
        <f t="shared" si="465"/>
        <v/>
      </c>
      <c r="AS397" s="268" t="str">
        <f t="shared" si="465"/>
        <v/>
      </c>
      <c r="AT397" s="268" t="str">
        <f t="shared" si="465"/>
        <v/>
      </c>
      <c r="AU397" s="268" t="str">
        <f t="shared" si="465"/>
        <v/>
      </c>
      <c r="AV397" s="268" t="str">
        <f t="shared" si="465"/>
        <v/>
      </c>
      <c r="AW397" s="268" t="str">
        <f t="shared" si="465"/>
        <v/>
      </c>
      <c r="AX397" s="268" t="str">
        <f t="shared" si="465"/>
        <v/>
      </c>
      <c r="AY397" s="268" t="str">
        <f t="shared" si="465"/>
        <v/>
      </c>
      <c r="AZ397" s="268" t="str">
        <f t="shared" si="465"/>
        <v/>
      </c>
      <c r="BA397" s="268" t="str">
        <f t="shared" si="465"/>
        <v/>
      </c>
      <c r="BB397" s="268" t="str">
        <f t="shared" si="465"/>
        <v/>
      </c>
      <c r="BC397" s="268" t="str">
        <f t="shared" si="465"/>
        <v/>
      </c>
      <c r="BD397" s="268" t="str">
        <f t="shared" si="465"/>
        <v/>
      </c>
      <c r="BE397" s="268" t="str">
        <f t="shared" si="465"/>
        <v/>
      </c>
      <c r="BF397" s="268" t="str">
        <f t="shared" si="465"/>
        <v/>
      </c>
      <c r="BG397" s="268" t="str">
        <f t="shared" si="465"/>
        <v/>
      </c>
      <c r="BH397" s="268" t="str">
        <f t="shared" si="465"/>
        <v/>
      </c>
      <c r="BI397" s="268" t="str">
        <f t="shared" si="465"/>
        <v/>
      </c>
      <c r="BJ397" s="268" t="str">
        <f t="shared" si="465"/>
        <v/>
      </c>
      <c r="BK397" s="268" t="str">
        <f t="shared" si="465"/>
        <v/>
      </c>
      <c r="BL397" s="268" t="str">
        <f t="shared" si="465"/>
        <v/>
      </c>
      <c r="BM397" s="268" t="str">
        <f t="shared" si="465"/>
        <v/>
      </c>
      <c r="BN397" s="268" t="str">
        <f t="shared" si="465"/>
        <v/>
      </c>
      <c r="BO397" s="268" t="str">
        <f t="shared" si="465"/>
        <v/>
      </c>
      <c r="BP397" s="268" t="str">
        <f t="shared" si="465"/>
        <v/>
      </c>
      <c r="BQ397" s="268" t="str">
        <f t="shared" si="465"/>
        <v/>
      </c>
      <c r="BR397" s="268" t="str">
        <f t="shared" si="465"/>
        <v/>
      </c>
      <c r="BS397" s="268" t="str">
        <f t="shared" si="465"/>
        <v/>
      </c>
      <c r="BT397" s="268" t="str">
        <f t="shared" si="465"/>
        <v/>
      </c>
      <c r="BU397" s="268" t="str">
        <f t="shared" si="456"/>
        <v/>
      </c>
      <c r="BV397" s="247">
        <v>0.64</v>
      </c>
      <c r="BW397" s="729">
        <f t="shared" si="424"/>
        <v>2227.2</v>
      </c>
      <c r="BX397" s="730">
        <f t="shared" si="425"/>
        <v>17260.8</v>
      </c>
      <c r="BY397" s="731" t="str">
        <f t="shared" si="426"/>
        <v>SR</v>
      </c>
    </row>
    <row r="398" s="698" customFormat="1" customHeight="1" spans="1:77">
      <c r="A398" s="208">
        <v>46095</v>
      </c>
      <c r="B398" s="208">
        <v>46153</v>
      </c>
      <c r="C398" s="211"/>
      <c r="D398" s="211" t="s">
        <v>572</v>
      </c>
      <c r="E398" s="211" t="s">
        <v>66</v>
      </c>
      <c r="F398" s="732">
        <v>1890</v>
      </c>
      <c r="G398" s="211" t="s">
        <v>510</v>
      </c>
      <c r="H398" s="211" t="str">
        <f>IFERROR(VLOOKUP(E398,名称!A:E,4,0),"")</f>
        <v>三代</v>
      </c>
      <c r="I398" s="268" t="str">
        <f t="shared" ref="I398:BT398" si="466">IF(OR($E398="",I$1=""),"",IF(TRIM(LEFT($E398,MIN(IFERROR(FIND("CDU",UPPER($E398)),999),IFERROR(FIND("BULK",UPPER($E398)),999),IFERROR(FIND("-",$E398),999),IFERROR(FIND("（",$E398),999))-1))=I$1,$F398,""))</f>
        <v/>
      </c>
      <c r="J398" s="268" t="str">
        <f t="shared" si="466"/>
        <v/>
      </c>
      <c r="K398" s="268" t="str">
        <f t="shared" si="466"/>
        <v/>
      </c>
      <c r="L398" s="268" t="str">
        <f t="shared" si="466"/>
        <v/>
      </c>
      <c r="M398" s="268" t="str">
        <f t="shared" si="466"/>
        <v/>
      </c>
      <c r="N398" s="268" t="str">
        <f t="shared" si="466"/>
        <v/>
      </c>
      <c r="O398" s="268" t="str">
        <f t="shared" si="466"/>
        <v/>
      </c>
      <c r="P398" s="268" t="str">
        <f t="shared" si="466"/>
        <v/>
      </c>
      <c r="Q398" s="268" t="str">
        <f t="shared" si="466"/>
        <v/>
      </c>
      <c r="R398" s="268" t="str">
        <f t="shared" si="466"/>
        <v/>
      </c>
      <c r="S398" s="268" t="str">
        <f t="shared" si="466"/>
        <v/>
      </c>
      <c r="T398" s="268" t="str">
        <f t="shared" si="466"/>
        <v/>
      </c>
      <c r="U398" s="268" t="str">
        <f t="shared" si="466"/>
        <v/>
      </c>
      <c r="V398" s="268" t="str">
        <f t="shared" si="466"/>
        <v/>
      </c>
      <c r="W398" s="268" t="str">
        <f t="shared" si="466"/>
        <v/>
      </c>
      <c r="X398" s="268" t="str">
        <f t="shared" si="466"/>
        <v/>
      </c>
      <c r="Y398" s="268" t="str">
        <f t="shared" si="466"/>
        <v/>
      </c>
      <c r="Z398" s="268" t="str">
        <f t="shared" si="466"/>
        <v/>
      </c>
      <c r="AA398" s="268" t="str">
        <f t="shared" si="466"/>
        <v/>
      </c>
      <c r="AB398" s="268" t="str">
        <f t="shared" si="466"/>
        <v/>
      </c>
      <c r="AC398" s="268" t="str">
        <f t="shared" si="466"/>
        <v/>
      </c>
      <c r="AD398" s="268" t="str">
        <f t="shared" si="466"/>
        <v/>
      </c>
      <c r="AE398" s="268" t="str">
        <f t="shared" si="466"/>
        <v/>
      </c>
      <c r="AF398" s="268" t="str">
        <f t="shared" si="466"/>
        <v/>
      </c>
      <c r="AG398" s="268">
        <f t="shared" si="466"/>
        <v>1890</v>
      </c>
      <c r="AH398" s="268" t="str">
        <f t="shared" si="466"/>
        <v/>
      </c>
      <c r="AI398" s="268" t="str">
        <f t="shared" si="466"/>
        <v/>
      </c>
      <c r="AJ398" s="268" t="str">
        <f t="shared" si="466"/>
        <v/>
      </c>
      <c r="AK398" s="268" t="str">
        <f t="shared" si="466"/>
        <v/>
      </c>
      <c r="AL398" s="268" t="str">
        <f t="shared" si="466"/>
        <v/>
      </c>
      <c r="AM398" s="268" t="str">
        <f t="shared" si="466"/>
        <v/>
      </c>
      <c r="AN398" s="268" t="str">
        <f t="shared" si="466"/>
        <v/>
      </c>
      <c r="AO398" s="268" t="str">
        <f t="shared" si="466"/>
        <v/>
      </c>
      <c r="AP398" s="268" t="str">
        <f t="shared" si="466"/>
        <v/>
      </c>
      <c r="AQ398" s="268" t="str">
        <f t="shared" si="466"/>
        <v/>
      </c>
      <c r="AR398" s="268" t="str">
        <f t="shared" si="466"/>
        <v/>
      </c>
      <c r="AS398" s="268" t="str">
        <f t="shared" si="466"/>
        <v/>
      </c>
      <c r="AT398" s="268" t="str">
        <f t="shared" si="466"/>
        <v/>
      </c>
      <c r="AU398" s="268" t="str">
        <f t="shared" si="466"/>
        <v/>
      </c>
      <c r="AV398" s="268" t="str">
        <f t="shared" si="466"/>
        <v/>
      </c>
      <c r="AW398" s="268" t="str">
        <f t="shared" si="466"/>
        <v/>
      </c>
      <c r="AX398" s="268" t="str">
        <f t="shared" si="466"/>
        <v/>
      </c>
      <c r="AY398" s="268" t="str">
        <f t="shared" si="466"/>
        <v/>
      </c>
      <c r="AZ398" s="268" t="str">
        <f t="shared" si="466"/>
        <v/>
      </c>
      <c r="BA398" s="268" t="str">
        <f t="shared" si="466"/>
        <v/>
      </c>
      <c r="BB398" s="268" t="str">
        <f t="shared" si="466"/>
        <v/>
      </c>
      <c r="BC398" s="268" t="str">
        <f t="shared" si="466"/>
        <v/>
      </c>
      <c r="BD398" s="268" t="str">
        <f t="shared" si="466"/>
        <v/>
      </c>
      <c r="BE398" s="268" t="str">
        <f t="shared" si="466"/>
        <v/>
      </c>
      <c r="BF398" s="268" t="str">
        <f t="shared" si="466"/>
        <v/>
      </c>
      <c r="BG398" s="268" t="str">
        <f t="shared" si="466"/>
        <v/>
      </c>
      <c r="BH398" s="268" t="str">
        <f t="shared" si="466"/>
        <v/>
      </c>
      <c r="BI398" s="268" t="str">
        <f t="shared" si="466"/>
        <v/>
      </c>
      <c r="BJ398" s="268" t="str">
        <f t="shared" si="466"/>
        <v/>
      </c>
      <c r="BK398" s="268" t="str">
        <f t="shared" si="466"/>
        <v/>
      </c>
      <c r="BL398" s="268" t="str">
        <f t="shared" si="466"/>
        <v/>
      </c>
      <c r="BM398" s="268" t="str">
        <f t="shared" si="466"/>
        <v/>
      </c>
      <c r="BN398" s="268" t="str">
        <f t="shared" si="466"/>
        <v/>
      </c>
      <c r="BO398" s="268" t="str">
        <f t="shared" si="466"/>
        <v/>
      </c>
      <c r="BP398" s="268" t="str">
        <f t="shared" si="466"/>
        <v/>
      </c>
      <c r="BQ398" s="268" t="str">
        <f t="shared" si="466"/>
        <v/>
      </c>
      <c r="BR398" s="268" t="str">
        <f t="shared" si="466"/>
        <v/>
      </c>
      <c r="BS398" s="268" t="str">
        <f t="shared" si="466"/>
        <v/>
      </c>
      <c r="BT398" s="268" t="str">
        <f t="shared" si="466"/>
        <v/>
      </c>
      <c r="BU398" s="268" t="str">
        <f t="shared" si="456"/>
        <v/>
      </c>
      <c r="BV398" s="247">
        <v>2.04</v>
      </c>
      <c r="BW398" s="729">
        <f t="shared" si="424"/>
        <v>3855.6</v>
      </c>
      <c r="BX398" s="730">
        <f t="shared" si="425"/>
        <v>29880.9</v>
      </c>
      <c r="BY398" s="731" t="str">
        <f t="shared" si="426"/>
        <v>SR</v>
      </c>
    </row>
    <row r="399" s="698" customFormat="1" customHeight="1" spans="1:77">
      <c r="A399" s="208">
        <v>46095</v>
      </c>
      <c r="B399" s="208">
        <v>46153</v>
      </c>
      <c r="C399" s="211"/>
      <c r="D399" s="211" t="s">
        <v>572</v>
      </c>
      <c r="E399" s="211" t="s">
        <v>68</v>
      </c>
      <c r="F399" s="732">
        <v>1060</v>
      </c>
      <c r="G399" s="211" t="s">
        <v>510</v>
      </c>
      <c r="H399" s="211" t="str">
        <f>IFERROR(VLOOKUP(E399,名称!A:E,4,0),"")</f>
        <v>三代</v>
      </c>
      <c r="I399" s="268" t="str">
        <f t="shared" ref="I399:BT399" si="467">IF(OR($E399="",I$1=""),"",IF(TRIM(LEFT($E399,MIN(IFERROR(FIND("CDU",UPPER($E399)),999),IFERROR(FIND("BULK",UPPER($E399)),999),IFERROR(FIND("-",$E399),999),IFERROR(FIND("（",$E399),999))-1))=I$1,$F399,""))</f>
        <v/>
      </c>
      <c r="J399" s="268" t="str">
        <f t="shared" si="467"/>
        <v/>
      </c>
      <c r="K399" s="268" t="str">
        <f t="shared" si="467"/>
        <v/>
      </c>
      <c r="L399" s="268" t="str">
        <f t="shared" si="467"/>
        <v/>
      </c>
      <c r="M399" s="268" t="str">
        <f t="shared" si="467"/>
        <v/>
      </c>
      <c r="N399" s="268" t="str">
        <f t="shared" si="467"/>
        <v/>
      </c>
      <c r="O399" s="268" t="str">
        <f t="shared" si="467"/>
        <v/>
      </c>
      <c r="P399" s="268" t="str">
        <f t="shared" si="467"/>
        <v/>
      </c>
      <c r="Q399" s="268" t="str">
        <f t="shared" si="467"/>
        <v/>
      </c>
      <c r="R399" s="268" t="str">
        <f t="shared" si="467"/>
        <v/>
      </c>
      <c r="S399" s="268" t="str">
        <f t="shared" si="467"/>
        <v/>
      </c>
      <c r="T399" s="268" t="str">
        <f t="shared" si="467"/>
        <v/>
      </c>
      <c r="U399" s="268" t="str">
        <f t="shared" si="467"/>
        <v/>
      </c>
      <c r="V399" s="268" t="str">
        <f t="shared" si="467"/>
        <v/>
      </c>
      <c r="W399" s="268" t="str">
        <f t="shared" si="467"/>
        <v/>
      </c>
      <c r="X399" s="268" t="str">
        <f t="shared" si="467"/>
        <v/>
      </c>
      <c r="Y399" s="268" t="str">
        <f t="shared" si="467"/>
        <v/>
      </c>
      <c r="Z399" s="268" t="str">
        <f t="shared" si="467"/>
        <v/>
      </c>
      <c r="AA399" s="268" t="str">
        <f t="shared" si="467"/>
        <v/>
      </c>
      <c r="AB399" s="268" t="str">
        <f t="shared" si="467"/>
        <v/>
      </c>
      <c r="AC399" s="268" t="str">
        <f t="shared" si="467"/>
        <v/>
      </c>
      <c r="AD399" s="268" t="str">
        <f t="shared" si="467"/>
        <v/>
      </c>
      <c r="AE399" s="268" t="str">
        <f t="shared" si="467"/>
        <v/>
      </c>
      <c r="AF399" s="268" t="str">
        <f t="shared" si="467"/>
        <v/>
      </c>
      <c r="AG399" s="268" t="str">
        <f t="shared" si="467"/>
        <v/>
      </c>
      <c r="AH399" s="268">
        <f t="shared" si="467"/>
        <v>1060</v>
      </c>
      <c r="AI399" s="268" t="str">
        <f t="shared" si="467"/>
        <v/>
      </c>
      <c r="AJ399" s="268" t="str">
        <f t="shared" si="467"/>
        <v/>
      </c>
      <c r="AK399" s="268" t="str">
        <f t="shared" si="467"/>
        <v/>
      </c>
      <c r="AL399" s="268" t="str">
        <f t="shared" si="467"/>
        <v/>
      </c>
      <c r="AM399" s="268" t="str">
        <f t="shared" si="467"/>
        <v/>
      </c>
      <c r="AN399" s="268" t="str">
        <f t="shared" si="467"/>
        <v/>
      </c>
      <c r="AO399" s="268" t="str">
        <f t="shared" si="467"/>
        <v/>
      </c>
      <c r="AP399" s="268" t="str">
        <f t="shared" si="467"/>
        <v/>
      </c>
      <c r="AQ399" s="268" t="str">
        <f t="shared" si="467"/>
        <v/>
      </c>
      <c r="AR399" s="268" t="str">
        <f t="shared" si="467"/>
        <v/>
      </c>
      <c r="AS399" s="268" t="str">
        <f t="shared" si="467"/>
        <v/>
      </c>
      <c r="AT399" s="268" t="str">
        <f t="shared" si="467"/>
        <v/>
      </c>
      <c r="AU399" s="268" t="str">
        <f t="shared" si="467"/>
        <v/>
      </c>
      <c r="AV399" s="268" t="str">
        <f t="shared" si="467"/>
        <v/>
      </c>
      <c r="AW399" s="268" t="str">
        <f t="shared" si="467"/>
        <v/>
      </c>
      <c r="AX399" s="268" t="str">
        <f t="shared" si="467"/>
        <v/>
      </c>
      <c r="AY399" s="268" t="str">
        <f t="shared" si="467"/>
        <v/>
      </c>
      <c r="AZ399" s="268" t="str">
        <f t="shared" si="467"/>
        <v/>
      </c>
      <c r="BA399" s="268" t="str">
        <f t="shared" si="467"/>
        <v/>
      </c>
      <c r="BB399" s="268" t="str">
        <f t="shared" si="467"/>
        <v/>
      </c>
      <c r="BC399" s="268" t="str">
        <f t="shared" si="467"/>
        <v/>
      </c>
      <c r="BD399" s="268" t="str">
        <f t="shared" si="467"/>
        <v/>
      </c>
      <c r="BE399" s="268" t="str">
        <f t="shared" si="467"/>
        <v/>
      </c>
      <c r="BF399" s="268" t="str">
        <f t="shared" si="467"/>
        <v/>
      </c>
      <c r="BG399" s="268" t="str">
        <f t="shared" si="467"/>
        <v/>
      </c>
      <c r="BH399" s="268" t="str">
        <f t="shared" si="467"/>
        <v/>
      </c>
      <c r="BI399" s="268" t="str">
        <f t="shared" si="467"/>
        <v/>
      </c>
      <c r="BJ399" s="268" t="str">
        <f t="shared" si="467"/>
        <v/>
      </c>
      <c r="BK399" s="268" t="str">
        <f t="shared" si="467"/>
        <v/>
      </c>
      <c r="BL399" s="268" t="str">
        <f t="shared" si="467"/>
        <v/>
      </c>
      <c r="BM399" s="268" t="str">
        <f t="shared" si="467"/>
        <v/>
      </c>
      <c r="BN399" s="268" t="str">
        <f t="shared" si="467"/>
        <v/>
      </c>
      <c r="BO399" s="268" t="str">
        <f t="shared" si="467"/>
        <v/>
      </c>
      <c r="BP399" s="268" t="str">
        <f t="shared" si="467"/>
        <v/>
      </c>
      <c r="BQ399" s="268" t="str">
        <f t="shared" si="467"/>
        <v/>
      </c>
      <c r="BR399" s="268" t="str">
        <f t="shared" si="467"/>
        <v/>
      </c>
      <c r="BS399" s="268" t="str">
        <f t="shared" si="467"/>
        <v/>
      </c>
      <c r="BT399" s="268" t="str">
        <f t="shared" si="467"/>
        <v/>
      </c>
      <c r="BU399" s="268" t="str">
        <f t="shared" si="456"/>
        <v/>
      </c>
      <c r="BV399" s="247">
        <v>3.12</v>
      </c>
      <c r="BW399" s="729">
        <f t="shared" si="424"/>
        <v>3307.2</v>
      </c>
      <c r="BX399" s="730">
        <f t="shared" si="425"/>
        <v>25630.8</v>
      </c>
      <c r="BY399" s="731" t="str">
        <f t="shared" si="426"/>
        <v>SR</v>
      </c>
    </row>
    <row r="400" s="698" customFormat="1" customHeight="1" spans="1:77">
      <c r="A400" s="208">
        <v>46095</v>
      </c>
      <c r="B400" s="208">
        <v>46153</v>
      </c>
      <c r="C400" s="211"/>
      <c r="D400" s="211" t="s">
        <v>572</v>
      </c>
      <c r="E400" s="211" t="s">
        <v>72</v>
      </c>
      <c r="F400" s="732">
        <v>1620</v>
      </c>
      <c r="G400" s="211" t="s">
        <v>510</v>
      </c>
      <c r="H400" s="211" t="str">
        <f>IFERROR(VLOOKUP(E400,名称!A:E,4,0),"")</f>
        <v>三代</v>
      </c>
      <c r="I400" s="268" t="str">
        <f t="shared" ref="I400:BT400" si="468">IF(OR($E400="",I$1=""),"",IF(TRIM(LEFT($E400,MIN(IFERROR(FIND("CDU",UPPER($E400)),999),IFERROR(FIND("BULK",UPPER($E400)),999),IFERROR(FIND("-",$E400),999),IFERROR(FIND("（",$E400),999))-1))=I$1,$F400,""))</f>
        <v/>
      </c>
      <c r="J400" s="268" t="str">
        <f t="shared" si="468"/>
        <v/>
      </c>
      <c r="K400" s="268" t="str">
        <f t="shared" si="468"/>
        <v/>
      </c>
      <c r="L400" s="268" t="str">
        <f t="shared" si="468"/>
        <v/>
      </c>
      <c r="M400" s="268" t="str">
        <f t="shared" si="468"/>
        <v/>
      </c>
      <c r="N400" s="268" t="str">
        <f t="shared" si="468"/>
        <v/>
      </c>
      <c r="O400" s="268" t="str">
        <f t="shared" si="468"/>
        <v/>
      </c>
      <c r="P400" s="268" t="str">
        <f t="shared" si="468"/>
        <v/>
      </c>
      <c r="Q400" s="268" t="str">
        <f t="shared" si="468"/>
        <v/>
      </c>
      <c r="R400" s="268" t="str">
        <f t="shared" si="468"/>
        <v/>
      </c>
      <c r="S400" s="268" t="str">
        <f t="shared" si="468"/>
        <v/>
      </c>
      <c r="T400" s="268" t="str">
        <f t="shared" si="468"/>
        <v/>
      </c>
      <c r="U400" s="268" t="str">
        <f t="shared" si="468"/>
        <v/>
      </c>
      <c r="V400" s="268" t="str">
        <f t="shared" si="468"/>
        <v/>
      </c>
      <c r="W400" s="268" t="str">
        <f t="shared" si="468"/>
        <v/>
      </c>
      <c r="X400" s="268" t="str">
        <f t="shared" si="468"/>
        <v/>
      </c>
      <c r="Y400" s="268" t="str">
        <f t="shared" si="468"/>
        <v/>
      </c>
      <c r="Z400" s="268" t="str">
        <f t="shared" si="468"/>
        <v/>
      </c>
      <c r="AA400" s="268" t="str">
        <f t="shared" si="468"/>
        <v/>
      </c>
      <c r="AB400" s="268" t="str">
        <f t="shared" si="468"/>
        <v/>
      </c>
      <c r="AC400" s="268" t="str">
        <f t="shared" si="468"/>
        <v/>
      </c>
      <c r="AD400" s="268" t="str">
        <f t="shared" si="468"/>
        <v/>
      </c>
      <c r="AE400" s="268" t="str">
        <f t="shared" si="468"/>
        <v/>
      </c>
      <c r="AF400" s="268" t="str">
        <f t="shared" si="468"/>
        <v/>
      </c>
      <c r="AG400" s="268" t="str">
        <f t="shared" si="468"/>
        <v/>
      </c>
      <c r="AH400" s="268" t="str">
        <f t="shared" si="468"/>
        <v/>
      </c>
      <c r="AI400" s="268" t="str">
        <f t="shared" si="468"/>
        <v/>
      </c>
      <c r="AJ400" s="268" t="str">
        <f t="shared" si="468"/>
        <v/>
      </c>
      <c r="AK400" s="268" t="str">
        <f t="shared" si="468"/>
        <v/>
      </c>
      <c r="AL400" s="268">
        <f t="shared" si="468"/>
        <v>1620</v>
      </c>
      <c r="AM400" s="268" t="str">
        <f t="shared" si="468"/>
        <v/>
      </c>
      <c r="AN400" s="268" t="str">
        <f t="shared" si="468"/>
        <v/>
      </c>
      <c r="AO400" s="268" t="str">
        <f t="shared" si="468"/>
        <v/>
      </c>
      <c r="AP400" s="268" t="str">
        <f t="shared" si="468"/>
        <v/>
      </c>
      <c r="AQ400" s="268" t="str">
        <f t="shared" si="468"/>
        <v/>
      </c>
      <c r="AR400" s="268" t="str">
        <f t="shared" si="468"/>
        <v/>
      </c>
      <c r="AS400" s="268" t="str">
        <f t="shared" si="468"/>
        <v/>
      </c>
      <c r="AT400" s="268" t="str">
        <f t="shared" si="468"/>
        <v/>
      </c>
      <c r="AU400" s="268" t="str">
        <f t="shared" si="468"/>
        <v/>
      </c>
      <c r="AV400" s="268" t="str">
        <f t="shared" si="468"/>
        <v/>
      </c>
      <c r="AW400" s="268" t="str">
        <f t="shared" si="468"/>
        <v/>
      </c>
      <c r="AX400" s="268" t="str">
        <f t="shared" si="468"/>
        <v/>
      </c>
      <c r="AY400" s="268" t="str">
        <f t="shared" si="468"/>
        <v/>
      </c>
      <c r="AZ400" s="268" t="str">
        <f t="shared" si="468"/>
        <v/>
      </c>
      <c r="BA400" s="268" t="str">
        <f t="shared" si="468"/>
        <v/>
      </c>
      <c r="BB400" s="268" t="str">
        <f t="shared" si="468"/>
        <v/>
      </c>
      <c r="BC400" s="268" t="str">
        <f t="shared" si="468"/>
        <v/>
      </c>
      <c r="BD400" s="268" t="str">
        <f t="shared" si="468"/>
        <v/>
      </c>
      <c r="BE400" s="268" t="str">
        <f t="shared" si="468"/>
        <v/>
      </c>
      <c r="BF400" s="268" t="str">
        <f t="shared" si="468"/>
        <v/>
      </c>
      <c r="BG400" s="268" t="str">
        <f t="shared" si="468"/>
        <v/>
      </c>
      <c r="BH400" s="268" t="str">
        <f t="shared" si="468"/>
        <v/>
      </c>
      <c r="BI400" s="268" t="str">
        <f t="shared" si="468"/>
        <v/>
      </c>
      <c r="BJ400" s="268" t="str">
        <f t="shared" si="468"/>
        <v/>
      </c>
      <c r="BK400" s="268" t="str">
        <f t="shared" si="468"/>
        <v/>
      </c>
      <c r="BL400" s="268" t="str">
        <f t="shared" si="468"/>
        <v/>
      </c>
      <c r="BM400" s="268" t="str">
        <f t="shared" si="468"/>
        <v/>
      </c>
      <c r="BN400" s="268" t="str">
        <f t="shared" si="468"/>
        <v/>
      </c>
      <c r="BO400" s="268" t="str">
        <f t="shared" si="468"/>
        <v/>
      </c>
      <c r="BP400" s="268" t="str">
        <f t="shared" si="468"/>
        <v/>
      </c>
      <c r="BQ400" s="268" t="str">
        <f t="shared" si="468"/>
        <v/>
      </c>
      <c r="BR400" s="268" t="str">
        <f t="shared" si="468"/>
        <v/>
      </c>
      <c r="BS400" s="268" t="str">
        <f t="shared" si="468"/>
        <v/>
      </c>
      <c r="BT400" s="268" t="str">
        <f t="shared" si="468"/>
        <v/>
      </c>
      <c r="BU400" s="268" t="str">
        <f t="shared" si="456"/>
        <v/>
      </c>
      <c r="BV400" s="247">
        <v>1.6</v>
      </c>
      <c r="BW400" s="729">
        <f t="shared" si="424"/>
        <v>2592</v>
      </c>
      <c r="BX400" s="730">
        <f t="shared" si="425"/>
        <v>20088</v>
      </c>
      <c r="BY400" s="731" t="str">
        <f t="shared" si="426"/>
        <v>SR</v>
      </c>
    </row>
    <row r="401" s="698" customFormat="1" customHeight="1" spans="1:77">
      <c r="A401" s="208">
        <v>46095</v>
      </c>
      <c r="B401" s="208">
        <v>46153</v>
      </c>
      <c r="C401" s="211"/>
      <c r="D401" s="211" t="s">
        <v>572</v>
      </c>
      <c r="E401" s="211" t="s">
        <v>112</v>
      </c>
      <c r="F401" s="732">
        <v>150</v>
      </c>
      <c r="G401" s="211" t="s">
        <v>510</v>
      </c>
      <c r="H401" s="211" t="str">
        <f>IFERROR(VLOOKUP(E401,名称!A:E,4,0),"")</f>
        <v>三代</v>
      </c>
      <c r="I401" s="268" t="str">
        <f t="shared" ref="I401:BT401" si="469">IF(OR($E401="",I$1=""),"",IF(TRIM(LEFT($E401,MIN(IFERROR(FIND("CDU",UPPER($E401)),999),IFERROR(FIND("BULK",UPPER($E401)),999),IFERROR(FIND("-",$E401),999),IFERROR(FIND("（",$E401),999))-1))=I$1,$F401,""))</f>
        <v/>
      </c>
      <c r="J401" s="268" t="str">
        <f t="shared" si="469"/>
        <v/>
      </c>
      <c r="K401" s="268" t="str">
        <f t="shared" si="469"/>
        <v/>
      </c>
      <c r="L401" s="268" t="str">
        <f t="shared" si="469"/>
        <v/>
      </c>
      <c r="M401" s="268" t="str">
        <f t="shared" si="469"/>
        <v/>
      </c>
      <c r="N401" s="268" t="str">
        <f t="shared" si="469"/>
        <v/>
      </c>
      <c r="O401" s="268" t="str">
        <f t="shared" si="469"/>
        <v/>
      </c>
      <c r="P401" s="268" t="str">
        <f t="shared" si="469"/>
        <v/>
      </c>
      <c r="Q401" s="268" t="str">
        <f t="shared" si="469"/>
        <v/>
      </c>
      <c r="R401" s="268" t="str">
        <f t="shared" si="469"/>
        <v/>
      </c>
      <c r="S401" s="268" t="str">
        <f t="shared" si="469"/>
        <v/>
      </c>
      <c r="T401" s="268" t="str">
        <f t="shared" si="469"/>
        <v/>
      </c>
      <c r="U401" s="268" t="str">
        <f t="shared" si="469"/>
        <v/>
      </c>
      <c r="V401" s="268" t="str">
        <f t="shared" si="469"/>
        <v/>
      </c>
      <c r="W401" s="268" t="str">
        <f t="shared" si="469"/>
        <v/>
      </c>
      <c r="X401" s="268" t="str">
        <f t="shared" si="469"/>
        <v/>
      </c>
      <c r="Y401" s="268" t="str">
        <f t="shared" si="469"/>
        <v/>
      </c>
      <c r="Z401" s="268" t="str">
        <f t="shared" si="469"/>
        <v/>
      </c>
      <c r="AA401" s="268" t="str">
        <f t="shared" si="469"/>
        <v/>
      </c>
      <c r="AB401" s="268" t="str">
        <f t="shared" si="469"/>
        <v/>
      </c>
      <c r="AC401" s="268" t="str">
        <f t="shared" si="469"/>
        <v/>
      </c>
      <c r="AD401" s="268" t="str">
        <f t="shared" si="469"/>
        <v/>
      </c>
      <c r="AE401" s="268" t="str">
        <f t="shared" si="469"/>
        <v/>
      </c>
      <c r="AF401" s="268" t="str">
        <f t="shared" si="469"/>
        <v/>
      </c>
      <c r="AG401" s="268" t="str">
        <f t="shared" si="469"/>
        <v/>
      </c>
      <c r="AH401" s="268" t="str">
        <f t="shared" si="469"/>
        <v/>
      </c>
      <c r="AI401" s="268">
        <f t="shared" si="469"/>
        <v>150</v>
      </c>
      <c r="AJ401" s="268" t="str">
        <f t="shared" si="469"/>
        <v/>
      </c>
      <c r="AK401" s="268" t="str">
        <f t="shared" si="469"/>
        <v/>
      </c>
      <c r="AL401" s="268" t="str">
        <f t="shared" si="469"/>
        <v/>
      </c>
      <c r="AM401" s="268" t="str">
        <f t="shared" si="469"/>
        <v/>
      </c>
      <c r="AN401" s="268" t="str">
        <f t="shared" si="469"/>
        <v/>
      </c>
      <c r="AO401" s="268" t="str">
        <f t="shared" si="469"/>
        <v/>
      </c>
      <c r="AP401" s="268" t="str">
        <f t="shared" si="469"/>
        <v/>
      </c>
      <c r="AQ401" s="268" t="str">
        <f t="shared" si="469"/>
        <v/>
      </c>
      <c r="AR401" s="268" t="str">
        <f t="shared" si="469"/>
        <v/>
      </c>
      <c r="AS401" s="268" t="str">
        <f t="shared" si="469"/>
        <v/>
      </c>
      <c r="AT401" s="268" t="str">
        <f t="shared" si="469"/>
        <v/>
      </c>
      <c r="AU401" s="268" t="str">
        <f t="shared" si="469"/>
        <v/>
      </c>
      <c r="AV401" s="268" t="str">
        <f t="shared" si="469"/>
        <v/>
      </c>
      <c r="AW401" s="268" t="str">
        <f t="shared" si="469"/>
        <v/>
      </c>
      <c r="AX401" s="268" t="str">
        <f t="shared" si="469"/>
        <v/>
      </c>
      <c r="AY401" s="268" t="str">
        <f t="shared" si="469"/>
        <v/>
      </c>
      <c r="AZ401" s="268" t="str">
        <f t="shared" si="469"/>
        <v/>
      </c>
      <c r="BA401" s="268" t="str">
        <f t="shared" si="469"/>
        <v/>
      </c>
      <c r="BB401" s="268" t="str">
        <f t="shared" si="469"/>
        <v/>
      </c>
      <c r="BC401" s="268" t="str">
        <f t="shared" si="469"/>
        <v/>
      </c>
      <c r="BD401" s="268" t="str">
        <f t="shared" si="469"/>
        <v/>
      </c>
      <c r="BE401" s="268" t="str">
        <f t="shared" si="469"/>
        <v/>
      </c>
      <c r="BF401" s="268" t="str">
        <f t="shared" si="469"/>
        <v/>
      </c>
      <c r="BG401" s="268" t="str">
        <f t="shared" si="469"/>
        <v/>
      </c>
      <c r="BH401" s="268" t="str">
        <f t="shared" si="469"/>
        <v/>
      </c>
      <c r="BI401" s="268" t="str">
        <f t="shared" si="469"/>
        <v/>
      </c>
      <c r="BJ401" s="268" t="str">
        <f t="shared" si="469"/>
        <v/>
      </c>
      <c r="BK401" s="268" t="str">
        <f t="shared" si="469"/>
        <v/>
      </c>
      <c r="BL401" s="268" t="str">
        <f t="shared" si="469"/>
        <v/>
      </c>
      <c r="BM401" s="268" t="str">
        <f t="shared" si="469"/>
        <v/>
      </c>
      <c r="BN401" s="268" t="str">
        <f t="shared" si="469"/>
        <v/>
      </c>
      <c r="BO401" s="268" t="str">
        <f t="shared" si="469"/>
        <v/>
      </c>
      <c r="BP401" s="268" t="str">
        <f t="shared" si="469"/>
        <v/>
      </c>
      <c r="BQ401" s="268" t="str">
        <f t="shared" si="469"/>
        <v/>
      </c>
      <c r="BR401" s="268" t="str">
        <f t="shared" si="469"/>
        <v/>
      </c>
      <c r="BS401" s="268" t="str">
        <f t="shared" si="469"/>
        <v/>
      </c>
      <c r="BT401" s="268" t="str">
        <f t="shared" si="469"/>
        <v/>
      </c>
      <c r="BU401" s="268" t="str">
        <f t="shared" si="456"/>
        <v/>
      </c>
      <c r="BV401" s="247">
        <v>9.39</v>
      </c>
      <c r="BW401" s="729">
        <f t="shared" si="424"/>
        <v>1408.5</v>
      </c>
      <c r="BX401" s="730">
        <f t="shared" si="425"/>
        <v>10915.88</v>
      </c>
      <c r="BY401" s="731" t="str">
        <f t="shared" si="426"/>
        <v>SR</v>
      </c>
    </row>
    <row r="402" s="698" customFormat="1" customHeight="1" spans="1:77">
      <c r="A402" s="208">
        <v>46095</v>
      </c>
      <c r="B402" s="208">
        <v>46153</v>
      </c>
      <c r="C402" s="211"/>
      <c r="D402" s="211" t="s">
        <v>572</v>
      </c>
      <c r="E402" s="211" t="s">
        <v>85</v>
      </c>
      <c r="F402" s="229">
        <f>4800-24-72</f>
        <v>4704</v>
      </c>
      <c r="G402" s="211" t="s">
        <v>510</v>
      </c>
      <c r="H402" s="211" t="str">
        <f>IFERROR(VLOOKUP(E402,名称!A:E,4,0),"")</f>
        <v>三代</v>
      </c>
      <c r="I402" s="268" t="str">
        <f t="shared" ref="I402:BT402" si="470">IF(OR($E402="",I$1=""),"",IF(TRIM(LEFT($E402,MIN(IFERROR(FIND("CDU",UPPER($E402)),999),IFERROR(FIND("BULK",UPPER($E402)),999),IFERROR(FIND("-",$E402),999),IFERROR(FIND("（",$E402),999))-1))=I$1,$F402,""))</f>
        <v/>
      </c>
      <c r="J402" s="268" t="str">
        <f t="shared" si="470"/>
        <v/>
      </c>
      <c r="K402" s="268" t="str">
        <f t="shared" si="470"/>
        <v/>
      </c>
      <c r="L402" s="268" t="str">
        <f t="shared" si="470"/>
        <v/>
      </c>
      <c r="M402" s="268" t="str">
        <f t="shared" si="470"/>
        <v/>
      </c>
      <c r="N402" s="268" t="str">
        <f t="shared" si="470"/>
        <v/>
      </c>
      <c r="O402" s="268" t="str">
        <f t="shared" si="470"/>
        <v/>
      </c>
      <c r="P402" s="268" t="str">
        <f t="shared" si="470"/>
        <v/>
      </c>
      <c r="Q402" s="268" t="str">
        <f t="shared" si="470"/>
        <v/>
      </c>
      <c r="R402" s="268" t="str">
        <f t="shared" si="470"/>
        <v/>
      </c>
      <c r="S402" s="268" t="str">
        <f t="shared" si="470"/>
        <v/>
      </c>
      <c r="T402" s="268" t="str">
        <f t="shared" si="470"/>
        <v/>
      </c>
      <c r="U402" s="268" t="str">
        <f t="shared" si="470"/>
        <v/>
      </c>
      <c r="V402" s="268" t="str">
        <f t="shared" si="470"/>
        <v/>
      </c>
      <c r="W402" s="268" t="str">
        <f t="shared" si="470"/>
        <v/>
      </c>
      <c r="X402" s="268" t="str">
        <f t="shared" si="470"/>
        <v/>
      </c>
      <c r="Y402" s="268" t="str">
        <f t="shared" si="470"/>
        <v/>
      </c>
      <c r="Z402" s="268" t="str">
        <f t="shared" si="470"/>
        <v/>
      </c>
      <c r="AA402" s="268" t="str">
        <f t="shared" si="470"/>
        <v/>
      </c>
      <c r="AB402" s="268" t="str">
        <f t="shared" si="470"/>
        <v/>
      </c>
      <c r="AC402" s="268" t="str">
        <f t="shared" si="470"/>
        <v/>
      </c>
      <c r="AD402" s="268" t="str">
        <f t="shared" si="470"/>
        <v/>
      </c>
      <c r="AE402" s="268" t="str">
        <f t="shared" si="470"/>
        <v/>
      </c>
      <c r="AF402" s="268" t="str">
        <f t="shared" si="470"/>
        <v/>
      </c>
      <c r="AG402" s="268" t="str">
        <f t="shared" si="470"/>
        <v/>
      </c>
      <c r="AH402" s="268" t="str">
        <f t="shared" si="470"/>
        <v/>
      </c>
      <c r="AI402" s="268" t="str">
        <f t="shared" si="470"/>
        <v/>
      </c>
      <c r="AJ402" s="268" t="str">
        <f t="shared" si="470"/>
        <v/>
      </c>
      <c r="AK402" s="268" t="str">
        <f t="shared" si="470"/>
        <v/>
      </c>
      <c r="AL402" s="268" t="str">
        <f t="shared" si="470"/>
        <v/>
      </c>
      <c r="AM402" s="268" t="str">
        <f t="shared" si="470"/>
        <v/>
      </c>
      <c r="AN402" s="268">
        <f t="shared" si="470"/>
        <v>4704</v>
      </c>
      <c r="AO402" s="268" t="str">
        <f t="shared" si="470"/>
        <v/>
      </c>
      <c r="AP402" s="268" t="str">
        <f t="shared" si="470"/>
        <v/>
      </c>
      <c r="AQ402" s="268" t="str">
        <f t="shared" si="470"/>
        <v/>
      </c>
      <c r="AR402" s="268" t="str">
        <f t="shared" si="470"/>
        <v/>
      </c>
      <c r="AS402" s="268" t="str">
        <f t="shared" si="470"/>
        <v/>
      </c>
      <c r="AT402" s="268" t="str">
        <f t="shared" si="470"/>
        <v/>
      </c>
      <c r="AU402" s="268" t="str">
        <f t="shared" si="470"/>
        <v/>
      </c>
      <c r="AV402" s="268" t="str">
        <f t="shared" si="470"/>
        <v/>
      </c>
      <c r="AW402" s="268" t="str">
        <f t="shared" si="470"/>
        <v/>
      </c>
      <c r="AX402" s="268" t="str">
        <f t="shared" si="470"/>
        <v/>
      </c>
      <c r="AY402" s="268" t="str">
        <f t="shared" si="470"/>
        <v/>
      </c>
      <c r="AZ402" s="268" t="str">
        <f t="shared" si="470"/>
        <v/>
      </c>
      <c r="BA402" s="268" t="str">
        <f t="shared" si="470"/>
        <v/>
      </c>
      <c r="BB402" s="268" t="str">
        <f t="shared" si="470"/>
        <v/>
      </c>
      <c r="BC402" s="268" t="str">
        <f t="shared" si="470"/>
        <v/>
      </c>
      <c r="BD402" s="268" t="str">
        <f t="shared" si="470"/>
        <v/>
      </c>
      <c r="BE402" s="268" t="str">
        <f t="shared" si="470"/>
        <v/>
      </c>
      <c r="BF402" s="268" t="str">
        <f t="shared" si="470"/>
        <v/>
      </c>
      <c r="BG402" s="268" t="str">
        <f t="shared" si="470"/>
        <v/>
      </c>
      <c r="BH402" s="268" t="str">
        <f t="shared" si="470"/>
        <v/>
      </c>
      <c r="BI402" s="268" t="str">
        <f t="shared" si="470"/>
        <v/>
      </c>
      <c r="BJ402" s="268" t="str">
        <f t="shared" si="470"/>
        <v/>
      </c>
      <c r="BK402" s="268" t="str">
        <f t="shared" si="470"/>
        <v/>
      </c>
      <c r="BL402" s="268" t="str">
        <f t="shared" si="470"/>
        <v/>
      </c>
      <c r="BM402" s="268" t="str">
        <f t="shared" si="470"/>
        <v/>
      </c>
      <c r="BN402" s="268" t="str">
        <f t="shared" si="470"/>
        <v/>
      </c>
      <c r="BO402" s="268" t="str">
        <f t="shared" si="470"/>
        <v/>
      </c>
      <c r="BP402" s="268" t="str">
        <f t="shared" si="470"/>
        <v/>
      </c>
      <c r="BQ402" s="268" t="str">
        <f t="shared" si="470"/>
        <v/>
      </c>
      <c r="BR402" s="268" t="str">
        <f t="shared" si="470"/>
        <v/>
      </c>
      <c r="BS402" s="268" t="str">
        <f t="shared" si="470"/>
        <v/>
      </c>
      <c r="BT402" s="268" t="str">
        <f t="shared" si="470"/>
        <v/>
      </c>
      <c r="BU402" s="268" t="str">
        <f t="shared" si="456"/>
        <v/>
      </c>
      <c r="BV402" s="247">
        <v>0.89</v>
      </c>
      <c r="BW402" s="729">
        <f t="shared" si="424"/>
        <v>4186.56</v>
      </c>
      <c r="BX402" s="730">
        <f t="shared" si="425"/>
        <v>32445.84</v>
      </c>
      <c r="BY402" s="731" t="str">
        <f t="shared" si="426"/>
        <v>SR</v>
      </c>
    </row>
    <row r="403" s="698" customFormat="1" customHeight="1" spans="1:77">
      <c r="A403" s="208">
        <v>46099</v>
      </c>
      <c r="B403" s="208">
        <v>46202</v>
      </c>
      <c r="C403" s="211">
        <v>4400544530</v>
      </c>
      <c r="D403" s="211" t="s">
        <v>573</v>
      </c>
      <c r="E403" s="211" t="s">
        <v>117</v>
      </c>
      <c r="F403" s="732">
        <v>1650</v>
      </c>
      <c r="G403" s="211" t="s">
        <v>334</v>
      </c>
      <c r="H403" s="211" t="str">
        <f>IFERROR(VLOOKUP(E403,名称!A:E,4,0),"")</f>
        <v>三代</v>
      </c>
      <c r="I403" s="268" t="str">
        <f t="shared" ref="I403:BT403" si="471">IF(OR($E403="",I$1=""),"",IF(TRIM(LEFT($E403,MIN(IFERROR(FIND("CDU",UPPER($E403)),999),IFERROR(FIND("BULK",UPPER($E403)),999),IFERROR(FIND("-",$E403),999),IFERROR(FIND("（",$E403),999))-1))=I$1,$F403,""))</f>
        <v/>
      </c>
      <c r="J403" s="268" t="str">
        <f t="shared" si="471"/>
        <v/>
      </c>
      <c r="K403" s="268" t="str">
        <f t="shared" si="471"/>
        <v/>
      </c>
      <c r="L403" s="268" t="str">
        <f t="shared" si="471"/>
        <v/>
      </c>
      <c r="M403" s="268" t="str">
        <f t="shared" si="471"/>
        <v/>
      </c>
      <c r="N403" s="268" t="str">
        <f t="shared" si="471"/>
        <v/>
      </c>
      <c r="O403" s="268" t="str">
        <f t="shared" si="471"/>
        <v/>
      </c>
      <c r="P403" s="268" t="str">
        <f t="shared" si="471"/>
        <v/>
      </c>
      <c r="Q403" s="268" t="str">
        <f t="shared" si="471"/>
        <v/>
      </c>
      <c r="R403" s="268" t="str">
        <f t="shared" si="471"/>
        <v/>
      </c>
      <c r="S403" s="268" t="str">
        <f t="shared" si="471"/>
        <v/>
      </c>
      <c r="T403" s="268" t="str">
        <f t="shared" si="471"/>
        <v/>
      </c>
      <c r="U403" s="268" t="str">
        <f t="shared" si="471"/>
        <v/>
      </c>
      <c r="V403" s="268" t="str">
        <f t="shared" si="471"/>
        <v/>
      </c>
      <c r="W403" s="268" t="str">
        <f t="shared" si="471"/>
        <v/>
      </c>
      <c r="X403" s="268" t="str">
        <f t="shared" si="471"/>
        <v/>
      </c>
      <c r="Y403" s="268" t="str">
        <f t="shared" si="471"/>
        <v/>
      </c>
      <c r="Z403" s="268" t="str">
        <f t="shared" si="471"/>
        <v/>
      </c>
      <c r="AA403" s="268" t="str">
        <f t="shared" si="471"/>
        <v/>
      </c>
      <c r="AB403" s="268" t="str">
        <f t="shared" si="471"/>
        <v/>
      </c>
      <c r="AC403" s="268" t="str">
        <f t="shared" si="471"/>
        <v/>
      </c>
      <c r="AD403" s="268" t="str">
        <f t="shared" si="471"/>
        <v/>
      </c>
      <c r="AE403" s="268" t="str">
        <f t="shared" si="471"/>
        <v/>
      </c>
      <c r="AF403" s="268" t="str">
        <f t="shared" si="471"/>
        <v/>
      </c>
      <c r="AG403" s="268" t="str">
        <f t="shared" si="471"/>
        <v/>
      </c>
      <c r="AH403" s="268" t="str">
        <f t="shared" si="471"/>
        <v/>
      </c>
      <c r="AI403" s="268" t="str">
        <f t="shared" si="471"/>
        <v/>
      </c>
      <c r="AJ403" s="268" t="str">
        <f t="shared" si="471"/>
        <v/>
      </c>
      <c r="AK403" s="268" t="str">
        <f t="shared" si="471"/>
        <v/>
      </c>
      <c r="AL403" s="268" t="str">
        <f t="shared" si="471"/>
        <v/>
      </c>
      <c r="AM403" s="268" t="str">
        <f t="shared" si="471"/>
        <v/>
      </c>
      <c r="AN403" s="268" t="str">
        <f t="shared" si="471"/>
        <v/>
      </c>
      <c r="AO403" s="268" t="str">
        <f t="shared" si="471"/>
        <v/>
      </c>
      <c r="AP403" s="268" t="str">
        <f t="shared" si="471"/>
        <v/>
      </c>
      <c r="AQ403" s="268">
        <f t="shared" si="471"/>
        <v>1650</v>
      </c>
      <c r="AR403" s="268" t="str">
        <f t="shared" si="471"/>
        <v/>
      </c>
      <c r="AS403" s="268" t="str">
        <f t="shared" si="471"/>
        <v/>
      </c>
      <c r="AT403" s="268" t="str">
        <f t="shared" si="471"/>
        <v/>
      </c>
      <c r="AU403" s="268" t="str">
        <f t="shared" si="471"/>
        <v/>
      </c>
      <c r="AV403" s="268" t="str">
        <f t="shared" si="471"/>
        <v/>
      </c>
      <c r="AW403" s="268" t="str">
        <f t="shared" si="471"/>
        <v/>
      </c>
      <c r="AX403" s="268" t="str">
        <f t="shared" si="471"/>
        <v/>
      </c>
      <c r="AY403" s="268" t="str">
        <f t="shared" si="471"/>
        <v/>
      </c>
      <c r="AZ403" s="268" t="str">
        <f t="shared" si="471"/>
        <v/>
      </c>
      <c r="BA403" s="268" t="str">
        <f t="shared" si="471"/>
        <v/>
      </c>
      <c r="BB403" s="268" t="str">
        <f t="shared" si="471"/>
        <v/>
      </c>
      <c r="BC403" s="268" t="str">
        <f t="shared" si="471"/>
        <v/>
      </c>
      <c r="BD403" s="268" t="str">
        <f t="shared" si="471"/>
        <v/>
      </c>
      <c r="BE403" s="268" t="str">
        <f t="shared" si="471"/>
        <v/>
      </c>
      <c r="BF403" s="268" t="str">
        <f t="shared" si="471"/>
        <v/>
      </c>
      <c r="BG403" s="268" t="str">
        <f t="shared" si="471"/>
        <v/>
      </c>
      <c r="BH403" s="268" t="str">
        <f t="shared" si="471"/>
        <v/>
      </c>
      <c r="BI403" s="268" t="str">
        <f t="shared" si="471"/>
        <v/>
      </c>
      <c r="BJ403" s="268" t="str">
        <f t="shared" si="471"/>
        <v/>
      </c>
      <c r="BK403" s="268" t="str">
        <f t="shared" si="471"/>
        <v/>
      </c>
      <c r="BL403" s="268" t="str">
        <f t="shared" si="471"/>
        <v/>
      </c>
      <c r="BM403" s="268" t="str">
        <f t="shared" si="471"/>
        <v/>
      </c>
      <c r="BN403" s="268" t="str">
        <f t="shared" si="471"/>
        <v/>
      </c>
      <c r="BO403" s="268" t="str">
        <f t="shared" si="471"/>
        <v/>
      </c>
      <c r="BP403" s="268" t="str">
        <f t="shared" si="471"/>
        <v/>
      </c>
      <c r="BQ403" s="268" t="str">
        <f t="shared" si="471"/>
        <v/>
      </c>
      <c r="BR403" s="268" t="str">
        <f t="shared" si="471"/>
        <v/>
      </c>
      <c r="BS403" s="268" t="str">
        <f t="shared" si="471"/>
        <v/>
      </c>
      <c r="BT403" s="268" t="str">
        <f t="shared" si="471"/>
        <v/>
      </c>
      <c r="BU403" s="268" t="str">
        <f t="shared" si="456"/>
        <v/>
      </c>
      <c r="BV403" s="247">
        <v>9.28</v>
      </c>
      <c r="BW403" s="729">
        <f t="shared" si="424"/>
        <v>15312</v>
      </c>
      <c r="BX403" s="730">
        <f t="shared" si="425"/>
        <v>118668</v>
      </c>
      <c r="BY403" s="731" t="str">
        <f t="shared" si="426"/>
        <v>SR</v>
      </c>
    </row>
    <row r="404" s="698" customFormat="1" customHeight="1" spans="1:77">
      <c r="A404" s="208">
        <v>46099</v>
      </c>
      <c r="B404" s="208">
        <v>46202</v>
      </c>
      <c r="C404" s="211">
        <v>4400544531</v>
      </c>
      <c r="D404" s="211" t="s">
        <v>574</v>
      </c>
      <c r="E404" s="211" t="s">
        <v>117</v>
      </c>
      <c r="F404" s="732">
        <v>4000</v>
      </c>
      <c r="G404" s="211" t="s">
        <v>334</v>
      </c>
      <c r="H404" s="211" t="str">
        <f>IFERROR(VLOOKUP(E404,名称!A:E,4,0),"")</f>
        <v>三代</v>
      </c>
      <c r="I404" s="268" t="str">
        <f t="shared" ref="I404:BT404" si="472">IF(OR($E404="",I$1=""),"",IF(TRIM(LEFT($E404,MIN(IFERROR(FIND("CDU",UPPER($E404)),999),IFERROR(FIND("BULK",UPPER($E404)),999),IFERROR(FIND("-",$E404),999),IFERROR(FIND("（",$E404),999))-1))=I$1,$F404,""))</f>
        <v/>
      </c>
      <c r="J404" s="268" t="str">
        <f t="shared" si="472"/>
        <v/>
      </c>
      <c r="K404" s="268" t="str">
        <f t="shared" si="472"/>
        <v/>
      </c>
      <c r="L404" s="268" t="str">
        <f t="shared" si="472"/>
        <v/>
      </c>
      <c r="M404" s="268" t="str">
        <f t="shared" si="472"/>
        <v/>
      </c>
      <c r="N404" s="268" t="str">
        <f t="shared" si="472"/>
        <v/>
      </c>
      <c r="O404" s="268" t="str">
        <f t="shared" si="472"/>
        <v/>
      </c>
      <c r="P404" s="268" t="str">
        <f t="shared" si="472"/>
        <v/>
      </c>
      <c r="Q404" s="268" t="str">
        <f t="shared" si="472"/>
        <v/>
      </c>
      <c r="R404" s="268" t="str">
        <f t="shared" si="472"/>
        <v/>
      </c>
      <c r="S404" s="268" t="str">
        <f t="shared" si="472"/>
        <v/>
      </c>
      <c r="T404" s="268" t="str">
        <f t="shared" si="472"/>
        <v/>
      </c>
      <c r="U404" s="268" t="str">
        <f t="shared" si="472"/>
        <v/>
      </c>
      <c r="V404" s="268" t="str">
        <f t="shared" si="472"/>
        <v/>
      </c>
      <c r="W404" s="268" t="str">
        <f t="shared" si="472"/>
        <v/>
      </c>
      <c r="X404" s="268" t="str">
        <f t="shared" si="472"/>
        <v/>
      </c>
      <c r="Y404" s="268" t="str">
        <f t="shared" si="472"/>
        <v/>
      </c>
      <c r="Z404" s="268" t="str">
        <f t="shared" si="472"/>
        <v/>
      </c>
      <c r="AA404" s="268" t="str">
        <f t="shared" si="472"/>
        <v/>
      </c>
      <c r="AB404" s="268" t="str">
        <f t="shared" si="472"/>
        <v/>
      </c>
      <c r="AC404" s="268" t="str">
        <f t="shared" si="472"/>
        <v/>
      </c>
      <c r="AD404" s="268" t="str">
        <f t="shared" si="472"/>
        <v/>
      </c>
      <c r="AE404" s="268" t="str">
        <f t="shared" si="472"/>
        <v/>
      </c>
      <c r="AF404" s="268" t="str">
        <f t="shared" si="472"/>
        <v/>
      </c>
      <c r="AG404" s="268" t="str">
        <f t="shared" si="472"/>
        <v/>
      </c>
      <c r="AH404" s="268" t="str">
        <f t="shared" si="472"/>
        <v/>
      </c>
      <c r="AI404" s="268" t="str">
        <f t="shared" si="472"/>
        <v/>
      </c>
      <c r="AJ404" s="268" t="str">
        <f t="shared" si="472"/>
        <v/>
      </c>
      <c r="AK404" s="268" t="str">
        <f t="shared" si="472"/>
        <v/>
      </c>
      <c r="AL404" s="268" t="str">
        <f t="shared" si="472"/>
        <v/>
      </c>
      <c r="AM404" s="268" t="str">
        <f t="shared" si="472"/>
        <v/>
      </c>
      <c r="AN404" s="268" t="str">
        <f t="shared" si="472"/>
        <v/>
      </c>
      <c r="AO404" s="268" t="str">
        <f t="shared" si="472"/>
        <v/>
      </c>
      <c r="AP404" s="268" t="str">
        <f t="shared" si="472"/>
        <v/>
      </c>
      <c r="AQ404" s="268">
        <f t="shared" si="472"/>
        <v>4000</v>
      </c>
      <c r="AR404" s="268" t="str">
        <f t="shared" si="472"/>
        <v/>
      </c>
      <c r="AS404" s="268" t="str">
        <f t="shared" si="472"/>
        <v/>
      </c>
      <c r="AT404" s="268" t="str">
        <f t="shared" si="472"/>
        <v/>
      </c>
      <c r="AU404" s="268" t="str">
        <f t="shared" si="472"/>
        <v/>
      </c>
      <c r="AV404" s="268" t="str">
        <f t="shared" si="472"/>
        <v/>
      </c>
      <c r="AW404" s="268" t="str">
        <f t="shared" si="472"/>
        <v/>
      </c>
      <c r="AX404" s="268" t="str">
        <f t="shared" si="472"/>
        <v/>
      </c>
      <c r="AY404" s="268" t="str">
        <f t="shared" si="472"/>
        <v/>
      </c>
      <c r="AZ404" s="268" t="str">
        <f t="shared" si="472"/>
        <v/>
      </c>
      <c r="BA404" s="268" t="str">
        <f t="shared" si="472"/>
        <v/>
      </c>
      <c r="BB404" s="268" t="str">
        <f t="shared" si="472"/>
        <v/>
      </c>
      <c r="BC404" s="268" t="str">
        <f t="shared" si="472"/>
        <v/>
      </c>
      <c r="BD404" s="268" t="str">
        <f t="shared" si="472"/>
        <v/>
      </c>
      <c r="BE404" s="268" t="str">
        <f t="shared" si="472"/>
        <v/>
      </c>
      <c r="BF404" s="268" t="str">
        <f t="shared" si="472"/>
        <v/>
      </c>
      <c r="BG404" s="268" t="str">
        <f t="shared" si="472"/>
        <v/>
      </c>
      <c r="BH404" s="268" t="str">
        <f t="shared" si="472"/>
        <v/>
      </c>
      <c r="BI404" s="268" t="str">
        <f t="shared" si="472"/>
        <v/>
      </c>
      <c r="BJ404" s="268" t="str">
        <f t="shared" si="472"/>
        <v/>
      </c>
      <c r="BK404" s="268" t="str">
        <f t="shared" si="472"/>
        <v/>
      </c>
      <c r="BL404" s="268" t="str">
        <f t="shared" si="472"/>
        <v/>
      </c>
      <c r="BM404" s="268" t="str">
        <f t="shared" si="472"/>
        <v/>
      </c>
      <c r="BN404" s="268" t="str">
        <f t="shared" si="472"/>
        <v/>
      </c>
      <c r="BO404" s="268" t="str">
        <f t="shared" si="472"/>
        <v/>
      </c>
      <c r="BP404" s="268" t="str">
        <f t="shared" si="472"/>
        <v/>
      </c>
      <c r="BQ404" s="268" t="str">
        <f t="shared" si="472"/>
        <v/>
      </c>
      <c r="BR404" s="268" t="str">
        <f t="shared" si="472"/>
        <v/>
      </c>
      <c r="BS404" s="268" t="str">
        <f t="shared" si="472"/>
        <v/>
      </c>
      <c r="BT404" s="268" t="str">
        <f t="shared" si="472"/>
        <v/>
      </c>
      <c r="BU404" s="268" t="str">
        <f t="shared" si="456"/>
        <v/>
      </c>
      <c r="BV404" s="247">
        <v>8.45</v>
      </c>
      <c r="BW404" s="729">
        <f t="shared" si="424"/>
        <v>33800</v>
      </c>
      <c r="BX404" s="730">
        <f t="shared" si="425"/>
        <v>261950</v>
      </c>
      <c r="BY404" s="731" t="str">
        <f t="shared" si="426"/>
        <v>SR</v>
      </c>
    </row>
    <row r="405" s="698" customFormat="1" customHeight="1" spans="1:77">
      <c r="A405" s="208">
        <v>46100</v>
      </c>
      <c r="B405" s="208">
        <v>46153</v>
      </c>
      <c r="C405" s="211"/>
      <c r="D405" s="211" t="s">
        <v>575</v>
      </c>
      <c r="E405" s="211" t="s">
        <v>112</v>
      </c>
      <c r="F405" s="732">
        <v>1000</v>
      </c>
      <c r="G405" s="211" t="s">
        <v>510</v>
      </c>
      <c r="H405" s="211" t="str">
        <f>IFERROR(VLOOKUP(E405,名称!A:E,4,0),"")</f>
        <v>三代</v>
      </c>
      <c r="I405" s="268" t="str">
        <f t="shared" ref="I405:BT405" si="473">IF(OR($E405="",I$1=""),"",IF(TRIM(LEFT($E405,MIN(IFERROR(FIND("CDU",UPPER($E405)),999),IFERROR(FIND("BULK",UPPER($E405)),999),IFERROR(FIND("-",$E405),999),IFERROR(FIND("（",$E405),999))-1))=I$1,$F405,""))</f>
        <v/>
      </c>
      <c r="J405" s="268" t="str">
        <f t="shared" si="473"/>
        <v/>
      </c>
      <c r="K405" s="268" t="str">
        <f t="shared" si="473"/>
        <v/>
      </c>
      <c r="L405" s="268" t="str">
        <f t="shared" si="473"/>
        <v/>
      </c>
      <c r="M405" s="268" t="str">
        <f t="shared" si="473"/>
        <v/>
      </c>
      <c r="N405" s="268" t="str">
        <f t="shared" si="473"/>
        <v/>
      </c>
      <c r="O405" s="268" t="str">
        <f t="shared" si="473"/>
        <v/>
      </c>
      <c r="P405" s="268" t="str">
        <f t="shared" si="473"/>
        <v/>
      </c>
      <c r="Q405" s="268" t="str">
        <f t="shared" si="473"/>
        <v/>
      </c>
      <c r="R405" s="268" t="str">
        <f t="shared" si="473"/>
        <v/>
      </c>
      <c r="S405" s="268" t="str">
        <f t="shared" si="473"/>
        <v/>
      </c>
      <c r="T405" s="268" t="str">
        <f t="shared" si="473"/>
        <v/>
      </c>
      <c r="U405" s="268" t="str">
        <f t="shared" si="473"/>
        <v/>
      </c>
      <c r="V405" s="268" t="str">
        <f t="shared" si="473"/>
        <v/>
      </c>
      <c r="W405" s="268" t="str">
        <f t="shared" si="473"/>
        <v/>
      </c>
      <c r="X405" s="268" t="str">
        <f t="shared" si="473"/>
        <v/>
      </c>
      <c r="Y405" s="268" t="str">
        <f t="shared" si="473"/>
        <v/>
      </c>
      <c r="Z405" s="268" t="str">
        <f t="shared" si="473"/>
        <v/>
      </c>
      <c r="AA405" s="268" t="str">
        <f t="shared" si="473"/>
        <v/>
      </c>
      <c r="AB405" s="268" t="str">
        <f t="shared" si="473"/>
        <v/>
      </c>
      <c r="AC405" s="268" t="str">
        <f t="shared" si="473"/>
        <v/>
      </c>
      <c r="AD405" s="268" t="str">
        <f t="shared" si="473"/>
        <v/>
      </c>
      <c r="AE405" s="268" t="str">
        <f t="shared" si="473"/>
        <v/>
      </c>
      <c r="AF405" s="268" t="str">
        <f t="shared" si="473"/>
        <v/>
      </c>
      <c r="AG405" s="268" t="str">
        <f t="shared" si="473"/>
        <v/>
      </c>
      <c r="AH405" s="268" t="str">
        <f t="shared" si="473"/>
        <v/>
      </c>
      <c r="AI405" s="268">
        <f t="shared" si="473"/>
        <v>1000</v>
      </c>
      <c r="AJ405" s="268" t="str">
        <f t="shared" si="473"/>
        <v/>
      </c>
      <c r="AK405" s="268" t="str">
        <f t="shared" si="473"/>
        <v/>
      </c>
      <c r="AL405" s="268" t="str">
        <f t="shared" si="473"/>
        <v/>
      </c>
      <c r="AM405" s="268" t="str">
        <f t="shared" si="473"/>
        <v/>
      </c>
      <c r="AN405" s="268" t="str">
        <f t="shared" si="473"/>
        <v/>
      </c>
      <c r="AO405" s="268" t="str">
        <f t="shared" si="473"/>
        <v/>
      </c>
      <c r="AP405" s="268" t="str">
        <f t="shared" si="473"/>
        <v/>
      </c>
      <c r="AQ405" s="268" t="str">
        <f t="shared" si="473"/>
        <v/>
      </c>
      <c r="AR405" s="268" t="str">
        <f t="shared" si="473"/>
        <v/>
      </c>
      <c r="AS405" s="268" t="str">
        <f t="shared" si="473"/>
        <v/>
      </c>
      <c r="AT405" s="268" t="str">
        <f t="shared" si="473"/>
        <v/>
      </c>
      <c r="AU405" s="268" t="str">
        <f t="shared" si="473"/>
        <v/>
      </c>
      <c r="AV405" s="268" t="str">
        <f t="shared" si="473"/>
        <v/>
      </c>
      <c r="AW405" s="268" t="str">
        <f t="shared" si="473"/>
        <v/>
      </c>
      <c r="AX405" s="268" t="str">
        <f t="shared" si="473"/>
        <v/>
      </c>
      <c r="AY405" s="268" t="str">
        <f t="shared" si="473"/>
        <v/>
      </c>
      <c r="AZ405" s="268" t="str">
        <f t="shared" si="473"/>
        <v/>
      </c>
      <c r="BA405" s="268" t="str">
        <f t="shared" si="473"/>
        <v/>
      </c>
      <c r="BB405" s="268" t="str">
        <f t="shared" si="473"/>
        <v/>
      </c>
      <c r="BC405" s="268" t="str">
        <f t="shared" si="473"/>
        <v/>
      </c>
      <c r="BD405" s="268" t="str">
        <f t="shared" si="473"/>
        <v/>
      </c>
      <c r="BE405" s="268" t="str">
        <f t="shared" si="473"/>
        <v/>
      </c>
      <c r="BF405" s="268" t="str">
        <f t="shared" si="473"/>
        <v/>
      </c>
      <c r="BG405" s="268" t="str">
        <f t="shared" si="473"/>
        <v/>
      </c>
      <c r="BH405" s="268" t="str">
        <f t="shared" si="473"/>
        <v/>
      </c>
      <c r="BI405" s="268" t="str">
        <f t="shared" si="473"/>
        <v/>
      </c>
      <c r="BJ405" s="268" t="str">
        <f t="shared" si="473"/>
        <v/>
      </c>
      <c r="BK405" s="268" t="str">
        <f t="shared" si="473"/>
        <v/>
      </c>
      <c r="BL405" s="268" t="str">
        <f t="shared" si="473"/>
        <v/>
      </c>
      <c r="BM405" s="268" t="str">
        <f t="shared" si="473"/>
        <v/>
      </c>
      <c r="BN405" s="268" t="str">
        <f t="shared" si="473"/>
        <v/>
      </c>
      <c r="BO405" s="268" t="str">
        <f t="shared" si="473"/>
        <v/>
      </c>
      <c r="BP405" s="268" t="str">
        <f t="shared" si="473"/>
        <v/>
      </c>
      <c r="BQ405" s="268" t="str">
        <f t="shared" si="473"/>
        <v/>
      </c>
      <c r="BR405" s="268" t="str">
        <f t="shared" si="473"/>
        <v/>
      </c>
      <c r="BS405" s="268" t="str">
        <f t="shared" si="473"/>
        <v/>
      </c>
      <c r="BT405" s="268" t="str">
        <f t="shared" si="473"/>
        <v/>
      </c>
      <c r="BU405" s="268" t="str">
        <f t="shared" si="456"/>
        <v/>
      </c>
      <c r="BV405" s="247">
        <v>9.39</v>
      </c>
      <c r="BW405" s="729">
        <f t="shared" si="424"/>
        <v>9390</v>
      </c>
      <c r="BX405" s="730">
        <f t="shared" si="425"/>
        <v>72772.5</v>
      </c>
      <c r="BY405" s="731" t="str">
        <f t="shared" si="426"/>
        <v>SR</v>
      </c>
    </row>
    <row r="406" s="698" customFormat="1" customHeight="1" spans="1:77">
      <c r="A406" s="208">
        <v>46100</v>
      </c>
      <c r="B406" s="208">
        <v>46160</v>
      </c>
      <c r="C406" s="211"/>
      <c r="D406" s="211" t="s">
        <v>576</v>
      </c>
      <c r="E406" s="211" t="s">
        <v>55</v>
      </c>
      <c r="F406" s="732">
        <v>12480</v>
      </c>
      <c r="G406" s="211" t="s">
        <v>510</v>
      </c>
      <c r="H406" s="211" t="str">
        <f>IFERROR(VLOOKUP(E406,名称!A:E,4,0),"")</f>
        <v>三代</v>
      </c>
      <c r="I406" s="268" t="str">
        <f t="shared" ref="I406:BT406" si="474">IF(OR($E406="",I$1=""),"",IF(TRIM(LEFT($E406,MIN(IFERROR(FIND("CDU",UPPER($E406)),999),IFERROR(FIND("BULK",UPPER($E406)),999),IFERROR(FIND("-",$E406),999),IFERROR(FIND("（",$E406),999))-1))=I$1,$F406,""))</f>
        <v/>
      </c>
      <c r="J406" s="268" t="str">
        <f t="shared" si="474"/>
        <v/>
      </c>
      <c r="K406" s="268" t="str">
        <f t="shared" si="474"/>
        <v/>
      </c>
      <c r="L406" s="268" t="str">
        <f t="shared" si="474"/>
        <v/>
      </c>
      <c r="M406" s="268" t="str">
        <f t="shared" si="474"/>
        <v/>
      </c>
      <c r="N406" s="268" t="str">
        <f t="shared" si="474"/>
        <v/>
      </c>
      <c r="O406" s="268" t="str">
        <f t="shared" si="474"/>
        <v/>
      </c>
      <c r="P406" s="268" t="str">
        <f t="shared" si="474"/>
        <v/>
      </c>
      <c r="Q406" s="268" t="str">
        <f t="shared" si="474"/>
        <v/>
      </c>
      <c r="R406" s="268" t="str">
        <f t="shared" si="474"/>
        <v/>
      </c>
      <c r="S406" s="268" t="str">
        <f t="shared" si="474"/>
        <v/>
      </c>
      <c r="T406" s="268" t="str">
        <f t="shared" si="474"/>
        <v/>
      </c>
      <c r="U406" s="268" t="str">
        <f t="shared" si="474"/>
        <v/>
      </c>
      <c r="V406" s="268" t="str">
        <f t="shared" si="474"/>
        <v/>
      </c>
      <c r="W406" s="268" t="str">
        <f t="shared" si="474"/>
        <v/>
      </c>
      <c r="X406" s="268" t="str">
        <f t="shared" si="474"/>
        <v/>
      </c>
      <c r="Y406" s="268" t="str">
        <f t="shared" si="474"/>
        <v/>
      </c>
      <c r="Z406" s="268" t="str">
        <f t="shared" si="474"/>
        <v/>
      </c>
      <c r="AA406" s="268" t="str">
        <f t="shared" si="474"/>
        <v/>
      </c>
      <c r="AB406" s="268" t="str">
        <f t="shared" si="474"/>
        <v/>
      </c>
      <c r="AC406" s="268">
        <f t="shared" si="474"/>
        <v>12480</v>
      </c>
      <c r="AD406" s="268" t="str">
        <f t="shared" si="474"/>
        <v/>
      </c>
      <c r="AE406" s="268" t="str">
        <f t="shared" si="474"/>
        <v/>
      </c>
      <c r="AF406" s="268" t="str">
        <f t="shared" si="474"/>
        <v/>
      </c>
      <c r="AG406" s="268" t="str">
        <f t="shared" si="474"/>
        <v/>
      </c>
      <c r="AH406" s="268" t="str">
        <f t="shared" si="474"/>
        <v/>
      </c>
      <c r="AI406" s="268" t="str">
        <f t="shared" si="474"/>
        <v/>
      </c>
      <c r="AJ406" s="268" t="str">
        <f t="shared" si="474"/>
        <v/>
      </c>
      <c r="AK406" s="268" t="str">
        <f t="shared" si="474"/>
        <v/>
      </c>
      <c r="AL406" s="268" t="str">
        <f t="shared" si="474"/>
        <v/>
      </c>
      <c r="AM406" s="268" t="str">
        <f t="shared" si="474"/>
        <v/>
      </c>
      <c r="AN406" s="268" t="str">
        <f t="shared" si="474"/>
        <v/>
      </c>
      <c r="AO406" s="268" t="str">
        <f t="shared" si="474"/>
        <v/>
      </c>
      <c r="AP406" s="268" t="str">
        <f t="shared" si="474"/>
        <v/>
      </c>
      <c r="AQ406" s="268" t="str">
        <f t="shared" si="474"/>
        <v/>
      </c>
      <c r="AR406" s="268" t="str">
        <f t="shared" si="474"/>
        <v/>
      </c>
      <c r="AS406" s="268" t="str">
        <f t="shared" si="474"/>
        <v/>
      </c>
      <c r="AT406" s="268" t="str">
        <f t="shared" si="474"/>
        <v/>
      </c>
      <c r="AU406" s="268" t="str">
        <f t="shared" si="474"/>
        <v/>
      </c>
      <c r="AV406" s="268" t="str">
        <f t="shared" si="474"/>
        <v/>
      </c>
      <c r="AW406" s="268" t="str">
        <f t="shared" si="474"/>
        <v/>
      </c>
      <c r="AX406" s="268" t="str">
        <f t="shared" si="474"/>
        <v/>
      </c>
      <c r="AY406" s="268" t="str">
        <f t="shared" si="474"/>
        <v/>
      </c>
      <c r="AZ406" s="268" t="str">
        <f t="shared" si="474"/>
        <v/>
      </c>
      <c r="BA406" s="268" t="str">
        <f t="shared" si="474"/>
        <v/>
      </c>
      <c r="BB406" s="268" t="str">
        <f t="shared" si="474"/>
        <v/>
      </c>
      <c r="BC406" s="268" t="str">
        <f t="shared" si="474"/>
        <v/>
      </c>
      <c r="BD406" s="268" t="str">
        <f t="shared" si="474"/>
        <v/>
      </c>
      <c r="BE406" s="268" t="str">
        <f t="shared" si="474"/>
        <v/>
      </c>
      <c r="BF406" s="268" t="str">
        <f t="shared" si="474"/>
        <v/>
      </c>
      <c r="BG406" s="268" t="str">
        <f t="shared" si="474"/>
        <v/>
      </c>
      <c r="BH406" s="268" t="str">
        <f t="shared" si="474"/>
        <v/>
      </c>
      <c r="BI406" s="268" t="str">
        <f t="shared" si="474"/>
        <v/>
      </c>
      <c r="BJ406" s="268" t="str">
        <f t="shared" si="474"/>
        <v/>
      </c>
      <c r="BK406" s="268" t="str">
        <f t="shared" si="474"/>
        <v/>
      </c>
      <c r="BL406" s="268" t="str">
        <f t="shared" si="474"/>
        <v/>
      </c>
      <c r="BM406" s="268" t="str">
        <f t="shared" si="474"/>
        <v/>
      </c>
      <c r="BN406" s="268" t="str">
        <f t="shared" si="474"/>
        <v/>
      </c>
      <c r="BO406" s="268" t="str">
        <f t="shared" si="474"/>
        <v/>
      </c>
      <c r="BP406" s="268" t="str">
        <f t="shared" si="474"/>
        <v/>
      </c>
      <c r="BQ406" s="268" t="str">
        <f t="shared" si="474"/>
        <v/>
      </c>
      <c r="BR406" s="268" t="str">
        <f t="shared" si="474"/>
        <v/>
      </c>
      <c r="BS406" s="268" t="str">
        <f t="shared" si="474"/>
        <v/>
      </c>
      <c r="BT406" s="268" t="str">
        <f t="shared" si="474"/>
        <v/>
      </c>
      <c r="BU406" s="268" t="str">
        <f t="shared" si="456"/>
        <v/>
      </c>
      <c r="BV406" s="247">
        <v>0.88</v>
      </c>
      <c r="BW406" s="729">
        <f t="shared" si="424"/>
        <v>10982.4</v>
      </c>
      <c r="BX406" s="730">
        <f t="shared" si="425"/>
        <v>85113.6</v>
      </c>
      <c r="BY406" s="731" t="str">
        <f t="shared" si="426"/>
        <v>SR</v>
      </c>
    </row>
    <row r="407" s="698" customFormat="1" customHeight="1" spans="1:77">
      <c r="A407" s="208">
        <v>46100</v>
      </c>
      <c r="B407" s="208">
        <v>46160</v>
      </c>
      <c r="C407" s="211"/>
      <c r="D407" s="211" t="s">
        <v>576</v>
      </c>
      <c r="E407" s="211" t="s">
        <v>59</v>
      </c>
      <c r="F407" s="732">
        <v>13728</v>
      </c>
      <c r="G407" s="211" t="s">
        <v>510</v>
      </c>
      <c r="H407" s="211" t="str">
        <f>IFERROR(VLOOKUP(E407,名称!A:E,4,0),"")</f>
        <v>三代</v>
      </c>
      <c r="I407" s="268" t="str">
        <f t="shared" ref="I407:BT407" si="475">IF(OR($E407="",I$1=""),"",IF(TRIM(LEFT($E407,MIN(IFERROR(FIND("CDU",UPPER($E407)),999),IFERROR(FIND("BULK",UPPER($E407)),999),IFERROR(FIND("-",$E407),999),IFERROR(FIND("（",$E407),999))-1))=I$1,$F407,""))</f>
        <v/>
      </c>
      <c r="J407" s="268" t="str">
        <f t="shared" si="475"/>
        <v/>
      </c>
      <c r="K407" s="268" t="str">
        <f t="shared" si="475"/>
        <v/>
      </c>
      <c r="L407" s="268" t="str">
        <f t="shared" si="475"/>
        <v/>
      </c>
      <c r="M407" s="268" t="str">
        <f t="shared" si="475"/>
        <v/>
      </c>
      <c r="N407" s="268" t="str">
        <f t="shared" si="475"/>
        <v/>
      </c>
      <c r="O407" s="268" t="str">
        <f t="shared" si="475"/>
        <v/>
      </c>
      <c r="P407" s="268" t="str">
        <f t="shared" si="475"/>
        <v/>
      </c>
      <c r="Q407" s="268" t="str">
        <f t="shared" si="475"/>
        <v/>
      </c>
      <c r="R407" s="268" t="str">
        <f t="shared" si="475"/>
        <v/>
      </c>
      <c r="S407" s="268" t="str">
        <f t="shared" si="475"/>
        <v/>
      </c>
      <c r="T407" s="268" t="str">
        <f t="shared" si="475"/>
        <v/>
      </c>
      <c r="U407" s="268" t="str">
        <f t="shared" si="475"/>
        <v/>
      </c>
      <c r="V407" s="268" t="str">
        <f t="shared" si="475"/>
        <v/>
      </c>
      <c r="W407" s="268" t="str">
        <f t="shared" si="475"/>
        <v/>
      </c>
      <c r="X407" s="268" t="str">
        <f t="shared" si="475"/>
        <v/>
      </c>
      <c r="Y407" s="268" t="str">
        <f t="shared" si="475"/>
        <v/>
      </c>
      <c r="Z407" s="268" t="str">
        <f t="shared" si="475"/>
        <v/>
      </c>
      <c r="AA407" s="268" t="str">
        <f t="shared" si="475"/>
        <v/>
      </c>
      <c r="AB407" s="268" t="str">
        <f t="shared" si="475"/>
        <v/>
      </c>
      <c r="AC407" s="268" t="str">
        <f t="shared" si="475"/>
        <v/>
      </c>
      <c r="AD407" s="268">
        <f t="shared" si="475"/>
        <v>13728</v>
      </c>
      <c r="AE407" s="268" t="str">
        <f t="shared" si="475"/>
        <v/>
      </c>
      <c r="AF407" s="268" t="str">
        <f t="shared" si="475"/>
        <v/>
      </c>
      <c r="AG407" s="268" t="str">
        <f t="shared" si="475"/>
        <v/>
      </c>
      <c r="AH407" s="268" t="str">
        <f t="shared" si="475"/>
        <v/>
      </c>
      <c r="AI407" s="268" t="str">
        <f t="shared" si="475"/>
        <v/>
      </c>
      <c r="AJ407" s="268" t="str">
        <f t="shared" si="475"/>
        <v/>
      </c>
      <c r="AK407" s="268" t="str">
        <f t="shared" si="475"/>
        <v/>
      </c>
      <c r="AL407" s="268" t="str">
        <f t="shared" si="475"/>
        <v/>
      </c>
      <c r="AM407" s="268" t="str">
        <f t="shared" si="475"/>
        <v/>
      </c>
      <c r="AN407" s="268" t="str">
        <f t="shared" si="475"/>
        <v/>
      </c>
      <c r="AO407" s="268" t="str">
        <f t="shared" si="475"/>
        <v/>
      </c>
      <c r="AP407" s="268" t="str">
        <f t="shared" si="475"/>
        <v/>
      </c>
      <c r="AQ407" s="268" t="str">
        <f t="shared" si="475"/>
        <v/>
      </c>
      <c r="AR407" s="268" t="str">
        <f t="shared" si="475"/>
        <v/>
      </c>
      <c r="AS407" s="268" t="str">
        <f t="shared" si="475"/>
        <v/>
      </c>
      <c r="AT407" s="268" t="str">
        <f t="shared" si="475"/>
        <v/>
      </c>
      <c r="AU407" s="268" t="str">
        <f t="shared" si="475"/>
        <v/>
      </c>
      <c r="AV407" s="268" t="str">
        <f t="shared" si="475"/>
        <v/>
      </c>
      <c r="AW407" s="268" t="str">
        <f t="shared" si="475"/>
        <v/>
      </c>
      <c r="AX407" s="268" t="str">
        <f t="shared" si="475"/>
        <v/>
      </c>
      <c r="AY407" s="268" t="str">
        <f t="shared" si="475"/>
        <v/>
      </c>
      <c r="AZ407" s="268" t="str">
        <f t="shared" si="475"/>
        <v/>
      </c>
      <c r="BA407" s="268" t="str">
        <f t="shared" si="475"/>
        <v/>
      </c>
      <c r="BB407" s="268" t="str">
        <f t="shared" si="475"/>
        <v/>
      </c>
      <c r="BC407" s="268" t="str">
        <f t="shared" si="475"/>
        <v/>
      </c>
      <c r="BD407" s="268" t="str">
        <f t="shared" si="475"/>
        <v/>
      </c>
      <c r="BE407" s="268" t="str">
        <f t="shared" si="475"/>
        <v/>
      </c>
      <c r="BF407" s="268" t="str">
        <f t="shared" si="475"/>
        <v/>
      </c>
      <c r="BG407" s="268" t="str">
        <f t="shared" si="475"/>
        <v/>
      </c>
      <c r="BH407" s="268" t="str">
        <f t="shared" si="475"/>
        <v/>
      </c>
      <c r="BI407" s="268" t="str">
        <f t="shared" si="475"/>
        <v/>
      </c>
      <c r="BJ407" s="268" t="str">
        <f t="shared" si="475"/>
        <v/>
      </c>
      <c r="BK407" s="268" t="str">
        <f t="shared" si="475"/>
        <v/>
      </c>
      <c r="BL407" s="268" t="str">
        <f t="shared" si="475"/>
        <v/>
      </c>
      <c r="BM407" s="268" t="str">
        <f t="shared" si="475"/>
        <v/>
      </c>
      <c r="BN407" s="268" t="str">
        <f t="shared" si="475"/>
        <v/>
      </c>
      <c r="BO407" s="268" t="str">
        <f t="shared" si="475"/>
        <v/>
      </c>
      <c r="BP407" s="268" t="str">
        <f t="shared" si="475"/>
        <v/>
      </c>
      <c r="BQ407" s="268" t="str">
        <f t="shared" si="475"/>
        <v/>
      </c>
      <c r="BR407" s="268" t="str">
        <f t="shared" si="475"/>
        <v/>
      </c>
      <c r="BS407" s="268" t="str">
        <f t="shared" si="475"/>
        <v/>
      </c>
      <c r="BT407" s="268" t="str">
        <f t="shared" si="475"/>
        <v/>
      </c>
      <c r="BU407" s="268" t="str">
        <f t="shared" si="456"/>
        <v/>
      </c>
      <c r="BV407" s="247">
        <v>0.62</v>
      </c>
      <c r="BW407" s="729">
        <f t="shared" si="424"/>
        <v>8511.36</v>
      </c>
      <c r="BX407" s="730">
        <f t="shared" si="425"/>
        <v>65963.04</v>
      </c>
      <c r="BY407" s="731" t="str">
        <f t="shared" si="426"/>
        <v>SR</v>
      </c>
    </row>
    <row r="408" s="698" customFormat="1" customHeight="1" spans="1:77">
      <c r="A408" s="208">
        <v>46100</v>
      </c>
      <c r="B408" s="208">
        <v>46160</v>
      </c>
      <c r="C408" s="211"/>
      <c r="D408" s="211" t="s">
        <v>576</v>
      </c>
      <c r="E408" s="211" t="s">
        <v>66</v>
      </c>
      <c r="F408" s="732">
        <v>5496</v>
      </c>
      <c r="G408" s="211" t="s">
        <v>510</v>
      </c>
      <c r="H408" s="211" t="str">
        <f>IFERROR(VLOOKUP(E408,名称!A:E,4,0),"")</f>
        <v>三代</v>
      </c>
      <c r="I408" s="268" t="str">
        <f t="shared" ref="I408:BT408" si="476">IF(OR($E408="",I$1=""),"",IF(TRIM(LEFT($E408,MIN(IFERROR(FIND("CDU",UPPER($E408)),999),IFERROR(FIND("BULK",UPPER($E408)),999),IFERROR(FIND("-",$E408),999),IFERROR(FIND("（",$E408),999))-1))=I$1,$F408,""))</f>
        <v/>
      </c>
      <c r="J408" s="268" t="str">
        <f t="shared" si="476"/>
        <v/>
      </c>
      <c r="K408" s="268" t="str">
        <f t="shared" si="476"/>
        <v/>
      </c>
      <c r="L408" s="268" t="str">
        <f t="shared" si="476"/>
        <v/>
      </c>
      <c r="M408" s="268" t="str">
        <f t="shared" si="476"/>
        <v/>
      </c>
      <c r="N408" s="268" t="str">
        <f t="shared" si="476"/>
        <v/>
      </c>
      <c r="O408" s="268" t="str">
        <f t="shared" si="476"/>
        <v/>
      </c>
      <c r="P408" s="268" t="str">
        <f t="shared" si="476"/>
        <v/>
      </c>
      <c r="Q408" s="268" t="str">
        <f t="shared" si="476"/>
        <v/>
      </c>
      <c r="R408" s="268" t="str">
        <f t="shared" si="476"/>
        <v/>
      </c>
      <c r="S408" s="268" t="str">
        <f t="shared" si="476"/>
        <v/>
      </c>
      <c r="T408" s="268" t="str">
        <f t="shared" si="476"/>
        <v/>
      </c>
      <c r="U408" s="268" t="str">
        <f t="shared" si="476"/>
        <v/>
      </c>
      <c r="V408" s="268" t="str">
        <f t="shared" si="476"/>
        <v/>
      </c>
      <c r="W408" s="268" t="str">
        <f t="shared" si="476"/>
        <v/>
      </c>
      <c r="X408" s="268" t="str">
        <f t="shared" si="476"/>
        <v/>
      </c>
      <c r="Y408" s="268" t="str">
        <f t="shared" si="476"/>
        <v/>
      </c>
      <c r="Z408" s="268" t="str">
        <f t="shared" si="476"/>
        <v/>
      </c>
      <c r="AA408" s="268" t="str">
        <f t="shared" si="476"/>
        <v/>
      </c>
      <c r="AB408" s="268" t="str">
        <f t="shared" si="476"/>
        <v/>
      </c>
      <c r="AC408" s="268" t="str">
        <f t="shared" si="476"/>
        <v/>
      </c>
      <c r="AD408" s="268" t="str">
        <f t="shared" si="476"/>
        <v/>
      </c>
      <c r="AE408" s="268" t="str">
        <f t="shared" si="476"/>
        <v/>
      </c>
      <c r="AF408" s="268" t="str">
        <f t="shared" si="476"/>
        <v/>
      </c>
      <c r="AG408" s="268">
        <f t="shared" si="476"/>
        <v>5496</v>
      </c>
      <c r="AH408" s="268" t="str">
        <f t="shared" si="476"/>
        <v/>
      </c>
      <c r="AI408" s="268" t="str">
        <f t="shared" si="476"/>
        <v/>
      </c>
      <c r="AJ408" s="268" t="str">
        <f t="shared" si="476"/>
        <v/>
      </c>
      <c r="AK408" s="268" t="str">
        <f t="shared" si="476"/>
        <v/>
      </c>
      <c r="AL408" s="268" t="str">
        <f t="shared" si="476"/>
        <v/>
      </c>
      <c r="AM408" s="268" t="str">
        <f t="shared" si="476"/>
        <v/>
      </c>
      <c r="AN408" s="268" t="str">
        <f t="shared" si="476"/>
        <v/>
      </c>
      <c r="AO408" s="268" t="str">
        <f t="shared" si="476"/>
        <v/>
      </c>
      <c r="AP408" s="268" t="str">
        <f t="shared" si="476"/>
        <v/>
      </c>
      <c r="AQ408" s="268" t="str">
        <f t="shared" si="476"/>
        <v/>
      </c>
      <c r="AR408" s="268" t="str">
        <f t="shared" si="476"/>
        <v/>
      </c>
      <c r="AS408" s="268" t="str">
        <f t="shared" si="476"/>
        <v/>
      </c>
      <c r="AT408" s="268" t="str">
        <f t="shared" si="476"/>
        <v/>
      </c>
      <c r="AU408" s="268" t="str">
        <f t="shared" si="476"/>
        <v/>
      </c>
      <c r="AV408" s="268" t="str">
        <f t="shared" si="476"/>
        <v/>
      </c>
      <c r="AW408" s="268" t="str">
        <f t="shared" si="476"/>
        <v/>
      </c>
      <c r="AX408" s="268" t="str">
        <f t="shared" si="476"/>
        <v/>
      </c>
      <c r="AY408" s="268" t="str">
        <f t="shared" si="476"/>
        <v/>
      </c>
      <c r="AZ408" s="268" t="str">
        <f t="shared" si="476"/>
        <v/>
      </c>
      <c r="BA408" s="268" t="str">
        <f t="shared" si="476"/>
        <v/>
      </c>
      <c r="BB408" s="268" t="str">
        <f t="shared" si="476"/>
        <v/>
      </c>
      <c r="BC408" s="268" t="str">
        <f t="shared" si="476"/>
        <v/>
      </c>
      <c r="BD408" s="268" t="str">
        <f t="shared" si="476"/>
        <v/>
      </c>
      <c r="BE408" s="268" t="str">
        <f t="shared" si="476"/>
        <v/>
      </c>
      <c r="BF408" s="268" t="str">
        <f t="shared" si="476"/>
        <v/>
      </c>
      <c r="BG408" s="268" t="str">
        <f t="shared" si="476"/>
        <v/>
      </c>
      <c r="BH408" s="268" t="str">
        <f t="shared" si="476"/>
        <v/>
      </c>
      <c r="BI408" s="268" t="str">
        <f t="shared" si="476"/>
        <v/>
      </c>
      <c r="BJ408" s="268" t="str">
        <f t="shared" si="476"/>
        <v/>
      </c>
      <c r="BK408" s="268" t="str">
        <f t="shared" si="476"/>
        <v/>
      </c>
      <c r="BL408" s="268" t="str">
        <f t="shared" si="476"/>
        <v/>
      </c>
      <c r="BM408" s="268" t="str">
        <f t="shared" si="476"/>
        <v/>
      </c>
      <c r="BN408" s="268" t="str">
        <f t="shared" si="476"/>
        <v/>
      </c>
      <c r="BO408" s="268" t="str">
        <f t="shared" si="476"/>
        <v/>
      </c>
      <c r="BP408" s="268" t="str">
        <f t="shared" si="476"/>
        <v/>
      </c>
      <c r="BQ408" s="268" t="str">
        <f t="shared" si="476"/>
        <v/>
      </c>
      <c r="BR408" s="268" t="str">
        <f t="shared" si="476"/>
        <v/>
      </c>
      <c r="BS408" s="268" t="str">
        <f t="shared" si="476"/>
        <v/>
      </c>
      <c r="BT408" s="268" t="str">
        <f t="shared" si="476"/>
        <v/>
      </c>
      <c r="BU408" s="268" t="str">
        <f t="shared" si="456"/>
        <v/>
      </c>
      <c r="BV408" s="247">
        <v>2.02</v>
      </c>
      <c r="BW408" s="729">
        <f t="shared" si="424"/>
        <v>11101.92</v>
      </c>
      <c r="BX408" s="730">
        <f t="shared" si="425"/>
        <v>86039.88</v>
      </c>
      <c r="BY408" s="731" t="str">
        <f t="shared" si="426"/>
        <v>SR</v>
      </c>
    </row>
    <row r="409" s="698" customFormat="1" customHeight="1" spans="1:77">
      <c r="A409" s="208">
        <v>46100</v>
      </c>
      <c r="B409" s="208">
        <v>46160</v>
      </c>
      <c r="C409" s="211"/>
      <c r="D409" s="211" t="s">
        <v>576</v>
      </c>
      <c r="E409" s="211" t="s">
        <v>68</v>
      </c>
      <c r="F409" s="732">
        <v>1248</v>
      </c>
      <c r="G409" s="211" t="s">
        <v>510</v>
      </c>
      <c r="H409" s="211" t="str">
        <f>IFERROR(VLOOKUP(E409,名称!A:E,4,0),"")</f>
        <v>三代</v>
      </c>
      <c r="I409" s="268" t="str">
        <f t="shared" ref="I409:BT409" si="477">IF(OR($E409="",I$1=""),"",IF(TRIM(LEFT($E409,MIN(IFERROR(FIND("CDU",UPPER($E409)),999),IFERROR(FIND("BULK",UPPER($E409)),999),IFERROR(FIND("-",$E409),999),IFERROR(FIND("（",$E409),999))-1))=I$1,$F409,""))</f>
        <v/>
      </c>
      <c r="J409" s="268" t="str">
        <f t="shared" si="477"/>
        <v/>
      </c>
      <c r="K409" s="268" t="str">
        <f t="shared" si="477"/>
        <v/>
      </c>
      <c r="L409" s="268" t="str">
        <f t="shared" si="477"/>
        <v/>
      </c>
      <c r="M409" s="268" t="str">
        <f t="shared" si="477"/>
        <v/>
      </c>
      <c r="N409" s="268" t="str">
        <f t="shared" si="477"/>
        <v/>
      </c>
      <c r="O409" s="268" t="str">
        <f t="shared" si="477"/>
        <v/>
      </c>
      <c r="P409" s="268" t="str">
        <f t="shared" si="477"/>
        <v/>
      </c>
      <c r="Q409" s="268" t="str">
        <f t="shared" si="477"/>
        <v/>
      </c>
      <c r="R409" s="268" t="str">
        <f t="shared" si="477"/>
        <v/>
      </c>
      <c r="S409" s="268" t="str">
        <f t="shared" si="477"/>
        <v/>
      </c>
      <c r="T409" s="268" t="str">
        <f t="shared" si="477"/>
        <v/>
      </c>
      <c r="U409" s="268" t="str">
        <f t="shared" si="477"/>
        <v/>
      </c>
      <c r="V409" s="268" t="str">
        <f t="shared" si="477"/>
        <v/>
      </c>
      <c r="W409" s="268" t="str">
        <f t="shared" si="477"/>
        <v/>
      </c>
      <c r="X409" s="268" t="str">
        <f t="shared" si="477"/>
        <v/>
      </c>
      <c r="Y409" s="268" t="str">
        <f t="shared" si="477"/>
        <v/>
      </c>
      <c r="Z409" s="268" t="str">
        <f t="shared" si="477"/>
        <v/>
      </c>
      <c r="AA409" s="268" t="str">
        <f t="shared" si="477"/>
        <v/>
      </c>
      <c r="AB409" s="268" t="str">
        <f t="shared" si="477"/>
        <v/>
      </c>
      <c r="AC409" s="268" t="str">
        <f t="shared" si="477"/>
        <v/>
      </c>
      <c r="AD409" s="268" t="str">
        <f t="shared" si="477"/>
        <v/>
      </c>
      <c r="AE409" s="268" t="str">
        <f t="shared" si="477"/>
        <v/>
      </c>
      <c r="AF409" s="268" t="str">
        <f t="shared" si="477"/>
        <v/>
      </c>
      <c r="AG409" s="268" t="str">
        <f t="shared" si="477"/>
        <v/>
      </c>
      <c r="AH409" s="268">
        <f t="shared" si="477"/>
        <v>1248</v>
      </c>
      <c r="AI409" s="268" t="str">
        <f t="shared" si="477"/>
        <v/>
      </c>
      <c r="AJ409" s="268" t="str">
        <f t="shared" si="477"/>
        <v/>
      </c>
      <c r="AK409" s="268" t="str">
        <f t="shared" si="477"/>
        <v/>
      </c>
      <c r="AL409" s="268" t="str">
        <f t="shared" si="477"/>
        <v/>
      </c>
      <c r="AM409" s="268" t="str">
        <f t="shared" si="477"/>
        <v/>
      </c>
      <c r="AN409" s="268" t="str">
        <f t="shared" si="477"/>
        <v/>
      </c>
      <c r="AO409" s="268" t="str">
        <f t="shared" si="477"/>
        <v/>
      </c>
      <c r="AP409" s="268" t="str">
        <f t="shared" si="477"/>
        <v/>
      </c>
      <c r="AQ409" s="268" t="str">
        <f t="shared" si="477"/>
        <v/>
      </c>
      <c r="AR409" s="268" t="str">
        <f t="shared" si="477"/>
        <v/>
      </c>
      <c r="AS409" s="268" t="str">
        <f t="shared" si="477"/>
        <v/>
      </c>
      <c r="AT409" s="268" t="str">
        <f t="shared" si="477"/>
        <v/>
      </c>
      <c r="AU409" s="268" t="str">
        <f t="shared" si="477"/>
        <v/>
      </c>
      <c r="AV409" s="268" t="str">
        <f t="shared" si="477"/>
        <v/>
      </c>
      <c r="AW409" s="268" t="str">
        <f t="shared" si="477"/>
        <v/>
      </c>
      <c r="AX409" s="268" t="str">
        <f t="shared" si="477"/>
        <v/>
      </c>
      <c r="AY409" s="268" t="str">
        <f t="shared" si="477"/>
        <v/>
      </c>
      <c r="AZ409" s="268" t="str">
        <f t="shared" si="477"/>
        <v/>
      </c>
      <c r="BA409" s="268" t="str">
        <f t="shared" si="477"/>
        <v/>
      </c>
      <c r="BB409" s="268" t="str">
        <f t="shared" si="477"/>
        <v/>
      </c>
      <c r="BC409" s="268" t="str">
        <f t="shared" si="477"/>
        <v/>
      </c>
      <c r="BD409" s="268" t="str">
        <f t="shared" si="477"/>
        <v/>
      </c>
      <c r="BE409" s="268" t="str">
        <f t="shared" si="477"/>
        <v/>
      </c>
      <c r="BF409" s="268" t="str">
        <f t="shared" si="477"/>
        <v/>
      </c>
      <c r="BG409" s="268" t="str">
        <f t="shared" si="477"/>
        <v/>
      </c>
      <c r="BH409" s="268" t="str">
        <f t="shared" si="477"/>
        <v/>
      </c>
      <c r="BI409" s="268" t="str">
        <f t="shared" si="477"/>
        <v/>
      </c>
      <c r="BJ409" s="268" t="str">
        <f t="shared" si="477"/>
        <v/>
      </c>
      <c r="BK409" s="268" t="str">
        <f t="shared" si="477"/>
        <v/>
      </c>
      <c r="BL409" s="268" t="str">
        <f t="shared" si="477"/>
        <v/>
      </c>
      <c r="BM409" s="268" t="str">
        <f t="shared" si="477"/>
        <v/>
      </c>
      <c r="BN409" s="268" t="str">
        <f t="shared" si="477"/>
        <v/>
      </c>
      <c r="BO409" s="268" t="str">
        <f t="shared" si="477"/>
        <v/>
      </c>
      <c r="BP409" s="268" t="str">
        <f t="shared" si="477"/>
        <v/>
      </c>
      <c r="BQ409" s="268" t="str">
        <f t="shared" si="477"/>
        <v/>
      </c>
      <c r="BR409" s="268" t="str">
        <f t="shared" si="477"/>
        <v/>
      </c>
      <c r="BS409" s="268" t="str">
        <f t="shared" si="477"/>
        <v/>
      </c>
      <c r="BT409" s="268" t="str">
        <f t="shared" si="477"/>
        <v/>
      </c>
      <c r="BU409" s="268" t="str">
        <f t="shared" si="456"/>
        <v/>
      </c>
      <c r="BV409" s="247">
        <v>3.09</v>
      </c>
      <c r="BW409" s="729">
        <f t="shared" si="424"/>
        <v>3856.32</v>
      </c>
      <c r="BX409" s="730">
        <f t="shared" si="425"/>
        <v>29886.48</v>
      </c>
      <c r="BY409" s="731" t="str">
        <f t="shared" si="426"/>
        <v>SR</v>
      </c>
    </row>
    <row r="410" s="698" customFormat="1" customHeight="1" spans="1:77">
      <c r="A410" s="208">
        <v>46100</v>
      </c>
      <c r="B410" s="208">
        <v>46160</v>
      </c>
      <c r="C410" s="211"/>
      <c r="D410" s="211" t="s">
        <v>576</v>
      </c>
      <c r="E410" s="211" t="s">
        <v>112</v>
      </c>
      <c r="F410" s="732">
        <v>500</v>
      </c>
      <c r="G410" s="211" t="s">
        <v>510</v>
      </c>
      <c r="H410" s="211" t="str">
        <f>IFERROR(VLOOKUP(E410,名称!A:E,4,0),"")</f>
        <v>三代</v>
      </c>
      <c r="I410" s="268" t="str">
        <f t="shared" ref="I410:BT410" si="478">IF(OR($E410="",I$1=""),"",IF(TRIM(LEFT($E410,MIN(IFERROR(FIND("CDU",UPPER($E410)),999),IFERROR(FIND("BULK",UPPER($E410)),999),IFERROR(FIND("-",$E410),999),IFERROR(FIND("（",$E410),999))-1))=I$1,$F410,""))</f>
        <v/>
      </c>
      <c r="J410" s="268" t="str">
        <f t="shared" si="478"/>
        <v/>
      </c>
      <c r="K410" s="268" t="str">
        <f t="shared" si="478"/>
        <v/>
      </c>
      <c r="L410" s="268" t="str">
        <f t="shared" si="478"/>
        <v/>
      </c>
      <c r="M410" s="268" t="str">
        <f t="shared" si="478"/>
        <v/>
      </c>
      <c r="N410" s="268" t="str">
        <f t="shared" si="478"/>
        <v/>
      </c>
      <c r="O410" s="268" t="str">
        <f t="shared" si="478"/>
        <v/>
      </c>
      <c r="P410" s="268" t="str">
        <f t="shared" si="478"/>
        <v/>
      </c>
      <c r="Q410" s="268" t="str">
        <f t="shared" si="478"/>
        <v/>
      </c>
      <c r="R410" s="268" t="str">
        <f t="shared" si="478"/>
        <v/>
      </c>
      <c r="S410" s="268" t="str">
        <f t="shared" si="478"/>
        <v/>
      </c>
      <c r="T410" s="268" t="str">
        <f t="shared" si="478"/>
        <v/>
      </c>
      <c r="U410" s="268" t="str">
        <f t="shared" si="478"/>
        <v/>
      </c>
      <c r="V410" s="268" t="str">
        <f t="shared" si="478"/>
        <v/>
      </c>
      <c r="W410" s="268" t="str">
        <f t="shared" si="478"/>
        <v/>
      </c>
      <c r="X410" s="268" t="str">
        <f t="shared" si="478"/>
        <v/>
      </c>
      <c r="Y410" s="268" t="str">
        <f t="shared" si="478"/>
        <v/>
      </c>
      <c r="Z410" s="268" t="str">
        <f t="shared" si="478"/>
        <v/>
      </c>
      <c r="AA410" s="268" t="str">
        <f t="shared" si="478"/>
        <v/>
      </c>
      <c r="AB410" s="268" t="str">
        <f t="shared" si="478"/>
        <v/>
      </c>
      <c r="AC410" s="268" t="str">
        <f t="shared" si="478"/>
        <v/>
      </c>
      <c r="AD410" s="268" t="str">
        <f t="shared" si="478"/>
        <v/>
      </c>
      <c r="AE410" s="268" t="str">
        <f t="shared" si="478"/>
        <v/>
      </c>
      <c r="AF410" s="268" t="str">
        <f t="shared" si="478"/>
        <v/>
      </c>
      <c r="AG410" s="268" t="str">
        <f t="shared" si="478"/>
        <v/>
      </c>
      <c r="AH410" s="268" t="str">
        <f t="shared" si="478"/>
        <v/>
      </c>
      <c r="AI410" s="268">
        <f t="shared" si="478"/>
        <v>500</v>
      </c>
      <c r="AJ410" s="268" t="str">
        <f t="shared" si="478"/>
        <v/>
      </c>
      <c r="AK410" s="268" t="str">
        <f t="shared" si="478"/>
        <v/>
      </c>
      <c r="AL410" s="268" t="str">
        <f t="shared" si="478"/>
        <v/>
      </c>
      <c r="AM410" s="268" t="str">
        <f t="shared" si="478"/>
        <v/>
      </c>
      <c r="AN410" s="268" t="str">
        <f t="shared" si="478"/>
        <v/>
      </c>
      <c r="AO410" s="268" t="str">
        <f t="shared" si="478"/>
        <v/>
      </c>
      <c r="AP410" s="268" t="str">
        <f t="shared" si="478"/>
        <v/>
      </c>
      <c r="AQ410" s="268" t="str">
        <f t="shared" si="478"/>
        <v/>
      </c>
      <c r="AR410" s="268" t="str">
        <f t="shared" si="478"/>
        <v/>
      </c>
      <c r="AS410" s="268" t="str">
        <f t="shared" si="478"/>
        <v/>
      </c>
      <c r="AT410" s="268" t="str">
        <f t="shared" si="478"/>
        <v/>
      </c>
      <c r="AU410" s="268" t="str">
        <f t="shared" si="478"/>
        <v/>
      </c>
      <c r="AV410" s="268" t="str">
        <f t="shared" si="478"/>
        <v/>
      </c>
      <c r="AW410" s="268" t="str">
        <f t="shared" si="478"/>
        <v/>
      </c>
      <c r="AX410" s="268" t="str">
        <f t="shared" si="478"/>
        <v/>
      </c>
      <c r="AY410" s="268" t="str">
        <f t="shared" si="478"/>
        <v/>
      </c>
      <c r="AZ410" s="268" t="str">
        <f t="shared" si="478"/>
        <v/>
      </c>
      <c r="BA410" s="268" t="str">
        <f t="shared" si="478"/>
        <v/>
      </c>
      <c r="BB410" s="268" t="str">
        <f t="shared" si="478"/>
        <v/>
      </c>
      <c r="BC410" s="268" t="str">
        <f t="shared" si="478"/>
        <v/>
      </c>
      <c r="BD410" s="268" t="str">
        <f t="shared" si="478"/>
        <v/>
      </c>
      <c r="BE410" s="268" t="str">
        <f t="shared" si="478"/>
        <v/>
      </c>
      <c r="BF410" s="268" t="str">
        <f t="shared" si="478"/>
        <v/>
      </c>
      <c r="BG410" s="268" t="str">
        <f t="shared" si="478"/>
        <v/>
      </c>
      <c r="BH410" s="268" t="str">
        <f t="shared" si="478"/>
        <v/>
      </c>
      <c r="BI410" s="268" t="str">
        <f t="shared" si="478"/>
        <v/>
      </c>
      <c r="BJ410" s="268" t="str">
        <f t="shared" si="478"/>
        <v/>
      </c>
      <c r="BK410" s="268" t="str">
        <f t="shared" si="478"/>
        <v/>
      </c>
      <c r="BL410" s="268" t="str">
        <f t="shared" si="478"/>
        <v/>
      </c>
      <c r="BM410" s="268" t="str">
        <f t="shared" si="478"/>
        <v/>
      </c>
      <c r="BN410" s="268" t="str">
        <f t="shared" si="478"/>
        <v/>
      </c>
      <c r="BO410" s="268" t="str">
        <f t="shared" si="478"/>
        <v/>
      </c>
      <c r="BP410" s="268" t="str">
        <f t="shared" si="478"/>
        <v/>
      </c>
      <c r="BQ410" s="268" t="str">
        <f t="shared" si="478"/>
        <v/>
      </c>
      <c r="BR410" s="268" t="str">
        <f t="shared" si="478"/>
        <v/>
      </c>
      <c r="BS410" s="268" t="str">
        <f t="shared" si="478"/>
        <v/>
      </c>
      <c r="BT410" s="268" t="str">
        <f t="shared" si="478"/>
        <v/>
      </c>
      <c r="BU410" s="268" t="str">
        <f t="shared" si="456"/>
        <v/>
      </c>
      <c r="BV410" s="247">
        <v>9.12</v>
      </c>
      <c r="BW410" s="729">
        <f t="shared" si="424"/>
        <v>4560</v>
      </c>
      <c r="BX410" s="730">
        <f t="shared" si="425"/>
        <v>35340</v>
      </c>
      <c r="BY410" s="731" t="str">
        <f t="shared" si="426"/>
        <v>SR</v>
      </c>
    </row>
    <row r="411" s="698" customFormat="1" customHeight="1" spans="1:77">
      <c r="A411" s="208">
        <v>46100</v>
      </c>
      <c r="B411" s="208">
        <v>46160</v>
      </c>
      <c r="C411" s="211"/>
      <c r="D411" s="211" t="s">
        <v>576</v>
      </c>
      <c r="E411" s="211" t="s">
        <v>85</v>
      </c>
      <c r="F411" s="732">
        <v>19968</v>
      </c>
      <c r="G411" s="211" t="s">
        <v>510</v>
      </c>
      <c r="H411" s="211" t="str">
        <f>IFERROR(VLOOKUP(E411,名称!A:E,4,0),"")</f>
        <v>三代</v>
      </c>
      <c r="I411" s="268" t="str">
        <f t="shared" ref="I411:BT411" si="479">IF(OR($E411="",I$1=""),"",IF(TRIM(LEFT($E411,MIN(IFERROR(FIND("CDU",UPPER($E411)),999),IFERROR(FIND("BULK",UPPER($E411)),999),IFERROR(FIND("-",$E411),999),IFERROR(FIND("（",$E411),999))-1))=I$1,$F411,""))</f>
        <v/>
      </c>
      <c r="J411" s="268" t="str">
        <f t="shared" si="479"/>
        <v/>
      </c>
      <c r="K411" s="268" t="str">
        <f t="shared" si="479"/>
        <v/>
      </c>
      <c r="L411" s="268" t="str">
        <f t="shared" si="479"/>
        <v/>
      </c>
      <c r="M411" s="268" t="str">
        <f t="shared" si="479"/>
        <v/>
      </c>
      <c r="N411" s="268" t="str">
        <f t="shared" si="479"/>
        <v/>
      </c>
      <c r="O411" s="268" t="str">
        <f t="shared" si="479"/>
        <v/>
      </c>
      <c r="P411" s="268" t="str">
        <f t="shared" si="479"/>
        <v/>
      </c>
      <c r="Q411" s="268" t="str">
        <f t="shared" si="479"/>
        <v/>
      </c>
      <c r="R411" s="268" t="str">
        <f t="shared" si="479"/>
        <v/>
      </c>
      <c r="S411" s="268" t="str">
        <f t="shared" si="479"/>
        <v/>
      </c>
      <c r="T411" s="268" t="str">
        <f t="shared" si="479"/>
        <v/>
      </c>
      <c r="U411" s="268" t="str">
        <f t="shared" si="479"/>
        <v/>
      </c>
      <c r="V411" s="268" t="str">
        <f t="shared" si="479"/>
        <v/>
      </c>
      <c r="W411" s="268" t="str">
        <f t="shared" si="479"/>
        <v/>
      </c>
      <c r="X411" s="268" t="str">
        <f t="shared" si="479"/>
        <v/>
      </c>
      <c r="Y411" s="268" t="str">
        <f t="shared" si="479"/>
        <v/>
      </c>
      <c r="Z411" s="268" t="str">
        <f t="shared" si="479"/>
        <v/>
      </c>
      <c r="AA411" s="268" t="str">
        <f t="shared" si="479"/>
        <v/>
      </c>
      <c r="AB411" s="268" t="str">
        <f t="shared" si="479"/>
        <v/>
      </c>
      <c r="AC411" s="268" t="str">
        <f t="shared" si="479"/>
        <v/>
      </c>
      <c r="AD411" s="268" t="str">
        <f t="shared" si="479"/>
        <v/>
      </c>
      <c r="AE411" s="268" t="str">
        <f t="shared" si="479"/>
        <v/>
      </c>
      <c r="AF411" s="268" t="str">
        <f t="shared" si="479"/>
        <v/>
      </c>
      <c r="AG411" s="268" t="str">
        <f t="shared" si="479"/>
        <v/>
      </c>
      <c r="AH411" s="268" t="str">
        <f t="shared" si="479"/>
        <v/>
      </c>
      <c r="AI411" s="268" t="str">
        <f t="shared" si="479"/>
        <v/>
      </c>
      <c r="AJ411" s="268" t="str">
        <f t="shared" si="479"/>
        <v/>
      </c>
      <c r="AK411" s="268" t="str">
        <f t="shared" si="479"/>
        <v/>
      </c>
      <c r="AL411" s="268" t="str">
        <f t="shared" si="479"/>
        <v/>
      </c>
      <c r="AM411" s="268" t="str">
        <f t="shared" si="479"/>
        <v/>
      </c>
      <c r="AN411" s="268">
        <f t="shared" si="479"/>
        <v>19968</v>
      </c>
      <c r="AO411" s="268" t="str">
        <f t="shared" si="479"/>
        <v/>
      </c>
      <c r="AP411" s="268" t="str">
        <f t="shared" si="479"/>
        <v/>
      </c>
      <c r="AQ411" s="268" t="str">
        <f t="shared" si="479"/>
        <v/>
      </c>
      <c r="AR411" s="268" t="str">
        <f t="shared" si="479"/>
        <v/>
      </c>
      <c r="AS411" s="268" t="str">
        <f t="shared" si="479"/>
        <v/>
      </c>
      <c r="AT411" s="268" t="str">
        <f t="shared" si="479"/>
        <v/>
      </c>
      <c r="AU411" s="268" t="str">
        <f t="shared" si="479"/>
        <v/>
      </c>
      <c r="AV411" s="268" t="str">
        <f t="shared" si="479"/>
        <v/>
      </c>
      <c r="AW411" s="268" t="str">
        <f t="shared" si="479"/>
        <v/>
      </c>
      <c r="AX411" s="268" t="str">
        <f t="shared" si="479"/>
        <v/>
      </c>
      <c r="AY411" s="268" t="str">
        <f t="shared" si="479"/>
        <v/>
      </c>
      <c r="AZ411" s="268" t="str">
        <f t="shared" si="479"/>
        <v/>
      </c>
      <c r="BA411" s="268" t="str">
        <f t="shared" si="479"/>
        <v/>
      </c>
      <c r="BB411" s="268" t="str">
        <f t="shared" si="479"/>
        <v/>
      </c>
      <c r="BC411" s="268" t="str">
        <f t="shared" si="479"/>
        <v/>
      </c>
      <c r="BD411" s="268" t="str">
        <f t="shared" si="479"/>
        <v/>
      </c>
      <c r="BE411" s="268" t="str">
        <f t="shared" si="479"/>
        <v/>
      </c>
      <c r="BF411" s="268" t="str">
        <f t="shared" si="479"/>
        <v/>
      </c>
      <c r="BG411" s="268" t="str">
        <f t="shared" si="479"/>
        <v/>
      </c>
      <c r="BH411" s="268" t="str">
        <f t="shared" si="479"/>
        <v/>
      </c>
      <c r="BI411" s="268" t="str">
        <f t="shared" si="479"/>
        <v/>
      </c>
      <c r="BJ411" s="268" t="str">
        <f t="shared" si="479"/>
        <v/>
      </c>
      <c r="BK411" s="268" t="str">
        <f t="shared" si="479"/>
        <v/>
      </c>
      <c r="BL411" s="268" t="str">
        <f t="shared" si="479"/>
        <v/>
      </c>
      <c r="BM411" s="268" t="str">
        <f t="shared" si="479"/>
        <v/>
      </c>
      <c r="BN411" s="268" t="str">
        <f t="shared" si="479"/>
        <v/>
      </c>
      <c r="BO411" s="268" t="str">
        <f t="shared" si="479"/>
        <v/>
      </c>
      <c r="BP411" s="268" t="str">
        <f t="shared" si="479"/>
        <v/>
      </c>
      <c r="BQ411" s="268" t="str">
        <f t="shared" si="479"/>
        <v/>
      </c>
      <c r="BR411" s="268" t="str">
        <f t="shared" si="479"/>
        <v/>
      </c>
      <c r="BS411" s="268" t="str">
        <f t="shared" si="479"/>
        <v/>
      </c>
      <c r="BT411" s="268" t="str">
        <f t="shared" si="479"/>
        <v/>
      </c>
      <c r="BU411" s="268" t="str">
        <f t="shared" si="456"/>
        <v/>
      </c>
      <c r="BV411" s="247">
        <v>0.88</v>
      </c>
      <c r="BW411" s="729">
        <f t="shared" si="424"/>
        <v>17571.84</v>
      </c>
      <c r="BX411" s="730">
        <f t="shared" si="425"/>
        <v>136181.76</v>
      </c>
      <c r="BY411" s="731" t="str">
        <f t="shared" si="426"/>
        <v>SR</v>
      </c>
    </row>
    <row r="412" s="698" customFormat="1" customHeight="1" spans="1:77">
      <c r="A412" s="208">
        <v>46031</v>
      </c>
      <c r="B412" s="208">
        <v>46142</v>
      </c>
      <c r="C412" s="211" t="s">
        <v>577</v>
      </c>
      <c r="D412" s="211" t="s">
        <v>578</v>
      </c>
      <c r="E412" s="211" t="s">
        <v>63</v>
      </c>
      <c r="F412" s="732">
        <v>16800</v>
      </c>
      <c r="G412" s="211" t="s">
        <v>270</v>
      </c>
      <c r="H412" s="211" t="str">
        <f>IFERROR(VLOOKUP(E412,名称!A:E,4,0),"")</f>
        <v>三代</v>
      </c>
      <c r="I412" s="268" t="str">
        <f t="shared" ref="I412:BT412" si="480">IF(OR($E412="",I$1=""),"",IF(TRIM(LEFT($E412,MIN(IFERROR(FIND("CDU",UPPER($E412)),999),IFERROR(FIND("BULK",UPPER($E412)),999),IFERROR(FIND("-",$E412),999),IFERROR(FIND("（",$E412),999))-1))=I$1,$F412,""))</f>
        <v/>
      </c>
      <c r="J412" s="268" t="str">
        <f t="shared" si="480"/>
        <v/>
      </c>
      <c r="K412" s="268" t="str">
        <f t="shared" si="480"/>
        <v/>
      </c>
      <c r="L412" s="268" t="str">
        <f t="shared" si="480"/>
        <v/>
      </c>
      <c r="M412" s="268" t="str">
        <f t="shared" si="480"/>
        <v/>
      </c>
      <c r="N412" s="268" t="str">
        <f t="shared" si="480"/>
        <v/>
      </c>
      <c r="O412" s="268" t="str">
        <f t="shared" si="480"/>
        <v/>
      </c>
      <c r="P412" s="268" t="str">
        <f t="shared" si="480"/>
        <v/>
      </c>
      <c r="Q412" s="268" t="str">
        <f t="shared" si="480"/>
        <v/>
      </c>
      <c r="R412" s="268" t="str">
        <f t="shared" si="480"/>
        <v/>
      </c>
      <c r="S412" s="268" t="str">
        <f t="shared" si="480"/>
        <v/>
      </c>
      <c r="T412" s="268" t="str">
        <f t="shared" si="480"/>
        <v/>
      </c>
      <c r="U412" s="268" t="str">
        <f t="shared" si="480"/>
        <v/>
      </c>
      <c r="V412" s="268" t="str">
        <f t="shared" si="480"/>
        <v/>
      </c>
      <c r="W412" s="268" t="str">
        <f t="shared" si="480"/>
        <v/>
      </c>
      <c r="X412" s="268" t="str">
        <f t="shared" si="480"/>
        <v/>
      </c>
      <c r="Y412" s="268" t="str">
        <f t="shared" si="480"/>
        <v/>
      </c>
      <c r="Z412" s="268" t="str">
        <f t="shared" si="480"/>
        <v/>
      </c>
      <c r="AA412" s="268" t="str">
        <f t="shared" si="480"/>
        <v/>
      </c>
      <c r="AB412" s="268" t="str">
        <f t="shared" si="480"/>
        <v/>
      </c>
      <c r="AC412" s="268" t="str">
        <f t="shared" si="480"/>
        <v/>
      </c>
      <c r="AD412" s="268" t="str">
        <f t="shared" si="480"/>
        <v/>
      </c>
      <c r="AE412" s="268" t="str">
        <f t="shared" si="480"/>
        <v/>
      </c>
      <c r="AF412" s="268">
        <f t="shared" si="480"/>
        <v>16800</v>
      </c>
      <c r="AG412" s="268" t="str">
        <f t="shared" si="480"/>
        <v/>
      </c>
      <c r="AH412" s="268" t="str">
        <f t="shared" si="480"/>
        <v/>
      </c>
      <c r="AI412" s="268" t="str">
        <f t="shared" si="480"/>
        <v/>
      </c>
      <c r="AJ412" s="268" t="str">
        <f t="shared" si="480"/>
        <v/>
      </c>
      <c r="AK412" s="268" t="str">
        <f t="shared" si="480"/>
        <v/>
      </c>
      <c r="AL412" s="268" t="str">
        <f t="shared" si="480"/>
        <v/>
      </c>
      <c r="AM412" s="268" t="str">
        <f t="shared" si="480"/>
        <v/>
      </c>
      <c r="AN412" s="268" t="str">
        <f t="shared" si="480"/>
        <v/>
      </c>
      <c r="AO412" s="268" t="str">
        <f t="shared" si="480"/>
        <v/>
      </c>
      <c r="AP412" s="268" t="str">
        <f t="shared" si="480"/>
        <v/>
      </c>
      <c r="AQ412" s="268" t="str">
        <f t="shared" si="480"/>
        <v/>
      </c>
      <c r="AR412" s="268" t="str">
        <f t="shared" si="480"/>
        <v/>
      </c>
      <c r="AS412" s="268" t="str">
        <f t="shared" si="480"/>
        <v/>
      </c>
      <c r="AT412" s="268" t="str">
        <f t="shared" si="480"/>
        <v/>
      </c>
      <c r="AU412" s="268" t="str">
        <f t="shared" si="480"/>
        <v/>
      </c>
      <c r="AV412" s="268" t="str">
        <f t="shared" si="480"/>
        <v/>
      </c>
      <c r="AW412" s="268" t="str">
        <f t="shared" si="480"/>
        <v/>
      </c>
      <c r="AX412" s="268" t="str">
        <f t="shared" si="480"/>
        <v/>
      </c>
      <c r="AY412" s="268" t="str">
        <f t="shared" si="480"/>
        <v/>
      </c>
      <c r="AZ412" s="268" t="str">
        <f t="shared" si="480"/>
        <v/>
      </c>
      <c r="BA412" s="268" t="str">
        <f t="shared" si="480"/>
        <v/>
      </c>
      <c r="BB412" s="268" t="str">
        <f t="shared" si="480"/>
        <v/>
      </c>
      <c r="BC412" s="268" t="str">
        <f t="shared" si="480"/>
        <v/>
      </c>
      <c r="BD412" s="268" t="str">
        <f t="shared" si="480"/>
        <v/>
      </c>
      <c r="BE412" s="268" t="str">
        <f t="shared" si="480"/>
        <v/>
      </c>
      <c r="BF412" s="268" t="str">
        <f t="shared" si="480"/>
        <v/>
      </c>
      <c r="BG412" s="268" t="str">
        <f t="shared" si="480"/>
        <v/>
      </c>
      <c r="BH412" s="268" t="str">
        <f t="shared" si="480"/>
        <v/>
      </c>
      <c r="BI412" s="268" t="str">
        <f t="shared" si="480"/>
        <v/>
      </c>
      <c r="BJ412" s="268" t="str">
        <f t="shared" si="480"/>
        <v/>
      </c>
      <c r="BK412" s="268" t="str">
        <f t="shared" si="480"/>
        <v/>
      </c>
      <c r="BL412" s="268" t="str">
        <f t="shared" si="480"/>
        <v/>
      </c>
      <c r="BM412" s="268" t="str">
        <f t="shared" si="480"/>
        <v/>
      </c>
      <c r="BN412" s="268" t="str">
        <f t="shared" si="480"/>
        <v/>
      </c>
      <c r="BO412" s="268" t="str">
        <f t="shared" si="480"/>
        <v/>
      </c>
      <c r="BP412" s="268" t="str">
        <f t="shared" si="480"/>
        <v/>
      </c>
      <c r="BQ412" s="268" t="str">
        <f t="shared" si="480"/>
        <v/>
      </c>
      <c r="BR412" s="268" t="str">
        <f t="shared" si="480"/>
        <v/>
      </c>
      <c r="BS412" s="268" t="str">
        <f t="shared" si="480"/>
        <v/>
      </c>
      <c r="BT412" s="268" t="str">
        <f t="shared" si="480"/>
        <v/>
      </c>
      <c r="BU412" s="268" t="str">
        <f t="shared" si="456"/>
        <v/>
      </c>
      <c r="BV412" s="247">
        <v>0.62</v>
      </c>
      <c r="BW412" s="729">
        <f t="shared" si="424"/>
        <v>10416</v>
      </c>
      <c r="BX412" s="730">
        <f t="shared" si="425"/>
        <v>80724</v>
      </c>
      <c r="BY412" s="731" t="str">
        <f t="shared" si="426"/>
        <v>SR</v>
      </c>
    </row>
    <row r="413" s="698" customFormat="1" customHeight="1" spans="1:77">
      <c r="A413" s="208">
        <v>46106</v>
      </c>
      <c r="B413" s="208">
        <v>46167</v>
      </c>
      <c r="C413" s="211"/>
      <c r="D413" s="211" t="s">
        <v>579</v>
      </c>
      <c r="E413" s="211" t="s">
        <v>119</v>
      </c>
      <c r="F413" s="732">
        <v>18504</v>
      </c>
      <c r="G413" s="211" t="s">
        <v>510</v>
      </c>
      <c r="H413" s="211" t="str">
        <f>IFERROR(VLOOKUP(E413,名称!A:E,4,0),"")</f>
        <v>三代</v>
      </c>
      <c r="I413" s="268" t="str">
        <f t="shared" ref="I413:BT413" si="481">IF(OR($E413="",I$1=""),"",IF(TRIM(LEFT($E413,MIN(IFERROR(FIND("CDU",UPPER($E413)),999),IFERROR(FIND("BULK",UPPER($E413)),999),IFERROR(FIND("-",$E413),999),IFERROR(FIND("（",$E413),999))-1))=I$1,$F413,""))</f>
        <v/>
      </c>
      <c r="J413" s="268" t="str">
        <f t="shared" si="481"/>
        <v/>
      </c>
      <c r="K413" s="268" t="str">
        <f t="shared" si="481"/>
        <v/>
      </c>
      <c r="L413" s="268" t="str">
        <f t="shared" si="481"/>
        <v/>
      </c>
      <c r="M413" s="268" t="str">
        <f t="shared" si="481"/>
        <v/>
      </c>
      <c r="N413" s="268" t="str">
        <f t="shared" si="481"/>
        <v/>
      </c>
      <c r="O413" s="268" t="str">
        <f t="shared" si="481"/>
        <v/>
      </c>
      <c r="P413" s="268" t="str">
        <f t="shared" si="481"/>
        <v/>
      </c>
      <c r="Q413" s="268" t="str">
        <f t="shared" si="481"/>
        <v/>
      </c>
      <c r="R413" s="268" t="str">
        <f t="shared" si="481"/>
        <v/>
      </c>
      <c r="S413" s="268" t="str">
        <f t="shared" si="481"/>
        <v/>
      </c>
      <c r="T413" s="268" t="str">
        <f t="shared" si="481"/>
        <v/>
      </c>
      <c r="U413" s="268" t="str">
        <f t="shared" si="481"/>
        <v/>
      </c>
      <c r="V413" s="268" t="str">
        <f t="shared" si="481"/>
        <v/>
      </c>
      <c r="W413" s="268" t="str">
        <f t="shared" si="481"/>
        <v/>
      </c>
      <c r="X413" s="268" t="str">
        <f t="shared" si="481"/>
        <v/>
      </c>
      <c r="Y413" s="268" t="str">
        <f t="shared" si="481"/>
        <v/>
      </c>
      <c r="Z413" s="268" t="str">
        <f t="shared" si="481"/>
        <v/>
      </c>
      <c r="AA413" s="268" t="str">
        <f t="shared" si="481"/>
        <v/>
      </c>
      <c r="AB413" s="268" t="str">
        <f t="shared" si="481"/>
        <v/>
      </c>
      <c r="AC413" s="268" t="str">
        <f t="shared" si="481"/>
        <v/>
      </c>
      <c r="AD413" s="268" t="str">
        <f t="shared" si="481"/>
        <v/>
      </c>
      <c r="AE413" s="268" t="str">
        <f t="shared" si="481"/>
        <v/>
      </c>
      <c r="AF413" s="268" t="str">
        <f t="shared" si="481"/>
        <v/>
      </c>
      <c r="AG413" s="268" t="str">
        <f t="shared" si="481"/>
        <v/>
      </c>
      <c r="AH413" s="268" t="str">
        <f t="shared" si="481"/>
        <v/>
      </c>
      <c r="AI413" s="268" t="str">
        <f t="shared" si="481"/>
        <v/>
      </c>
      <c r="AJ413" s="268" t="str">
        <f t="shared" si="481"/>
        <v/>
      </c>
      <c r="AK413" s="268" t="str">
        <f t="shared" si="481"/>
        <v/>
      </c>
      <c r="AL413" s="268" t="str">
        <f t="shared" si="481"/>
        <v/>
      </c>
      <c r="AM413" s="268" t="str">
        <f t="shared" si="481"/>
        <v/>
      </c>
      <c r="AN413" s="268" t="str">
        <f t="shared" si="481"/>
        <v/>
      </c>
      <c r="AO413" s="268" t="str">
        <f t="shared" si="481"/>
        <v/>
      </c>
      <c r="AP413" s="268">
        <f t="shared" si="481"/>
        <v>18504</v>
      </c>
      <c r="AQ413" s="268" t="str">
        <f t="shared" si="481"/>
        <v/>
      </c>
      <c r="AR413" s="268" t="str">
        <f t="shared" si="481"/>
        <v/>
      </c>
      <c r="AS413" s="268" t="str">
        <f t="shared" si="481"/>
        <v/>
      </c>
      <c r="AT413" s="268" t="str">
        <f t="shared" si="481"/>
        <v/>
      </c>
      <c r="AU413" s="268" t="str">
        <f t="shared" si="481"/>
        <v/>
      </c>
      <c r="AV413" s="268" t="str">
        <f t="shared" si="481"/>
        <v/>
      </c>
      <c r="AW413" s="268" t="str">
        <f t="shared" si="481"/>
        <v/>
      </c>
      <c r="AX413" s="268" t="str">
        <f t="shared" si="481"/>
        <v/>
      </c>
      <c r="AY413" s="268" t="str">
        <f t="shared" si="481"/>
        <v/>
      </c>
      <c r="AZ413" s="268" t="str">
        <f t="shared" si="481"/>
        <v/>
      </c>
      <c r="BA413" s="268" t="str">
        <f t="shared" si="481"/>
        <v/>
      </c>
      <c r="BB413" s="268" t="str">
        <f t="shared" si="481"/>
        <v/>
      </c>
      <c r="BC413" s="268" t="str">
        <f t="shared" si="481"/>
        <v/>
      </c>
      <c r="BD413" s="268" t="str">
        <f t="shared" si="481"/>
        <v/>
      </c>
      <c r="BE413" s="268" t="str">
        <f t="shared" si="481"/>
        <v/>
      </c>
      <c r="BF413" s="268" t="str">
        <f t="shared" si="481"/>
        <v/>
      </c>
      <c r="BG413" s="268" t="str">
        <f t="shared" si="481"/>
        <v/>
      </c>
      <c r="BH413" s="268" t="str">
        <f t="shared" si="481"/>
        <v/>
      </c>
      <c r="BI413" s="268" t="str">
        <f t="shared" si="481"/>
        <v/>
      </c>
      <c r="BJ413" s="268" t="str">
        <f t="shared" si="481"/>
        <v/>
      </c>
      <c r="BK413" s="268" t="str">
        <f t="shared" si="481"/>
        <v/>
      </c>
      <c r="BL413" s="268" t="str">
        <f t="shared" si="481"/>
        <v/>
      </c>
      <c r="BM413" s="268" t="str">
        <f t="shared" si="481"/>
        <v/>
      </c>
      <c r="BN413" s="268" t="str">
        <f t="shared" si="481"/>
        <v/>
      </c>
      <c r="BO413" s="268" t="str">
        <f t="shared" si="481"/>
        <v/>
      </c>
      <c r="BP413" s="268" t="str">
        <f t="shared" si="481"/>
        <v/>
      </c>
      <c r="BQ413" s="268" t="str">
        <f t="shared" si="481"/>
        <v/>
      </c>
      <c r="BR413" s="268" t="str">
        <f t="shared" si="481"/>
        <v/>
      </c>
      <c r="BS413" s="268" t="str">
        <f t="shared" si="481"/>
        <v/>
      </c>
      <c r="BT413" s="268" t="str">
        <f t="shared" si="481"/>
        <v/>
      </c>
      <c r="BU413" s="268" t="str">
        <f t="shared" si="456"/>
        <v/>
      </c>
      <c r="BV413" s="247">
        <v>0.61</v>
      </c>
      <c r="BW413" s="729">
        <f t="shared" si="424"/>
        <v>11287.44</v>
      </c>
      <c r="BX413" s="730">
        <f t="shared" si="425"/>
        <v>87477.66</v>
      </c>
      <c r="BY413" s="731" t="str">
        <f t="shared" si="426"/>
        <v>SR</v>
      </c>
    </row>
    <row r="414" s="698" customFormat="1" customHeight="1" spans="1:77">
      <c r="A414" s="256">
        <v>46106</v>
      </c>
      <c r="B414" s="256">
        <v>46167</v>
      </c>
      <c r="C414" s="257"/>
      <c r="D414" s="257" t="s">
        <v>579</v>
      </c>
      <c r="E414" s="257" t="s">
        <v>119</v>
      </c>
      <c r="F414" s="727">
        <f>22272-18504</f>
        <v>3768</v>
      </c>
      <c r="G414" s="257" t="s">
        <v>510</v>
      </c>
      <c r="H414" s="257" t="str">
        <f>IFERROR(VLOOKUP(E414,名称!A:E,4,0),"")</f>
        <v>三代</v>
      </c>
      <c r="I414" s="267" t="str">
        <f t="shared" ref="I414:BT414" si="482">IF(OR($E414="",I$1=""),"",IF(TRIM(LEFT($E414,MIN(IFERROR(FIND("CDU",UPPER($E414)),999),IFERROR(FIND("BULK",UPPER($E414)),999),IFERROR(FIND("-",$E414),999),IFERROR(FIND("（",$E414),999))-1))=I$1,$F414,""))</f>
        <v/>
      </c>
      <c r="J414" s="267" t="str">
        <f t="shared" si="482"/>
        <v/>
      </c>
      <c r="K414" s="267" t="str">
        <f t="shared" si="482"/>
        <v/>
      </c>
      <c r="L414" s="267" t="str">
        <f t="shared" si="482"/>
        <v/>
      </c>
      <c r="M414" s="267" t="str">
        <f t="shared" si="482"/>
        <v/>
      </c>
      <c r="N414" s="267" t="str">
        <f t="shared" si="482"/>
        <v/>
      </c>
      <c r="O414" s="267" t="str">
        <f t="shared" si="482"/>
        <v/>
      </c>
      <c r="P414" s="267" t="str">
        <f t="shared" si="482"/>
        <v/>
      </c>
      <c r="Q414" s="267" t="str">
        <f t="shared" si="482"/>
        <v/>
      </c>
      <c r="R414" s="267" t="str">
        <f t="shared" si="482"/>
        <v/>
      </c>
      <c r="S414" s="267" t="str">
        <f t="shared" si="482"/>
        <v/>
      </c>
      <c r="T414" s="267" t="str">
        <f t="shared" si="482"/>
        <v/>
      </c>
      <c r="U414" s="267" t="str">
        <f t="shared" si="482"/>
        <v/>
      </c>
      <c r="V414" s="267" t="str">
        <f t="shared" si="482"/>
        <v/>
      </c>
      <c r="W414" s="267" t="str">
        <f t="shared" si="482"/>
        <v/>
      </c>
      <c r="X414" s="267" t="str">
        <f t="shared" si="482"/>
        <v/>
      </c>
      <c r="Y414" s="267" t="str">
        <f t="shared" si="482"/>
        <v/>
      </c>
      <c r="Z414" s="267" t="str">
        <f t="shared" si="482"/>
        <v/>
      </c>
      <c r="AA414" s="267" t="str">
        <f t="shared" si="482"/>
        <v/>
      </c>
      <c r="AB414" s="267" t="str">
        <f t="shared" si="482"/>
        <v/>
      </c>
      <c r="AC414" s="267" t="str">
        <f t="shared" si="482"/>
        <v/>
      </c>
      <c r="AD414" s="267" t="str">
        <f t="shared" si="482"/>
        <v/>
      </c>
      <c r="AE414" s="267" t="str">
        <f t="shared" si="482"/>
        <v/>
      </c>
      <c r="AF414" s="267" t="str">
        <f t="shared" si="482"/>
        <v/>
      </c>
      <c r="AG414" s="267" t="str">
        <f t="shared" si="482"/>
        <v/>
      </c>
      <c r="AH414" s="267" t="str">
        <f t="shared" si="482"/>
        <v/>
      </c>
      <c r="AI414" s="267" t="str">
        <f t="shared" si="482"/>
        <v/>
      </c>
      <c r="AJ414" s="267" t="str">
        <f t="shared" si="482"/>
        <v/>
      </c>
      <c r="AK414" s="267" t="str">
        <f t="shared" si="482"/>
        <v/>
      </c>
      <c r="AL414" s="267" t="str">
        <f t="shared" si="482"/>
        <v/>
      </c>
      <c r="AM414" s="267" t="str">
        <f t="shared" si="482"/>
        <v/>
      </c>
      <c r="AN414" s="267" t="str">
        <f t="shared" si="482"/>
        <v/>
      </c>
      <c r="AO414" s="267" t="str">
        <f t="shared" si="482"/>
        <v/>
      </c>
      <c r="AP414" s="267">
        <f t="shared" si="482"/>
        <v>3768</v>
      </c>
      <c r="AQ414" s="267" t="str">
        <f t="shared" si="482"/>
        <v/>
      </c>
      <c r="AR414" s="267" t="str">
        <f t="shared" si="482"/>
        <v/>
      </c>
      <c r="AS414" s="267" t="str">
        <f t="shared" si="482"/>
        <v/>
      </c>
      <c r="AT414" s="267" t="str">
        <f t="shared" si="482"/>
        <v/>
      </c>
      <c r="AU414" s="267" t="str">
        <f t="shared" si="482"/>
        <v/>
      </c>
      <c r="AV414" s="267" t="str">
        <f t="shared" si="482"/>
        <v/>
      </c>
      <c r="AW414" s="267" t="str">
        <f t="shared" si="482"/>
        <v/>
      </c>
      <c r="AX414" s="267" t="str">
        <f t="shared" si="482"/>
        <v/>
      </c>
      <c r="AY414" s="267" t="str">
        <f t="shared" si="482"/>
        <v/>
      </c>
      <c r="AZ414" s="267" t="str">
        <f t="shared" si="482"/>
        <v/>
      </c>
      <c r="BA414" s="267" t="str">
        <f t="shared" si="482"/>
        <v/>
      </c>
      <c r="BB414" s="267" t="str">
        <f t="shared" si="482"/>
        <v/>
      </c>
      <c r="BC414" s="267" t="str">
        <f t="shared" si="482"/>
        <v/>
      </c>
      <c r="BD414" s="267" t="str">
        <f t="shared" si="482"/>
        <v/>
      </c>
      <c r="BE414" s="267" t="str">
        <f t="shared" si="482"/>
        <v/>
      </c>
      <c r="BF414" s="267" t="str">
        <f t="shared" si="482"/>
        <v/>
      </c>
      <c r="BG414" s="267" t="str">
        <f t="shared" si="482"/>
        <v/>
      </c>
      <c r="BH414" s="267" t="str">
        <f t="shared" si="482"/>
        <v/>
      </c>
      <c r="BI414" s="267" t="str">
        <f t="shared" si="482"/>
        <v/>
      </c>
      <c r="BJ414" s="267" t="str">
        <f t="shared" si="482"/>
        <v/>
      </c>
      <c r="BK414" s="267" t="str">
        <f t="shared" si="482"/>
        <v/>
      </c>
      <c r="BL414" s="267" t="str">
        <f t="shared" si="482"/>
        <v/>
      </c>
      <c r="BM414" s="267" t="str">
        <f t="shared" si="482"/>
        <v/>
      </c>
      <c r="BN414" s="267" t="str">
        <f t="shared" si="482"/>
        <v/>
      </c>
      <c r="BO414" s="267" t="str">
        <f t="shared" si="482"/>
        <v/>
      </c>
      <c r="BP414" s="267" t="str">
        <f t="shared" si="482"/>
        <v/>
      </c>
      <c r="BQ414" s="267" t="str">
        <f t="shared" si="482"/>
        <v/>
      </c>
      <c r="BR414" s="267" t="str">
        <f t="shared" si="482"/>
        <v/>
      </c>
      <c r="BS414" s="267" t="str">
        <f t="shared" si="482"/>
        <v/>
      </c>
      <c r="BT414" s="267" t="str">
        <f t="shared" si="482"/>
        <v/>
      </c>
      <c r="BU414" s="267" t="str">
        <f t="shared" si="456"/>
        <v/>
      </c>
      <c r="BV414" s="247">
        <v>0.65</v>
      </c>
      <c r="BW414" s="734">
        <f t="shared" si="424"/>
        <v>2449.2</v>
      </c>
      <c r="BX414" s="735">
        <f t="shared" si="425"/>
        <v>18981.3</v>
      </c>
      <c r="BY414" s="736" t="str">
        <f t="shared" si="426"/>
        <v>SR</v>
      </c>
    </row>
    <row r="415" s="698" customFormat="1" customHeight="1" spans="1:77">
      <c r="A415" s="208">
        <v>46106</v>
      </c>
      <c r="B415" s="208">
        <v>46167</v>
      </c>
      <c r="C415" s="211"/>
      <c r="D415" s="211" t="s">
        <v>579</v>
      </c>
      <c r="E415" s="211" t="s">
        <v>125</v>
      </c>
      <c r="F415" s="732">
        <v>7404</v>
      </c>
      <c r="G415" s="211" t="s">
        <v>510</v>
      </c>
      <c r="H415" s="211" t="str">
        <f>IFERROR(VLOOKUP(E415,名称!A:E,4,0),"")</f>
        <v>三代</v>
      </c>
      <c r="I415" s="268" t="str">
        <f t="shared" ref="I415:BT415" si="483">IF(OR($E415="",I$1=""),"",IF(TRIM(LEFT($E415,MIN(IFERROR(FIND("CDU",UPPER($E415)),999),IFERROR(FIND("BULK",UPPER($E415)),999),IFERROR(FIND("-",$E415),999),IFERROR(FIND("（",$E415),999))-1))=I$1,$F415,""))</f>
        <v/>
      </c>
      <c r="J415" s="268" t="str">
        <f t="shared" si="483"/>
        <v/>
      </c>
      <c r="K415" s="268" t="str">
        <f t="shared" si="483"/>
        <v/>
      </c>
      <c r="L415" s="268" t="str">
        <f t="shared" si="483"/>
        <v/>
      </c>
      <c r="M415" s="268" t="str">
        <f t="shared" si="483"/>
        <v/>
      </c>
      <c r="N415" s="268" t="str">
        <f t="shared" si="483"/>
        <v/>
      </c>
      <c r="O415" s="268" t="str">
        <f t="shared" si="483"/>
        <v/>
      </c>
      <c r="P415" s="268" t="str">
        <f t="shared" si="483"/>
        <v/>
      </c>
      <c r="Q415" s="268" t="str">
        <f t="shared" si="483"/>
        <v/>
      </c>
      <c r="R415" s="268" t="str">
        <f t="shared" si="483"/>
        <v/>
      </c>
      <c r="S415" s="268" t="str">
        <f t="shared" si="483"/>
        <v/>
      </c>
      <c r="T415" s="268" t="str">
        <f t="shared" si="483"/>
        <v/>
      </c>
      <c r="U415" s="268" t="str">
        <f t="shared" si="483"/>
        <v/>
      </c>
      <c r="V415" s="268" t="str">
        <f t="shared" si="483"/>
        <v/>
      </c>
      <c r="W415" s="268" t="str">
        <f t="shared" si="483"/>
        <v/>
      </c>
      <c r="X415" s="268" t="str">
        <f t="shared" si="483"/>
        <v/>
      </c>
      <c r="Y415" s="268" t="str">
        <f t="shared" si="483"/>
        <v/>
      </c>
      <c r="Z415" s="268" t="str">
        <f t="shared" si="483"/>
        <v/>
      </c>
      <c r="AA415" s="268" t="str">
        <f t="shared" si="483"/>
        <v/>
      </c>
      <c r="AB415" s="268" t="str">
        <f t="shared" si="483"/>
        <v/>
      </c>
      <c r="AC415" s="268" t="str">
        <f t="shared" si="483"/>
        <v/>
      </c>
      <c r="AD415" s="268" t="str">
        <f t="shared" si="483"/>
        <v/>
      </c>
      <c r="AE415" s="268" t="str">
        <f t="shared" si="483"/>
        <v/>
      </c>
      <c r="AF415" s="268" t="str">
        <f t="shared" si="483"/>
        <v/>
      </c>
      <c r="AG415" s="268" t="str">
        <f t="shared" si="483"/>
        <v/>
      </c>
      <c r="AH415" s="268" t="str">
        <f t="shared" si="483"/>
        <v/>
      </c>
      <c r="AI415" s="268" t="str">
        <f t="shared" si="483"/>
        <v/>
      </c>
      <c r="AJ415" s="268" t="str">
        <f t="shared" si="483"/>
        <v/>
      </c>
      <c r="AK415" s="268" t="str">
        <f t="shared" si="483"/>
        <v/>
      </c>
      <c r="AL415" s="268" t="str">
        <f t="shared" si="483"/>
        <v/>
      </c>
      <c r="AM415" s="268" t="str">
        <f t="shared" si="483"/>
        <v/>
      </c>
      <c r="AN415" s="268" t="str">
        <f t="shared" si="483"/>
        <v/>
      </c>
      <c r="AO415" s="268" t="str">
        <f t="shared" si="483"/>
        <v/>
      </c>
      <c r="AP415" s="268" t="str">
        <f t="shared" si="483"/>
        <v/>
      </c>
      <c r="AQ415" s="268" t="str">
        <f t="shared" si="483"/>
        <v/>
      </c>
      <c r="AR415" s="268">
        <f t="shared" si="483"/>
        <v>7404</v>
      </c>
      <c r="AS415" s="268" t="str">
        <f t="shared" si="483"/>
        <v/>
      </c>
      <c r="AT415" s="268" t="str">
        <f t="shared" si="483"/>
        <v/>
      </c>
      <c r="AU415" s="268" t="str">
        <f t="shared" si="483"/>
        <v/>
      </c>
      <c r="AV415" s="268" t="str">
        <f t="shared" si="483"/>
        <v/>
      </c>
      <c r="AW415" s="268" t="str">
        <f t="shared" si="483"/>
        <v/>
      </c>
      <c r="AX415" s="268" t="str">
        <f t="shared" si="483"/>
        <v/>
      </c>
      <c r="AY415" s="268" t="str">
        <f t="shared" si="483"/>
        <v/>
      </c>
      <c r="AZ415" s="268" t="str">
        <f t="shared" si="483"/>
        <v/>
      </c>
      <c r="BA415" s="268" t="str">
        <f t="shared" si="483"/>
        <v/>
      </c>
      <c r="BB415" s="268" t="str">
        <f t="shared" si="483"/>
        <v/>
      </c>
      <c r="BC415" s="268" t="str">
        <f t="shared" si="483"/>
        <v/>
      </c>
      <c r="BD415" s="268" t="str">
        <f t="shared" si="483"/>
        <v/>
      </c>
      <c r="BE415" s="268" t="str">
        <f t="shared" si="483"/>
        <v/>
      </c>
      <c r="BF415" s="268" t="str">
        <f t="shared" si="483"/>
        <v/>
      </c>
      <c r="BG415" s="268" t="str">
        <f t="shared" si="483"/>
        <v/>
      </c>
      <c r="BH415" s="268" t="str">
        <f t="shared" si="483"/>
        <v/>
      </c>
      <c r="BI415" s="268" t="str">
        <f t="shared" si="483"/>
        <v/>
      </c>
      <c r="BJ415" s="268" t="str">
        <f t="shared" si="483"/>
        <v/>
      </c>
      <c r="BK415" s="268" t="str">
        <f t="shared" si="483"/>
        <v/>
      </c>
      <c r="BL415" s="268" t="str">
        <f t="shared" si="483"/>
        <v/>
      </c>
      <c r="BM415" s="268" t="str">
        <f t="shared" si="483"/>
        <v/>
      </c>
      <c r="BN415" s="268" t="str">
        <f t="shared" si="483"/>
        <v/>
      </c>
      <c r="BO415" s="268" t="str">
        <f t="shared" si="483"/>
        <v/>
      </c>
      <c r="BP415" s="268" t="str">
        <f t="shared" si="483"/>
        <v/>
      </c>
      <c r="BQ415" s="268" t="str">
        <f t="shared" si="483"/>
        <v/>
      </c>
      <c r="BR415" s="268" t="str">
        <f t="shared" si="483"/>
        <v/>
      </c>
      <c r="BS415" s="268" t="str">
        <f t="shared" si="483"/>
        <v/>
      </c>
      <c r="BT415" s="268" t="str">
        <f t="shared" si="483"/>
        <v/>
      </c>
      <c r="BU415" s="268" t="str">
        <f t="shared" si="456"/>
        <v/>
      </c>
      <c r="BV415" s="247">
        <v>1.65</v>
      </c>
      <c r="BW415" s="729">
        <f t="shared" si="424"/>
        <v>12216.6</v>
      </c>
      <c r="BX415" s="730">
        <f t="shared" si="425"/>
        <v>94678.65</v>
      </c>
      <c r="BY415" s="731" t="str">
        <f t="shared" si="426"/>
        <v>SR</v>
      </c>
    </row>
    <row r="416" s="698" customFormat="1" customHeight="1" spans="1:77">
      <c r="A416" s="208">
        <v>46106</v>
      </c>
      <c r="B416" s="208">
        <v>46167</v>
      </c>
      <c r="C416" s="211"/>
      <c r="D416" s="211" t="s">
        <v>579</v>
      </c>
      <c r="E416" s="211" t="s">
        <v>85</v>
      </c>
      <c r="F416" s="732">
        <v>15912</v>
      </c>
      <c r="G416" s="211" t="s">
        <v>510</v>
      </c>
      <c r="H416" s="211" t="str">
        <f>IFERROR(VLOOKUP(E416,名称!A:E,4,0),"")</f>
        <v>三代</v>
      </c>
      <c r="I416" s="268" t="str">
        <f t="shared" ref="I416:BT416" si="484">IF(OR($E416="",I$1=""),"",IF(TRIM(LEFT($E416,MIN(IFERROR(FIND("CDU",UPPER($E416)),999),IFERROR(FIND("BULK",UPPER($E416)),999),IFERROR(FIND("-",$E416),999),IFERROR(FIND("（",$E416),999))-1))=I$1,$F416,""))</f>
        <v/>
      </c>
      <c r="J416" s="268" t="str">
        <f t="shared" si="484"/>
        <v/>
      </c>
      <c r="K416" s="268" t="str">
        <f t="shared" si="484"/>
        <v/>
      </c>
      <c r="L416" s="268" t="str">
        <f t="shared" si="484"/>
        <v/>
      </c>
      <c r="M416" s="268" t="str">
        <f t="shared" si="484"/>
        <v/>
      </c>
      <c r="N416" s="268" t="str">
        <f t="shared" si="484"/>
        <v/>
      </c>
      <c r="O416" s="268" t="str">
        <f t="shared" si="484"/>
        <v/>
      </c>
      <c r="P416" s="268" t="str">
        <f t="shared" si="484"/>
        <v/>
      </c>
      <c r="Q416" s="268" t="str">
        <f t="shared" si="484"/>
        <v/>
      </c>
      <c r="R416" s="268" t="str">
        <f t="shared" si="484"/>
        <v/>
      </c>
      <c r="S416" s="268" t="str">
        <f t="shared" si="484"/>
        <v/>
      </c>
      <c r="T416" s="268" t="str">
        <f t="shared" si="484"/>
        <v/>
      </c>
      <c r="U416" s="268" t="str">
        <f t="shared" si="484"/>
        <v/>
      </c>
      <c r="V416" s="268" t="str">
        <f t="shared" si="484"/>
        <v/>
      </c>
      <c r="W416" s="268" t="str">
        <f t="shared" si="484"/>
        <v/>
      </c>
      <c r="X416" s="268" t="str">
        <f t="shared" si="484"/>
        <v/>
      </c>
      <c r="Y416" s="268" t="str">
        <f t="shared" si="484"/>
        <v/>
      </c>
      <c r="Z416" s="268" t="str">
        <f t="shared" si="484"/>
        <v/>
      </c>
      <c r="AA416" s="268" t="str">
        <f t="shared" si="484"/>
        <v/>
      </c>
      <c r="AB416" s="268" t="str">
        <f t="shared" si="484"/>
        <v/>
      </c>
      <c r="AC416" s="268" t="str">
        <f t="shared" si="484"/>
        <v/>
      </c>
      <c r="AD416" s="268" t="str">
        <f t="shared" si="484"/>
        <v/>
      </c>
      <c r="AE416" s="268" t="str">
        <f t="shared" si="484"/>
        <v/>
      </c>
      <c r="AF416" s="268" t="str">
        <f t="shared" si="484"/>
        <v/>
      </c>
      <c r="AG416" s="268" t="str">
        <f t="shared" si="484"/>
        <v/>
      </c>
      <c r="AH416" s="268" t="str">
        <f t="shared" si="484"/>
        <v/>
      </c>
      <c r="AI416" s="268" t="str">
        <f t="shared" si="484"/>
        <v/>
      </c>
      <c r="AJ416" s="268" t="str">
        <f t="shared" si="484"/>
        <v/>
      </c>
      <c r="AK416" s="268" t="str">
        <f t="shared" si="484"/>
        <v/>
      </c>
      <c r="AL416" s="268" t="str">
        <f t="shared" si="484"/>
        <v/>
      </c>
      <c r="AM416" s="268" t="str">
        <f t="shared" si="484"/>
        <v/>
      </c>
      <c r="AN416" s="268">
        <f t="shared" si="484"/>
        <v>15912</v>
      </c>
      <c r="AO416" s="268" t="str">
        <f t="shared" si="484"/>
        <v/>
      </c>
      <c r="AP416" s="268" t="str">
        <f t="shared" si="484"/>
        <v/>
      </c>
      <c r="AQ416" s="268" t="str">
        <f t="shared" si="484"/>
        <v/>
      </c>
      <c r="AR416" s="268" t="str">
        <f t="shared" si="484"/>
        <v/>
      </c>
      <c r="AS416" s="268" t="str">
        <f t="shared" si="484"/>
        <v/>
      </c>
      <c r="AT416" s="268" t="str">
        <f t="shared" si="484"/>
        <v/>
      </c>
      <c r="AU416" s="268" t="str">
        <f t="shared" si="484"/>
        <v/>
      </c>
      <c r="AV416" s="268" t="str">
        <f t="shared" si="484"/>
        <v/>
      </c>
      <c r="AW416" s="268" t="str">
        <f t="shared" si="484"/>
        <v/>
      </c>
      <c r="AX416" s="268" t="str">
        <f t="shared" si="484"/>
        <v/>
      </c>
      <c r="AY416" s="268" t="str">
        <f t="shared" si="484"/>
        <v/>
      </c>
      <c r="AZ416" s="268" t="str">
        <f t="shared" si="484"/>
        <v/>
      </c>
      <c r="BA416" s="268" t="str">
        <f t="shared" si="484"/>
        <v/>
      </c>
      <c r="BB416" s="268" t="str">
        <f t="shared" si="484"/>
        <v/>
      </c>
      <c r="BC416" s="268" t="str">
        <f t="shared" si="484"/>
        <v/>
      </c>
      <c r="BD416" s="268" t="str">
        <f t="shared" si="484"/>
        <v/>
      </c>
      <c r="BE416" s="268" t="str">
        <f t="shared" si="484"/>
        <v/>
      </c>
      <c r="BF416" s="268" t="str">
        <f t="shared" si="484"/>
        <v/>
      </c>
      <c r="BG416" s="268" t="str">
        <f t="shared" si="484"/>
        <v/>
      </c>
      <c r="BH416" s="268" t="str">
        <f t="shared" si="484"/>
        <v/>
      </c>
      <c r="BI416" s="268" t="str">
        <f t="shared" si="484"/>
        <v/>
      </c>
      <c r="BJ416" s="268" t="str">
        <f t="shared" si="484"/>
        <v/>
      </c>
      <c r="BK416" s="268" t="str">
        <f t="shared" si="484"/>
        <v/>
      </c>
      <c r="BL416" s="268" t="str">
        <f t="shared" si="484"/>
        <v/>
      </c>
      <c r="BM416" s="268" t="str">
        <f t="shared" si="484"/>
        <v/>
      </c>
      <c r="BN416" s="268" t="str">
        <f t="shared" si="484"/>
        <v/>
      </c>
      <c r="BO416" s="268" t="str">
        <f t="shared" si="484"/>
        <v/>
      </c>
      <c r="BP416" s="268" t="str">
        <f t="shared" si="484"/>
        <v/>
      </c>
      <c r="BQ416" s="268" t="str">
        <f t="shared" si="484"/>
        <v/>
      </c>
      <c r="BR416" s="268" t="str">
        <f t="shared" si="484"/>
        <v/>
      </c>
      <c r="BS416" s="268" t="str">
        <f t="shared" si="484"/>
        <v/>
      </c>
      <c r="BT416" s="268" t="str">
        <f t="shared" si="484"/>
        <v/>
      </c>
      <c r="BU416" s="268" t="str">
        <f t="shared" si="456"/>
        <v/>
      </c>
      <c r="BV416" s="247">
        <v>0.88</v>
      </c>
      <c r="BW416" s="729">
        <f t="shared" si="424"/>
        <v>14002.56</v>
      </c>
      <c r="BX416" s="730">
        <f t="shared" si="425"/>
        <v>108519.84</v>
      </c>
      <c r="BY416" s="731" t="str">
        <f t="shared" si="426"/>
        <v>SR</v>
      </c>
    </row>
    <row r="417" s="698" customFormat="1" customHeight="1" spans="1:77">
      <c r="A417" s="208">
        <v>46106</v>
      </c>
      <c r="B417" s="208">
        <v>46167</v>
      </c>
      <c r="C417" s="211"/>
      <c r="D417" s="211" t="s">
        <v>579</v>
      </c>
      <c r="E417" s="211" t="s">
        <v>99</v>
      </c>
      <c r="F417" s="732">
        <v>15192</v>
      </c>
      <c r="G417" s="211" t="s">
        <v>510</v>
      </c>
      <c r="H417" s="211" t="str">
        <f>IFERROR(VLOOKUP(E417,名称!A:E,4,0),"")</f>
        <v>三代</v>
      </c>
      <c r="I417" s="268" t="str">
        <f t="shared" ref="I417:BT417" si="485">IF(OR($E417="",I$1=""),"",IF(TRIM(LEFT($E417,MIN(IFERROR(FIND("CDU",UPPER($E417)),999),IFERROR(FIND("BULK",UPPER($E417)),999),IFERROR(FIND("-",$E417),999),IFERROR(FIND("（",$E417),999))-1))=I$1,$F417,""))</f>
        <v/>
      </c>
      <c r="J417" s="268" t="str">
        <f t="shared" si="485"/>
        <v/>
      </c>
      <c r="K417" s="268" t="str">
        <f t="shared" si="485"/>
        <v/>
      </c>
      <c r="L417" s="268" t="str">
        <f t="shared" si="485"/>
        <v/>
      </c>
      <c r="M417" s="268" t="str">
        <f t="shared" si="485"/>
        <v/>
      </c>
      <c r="N417" s="268" t="str">
        <f t="shared" si="485"/>
        <v/>
      </c>
      <c r="O417" s="268" t="str">
        <f t="shared" si="485"/>
        <v/>
      </c>
      <c r="P417" s="268" t="str">
        <f t="shared" si="485"/>
        <v/>
      </c>
      <c r="Q417" s="268" t="str">
        <f t="shared" si="485"/>
        <v/>
      </c>
      <c r="R417" s="268" t="str">
        <f t="shared" si="485"/>
        <v/>
      </c>
      <c r="S417" s="268" t="str">
        <f t="shared" si="485"/>
        <v/>
      </c>
      <c r="T417" s="268" t="str">
        <f t="shared" si="485"/>
        <v/>
      </c>
      <c r="U417" s="268" t="str">
        <f t="shared" si="485"/>
        <v/>
      </c>
      <c r="V417" s="268" t="str">
        <f t="shared" si="485"/>
        <v/>
      </c>
      <c r="W417" s="268" t="str">
        <f t="shared" si="485"/>
        <v/>
      </c>
      <c r="X417" s="268" t="str">
        <f t="shared" si="485"/>
        <v/>
      </c>
      <c r="Y417" s="268" t="str">
        <f t="shared" si="485"/>
        <v/>
      </c>
      <c r="Z417" s="268" t="str">
        <f t="shared" si="485"/>
        <v/>
      </c>
      <c r="AA417" s="268" t="str">
        <f t="shared" si="485"/>
        <v/>
      </c>
      <c r="AB417" s="268" t="str">
        <f t="shared" si="485"/>
        <v/>
      </c>
      <c r="AC417" s="268">
        <f t="shared" si="485"/>
        <v>15192</v>
      </c>
      <c r="AD417" s="268" t="str">
        <f t="shared" si="485"/>
        <v/>
      </c>
      <c r="AE417" s="268" t="str">
        <f t="shared" si="485"/>
        <v/>
      </c>
      <c r="AF417" s="268" t="str">
        <f t="shared" si="485"/>
        <v/>
      </c>
      <c r="AG417" s="268" t="str">
        <f t="shared" si="485"/>
        <v/>
      </c>
      <c r="AH417" s="268" t="str">
        <f t="shared" si="485"/>
        <v/>
      </c>
      <c r="AI417" s="268" t="str">
        <f t="shared" si="485"/>
        <v/>
      </c>
      <c r="AJ417" s="268" t="str">
        <f t="shared" si="485"/>
        <v/>
      </c>
      <c r="AK417" s="268" t="str">
        <f t="shared" si="485"/>
        <v/>
      </c>
      <c r="AL417" s="268" t="str">
        <f t="shared" si="485"/>
        <v/>
      </c>
      <c r="AM417" s="268" t="str">
        <f t="shared" si="485"/>
        <v/>
      </c>
      <c r="AN417" s="268" t="str">
        <f t="shared" si="485"/>
        <v/>
      </c>
      <c r="AO417" s="268" t="str">
        <f t="shared" si="485"/>
        <v/>
      </c>
      <c r="AP417" s="268" t="str">
        <f t="shared" si="485"/>
        <v/>
      </c>
      <c r="AQ417" s="268" t="str">
        <f t="shared" si="485"/>
        <v/>
      </c>
      <c r="AR417" s="268" t="str">
        <f t="shared" si="485"/>
        <v/>
      </c>
      <c r="AS417" s="268" t="str">
        <f t="shared" si="485"/>
        <v/>
      </c>
      <c r="AT417" s="268" t="str">
        <f t="shared" si="485"/>
        <v/>
      </c>
      <c r="AU417" s="268" t="str">
        <f t="shared" si="485"/>
        <v/>
      </c>
      <c r="AV417" s="268" t="str">
        <f t="shared" si="485"/>
        <v/>
      </c>
      <c r="AW417" s="268" t="str">
        <f t="shared" si="485"/>
        <v/>
      </c>
      <c r="AX417" s="268" t="str">
        <f t="shared" si="485"/>
        <v/>
      </c>
      <c r="AY417" s="268" t="str">
        <f t="shared" si="485"/>
        <v/>
      </c>
      <c r="AZ417" s="268" t="str">
        <f t="shared" si="485"/>
        <v/>
      </c>
      <c r="BA417" s="268" t="str">
        <f t="shared" si="485"/>
        <v/>
      </c>
      <c r="BB417" s="268" t="str">
        <f t="shared" si="485"/>
        <v/>
      </c>
      <c r="BC417" s="268" t="str">
        <f t="shared" si="485"/>
        <v/>
      </c>
      <c r="BD417" s="268" t="str">
        <f t="shared" si="485"/>
        <v/>
      </c>
      <c r="BE417" s="268" t="str">
        <f t="shared" si="485"/>
        <v/>
      </c>
      <c r="BF417" s="268" t="str">
        <f t="shared" si="485"/>
        <v/>
      </c>
      <c r="BG417" s="268" t="str">
        <f t="shared" si="485"/>
        <v/>
      </c>
      <c r="BH417" s="268" t="str">
        <f t="shared" si="485"/>
        <v/>
      </c>
      <c r="BI417" s="268" t="str">
        <f t="shared" si="485"/>
        <v/>
      </c>
      <c r="BJ417" s="268" t="str">
        <f t="shared" si="485"/>
        <v/>
      </c>
      <c r="BK417" s="268" t="str">
        <f t="shared" si="485"/>
        <v/>
      </c>
      <c r="BL417" s="268" t="str">
        <f t="shared" si="485"/>
        <v/>
      </c>
      <c r="BM417" s="268" t="str">
        <f t="shared" si="485"/>
        <v/>
      </c>
      <c r="BN417" s="268" t="str">
        <f t="shared" si="485"/>
        <v/>
      </c>
      <c r="BO417" s="268" t="str">
        <f t="shared" si="485"/>
        <v/>
      </c>
      <c r="BP417" s="268" t="str">
        <f t="shared" si="485"/>
        <v/>
      </c>
      <c r="BQ417" s="268" t="str">
        <f t="shared" si="485"/>
        <v/>
      </c>
      <c r="BR417" s="268" t="str">
        <f t="shared" si="485"/>
        <v/>
      </c>
      <c r="BS417" s="268" t="str">
        <f t="shared" si="485"/>
        <v/>
      </c>
      <c r="BT417" s="268" t="str">
        <f t="shared" si="485"/>
        <v/>
      </c>
      <c r="BU417" s="268" t="str">
        <f t="shared" si="456"/>
        <v/>
      </c>
      <c r="BV417" s="247">
        <v>0.87</v>
      </c>
      <c r="BW417" s="729">
        <f t="shared" si="424"/>
        <v>13217.04</v>
      </c>
      <c r="BX417" s="730">
        <f t="shared" si="425"/>
        <v>102432.06</v>
      </c>
      <c r="BY417" s="731" t="str">
        <f t="shared" si="426"/>
        <v>SR</v>
      </c>
    </row>
    <row r="418" s="698" customFormat="1" customHeight="1" spans="1:77">
      <c r="A418" s="208">
        <v>46106</v>
      </c>
      <c r="B418" s="208">
        <v>46167</v>
      </c>
      <c r="C418" s="211"/>
      <c r="D418" s="211" t="s">
        <v>579</v>
      </c>
      <c r="E418" s="211" t="s">
        <v>68</v>
      </c>
      <c r="F418" s="732">
        <v>3800</v>
      </c>
      <c r="G418" s="211" t="s">
        <v>510</v>
      </c>
      <c r="H418" s="211" t="str">
        <f>IFERROR(VLOOKUP(E418,名称!A:E,4,0),"")</f>
        <v>三代</v>
      </c>
      <c r="I418" s="268" t="str">
        <f t="shared" ref="I418:BT418" si="486">IF(OR($E418="",I$1=""),"",IF(TRIM(LEFT($E418,MIN(IFERROR(FIND("CDU",UPPER($E418)),999),IFERROR(FIND("BULK",UPPER($E418)),999),IFERROR(FIND("-",$E418),999),IFERROR(FIND("（",$E418),999))-1))=I$1,$F418,""))</f>
        <v/>
      </c>
      <c r="J418" s="268" t="str">
        <f t="shared" si="486"/>
        <v/>
      </c>
      <c r="K418" s="268" t="str">
        <f t="shared" si="486"/>
        <v/>
      </c>
      <c r="L418" s="268" t="str">
        <f t="shared" si="486"/>
        <v/>
      </c>
      <c r="M418" s="268" t="str">
        <f t="shared" si="486"/>
        <v/>
      </c>
      <c r="N418" s="268" t="str">
        <f t="shared" si="486"/>
        <v/>
      </c>
      <c r="O418" s="268" t="str">
        <f t="shared" si="486"/>
        <v/>
      </c>
      <c r="P418" s="268" t="str">
        <f t="shared" si="486"/>
        <v/>
      </c>
      <c r="Q418" s="268" t="str">
        <f t="shared" si="486"/>
        <v/>
      </c>
      <c r="R418" s="268" t="str">
        <f t="shared" si="486"/>
        <v/>
      </c>
      <c r="S418" s="268" t="str">
        <f t="shared" si="486"/>
        <v/>
      </c>
      <c r="T418" s="268" t="str">
        <f t="shared" si="486"/>
        <v/>
      </c>
      <c r="U418" s="268" t="str">
        <f t="shared" si="486"/>
        <v/>
      </c>
      <c r="V418" s="268" t="str">
        <f t="shared" si="486"/>
        <v/>
      </c>
      <c r="W418" s="268" t="str">
        <f t="shared" si="486"/>
        <v/>
      </c>
      <c r="X418" s="268" t="str">
        <f t="shared" si="486"/>
        <v/>
      </c>
      <c r="Y418" s="268" t="str">
        <f t="shared" si="486"/>
        <v/>
      </c>
      <c r="Z418" s="268" t="str">
        <f t="shared" si="486"/>
        <v/>
      </c>
      <c r="AA418" s="268" t="str">
        <f t="shared" si="486"/>
        <v/>
      </c>
      <c r="AB418" s="268" t="str">
        <f t="shared" si="486"/>
        <v/>
      </c>
      <c r="AC418" s="268" t="str">
        <f t="shared" si="486"/>
        <v/>
      </c>
      <c r="AD418" s="268" t="str">
        <f t="shared" si="486"/>
        <v/>
      </c>
      <c r="AE418" s="268" t="str">
        <f t="shared" si="486"/>
        <v/>
      </c>
      <c r="AF418" s="268" t="str">
        <f t="shared" si="486"/>
        <v/>
      </c>
      <c r="AG418" s="268" t="str">
        <f t="shared" si="486"/>
        <v/>
      </c>
      <c r="AH418" s="268">
        <f t="shared" si="486"/>
        <v>3800</v>
      </c>
      <c r="AI418" s="268" t="str">
        <f t="shared" si="486"/>
        <v/>
      </c>
      <c r="AJ418" s="268" t="str">
        <f t="shared" si="486"/>
        <v/>
      </c>
      <c r="AK418" s="268" t="str">
        <f t="shared" si="486"/>
        <v/>
      </c>
      <c r="AL418" s="268" t="str">
        <f t="shared" si="486"/>
        <v/>
      </c>
      <c r="AM418" s="268" t="str">
        <f t="shared" si="486"/>
        <v/>
      </c>
      <c r="AN418" s="268" t="str">
        <f t="shared" si="486"/>
        <v/>
      </c>
      <c r="AO418" s="268" t="str">
        <f t="shared" si="486"/>
        <v/>
      </c>
      <c r="AP418" s="268" t="str">
        <f t="shared" si="486"/>
        <v/>
      </c>
      <c r="AQ418" s="268" t="str">
        <f t="shared" si="486"/>
        <v/>
      </c>
      <c r="AR418" s="268" t="str">
        <f t="shared" si="486"/>
        <v/>
      </c>
      <c r="AS418" s="268" t="str">
        <f t="shared" si="486"/>
        <v/>
      </c>
      <c r="AT418" s="268" t="str">
        <f t="shared" si="486"/>
        <v/>
      </c>
      <c r="AU418" s="268" t="str">
        <f t="shared" si="486"/>
        <v/>
      </c>
      <c r="AV418" s="268" t="str">
        <f t="shared" si="486"/>
        <v/>
      </c>
      <c r="AW418" s="268" t="str">
        <f t="shared" si="486"/>
        <v/>
      </c>
      <c r="AX418" s="268" t="str">
        <f t="shared" si="486"/>
        <v/>
      </c>
      <c r="AY418" s="268" t="str">
        <f t="shared" si="486"/>
        <v/>
      </c>
      <c r="AZ418" s="268" t="str">
        <f t="shared" si="486"/>
        <v/>
      </c>
      <c r="BA418" s="268" t="str">
        <f t="shared" si="486"/>
        <v/>
      </c>
      <c r="BB418" s="268" t="str">
        <f t="shared" si="486"/>
        <v/>
      </c>
      <c r="BC418" s="268" t="str">
        <f t="shared" si="486"/>
        <v/>
      </c>
      <c r="BD418" s="268" t="str">
        <f t="shared" si="486"/>
        <v/>
      </c>
      <c r="BE418" s="268" t="str">
        <f t="shared" si="486"/>
        <v/>
      </c>
      <c r="BF418" s="268" t="str">
        <f t="shared" si="486"/>
        <v/>
      </c>
      <c r="BG418" s="268" t="str">
        <f t="shared" si="486"/>
        <v/>
      </c>
      <c r="BH418" s="268" t="str">
        <f t="shared" si="486"/>
        <v/>
      </c>
      <c r="BI418" s="268" t="str">
        <f t="shared" si="486"/>
        <v/>
      </c>
      <c r="BJ418" s="268" t="str">
        <f t="shared" si="486"/>
        <v/>
      </c>
      <c r="BK418" s="268" t="str">
        <f t="shared" si="486"/>
        <v/>
      </c>
      <c r="BL418" s="268" t="str">
        <f t="shared" si="486"/>
        <v/>
      </c>
      <c r="BM418" s="268" t="str">
        <f t="shared" si="486"/>
        <v/>
      </c>
      <c r="BN418" s="268" t="str">
        <f t="shared" si="486"/>
        <v/>
      </c>
      <c r="BO418" s="268" t="str">
        <f t="shared" si="486"/>
        <v/>
      </c>
      <c r="BP418" s="268" t="str">
        <f t="shared" si="486"/>
        <v/>
      </c>
      <c r="BQ418" s="268" t="str">
        <f t="shared" si="486"/>
        <v/>
      </c>
      <c r="BR418" s="268" t="str">
        <f t="shared" si="486"/>
        <v/>
      </c>
      <c r="BS418" s="268" t="str">
        <f t="shared" si="486"/>
        <v/>
      </c>
      <c r="BT418" s="268" t="str">
        <f t="shared" si="486"/>
        <v/>
      </c>
      <c r="BU418" s="268" t="str">
        <f t="shared" si="456"/>
        <v/>
      </c>
      <c r="BV418" s="247">
        <v>3.09</v>
      </c>
      <c r="BW418" s="729">
        <f t="shared" si="424"/>
        <v>11742</v>
      </c>
      <c r="BX418" s="730">
        <f t="shared" si="425"/>
        <v>91000.5</v>
      </c>
      <c r="BY418" s="731" t="str">
        <f t="shared" si="426"/>
        <v>SR</v>
      </c>
    </row>
    <row r="419" s="698" customFormat="1" customHeight="1" spans="1:77">
      <c r="A419" s="208">
        <v>46106</v>
      </c>
      <c r="B419" s="208">
        <v>46167</v>
      </c>
      <c r="C419" s="211"/>
      <c r="D419" s="211" t="s">
        <v>579</v>
      </c>
      <c r="E419" s="211" t="s">
        <v>109</v>
      </c>
      <c r="F419" s="732">
        <v>6360</v>
      </c>
      <c r="G419" s="211" t="s">
        <v>510</v>
      </c>
      <c r="H419" s="211" t="str">
        <f>IFERROR(VLOOKUP(E419,名称!A:E,4,0),"")</f>
        <v>三代</v>
      </c>
      <c r="I419" s="268" t="str">
        <f t="shared" ref="I419:BT419" si="487">IF(OR($E419="",I$1=""),"",IF(TRIM(LEFT($E419,MIN(IFERROR(FIND("CDU",UPPER($E419)),999),IFERROR(FIND("BULK",UPPER($E419)),999),IFERROR(FIND("-",$E419),999),IFERROR(FIND("（",$E419),999))-1))=I$1,$F419,""))</f>
        <v/>
      </c>
      <c r="J419" s="268" t="str">
        <f t="shared" si="487"/>
        <v/>
      </c>
      <c r="K419" s="268" t="str">
        <f t="shared" si="487"/>
        <v/>
      </c>
      <c r="L419" s="268" t="str">
        <f t="shared" si="487"/>
        <v/>
      </c>
      <c r="M419" s="268" t="str">
        <f t="shared" si="487"/>
        <v/>
      </c>
      <c r="N419" s="268" t="str">
        <f t="shared" si="487"/>
        <v/>
      </c>
      <c r="O419" s="268" t="str">
        <f t="shared" si="487"/>
        <v/>
      </c>
      <c r="P419" s="268" t="str">
        <f t="shared" si="487"/>
        <v/>
      </c>
      <c r="Q419" s="268" t="str">
        <f t="shared" si="487"/>
        <v/>
      </c>
      <c r="R419" s="268" t="str">
        <f t="shared" si="487"/>
        <v/>
      </c>
      <c r="S419" s="268" t="str">
        <f t="shared" si="487"/>
        <v/>
      </c>
      <c r="T419" s="268" t="str">
        <f t="shared" si="487"/>
        <v/>
      </c>
      <c r="U419" s="268" t="str">
        <f t="shared" si="487"/>
        <v/>
      </c>
      <c r="V419" s="268" t="str">
        <f t="shared" si="487"/>
        <v/>
      </c>
      <c r="W419" s="268" t="str">
        <f t="shared" si="487"/>
        <v/>
      </c>
      <c r="X419" s="268" t="str">
        <f t="shared" si="487"/>
        <v/>
      </c>
      <c r="Y419" s="268" t="str">
        <f t="shared" si="487"/>
        <v/>
      </c>
      <c r="Z419" s="268" t="str">
        <f t="shared" si="487"/>
        <v/>
      </c>
      <c r="AA419" s="268" t="str">
        <f t="shared" si="487"/>
        <v/>
      </c>
      <c r="AB419" s="268" t="str">
        <f t="shared" si="487"/>
        <v/>
      </c>
      <c r="AC419" s="268" t="str">
        <f t="shared" si="487"/>
        <v/>
      </c>
      <c r="AD419" s="268" t="str">
        <f t="shared" si="487"/>
        <v/>
      </c>
      <c r="AE419" s="268" t="str">
        <f t="shared" si="487"/>
        <v/>
      </c>
      <c r="AF419" s="268" t="str">
        <f t="shared" si="487"/>
        <v/>
      </c>
      <c r="AG419" s="268" t="str">
        <f t="shared" si="487"/>
        <v/>
      </c>
      <c r="AH419" s="268" t="str">
        <f t="shared" si="487"/>
        <v/>
      </c>
      <c r="AI419" s="268" t="str">
        <f t="shared" si="487"/>
        <v/>
      </c>
      <c r="AJ419" s="268" t="str">
        <f t="shared" si="487"/>
        <v/>
      </c>
      <c r="AK419" s="268" t="str">
        <f t="shared" si="487"/>
        <v/>
      </c>
      <c r="AL419" s="268" t="str">
        <f t="shared" si="487"/>
        <v/>
      </c>
      <c r="AM419" s="268" t="str">
        <f t="shared" si="487"/>
        <v/>
      </c>
      <c r="AN419" s="268" t="str">
        <f t="shared" si="487"/>
        <v/>
      </c>
      <c r="AO419" s="268" t="str">
        <f t="shared" si="487"/>
        <v/>
      </c>
      <c r="AP419" s="268" t="str">
        <f t="shared" si="487"/>
        <v/>
      </c>
      <c r="AQ419" s="268" t="str">
        <f t="shared" si="487"/>
        <v/>
      </c>
      <c r="AR419" s="268" t="str">
        <f t="shared" si="487"/>
        <v/>
      </c>
      <c r="AS419" s="268" t="str">
        <f t="shared" si="487"/>
        <v/>
      </c>
      <c r="AT419" s="268" t="str">
        <f t="shared" si="487"/>
        <v/>
      </c>
      <c r="AU419" s="268" t="str">
        <f t="shared" si="487"/>
        <v/>
      </c>
      <c r="AV419" s="268" t="str">
        <f t="shared" si="487"/>
        <v/>
      </c>
      <c r="AW419" s="268" t="str">
        <f t="shared" si="487"/>
        <v/>
      </c>
      <c r="AX419" s="268" t="str">
        <f t="shared" si="487"/>
        <v/>
      </c>
      <c r="AY419" s="268" t="str">
        <f t="shared" si="487"/>
        <v/>
      </c>
      <c r="AZ419" s="268" t="str">
        <f t="shared" si="487"/>
        <v/>
      </c>
      <c r="BA419" s="268" t="str">
        <f t="shared" si="487"/>
        <v/>
      </c>
      <c r="BB419" s="268" t="str">
        <f t="shared" si="487"/>
        <v/>
      </c>
      <c r="BC419" s="268">
        <f t="shared" si="487"/>
        <v>6360</v>
      </c>
      <c r="BD419" s="268" t="str">
        <f t="shared" si="487"/>
        <v/>
      </c>
      <c r="BE419" s="268" t="str">
        <f t="shared" si="487"/>
        <v/>
      </c>
      <c r="BF419" s="268" t="str">
        <f t="shared" si="487"/>
        <v/>
      </c>
      <c r="BG419" s="268" t="str">
        <f t="shared" si="487"/>
        <v/>
      </c>
      <c r="BH419" s="268" t="str">
        <f t="shared" si="487"/>
        <v/>
      </c>
      <c r="BI419" s="268" t="str">
        <f t="shared" si="487"/>
        <v/>
      </c>
      <c r="BJ419" s="268" t="str">
        <f t="shared" si="487"/>
        <v/>
      </c>
      <c r="BK419" s="268" t="str">
        <f t="shared" si="487"/>
        <v/>
      </c>
      <c r="BL419" s="268" t="str">
        <f t="shared" si="487"/>
        <v/>
      </c>
      <c r="BM419" s="268" t="str">
        <f t="shared" si="487"/>
        <v/>
      </c>
      <c r="BN419" s="268" t="str">
        <f t="shared" si="487"/>
        <v/>
      </c>
      <c r="BO419" s="268" t="str">
        <f t="shared" si="487"/>
        <v/>
      </c>
      <c r="BP419" s="268" t="str">
        <f t="shared" si="487"/>
        <v/>
      </c>
      <c r="BQ419" s="268" t="str">
        <f t="shared" si="487"/>
        <v/>
      </c>
      <c r="BR419" s="268" t="str">
        <f t="shared" si="487"/>
        <v/>
      </c>
      <c r="BS419" s="268" t="str">
        <f t="shared" si="487"/>
        <v/>
      </c>
      <c r="BT419" s="268" t="str">
        <f t="shared" si="487"/>
        <v/>
      </c>
      <c r="BU419" s="268" t="str">
        <f t="shared" si="456"/>
        <v/>
      </c>
      <c r="BV419" s="247">
        <v>0.59</v>
      </c>
      <c r="BW419" s="729">
        <f t="shared" si="424"/>
        <v>3752.4</v>
      </c>
      <c r="BX419" s="730">
        <f t="shared" si="425"/>
        <v>29081.1</v>
      </c>
      <c r="BY419" s="731" t="str">
        <f t="shared" si="426"/>
        <v>JS</v>
      </c>
    </row>
    <row r="420" s="698" customFormat="1" customHeight="1" spans="1:77">
      <c r="A420" s="208">
        <v>46107</v>
      </c>
      <c r="B420" s="208">
        <v>46157</v>
      </c>
      <c r="C420" s="211"/>
      <c r="D420" s="211" t="s">
        <v>580</v>
      </c>
      <c r="E420" s="211" t="s">
        <v>52</v>
      </c>
      <c r="F420" s="732">
        <v>2200</v>
      </c>
      <c r="G420" s="211" t="s">
        <v>510</v>
      </c>
      <c r="H420" s="211" t="str">
        <f>IFERROR(VLOOKUP(E420,名称!A:E,4,0),"")</f>
        <v>蛋糕</v>
      </c>
      <c r="I420" s="268" t="str">
        <f t="shared" ref="I420:BT420" si="488">IF(OR($E420="",I$1=""),"",IF(TRIM(LEFT($E420,MIN(IFERROR(FIND("CDU",UPPER($E420)),999),IFERROR(FIND("BULK",UPPER($E420)),999),IFERROR(FIND("-",$E420),999),IFERROR(FIND("（",$E420),999))-1))=I$1,$F420,""))</f>
        <v/>
      </c>
      <c r="J420" s="268" t="str">
        <f t="shared" si="488"/>
        <v/>
      </c>
      <c r="K420" s="268" t="str">
        <f t="shared" si="488"/>
        <v/>
      </c>
      <c r="L420" s="268" t="str">
        <f t="shared" si="488"/>
        <v/>
      </c>
      <c r="M420" s="268" t="str">
        <f t="shared" si="488"/>
        <v/>
      </c>
      <c r="N420" s="268" t="str">
        <f t="shared" si="488"/>
        <v/>
      </c>
      <c r="O420" s="268" t="str">
        <f t="shared" si="488"/>
        <v/>
      </c>
      <c r="P420" s="268" t="str">
        <f t="shared" si="488"/>
        <v/>
      </c>
      <c r="Q420" s="268" t="str">
        <f t="shared" si="488"/>
        <v/>
      </c>
      <c r="R420" s="268" t="str">
        <f t="shared" si="488"/>
        <v/>
      </c>
      <c r="S420" s="268" t="str">
        <f t="shared" si="488"/>
        <v/>
      </c>
      <c r="T420" s="268" t="str">
        <f t="shared" si="488"/>
        <v/>
      </c>
      <c r="U420" s="268" t="str">
        <f t="shared" si="488"/>
        <v/>
      </c>
      <c r="V420" s="268" t="str">
        <f t="shared" si="488"/>
        <v/>
      </c>
      <c r="W420" s="268" t="str">
        <f t="shared" si="488"/>
        <v/>
      </c>
      <c r="X420" s="268" t="str">
        <f t="shared" si="488"/>
        <v/>
      </c>
      <c r="Y420" s="268" t="str">
        <f t="shared" si="488"/>
        <v/>
      </c>
      <c r="Z420" s="268" t="str">
        <f t="shared" si="488"/>
        <v/>
      </c>
      <c r="AA420" s="268" t="str">
        <f t="shared" si="488"/>
        <v/>
      </c>
      <c r="AB420" s="268" t="str">
        <f t="shared" si="488"/>
        <v/>
      </c>
      <c r="AC420" s="268" t="str">
        <f t="shared" si="488"/>
        <v/>
      </c>
      <c r="AD420" s="268" t="str">
        <f t="shared" si="488"/>
        <v/>
      </c>
      <c r="AE420" s="268" t="str">
        <f t="shared" si="488"/>
        <v/>
      </c>
      <c r="AF420" s="268" t="str">
        <f t="shared" si="488"/>
        <v/>
      </c>
      <c r="AG420" s="268" t="str">
        <f t="shared" si="488"/>
        <v/>
      </c>
      <c r="AH420" s="268" t="str">
        <f t="shared" si="488"/>
        <v/>
      </c>
      <c r="AI420" s="268" t="str">
        <f t="shared" si="488"/>
        <v/>
      </c>
      <c r="AJ420" s="268" t="str">
        <f t="shared" si="488"/>
        <v/>
      </c>
      <c r="AK420" s="268" t="str">
        <f t="shared" si="488"/>
        <v/>
      </c>
      <c r="AL420" s="268" t="str">
        <f t="shared" si="488"/>
        <v/>
      </c>
      <c r="AM420" s="268" t="str">
        <f t="shared" si="488"/>
        <v/>
      </c>
      <c r="AN420" s="268" t="str">
        <f t="shared" si="488"/>
        <v/>
      </c>
      <c r="AO420" s="268" t="str">
        <f t="shared" si="488"/>
        <v/>
      </c>
      <c r="AP420" s="268" t="str">
        <f t="shared" si="488"/>
        <v/>
      </c>
      <c r="AQ420" s="268" t="str">
        <f t="shared" si="488"/>
        <v/>
      </c>
      <c r="AR420" s="268" t="str">
        <f t="shared" si="488"/>
        <v/>
      </c>
      <c r="AS420" s="268" t="str">
        <f t="shared" si="488"/>
        <v/>
      </c>
      <c r="AT420" s="268" t="str">
        <f t="shared" si="488"/>
        <v/>
      </c>
      <c r="AU420" s="268" t="str">
        <f t="shared" si="488"/>
        <v/>
      </c>
      <c r="AV420" s="268" t="str">
        <f t="shared" si="488"/>
        <v/>
      </c>
      <c r="AW420" s="268" t="str">
        <f t="shared" si="488"/>
        <v/>
      </c>
      <c r="AX420" s="268" t="str">
        <f t="shared" si="488"/>
        <v/>
      </c>
      <c r="AY420" s="268" t="str">
        <f t="shared" si="488"/>
        <v/>
      </c>
      <c r="AZ420" s="268" t="str">
        <f t="shared" si="488"/>
        <v/>
      </c>
      <c r="BA420" s="268" t="str">
        <f t="shared" si="488"/>
        <v/>
      </c>
      <c r="BB420" s="268" t="str">
        <f t="shared" si="488"/>
        <v/>
      </c>
      <c r="BC420" s="268" t="str">
        <f t="shared" si="488"/>
        <v/>
      </c>
      <c r="BD420" s="268" t="str">
        <f t="shared" si="488"/>
        <v/>
      </c>
      <c r="BE420" s="268" t="str">
        <f t="shared" si="488"/>
        <v/>
      </c>
      <c r="BF420" s="268" t="str">
        <f t="shared" si="488"/>
        <v/>
      </c>
      <c r="BG420" s="268" t="str">
        <f t="shared" si="488"/>
        <v/>
      </c>
      <c r="BH420" s="268">
        <f t="shared" si="488"/>
        <v>2200</v>
      </c>
      <c r="BI420" s="268" t="str">
        <f t="shared" si="488"/>
        <v/>
      </c>
      <c r="BJ420" s="268" t="str">
        <f t="shared" si="488"/>
        <v/>
      </c>
      <c r="BK420" s="268" t="str">
        <f t="shared" si="488"/>
        <v/>
      </c>
      <c r="BL420" s="268" t="str">
        <f t="shared" si="488"/>
        <v/>
      </c>
      <c r="BM420" s="268" t="str">
        <f t="shared" si="488"/>
        <v/>
      </c>
      <c r="BN420" s="268" t="str">
        <f t="shared" si="488"/>
        <v/>
      </c>
      <c r="BO420" s="268" t="str">
        <f t="shared" si="488"/>
        <v/>
      </c>
      <c r="BP420" s="268" t="str">
        <f t="shared" si="488"/>
        <v/>
      </c>
      <c r="BQ420" s="268" t="str">
        <f t="shared" si="488"/>
        <v/>
      </c>
      <c r="BR420" s="268" t="str">
        <f t="shared" si="488"/>
        <v/>
      </c>
      <c r="BS420" s="268" t="str">
        <f t="shared" si="488"/>
        <v/>
      </c>
      <c r="BT420" s="268" t="str">
        <f t="shared" si="488"/>
        <v/>
      </c>
      <c r="BU420" s="268" t="str">
        <f t="shared" si="456"/>
        <v/>
      </c>
      <c r="BV420" s="247">
        <v>2.82</v>
      </c>
      <c r="BW420" s="729">
        <f t="shared" ref="BW420:BW429" si="489">SUM(I420:BU420)*BV420</f>
        <v>6204</v>
      </c>
      <c r="BX420" s="730">
        <f t="shared" ref="BX420:BX429" si="490">BW420*7.75</f>
        <v>48081</v>
      </c>
      <c r="BY420" s="731" t="str">
        <f t="shared" ref="BY420:BY429" si="491">MID(E420,1,2)</f>
        <v>JC</v>
      </c>
    </row>
    <row r="421" s="698" customFormat="1" customHeight="1" spans="1:77">
      <c r="A421" s="208">
        <v>46107</v>
      </c>
      <c r="B421" s="208">
        <v>46157</v>
      </c>
      <c r="C421" s="211"/>
      <c r="D421" s="211" t="s">
        <v>580</v>
      </c>
      <c r="E421" s="211" t="s">
        <v>50</v>
      </c>
      <c r="F421" s="732">
        <v>6498</v>
      </c>
      <c r="G421" s="211" t="s">
        <v>510</v>
      </c>
      <c r="H421" s="211" t="str">
        <f>IFERROR(VLOOKUP(E421,名称!A:E,4,0),"")</f>
        <v>蛋糕</v>
      </c>
      <c r="I421" s="268" t="str">
        <f t="shared" ref="I421:BT421" si="492">IF(OR($E421="",I$1=""),"",IF(TRIM(LEFT($E421,MIN(IFERROR(FIND("CDU",UPPER($E421)),999),IFERROR(FIND("BULK",UPPER($E421)),999),IFERROR(FIND("-",$E421),999),IFERROR(FIND("（",$E421),999))-1))=I$1,$F421,""))</f>
        <v/>
      </c>
      <c r="J421" s="268" t="str">
        <f t="shared" si="492"/>
        <v/>
      </c>
      <c r="K421" s="268" t="str">
        <f t="shared" si="492"/>
        <v/>
      </c>
      <c r="L421" s="268" t="str">
        <f t="shared" si="492"/>
        <v/>
      </c>
      <c r="M421" s="268" t="str">
        <f t="shared" si="492"/>
        <v/>
      </c>
      <c r="N421" s="268" t="str">
        <f t="shared" si="492"/>
        <v/>
      </c>
      <c r="O421" s="268" t="str">
        <f t="shared" si="492"/>
        <v/>
      </c>
      <c r="P421" s="268" t="str">
        <f t="shared" si="492"/>
        <v/>
      </c>
      <c r="Q421" s="268" t="str">
        <f t="shared" si="492"/>
        <v/>
      </c>
      <c r="R421" s="268" t="str">
        <f t="shared" si="492"/>
        <v/>
      </c>
      <c r="S421" s="268" t="str">
        <f t="shared" si="492"/>
        <v/>
      </c>
      <c r="T421" s="268" t="str">
        <f t="shared" si="492"/>
        <v/>
      </c>
      <c r="U421" s="268" t="str">
        <f t="shared" si="492"/>
        <v/>
      </c>
      <c r="V421" s="268" t="str">
        <f t="shared" si="492"/>
        <v/>
      </c>
      <c r="W421" s="268" t="str">
        <f t="shared" si="492"/>
        <v/>
      </c>
      <c r="X421" s="268" t="str">
        <f t="shared" si="492"/>
        <v/>
      </c>
      <c r="Y421" s="268" t="str">
        <f t="shared" si="492"/>
        <v/>
      </c>
      <c r="Z421" s="268" t="str">
        <f t="shared" si="492"/>
        <v/>
      </c>
      <c r="AA421" s="268" t="str">
        <f t="shared" si="492"/>
        <v/>
      </c>
      <c r="AB421" s="268" t="str">
        <f t="shared" si="492"/>
        <v/>
      </c>
      <c r="AC421" s="268" t="str">
        <f t="shared" si="492"/>
        <v/>
      </c>
      <c r="AD421" s="268" t="str">
        <f t="shared" si="492"/>
        <v/>
      </c>
      <c r="AE421" s="268" t="str">
        <f t="shared" si="492"/>
        <v/>
      </c>
      <c r="AF421" s="268" t="str">
        <f t="shared" si="492"/>
        <v/>
      </c>
      <c r="AG421" s="268" t="str">
        <f t="shared" si="492"/>
        <v/>
      </c>
      <c r="AH421" s="268" t="str">
        <f t="shared" si="492"/>
        <v/>
      </c>
      <c r="AI421" s="268" t="str">
        <f t="shared" si="492"/>
        <v/>
      </c>
      <c r="AJ421" s="268" t="str">
        <f t="shared" si="492"/>
        <v/>
      </c>
      <c r="AK421" s="268" t="str">
        <f t="shared" si="492"/>
        <v/>
      </c>
      <c r="AL421" s="268" t="str">
        <f t="shared" si="492"/>
        <v/>
      </c>
      <c r="AM421" s="268" t="str">
        <f t="shared" si="492"/>
        <v/>
      </c>
      <c r="AN421" s="268" t="str">
        <f t="shared" si="492"/>
        <v/>
      </c>
      <c r="AO421" s="268" t="str">
        <f t="shared" si="492"/>
        <v/>
      </c>
      <c r="AP421" s="268" t="str">
        <f t="shared" si="492"/>
        <v/>
      </c>
      <c r="AQ421" s="268" t="str">
        <f t="shared" si="492"/>
        <v/>
      </c>
      <c r="AR421" s="268" t="str">
        <f t="shared" si="492"/>
        <v/>
      </c>
      <c r="AS421" s="268" t="str">
        <f t="shared" si="492"/>
        <v/>
      </c>
      <c r="AT421" s="268" t="str">
        <f t="shared" si="492"/>
        <v/>
      </c>
      <c r="AU421" s="268" t="str">
        <f t="shared" si="492"/>
        <v/>
      </c>
      <c r="AV421" s="268" t="str">
        <f t="shared" si="492"/>
        <v/>
      </c>
      <c r="AW421" s="268" t="str">
        <f t="shared" si="492"/>
        <v/>
      </c>
      <c r="AX421" s="268" t="str">
        <f t="shared" si="492"/>
        <v/>
      </c>
      <c r="AY421" s="268" t="str">
        <f t="shared" si="492"/>
        <v/>
      </c>
      <c r="AZ421" s="268" t="str">
        <f t="shared" si="492"/>
        <v/>
      </c>
      <c r="BA421" s="268" t="str">
        <f t="shared" si="492"/>
        <v/>
      </c>
      <c r="BB421" s="268" t="str">
        <f t="shared" si="492"/>
        <v/>
      </c>
      <c r="BC421" s="268" t="str">
        <f t="shared" si="492"/>
        <v/>
      </c>
      <c r="BD421" s="268" t="str">
        <f t="shared" si="492"/>
        <v/>
      </c>
      <c r="BE421" s="268" t="str">
        <f t="shared" si="492"/>
        <v/>
      </c>
      <c r="BF421" s="268" t="str">
        <f t="shared" si="492"/>
        <v/>
      </c>
      <c r="BG421" s="268">
        <f t="shared" si="492"/>
        <v>6498</v>
      </c>
      <c r="BH421" s="268" t="str">
        <f t="shared" si="492"/>
        <v/>
      </c>
      <c r="BI421" s="268" t="str">
        <f t="shared" si="492"/>
        <v/>
      </c>
      <c r="BJ421" s="268" t="str">
        <f t="shared" si="492"/>
        <v/>
      </c>
      <c r="BK421" s="268" t="str">
        <f t="shared" si="492"/>
        <v/>
      </c>
      <c r="BL421" s="268" t="str">
        <f t="shared" si="492"/>
        <v/>
      </c>
      <c r="BM421" s="268" t="str">
        <f t="shared" si="492"/>
        <v/>
      </c>
      <c r="BN421" s="268" t="str">
        <f t="shared" si="492"/>
        <v/>
      </c>
      <c r="BO421" s="268" t="str">
        <f t="shared" si="492"/>
        <v/>
      </c>
      <c r="BP421" s="268" t="str">
        <f t="shared" si="492"/>
        <v/>
      </c>
      <c r="BQ421" s="268" t="str">
        <f t="shared" si="492"/>
        <v/>
      </c>
      <c r="BR421" s="268" t="str">
        <f t="shared" si="492"/>
        <v/>
      </c>
      <c r="BS421" s="268" t="str">
        <f t="shared" si="492"/>
        <v/>
      </c>
      <c r="BT421" s="268" t="str">
        <f t="shared" si="492"/>
        <v/>
      </c>
      <c r="BU421" s="268" t="str">
        <f t="shared" si="456"/>
        <v/>
      </c>
      <c r="BV421" s="247">
        <v>1.1</v>
      </c>
      <c r="BW421" s="729">
        <f t="shared" si="489"/>
        <v>7147.8</v>
      </c>
      <c r="BX421" s="730">
        <f t="shared" si="490"/>
        <v>55395.45</v>
      </c>
      <c r="BY421" s="731" t="str">
        <f t="shared" si="491"/>
        <v>JC</v>
      </c>
    </row>
    <row r="422" s="698" customFormat="1" customHeight="1" spans="1:77">
      <c r="A422" s="208">
        <v>46107</v>
      </c>
      <c r="B422" s="208">
        <v>46161</v>
      </c>
      <c r="C422" s="211"/>
      <c r="D422" s="211" t="s">
        <v>581</v>
      </c>
      <c r="E422" s="211" t="s">
        <v>112</v>
      </c>
      <c r="F422" s="732">
        <v>804</v>
      </c>
      <c r="G422" s="211" t="s">
        <v>510</v>
      </c>
      <c r="H422" s="211" t="str">
        <f>IFERROR(VLOOKUP(E422,名称!A:E,4,0),"")</f>
        <v>三代</v>
      </c>
      <c r="I422" s="268" t="str">
        <f t="shared" ref="I422:BT422" si="493">IF(OR($E422="",I$1=""),"",IF(TRIM(LEFT($E422,MIN(IFERROR(FIND("CDU",UPPER($E422)),999),IFERROR(FIND("BULK",UPPER($E422)),999),IFERROR(FIND("-",$E422),999),IFERROR(FIND("（",$E422),999))-1))=I$1,$F422,""))</f>
        <v/>
      </c>
      <c r="J422" s="268" t="str">
        <f t="shared" si="493"/>
        <v/>
      </c>
      <c r="K422" s="268" t="str">
        <f t="shared" si="493"/>
        <v/>
      </c>
      <c r="L422" s="268" t="str">
        <f t="shared" si="493"/>
        <v/>
      </c>
      <c r="M422" s="268" t="str">
        <f t="shared" si="493"/>
        <v/>
      </c>
      <c r="N422" s="268" t="str">
        <f t="shared" si="493"/>
        <v/>
      </c>
      <c r="O422" s="268" t="str">
        <f t="shared" si="493"/>
        <v/>
      </c>
      <c r="P422" s="268" t="str">
        <f t="shared" si="493"/>
        <v/>
      </c>
      <c r="Q422" s="268" t="str">
        <f t="shared" si="493"/>
        <v/>
      </c>
      <c r="R422" s="268" t="str">
        <f t="shared" si="493"/>
        <v/>
      </c>
      <c r="S422" s="268" t="str">
        <f t="shared" si="493"/>
        <v/>
      </c>
      <c r="T422" s="268" t="str">
        <f t="shared" si="493"/>
        <v/>
      </c>
      <c r="U422" s="268" t="str">
        <f t="shared" si="493"/>
        <v/>
      </c>
      <c r="V422" s="268" t="str">
        <f t="shared" si="493"/>
        <v/>
      </c>
      <c r="W422" s="268" t="str">
        <f t="shared" si="493"/>
        <v/>
      </c>
      <c r="X422" s="268" t="str">
        <f t="shared" si="493"/>
        <v/>
      </c>
      <c r="Y422" s="268" t="str">
        <f t="shared" si="493"/>
        <v/>
      </c>
      <c r="Z422" s="268" t="str">
        <f t="shared" si="493"/>
        <v/>
      </c>
      <c r="AA422" s="268" t="str">
        <f t="shared" si="493"/>
        <v/>
      </c>
      <c r="AB422" s="268" t="str">
        <f t="shared" si="493"/>
        <v/>
      </c>
      <c r="AC422" s="268" t="str">
        <f t="shared" si="493"/>
        <v/>
      </c>
      <c r="AD422" s="268" t="str">
        <f t="shared" si="493"/>
        <v/>
      </c>
      <c r="AE422" s="268" t="str">
        <f t="shared" si="493"/>
        <v/>
      </c>
      <c r="AF422" s="268" t="str">
        <f t="shared" si="493"/>
        <v/>
      </c>
      <c r="AG422" s="268" t="str">
        <f t="shared" si="493"/>
        <v/>
      </c>
      <c r="AH422" s="268" t="str">
        <f t="shared" si="493"/>
        <v/>
      </c>
      <c r="AI422" s="268">
        <f t="shared" si="493"/>
        <v>804</v>
      </c>
      <c r="AJ422" s="268" t="str">
        <f t="shared" si="493"/>
        <v/>
      </c>
      <c r="AK422" s="268" t="str">
        <f t="shared" si="493"/>
        <v/>
      </c>
      <c r="AL422" s="268" t="str">
        <f t="shared" si="493"/>
        <v/>
      </c>
      <c r="AM422" s="268" t="str">
        <f t="shared" si="493"/>
        <v/>
      </c>
      <c r="AN422" s="268" t="str">
        <f t="shared" si="493"/>
        <v/>
      </c>
      <c r="AO422" s="268" t="str">
        <f t="shared" si="493"/>
        <v/>
      </c>
      <c r="AP422" s="268" t="str">
        <f t="shared" si="493"/>
        <v/>
      </c>
      <c r="AQ422" s="268" t="str">
        <f t="shared" si="493"/>
        <v/>
      </c>
      <c r="AR422" s="268" t="str">
        <f t="shared" si="493"/>
        <v/>
      </c>
      <c r="AS422" s="268" t="str">
        <f t="shared" si="493"/>
        <v/>
      </c>
      <c r="AT422" s="268" t="str">
        <f t="shared" si="493"/>
        <v/>
      </c>
      <c r="AU422" s="268" t="str">
        <f t="shared" si="493"/>
        <v/>
      </c>
      <c r="AV422" s="268" t="str">
        <f t="shared" si="493"/>
        <v/>
      </c>
      <c r="AW422" s="268" t="str">
        <f t="shared" si="493"/>
        <v/>
      </c>
      <c r="AX422" s="268" t="str">
        <f t="shared" si="493"/>
        <v/>
      </c>
      <c r="AY422" s="268" t="str">
        <f t="shared" si="493"/>
        <v/>
      </c>
      <c r="AZ422" s="268" t="str">
        <f t="shared" si="493"/>
        <v/>
      </c>
      <c r="BA422" s="268" t="str">
        <f t="shared" si="493"/>
        <v/>
      </c>
      <c r="BB422" s="268" t="str">
        <f t="shared" si="493"/>
        <v/>
      </c>
      <c r="BC422" s="268" t="str">
        <f t="shared" si="493"/>
        <v/>
      </c>
      <c r="BD422" s="268" t="str">
        <f t="shared" si="493"/>
        <v/>
      </c>
      <c r="BE422" s="268" t="str">
        <f t="shared" si="493"/>
        <v/>
      </c>
      <c r="BF422" s="268" t="str">
        <f t="shared" si="493"/>
        <v/>
      </c>
      <c r="BG422" s="268" t="str">
        <f t="shared" si="493"/>
        <v/>
      </c>
      <c r="BH422" s="268" t="str">
        <f t="shared" si="493"/>
        <v/>
      </c>
      <c r="BI422" s="268" t="str">
        <f t="shared" si="493"/>
        <v/>
      </c>
      <c r="BJ422" s="268" t="str">
        <f t="shared" si="493"/>
        <v/>
      </c>
      <c r="BK422" s="268" t="str">
        <f t="shared" si="493"/>
        <v/>
      </c>
      <c r="BL422" s="268" t="str">
        <f t="shared" si="493"/>
        <v/>
      </c>
      <c r="BM422" s="268" t="str">
        <f t="shared" si="493"/>
        <v/>
      </c>
      <c r="BN422" s="268" t="str">
        <f t="shared" si="493"/>
        <v/>
      </c>
      <c r="BO422" s="268" t="str">
        <f t="shared" si="493"/>
        <v/>
      </c>
      <c r="BP422" s="268" t="str">
        <f t="shared" si="493"/>
        <v/>
      </c>
      <c r="BQ422" s="268" t="str">
        <f t="shared" si="493"/>
        <v/>
      </c>
      <c r="BR422" s="268" t="str">
        <f t="shared" si="493"/>
        <v/>
      </c>
      <c r="BS422" s="268" t="str">
        <f t="shared" si="493"/>
        <v/>
      </c>
      <c r="BT422" s="268" t="str">
        <f t="shared" si="493"/>
        <v/>
      </c>
      <c r="BU422" s="268" t="str">
        <f t="shared" si="456"/>
        <v/>
      </c>
      <c r="BV422" s="247">
        <v>9.12</v>
      </c>
      <c r="BW422" s="729">
        <f t="shared" si="489"/>
        <v>7332.48</v>
      </c>
      <c r="BX422" s="730">
        <f t="shared" si="490"/>
        <v>56826.72</v>
      </c>
      <c r="BY422" s="731" t="str">
        <f t="shared" si="491"/>
        <v>SR</v>
      </c>
    </row>
    <row r="423" s="698" customFormat="1" customHeight="1" spans="1:77">
      <c r="A423" s="208">
        <v>46107</v>
      </c>
      <c r="B423" s="208">
        <v>46161</v>
      </c>
      <c r="C423" s="211"/>
      <c r="D423" s="211" t="s">
        <v>581</v>
      </c>
      <c r="E423" s="211" t="s">
        <v>66</v>
      </c>
      <c r="F423" s="732">
        <v>5430</v>
      </c>
      <c r="G423" s="211" t="s">
        <v>510</v>
      </c>
      <c r="H423" s="211" t="str">
        <f>IFERROR(VLOOKUP(E423,名称!A:E,4,0),"")</f>
        <v>三代</v>
      </c>
      <c r="I423" s="268" t="str">
        <f t="shared" ref="I423:BT423" si="494">IF(OR($E423="",I$1=""),"",IF(TRIM(LEFT($E423,MIN(IFERROR(FIND("CDU",UPPER($E423)),999),IFERROR(FIND("BULK",UPPER($E423)),999),IFERROR(FIND("-",$E423),999),IFERROR(FIND("（",$E423),999))-1))=I$1,$F423,""))</f>
        <v/>
      </c>
      <c r="J423" s="268" t="str">
        <f t="shared" si="494"/>
        <v/>
      </c>
      <c r="K423" s="268" t="str">
        <f t="shared" si="494"/>
        <v/>
      </c>
      <c r="L423" s="268" t="str">
        <f t="shared" si="494"/>
        <v/>
      </c>
      <c r="M423" s="268" t="str">
        <f t="shared" si="494"/>
        <v/>
      </c>
      <c r="N423" s="268" t="str">
        <f t="shared" si="494"/>
        <v/>
      </c>
      <c r="O423" s="268" t="str">
        <f t="shared" si="494"/>
        <v/>
      </c>
      <c r="P423" s="268" t="str">
        <f t="shared" si="494"/>
        <v/>
      </c>
      <c r="Q423" s="268" t="str">
        <f t="shared" si="494"/>
        <v/>
      </c>
      <c r="R423" s="268" t="str">
        <f t="shared" si="494"/>
        <v/>
      </c>
      <c r="S423" s="268" t="str">
        <f t="shared" si="494"/>
        <v/>
      </c>
      <c r="T423" s="268" t="str">
        <f t="shared" si="494"/>
        <v/>
      </c>
      <c r="U423" s="268" t="str">
        <f t="shared" si="494"/>
        <v/>
      </c>
      <c r="V423" s="268" t="str">
        <f t="shared" si="494"/>
        <v/>
      </c>
      <c r="W423" s="268" t="str">
        <f t="shared" si="494"/>
        <v/>
      </c>
      <c r="X423" s="268" t="str">
        <f t="shared" si="494"/>
        <v/>
      </c>
      <c r="Y423" s="268" t="str">
        <f t="shared" si="494"/>
        <v/>
      </c>
      <c r="Z423" s="268" t="str">
        <f t="shared" si="494"/>
        <v/>
      </c>
      <c r="AA423" s="268" t="str">
        <f t="shared" si="494"/>
        <v/>
      </c>
      <c r="AB423" s="268" t="str">
        <f t="shared" si="494"/>
        <v/>
      </c>
      <c r="AC423" s="268" t="str">
        <f t="shared" si="494"/>
        <v/>
      </c>
      <c r="AD423" s="268" t="str">
        <f t="shared" si="494"/>
        <v/>
      </c>
      <c r="AE423" s="268" t="str">
        <f t="shared" si="494"/>
        <v/>
      </c>
      <c r="AF423" s="268" t="str">
        <f t="shared" si="494"/>
        <v/>
      </c>
      <c r="AG423" s="268">
        <f t="shared" si="494"/>
        <v>5430</v>
      </c>
      <c r="AH423" s="268" t="str">
        <f t="shared" si="494"/>
        <v/>
      </c>
      <c r="AI423" s="268" t="str">
        <f t="shared" si="494"/>
        <v/>
      </c>
      <c r="AJ423" s="268" t="str">
        <f t="shared" si="494"/>
        <v/>
      </c>
      <c r="AK423" s="268" t="str">
        <f t="shared" si="494"/>
        <v/>
      </c>
      <c r="AL423" s="268" t="str">
        <f t="shared" si="494"/>
        <v/>
      </c>
      <c r="AM423" s="268" t="str">
        <f t="shared" si="494"/>
        <v/>
      </c>
      <c r="AN423" s="268" t="str">
        <f t="shared" si="494"/>
        <v/>
      </c>
      <c r="AO423" s="268" t="str">
        <f t="shared" si="494"/>
        <v/>
      </c>
      <c r="AP423" s="268" t="str">
        <f t="shared" si="494"/>
        <v/>
      </c>
      <c r="AQ423" s="268" t="str">
        <f t="shared" si="494"/>
        <v/>
      </c>
      <c r="AR423" s="268" t="str">
        <f t="shared" si="494"/>
        <v/>
      </c>
      <c r="AS423" s="268" t="str">
        <f t="shared" si="494"/>
        <v/>
      </c>
      <c r="AT423" s="268" t="str">
        <f t="shared" si="494"/>
        <v/>
      </c>
      <c r="AU423" s="268" t="str">
        <f t="shared" si="494"/>
        <v/>
      </c>
      <c r="AV423" s="268" t="str">
        <f t="shared" si="494"/>
        <v/>
      </c>
      <c r="AW423" s="268" t="str">
        <f t="shared" si="494"/>
        <v/>
      </c>
      <c r="AX423" s="268" t="str">
        <f t="shared" si="494"/>
        <v/>
      </c>
      <c r="AY423" s="268" t="str">
        <f t="shared" si="494"/>
        <v/>
      </c>
      <c r="AZ423" s="268" t="str">
        <f t="shared" si="494"/>
        <v/>
      </c>
      <c r="BA423" s="268" t="str">
        <f t="shared" si="494"/>
        <v/>
      </c>
      <c r="BB423" s="268" t="str">
        <f t="shared" si="494"/>
        <v/>
      </c>
      <c r="BC423" s="268" t="str">
        <f t="shared" si="494"/>
        <v/>
      </c>
      <c r="BD423" s="268" t="str">
        <f t="shared" si="494"/>
        <v/>
      </c>
      <c r="BE423" s="268" t="str">
        <f t="shared" si="494"/>
        <v/>
      </c>
      <c r="BF423" s="268" t="str">
        <f t="shared" si="494"/>
        <v/>
      </c>
      <c r="BG423" s="268" t="str">
        <f t="shared" si="494"/>
        <v/>
      </c>
      <c r="BH423" s="268" t="str">
        <f t="shared" si="494"/>
        <v/>
      </c>
      <c r="BI423" s="268" t="str">
        <f t="shared" si="494"/>
        <v/>
      </c>
      <c r="BJ423" s="268" t="str">
        <f t="shared" si="494"/>
        <v/>
      </c>
      <c r="BK423" s="268" t="str">
        <f t="shared" si="494"/>
        <v/>
      </c>
      <c r="BL423" s="268" t="str">
        <f t="shared" si="494"/>
        <v/>
      </c>
      <c r="BM423" s="268" t="str">
        <f t="shared" si="494"/>
        <v/>
      </c>
      <c r="BN423" s="268" t="str">
        <f t="shared" si="494"/>
        <v/>
      </c>
      <c r="BO423" s="268" t="str">
        <f t="shared" si="494"/>
        <v/>
      </c>
      <c r="BP423" s="268" t="str">
        <f t="shared" si="494"/>
        <v/>
      </c>
      <c r="BQ423" s="268" t="str">
        <f t="shared" si="494"/>
        <v/>
      </c>
      <c r="BR423" s="268" t="str">
        <f t="shared" si="494"/>
        <v/>
      </c>
      <c r="BS423" s="268" t="str">
        <f t="shared" si="494"/>
        <v/>
      </c>
      <c r="BT423" s="268" t="str">
        <f t="shared" si="494"/>
        <v/>
      </c>
      <c r="BU423" s="268" t="str">
        <f t="shared" si="456"/>
        <v/>
      </c>
      <c r="BV423" s="247">
        <v>2.02</v>
      </c>
      <c r="BW423" s="729">
        <f t="shared" si="489"/>
        <v>10968.6</v>
      </c>
      <c r="BX423" s="730">
        <f t="shared" si="490"/>
        <v>85006.65</v>
      </c>
      <c r="BY423" s="731" t="str">
        <f t="shared" si="491"/>
        <v>SR</v>
      </c>
    </row>
    <row r="424" s="698" customFormat="1" customHeight="1" spans="1:77">
      <c r="A424" s="208">
        <v>46107</v>
      </c>
      <c r="B424" s="208">
        <v>46161</v>
      </c>
      <c r="C424" s="211"/>
      <c r="D424" s="211" t="s">
        <v>581</v>
      </c>
      <c r="E424" s="211" t="s">
        <v>55</v>
      </c>
      <c r="F424" s="732">
        <v>12064</v>
      </c>
      <c r="G424" s="211" t="s">
        <v>510</v>
      </c>
      <c r="H424" s="211" t="str">
        <f>IFERROR(VLOOKUP(E424,名称!A:E,4,0),"")</f>
        <v>三代</v>
      </c>
      <c r="I424" s="268" t="str">
        <f t="shared" ref="I424:BT424" si="495">IF(OR($E424="",I$1=""),"",IF(TRIM(LEFT($E424,MIN(IFERROR(FIND("CDU",UPPER($E424)),999),IFERROR(FIND("BULK",UPPER($E424)),999),IFERROR(FIND("-",$E424),999),IFERROR(FIND("（",$E424),999))-1))=I$1,$F424,""))</f>
        <v/>
      </c>
      <c r="J424" s="268" t="str">
        <f t="shared" si="495"/>
        <v/>
      </c>
      <c r="K424" s="268" t="str">
        <f t="shared" si="495"/>
        <v/>
      </c>
      <c r="L424" s="268" t="str">
        <f t="shared" si="495"/>
        <v/>
      </c>
      <c r="M424" s="268" t="str">
        <f t="shared" si="495"/>
        <v/>
      </c>
      <c r="N424" s="268" t="str">
        <f t="shared" si="495"/>
        <v/>
      </c>
      <c r="O424" s="268" t="str">
        <f t="shared" si="495"/>
        <v/>
      </c>
      <c r="P424" s="268" t="str">
        <f t="shared" si="495"/>
        <v/>
      </c>
      <c r="Q424" s="268" t="str">
        <f t="shared" si="495"/>
        <v/>
      </c>
      <c r="R424" s="268" t="str">
        <f t="shared" si="495"/>
        <v/>
      </c>
      <c r="S424" s="268" t="str">
        <f t="shared" si="495"/>
        <v/>
      </c>
      <c r="T424" s="268" t="str">
        <f t="shared" si="495"/>
        <v/>
      </c>
      <c r="U424" s="268" t="str">
        <f t="shared" si="495"/>
        <v/>
      </c>
      <c r="V424" s="268" t="str">
        <f t="shared" si="495"/>
        <v/>
      </c>
      <c r="W424" s="268" t="str">
        <f t="shared" si="495"/>
        <v/>
      </c>
      <c r="X424" s="268" t="str">
        <f t="shared" si="495"/>
        <v/>
      </c>
      <c r="Y424" s="268" t="str">
        <f t="shared" si="495"/>
        <v/>
      </c>
      <c r="Z424" s="268" t="str">
        <f t="shared" si="495"/>
        <v/>
      </c>
      <c r="AA424" s="268" t="str">
        <f t="shared" si="495"/>
        <v/>
      </c>
      <c r="AB424" s="268" t="str">
        <f t="shared" si="495"/>
        <v/>
      </c>
      <c r="AC424" s="268">
        <f t="shared" si="495"/>
        <v>12064</v>
      </c>
      <c r="AD424" s="268" t="str">
        <f t="shared" si="495"/>
        <v/>
      </c>
      <c r="AE424" s="268" t="str">
        <f t="shared" si="495"/>
        <v/>
      </c>
      <c r="AF424" s="268" t="str">
        <f t="shared" si="495"/>
        <v/>
      </c>
      <c r="AG424" s="268" t="str">
        <f t="shared" si="495"/>
        <v/>
      </c>
      <c r="AH424" s="268" t="str">
        <f t="shared" si="495"/>
        <v/>
      </c>
      <c r="AI424" s="268" t="str">
        <f t="shared" si="495"/>
        <v/>
      </c>
      <c r="AJ424" s="268" t="str">
        <f t="shared" si="495"/>
        <v/>
      </c>
      <c r="AK424" s="268" t="str">
        <f t="shared" si="495"/>
        <v/>
      </c>
      <c r="AL424" s="268" t="str">
        <f t="shared" si="495"/>
        <v/>
      </c>
      <c r="AM424" s="268" t="str">
        <f t="shared" si="495"/>
        <v/>
      </c>
      <c r="AN424" s="268" t="str">
        <f t="shared" si="495"/>
        <v/>
      </c>
      <c r="AO424" s="268" t="str">
        <f t="shared" si="495"/>
        <v/>
      </c>
      <c r="AP424" s="268" t="str">
        <f t="shared" si="495"/>
        <v/>
      </c>
      <c r="AQ424" s="268" t="str">
        <f t="shared" si="495"/>
        <v/>
      </c>
      <c r="AR424" s="268" t="str">
        <f t="shared" si="495"/>
        <v/>
      </c>
      <c r="AS424" s="268" t="str">
        <f t="shared" si="495"/>
        <v/>
      </c>
      <c r="AT424" s="268" t="str">
        <f t="shared" si="495"/>
        <v/>
      </c>
      <c r="AU424" s="268" t="str">
        <f t="shared" si="495"/>
        <v/>
      </c>
      <c r="AV424" s="268" t="str">
        <f t="shared" si="495"/>
        <v/>
      </c>
      <c r="AW424" s="268" t="str">
        <f t="shared" si="495"/>
        <v/>
      </c>
      <c r="AX424" s="268" t="str">
        <f t="shared" si="495"/>
        <v/>
      </c>
      <c r="AY424" s="268" t="str">
        <f t="shared" si="495"/>
        <v/>
      </c>
      <c r="AZ424" s="268" t="str">
        <f t="shared" si="495"/>
        <v/>
      </c>
      <c r="BA424" s="268" t="str">
        <f t="shared" si="495"/>
        <v/>
      </c>
      <c r="BB424" s="268" t="str">
        <f t="shared" si="495"/>
        <v/>
      </c>
      <c r="BC424" s="268" t="str">
        <f t="shared" si="495"/>
        <v/>
      </c>
      <c r="BD424" s="268" t="str">
        <f t="shared" si="495"/>
        <v/>
      </c>
      <c r="BE424" s="268" t="str">
        <f t="shared" si="495"/>
        <v/>
      </c>
      <c r="BF424" s="268" t="str">
        <f t="shared" si="495"/>
        <v/>
      </c>
      <c r="BG424" s="268" t="str">
        <f t="shared" si="495"/>
        <v/>
      </c>
      <c r="BH424" s="268" t="str">
        <f t="shared" si="495"/>
        <v/>
      </c>
      <c r="BI424" s="268" t="str">
        <f t="shared" si="495"/>
        <v/>
      </c>
      <c r="BJ424" s="268" t="str">
        <f t="shared" si="495"/>
        <v/>
      </c>
      <c r="BK424" s="268" t="str">
        <f t="shared" si="495"/>
        <v/>
      </c>
      <c r="BL424" s="268" t="str">
        <f t="shared" si="495"/>
        <v/>
      </c>
      <c r="BM424" s="268" t="str">
        <f t="shared" si="495"/>
        <v/>
      </c>
      <c r="BN424" s="268" t="str">
        <f t="shared" si="495"/>
        <v/>
      </c>
      <c r="BO424" s="268" t="str">
        <f t="shared" si="495"/>
        <v/>
      </c>
      <c r="BP424" s="268" t="str">
        <f t="shared" si="495"/>
        <v/>
      </c>
      <c r="BQ424" s="268" t="str">
        <f t="shared" si="495"/>
        <v/>
      </c>
      <c r="BR424" s="268" t="str">
        <f t="shared" si="495"/>
        <v/>
      </c>
      <c r="BS424" s="268" t="str">
        <f t="shared" si="495"/>
        <v/>
      </c>
      <c r="BT424" s="268" t="str">
        <f t="shared" si="495"/>
        <v/>
      </c>
      <c r="BU424" s="268" t="str">
        <f t="shared" si="456"/>
        <v/>
      </c>
      <c r="BV424" s="247">
        <v>0.88</v>
      </c>
      <c r="BW424" s="729">
        <f t="shared" si="489"/>
        <v>10616.32</v>
      </c>
      <c r="BX424" s="730">
        <f t="shared" si="490"/>
        <v>82276.48</v>
      </c>
      <c r="BY424" s="731" t="str">
        <f t="shared" si="491"/>
        <v>SR</v>
      </c>
    </row>
    <row r="425" s="698" customFormat="1" customHeight="1" spans="1:77">
      <c r="A425" s="208">
        <v>46107</v>
      </c>
      <c r="B425" s="208">
        <v>46161</v>
      </c>
      <c r="C425" s="211"/>
      <c r="D425" s="211" t="s">
        <v>581</v>
      </c>
      <c r="E425" s="211" t="s">
        <v>59</v>
      </c>
      <c r="F425" s="732">
        <v>12072</v>
      </c>
      <c r="G425" s="211" t="s">
        <v>510</v>
      </c>
      <c r="H425" s="211" t="str">
        <f>IFERROR(VLOOKUP(E425,名称!A:E,4,0),"")</f>
        <v>三代</v>
      </c>
      <c r="I425" s="268" t="str">
        <f t="shared" ref="I425:BT425" si="496">IF(OR($E425="",I$1=""),"",IF(TRIM(LEFT($E425,MIN(IFERROR(FIND("CDU",UPPER($E425)),999),IFERROR(FIND("BULK",UPPER($E425)),999),IFERROR(FIND("-",$E425),999),IFERROR(FIND("（",$E425),999))-1))=I$1,$F425,""))</f>
        <v/>
      </c>
      <c r="J425" s="268" t="str">
        <f t="shared" si="496"/>
        <v/>
      </c>
      <c r="K425" s="268" t="str">
        <f t="shared" si="496"/>
        <v/>
      </c>
      <c r="L425" s="268" t="str">
        <f t="shared" si="496"/>
        <v/>
      </c>
      <c r="M425" s="268" t="str">
        <f t="shared" si="496"/>
        <v/>
      </c>
      <c r="N425" s="268" t="str">
        <f t="shared" si="496"/>
        <v/>
      </c>
      <c r="O425" s="268" t="str">
        <f t="shared" si="496"/>
        <v/>
      </c>
      <c r="P425" s="268" t="str">
        <f t="shared" si="496"/>
        <v/>
      </c>
      <c r="Q425" s="268" t="str">
        <f t="shared" si="496"/>
        <v/>
      </c>
      <c r="R425" s="268" t="str">
        <f t="shared" si="496"/>
        <v/>
      </c>
      <c r="S425" s="268" t="str">
        <f t="shared" si="496"/>
        <v/>
      </c>
      <c r="T425" s="268" t="str">
        <f t="shared" si="496"/>
        <v/>
      </c>
      <c r="U425" s="268" t="str">
        <f t="shared" si="496"/>
        <v/>
      </c>
      <c r="V425" s="268" t="str">
        <f t="shared" si="496"/>
        <v/>
      </c>
      <c r="W425" s="268" t="str">
        <f t="shared" si="496"/>
        <v/>
      </c>
      <c r="X425" s="268" t="str">
        <f t="shared" si="496"/>
        <v/>
      </c>
      <c r="Y425" s="268" t="str">
        <f t="shared" si="496"/>
        <v/>
      </c>
      <c r="Z425" s="268" t="str">
        <f t="shared" si="496"/>
        <v/>
      </c>
      <c r="AA425" s="268" t="str">
        <f t="shared" si="496"/>
        <v/>
      </c>
      <c r="AB425" s="268" t="str">
        <f t="shared" si="496"/>
        <v/>
      </c>
      <c r="AC425" s="268" t="str">
        <f t="shared" si="496"/>
        <v/>
      </c>
      <c r="AD425" s="268">
        <f t="shared" si="496"/>
        <v>12072</v>
      </c>
      <c r="AE425" s="268" t="str">
        <f t="shared" si="496"/>
        <v/>
      </c>
      <c r="AF425" s="268" t="str">
        <f t="shared" si="496"/>
        <v/>
      </c>
      <c r="AG425" s="268" t="str">
        <f t="shared" si="496"/>
        <v/>
      </c>
      <c r="AH425" s="268" t="str">
        <f t="shared" si="496"/>
        <v/>
      </c>
      <c r="AI425" s="268" t="str">
        <f t="shared" si="496"/>
        <v/>
      </c>
      <c r="AJ425" s="268" t="str">
        <f t="shared" si="496"/>
        <v/>
      </c>
      <c r="AK425" s="268" t="str">
        <f t="shared" si="496"/>
        <v/>
      </c>
      <c r="AL425" s="268" t="str">
        <f t="shared" si="496"/>
        <v/>
      </c>
      <c r="AM425" s="268" t="str">
        <f t="shared" si="496"/>
        <v/>
      </c>
      <c r="AN425" s="268" t="str">
        <f t="shared" si="496"/>
        <v/>
      </c>
      <c r="AO425" s="268" t="str">
        <f t="shared" si="496"/>
        <v/>
      </c>
      <c r="AP425" s="268" t="str">
        <f t="shared" si="496"/>
        <v/>
      </c>
      <c r="AQ425" s="268" t="str">
        <f t="shared" si="496"/>
        <v/>
      </c>
      <c r="AR425" s="268" t="str">
        <f t="shared" si="496"/>
        <v/>
      </c>
      <c r="AS425" s="268" t="str">
        <f t="shared" si="496"/>
        <v/>
      </c>
      <c r="AT425" s="268" t="str">
        <f t="shared" si="496"/>
        <v/>
      </c>
      <c r="AU425" s="268" t="str">
        <f t="shared" si="496"/>
        <v/>
      </c>
      <c r="AV425" s="268" t="str">
        <f t="shared" si="496"/>
        <v/>
      </c>
      <c r="AW425" s="268" t="str">
        <f t="shared" si="496"/>
        <v/>
      </c>
      <c r="AX425" s="268" t="str">
        <f t="shared" si="496"/>
        <v/>
      </c>
      <c r="AY425" s="268" t="str">
        <f t="shared" si="496"/>
        <v/>
      </c>
      <c r="AZ425" s="268" t="str">
        <f t="shared" si="496"/>
        <v/>
      </c>
      <c r="BA425" s="268" t="str">
        <f t="shared" si="496"/>
        <v/>
      </c>
      <c r="BB425" s="268" t="str">
        <f t="shared" si="496"/>
        <v/>
      </c>
      <c r="BC425" s="268" t="str">
        <f t="shared" si="496"/>
        <v/>
      </c>
      <c r="BD425" s="268" t="str">
        <f t="shared" si="496"/>
        <v/>
      </c>
      <c r="BE425" s="268" t="str">
        <f t="shared" si="496"/>
        <v/>
      </c>
      <c r="BF425" s="268" t="str">
        <f t="shared" si="496"/>
        <v/>
      </c>
      <c r="BG425" s="268" t="str">
        <f t="shared" si="496"/>
        <v/>
      </c>
      <c r="BH425" s="268" t="str">
        <f t="shared" si="496"/>
        <v/>
      </c>
      <c r="BI425" s="268" t="str">
        <f t="shared" si="496"/>
        <v/>
      </c>
      <c r="BJ425" s="268" t="str">
        <f t="shared" si="496"/>
        <v/>
      </c>
      <c r="BK425" s="268" t="str">
        <f t="shared" si="496"/>
        <v/>
      </c>
      <c r="BL425" s="268" t="str">
        <f t="shared" si="496"/>
        <v/>
      </c>
      <c r="BM425" s="268" t="str">
        <f t="shared" si="496"/>
        <v/>
      </c>
      <c r="BN425" s="268" t="str">
        <f t="shared" si="496"/>
        <v/>
      </c>
      <c r="BO425" s="268" t="str">
        <f t="shared" si="496"/>
        <v/>
      </c>
      <c r="BP425" s="268" t="str">
        <f t="shared" si="496"/>
        <v/>
      </c>
      <c r="BQ425" s="268" t="str">
        <f t="shared" si="496"/>
        <v/>
      </c>
      <c r="BR425" s="268" t="str">
        <f t="shared" si="496"/>
        <v/>
      </c>
      <c r="BS425" s="268" t="str">
        <f t="shared" si="496"/>
        <v/>
      </c>
      <c r="BT425" s="268" t="str">
        <f t="shared" si="496"/>
        <v/>
      </c>
      <c r="BU425" s="268" t="str">
        <f t="shared" si="456"/>
        <v/>
      </c>
      <c r="BV425" s="247">
        <v>0.62</v>
      </c>
      <c r="BW425" s="729">
        <f t="shared" si="489"/>
        <v>7484.64</v>
      </c>
      <c r="BX425" s="730">
        <f t="shared" si="490"/>
        <v>58005.96</v>
      </c>
      <c r="BY425" s="731" t="str">
        <f t="shared" si="491"/>
        <v>SR</v>
      </c>
    </row>
    <row r="426" s="698" customFormat="1" customHeight="1" spans="1:77">
      <c r="A426" s="208">
        <v>46107</v>
      </c>
      <c r="B426" s="208">
        <v>46161</v>
      </c>
      <c r="C426" s="211"/>
      <c r="D426" s="211" t="s">
        <v>581</v>
      </c>
      <c r="E426" s="211" t="s">
        <v>68</v>
      </c>
      <c r="F426" s="732">
        <v>4020</v>
      </c>
      <c r="G426" s="211" t="s">
        <v>510</v>
      </c>
      <c r="H426" s="211" t="str">
        <f>IFERROR(VLOOKUP(E426,名称!A:E,4,0),"")</f>
        <v>三代</v>
      </c>
      <c r="I426" s="268" t="str">
        <f t="shared" ref="I426:BT426" si="497">IF(OR($E426="",I$1=""),"",IF(TRIM(LEFT($E426,MIN(IFERROR(FIND("CDU",UPPER($E426)),999),IFERROR(FIND("BULK",UPPER($E426)),999),IFERROR(FIND("-",$E426),999),IFERROR(FIND("（",$E426),999))-1))=I$1,$F426,""))</f>
        <v/>
      </c>
      <c r="J426" s="268" t="str">
        <f t="shared" si="497"/>
        <v/>
      </c>
      <c r="K426" s="268" t="str">
        <f t="shared" si="497"/>
        <v/>
      </c>
      <c r="L426" s="268" t="str">
        <f t="shared" si="497"/>
        <v/>
      </c>
      <c r="M426" s="268" t="str">
        <f t="shared" si="497"/>
        <v/>
      </c>
      <c r="N426" s="268" t="str">
        <f t="shared" si="497"/>
        <v/>
      </c>
      <c r="O426" s="268" t="str">
        <f t="shared" si="497"/>
        <v/>
      </c>
      <c r="P426" s="268" t="str">
        <f t="shared" si="497"/>
        <v/>
      </c>
      <c r="Q426" s="268" t="str">
        <f t="shared" si="497"/>
        <v/>
      </c>
      <c r="R426" s="268" t="str">
        <f t="shared" si="497"/>
        <v/>
      </c>
      <c r="S426" s="268" t="str">
        <f t="shared" si="497"/>
        <v/>
      </c>
      <c r="T426" s="268" t="str">
        <f t="shared" si="497"/>
        <v/>
      </c>
      <c r="U426" s="268" t="str">
        <f t="shared" si="497"/>
        <v/>
      </c>
      <c r="V426" s="268" t="str">
        <f t="shared" si="497"/>
        <v/>
      </c>
      <c r="W426" s="268" t="str">
        <f t="shared" si="497"/>
        <v/>
      </c>
      <c r="X426" s="268" t="str">
        <f t="shared" si="497"/>
        <v/>
      </c>
      <c r="Y426" s="268" t="str">
        <f t="shared" si="497"/>
        <v/>
      </c>
      <c r="Z426" s="268" t="str">
        <f t="shared" si="497"/>
        <v/>
      </c>
      <c r="AA426" s="268" t="str">
        <f t="shared" si="497"/>
        <v/>
      </c>
      <c r="AB426" s="268" t="str">
        <f t="shared" si="497"/>
        <v/>
      </c>
      <c r="AC426" s="268" t="str">
        <f t="shared" si="497"/>
        <v/>
      </c>
      <c r="AD426" s="268" t="str">
        <f t="shared" si="497"/>
        <v/>
      </c>
      <c r="AE426" s="268" t="str">
        <f t="shared" si="497"/>
        <v/>
      </c>
      <c r="AF426" s="268" t="str">
        <f t="shared" si="497"/>
        <v/>
      </c>
      <c r="AG426" s="268" t="str">
        <f t="shared" si="497"/>
        <v/>
      </c>
      <c r="AH426" s="268">
        <f t="shared" si="497"/>
        <v>4020</v>
      </c>
      <c r="AI426" s="268" t="str">
        <f t="shared" si="497"/>
        <v/>
      </c>
      <c r="AJ426" s="268" t="str">
        <f t="shared" si="497"/>
        <v/>
      </c>
      <c r="AK426" s="268" t="str">
        <f t="shared" si="497"/>
        <v/>
      </c>
      <c r="AL426" s="268" t="str">
        <f t="shared" si="497"/>
        <v/>
      </c>
      <c r="AM426" s="268" t="str">
        <f t="shared" si="497"/>
        <v/>
      </c>
      <c r="AN426" s="268" t="str">
        <f t="shared" si="497"/>
        <v/>
      </c>
      <c r="AO426" s="268" t="str">
        <f t="shared" si="497"/>
        <v/>
      </c>
      <c r="AP426" s="268" t="str">
        <f t="shared" si="497"/>
        <v/>
      </c>
      <c r="AQ426" s="268" t="str">
        <f t="shared" si="497"/>
        <v/>
      </c>
      <c r="AR426" s="268" t="str">
        <f t="shared" si="497"/>
        <v/>
      </c>
      <c r="AS426" s="268" t="str">
        <f t="shared" si="497"/>
        <v/>
      </c>
      <c r="AT426" s="268" t="str">
        <f t="shared" si="497"/>
        <v/>
      </c>
      <c r="AU426" s="268" t="str">
        <f t="shared" si="497"/>
        <v/>
      </c>
      <c r="AV426" s="268" t="str">
        <f t="shared" si="497"/>
        <v/>
      </c>
      <c r="AW426" s="268" t="str">
        <f t="shared" si="497"/>
        <v/>
      </c>
      <c r="AX426" s="268" t="str">
        <f t="shared" si="497"/>
        <v/>
      </c>
      <c r="AY426" s="268" t="str">
        <f t="shared" si="497"/>
        <v/>
      </c>
      <c r="AZ426" s="268" t="str">
        <f t="shared" si="497"/>
        <v/>
      </c>
      <c r="BA426" s="268" t="str">
        <f t="shared" si="497"/>
        <v/>
      </c>
      <c r="BB426" s="268" t="str">
        <f t="shared" si="497"/>
        <v/>
      </c>
      <c r="BC426" s="268" t="str">
        <f t="shared" si="497"/>
        <v/>
      </c>
      <c r="BD426" s="268" t="str">
        <f t="shared" si="497"/>
        <v/>
      </c>
      <c r="BE426" s="268" t="str">
        <f t="shared" si="497"/>
        <v/>
      </c>
      <c r="BF426" s="268" t="str">
        <f t="shared" si="497"/>
        <v/>
      </c>
      <c r="BG426" s="268" t="str">
        <f t="shared" si="497"/>
        <v/>
      </c>
      <c r="BH426" s="268" t="str">
        <f t="shared" si="497"/>
        <v/>
      </c>
      <c r="BI426" s="268" t="str">
        <f t="shared" si="497"/>
        <v/>
      </c>
      <c r="BJ426" s="268" t="str">
        <f t="shared" si="497"/>
        <v/>
      </c>
      <c r="BK426" s="268" t="str">
        <f t="shared" si="497"/>
        <v/>
      </c>
      <c r="BL426" s="268" t="str">
        <f t="shared" si="497"/>
        <v/>
      </c>
      <c r="BM426" s="268" t="str">
        <f t="shared" si="497"/>
        <v/>
      </c>
      <c r="BN426" s="268" t="str">
        <f t="shared" si="497"/>
        <v/>
      </c>
      <c r="BO426" s="268" t="str">
        <f t="shared" si="497"/>
        <v/>
      </c>
      <c r="BP426" s="268" t="str">
        <f t="shared" si="497"/>
        <v/>
      </c>
      <c r="BQ426" s="268" t="str">
        <f t="shared" si="497"/>
        <v/>
      </c>
      <c r="BR426" s="268" t="str">
        <f t="shared" si="497"/>
        <v/>
      </c>
      <c r="BS426" s="268" t="str">
        <f t="shared" si="497"/>
        <v/>
      </c>
      <c r="BT426" s="268" t="str">
        <f t="shared" si="497"/>
        <v/>
      </c>
      <c r="BU426" s="268" t="str">
        <f t="shared" si="456"/>
        <v/>
      </c>
      <c r="BV426" s="247">
        <v>3.09</v>
      </c>
      <c r="BW426" s="729">
        <f t="shared" si="489"/>
        <v>12421.8</v>
      </c>
      <c r="BX426" s="730">
        <f t="shared" si="490"/>
        <v>96268.95</v>
      </c>
      <c r="BY426" s="731" t="str">
        <f t="shared" si="491"/>
        <v>SR</v>
      </c>
    </row>
    <row r="427" s="698" customFormat="1" customHeight="1" spans="1:77">
      <c r="A427" s="208">
        <v>46107</v>
      </c>
      <c r="B427" s="208">
        <v>46161</v>
      </c>
      <c r="C427" s="211"/>
      <c r="D427" s="211" t="s">
        <v>581</v>
      </c>
      <c r="E427" s="211" t="s">
        <v>85</v>
      </c>
      <c r="F427" s="732">
        <v>4824</v>
      </c>
      <c r="G427" s="211" t="s">
        <v>510</v>
      </c>
      <c r="H427" s="211" t="str">
        <f>IFERROR(VLOOKUP(E427,名称!A:E,4,0),"")</f>
        <v>三代</v>
      </c>
      <c r="I427" s="268" t="str">
        <f t="shared" ref="I427:BT427" si="498">IF(OR($E427="",I$1=""),"",IF(TRIM(LEFT($E427,MIN(IFERROR(FIND("CDU",UPPER($E427)),999),IFERROR(FIND("BULK",UPPER($E427)),999),IFERROR(FIND("-",$E427),999),IFERROR(FIND("（",$E427),999))-1))=I$1,$F427,""))</f>
        <v/>
      </c>
      <c r="J427" s="268" t="str">
        <f t="shared" si="498"/>
        <v/>
      </c>
      <c r="K427" s="268" t="str">
        <f t="shared" si="498"/>
        <v/>
      </c>
      <c r="L427" s="268" t="str">
        <f t="shared" si="498"/>
        <v/>
      </c>
      <c r="M427" s="268" t="str">
        <f t="shared" si="498"/>
        <v/>
      </c>
      <c r="N427" s="268" t="str">
        <f t="shared" si="498"/>
        <v/>
      </c>
      <c r="O427" s="268" t="str">
        <f t="shared" si="498"/>
        <v/>
      </c>
      <c r="P427" s="268" t="str">
        <f t="shared" si="498"/>
        <v/>
      </c>
      <c r="Q427" s="268" t="str">
        <f t="shared" si="498"/>
        <v/>
      </c>
      <c r="R427" s="268" t="str">
        <f t="shared" si="498"/>
        <v/>
      </c>
      <c r="S427" s="268" t="str">
        <f t="shared" si="498"/>
        <v/>
      </c>
      <c r="T427" s="268" t="str">
        <f t="shared" si="498"/>
        <v/>
      </c>
      <c r="U427" s="268" t="str">
        <f t="shared" si="498"/>
        <v/>
      </c>
      <c r="V427" s="268" t="str">
        <f t="shared" si="498"/>
        <v/>
      </c>
      <c r="W427" s="268" t="str">
        <f t="shared" si="498"/>
        <v/>
      </c>
      <c r="X427" s="268" t="str">
        <f t="shared" si="498"/>
        <v/>
      </c>
      <c r="Y427" s="268" t="str">
        <f t="shared" si="498"/>
        <v/>
      </c>
      <c r="Z427" s="268" t="str">
        <f t="shared" si="498"/>
        <v/>
      </c>
      <c r="AA427" s="268" t="str">
        <f t="shared" si="498"/>
        <v/>
      </c>
      <c r="AB427" s="268" t="str">
        <f t="shared" si="498"/>
        <v/>
      </c>
      <c r="AC427" s="268" t="str">
        <f t="shared" si="498"/>
        <v/>
      </c>
      <c r="AD427" s="268" t="str">
        <f t="shared" si="498"/>
        <v/>
      </c>
      <c r="AE427" s="268" t="str">
        <f t="shared" si="498"/>
        <v/>
      </c>
      <c r="AF427" s="268" t="str">
        <f t="shared" si="498"/>
        <v/>
      </c>
      <c r="AG427" s="268" t="str">
        <f t="shared" si="498"/>
        <v/>
      </c>
      <c r="AH427" s="268" t="str">
        <f t="shared" si="498"/>
        <v/>
      </c>
      <c r="AI427" s="268" t="str">
        <f t="shared" si="498"/>
        <v/>
      </c>
      <c r="AJ427" s="268" t="str">
        <f t="shared" si="498"/>
        <v/>
      </c>
      <c r="AK427" s="268" t="str">
        <f t="shared" si="498"/>
        <v/>
      </c>
      <c r="AL427" s="268" t="str">
        <f t="shared" si="498"/>
        <v/>
      </c>
      <c r="AM427" s="268" t="str">
        <f t="shared" si="498"/>
        <v/>
      </c>
      <c r="AN427" s="268">
        <f t="shared" si="498"/>
        <v>4824</v>
      </c>
      <c r="AO427" s="268" t="str">
        <f t="shared" si="498"/>
        <v/>
      </c>
      <c r="AP427" s="268" t="str">
        <f t="shared" si="498"/>
        <v/>
      </c>
      <c r="AQ427" s="268" t="str">
        <f t="shared" si="498"/>
        <v/>
      </c>
      <c r="AR427" s="268" t="str">
        <f t="shared" si="498"/>
        <v/>
      </c>
      <c r="AS427" s="268" t="str">
        <f t="shared" si="498"/>
        <v/>
      </c>
      <c r="AT427" s="268" t="str">
        <f t="shared" si="498"/>
        <v/>
      </c>
      <c r="AU427" s="268" t="str">
        <f t="shared" si="498"/>
        <v/>
      </c>
      <c r="AV427" s="268" t="str">
        <f t="shared" si="498"/>
        <v/>
      </c>
      <c r="AW427" s="268" t="str">
        <f t="shared" si="498"/>
        <v/>
      </c>
      <c r="AX427" s="268" t="str">
        <f t="shared" si="498"/>
        <v/>
      </c>
      <c r="AY427" s="268" t="str">
        <f t="shared" si="498"/>
        <v/>
      </c>
      <c r="AZ427" s="268" t="str">
        <f t="shared" si="498"/>
        <v/>
      </c>
      <c r="BA427" s="268" t="str">
        <f t="shared" si="498"/>
        <v/>
      </c>
      <c r="BB427" s="268" t="str">
        <f t="shared" si="498"/>
        <v/>
      </c>
      <c r="BC427" s="268" t="str">
        <f t="shared" si="498"/>
        <v/>
      </c>
      <c r="BD427" s="268" t="str">
        <f t="shared" si="498"/>
        <v/>
      </c>
      <c r="BE427" s="268" t="str">
        <f t="shared" si="498"/>
        <v/>
      </c>
      <c r="BF427" s="268" t="str">
        <f t="shared" si="498"/>
        <v/>
      </c>
      <c r="BG427" s="268" t="str">
        <f t="shared" si="498"/>
        <v/>
      </c>
      <c r="BH427" s="268" t="str">
        <f t="shared" si="498"/>
        <v/>
      </c>
      <c r="BI427" s="268" t="str">
        <f t="shared" si="498"/>
        <v/>
      </c>
      <c r="BJ427" s="268" t="str">
        <f t="shared" si="498"/>
        <v/>
      </c>
      <c r="BK427" s="268" t="str">
        <f t="shared" si="498"/>
        <v/>
      </c>
      <c r="BL427" s="268" t="str">
        <f t="shared" si="498"/>
        <v/>
      </c>
      <c r="BM427" s="268" t="str">
        <f t="shared" si="498"/>
        <v/>
      </c>
      <c r="BN427" s="268" t="str">
        <f t="shared" si="498"/>
        <v/>
      </c>
      <c r="BO427" s="268" t="str">
        <f t="shared" si="498"/>
        <v/>
      </c>
      <c r="BP427" s="268" t="str">
        <f t="shared" si="498"/>
        <v/>
      </c>
      <c r="BQ427" s="268" t="str">
        <f t="shared" si="498"/>
        <v/>
      </c>
      <c r="BR427" s="268" t="str">
        <f t="shared" si="498"/>
        <v/>
      </c>
      <c r="BS427" s="268" t="str">
        <f t="shared" si="498"/>
        <v/>
      </c>
      <c r="BT427" s="268" t="str">
        <f t="shared" si="498"/>
        <v/>
      </c>
      <c r="BU427" s="268" t="str">
        <f t="shared" si="456"/>
        <v/>
      </c>
      <c r="BV427" s="247">
        <v>0.88</v>
      </c>
      <c r="BW427" s="729">
        <f t="shared" si="489"/>
        <v>4245.12</v>
      </c>
      <c r="BX427" s="730">
        <f t="shared" si="490"/>
        <v>32899.68</v>
      </c>
      <c r="BY427" s="731" t="str">
        <f t="shared" si="491"/>
        <v>SR</v>
      </c>
    </row>
    <row r="428" s="698" customFormat="1" customHeight="1" spans="1:77">
      <c r="A428" s="208">
        <v>46109</v>
      </c>
      <c r="B428" s="208">
        <v>46154</v>
      </c>
      <c r="C428" s="211" t="s">
        <v>582</v>
      </c>
      <c r="D428" s="211" t="s">
        <v>583</v>
      </c>
      <c r="E428" s="211" t="s">
        <v>50</v>
      </c>
      <c r="F428" s="732">
        <v>40500</v>
      </c>
      <c r="G428" s="211" t="s">
        <v>584</v>
      </c>
      <c r="H428" s="211" t="str">
        <f>IFERROR(VLOOKUP(E428,名称!A:E,4,0),"")</f>
        <v>蛋糕</v>
      </c>
      <c r="I428" s="268" t="str">
        <f t="shared" ref="I428:BT428" si="499">IF(OR($E428="",I$1=""),"",IF(TRIM(LEFT($E428,MIN(IFERROR(FIND("CDU",UPPER($E428)),999),IFERROR(FIND("BULK",UPPER($E428)),999),IFERROR(FIND("-",$E428),999),IFERROR(FIND("（",$E428),999))-1))=I$1,$F428,""))</f>
        <v/>
      </c>
      <c r="J428" s="268" t="str">
        <f t="shared" si="499"/>
        <v/>
      </c>
      <c r="K428" s="268" t="str">
        <f t="shared" si="499"/>
        <v/>
      </c>
      <c r="L428" s="268" t="str">
        <f t="shared" si="499"/>
        <v/>
      </c>
      <c r="M428" s="268" t="str">
        <f t="shared" si="499"/>
        <v/>
      </c>
      <c r="N428" s="268" t="str">
        <f t="shared" si="499"/>
        <v/>
      </c>
      <c r="O428" s="268" t="str">
        <f t="shared" si="499"/>
        <v/>
      </c>
      <c r="P428" s="268" t="str">
        <f t="shared" si="499"/>
        <v/>
      </c>
      <c r="Q428" s="268" t="str">
        <f t="shared" si="499"/>
        <v/>
      </c>
      <c r="R428" s="268" t="str">
        <f t="shared" si="499"/>
        <v/>
      </c>
      <c r="S428" s="268" t="str">
        <f t="shared" si="499"/>
        <v/>
      </c>
      <c r="T428" s="268" t="str">
        <f t="shared" si="499"/>
        <v/>
      </c>
      <c r="U428" s="268" t="str">
        <f t="shared" si="499"/>
        <v/>
      </c>
      <c r="V428" s="268" t="str">
        <f t="shared" si="499"/>
        <v/>
      </c>
      <c r="W428" s="268" t="str">
        <f t="shared" si="499"/>
        <v/>
      </c>
      <c r="X428" s="268" t="str">
        <f t="shared" si="499"/>
        <v/>
      </c>
      <c r="Y428" s="268" t="str">
        <f t="shared" si="499"/>
        <v/>
      </c>
      <c r="Z428" s="268" t="str">
        <f t="shared" si="499"/>
        <v/>
      </c>
      <c r="AA428" s="268" t="str">
        <f t="shared" si="499"/>
        <v/>
      </c>
      <c r="AB428" s="268" t="str">
        <f t="shared" si="499"/>
        <v/>
      </c>
      <c r="AC428" s="268" t="str">
        <f t="shared" si="499"/>
        <v/>
      </c>
      <c r="AD428" s="268" t="str">
        <f t="shared" si="499"/>
        <v/>
      </c>
      <c r="AE428" s="268" t="str">
        <f t="shared" si="499"/>
        <v/>
      </c>
      <c r="AF428" s="268" t="str">
        <f t="shared" si="499"/>
        <v/>
      </c>
      <c r="AG428" s="268" t="str">
        <f t="shared" si="499"/>
        <v/>
      </c>
      <c r="AH428" s="268" t="str">
        <f t="shared" si="499"/>
        <v/>
      </c>
      <c r="AI428" s="268" t="str">
        <f t="shared" si="499"/>
        <v/>
      </c>
      <c r="AJ428" s="268" t="str">
        <f t="shared" si="499"/>
        <v/>
      </c>
      <c r="AK428" s="268" t="str">
        <f t="shared" si="499"/>
        <v/>
      </c>
      <c r="AL428" s="268" t="str">
        <f t="shared" si="499"/>
        <v/>
      </c>
      <c r="AM428" s="268" t="str">
        <f t="shared" si="499"/>
        <v/>
      </c>
      <c r="AN428" s="268" t="str">
        <f t="shared" si="499"/>
        <v/>
      </c>
      <c r="AO428" s="268" t="str">
        <f t="shared" si="499"/>
        <v/>
      </c>
      <c r="AP428" s="268" t="str">
        <f t="shared" si="499"/>
        <v/>
      </c>
      <c r="AQ428" s="268" t="str">
        <f t="shared" si="499"/>
        <v/>
      </c>
      <c r="AR428" s="268" t="str">
        <f t="shared" si="499"/>
        <v/>
      </c>
      <c r="AS428" s="268" t="str">
        <f t="shared" si="499"/>
        <v/>
      </c>
      <c r="AT428" s="268" t="str">
        <f t="shared" si="499"/>
        <v/>
      </c>
      <c r="AU428" s="268" t="str">
        <f t="shared" si="499"/>
        <v/>
      </c>
      <c r="AV428" s="268" t="str">
        <f t="shared" si="499"/>
        <v/>
      </c>
      <c r="AW428" s="268" t="str">
        <f t="shared" si="499"/>
        <v/>
      </c>
      <c r="AX428" s="268" t="str">
        <f t="shared" si="499"/>
        <v/>
      </c>
      <c r="AY428" s="268" t="str">
        <f t="shared" si="499"/>
        <v/>
      </c>
      <c r="AZ428" s="268" t="str">
        <f t="shared" si="499"/>
        <v/>
      </c>
      <c r="BA428" s="268" t="str">
        <f t="shared" si="499"/>
        <v/>
      </c>
      <c r="BB428" s="268" t="str">
        <f t="shared" si="499"/>
        <v/>
      </c>
      <c r="BC428" s="268" t="str">
        <f t="shared" si="499"/>
        <v/>
      </c>
      <c r="BD428" s="268" t="str">
        <f t="shared" si="499"/>
        <v/>
      </c>
      <c r="BE428" s="268" t="str">
        <f t="shared" si="499"/>
        <v/>
      </c>
      <c r="BF428" s="268" t="str">
        <f t="shared" si="499"/>
        <v/>
      </c>
      <c r="BG428" s="268">
        <f t="shared" si="499"/>
        <v>40500</v>
      </c>
      <c r="BH428" s="268" t="str">
        <f t="shared" si="499"/>
        <v/>
      </c>
      <c r="BI428" s="268" t="str">
        <f t="shared" si="499"/>
        <v/>
      </c>
      <c r="BJ428" s="268" t="str">
        <f t="shared" si="499"/>
        <v/>
      </c>
      <c r="BK428" s="268" t="str">
        <f t="shared" si="499"/>
        <v/>
      </c>
      <c r="BL428" s="268" t="str">
        <f t="shared" si="499"/>
        <v/>
      </c>
      <c r="BM428" s="268" t="str">
        <f t="shared" si="499"/>
        <v/>
      </c>
      <c r="BN428" s="268" t="str">
        <f t="shared" si="499"/>
        <v/>
      </c>
      <c r="BO428" s="268" t="str">
        <f t="shared" si="499"/>
        <v/>
      </c>
      <c r="BP428" s="268" t="str">
        <f t="shared" si="499"/>
        <v/>
      </c>
      <c r="BQ428" s="268" t="str">
        <f t="shared" si="499"/>
        <v/>
      </c>
      <c r="BR428" s="268" t="str">
        <f t="shared" si="499"/>
        <v/>
      </c>
      <c r="BS428" s="268" t="str">
        <f t="shared" si="499"/>
        <v/>
      </c>
      <c r="BT428" s="268" t="str">
        <f t="shared" si="499"/>
        <v/>
      </c>
      <c r="BU428" s="268" t="str">
        <f t="shared" si="456"/>
        <v/>
      </c>
      <c r="BV428" s="247">
        <v>1.08</v>
      </c>
      <c r="BW428" s="729">
        <f t="shared" ref="BW428:BW460" si="500">SUM(I428:BU428)*BV428</f>
        <v>43740</v>
      </c>
      <c r="BX428" s="730">
        <f t="shared" ref="BX428:BX460" si="501">BW428*7.75</f>
        <v>338985</v>
      </c>
      <c r="BY428" s="731" t="str">
        <f t="shared" ref="BY428:BY460" si="502">MID(E428,1,2)</f>
        <v>JC</v>
      </c>
    </row>
    <row r="429" s="698" customFormat="1" customHeight="1" spans="1:77">
      <c r="A429" s="208">
        <v>46113</v>
      </c>
      <c r="B429" s="208">
        <v>46184</v>
      </c>
      <c r="C429" s="211" t="s">
        <v>585</v>
      </c>
      <c r="D429" s="211" t="s">
        <v>586</v>
      </c>
      <c r="E429" s="211" t="s">
        <v>59</v>
      </c>
      <c r="F429" s="732">
        <v>30000</v>
      </c>
      <c r="G429" s="211" t="s">
        <v>270</v>
      </c>
      <c r="H429" s="211" t="str">
        <f>IFERROR(VLOOKUP(E429,名称!A:E,4,0),"")</f>
        <v>三代</v>
      </c>
      <c r="I429" s="268" t="str">
        <f t="shared" ref="I429:BT429" si="503">IF(OR($E429="",I$1=""),"",IF(TRIM(LEFT($E429,MIN(IFERROR(FIND("CDU",UPPER($E429)),999),IFERROR(FIND("BULK",UPPER($E429)),999),IFERROR(FIND("-",$E429),999),IFERROR(FIND("（",$E429),999))-1))=I$1,$F429,""))</f>
        <v/>
      </c>
      <c r="J429" s="268" t="str">
        <f t="shared" si="503"/>
        <v/>
      </c>
      <c r="K429" s="268" t="str">
        <f t="shared" si="503"/>
        <v/>
      </c>
      <c r="L429" s="268" t="str">
        <f t="shared" si="503"/>
        <v/>
      </c>
      <c r="M429" s="268" t="str">
        <f t="shared" si="503"/>
        <v/>
      </c>
      <c r="N429" s="268" t="str">
        <f t="shared" si="503"/>
        <v/>
      </c>
      <c r="O429" s="268" t="str">
        <f t="shared" si="503"/>
        <v/>
      </c>
      <c r="P429" s="268" t="str">
        <f t="shared" si="503"/>
        <v/>
      </c>
      <c r="Q429" s="268" t="str">
        <f t="shared" si="503"/>
        <v/>
      </c>
      <c r="R429" s="268" t="str">
        <f t="shared" si="503"/>
        <v/>
      </c>
      <c r="S429" s="268" t="str">
        <f t="shared" si="503"/>
        <v/>
      </c>
      <c r="T429" s="268" t="str">
        <f t="shared" si="503"/>
        <v/>
      </c>
      <c r="U429" s="268" t="str">
        <f t="shared" si="503"/>
        <v/>
      </c>
      <c r="V429" s="268" t="str">
        <f t="shared" si="503"/>
        <v/>
      </c>
      <c r="W429" s="268" t="str">
        <f t="shared" si="503"/>
        <v/>
      </c>
      <c r="X429" s="268" t="str">
        <f t="shared" si="503"/>
        <v/>
      </c>
      <c r="Y429" s="268" t="str">
        <f t="shared" si="503"/>
        <v/>
      </c>
      <c r="Z429" s="268" t="str">
        <f t="shared" si="503"/>
        <v/>
      </c>
      <c r="AA429" s="268" t="str">
        <f t="shared" si="503"/>
        <v/>
      </c>
      <c r="AB429" s="268" t="str">
        <f t="shared" si="503"/>
        <v/>
      </c>
      <c r="AC429" s="268" t="str">
        <f t="shared" si="503"/>
        <v/>
      </c>
      <c r="AD429" s="268">
        <f t="shared" si="503"/>
        <v>30000</v>
      </c>
      <c r="AE429" s="268" t="str">
        <f t="shared" si="503"/>
        <v/>
      </c>
      <c r="AF429" s="268" t="str">
        <f t="shared" si="503"/>
        <v/>
      </c>
      <c r="AG429" s="268" t="str">
        <f t="shared" si="503"/>
        <v/>
      </c>
      <c r="AH429" s="268" t="str">
        <f t="shared" si="503"/>
        <v/>
      </c>
      <c r="AI429" s="268" t="str">
        <f t="shared" si="503"/>
        <v/>
      </c>
      <c r="AJ429" s="268" t="str">
        <f t="shared" si="503"/>
        <v/>
      </c>
      <c r="AK429" s="268" t="str">
        <f t="shared" si="503"/>
        <v/>
      </c>
      <c r="AL429" s="268" t="str">
        <f t="shared" si="503"/>
        <v/>
      </c>
      <c r="AM429" s="268" t="str">
        <f t="shared" si="503"/>
        <v/>
      </c>
      <c r="AN429" s="268" t="str">
        <f t="shared" si="503"/>
        <v/>
      </c>
      <c r="AO429" s="268" t="str">
        <f t="shared" si="503"/>
        <v/>
      </c>
      <c r="AP429" s="268" t="str">
        <f t="shared" si="503"/>
        <v/>
      </c>
      <c r="AQ429" s="268" t="str">
        <f t="shared" si="503"/>
        <v/>
      </c>
      <c r="AR429" s="268" t="str">
        <f t="shared" si="503"/>
        <v/>
      </c>
      <c r="AS429" s="268" t="str">
        <f t="shared" si="503"/>
        <v/>
      </c>
      <c r="AT429" s="268" t="str">
        <f t="shared" si="503"/>
        <v/>
      </c>
      <c r="AU429" s="268" t="str">
        <f t="shared" si="503"/>
        <v/>
      </c>
      <c r="AV429" s="268" t="str">
        <f t="shared" si="503"/>
        <v/>
      </c>
      <c r="AW429" s="268" t="str">
        <f t="shared" si="503"/>
        <v/>
      </c>
      <c r="AX429" s="268" t="str">
        <f t="shared" si="503"/>
        <v/>
      </c>
      <c r="AY429" s="268" t="str">
        <f t="shared" si="503"/>
        <v/>
      </c>
      <c r="AZ429" s="268" t="str">
        <f t="shared" si="503"/>
        <v/>
      </c>
      <c r="BA429" s="268" t="str">
        <f t="shared" si="503"/>
        <v/>
      </c>
      <c r="BB429" s="268" t="str">
        <f t="shared" si="503"/>
        <v/>
      </c>
      <c r="BC429" s="268" t="str">
        <f t="shared" si="503"/>
        <v/>
      </c>
      <c r="BD429" s="268" t="str">
        <f t="shared" si="503"/>
        <v/>
      </c>
      <c r="BE429" s="268" t="str">
        <f t="shared" si="503"/>
        <v/>
      </c>
      <c r="BF429" s="268" t="str">
        <f t="shared" si="503"/>
        <v/>
      </c>
      <c r="BG429" s="268" t="str">
        <f t="shared" si="503"/>
        <v/>
      </c>
      <c r="BH429" s="268" t="str">
        <f t="shared" si="503"/>
        <v/>
      </c>
      <c r="BI429" s="268" t="str">
        <f t="shared" si="503"/>
        <v/>
      </c>
      <c r="BJ429" s="268" t="str">
        <f t="shared" si="503"/>
        <v/>
      </c>
      <c r="BK429" s="268" t="str">
        <f t="shared" si="503"/>
        <v/>
      </c>
      <c r="BL429" s="268" t="str">
        <f t="shared" si="503"/>
        <v/>
      </c>
      <c r="BM429" s="268" t="str">
        <f t="shared" si="503"/>
        <v/>
      </c>
      <c r="BN429" s="268" t="str">
        <f t="shared" si="503"/>
        <v/>
      </c>
      <c r="BO429" s="268" t="str">
        <f t="shared" si="503"/>
        <v/>
      </c>
      <c r="BP429" s="268" t="str">
        <f t="shared" si="503"/>
        <v/>
      </c>
      <c r="BQ429" s="268" t="str">
        <f t="shared" si="503"/>
        <v/>
      </c>
      <c r="BR429" s="268" t="str">
        <f t="shared" si="503"/>
        <v/>
      </c>
      <c r="BS429" s="268" t="str">
        <f t="shared" si="503"/>
        <v/>
      </c>
      <c r="BT429" s="268" t="str">
        <f t="shared" si="503"/>
        <v/>
      </c>
      <c r="BU429" s="268" t="str">
        <f t="shared" si="456"/>
        <v/>
      </c>
      <c r="BV429" s="247">
        <v>0.62</v>
      </c>
      <c r="BW429" s="729">
        <f t="shared" si="500"/>
        <v>18600</v>
      </c>
      <c r="BX429" s="730">
        <f t="shared" si="501"/>
        <v>144150</v>
      </c>
      <c r="BY429" s="731" t="str">
        <f t="shared" si="502"/>
        <v>SR</v>
      </c>
    </row>
    <row r="430" s="698" customFormat="1" customHeight="1" spans="1:77">
      <c r="A430" s="208">
        <v>46113</v>
      </c>
      <c r="B430" s="208">
        <v>46198</v>
      </c>
      <c r="C430" s="211" t="s">
        <v>587</v>
      </c>
      <c r="D430" s="211" t="s">
        <v>588</v>
      </c>
      <c r="E430" s="211" t="s">
        <v>59</v>
      </c>
      <c r="F430" s="732">
        <v>20016</v>
      </c>
      <c r="G430" s="211" t="s">
        <v>270</v>
      </c>
      <c r="H430" s="211" t="str">
        <f>IFERROR(VLOOKUP(E430,名称!A:E,4,0),"")</f>
        <v>三代</v>
      </c>
      <c r="I430" s="268" t="str">
        <f t="shared" ref="I430:BT430" si="504">IF(OR($E430="",I$1=""),"",IF(TRIM(LEFT($E430,MIN(IFERROR(FIND("CDU",UPPER($E430)),999),IFERROR(FIND("BULK",UPPER($E430)),999),IFERROR(FIND("-",$E430),999),IFERROR(FIND("（",$E430),999))-1))=I$1,$F430,""))</f>
        <v/>
      </c>
      <c r="J430" s="268" t="str">
        <f t="shared" si="504"/>
        <v/>
      </c>
      <c r="K430" s="268" t="str">
        <f t="shared" si="504"/>
        <v/>
      </c>
      <c r="L430" s="268" t="str">
        <f t="shared" si="504"/>
        <v/>
      </c>
      <c r="M430" s="268" t="str">
        <f t="shared" si="504"/>
        <v/>
      </c>
      <c r="N430" s="268" t="str">
        <f t="shared" si="504"/>
        <v/>
      </c>
      <c r="O430" s="268" t="str">
        <f t="shared" si="504"/>
        <v/>
      </c>
      <c r="P430" s="268" t="str">
        <f t="shared" si="504"/>
        <v/>
      </c>
      <c r="Q430" s="268" t="str">
        <f t="shared" si="504"/>
        <v/>
      </c>
      <c r="R430" s="268" t="str">
        <f t="shared" si="504"/>
        <v/>
      </c>
      <c r="S430" s="268" t="str">
        <f t="shared" si="504"/>
        <v/>
      </c>
      <c r="T430" s="268" t="str">
        <f t="shared" si="504"/>
        <v/>
      </c>
      <c r="U430" s="268" t="str">
        <f t="shared" si="504"/>
        <v/>
      </c>
      <c r="V430" s="268" t="str">
        <f t="shared" si="504"/>
        <v/>
      </c>
      <c r="W430" s="268" t="str">
        <f t="shared" si="504"/>
        <v/>
      </c>
      <c r="X430" s="268" t="str">
        <f t="shared" si="504"/>
        <v/>
      </c>
      <c r="Y430" s="268" t="str">
        <f t="shared" si="504"/>
        <v/>
      </c>
      <c r="Z430" s="268" t="str">
        <f t="shared" si="504"/>
        <v/>
      </c>
      <c r="AA430" s="268" t="str">
        <f t="shared" si="504"/>
        <v/>
      </c>
      <c r="AB430" s="268" t="str">
        <f t="shared" si="504"/>
        <v/>
      </c>
      <c r="AC430" s="268" t="str">
        <f t="shared" si="504"/>
        <v/>
      </c>
      <c r="AD430" s="268">
        <f t="shared" si="504"/>
        <v>20016</v>
      </c>
      <c r="AE430" s="268" t="str">
        <f t="shared" si="504"/>
        <v/>
      </c>
      <c r="AF430" s="268" t="str">
        <f t="shared" si="504"/>
        <v/>
      </c>
      <c r="AG430" s="268" t="str">
        <f t="shared" si="504"/>
        <v/>
      </c>
      <c r="AH430" s="268" t="str">
        <f t="shared" si="504"/>
        <v/>
      </c>
      <c r="AI430" s="268" t="str">
        <f t="shared" si="504"/>
        <v/>
      </c>
      <c r="AJ430" s="268" t="str">
        <f t="shared" si="504"/>
        <v/>
      </c>
      <c r="AK430" s="268" t="str">
        <f t="shared" si="504"/>
        <v/>
      </c>
      <c r="AL430" s="268" t="str">
        <f t="shared" si="504"/>
        <v/>
      </c>
      <c r="AM430" s="268" t="str">
        <f t="shared" si="504"/>
        <v/>
      </c>
      <c r="AN430" s="268" t="str">
        <f t="shared" si="504"/>
        <v/>
      </c>
      <c r="AO430" s="268" t="str">
        <f t="shared" si="504"/>
        <v/>
      </c>
      <c r="AP430" s="268" t="str">
        <f t="shared" si="504"/>
        <v/>
      </c>
      <c r="AQ430" s="268" t="str">
        <f t="shared" si="504"/>
        <v/>
      </c>
      <c r="AR430" s="268" t="str">
        <f t="shared" si="504"/>
        <v/>
      </c>
      <c r="AS430" s="268" t="str">
        <f t="shared" si="504"/>
        <v/>
      </c>
      <c r="AT430" s="268" t="str">
        <f t="shared" si="504"/>
        <v/>
      </c>
      <c r="AU430" s="268" t="str">
        <f t="shared" si="504"/>
        <v/>
      </c>
      <c r="AV430" s="268" t="str">
        <f t="shared" si="504"/>
        <v/>
      </c>
      <c r="AW430" s="268" t="str">
        <f t="shared" si="504"/>
        <v/>
      </c>
      <c r="AX430" s="268" t="str">
        <f t="shared" si="504"/>
        <v/>
      </c>
      <c r="AY430" s="268" t="str">
        <f t="shared" si="504"/>
        <v/>
      </c>
      <c r="AZ430" s="268" t="str">
        <f t="shared" si="504"/>
        <v/>
      </c>
      <c r="BA430" s="268" t="str">
        <f t="shared" si="504"/>
        <v/>
      </c>
      <c r="BB430" s="268" t="str">
        <f t="shared" si="504"/>
        <v/>
      </c>
      <c r="BC430" s="268" t="str">
        <f t="shared" si="504"/>
        <v/>
      </c>
      <c r="BD430" s="268" t="str">
        <f t="shared" si="504"/>
        <v/>
      </c>
      <c r="BE430" s="268" t="str">
        <f t="shared" si="504"/>
        <v/>
      </c>
      <c r="BF430" s="268" t="str">
        <f t="shared" si="504"/>
        <v/>
      </c>
      <c r="BG430" s="268" t="str">
        <f t="shared" si="504"/>
        <v/>
      </c>
      <c r="BH430" s="268" t="str">
        <f t="shared" si="504"/>
        <v/>
      </c>
      <c r="BI430" s="268" t="str">
        <f t="shared" si="504"/>
        <v/>
      </c>
      <c r="BJ430" s="268" t="str">
        <f t="shared" si="504"/>
        <v/>
      </c>
      <c r="BK430" s="268" t="str">
        <f t="shared" si="504"/>
        <v/>
      </c>
      <c r="BL430" s="268" t="str">
        <f t="shared" si="504"/>
        <v/>
      </c>
      <c r="BM430" s="268" t="str">
        <f t="shared" si="504"/>
        <v/>
      </c>
      <c r="BN430" s="268" t="str">
        <f t="shared" si="504"/>
        <v/>
      </c>
      <c r="BO430" s="268" t="str">
        <f t="shared" si="504"/>
        <v/>
      </c>
      <c r="BP430" s="268" t="str">
        <f t="shared" si="504"/>
        <v/>
      </c>
      <c r="BQ430" s="268" t="str">
        <f t="shared" si="504"/>
        <v/>
      </c>
      <c r="BR430" s="268" t="str">
        <f t="shared" si="504"/>
        <v/>
      </c>
      <c r="BS430" s="268" t="str">
        <f t="shared" si="504"/>
        <v/>
      </c>
      <c r="BT430" s="268" t="str">
        <f t="shared" si="504"/>
        <v/>
      </c>
      <c r="BU430" s="268" t="str">
        <f t="shared" si="456"/>
        <v/>
      </c>
      <c r="BV430" s="247">
        <v>0.62</v>
      </c>
      <c r="BW430" s="729">
        <f t="shared" si="500"/>
        <v>12409.92</v>
      </c>
      <c r="BX430" s="730">
        <f t="shared" si="501"/>
        <v>96176.88</v>
      </c>
      <c r="BY430" s="731" t="str">
        <f t="shared" si="502"/>
        <v>SR</v>
      </c>
    </row>
    <row r="431" s="698" customFormat="1" customHeight="1" spans="1:77">
      <c r="A431" s="208">
        <v>46113</v>
      </c>
      <c r="B431" s="208">
        <v>46212</v>
      </c>
      <c r="C431" s="211" t="s">
        <v>589</v>
      </c>
      <c r="D431" s="211" t="s">
        <v>590</v>
      </c>
      <c r="E431" s="211" t="s">
        <v>59</v>
      </c>
      <c r="F431" s="732">
        <v>20016</v>
      </c>
      <c r="G431" s="211" t="s">
        <v>270</v>
      </c>
      <c r="H431" s="211" t="str">
        <f>IFERROR(VLOOKUP(E431,名称!A:E,4,0),"")</f>
        <v>三代</v>
      </c>
      <c r="I431" s="268" t="str">
        <f t="shared" ref="I431:BT431" si="505">IF(OR($E431="",I$1=""),"",IF(TRIM(LEFT($E431,MIN(IFERROR(FIND("CDU",UPPER($E431)),999),IFERROR(FIND("BULK",UPPER($E431)),999),IFERROR(FIND("-",$E431),999),IFERROR(FIND("（",$E431),999))-1))=I$1,$F431,""))</f>
        <v/>
      </c>
      <c r="J431" s="268" t="str">
        <f t="shared" si="505"/>
        <v/>
      </c>
      <c r="K431" s="268" t="str">
        <f t="shared" si="505"/>
        <v/>
      </c>
      <c r="L431" s="268" t="str">
        <f t="shared" si="505"/>
        <v/>
      </c>
      <c r="M431" s="268" t="str">
        <f t="shared" si="505"/>
        <v/>
      </c>
      <c r="N431" s="268" t="str">
        <f t="shared" si="505"/>
        <v/>
      </c>
      <c r="O431" s="268" t="str">
        <f t="shared" si="505"/>
        <v/>
      </c>
      <c r="P431" s="268" t="str">
        <f t="shared" si="505"/>
        <v/>
      </c>
      <c r="Q431" s="268" t="str">
        <f t="shared" si="505"/>
        <v/>
      </c>
      <c r="R431" s="268" t="str">
        <f t="shared" si="505"/>
        <v/>
      </c>
      <c r="S431" s="268" t="str">
        <f t="shared" si="505"/>
        <v/>
      </c>
      <c r="T431" s="268" t="str">
        <f t="shared" si="505"/>
        <v/>
      </c>
      <c r="U431" s="268" t="str">
        <f t="shared" si="505"/>
        <v/>
      </c>
      <c r="V431" s="268" t="str">
        <f t="shared" si="505"/>
        <v/>
      </c>
      <c r="W431" s="268" t="str">
        <f t="shared" si="505"/>
        <v/>
      </c>
      <c r="X431" s="268" t="str">
        <f t="shared" si="505"/>
        <v/>
      </c>
      <c r="Y431" s="268" t="str">
        <f t="shared" si="505"/>
        <v/>
      </c>
      <c r="Z431" s="268" t="str">
        <f t="shared" si="505"/>
        <v/>
      </c>
      <c r="AA431" s="268" t="str">
        <f t="shared" si="505"/>
        <v/>
      </c>
      <c r="AB431" s="268" t="str">
        <f t="shared" si="505"/>
        <v/>
      </c>
      <c r="AC431" s="268" t="str">
        <f t="shared" si="505"/>
        <v/>
      </c>
      <c r="AD431" s="268">
        <f t="shared" si="505"/>
        <v>20016</v>
      </c>
      <c r="AE431" s="268" t="str">
        <f t="shared" si="505"/>
        <v/>
      </c>
      <c r="AF431" s="268" t="str">
        <f t="shared" si="505"/>
        <v/>
      </c>
      <c r="AG431" s="268" t="str">
        <f t="shared" si="505"/>
        <v/>
      </c>
      <c r="AH431" s="268" t="str">
        <f t="shared" si="505"/>
        <v/>
      </c>
      <c r="AI431" s="268" t="str">
        <f t="shared" si="505"/>
        <v/>
      </c>
      <c r="AJ431" s="268" t="str">
        <f t="shared" si="505"/>
        <v/>
      </c>
      <c r="AK431" s="268" t="str">
        <f t="shared" si="505"/>
        <v/>
      </c>
      <c r="AL431" s="268" t="str">
        <f t="shared" si="505"/>
        <v/>
      </c>
      <c r="AM431" s="268" t="str">
        <f t="shared" si="505"/>
        <v/>
      </c>
      <c r="AN431" s="268" t="str">
        <f t="shared" si="505"/>
        <v/>
      </c>
      <c r="AO431" s="268" t="str">
        <f t="shared" si="505"/>
        <v/>
      </c>
      <c r="AP431" s="268" t="str">
        <f t="shared" si="505"/>
        <v/>
      </c>
      <c r="AQ431" s="268" t="str">
        <f t="shared" si="505"/>
        <v/>
      </c>
      <c r="AR431" s="268" t="str">
        <f t="shared" si="505"/>
        <v/>
      </c>
      <c r="AS431" s="268" t="str">
        <f t="shared" si="505"/>
        <v/>
      </c>
      <c r="AT431" s="268" t="str">
        <f t="shared" si="505"/>
        <v/>
      </c>
      <c r="AU431" s="268" t="str">
        <f t="shared" si="505"/>
        <v/>
      </c>
      <c r="AV431" s="268" t="str">
        <f t="shared" si="505"/>
        <v/>
      </c>
      <c r="AW431" s="268" t="str">
        <f t="shared" si="505"/>
        <v/>
      </c>
      <c r="AX431" s="268" t="str">
        <f t="shared" si="505"/>
        <v/>
      </c>
      <c r="AY431" s="268" t="str">
        <f t="shared" si="505"/>
        <v/>
      </c>
      <c r="AZ431" s="268" t="str">
        <f t="shared" si="505"/>
        <v/>
      </c>
      <c r="BA431" s="268" t="str">
        <f t="shared" si="505"/>
        <v/>
      </c>
      <c r="BB431" s="268" t="str">
        <f t="shared" si="505"/>
        <v/>
      </c>
      <c r="BC431" s="268" t="str">
        <f t="shared" si="505"/>
        <v/>
      </c>
      <c r="BD431" s="268" t="str">
        <f t="shared" si="505"/>
        <v/>
      </c>
      <c r="BE431" s="268" t="str">
        <f t="shared" si="505"/>
        <v/>
      </c>
      <c r="BF431" s="268" t="str">
        <f t="shared" si="505"/>
        <v/>
      </c>
      <c r="BG431" s="268" t="str">
        <f t="shared" si="505"/>
        <v/>
      </c>
      <c r="BH431" s="268" t="str">
        <f t="shared" si="505"/>
        <v/>
      </c>
      <c r="BI431" s="268" t="str">
        <f t="shared" si="505"/>
        <v/>
      </c>
      <c r="BJ431" s="268" t="str">
        <f t="shared" si="505"/>
        <v/>
      </c>
      <c r="BK431" s="268" t="str">
        <f t="shared" si="505"/>
        <v/>
      </c>
      <c r="BL431" s="268" t="str">
        <f t="shared" si="505"/>
        <v/>
      </c>
      <c r="BM431" s="268" t="str">
        <f t="shared" si="505"/>
        <v/>
      </c>
      <c r="BN431" s="268" t="str">
        <f t="shared" si="505"/>
        <v/>
      </c>
      <c r="BO431" s="268" t="str">
        <f t="shared" si="505"/>
        <v/>
      </c>
      <c r="BP431" s="268" t="str">
        <f t="shared" si="505"/>
        <v/>
      </c>
      <c r="BQ431" s="268" t="str">
        <f t="shared" si="505"/>
        <v/>
      </c>
      <c r="BR431" s="268" t="str">
        <f t="shared" si="505"/>
        <v/>
      </c>
      <c r="BS431" s="268" t="str">
        <f t="shared" si="505"/>
        <v/>
      </c>
      <c r="BT431" s="268" t="str">
        <f t="shared" si="505"/>
        <v/>
      </c>
      <c r="BU431" s="268" t="str">
        <f t="shared" si="456"/>
        <v/>
      </c>
      <c r="BV431" s="247">
        <v>0.62</v>
      </c>
      <c r="BW431" s="729">
        <f t="shared" si="500"/>
        <v>12409.92</v>
      </c>
      <c r="BX431" s="730">
        <f t="shared" si="501"/>
        <v>96176.88</v>
      </c>
      <c r="BY431" s="731" t="str">
        <f t="shared" si="502"/>
        <v>SR</v>
      </c>
    </row>
    <row r="432" s="697" customFormat="1" customHeight="1" spans="1:77">
      <c r="A432" s="116">
        <v>46113</v>
      </c>
      <c r="B432" s="116">
        <v>46225</v>
      </c>
      <c r="C432" s="118" t="s">
        <v>591</v>
      </c>
      <c r="D432" s="118" t="s">
        <v>592</v>
      </c>
      <c r="E432" s="118" t="s">
        <v>59</v>
      </c>
      <c r="F432" s="726">
        <v>20016</v>
      </c>
      <c r="G432" s="118" t="s">
        <v>270</v>
      </c>
      <c r="H432" s="118" t="str">
        <f>IFERROR(VLOOKUP(E432,名称!A:E,4,0),"")</f>
        <v>三代</v>
      </c>
      <c r="I432" s="418" t="str">
        <f t="shared" ref="I432:BT432" si="506">IF(OR($E432="",I$1=""),"",IF(TRIM(LEFT($E432,MIN(IFERROR(FIND("CDU",UPPER($E432)),999),IFERROR(FIND("BULK",UPPER($E432)),999),IFERROR(FIND("-",$E432),999),IFERROR(FIND("（",$E432),999))-1))=I$1,$F432,""))</f>
        <v/>
      </c>
      <c r="J432" s="418" t="str">
        <f t="shared" si="506"/>
        <v/>
      </c>
      <c r="K432" s="418" t="str">
        <f t="shared" si="506"/>
        <v/>
      </c>
      <c r="L432" s="418" t="str">
        <f t="shared" si="506"/>
        <v/>
      </c>
      <c r="M432" s="418" t="str">
        <f t="shared" si="506"/>
        <v/>
      </c>
      <c r="N432" s="418" t="str">
        <f t="shared" si="506"/>
        <v/>
      </c>
      <c r="O432" s="418" t="str">
        <f t="shared" si="506"/>
        <v/>
      </c>
      <c r="P432" s="418" t="str">
        <f t="shared" si="506"/>
        <v/>
      </c>
      <c r="Q432" s="418" t="str">
        <f t="shared" si="506"/>
        <v/>
      </c>
      <c r="R432" s="418" t="str">
        <f t="shared" si="506"/>
        <v/>
      </c>
      <c r="S432" s="418" t="str">
        <f t="shared" si="506"/>
        <v/>
      </c>
      <c r="T432" s="418" t="str">
        <f t="shared" si="506"/>
        <v/>
      </c>
      <c r="U432" s="418" t="str">
        <f t="shared" si="506"/>
        <v/>
      </c>
      <c r="V432" s="418" t="str">
        <f t="shared" si="506"/>
        <v/>
      </c>
      <c r="W432" s="418" t="str">
        <f t="shared" si="506"/>
        <v/>
      </c>
      <c r="X432" s="418" t="str">
        <f t="shared" si="506"/>
        <v/>
      </c>
      <c r="Y432" s="418" t="str">
        <f t="shared" si="506"/>
        <v/>
      </c>
      <c r="Z432" s="418" t="str">
        <f t="shared" si="506"/>
        <v/>
      </c>
      <c r="AA432" s="418" t="str">
        <f t="shared" si="506"/>
        <v/>
      </c>
      <c r="AB432" s="418" t="str">
        <f t="shared" si="506"/>
        <v/>
      </c>
      <c r="AC432" s="418" t="str">
        <f t="shared" si="506"/>
        <v/>
      </c>
      <c r="AD432" s="418">
        <f t="shared" si="506"/>
        <v>20016</v>
      </c>
      <c r="AE432" s="418" t="str">
        <f t="shared" si="506"/>
        <v/>
      </c>
      <c r="AF432" s="418" t="str">
        <f t="shared" si="506"/>
        <v/>
      </c>
      <c r="AG432" s="418" t="str">
        <f t="shared" si="506"/>
        <v/>
      </c>
      <c r="AH432" s="418" t="str">
        <f t="shared" si="506"/>
        <v/>
      </c>
      <c r="AI432" s="418" t="str">
        <f t="shared" si="506"/>
        <v/>
      </c>
      <c r="AJ432" s="418" t="str">
        <f t="shared" si="506"/>
        <v/>
      </c>
      <c r="AK432" s="418" t="str">
        <f t="shared" si="506"/>
        <v/>
      </c>
      <c r="AL432" s="418" t="str">
        <f t="shared" si="506"/>
        <v/>
      </c>
      <c r="AM432" s="418" t="str">
        <f t="shared" si="506"/>
        <v/>
      </c>
      <c r="AN432" s="418" t="str">
        <f t="shared" si="506"/>
        <v/>
      </c>
      <c r="AO432" s="418" t="str">
        <f t="shared" si="506"/>
        <v/>
      </c>
      <c r="AP432" s="418" t="str">
        <f t="shared" si="506"/>
        <v/>
      </c>
      <c r="AQ432" s="418" t="str">
        <f t="shared" si="506"/>
        <v/>
      </c>
      <c r="AR432" s="418" t="str">
        <f t="shared" si="506"/>
        <v/>
      </c>
      <c r="AS432" s="418" t="str">
        <f t="shared" si="506"/>
        <v/>
      </c>
      <c r="AT432" s="418" t="str">
        <f t="shared" si="506"/>
        <v/>
      </c>
      <c r="AU432" s="418" t="str">
        <f t="shared" si="506"/>
        <v/>
      </c>
      <c r="AV432" s="418" t="str">
        <f t="shared" si="506"/>
        <v/>
      </c>
      <c r="AW432" s="418" t="str">
        <f t="shared" si="506"/>
        <v/>
      </c>
      <c r="AX432" s="418" t="str">
        <f t="shared" si="506"/>
        <v/>
      </c>
      <c r="AY432" s="418" t="str">
        <f t="shared" si="506"/>
        <v/>
      </c>
      <c r="AZ432" s="418" t="str">
        <f t="shared" si="506"/>
        <v/>
      </c>
      <c r="BA432" s="418" t="str">
        <f t="shared" si="506"/>
        <v/>
      </c>
      <c r="BB432" s="418" t="str">
        <f t="shared" si="506"/>
        <v/>
      </c>
      <c r="BC432" s="418" t="str">
        <f t="shared" si="506"/>
        <v/>
      </c>
      <c r="BD432" s="418" t="str">
        <f t="shared" si="506"/>
        <v/>
      </c>
      <c r="BE432" s="418" t="str">
        <f t="shared" si="506"/>
        <v/>
      </c>
      <c r="BF432" s="418" t="str">
        <f t="shared" si="506"/>
        <v/>
      </c>
      <c r="BG432" s="418" t="str">
        <f t="shared" si="506"/>
        <v/>
      </c>
      <c r="BH432" s="418" t="str">
        <f t="shared" si="506"/>
        <v/>
      </c>
      <c r="BI432" s="418" t="str">
        <f t="shared" si="506"/>
        <v/>
      </c>
      <c r="BJ432" s="418" t="str">
        <f t="shared" si="506"/>
        <v/>
      </c>
      <c r="BK432" s="418" t="str">
        <f t="shared" si="506"/>
        <v/>
      </c>
      <c r="BL432" s="418" t="str">
        <f t="shared" si="506"/>
        <v/>
      </c>
      <c r="BM432" s="418" t="str">
        <f t="shared" si="506"/>
        <v/>
      </c>
      <c r="BN432" s="418" t="str">
        <f t="shared" si="506"/>
        <v/>
      </c>
      <c r="BO432" s="418" t="str">
        <f t="shared" si="506"/>
        <v/>
      </c>
      <c r="BP432" s="418" t="str">
        <f t="shared" si="506"/>
        <v/>
      </c>
      <c r="BQ432" s="418" t="str">
        <f t="shared" si="506"/>
        <v/>
      </c>
      <c r="BR432" s="418" t="str">
        <f t="shared" si="506"/>
        <v/>
      </c>
      <c r="BS432" s="418" t="str">
        <f t="shared" si="506"/>
        <v/>
      </c>
      <c r="BT432" s="418" t="str">
        <f t="shared" si="506"/>
        <v/>
      </c>
      <c r="BU432" s="418" t="str">
        <f t="shared" si="456"/>
        <v/>
      </c>
      <c r="BV432" s="544">
        <v>0.61</v>
      </c>
      <c r="BW432" s="723">
        <f t="shared" si="500"/>
        <v>12209.76</v>
      </c>
      <c r="BX432" s="724">
        <f t="shared" si="501"/>
        <v>94625.64</v>
      </c>
      <c r="BY432" s="725" t="str">
        <f t="shared" si="502"/>
        <v>SR</v>
      </c>
    </row>
    <row r="433" s="697" customFormat="1" customHeight="1" spans="1:77">
      <c r="A433" s="116">
        <v>46113</v>
      </c>
      <c r="B433" s="116">
        <v>46225</v>
      </c>
      <c r="C433" s="118" t="s">
        <v>593</v>
      </c>
      <c r="D433" s="118" t="s">
        <v>594</v>
      </c>
      <c r="E433" s="118" t="s">
        <v>59</v>
      </c>
      <c r="F433" s="726">
        <v>20016</v>
      </c>
      <c r="G433" s="118" t="s">
        <v>270</v>
      </c>
      <c r="H433" s="118" t="str">
        <f>IFERROR(VLOOKUP(E433,名称!A:E,4,0),"")</f>
        <v>三代</v>
      </c>
      <c r="I433" s="418" t="str">
        <f t="shared" ref="I433:BT433" si="507">IF(OR($E433="",I$1=""),"",IF(TRIM(LEFT($E433,MIN(IFERROR(FIND("CDU",UPPER($E433)),999),IFERROR(FIND("BULK",UPPER($E433)),999),IFERROR(FIND("-",$E433),999),IFERROR(FIND("（",$E433),999))-1))=I$1,$F433,""))</f>
        <v/>
      </c>
      <c r="J433" s="418" t="str">
        <f t="shared" si="507"/>
        <v/>
      </c>
      <c r="K433" s="418" t="str">
        <f t="shared" si="507"/>
        <v/>
      </c>
      <c r="L433" s="418" t="str">
        <f t="shared" si="507"/>
        <v/>
      </c>
      <c r="M433" s="418" t="str">
        <f t="shared" si="507"/>
        <v/>
      </c>
      <c r="N433" s="418" t="str">
        <f t="shared" si="507"/>
        <v/>
      </c>
      <c r="O433" s="418" t="str">
        <f t="shared" si="507"/>
        <v/>
      </c>
      <c r="P433" s="418" t="str">
        <f t="shared" si="507"/>
        <v/>
      </c>
      <c r="Q433" s="418" t="str">
        <f t="shared" si="507"/>
        <v/>
      </c>
      <c r="R433" s="418" t="str">
        <f t="shared" si="507"/>
        <v/>
      </c>
      <c r="S433" s="418" t="str">
        <f t="shared" si="507"/>
        <v/>
      </c>
      <c r="T433" s="418" t="str">
        <f t="shared" si="507"/>
        <v/>
      </c>
      <c r="U433" s="418" t="str">
        <f t="shared" si="507"/>
        <v/>
      </c>
      <c r="V433" s="418" t="str">
        <f t="shared" si="507"/>
        <v/>
      </c>
      <c r="W433" s="418" t="str">
        <f t="shared" si="507"/>
        <v/>
      </c>
      <c r="X433" s="418" t="str">
        <f t="shared" si="507"/>
        <v/>
      </c>
      <c r="Y433" s="418" t="str">
        <f t="shared" si="507"/>
        <v/>
      </c>
      <c r="Z433" s="418" t="str">
        <f t="shared" si="507"/>
        <v/>
      </c>
      <c r="AA433" s="418" t="str">
        <f t="shared" si="507"/>
        <v/>
      </c>
      <c r="AB433" s="418" t="str">
        <f t="shared" si="507"/>
        <v/>
      </c>
      <c r="AC433" s="418" t="str">
        <f t="shared" si="507"/>
        <v/>
      </c>
      <c r="AD433" s="418">
        <f t="shared" si="507"/>
        <v>20016</v>
      </c>
      <c r="AE433" s="418" t="str">
        <f t="shared" si="507"/>
        <v/>
      </c>
      <c r="AF433" s="418" t="str">
        <f t="shared" si="507"/>
        <v/>
      </c>
      <c r="AG433" s="418" t="str">
        <f t="shared" si="507"/>
        <v/>
      </c>
      <c r="AH433" s="418" t="str">
        <f t="shared" si="507"/>
        <v/>
      </c>
      <c r="AI433" s="418" t="str">
        <f t="shared" si="507"/>
        <v/>
      </c>
      <c r="AJ433" s="418" t="str">
        <f t="shared" si="507"/>
        <v/>
      </c>
      <c r="AK433" s="418" t="str">
        <f t="shared" si="507"/>
        <v/>
      </c>
      <c r="AL433" s="418" t="str">
        <f t="shared" si="507"/>
        <v/>
      </c>
      <c r="AM433" s="418" t="str">
        <f t="shared" si="507"/>
        <v/>
      </c>
      <c r="AN433" s="418" t="str">
        <f t="shared" si="507"/>
        <v/>
      </c>
      <c r="AO433" s="418" t="str">
        <f t="shared" si="507"/>
        <v/>
      </c>
      <c r="AP433" s="418" t="str">
        <f t="shared" si="507"/>
        <v/>
      </c>
      <c r="AQ433" s="418" t="str">
        <f t="shared" si="507"/>
        <v/>
      </c>
      <c r="AR433" s="418" t="str">
        <f t="shared" si="507"/>
        <v/>
      </c>
      <c r="AS433" s="418" t="str">
        <f t="shared" si="507"/>
        <v/>
      </c>
      <c r="AT433" s="418" t="str">
        <f t="shared" si="507"/>
        <v/>
      </c>
      <c r="AU433" s="418" t="str">
        <f t="shared" si="507"/>
        <v/>
      </c>
      <c r="AV433" s="418" t="str">
        <f t="shared" si="507"/>
        <v/>
      </c>
      <c r="AW433" s="418" t="str">
        <f t="shared" si="507"/>
        <v/>
      </c>
      <c r="AX433" s="418" t="str">
        <f t="shared" si="507"/>
        <v/>
      </c>
      <c r="AY433" s="418" t="str">
        <f t="shared" si="507"/>
        <v/>
      </c>
      <c r="AZ433" s="418" t="str">
        <f t="shared" si="507"/>
        <v/>
      </c>
      <c r="BA433" s="418" t="str">
        <f t="shared" si="507"/>
        <v/>
      </c>
      <c r="BB433" s="418" t="str">
        <f t="shared" si="507"/>
        <v/>
      </c>
      <c r="BC433" s="418" t="str">
        <f t="shared" si="507"/>
        <v/>
      </c>
      <c r="BD433" s="418" t="str">
        <f t="shared" si="507"/>
        <v/>
      </c>
      <c r="BE433" s="418" t="str">
        <f t="shared" si="507"/>
        <v/>
      </c>
      <c r="BF433" s="418" t="str">
        <f t="shared" si="507"/>
        <v/>
      </c>
      <c r="BG433" s="418" t="str">
        <f t="shared" si="507"/>
        <v/>
      </c>
      <c r="BH433" s="418" t="str">
        <f t="shared" si="507"/>
        <v/>
      </c>
      <c r="BI433" s="418" t="str">
        <f t="shared" si="507"/>
        <v/>
      </c>
      <c r="BJ433" s="418" t="str">
        <f t="shared" si="507"/>
        <v/>
      </c>
      <c r="BK433" s="418" t="str">
        <f t="shared" si="507"/>
        <v/>
      </c>
      <c r="BL433" s="418" t="str">
        <f t="shared" si="507"/>
        <v/>
      </c>
      <c r="BM433" s="418" t="str">
        <f t="shared" si="507"/>
        <v/>
      </c>
      <c r="BN433" s="418" t="str">
        <f t="shared" si="507"/>
        <v/>
      </c>
      <c r="BO433" s="418" t="str">
        <f t="shared" si="507"/>
        <v/>
      </c>
      <c r="BP433" s="418" t="str">
        <f t="shared" si="507"/>
        <v/>
      </c>
      <c r="BQ433" s="418" t="str">
        <f t="shared" si="507"/>
        <v/>
      </c>
      <c r="BR433" s="418" t="str">
        <f t="shared" si="507"/>
        <v/>
      </c>
      <c r="BS433" s="418" t="str">
        <f t="shared" si="507"/>
        <v/>
      </c>
      <c r="BT433" s="418" t="str">
        <f t="shared" si="507"/>
        <v/>
      </c>
      <c r="BU433" s="418" t="str">
        <f t="shared" si="456"/>
        <v/>
      </c>
      <c r="BV433" s="544">
        <v>0.61</v>
      </c>
      <c r="BW433" s="723">
        <f t="shared" si="500"/>
        <v>12209.76</v>
      </c>
      <c r="BX433" s="724">
        <f t="shared" si="501"/>
        <v>94625.64</v>
      </c>
      <c r="BY433" s="725" t="str">
        <f t="shared" si="502"/>
        <v>SR</v>
      </c>
    </row>
    <row r="434" s="698" customFormat="1" customHeight="1" spans="1:77">
      <c r="A434" s="208">
        <v>46113</v>
      </c>
      <c r="B434" s="208">
        <v>46184</v>
      </c>
      <c r="C434" s="211" t="s">
        <v>595</v>
      </c>
      <c r="D434" s="211" t="s">
        <v>596</v>
      </c>
      <c r="E434" s="211" t="s">
        <v>85</v>
      </c>
      <c r="F434" s="732">
        <v>47520</v>
      </c>
      <c r="G434" s="211" t="s">
        <v>270</v>
      </c>
      <c r="H434" s="211" t="str">
        <f>IFERROR(VLOOKUP(E434,名称!A:E,4,0),"")</f>
        <v>三代</v>
      </c>
      <c r="I434" s="268" t="str">
        <f t="shared" ref="I434:BT434" si="508">IF(OR($E434="",I$1=""),"",IF(TRIM(LEFT($E434,MIN(IFERROR(FIND("CDU",UPPER($E434)),999),IFERROR(FIND("BULK",UPPER($E434)),999),IFERROR(FIND("-",$E434),999),IFERROR(FIND("（",$E434),999))-1))=I$1,$F434,""))</f>
        <v/>
      </c>
      <c r="J434" s="268" t="str">
        <f t="shared" si="508"/>
        <v/>
      </c>
      <c r="K434" s="268" t="str">
        <f t="shared" si="508"/>
        <v/>
      </c>
      <c r="L434" s="268" t="str">
        <f t="shared" si="508"/>
        <v/>
      </c>
      <c r="M434" s="268" t="str">
        <f t="shared" si="508"/>
        <v/>
      </c>
      <c r="N434" s="268" t="str">
        <f t="shared" si="508"/>
        <v/>
      </c>
      <c r="O434" s="268" t="str">
        <f t="shared" si="508"/>
        <v/>
      </c>
      <c r="P434" s="268" t="str">
        <f t="shared" si="508"/>
        <v/>
      </c>
      <c r="Q434" s="268" t="str">
        <f t="shared" si="508"/>
        <v/>
      </c>
      <c r="R434" s="268" t="str">
        <f t="shared" si="508"/>
        <v/>
      </c>
      <c r="S434" s="268" t="str">
        <f t="shared" si="508"/>
        <v/>
      </c>
      <c r="T434" s="268" t="str">
        <f t="shared" si="508"/>
        <v/>
      </c>
      <c r="U434" s="268" t="str">
        <f t="shared" si="508"/>
        <v/>
      </c>
      <c r="V434" s="268" t="str">
        <f t="shared" si="508"/>
        <v/>
      </c>
      <c r="W434" s="268" t="str">
        <f t="shared" si="508"/>
        <v/>
      </c>
      <c r="X434" s="268" t="str">
        <f t="shared" si="508"/>
        <v/>
      </c>
      <c r="Y434" s="268" t="str">
        <f t="shared" si="508"/>
        <v/>
      </c>
      <c r="Z434" s="268" t="str">
        <f t="shared" si="508"/>
        <v/>
      </c>
      <c r="AA434" s="268" t="str">
        <f t="shared" si="508"/>
        <v/>
      </c>
      <c r="AB434" s="268" t="str">
        <f t="shared" si="508"/>
        <v/>
      </c>
      <c r="AC434" s="268" t="str">
        <f t="shared" si="508"/>
        <v/>
      </c>
      <c r="AD434" s="268" t="str">
        <f t="shared" si="508"/>
        <v/>
      </c>
      <c r="AE434" s="268" t="str">
        <f t="shared" si="508"/>
        <v/>
      </c>
      <c r="AF434" s="268" t="str">
        <f t="shared" si="508"/>
        <v/>
      </c>
      <c r="AG434" s="268" t="str">
        <f t="shared" si="508"/>
        <v/>
      </c>
      <c r="AH434" s="268" t="str">
        <f t="shared" si="508"/>
        <v/>
      </c>
      <c r="AI434" s="268" t="str">
        <f t="shared" si="508"/>
        <v/>
      </c>
      <c r="AJ434" s="268" t="str">
        <f t="shared" si="508"/>
        <v/>
      </c>
      <c r="AK434" s="268" t="str">
        <f t="shared" si="508"/>
        <v/>
      </c>
      <c r="AL434" s="268" t="str">
        <f t="shared" si="508"/>
        <v/>
      </c>
      <c r="AM434" s="268" t="str">
        <f t="shared" si="508"/>
        <v/>
      </c>
      <c r="AN434" s="268">
        <f t="shared" si="508"/>
        <v>47520</v>
      </c>
      <c r="AO434" s="268" t="str">
        <f t="shared" si="508"/>
        <v/>
      </c>
      <c r="AP434" s="268" t="str">
        <f t="shared" si="508"/>
        <v/>
      </c>
      <c r="AQ434" s="268" t="str">
        <f t="shared" si="508"/>
        <v/>
      </c>
      <c r="AR434" s="268" t="str">
        <f t="shared" si="508"/>
        <v/>
      </c>
      <c r="AS434" s="268" t="str">
        <f t="shared" si="508"/>
        <v/>
      </c>
      <c r="AT434" s="268" t="str">
        <f t="shared" si="508"/>
        <v/>
      </c>
      <c r="AU434" s="268" t="str">
        <f t="shared" si="508"/>
        <v/>
      </c>
      <c r="AV434" s="268" t="str">
        <f t="shared" si="508"/>
        <v/>
      </c>
      <c r="AW434" s="268" t="str">
        <f t="shared" si="508"/>
        <v/>
      </c>
      <c r="AX434" s="268" t="str">
        <f t="shared" si="508"/>
        <v/>
      </c>
      <c r="AY434" s="268" t="str">
        <f t="shared" si="508"/>
        <v/>
      </c>
      <c r="AZ434" s="268" t="str">
        <f t="shared" si="508"/>
        <v/>
      </c>
      <c r="BA434" s="268" t="str">
        <f t="shared" si="508"/>
        <v/>
      </c>
      <c r="BB434" s="268" t="str">
        <f t="shared" si="508"/>
        <v/>
      </c>
      <c r="BC434" s="268" t="str">
        <f t="shared" si="508"/>
        <v/>
      </c>
      <c r="BD434" s="268" t="str">
        <f t="shared" si="508"/>
        <v/>
      </c>
      <c r="BE434" s="268" t="str">
        <f t="shared" si="508"/>
        <v/>
      </c>
      <c r="BF434" s="268" t="str">
        <f t="shared" si="508"/>
        <v/>
      </c>
      <c r="BG434" s="268" t="str">
        <f t="shared" si="508"/>
        <v/>
      </c>
      <c r="BH434" s="268" t="str">
        <f t="shared" si="508"/>
        <v/>
      </c>
      <c r="BI434" s="268" t="str">
        <f t="shared" si="508"/>
        <v/>
      </c>
      <c r="BJ434" s="268" t="str">
        <f t="shared" si="508"/>
        <v/>
      </c>
      <c r="BK434" s="268" t="str">
        <f t="shared" si="508"/>
        <v/>
      </c>
      <c r="BL434" s="268" t="str">
        <f t="shared" si="508"/>
        <v/>
      </c>
      <c r="BM434" s="268" t="str">
        <f t="shared" si="508"/>
        <v/>
      </c>
      <c r="BN434" s="268" t="str">
        <f t="shared" si="508"/>
        <v/>
      </c>
      <c r="BO434" s="268" t="str">
        <f t="shared" si="508"/>
        <v/>
      </c>
      <c r="BP434" s="268" t="str">
        <f t="shared" si="508"/>
        <v/>
      </c>
      <c r="BQ434" s="268" t="str">
        <f t="shared" si="508"/>
        <v/>
      </c>
      <c r="BR434" s="268" t="str">
        <f t="shared" si="508"/>
        <v/>
      </c>
      <c r="BS434" s="268" t="str">
        <f t="shared" si="508"/>
        <v/>
      </c>
      <c r="BT434" s="268" t="str">
        <f t="shared" si="508"/>
        <v/>
      </c>
      <c r="BU434" s="268" t="str">
        <f t="shared" si="456"/>
        <v/>
      </c>
      <c r="BV434" s="247">
        <v>0.88</v>
      </c>
      <c r="BW434" s="729">
        <f t="shared" si="500"/>
        <v>41817.6</v>
      </c>
      <c r="BX434" s="730">
        <f t="shared" si="501"/>
        <v>324086.4</v>
      </c>
      <c r="BY434" s="731" t="str">
        <f t="shared" si="502"/>
        <v>SR</v>
      </c>
    </row>
    <row r="435" s="698" customFormat="1" customHeight="1" spans="1:77">
      <c r="A435" s="208">
        <v>46113</v>
      </c>
      <c r="B435" s="208">
        <v>46198</v>
      </c>
      <c r="C435" s="211" t="s">
        <v>597</v>
      </c>
      <c r="D435" s="211" t="s">
        <v>598</v>
      </c>
      <c r="E435" s="211" t="s">
        <v>85</v>
      </c>
      <c r="F435" s="732">
        <v>47520</v>
      </c>
      <c r="G435" s="211" t="s">
        <v>270</v>
      </c>
      <c r="H435" s="211" t="str">
        <f>IFERROR(VLOOKUP(E435,名称!A:E,4,0),"")</f>
        <v>三代</v>
      </c>
      <c r="I435" s="268" t="str">
        <f t="shared" ref="I435:BT435" si="509">IF(OR($E435="",I$1=""),"",IF(TRIM(LEFT($E435,MIN(IFERROR(FIND("CDU",UPPER($E435)),999),IFERROR(FIND("BULK",UPPER($E435)),999),IFERROR(FIND("-",$E435),999),IFERROR(FIND("（",$E435),999))-1))=I$1,$F435,""))</f>
        <v/>
      </c>
      <c r="J435" s="268" t="str">
        <f t="shared" si="509"/>
        <v/>
      </c>
      <c r="K435" s="268" t="str">
        <f t="shared" si="509"/>
        <v/>
      </c>
      <c r="L435" s="268" t="str">
        <f t="shared" si="509"/>
        <v/>
      </c>
      <c r="M435" s="268" t="str">
        <f t="shared" si="509"/>
        <v/>
      </c>
      <c r="N435" s="268" t="str">
        <f t="shared" si="509"/>
        <v/>
      </c>
      <c r="O435" s="268" t="str">
        <f t="shared" si="509"/>
        <v/>
      </c>
      <c r="P435" s="268" t="str">
        <f t="shared" si="509"/>
        <v/>
      </c>
      <c r="Q435" s="268" t="str">
        <f t="shared" si="509"/>
        <v/>
      </c>
      <c r="R435" s="268" t="str">
        <f t="shared" si="509"/>
        <v/>
      </c>
      <c r="S435" s="268" t="str">
        <f t="shared" si="509"/>
        <v/>
      </c>
      <c r="T435" s="268" t="str">
        <f t="shared" si="509"/>
        <v/>
      </c>
      <c r="U435" s="268" t="str">
        <f t="shared" si="509"/>
        <v/>
      </c>
      <c r="V435" s="268" t="str">
        <f t="shared" si="509"/>
        <v/>
      </c>
      <c r="W435" s="268" t="str">
        <f t="shared" si="509"/>
        <v/>
      </c>
      <c r="X435" s="268" t="str">
        <f t="shared" si="509"/>
        <v/>
      </c>
      <c r="Y435" s="268" t="str">
        <f t="shared" si="509"/>
        <v/>
      </c>
      <c r="Z435" s="268" t="str">
        <f t="shared" si="509"/>
        <v/>
      </c>
      <c r="AA435" s="268" t="str">
        <f t="shared" si="509"/>
        <v/>
      </c>
      <c r="AB435" s="268" t="str">
        <f t="shared" si="509"/>
        <v/>
      </c>
      <c r="AC435" s="268" t="str">
        <f t="shared" si="509"/>
        <v/>
      </c>
      <c r="AD435" s="268" t="str">
        <f t="shared" si="509"/>
        <v/>
      </c>
      <c r="AE435" s="268" t="str">
        <f t="shared" si="509"/>
        <v/>
      </c>
      <c r="AF435" s="268" t="str">
        <f t="shared" si="509"/>
        <v/>
      </c>
      <c r="AG435" s="268" t="str">
        <f t="shared" si="509"/>
        <v/>
      </c>
      <c r="AH435" s="268" t="str">
        <f t="shared" si="509"/>
        <v/>
      </c>
      <c r="AI435" s="268" t="str">
        <f t="shared" si="509"/>
        <v/>
      </c>
      <c r="AJ435" s="268" t="str">
        <f t="shared" si="509"/>
        <v/>
      </c>
      <c r="AK435" s="268" t="str">
        <f t="shared" si="509"/>
        <v/>
      </c>
      <c r="AL435" s="268" t="str">
        <f t="shared" si="509"/>
        <v/>
      </c>
      <c r="AM435" s="268" t="str">
        <f t="shared" si="509"/>
        <v/>
      </c>
      <c r="AN435" s="268">
        <f t="shared" si="509"/>
        <v>47520</v>
      </c>
      <c r="AO435" s="268" t="str">
        <f t="shared" si="509"/>
        <v/>
      </c>
      <c r="AP435" s="268" t="str">
        <f t="shared" si="509"/>
        <v/>
      </c>
      <c r="AQ435" s="268" t="str">
        <f t="shared" si="509"/>
        <v/>
      </c>
      <c r="AR435" s="268" t="str">
        <f t="shared" si="509"/>
        <v/>
      </c>
      <c r="AS435" s="268" t="str">
        <f t="shared" si="509"/>
        <v/>
      </c>
      <c r="AT435" s="268" t="str">
        <f t="shared" si="509"/>
        <v/>
      </c>
      <c r="AU435" s="268" t="str">
        <f t="shared" si="509"/>
        <v/>
      </c>
      <c r="AV435" s="268" t="str">
        <f t="shared" si="509"/>
        <v/>
      </c>
      <c r="AW435" s="268" t="str">
        <f t="shared" si="509"/>
        <v/>
      </c>
      <c r="AX435" s="268" t="str">
        <f t="shared" si="509"/>
        <v/>
      </c>
      <c r="AY435" s="268" t="str">
        <f t="shared" si="509"/>
        <v/>
      </c>
      <c r="AZ435" s="268" t="str">
        <f t="shared" si="509"/>
        <v/>
      </c>
      <c r="BA435" s="268" t="str">
        <f t="shared" si="509"/>
        <v/>
      </c>
      <c r="BB435" s="268" t="str">
        <f t="shared" si="509"/>
        <v/>
      </c>
      <c r="BC435" s="268" t="str">
        <f t="shared" si="509"/>
        <v/>
      </c>
      <c r="BD435" s="268" t="str">
        <f t="shared" si="509"/>
        <v/>
      </c>
      <c r="BE435" s="268" t="str">
        <f t="shared" si="509"/>
        <v/>
      </c>
      <c r="BF435" s="268" t="str">
        <f t="shared" si="509"/>
        <v/>
      </c>
      <c r="BG435" s="268" t="str">
        <f t="shared" si="509"/>
        <v/>
      </c>
      <c r="BH435" s="268" t="str">
        <f t="shared" si="509"/>
        <v/>
      </c>
      <c r="BI435" s="268" t="str">
        <f t="shared" si="509"/>
        <v/>
      </c>
      <c r="BJ435" s="268" t="str">
        <f t="shared" si="509"/>
        <v/>
      </c>
      <c r="BK435" s="268" t="str">
        <f t="shared" si="509"/>
        <v/>
      </c>
      <c r="BL435" s="268" t="str">
        <f t="shared" si="509"/>
        <v/>
      </c>
      <c r="BM435" s="268" t="str">
        <f t="shared" si="509"/>
        <v/>
      </c>
      <c r="BN435" s="268" t="str">
        <f t="shared" si="509"/>
        <v/>
      </c>
      <c r="BO435" s="268" t="str">
        <f t="shared" si="509"/>
        <v/>
      </c>
      <c r="BP435" s="268" t="str">
        <f t="shared" si="509"/>
        <v/>
      </c>
      <c r="BQ435" s="268" t="str">
        <f t="shared" si="509"/>
        <v/>
      </c>
      <c r="BR435" s="268" t="str">
        <f t="shared" si="509"/>
        <v/>
      </c>
      <c r="BS435" s="268" t="str">
        <f t="shared" si="509"/>
        <v/>
      </c>
      <c r="BT435" s="268" t="str">
        <f t="shared" si="509"/>
        <v/>
      </c>
      <c r="BU435" s="268" t="str">
        <f t="shared" si="456"/>
        <v/>
      </c>
      <c r="BV435" s="247">
        <v>0.88</v>
      </c>
      <c r="BW435" s="729">
        <f t="shared" si="500"/>
        <v>41817.6</v>
      </c>
      <c r="BX435" s="730">
        <f t="shared" si="501"/>
        <v>324086.4</v>
      </c>
      <c r="BY435" s="731" t="str">
        <f t="shared" si="502"/>
        <v>SR</v>
      </c>
    </row>
    <row r="436" s="698" customFormat="1" customHeight="1" spans="1:77">
      <c r="A436" s="208">
        <v>46113</v>
      </c>
      <c r="B436" s="208">
        <v>46212</v>
      </c>
      <c r="C436" s="211" t="s">
        <v>599</v>
      </c>
      <c r="D436" s="211" t="s">
        <v>600</v>
      </c>
      <c r="E436" s="211" t="s">
        <v>85</v>
      </c>
      <c r="F436" s="732">
        <v>47520</v>
      </c>
      <c r="G436" s="211" t="s">
        <v>270</v>
      </c>
      <c r="H436" s="211" t="str">
        <f>IFERROR(VLOOKUP(E436,名称!A:E,4,0),"")</f>
        <v>三代</v>
      </c>
      <c r="I436" s="268" t="str">
        <f t="shared" ref="I436:BT436" si="510">IF(OR($E436="",I$1=""),"",IF(TRIM(LEFT($E436,MIN(IFERROR(FIND("CDU",UPPER($E436)),999),IFERROR(FIND("BULK",UPPER($E436)),999),IFERROR(FIND("-",$E436),999),IFERROR(FIND("（",$E436),999))-1))=I$1,$F436,""))</f>
        <v/>
      </c>
      <c r="J436" s="268" t="str">
        <f t="shared" si="510"/>
        <v/>
      </c>
      <c r="K436" s="268" t="str">
        <f t="shared" si="510"/>
        <v/>
      </c>
      <c r="L436" s="268" t="str">
        <f t="shared" si="510"/>
        <v/>
      </c>
      <c r="M436" s="268" t="str">
        <f t="shared" si="510"/>
        <v/>
      </c>
      <c r="N436" s="268" t="str">
        <f t="shared" si="510"/>
        <v/>
      </c>
      <c r="O436" s="268" t="str">
        <f t="shared" si="510"/>
        <v/>
      </c>
      <c r="P436" s="268" t="str">
        <f t="shared" si="510"/>
        <v/>
      </c>
      <c r="Q436" s="268" t="str">
        <f t="shared" si="510"/>
        <v/>
      </c>
      <c r="R436" s="268" t="str">
        <f t="shared" si="510"/>
        <v/>
      </c>
      <c r="S436" s="268" t="str">
        <f t="shared" si="510"/>
        <v/>
      </c>
      <c r="T436" s="268" t="str">
        <f t="shared" si="510"/>
        <v/>
      </c>
      <c r="U436" s="268" t="str">
        <f t="shared" si="510"/>
        <v/>
      </c>
      <c r="V436" s="268" t="str">
        <f t="shared" si="510"/>
        <v/>
      </c>
      <c r="W436" s="268" t="str">
        <f t="shared" si="510"/>
        <v/>
      </c>
      <c r="X436" s="268" t="str">
        <f t="shared" si="510"/>
        <v/>
      </c>
      <c r="Y436" s="268" t="str">
        <f t="shared" si="510"/>
        <v/>
      </c>
      <c r="Z436" s="268" t="str">
        <f t="shared" si="510"/>
        <v/>
      </c>
      <c r="AA436" s="268" t="str">
        <f t="shared" si="510"/>
        <v/>
      </c>
      <c r="AB436" s="268" t="str">
        <f t="shared" si="510"/>
        <v/>
      </c>
      <c r="AC436" s="268" t="str">
        <f t="shared" si="510"/>
        <v/>
      </c>
      <c r="AD436" s="268" t="str">
        <f t="shared" si="510"/>
        <v/>
      </c>
      <c r="AE436" s="268" t="str">
        <f t="shared" si="510"/>
        <v/>
      </c>
      <c r="AF436" s="268" t="str">
        <f t="shared" si="510"/>
        <v/>
      </c>
      <c r="AG436" s="268" t="str">
        <f t="shared" si="510"/>
        <v/>
      </c>
      <c r="AH436" s="268" t="str">
        <f t="shared" si="510"/>
        <v/>
      </c>
      <c r="AI436" s="268" t="str">
        <f t="shared" si="510"/>
        <v/>
      </c>
      <c r="AJ436" s="268" t="str">
        <f t="shared" si="510"/>
        <v/>
      </c>
      <c r="AK436" s="268" t="str">
        <f t="shared" si="510"/>
        <v/>
      </c>
      <c r="AL436" s="268" t="str">
        <f t="shared" si="510"/>
        <v/>
      </c>
      <c r="AM436" s="268" t="str">
        <f t="shared" si="510"/>
        <v/>
      </c>
      <c r="AN436" s="268">
        <f t="shared" si="510"/>
        <v>47520</v>
      </c>
      <c r="AO436" s="268" t="str">
        <f t="shared" si="510"/>
        <v/>
      </c>
      <c r="AP436" s="268" t="str">
        <f t="shared" si="510"/>
        <v/>
      </c>
      <c r="AQ436" s="268" t="str">
        <f t="shared" si="510"/>
        <v/>
      </c>
      <c r="AR436" s="268" t="str">
        <f t="shared" si="510"/>
        <v/>
      </c>
      <c r="AS436" s="268" t="str">
        <f t="shared" si="510"/>
        <v/>
      </c>
      <c r="AT436" s="268" t="str">
        <f t="shared" si="510"/>
        <v/>
      </c>
      <c r="AU436" s="268" t="str">
        <f t="shared" si="510"/>
        <v/>
      </c>
      <c r="AV436" s="268" t="str">
        <f t="shared" si="510"/>
        <v/>
      </c>
      <c r="AW436" s="268" t="str">
        <f t="shared" si="510"/>
        <v/>
      </c>
      <c r="AX436" s="268" t="str">
        <f t="shared" si="510"/>
        <v/>
      </c>
      <c r="AY436" s="268" t="str">
        <f t="shared" si="510"/>
        <v/>
      </c>
      <c r="AZ436" s="268" t="str">
        <f t="shared" si="510"/>
        <v/>
      </c>
      <c r="BA436" s="268" t="str">
        <f t="shared" si="510"/>
        <v/>
      </c>
      <c r="BB436" s="268" t="str">
        <f t="shared" si="510"/>
        <v/>
      </c>
      <c r="BC436" s="268" t="str">
        <f t="shared" si="510"/>
        <v/>
      </c>
      <c r="BD436" s="268" t="str">
        <f t="shared" si="510"/>
        <v/>
      </c>
      <c r="BE436" s="268" t="str">
        <f t="shared" si="510"/>
        <v/>
      </c>
      <c r="BF436" s="268" t="str">
        <f t="shared" si="510"/>
        <v/>
      </c>
      <c r="BG436" s="268" t="str">
        <f t="shared" si="510"/>
        <v/>
      </c>
      <c r="BH436" s="268" t="str">
        <f t="shared" si="510"/>
        <v/>
      </c>
      <c r="BI436" s="268" t="str">
        <f t="shared" si="510"/>
        <v/>
      </c>
      <c r="BJ436" s="268" t="str">
        <f t="shared" si="510"/>
        <v/>
      </c>
      <c r="BK436" s="268" t="str">
        <f t="shared" si="510"/>
        <v/>
      </c>
      <c r="BL436" s="268" t="str">
        <f t="shared" si="510"/>
        <v/>
      </c>
      <c r="BM436" s="268" t="str">
        <f t="shared" si="510"/>
        <v/>
      </c>
      <c r="BN436" s="268" t="str">
        <f t="shared" si="510"/>
        <v/>
      </c>
      <c r="BO436" s="268" t="str">
        <f t="shared" si="510"/>
        <v/>
      </c>
      <c r="BP436" s="268" t="str">
        <f t="shared" si="510"/>
        <v/>
      </c>
      <c r="BQ436" s="268" t="str">
        <f t="shared" si="510"/>
        <v/>
      </c>
      <c r="BR436" s="268" t="str">
        <f t="shared" si="510"/>
        <v/>
      </c>
      <c r="BS436" s="268" t="str">
        <f t="shared" si="510"/>
        <v/>
      </c>
      <c r="BT436" s="268" t="str">
        <f t="shared" si="510"/>
        <v/>
      </c>
      <c r="BU436" s="268" t="str">
        <f t="shared" si="456"/>
        <v/>
      </c>
      <c r="BV436" s="247">
        <v>0.88</v>
      </c>
      <c r="BW436" s="729">
        <f t="shared" si="500"/>
        <v>41817.6</v>
      </c>
      <c r="BX436" s="730">
        <f t="shared" si="501"/>
        <v>324086.4</v>
      </c>
      <c r="BY436" s="731" t="str">
        <f t="shared" si="502"/>
        <v>SR</v>
      </c>
    </row>
    <row r="437" s="698" customFormat="1" customHeight="1" spans="1:77">
      <c r="A437" s="208">
        <v>46113</v>
      </c>
      <c r="B437" s="208">
        <v>46198</v>
      </c>
      <c r="C437" s="211" t="s">
        <v>601</v>
      </c>
      <c r="D437" s="211" t="s">
        <v>602</v>
      </c>
      <c r="E437" s="211" t="s">
        <v>94</v>
      </c>
      <c r="F437" s="732">
        <v>20016</v>
      </c>
      <c r="G437" s="211" t="s">
        <v>270</v>
      </c>
      <c r="H437" s="211" t="str">
        <f>IFERROR(VLOOKUP(E437,名称!A:E,4,0),"")</f>
        <v>三代</v>
      </c>
      <c r="I437" s="268" t="str">
        <f t="shared" ref="I437:BT437" si="511">IF(OR($E437="",I$1=""),"",IF(TRIM(LEFT($E437,MIN(IFERROR(FIND("CDU",UPPER($E437)),999),IFERROR(FIND("BULK",UPPER($E437)),999),IFERROR(FIND("-",$E437),999),IFERROR(FIND("（",$E437),999))-1))=I$1,$F437,""))</f>
        <v/>
      </c>
      <c r="J437" s="268" t="str">
        <f t="shared" si="511"/>
        <v/>
      </c>
      <c r="K437" s="268" t="str">
        <f t="shared" si="511"/>
        <v/>
      </c>
      <c r="L437" s="268" t="str">
        <f t="shared" si="511"/>
        <v/>
      </c>
      <c r="M437" s="268" t="str">
        <f t="shared" si="511"/>
        <v/>
      </c>
      <c r="N437" s="268" t="str">
        <f t="shared" si="511"/>
        <v/>
      </c>
      <c r="O437" s="268" t="str">
        <f t="shared" si="511"/>
        <v/>
      </c>
      <c r="P437" s="268" t="str">
        <f t="shared" si="511"/>
        <v/>
      </c>
      <c r="Q437" s="268" t="str">
        <f t="shared" si="511"/>
        <v/>
      </c>
      <c r="R437" s="268" t="str">
        <f t="shared" si="511"/>
        <v/>
      </c>
      <c r="S437" s="268" t="str">
        <f t="shared" si="511"/>
        <v/>
      </c>
      <c r="T437" s="268" t="str">
        <f t="shared" si="511"/>
        <v/>
      </c>
      <c r="U437" s="268" t="str">
        <f t="shared" si="511"/>
        <v/>
      </c>
      <c r="V437" s="268" t="str">
        <f t="shared" si="511"/>
        <v/>
      </c>
      <c r="W437" s="268" t="str">
        <f t="shared" si="511"/>
        <v/>
      </c>
      <c r="X437" s="268" t="str">
        <f t="shared" si="511"/>
        <v/>
      </c>
      <c r="Y437" s="268" t="str">
        <f t="shared" si="511"/>
        <v/>
      </c>
      <c r="Z437" s="268" t="str">
        <f t="shared" si="511"/>
        <v/>
      </c>
      <c r="AA437" s="268" t="str">
        <f t="shared" si="511"/>
        <v/>
      </c>
      <c r="AB437" s="268" t="str">
        <f t="shared" si="511"/>
        <v/>
      </c>
      <c r="AC437" s="268" t="str">
        <f t="shared" si="511"/>
        <v/>
      </c>
      <c r="AD437" s="268" t="str">
        <f t="shared" si="511"/>
        <v/>
      </c>
      <c r="AE437" s="268" t="str">
        <f t="shared" si="511"/>
        <v/>
      </c>
      <c r="AF437" s="268" t="str">
        <f t="shared" si="511"/>
        <v/>
      </c>
      <c r="AG437" s="268" t="str">
        <f t="shared" si="511"/>
        <v/>
      </c>
      <c r="AH437" s="268" t="str">
        <f t="shared" si="511"/>
        <v/>
      </c>
      <c r="AI437" s="268" t="str">
        <f t="shared" si="511"/>
        <v/>
      </c>
      <c r="AJ437" s="268" t="str">
        <f t="shared" si="511"/>
        <v/>
      </c>
      <c r="AK437" s="268" t="str">
        <f t="shared" si="511"/>
        <v/>
      </c>
      <c r="AL437" s="268" t="str">
        <f t="shared" si="511"/>
        <v/>
      </c>
      <c r="AM437" s="268" t="str">
        <f t="shared" si="511"/>
        <v/>
      </c>
      <c r="AN437" s="268" t="str">
        <f t="shared" si="511"/>
        <v/>
      </c>
      <c r="AO437" s="268" t="str">
        <f t="shared" si="511"/>
        <v/>
      </c>
      <c r="AP437" s="268" t="str">
        <f t="shared" si="511"/>
        <v/>
      </c>
      <c r="AQ437" s="268" t="str">
        <f t="shared" si="511"/>
        <v/>
      </c>
      <c r="AR437" s="268" t="str">
        <f t="shared" si="511"/>
        <v/>
      </c>
      <c r="AS437" s="268" t="str">
        <f t="shared" si="511"/>
        <v/>
      </c>
      <c r="AT437" s="268" t="str">
        <f t="shared" si="511"/>
        <v/>
      </c>
      <c r="AU437" s="268" t="str">
        <f t="shared" si="511"/>
        <v/>
      </c>
      <c r="AV437" s="268" t="str">
        <f t="shared" si="511"/>
        <v/>
      </c>
      <c r="AW437" s="268" t="str">
        <f t="shared" si="511"/>
        <v/>
      </c>
      <c r="AX437" s="268" t="str">
        <f t="shared" si="511"/>
        <v/>
      </c>
      <c r="AY437" s="268">
        <f t="shared" si="511"/>
        <v>20016</v>
      </c>
      <c r="AZ437" s="268" t="str">
        <f t="shared" si="511"/>
        <v/>
      </c>
      <c r="BA437" s="268" t="str">
        <f t="shared" si="511"/>
        <v/>
      </c>
      <c r="BB437" s="268" t="str">
        <f t="shared" si="511"/>
        <v/>
      </c>
      <c r="BC437" s="268" t="str">
        <f t="shared" si="511"/>
        <v/>
      </c>
      <c r="BD437" s="268" t="str">
        <f t="shared" si="511"/>
        <v/>
      </c>
      <c r="BE437" s="268" t="str">
        <f t="shared" si="511"/>
        <v/>
      </c>
      <c r="BF437" s="268" t="str">
        <f t="shared" si="511"/>
        <v/>
      </c>
      <c r="BG437" s="268" t="str">
        <f t="shared" si="511"/>
        <v/>
      </c>
      <c r="BH437" s="268" t="str">
        <f t="shared" si="511"/>
        <v/>
      </c>
      <c r="BI437" s="268" t="str">
        <f t="shared" si="511"/>
        <v/>
      </c>
      <c r="BJ437" s="268" t="str">
        <f t="shared" si="511"/>
        <v/>
      </c>
      <c r="BK437" s="268" t="str">
        <f t="shared" si="511"/>
        <v/>
      </c>
      <c r="BL437" s="268" t="str">
        <f t="shared" si="511"/>
        <v/>
      </c>
      <c r="BM437" s="268" t="str">
        <f t="shared" si="511"/>
        <v/>
      </c>
      <c r="BN437" s="268" t="str">
        <f t="shared" si="511"/>
        <v/>
      </c>
      <c r="BO437" s="268" t="str">
        <f t="shared" si="511"/>
        <v/>
      </c>
      <c r="BP437" s="268" t="str">
        <f t="shared" si="511"/>
        <v/>
      </c>
      <c r="BQ437" s="268" t="str">
        <f t="shared" si="511"/>
        <v/>
      </c>
      <c r="BR437" s="268" t="str">
        <f t="shared" si="511"/>
        <v/>
      </c>
      <c r="BS437" s="268" t="str">
        <f t="shared" si="511"/>
        <v/>
      </c>
      <c r="BT437" s="268" t="str">
        <f t="shared" si="511"/>
        <v/>
      </c>
      <c r="BU437" s="268" t="str">
        <f t="shared" si="456"/>
        <v/>
      </c>
      <c r="BV437" s="247">
        <v>0.62</v>
      </c>
      <c r="BW437" s="729">
        <f t="shared" si="500"/>
        <v>12409.92</v>
      </c>
      <c r="BX437" s="730">
        <f t="shared" si="501"/>
        <v>96176.88</v>
      </c>
      <c r="BY437" s="731" t="str">
        <f t="shared" si="502"/>
        <v>SR</v>
      </c>
    </row>
    <row r="438" s="698" customFormat="1" customHeight="1" spans="1:77">
      <c r="A438" s="208">
        <v>46113</v>
      </c>
      <c r="B438" s="208">
        <v>46198</v>
      </c>
      <c r="C438" s="211" t="s">
        <v>603</v>
      </c>
      <c r="D438" s="211" t="s">
        <v>604</v>
      </c>
      <c r="E438" s="211" t="s">
        <v>94</v>
      </c>
      <c r="F438" s="732">
        <v>20016</v>
      </c>
      <c r="G438" s="211" t="s">
        <v>270</v>
      </c>
      <c r="H438" s="211" t="str">
        <f>IFERROR(VLOOKUP(E438,名称!A:E,4,0),"")</f>
        <v>三代</v>
      </c>
      <c r="I438" s="268" t="str">
        <f t="shared" ref="I438:BT438" si="512">IF(OR($E438="",I$1=""),"",IF(TRIM(LEFT($E438,MIN(IFERROR(FIND("CDU",UPPER($E438)),999),IFERROR(FIND("BULK",UPPER($E438)),999),IFERROR(FIND("-",$E438),999),IFERROR(FIND("（",$E438),999))-1))=I$1,$F438,""))</f>
        <v/>
      </c>
      <c r="J438" s="268" t="str">
        <f t="shared" si="512"/>
        <v/>
      </c>
      <c r="K438" s="268" t="str">
        <f t="shared" si="512"/>
        <v/>
      </c>
      <c r="L438" s="268" t="str">
        <f t="shared" si="512"/>
        <v/>
      </c>
      <c r="M438" s="268" t="str">
        <f t="shared" si="512"/>
        <v/>
      </c>
      <c r="N438" s="268" t="str">
        <f t="shared" si="512"/>
        <v/>
      </c>
      <c r="O438" s="268" t="str">
        <f t="shared" si="512"/>
        <v/>
      </c>
      <c r="P438" s="268" t="str">
        <f t="shared" si="512"/>
        <v/>
      </c>
      <c r="Q438" s="268" t="str">
        <f t="shared" si="512"/>
        <v/>
      </c>
      <c r="R438" s="268" t="str">
        <f t="shared" si="512"/>
        <v/>
      </c>
      <c r="S438" s="268" t="str">
        <f t="shared" si="512"/>
        <v/>
      </c>
      <c r="T438" s="268" t="str">
        <f t="shared" si="512"/>
        <v/>
      </c>
      <c r="U438" s="268" t="str">
        <f t="shared" si="512"/>
        <v/>
      </c>
      <c r="V438" s="268" t="str">
        <f t="shared" si="512"/>
        <v/>
      </c>
      <c r="W438" s="268" t="str">
        <f t="shared" si="512"/>
        <v/>
      </c>
      <c r="X438" s="268" t="str">
        <f t="shared" si="512"/>
        <v/>
      </c>
      <c r="Y438" s="268" t="str">
        <f t="shared" si="512"/>
        <v/>
      </c>
      <c r="Z438" s="268" t="str">
        <f t="shared" si="512"/>
        <v/>
      </c>
      <c r="AA438" s="268" t="str">
        <f t="shared" si="512"/>
        <v/>
      </c>
      <c r="AB438" s="268" t="str">
        <f t="shared" si="512"/>
        <v/>
      </c>
      <c r="AC438" s="268" t="str">
        <f t="shared" si="512"/>
        <v/>
      </c>
      <c r="AD438" s="268" t="str">
        <f t="shared" si="512"/>
        <v/>
      </c>
      <c r="AE438" s="268" t="str">
        <f t="shared" si="512"/>
        <v/>
      </c>
      <c r="AF438" s="268" t="str">
        <f t="shared" si="512"/>
        <v/>
      </c>
      <c r="AG438" s="268" t="str">
        <f t="shared" si="512"/>
        <v/>
      </c>
      <c r="AH438" s="268" t="str">
        <f t="shared" si="512"/>
        <v/>
      </c>
      <c r="AI438" s="268" t="str">
        <f t="shared" si="512"/>
        <v/>
      </c>
      <c r="AJ438" s="268" t="str">
        <f t="shared" si="512"/>
        <v/>
      </c>
      <c r="AK438" s="268" t="str">
        <f t="shared" si="512"/>
        <v/>
      </c>
      <c r="AL438" s="268" t="str">
        <f t="shared" si="512"/>
        <v/>
      </c>
      <c r="AM438" s="268" t="str">
        <f t="shared" si="512"/>
        <v/>
      </c>
      <c r="AN438" s="268" t="str">
        <f t="shared" si="512"/>
        <v/>
      </c>
      <c r="AO438" s="268" t="str">
        <f t="shared" si="512"/>
        <v/>
      </c>
      <c r="AP438" s="268" t="str">
        <f t="shared" si="512"/>
        <v/>
      </c>
      <c r="AQ438" s="268" t="str">
        <f t="shared" si="512"/>
        <v/>
      </c>
      <c r="AR438" s="268" t="str">
        <f t="shared" si="512"/>
        <v/>
      </c>
      <c r="AS438" s="268" t="str">
        <f t="shared" si="512"/>
        <v/>
      </c>
      <c r="AT438" s="268" t="str">
        <f t="shared" si="512"/>
        <v/>
      </c>
      <c r="AU438" s="268" t="str">
        <f t="shared" si="512"/>
        <v/>
      </c>
      <c r="AV438" s="268" t="str">
        <f t="shared" si="512"/>
        <v/>
      </c>
      <c r="AW438" s="268" t="str">
        <f t="shared" si="512"/>
        <v/>
      </c>
      <c r="AX438" s="268" t="str">
        <f t="shared" si="512"/>
        <v/>
      </c>
      <c r="AY438" s="268">
        <f t="shared" si="512"/>
        <v>20016</v>
      </c>
      <c r="AZ438" s="268" t="str">
        <f t="shared" si="512"/>
        <v/>
      </c>
      <c r="BA438" s="268" t="str">
        <f t="shared" si="512"/>
        <v/>
      </c>
      <c r="BB438" s="268" t="str">
        <f t="shared" si="512"/>
        <v/>
      </c>
      <c r="BC438" s="268" t="str">
        <f t="shared" si="512"/>
        <v/>
      </c>
      <c r="BD438" s="268" t="str">
        <f t="shared" si="512"/>
        <v/>
      </c>
      <c r="BE438" s="268" t="str">
        <f t="shared" si="512"/>
        <v/>
      </c>
      <c r="BF438" s="268" t="str">
        <f t="shared" si="512"/>
        <v/>
      </c>
      <c r="BG438" s="268" t="str">
        <f t="shared" si="512"/>
        <v/>
      </c>
      <c r="BH438" s="268" t="str">
        <f t="shared" si="512"/>
        <v/>
      </c>
      <c r="BI438" s="268" t="str">
        <f t="shared" si="512"/>
        <v/>
      </c>
      <c r="BJ438" s="268" t="str">
        <f t="shared" si="512"/>
        <v/>
      </c>
      <c r="BK438" s="268" t="str">
        <f t="shared" si="512"/>
        <v/>
      </c>
      <c r="BL438" s="268" t="str">
        <f t="shared" si="512"/>
        <v/>
      </c>
      <c r="BM438" s="268" t="str">
        <f t="shared" si="512"/>
        <v/>
      </c>
      <c r="BN438" s="268" t="str">
        <f t="shared" si="512"/>
        <v/>
      </c>
      <c r="BO438" s="268" t="str">
        <f t="shared" si="512"/>
        <v/>
      </c>
      <c r="BP438" s="268" t="str">
        <f t="shared" si="512"/>
        <v/>
      </c>
      <c r="BQ438" s="268" t="str">
        <f t="shared" si="512"/>
        <v/>
      </c>
      <c r="BR438" s="268" t="str">
        <f t="shared" si="512"/>
        <v/>
      </c>
      <c r="BS438" s="268" t="str">
        <f t="shared" si="512"/>
        <v/>
      </c>
      <c r="BT438" s="268" t="str">
        <f t="shared" si="512"/>
        <v/>
      </c>
      <c r="BU438" s="268" t="str">
        <f t="shared" si="456"/>
        <v/>
      </c>
      <c r="BV438" s="247">
        <v>0.62</v>
      </c>
      <c r="BW438" s="729">
        <f t="shared" si="500"/>
        <v>12409.92</v>
      </c>
      <c r="BX438" s="730">
        <f t="shared" si="501"/>
        <v>96176.88</v>
      </c>
      <c r="BY438" s="731" t="str">
        <f t="shared" si="502"/>
        <v>SR</v>
      </c>
    </row>
    <row r="439" s="697" customFormat="1" customHeight="1" spans="1:77">
      <c r="A439" s="116">
        <v>46113</v>
      </c>
      <c r="B439" s="116">
        <v>46225</v>
      </c>
      <c r="C439" s="118" t="s">
        <v>605</v>
      </c>
      <c r="D439" s="118" t="s">
        <v>606</v>
      </c>
      <c r="E439" s="118" t="s">
        <v>94</v>
      </c>
      <c r="F439" s="726">
        <v>20016</v>
      </c>
      <c r="G439" s="118" t="s">
        <v>270</v>
      </c>
      <c r="H439" s="118" t="str">
        <f>IFERROR(VLOOKUP(E439,名称!A:E,4,0),"")</f>
        <v>三代</v>
      </c>
      <c r="I439" s="418" t="str">
        <f t="shared" ref="I439:BT439" si="513">IF(OR($E439="",I$1=""),"",IF(TRIM(LEFT($E439,MIN(IFERROR(FIND("CDU",UPPER($E439)),999),IFERROR(FIND("BULK",UPPER($E439)),999),IFERROR(FIND("-",$E439),999),IFERROR(FIND("（",$E439),999))-1))=I$1,$F439,""))</f>
        <v/>
      </c>
      <c r="J439" s="418" t="str">
        <f t="shared" si="513"/>
        <v/>
      </c>
      <c r="K439" s="418" t="str">
        <f t="shared" si="513"/>
        <v/>
      </c>
      <c r="L439" s="418" t="str">
        <f t="shared" si="513"/>
        <v/>
      </c>
      <c r="M439" s="418" t="str">
        <f t="shared" si="513"/>
        <v/>
      </c>
      <c r="N439" s="418" t="str">
        <f t="shared" si="513"/>
        <v/>
      </c>
      <c r="O439" s="418" t="str">
        <f t="shared" si="513"/>
        <v/>
      </c>
      <c r="P439" s="418" t="str">
        <f t="shared" si="513"/>
        <v/>
      </c>
      <c r="Q439" s="418" t="str">
        <f t="shared" si="513"/>
        <v/>
      </c>
      <c r="R439" s="418" t="str">
        <f t="shared" si="513"/>
        <v/>
      </c>
      <c r="S439" s="418" t="str">
        <f t="shared" si="513"/>
        <v/>
      </c>
      <c r="T439" s="418" t="str">
        <f t="shared" si="513"/>
        <v/>
      </c>
      <c r="U439" s="418" t="str">
        <f t="shared" si="513"/>
        <v/>
      </c>
      <c r="V439" s="418" t="str">
        <f t="shared" si="513"/>
        <v/>
      </c>
      <c r="W439" s="418" t="str">
        <f t="shared" si="513"/>
        <v/>
      </c>
      <c r="X439" s="418" t="str">
        <f t="shared" si="513"/>
        <v/>
      </c>
      <c r="Y439" s="418" t="str">
        <f t="shared" si="513"/>
        <v/>
      </c>
      <c r="Z439" s="418" t="str">
        <f t="shared" si="513"/>
        <v/>
      </c>
      <c r="AA439" s="418" t="str">
        <f t="shared" si="513"/>
        <v/>
      </c>
      <c r="AB439" s="418" t="str">
        <f t="shared" si="513"/>
        <v/>
      </c>
      <c r="AC439" s="418" t="str">
        <f t="shared" si="513"/>
        <v/>
      </c>
      <c r="AD439" s="418" t="str">
        <f t="shared" si="513"/>
        <v/>
      </c>
      <c r="AE439" s="418" t="str">
        <f t="shared" si="513"/>
        <v/>
      </c>
      <c r="AF439" s="418" t="str">
        <f t="shared" si="513"/>
        <v/>
      </c>
      <c r="AG439" s="418" t="str">
        <f t="shared" si="513"/>
        <v/>
      </c>
      <c r="AH439" s="418" t="str">
        <f t="shared" si="513"/>
        <v/>
      </c>
      <c r="AI439" s="418" t="str">
        <f t="shared" si="513"/>
        <v/>
      </c>
      <c r="AJ439" s="418" t="str">
        <f t="shared" si="513"/>
        <v/>
      </c>
      <c r="AK439" s="418" t="str">
        <f t="shared" si="513"/>
        <v/>
      </c>
      <c r="AL439" s="418" t="str">
        <f t="shared" si="513"/>
        <v/>
      </c>
      <c r="AM439" s="418" t="str">
        <f t="shared" si="513"/>
        <v/>
      </c>
      <c r="AN439" s="418" t="str">
        <f t="shared" si="513"/>
        <v/>
      </c>
      <c r="AO439" s="418" t="str">
        <f t="shared" si="513"/>
        <v/>
      </c>
      <c r="AP439" s="418" t="str">
        <f t="shared" si="513"/>
        <v/>
      </c>
      <c r="AQ439" s="418" t="str">
        <f t="shared" si="513"/>
        <v/>
      </c>
      <c r="AR439" s="418" t="str">
        <f t="shared" si="513"/>
        <v/>
      </c>
      <c r="AS439" s="418" t="str">
        <f t="shared" si="513"/>
        <v/>
      </c>
      <c r="AT439" s="418" t="str">
        <f t="shared" si="513"/>
        <v/>
      </c>
      <c r="AU439" s="418" t="str">
        <f t="shared" si="513"/>
        <v/>
      </c>
      <c r="AV439" s="418" t="str">
        <f t="shared" si="513"/>
        <v/>
      </c>
      <c r="AW439" s="418" t="str">
        <f t="shared" si="513"/>
        <v/>
      </c>
      <c r="AX439" s="418" t="str">
        <f t="shared" si="513"/>
        <v/>
      </c>
      <c r="AY439" s="418">
        <f t="shared" si="513"/>
        <v>20016</v>
      </c>
      <c r="AZ439" s="418" t="str">
        <f t="shared" si="513"/>
        <v/>
      </c>
      <c r="BA439" s="418" t="str">
        <f t="shared" si="513"/>
        <v/>
      </c>
      <c r="BB439" s="418" t="str">
        <f t="shared" si="513"/>
        <v/>
      </c>
      <c r="BC439" s="418" t="str">
        <f t="shared" si="513"/>
        <v/>
      </c>
      <c r="BD439" s="418" t="str">
        <f t="shared" si="513"/>
        <v/>
      </c>
      <c r="BE439" s="418" t="str">
        <f t="shared" si="513"/>
        <v/>
      </c>
      <c r="BF439" s="418" t="str">
        <f t="shared" si="513"/>
        <v/>
      </c>
      <c r="BG439" s="418" t="str">
        <f t="shared" si="513"/>
        <v/>
      </c>
      <c r="BH439" s="418" t="str">
        <f t="shared" si="513"/>
        <v/>
      </c>
      <c r="BI439" s="418" t="str">
        <f t="shared" si="513"/>
        <v/>
      </c>
      <c r="BJ439" s="418" t="str">
        <f t="shared" si="513"/>
        <v/>
      </c>
      <c r="BK439" s="418" t="str">
        <f t="shared" si="513"/>
        <v/>
      </c>
      <c r="BL439" s="418" t="str">
        <f t="shared" si="513"/>
        <v/>
      </c>
      <c r="BM439" s="418" t="str">
        <f t="shared" si="513"/>
        <v/>
      </c>
      <c r="BN439" s="418" t="str">
        <f t="shared" si="513"/>
        <v/>
      </c>
      <c r="BO439" s="418" t="str">
        <f t="shared" si="513"/>
        <v/>
      </c>
      <c r="BP439" s="418" t="str">
        <f t="shared" si="513"/>
        <v/>
      </c>
      <c r="BQ439" s="418" t="str">
        <f t="shared" si="513"/>
        <v/>
      </c>
      <c r="BR439" s="418" t="str">
        <f t="shared" si="513"/>
        <v/>
      </c>
      <c r="BS439" s="418" t="str">
        <f t="shared" si="513"/>
        <v/>
      </c>
      <c r="BT439" s="418" t="str">
        <f t="shared" si="513"/>
        <v/>
      </c>
      <c r="BU439" s="418" t="str">
        <f t="shared" si="456"/>
        <v/>
      </c>
      <c r="BV439" s="544">
        <v>0.61</v>
      </c>
      <c r="BW439" s="723">
        <f t="shared" si="500"/>
        <v>12209.76</v>
      </c>
      <c r="BX439" s="724">
        <f t="shared" si="501"/>
        <v>94625.64</v>
      </c>
      <c r="BY439" s="725" t="str">
        <f t="shared" si="502"/>
        <v>SR</v>
      </c>
    </row>
    <row r="440" s="697" customFormat="1" customHeight="1" spans="1:77">
      <c r="A440" s="116">
        <v>46113</v>
      </c>
      <c r="B440" s="116">
        <v>46240</v>
      </c>
      <c r="C440" s="118" t="s">
        <v>607</v>
      </c>
      <c r="D440" s="118" t="s">
        <v>608</v>
      </c>
      <c r="E440" s="118" t="s">
        <v>94</v>
      </c>
      <c r="F440" s="726">
        <v>40008</v>
      </c>
      <c r="G440" s="118" t="s">
        <v>270</v>
      </c>
      <c r="H440" s="118" t="str">
        <f>IFERROR(VLOOKUP(E440,名称!A:E,4,0),"")</f>
        <v>三代</v>
      </c>
      <c r="I440" s="418" t="str">
        <f t="shared" ref="I440:BT440" si="514">IF(OR($E440="",I$1=""),"",IF(TRIM(LEFT($E440,MIN(IFERROR(FIND("CDU",UPPER($E440)),999),IFERROR(FIND("BULK",UPPER($E440)),999),IFERROR(FIND("-",$E440),999),IFERROR(FIND("（",$E440),999))-1))=I$1,$F440,""))</f>
        <v/>
      </c>
      <c r="J440" s="418" t="str">
        <f t="shared" si="514"/>
        <v/>
      </c>
      <c r="K440" s="418" t="str">
        <f t="shared" si="514"/>
        <v/>
      </c>
      <c r="L440" s="418" t="str">
        <f t="shared" si="514"/>
        <v/>
      </c>
      <c r="M440" s="418" t="str">
        <f t="shared" si="514"/>
        <v/>
      </c>
      <c r="N440" s="418" t="str">
        <f t="shared" si="514"/>
        <v/>
      </c>
      <c r="O440" s="418" t="str">
        <f t="shared" si="514"/>
        <v/>
      </c>
      <c r="P440" s="418" t="str">
        <f t="shared" si="514"/>
        <v/>
      </c>
      <c r="Q440" s="418" t="str">
        <f t="shared" si="514"/>
        <v/>
      </c>
      <c r="R440" s="418" t="str">
        <f t="shared" si="514"/>
        <v/>
      </c>
      <c r="S440" s="418" t="str">
        <f t="shared" si="514"/>
        <v/>
      </c>
      <c r="T440" s="418" t="str">
        <f t="shared" si="514"/>
        <v/>
      </c>
      <c r="U440" s="418" t="str">
        <f t="shared" si="514"/>
        <v/>
      </c>
      <c r="V440" s="418" t="str">
        <f t="shared" si="514"/>
        <v/>
      </c>
      <c r="W440" s="418" t="str">
        <f t="shared" si="514"/>
        <v/>
      </c>
      <c r="X440" s="418" t="str">
        <f t="shared" si="514"/>
        <v/>
      </c>
      <c r="Y440" s="418" t="str">
        <f t="shared" si="514"/>
        <v/>
      </c>
      <c r="Z440" s="418" t="str">
        <f t="shared" si="514"/>
        <v/>
      </c>
      <c r="AA440" s="418" t="str">
        <f t="shared" si="514"/>
        <v/>
      </c>
      <c r="AB440" s="418" t="str">
        <f t="shared" si="514"/>
        <v/>
      </c>
      <c r="AC440" s="418" t="str">
        <f t="shared" si="514"/>
        <v/>
      </c>
      <c r="AD440" s="418" t="str">
        <f t="shared" si="514"/>
        <v/>
      </c>
      <c r="AE440" s="418" t="str">
        <f t="shared" si="514"/>
        <v/>
      </c>
      <c r="AF440" s="418" t="str">
        <f t="shared" si="514"/>
        <v/>
      </c>
      <c r="AG440" s="418" t="str">
        <f t="shared" si="514"/>
        <v/>
      </c>
      <c r="AH440" s="418" t="str">
        <f t="shared" si="514"/>
        <v/>
      </c>
      <c r="AI440" s="418" t="str">
        <f t="shared" si="514"/>
        <v/>
      </c>
      <c r="AJ440" s="418" t="str">
        <f t="shared" si="514"/>
        <v/>
      </c>
      <c r="AK440" s="418" t="str">
        <f t="shared" si="514"/>
        <v/>
      </c>
      <c r="AL440" s="418" t="str">
        <f t="shared" si="514"/>
        <v/>
      </c>
      <c r="AM440" s="418" t="str">
        <f t="shared" si="514"/>
        <v/>
      </c>
      <c r="AN440" s="418" t="str">
        <f t="shared" si="514"/>
        <v/>
      </c>
      <c r="AO440" s="418" t="str">
        <f t="shared" si="514"/>
        <v/>
      </c>
      <c r="AP440" s="418" t="str">
        <f t="shared" si="514"/>
        <v/>
      </c>
      <c r="AQ440" s="418" t="str">
        <f t="shared" si="514"/>
        <v/>
      </c>
      <c r="AR440" s="418" t="str">
        <f t="shared" si="514"/>
        <v/>
      </c>
      <c r="AS440" s="418" t="str">
        <f t="shared" si="514"/>
        <v/>
      </c>
      <c r="AT440" s="418" t="str">
        <f t="shared" si="514"/>
        <v/>
      </c>
      <c r="AU440" s="418" t="str">
        <f t="shared" si="514"/>
        <v/>
      </c>
      <c r="AV440" s="418" t="str">
        <f t="shared" si="514"/>
        <v/>
      </c>
      <c r="AW440" s="418" t="str">
        <f t="shared" si="514"/>
        <v/>
      </c>
      <c r="AX440" s="418" t="str">
        <f t="shared" si="514"/>
        <v/>
      </c>
      <c r="AY440" s="418">
        <f t="shared" si="514"/>
        <v>40008</v>
      </c>
      <c r="AZ440" s="418" t="str">
        <f t="shared" si="514"/>
        <v/>
      </c>
      <c r="BA440" s="418" t="str">
        <f t="shared" si="514"/>
        <v/>
      </c>
      <c r="BB440" s="418" t="str">
        <f t="shared" si="514"/>
        <v/>
      </c>
      <c r="BC440" s="418" t="str">
        <f t="shared" si="514"/>
        <v/>
      </c>
      <c r="BD440" s="418" t="str">
        <f t="shared" si="514"/>
        <v/>
      </c>
      <c r="BE440" s="418" t="str">
        <f t="shared" si="514"/>
        <v/>
      </c>
      <c r="BF440" s="418" t="str">
        <f t="shared" si="514"/>
        <v/>
      </c>
      <c r="BG440" s="418" t="str">
        <f t="shared" si="514"/>
        <v/>
      </c>
      <c r="BH440" s="418" t="str">
        <f t="shared" si="514"/>
        <v/>
      </c>
      <c r="BI440" s="418" t="str">
        <f t="shared" si="514"/>
        <v/>
      </c>
      <c r="BJ440" s="418" t="str">
        <f t="shared" si="514"/>
        <v/>
      </c>
      <c r="BK440" s="418" t="str">
        <f t="shared" si="514"/>
        <v/>
      </c>
      <c r="BL440" s="418" t="str">
        <f t="shared" si="514"/>
        <v/>
      </c>
      <c r="BM440" s="418" t="str">
        <f t="shared" si="514"/>
        <v/>
      </c>
      <c r="BN440" s="418" t="str">
        <f t="shared" si="514"/>
        <v/>
      </c>
      <c r="BO440" s="418" t="str">
        <f t="shared" si="514"/>
        <v/>
      </c>
      <c r="BP440" s="418" t="str">
        <f t="shared" si="514"/>
        <v/>
      </c>
      <c r="BQ440" s="418" t="str">
        <f t="shared" si="514"/>
        <v/>
      </c>
      <c r="BR440" s="418" t="str">
        <f t="shared" si="514"/>
        <v/>
      </c>
      <c r="BS440" s="418" t="str">
        <f t="shared" si="514"/>
        <v/>
      </c>
      <c r="BT440" s="418" t="str">
        <f t="shared" si="514"/>
        <v/>
      </c>
      <c r="BU440" s="418" t="str">
        <f t="shared" si="456"/>
        <v/>
      </c>
      <c r="BV440" s="544">
        <v>0.61</v>
      </c>
      <c r="BW440" s="723">
        <f t="shared" si="500"/>
        <v>24404.88</v>
      </c>
      <c r="BX440" s="724">
        <f t="shared" si="501"/>
        <v>189137.82</v>
      </c>
      <c r="BY440" s="725" t="str">
        <f t="shared" si="502"/>
        <v>SR</v>
      </c>
    </row>
    <row r="441" s="698" customFormat="1" customHeight="1" spans="1:77">
      <c r="A441" s="208">
        <v>46113</v>
      </c>
      <c r="B441" s="208">
        <v>46191</v>
      </c>
      <c r="C441" s="211" t="s">
        <v>609</v>
      </c>
      <c r="D441" s="211" t="s">
        <v>610</v>
      </c>
      <c r="E441" s="211" t="s">
        <v>71</v>
      </c>
      <c r="F441" s="732">
        <v>368</v>
      </c>
      <c r="G441" s="211" t="s">
        <v>334</v>
      </c>
      <c r="H441" s="211" t="str">
        <f>IFERROR(VLOOKUP(E441,名称!A:E,4,0),"")</f>
        <v>三代</v>
      </c>
      <c r="I441" s="268" t="str">
        <f t="shared" ref="I441:BT441" si="515">IF(OR($E441="",I$1=""),"",IF(TRIM(LEFT($E441,MIN(IFERROR(FIND("CDU",UPPER($E441)),999),IFERROR(FIND("BULK",UPPER($E441)),999),IFERROR(FIND("-",$E441),999),IFERROR(FIND("（",$E441),999))-1))=I$1,$F441,""))</f>
        <v/>
      </c>
      <c r="J441" s="268" t="str">
        <f t="shared" si="515"/>
        <v/>
      </c>
      <c r="K441" s="268" t="str">
        <f t="shared" si="515"/>
        <v/>
      </c>
      <c r="L441" s="268" t="str">
        <f t="shared" si="515"/>
        <v/>
      </c>
      <c r="M441" s="268" t="str">
        <f t="shared" si="515"/>
        <v/>
      </c>
      <c r="N441" s="268" t="str">
        <f t="shared" si="515"/>
        <v/>
      </c>
      <c r="O441" s="268" t="str">
        <f t="shared" si="515"/>
        <v/>
      </c>
      <c r="P441" s="268" t="str">
        <f t="shared" si="515"/>
        <v/>
      </c>
      <c r="Q441" s="268" t="str">
        <f t="shared" si="515"/>
        <v/>
      </c>
      <c r="R441" s="268" t="str">
        <f t="shared" si="515"/>
        <v/>
      </c>
      <c r="S441" s="268" t="str">
        <f t="shared" si="515"/>
        <v/>
      </c>
      <c r="T441" s="268" t="str">
        <f t="shared" si="515"/>
        <v/>
      </c>
      <c r="U441" s="268" t="str">
        <f t="shared" si="515"/>
        <v/>
      </c>
      <c r="V441" s="268" t="str">
        <f t="shared" si="515"/>
        <v/>
      </c>
      <c r="W441" s="268" t="str">
        <f t="shared" si="515"/>
        <v/>
      </c>
      <c r="X441" s="268" t="str">
        <f t="shared" si="515"/>
        <v/>
      </c>
      <c r="Y441" s="268" t="str">
        <f t="shared" si="515"/>
        <v/>
      </c>
      <c r="Z441" s="268" t="str">
        <f t="shared" si="515"/>
        <v/>
      </c>
      <c r="AA441" s="268" t="str">
        <f t="shared" si="515"/>
        <v/>
      </c>
      <c r="AB441" s="268" t="str">
        <f t="shared" si="515"/>
        <v/>
      </c>
      <c r="AC441" s="268" t="str">
        <f t="shared" si="515"/>
        <v/>
      </c>
      <c r="AD441" s="268" t="str">
        <f t="shared" si="515"/>
        <v/>
      </c>
      <c r="AE441" s="268" t="str">
        <f t="shared" si="515"/>
        <v/>
      </c>
      <c r="AF441" s="268" t="str">
        <f t="shared" si="515"/>
        <v/>
      </c>
      <c r="AG441" s="268" t="str">
        <f t="shared" si="515"/>
        <v/>
      </c>
      <c r="AH441" s="268" t="str">
        <f t="shared" si="515"/>
        <v/>
      </c>
      <c r="AI441" s="268" t="str">
        <f t="shared" si="515"/>
        <v/>
      </c>
      <c r="AJ441" s="268">
        <f t="shared" si="515"/>
        <v>368</v>
      </c>
      <c r="AK441" s="268" t="str">
        <f t="shared" si="515"/>
        <v/>
      </c>
      <c r="AL441" s="268" t="str">
        <f t="shared" si="515"/>
        <v/>
      </c>
      <c r="AM441" s="268" t="str">
        <f t="shared" si="515"/>
        <v/>
      </c>
      <c r="AN441" s="268" t="str">
        <f t="shared" si="515"/>
        <v/>
      </c>
      <c r="AO441" s="268" t="str">
        <f t="shared" si="515"/>
        <v/>
      </c>
      <c r="AP441" s="268" t="str">
        <f t="shared" si="515"/>
        <v/>
      </c>
      <c r="AQ441" s="268" t="str">
        <f t="shared" si="515"/>
        <v/>
      </c>
      <c r="AR441" s="268" t="str">
        <f t="shared" si="515"/>
        <v/>
      </c>
      <c r="AS441" s="268" t="str">
        <f t="shared" si="515"/>
        <v/>
      </c>
      <c r="AT441" s="268" t="str">
        <f t="shared" si="515"/>
        <v/>
      </c>
      <c r="AU441" s="268" t="str">
        <f t="shared" si="515"/>
        <v/>
      </c>
      <c r="AV441" s="268" t="str">
        <f t="shared" si="515"/>
        <v/>
      </c>
      <c r="AW441" s="268" t="str">
        <f t="shared" si="515"/>
        <v/>
      </c>
      <c r="AX441" s="268" t="str">
        <f t="shared" si="515"/>
        <v/>
      </c>
      <c r="AY441" s="268" t="str">
        <f t="shared" si="515"/>
        <v/>
      </c>
      <c r="AZ441" s="268" t="str">
        <f t="shared" si="515"/>
        <v/>
      </c>
      <c r="BA441" s="268" t="str">
        <f t="shared" si="515"/>
        <v/>
      </c>
      <c r="BB441" s="268" t="str">
        <f t="shared" si="515"/>
        <v/>
      </c>
      <c r="BC441" s="268" t="str">
        <f t="shared" si="515"/>
        <v/>
      </c>
      <c r="BD441" s="268" t="str">
        <f t="shared" si="515"/>
        <v/>
      </c>
      <c r="BE441" s="268" t="str">
        <f t="shared" si="515"/>
        <v/>
      </c>
      <c r="BF441" s="268" t="str">
        <f t="shared" si="515"/>
        <v/>
      </c>
      <c r="BG441" s="268" t="str">
        <f t="shared" si="515"/>
        <v/>
      </c>
      <c r="BH441" s="268" t="str">
        <f t="shared" si="515"/>
        <v/>
      </c>
      <c r="BI441" s="268" t="str">
        <f t="shared" si="515"/>
        <v/>
      </c>
      <c r="BJ441" s="268" t="str">
        <f t="shared" si="515"/>
        <v/>
      </c>
      <c r="BK441" s="268" t="str">
        <f t="shared" si="515"/>
        <v/>
      </c>
      <c r="BL441" s="268" t="str">
        <f t="shared" si="515"/>
        <v/>
      </c>
      <c r="BM441" s="268" t="str">
        <f t="shared" si="515"/>
        <v/>
      </c>
      <c r="BN441" s="268" t="str">
        <f t="shared" si="515"/>
        <v/>
      </c>
      <c r="BO441" s="268" t="str">
        <f t="shared" si="515"/>
        <v/>
      </c>
      <c r="BP441" s="268" t="str">
        <f t="shared" si="515"/>
        <v/>
      </c>
      <c r="BQ441" s="268" t="str">
        <f t="shared" si="515"/>
        <v/>
      </c>
      <c r="BR441" s="268" t="str">
        <f t="shared" si="515"/>
        <v/>
      </c>
      <c r="BS441" s="268" t="str">
        <f t="shared" si="515"/>
        <v/>
      </c>
      <c r="BT441" s="268" t="str">
        <f t="shared" si="515"/>
        <v/>
      </c>
      <c r="BU441" s="268" t="str">
        <f t="shared" si="456"/>
        <v/>
      </c>
      <c r="BV441" s="215">
        <v>7.34</v>
      </c>
      <c r="BW441" s="729">
        <f t="shared" si="500"/>
        <v>2701.12</v>
      </c>
      <c r="BX441" s="730">
        <f t="shared" si="501"/>
        <v>20933.68</v>
      </c>
      <c r="BY441" s="731" t="str">
        <f t="shared" si="502"/>
        <v>SR</v>
      </c>
    </row>
    <row r="442" s="698" customFormat="1" customHeight="1" spans="1:77">
      <c r="A442" s="208">
        <v>46113</v>
      </c>
      <c r="B442" s="208">
        <v>46216</v>
      </c>
      <c r="C442" s="211" t="s">
        <v>609</v>
      </c>
      <c r="D442" s="211" t="s">
        <v>610</v>
      </c>
      <c r="E442" s="211" t="s">
        <v>71</v>
      </c>
      <c r="F442" s="732">
        <v>4812</v>
      </c>
      <c r="G442" s="211" t="s">
        <v>334</v>
      </c>
      <c r="H442" s="211" t="str">
        <f>IFERROR(VLOOKUP(E442,名称!A:E,4,0),"")</f>
        <v>三代</v>
      </c>
      <c r="I442" s="268" t="str">
        <f t="shared" ref="I442:BT442" si="516">IF(OR($E442="",I$1=""),"",IF(TRIM(LEFT($E442,MIN(IFERROR(FIND("CDU",UPPER($E442)),999),IFERROR(FIND("BULK",UPPER($E442)),999),IFERROR(FIND("-",$E442),999),IFERROR(FIND("（",$E442),999))-1))=I$1,$F442,""))</f>
        <v/>
      </c>
      <c r="J442" s="268" t="str">
        <f t="shared" si="516"/>
        <v/>
      </c>
      <c r="K442" s="268" t="str">
        <f t="shared" si="516"/>
        <v/>
      </c>
      <c r="L442" s="268" t="str">
        <f t="shared" si="516"/>
        <v/>
      </c>
      <c r="M442" s="268" t="str">
        <f t="shared" si="516"/>
        <v/>
      </c>
      <c r="N442" s="268" t="str">
        <f t="shared" si="516"/>
        <v/>
      </c>
      <c r="O442" s="268" t="str">
        <f t="shared" si="516"/>
        <v/>
      </c>
      <c r="P442" s="268" t="str">
        <f t="shared" si="516"/>
        <v/>
      </c>
      <c r="Q442" s="268" t="str">
        <f t="shared" si="516"/>
        <v/>
      </c>
      <c r="R442" s="268" t="str">
        <f t="shared" si="516"/>
        <v/>
      </c>
      <c r="S442" s="268" t="str">
        <f t="shared" si="516"/>
        <v/>
      </c>
      <c r="T442" s="268" t="str">
        <f t="shared" si="516"/>
        <v/>
      </c>
      <c r="U442" s="268" t="str">
        <f t="shared" si="516"/>
        <v/>
      </c>
      <c r="V442" s="268" t="str">
        <f t="shared" si="516"/>
        <v/>
      </c>
      <c r="W442" s="268" t="str">
        <f t="shared" si="516"/>
        <v/>
      </c>
      <c r="X442" s="268" t="str">
        <f t="shared" si="516"/>
        <v/>
      </c>
      <c r="Y442" s="268" t="str">
        <f t="shared" si="516"/>
        <v/>
      </c>
      <c r="Z442" s="268" t="str">
        <f t="shared" si="516"/>
        <v/>
      </c>
      <c r="AA442" s="268" t="str">
        <f t="shared" si="516"/>
        <v/>
      </c>
      <c r="AB442" s="268" t="str">
        <f t="shared" si="516"/>
        <v/>
      </c>
      <c r="AC442" s="268" t="str">
        <f t="shared" si="516"/>
        <v/>
      </c>
      <c r="AD442" s="268" t="str">
        <f t="shared" si="516"/>
        <v/>
      </c>
      <c r="AE442" s="268" t="str">
        <f t="shared" si="516"/>
        <v/>
      </c>
      <c r="AF442" s="268" t="str">
        <f t="shared" si="516"/>
        <v/>
      </c>
      <c r="AG442" s="268" t="str">
        <f t="shared" si="516"/>
        <v/>
      </c>
      <c r="AH442" s="268" t="str">
        <f t="shared" si="516"/>
        <v/>
      </c>
      <c r="AI442" s="268" t="str">
        <f t="shared" si="516"/>
        <v/>
      </c>
      <c r="AJ442" s="268">
        <f t="shared" si="516"/>
        <v>4812</v>
      </c>
      <c r="AK442" s="268" t="str">
        <f t="shared" si="516"/>
        <v/>
      </c>
      <c r="AL442" s="268" t="str">
        <f t="shared" si="516"/>
        <v/>
      </c>
      <c r="AM442" s="268" t="str">
        <f t="shared" si="516"/>
        <v/>
      </c>
      <c r="AN442" s="268" t="str">
        <f t="shared" si="516"/>
        <v/>
      </c>
      <c r="AO442" s="268" t="str">
        <f t="shared" si="516"/>
        <v/>
      </c>
      <c r="AP442" s="268" t="str">
        <f t="shared" si="516"/>
        <v/>
      </c>
      <c r="AQ442" s="268" t="str">
        <f t="shared" si="516"/>
        <v/>
      </c>
      <c r="AR442" s="268" t="str">
        <f t="shared" si="516"/>
        <v/>
      </c>
      <c r="AS442" s="268" t="str">
        <f t="shared" si="516"/>
        <v/>
      </c>
      <c r="AT442" s="268" t="str">
        <f t="shared" si="516"/>
        <v/>
      </c>
      <c r="AU442" s="268" t="str">
        <f t="shared" si="516"/>
        <v/>
      </c>
      <c r="AV442" s="268" t="str">
        <f t="shared" si="516"/>
        <v/>
      </c>
      <c r="AW442" s="268" t="str">
        <f t="shared" si="516"/>
        <v/>
      </c>
      <c r="AX442" s="268" t="str">
        <f t="shared" si="516"/>
        <v/>
      </c>
      <c r="AY442" s="268" t="str">
        <f t="shared" si="516"/>
        <v/>
      </c>
      <c r="AZ442" s="268" t="str">
        <f t="shared" si="516"/>
        <v/>
      </c>
      <c r="BA442" s="268" t="str">
        <f t="shared" si="516"/>
        <v/>
      </c>
      <c r="BB442" s="268" t="str">
        <f t="shared" si="516"/>
        <v/>
      </c>
      <c r="BC442" s="268" t="str">
        <f t="shared" si="516"/>
        <v/>
      </c>
      <c r="BD442" s="268" t="str">
        <f t="shared" si="516"/>
        <v/>
      </c>
      <c r="BE442" s="268" t="str">
        <f t="shared" si="516"/>
        <v/>
      </c>
      <c r="BF442" s="268" t="str">
        <f t="shared" si="516"/>
        <v/>
      </c>
      <c r="BG442" s="268" t="str">
        <f t="shared" si="516"/>
        <v/>
      </c>
      <c r="BH442" s="268" t="str">
        <f t="shared" si="516"/>
        <v/>
      </c>
      <c r="BI442" s="268" t="str">
        <f t="shared" si="516"/>
        <v/>
      </c>
      <c r="BJ442" s="268" t="str">
        <f t="shared" si="516"/>
        <v/>
      </c>
      <c r="BK442" s="268" t="str">
        <f t="shared" si="516"/>
        <v/>
      </c>
      <c r="BL442" s="268" t="str">
        <f t="shared" si="516"/>
        <v/>
      </c>
      <c r="BM442" s="268" t="str">
        <f t="shared" si="516"/>
        <v/>
      </c>
      <c r="BN442" s="268" t="str">
        <f t="shared" si="516"/>
        <v/>
      </c>
      <c r="BO442" s="268" t="str">
        <f t="shared" si="516"/>
        <v/>
      </c>
      <c r="BP442" s="268" t="str">
        <f t="shared" si="516"/>
        <v/>
      </c>
      <c r="BQ442" s="268" t="str">
        <f t="shared" si="516"/>
        <v/>
      </c>
      <c r="BR442" s="268" t="str">
        <f t="shared" si="516"/>
        <v/>
      </c>
      <c r="BS442" s="268" t="str">
        <f t="shared" si="516"/>
        <v/>
      </c>
      <c r="BT442" s="268" t="str">
        <f t="shared" si="516"/>
        <v/>
      </c>
      <c r="BU442" s="268" t="str">
        <f t="shared" si="456"/>
        <v/>
      </c>
      <c r="BV442" s="215">
        <v>7.34</v>
      </c>
      <c r="BW442" s="729">
        <f t="shared" si="500"/>
        <v>35320.08</v>
      </c>
      <c r="BX442" s="730">
        <f t="shared" si="501"/>
        <v>273730.62</v>
      </c>
      <c r="BY442" s="731" t="str">
        <f t="shared" si="502"/>
        <v>SR</v>
      </c>
    </row>
    <row r="443" s="698" customFormat="1" customHeight="1" spans="1:77">
      <c r="A443" s="208">
        <v>46113</v>
      </c>
      <c r="B443" s="208">
        <v>46216</v>
      </c>
      <c r="C443" s="211" t="s">
        <v>609</v>
      </c>
      <c r="D443" s="211" t="s">
        <v>610</v>
      </c>
      <c r="E443" s="211" t="s">
        <v>71</v>
      </c>
      <c r="F443" s="732">
        <v>3204</v>
      </c>
      <c r="G443" s="211" t="s">
        <v>334</v>
      </c>
      <c r="H443" s="211" t="str">
        <f>IFERROR(VLOOKUP(E443,名称!A:E,4,0),"")</f>
        <v>三代</v>
      </c>
      <c r="I443" s="268" t="str">
        <f t="shared" ref="I443:BT443" si="517">IF(OR($E443="",I$1=""),"",IF(TRIM(LEFT($E443,MIN(IFERROR(FIND("CDU",UPPER($E443)),999),IFERROR(FIND("BULK",UPPER($E443)),999),IFERROR(FIND("-",$E443),999),IFERROR(FIND("（",$E443),999))-1))=I$1,$F443,""))</f>
        <v/>
      </c>
      <c r="J443" s="268" t="str">
        <f t="shared" si="517"/>
        <v/>
      </c>
      <c r="K443" s="268" t="str">
        <f t="shared" si="517"/>
        <v/>
      </c>
      <c r="L443" s="268" t="str">
        <f t="shared" si="517"/>
        <v/>
      </c>
      <c r="M443" s="268" t="str">
        <f t="shared" si="517"/>
        <v/>
      </c>
      <c r="N443" s="268" t="str">
        <f t="shared" si="517"/>
        <v/>
      </c>
      <c r="O443" s="268" t="str">
        <f t="shared" si="517"/>
        <v/>
      </c>
      <c r="P443" s="268" t="str">
        <f t="shared" si="517"/>
        <v/>
      </c>
      <c r="Q443" s="268" t="str">
        <f t="shared" si="517"/>
        <v/>
      </c>
      <c r="R443" s="268" t="str">
        <f t="shared" si="517"/>
        <v/>
      </c>
      <c r="S443" s="268" t="str">
        <f t="shared" si="517"/>
        <v/>
      </c>
      <c r="T443" s="268" t="str">
        <f t="shared" si="517"/>
        <v/>
      </c>
      <c r="U443" s="268" t="str">
        <f t="shared" si="517"/>
        <v/>
      </c>
      <c r="V443" s="268" t="str">
        <f t="shared" si="517"/>
        <v/>
      </c>
      <c r="W443" s="268" t="str">
        <f t="shared" si="517"/>
        <v/>
      </c>
      <c r="X443" s="268" t="str">
        <f t="shared" si="517"/>
        <v/>
      </c>
      <c r="Y443" s="268" t="str">
        <f t="shared" si="517"/>
        <v/>
      </c>
      <c r="Z443" s="268" t="str">
        <f t="shared" si="517"/>
        <v/>
      </c>
      <c r="AA443" s="268" t="str">
        <f t="shared" si="517"/>
        <v/>
      </c>
      <c r="AB443" s="268" t="str">
        <f t="shared" si="517"/>
        <v/>
      </c>
      <c r="AC443" s="268" t="str">
        <f t="shared" si="517"/>
        <v/>
      </c>
      <c r="AD443" s="268" t="str">
        <f t="shared" si="517"/>
        <v/>
      </c>
      <c r="AE443" s="268" t="str">
        <f t="shared" si="517"/>
        <v/>
      </c>
      <c r="AF443" s="268" t="str">
        <f t="shared" si="517"/>
        <v/>
      </c>
      <c r="AG443" s="268" t="str">
        <f t="shared" si="517"/>
        <v/>
      </c>
      <c r="AH443" s="268" t="str">
        <f t="shared" si="517"/>
        <v/>
      </c>
      <c r="AI443" s="268" t="str">
        <f t="shared" si="517"/>
        <v/>
      </c>
      <c r="AJ443" s="268">
        <f t="shared" si="517"/>
        <v>3204</v>
      </c>
      <c r="AK443" s="268" t="str">
        <f t="shared" si="517"/>
        <v/>
      </c>
      <c r="AL443" s="268" t="str">
        <f t="shared" si="517"/>
        <v/>
      </c>
      <c r="AM443" s="268" t="str">
        <f t="shared" si="517"/>
        <v/>
      </c>
      <c r="AN443" s="268" t="str">
        <f t="shared" si="517"/>
        <v/>
      </c>
      <c r="AO443" s="268" t="str">
        <f t="shared" si="517"/>
        <v/>
      </c>
      <c r="AP443" s="268" t="str">
        <f t="shared" si="517"/>
        <v/>
      </c>
      <c r="AQ443" s="268" t="str">
        <f t="shared" si="517"/>
        <v/>
      </c>
      <c r="AR443" s="268" t="str">
        <f t="shared" si="517"/>
        <v/>
      </c>
      <c r="AS443" s="268" t="str">
        <f t="shared" si="517"/>
        <v/>
      </c>
      <c r="AT443" s="268" t="str">
        <f t="shared" si="517"/>
        <v/>
      </c>
      <c r="AU443" s="268" t="str">
        <f t="shared" si="517"/>
        <v/>
      </c>
      <c r="AV443" s="268" t="str">
        <f t="shared" si="517"/>
        <v/>
      </c>
      <c r="AW443" s="268" t="str">
        <f t="shared" si="517"/>
        <v/>
      </c>
      <c r="AX443" s="268" t="str">
        <f t="shared" si="517"/>
        <v/>
      </c>
      <c r="AY443" s="268" t="str">
        <f t="shared" si="517"/>
        <v/>
      </c>
      <c r="AZ443" s="268" t="str">
        <f t="shared" si="517"/>
        <v/>
      </c>
      <c r="BA443" s="268" t="str">
        <f t="shared" si="517"/>
        <v/>
      </c>
      <c r="BB443" s="268" t="str">
        <f t="shared" si="517"/>
        <v/>
      </c>
      <c r="BC443" s="268" t="str">
        <f t="shared" si="517"/>
        <v/>
      </c>
      <c r="BD443" s="268" t="str">
        <f t="shared" si="517"/>
        <v/>
      </c>
      <c r="BE443" s="268" t="str">
        <f t="shared" si="517"/>
        <v/>
      </c>
      <c r="BF443" s="268" t="str">
        <f t="shared" si="517"/>
        <v/>
      </c>
      <c r="BG443" s="268" t="str">
        <f t="shared" si="517"/>
        <v/>
      </c>
      <c r="BH443" s="268" t="str">
        <f t="shared" si="517"/>
        <v/>
      </c>
      <c r="BI443" s="268" t="str">
        <f t="shared" si="517"/>
        <v/>
      </c>
      <c r="BJ443" s="268" t="str">
        <f t="shared" si="517"/>
        <v/>
      </c>
      <c r="BK443" s="268" t="str">
        <f t="shared" si="517"/>
        <v/>
      </c>
      <c r="BL443" s="268" t="str">
        <f t="shared" si="517"/>
        <v/>
      </c>
      <c r="BM443" s="268" t="str">
        <f t="shared" si="517"/>
        <v/>
      </c>
      <c r="BN443" s="268" t="str">
        <f t="shared" si="517"/>
        <v/>
      </c>
      <c r="BO443" s="268" t="str">
        <f t="shared" si="517"/>
        <v/>
      </c>
      <c r="BP443" s="268" t="str">
        <f t="shared" si="517"/>
        <v/>
      </c>
      <c r="BQ443" s="268" t="str">
        <f t="shared" si="517"/>
        <v/>
      </c>
      <c r="BR443" s="268" t="str">
        <f t="shared" si="517"/>
        <v/>
      </c>
      <c r="BS443" s="268" t="str">
        <f t="shared" si="517"/>
        <v/>
      </c>
      <c r="BT443" s="268" t="str">
        <f t="shared" si="517"/>
        <v/>
      </c>
      <c r="BU443" s="268" t="str">
        <f t="shared" si="456"/>
        <v/>
      </c>
      <c r="BV443" s="215">
        <v>7.34</v>
      </c>
      <c r="BW443" s="729">
        <f t="shared" si="500"/>
        <v>23517.36</v>
      </c>
      <c r="BX443" s="730">
        <f t="shared" si="501"/>
        <v>182259.54</v>
      </c>
      <c r="BY443" s="731" t="str">
        <f t="shared" si="502"/>
        <v>SR</v>
      </c>
    </row>
    <row r="444" s="698" customFormat="1" customHeight="1" spans="1:77">
      <c r="A444" s="208">
        <v>46113</v>
      </c>
      <c r="B444" s="208">
        <v>46168</v>
      </c>
      <c r="C444" s="211" t="s">
        <v>611</v>
      </c>
      <c r="D444" s="211" t="s">
        <v>612</v>
      </c>
      <c r="E444" s="211" t="s">
        <v>50</v>
      </c>
      <c r="F444" s="732">
        <v>42012</v>
      </c>
      <c r="G444" s="211" t="s">
        <v>334</v>
      </c>
      <c r="H444" s="211" t="str">
        <f>IFERROR(VLOOKUP(E444,名称!A:E,4,0),"")</f>
        <v>蛋糕</v>
      </c>
      <c r="I444" s="268" t="str">
        <f t="shared" ref="I444:BT444" si="518">IF(OR($E444="",I$1=""),"",IF(TRIM(LEFT($E444,MIN(IFERROR(FIND("CDU",UPPER($E444)),999),IFERROR(FIND("BULK",UPPER($E444)),999),IFERROR(FIND("-",$E444),999),IFERROR(FIND("（",$E444),999))-1))=I$1,$F444,""))</f>
        <v/>
      </c>
      <c r="J444" s="268" t="str">
        <f t="shared" si="518"/>
        <v/>
      </c>
      <c r="K444" s="268" t="str">
        <f t="shared" si="518"/>
        <v/>
      </c>
      <c r="L444" s="268" t="str">
        <f t="shared" si="518"/>
        <v/>
      </c>
      <c r="M444" s="268" t="str">
        <f t="shared" si="518"/>
        <v/>
      </c>
      <c r="N444" s="268" t="str">
        <f t="shared" si="518"/>
        <v/>
      </c>
      <c r="O444" s="268" t="str">
        <f t="shared" si="518"/>
        <v/>
      </c>
      <c r="P444" s="268" t="str">
        <f t="shared" si="518"/>
        <v/>
      </c>
      <c r="Q444" s="268" t="str">
        <f t="shared" si="518"/>
        <v/>
      </c>
      <c r="R444" s="268" t="str">
        <f t="shared" si="518"/>
        <v/>
      </c>
      <c r="S444" s="268" t="str">
        <f t="shared" si="518"/>
        <v/>
      </c>
      <c r="T444" s="268" t="str">
        <f t="shared" si="518"/>
        <v/>
      </c>
      <c r="U444" s="268" t="str">
        <f t="shared" si="518"/>
        <v/>
      </c>
      <c r="V444" s="268" t="str">
        <f t="shared" si="518"/>
        <v/>
      </c>
      <c r="W444" s="268" t="str">
        <f t="shared" si="518"/>
        <v/>
      </c>
      <c r="X444" s="268" t="str">
        <f t="shared" si="518"/>
        <v/>
      </c>
      <c r="Y444" s="268" t="str">
        <f t="shared" si="518"/>
        <v/>
      </c>
      <c r="Z444" s="268" t="str">
        <f t="shared" si="518"/>
        <v/>
      </c>
      <c r="AA444" s="268" t="str">
        <f t="shared" si="518"/>
        <v/>
      </c>
      <c r="AB444" s="268" t="str">
        <f t="shared" si="518"/>
        <v/>
      </c>
      <c r="AC444" s="268" t="str">
        <f t="shared" si="518"/>
        <v/>
      </c>
      <c r="AD444" s="268" t="str">
        <f t="shared" si="518"/>
        <v/>
      </c>
      <c r="AE444" s="268" t="str">
        <f t="shared" si="518"/>
        <v/>
      </c>
      <c r="AF444" s="268" t="str">
        <f t="shared" si="518"/>
        <v/>
      </c>
      <c r="AG444" s="268" t="str">
        <f t="shared" si="518"/>
        <v/>
      </c>
      <c r="AH444" s="268" t="str">
        <f t="shared" si="518"/>
        <v/>
      </c>
      <c r="AI444" s="268" t="str">
        <f t="shared" si="518"/>
        <v/>
      </c>
      <c r="AJ444" s="268" t="str">
        <f t="shared" si="518"/>
        <v/>
      </c>
      <c r="AK444" s="268" t="str">
        <f t="shared" si="518"/>
        <v/>
      </c>
      <c r="AL444" s="268" t="str">
        <f t="shared" si="518"/>
        <v/>
      </c>
      <c r="AM444" s="268" t="str">
        <f t="shared" si="518"/>
        <v/>
      </c>
      <c r="AN444" s="268" t="str">
        <f t="shared" si="518"/>
        <v/>
      </c>
      <c r="AO444" s="268" t="str">
        <f t="shared" si="518"/>
        <v/>
      </c>
      <c r="AP444" s="268" t="str">
        <f t="shared" si="518"/>
        <v/>
      </c>
      <c r="AQ444" s="268" t="str">
        <f t="shared" si="518"/>
        <v/>
      </c>
      <c r="AR444" s="268" t="str">
        <f t="shared" si="518"/>
        <v/>
      </c>
      <c r="AS444" s="268" t="str">
        <f t="shared" si="518"/>
        <v/>
      </c>
      <c r="AT444" s="268" t="str">
        <f t="shared" si="518"/>
        <v/>
      </c>
      <c r="AU444" s="268" t="str">
        <f t="shared" si="518"/>
        <v/>
      </c>
      <c r="AV444" s="268" t="str">
        <f t="shared" si="518"/>
        <v/>
      </c>
      <c r="AW444" s="268" t="str">
        <f t="shared" si="518"/>
        <v/>
      </c>
      <c r="AX444" s="268" t="str">
        <f t="shared" si="518"/>
        <v/>
      </c>
      <c r="AY444" s="268" t="str">
        <f t="shared" si="518"/>
        <v/>
      </c>
      <c r="AZ444" s="268" t="str">
        <f t="shared" si="518"/>
        <v/>
      </c>
      <c r="BA444" s="268" t="str">
        <f t="shared" si="518"/>
        <v/>
      </c>
      <c r="BB444" s="268" t="str">
        <f t="shared" si="518"/>
        <v/>
      </c>
      <c r="BC444" s="268" t="str">
        <f t="shared" si="518"/>
        <v/>
      </c>
      <c r="BD444" s="268" t="str">
        <f t="shared" si="518"/>
        <v/>
      </c>
      <c r="BE444" s="268" t="str">
        <f t="shared" si="518"/>
        <v/>
      </c>
      <c r="BF444" s="268" t="str">
        <f t="shared" si="518"/>
        <v/>
      </c>
      <c r="BG444" s="268">
        <f t="shared" si="518"/>
        <v>42012</v>
      </c>
      <c r="BH444" s="268" t="str">
        <f t="shared" si="518"/>
        <v/>
      </c>
      <c r="BI444" s="268" t="str">
        <f t="shared" si="518"/>
        <v/>
      </c>
      <c r="BJ444" s="268" t="str">
        <f t="shared" si="518"/>
        <v/>
      </c>
      <c r="BK444" s="268" t="str">
        <f t="shared" si="518"/>
        <v/>
      </c>
      <c r="BL444" s="268" t="str">
        <f t="shared" si="518"/>
        <v/>
      </c>
      <c r="BM444" s="268" t="str">
        <f t="shared" si="518"/>
        <v/>
      </c>
      <c r="BN444" s="268" t="str">
        <f t="shared" si="518"/>
        <v/>
      </c>
      <c r="BO444" s="268" t="str">
        <f t="shared" si="518"/>
        <v/>
      </c>
      <c r="BP444" s="268" t="str">
        <f t="shared" si="518"/>
        <v/>
      </c>
      <c r="BQ444" s="268" t="str">
        <f t="shared" si="518"/>
        <v/>
      </c>
      <c r="BR444" s="268" t="str">
        <f t="shared" si="518"/>
        <v/>
      </c>
      <c r="BS444" s="268" t="str">
        <f t="shared" si="518"/>
        <v/>
      </c>
      <c r="BT444" s="268" t="str">
        <f t="shared" si="518"/>
        <v/>
      </c>
      <c r="BU444" s="268" t="str">
        <f t="shared" si="456"/>
        <v/>
      </c>
      <c r="BV444" s="247">
        <v>1.03</v>
      </c>
      <c r="BW444" s="729">
        <f t="shared" si="500"/>
        <v>43272.36</v>
      </c>
      <c r="BX444" s="730">
        <f t="shared" si="501"/>
        <v>335360.79</v>
      </c>
      <c r="BY444" s="731" t="str">
        <f t="shared" si="502"/>
        <v>JC</v>
      </c>
    </row>
    <row r="445" s="698" customFormat="1" customHeight="1" spans="1:77">
      <c r="A445" s="208">
        <v>46114</v>
      </c>
      <c r="B445" s="208">
        <v>46183</v>
      </c>
      <c r="C445" s="211" t="s">
        <v>613</v>
      </c>
      <c r="D445" s="211" t="s">
        <v>614</v>
      </c>
      <c r="E445" s="211" t="s">
        <v>112</v>
      </c>
      <c r="F445" s="732">
        <v>2000</v>
      </c>
      <c r="G445" s="211" t="s">
        <v>334</v>
      </c>
      <c r="H445" s="211" t="str">
        <f>IFERROR(VLOOKUP(E445,名称!A:E,4,0),"")</f>
        <v>三代</v>
      </c>
      <c r="I445" s="268" t="str">
        <f t="shared" ref="I445:BT445" si="519">IF(OR($E445="",I$1=""),"",IF(TRIM(LEFT($E445,MIN(IFERROR(FIND("CDU",UPPER($E445)),999),IFERROR(FIND("BULK",UPPER($E445)),999),IFERROR(FIND("-",$E445),999),IFERROR(FIND("（",$E445),999))-1))=I$1,$F445,""))</f>
        <v/>
      </c>
      <c r="J445" s="268" t="str">
        <f t="shared" si="519"/>
        <v/>
      </c>
      <c r="K445" s="268" t="str">
        <f t="shared" si="519"/>
        <v/>
      </c>
      <c r="L445" s="268" t="str">
        <f t="shared" si="519"/>
        <v/>
      </c>
      <c r="M445" s="268" t="str">
        <f t="shared" si="519"/>
        <v/>
      </c>
      <c r="N445" s="268" t="str">
        <f t="shared" si="519"/>
        <v/>
      </c>
      <c r="O445" s="268" t="str">
        <f t="shared" si="519"/>
        <v/>
      </c>
      <c r="P445" s="268" t="str">
        <f t="shared" si="519"/>
        <v/>
      </c>
      <c r="Q445" s="268" t="str">
        <f t="shared" si="519"/>
        <v/>
      </c>
      <c r="R445" s="268" t="str">
        <f t="shared" si="519"/>
        <v/>
      </c>
      <c r="S445" s="268" t="str">
        <f t="shared" si="519"/>
        <v/>
      </c>
      <c r="T445" s="268" t="str">
        <f t="shared" si="519"/>
        <v/>
      </c>
      <c r="U445" s="268" t="str">
        <f t="shared" si="519"/>
        <v/>
      </c>
      <c r="V445" s="268" t="str">
        <f t="shared" si="519"/>
        <v/>
      </c>
      <c r="W445" s="268" t="str">
        <f t="shared" si="519"/>
        <v/>
      </c>
      <c r="X445" s="268" t="str">
        <f t="shared" si="519"/>
        <v/>
      </c>
      <c r="Y445" s="268" t="str">
        <f t="shared" si="519"/>
        <v/>
      </c>
      <c r="Z445" s="268" t="str">
        <f t="shared" si="519"/>
        <v/>
      </c>
      <c r="AA445" s="268" t="str">
        <f t="shared" si="519"/>
        <v/>
      </c>
      <c r="AB445" s="268" t="str">
        <f t="shared" si="519"/>
        <v/>
      </c>
      <c r="AC445" s="268" t="str">
        <f t="shared" si="519"/>
        <v/>
      </c>
      <c r="AD445" s="268" t="str">
        <f t="shared" si="519"/>
        <v/>
      </c>
      <c r="AE445" s="268" t="str">
        <f t="shared" si="519"/>
        <v/>
      </c>
      <c r="AF445" s="268" t="str">
        <f t="shared" si="519"/>
        <v/>
      </c>
      <c r="AG445" s="268" t="str">
        <f t="shared" si="519"/>
        <v/>
      </c>
      <c r="AH445" s="268" t="str">
        <f t="shared" si="519"/>
        <v/>
      </c>
      <c r="AI445" s="268">
        <f t="shared" si="519"/>
        <v>2000</v>
      </c>
      <c r="AJ445" s="268" t="str">
        <f t="shared" si="519"/>
        <v/>
      </c>
      <c r="AK445" s="268" t="str">
        <f t="shared" si="519"/>
        <v/>
      </c>
      <c r="AL445" s="268" t="str">
        <f t="shared" si="519"/>
        <v/>
      </c>
      <c r="AM445" s="268" t="str">
        <f t="shared" si="519"/>
        <v/>
      </c>
      <c r="AN445" s="268" t="str">
        <f t="shared" si="519"/>
        <v/>
      </c>
      <c r="AO445" s="268" t="str">
        <f t="shared" si="519"/>
        <v/>
      </c>
      <c r="AP445" s="268" t="str">
        <f t="shared" si="519"/>
        <v/>
      </c>
      <c r="AQ445" s="268" t="str">
        <f t="shared" si="519"/>
        <v/>
      </c>
      <c r="AR445" s="268" t="str">
        <f t="shared" si="519"/>
        <v/>
      </c>
      <c r="AS445" s="268" t="str">
        <f t="shared" si="519"/>
        <v/>
      </c>
      <c r="AT445" s="268" t="str">
        <f t="shared" si="519"/>
        <v/>
      </c>
      <c r="AU445" s="268" t="str">
        <f t="shared" si="519"/>
        <v/>
      </c>
      <c r="AV445" s="268" t="str">
        <f t="shared" si="519"/>
        <v/>
      </c>
      <c r="AW445" s="268" t="str">
        <f t="shared" si="519"/>
        <v/>
      </c>
      <c r="AX445" s="268" t="str">
        <f t="shared" si="519"/>
        <v/>
      </c>
      <c r="AY445" s="268" t="str">
        <f t="shared" si="519"/>
        <v/>
      </c>
      <c r="AZ445" s="268" t="str">
        <f t="shared" si="519"/>
        <v/>
      </c>
      <c r="BA445" s="268" t="str">
        <f t="shared" si="519"/>
        <v/>
      </c>
      <c r="BB445" s="268" t="str">
        <f t="shared" si="519"/>
        <v/>
      </c>
      <c r="BC445" s="268" t="str">
        <f t="shared" si="519"/>
        <v/>
      </c>
      <c r="BD445" s="268" t="str">
        <f t="shared" si="519"/>
        <v/>
      </c>
      <c r="BE445" s="268" t="str">
        <f t="shared" si="519"/>
        <v/>
      </c>
      <c r="BF445" s="268" t="str">
        <f t="shared" si="519"/>
        <v/>
      </c>
      <c r="BG445" s="268" t="str">
        <f t="shared" si="519"/>
        <v/>
      </c>
      <c r="BH445" s="268" t="str">
        <f t="shared" si="519"/>
        <v/>
      </c>
      <c r="BI445" s="268" t="str">
        <f t="shared" si="519"/>
        <v/>
      </c>
      <c r="BJ445" s="268" t="str">
        <f t="shared" si="519"/>
        <v/>
      </c>
      <c r="BK445" s="268" t="str">
        <f t="shared" si="519"/>
        <v/>
      </c>
      <c r="BL445" s="268" t="str">
        <f t="shared" si="519"/>
        <v/>
      </c>
      <c r="BM445" s="268" t="str">
        <f t="shared" si="519"/>
        <v/>
      </c>
      <c r="BN445" s="268" t="str">
        <f t="shared" si="519"/>
        <v/>
      </c>
      <c r="BO445" s="268" t="str">
        <f t="shared" si="519"/>
        <v/>
      </c>
      <c r="BP445" s="268" t="str">
        <f t="shared" si="519"/>
        <v/>
      </c>
      <c r="BQ445" s="268" t="str">
        <f t="shared" si="519"/>
        <v/>
      </c>
      <c r="BR445" s="268" t="str">
        <f t="shared" si="519"/>
        <v/>
      </c>
      <c r="BS445" s="268" t="str">
        <f t="shared" si="519"/>
        <v/>
      </c>
      <c r="BT445" s="268" t="str">
        <f t="shared" si="519"/>
        <v/>
      </c>
      <c r="BU445" s="268" t="str">
        <f t="shared" si="456"/>
        <v/>
      </c>
      <c r="BV445" s="247">
        <v>9.12</v>
      </c>
      <c r="BW445" s="729">
        <f t="shared" si="500"/>
        <v>18240</v>
      </c>
      <c r="BX445" s="730">
        <f t="shared" si="501"/>
        <v>141360</v>
      </c>
      <c r="BY445" s="731" t="str">
        <f t="shared" si="502"/>
        <v>SR</v>
      </c>
    </row>
    <row r="446" s="698" customFormat="1" customHeight="1" spans="1:77">
      <c r="A446" s="208">
        <v>46114</v>
      </c>
      <c r="B446" s="208">
        <v>46183</v>
      </c>
      <c r="C446" s="211" t="s">
        <v>613</v>
      </c>
      <c r="D446" s="211" t="s">
        <v>614</v>
      </c>
      <c r="E446" s="211" t="s">
        <v>119</v>
      </c>
      <c r="F446" s="732">
        <v>10008</v>
      </c>
      <c r="G446" s="211" t="s">
        <v>334</v>
      </c>
      <c r="H446" s="211" t="str">
        <f>IFERROR(VLOOKUP(E446,名称!A:E,4,0),"")</f>
        <v>三代</v>
      </c>
      <c r="I446" s="268" t="str">
        <f t="shared" ref="I446:BT446" si="520">IF(OR($E446="",I$1=""),"",IF(TRIM(LEFT($E446,MIN(IFERROR(FIND("CDU",UPPER($E446)),999),IFERROR(FIND("BULK",UPPER($E446)),999),IFERROR(FIND("-",$E446),999),IFERROR(FIND("（",$E446),999))-1))=I$1,$F446,""))</f>
        <v/>
      </c>
      <c r="J446" s="268" t="str">
        <f t="shared" si="520"/>
        <v/>
      </c>
      <c r="K446" s="268" t="str">
        <f t="shared" si="520"/>
        <v/>
      </c>
      <c r="L446" s="268" t="str">
        <f t="shared" si="520"/>
        <v/>
      </c>
      <c r="M446" s="268" t="str">
        <f t="shared" si="520"/>
        <v/>
      </c>
      <c r="N446" s="268" t="str">
        <f t="shared" si="520"/>
        <v/>
      </c>
      <c r="O446" s="268" t="str">
        <f t="shared" si="520"/>
        <v/>
      </c>
      <c r="P446" s="268" t="str">
        <f t="shared" si="520"/>
        <v/>
      </c>
      <c r="Q446" s="268" t="str">
        <f t="shared" si="520"/>
        <v/>
      </c>
      <c r="R446" s="268" t="str">
        <f t="shared" si="520"/>
        <v/>
      </c>
      <c r="S446" s="268" t="str">
        <f t="shared" si="520"/>
        <v/>
      </c>
      <c r="T446" s="268" t="str">
        <f t="shared" si="520"/>
        <v/>
      </c>
      <c r="U446" s="268" t="str">
        <f t="shared" si="520"/>
        <v/>
      </c>
      <c r="V446" s="268" t="str">
        <f t="shared" si="520"/>
        <v/>
      </c>
      <c r="W446" s="268" t="str">
        <f t="shared" si="520"/>
        <v/>
      </c>
      <c r="X446" s="268" t="str">
        <f t="shared" si="520"/>
        <v/>
      </c>
      <c r="Y446" s="268" t="str">
        <f t="shared" si="520"/>
        <v/>
      </c>
      <c r="Z446" s="268" t="str">
        <f t="shared" si="520"/>
        <v/>
      </c>
      <c r="AA446" s="268" t="str">
        <f t="shared" si="520"/>
        <v/>
      </c>
      <c r="AB446" s="268" t="str">
        <f t="shared" si="520"/>
        <v/>
      </c>
      <c r="AC446" s="268" t="str">
        <f t="shared" si="520"/>
        <v/>
      </c>
      <c r="AD446" s="268" t="str">
        <f t="shared" si="520"/>
        <v/>
      </c>
      <c r="AE446" s="268" t="str">
        <f t="shared" si="520"/>
        <v/>
      </c>
      <c r="AF446" s="268" t="str">
        <f t="shared" si="520"/>
        <v/>
      </c>
      <c r="AG446" s="268" t="str">
        <f t="shared" si="520"/>
        <v/>
      </c>
      <c r="AH446" s="268" t="str">
        <f t="shared" si="520"/>
        <v/>
      </c>
      <c r="AI446" s="268" t="str">
        <f t="shared" si="520"/>
        <v/>
      </c>
      <c r="AJ446" s="268" t="str">
        <f t="shared" si="520"/>
        <v/>
      </c>
      <c r="AK446" s="268" t="str">
        <f t="shared" si="520"/>
        <v/>
      </c>
      <c r="AL446" s="268" t="str">
        <f t="shared" si="520"/>
        <v/>
      </c>
      <c r="AM446" s="268" t="str">
        <f t="shared" si="520"/>
        <v/>
      </c>
      <c r="AN446" s="268" t="str">
        <f t="shared" si="520"/>
        <v/>
      </c>
      <c r="AO446" s="268" t="str">
        <f t="shared" si="520"/>
        <v/>
      </c>
      <c r="AP446" s="268">
        <f t="shared" si="520"/>
        <v>10008</v>
      </c>
      <c r="AQ446" s="268" t="str">
        <f t="shared" si="520"/>
        <v/>
      </c>
      <c r="AR446" s="268" t="str">
        <f t="shared" si="520"/>
        <v/>
      </c>
      <c r="AS446" s="268" t="str">
        <f t="shared" si="520"/>
        <v/>
      </c>
      <c r="AT446" s="268" t="str">
        <f t="shared" si="520"/>
        <v/>
      </c>
      <c r="AU446" s="268" t="str">
        <f t="shared" si="520"/>
        <v/>
      </c>
      <c r="AV446" s="268" t="str">
        <f t="shared" si="520"/>
        <v/>
      </c>
      <c r="AW446" s="268" t="str">
        <f t="shared" si="520"/>
        <v/>
      </c>
      <c r="AX446" s="268" t="str">
        <f t="shared" si="520"/>
        <v/>
      </c>
      <c r="AY446" s="268" t="str">
        <f t="shared" si="520"/>
        <v/>
      </c>
      <c r="AZ446" s="268" t="str">
        <f t="shared" si="520"/>
        <v/>
      </c>
      <c r="BA446" s="268" t="str">
        <f t="shared" si="520"/>
        <v/>
      </c>
      <c r="BB446" s="268" t="str">
        <f t="shared" si="520"/>
        <v/>
      </c>
      <c r="BC446" s="268" t="str">
        <f t="shared" si="520"/>
        <v/>
      </c>
      <c r="BD446" s="268" t="str">
        <f t="shared" si="520"/>
        <v/>
      </c>
      <c r="BE446" s="268" t="str">
        <f t="shared" si="520"/>
        <v/>
      </c>
      <c r="BF446" s="268" t="str">
        <f t="shared" si="520"/>
        <v/>
      </c>
      <c r="BG446" s="268" t="str">
        <f t="shared" si="520"/>
        <v/>
      </c>
      <c r="BH446" s="268" t="str">
        <f t="shared" si="520"/>
        <v/>
      </c>
      <c r="BI446" s="268" t="str">
        <f t="shared" si="520"/>
        <v/>
      </c>
      <c r="BJ446" s="268" t="str">
        <f t="shared" si="520"/>
        <v/>
      </c>
      <c r="BK446" s="268" t="str">
        <f t="shared" si="520"/>
        <v/>
      </c>
      <c r="BL446" s="268" t="str">
        <f t="shared" si="520"/>
        <v/>
      </c>
      <c r="BM446" s="268" t="str">
        <f t="shared" si="520"/>
        <v/>
      </c>
      <c r="BN446" s="268" t="str">
        <f t="shared" si="520"/>
        <v/>
      </c>
      <c r="BO446" s="268" t="str">
        <f t="shared" si="520"/>
        <v/>
      </c>
      <c r="BP446" s="268" t="str">
        <f t="shared" si="520"/>
        <v/>
      </c>
      <c r="BQ446" s="268" t="str">
        <f t="shared" si="520"/>
        <v/>
      </c>
      <c r="BR446" s="268" t="str">
        <f t="shared" si="520"/>
        <v/>
      </c>
      <c r="BS446" s="268" t="str">
        <f t="shared" si="520"/>
        <v/>
      </c>
      <c r="BT446" s="268" t="str">
        <f t="shared" si="520"/>
        <v/>
      </c>
      <c r="BU446" s="268" t="str">
        <f t="shared" si="456"/>
        <v/>
      </c>
      <c r="BV446" s="247">
        <v>0.61</v>
      </c>
      <c r="BW446" s="729">
        <f t="shared" si="500"/>
        <v>6104.88</v>
      </c>
      <c r="BX446" s="730">
        <f t="shared" si="501"/>
        <v>47312.82</v>
      </c>
      <c r="BY446" s="731" t="str">
        <f t="shared" si="502"/>
        <v>SR</v>
      </c>
    </row>
    <row r="447" s="698" customFormat="1" customHeight="1" spans="1:77">
      <c r="A447" s="208">
        <v>46114</v>
      </c>
      <c r="B447" s="208">
        <v>46183</v>
      </c>
      <c r="C447" s="211" t="s">
        <v>613</v>
      </c>
      <c r="D447" s="211" t="s">
        <v>614</v>
      </c>
      <c r="E447" s="211" t="s">
        <v>88</v>
      </c>
      <c r="F447" s="732">
        <v>14016</v>
      </c>
      <c r="G447" s="211" t="s">
        <v>334</v>
      </c>
      <c r="H447" s="211" t="str">
        <f>IFERROR(VLOOKUP(E447,名称!A:E,4,0),"")</f>
        <v>三代</v>
      </c>
      <c r="I447" s="268" t="str">
        <f t="shared" ref="I447:BT447" si="521">IF(OR($E447="",I$1=""),"",IF(TRIM(LEFT($E447,MIN(IFERROR(FIND("CDU",UPPER($E447)),999),IFERROR(FIND("BULK",UPPER($E447)),999),IFERROR(FIND("-",$E447),999),IFERROR(FIND("（",$E447),999))-1))=I$1,$F447,""))</f>
        <v/>
      </c>
      <c r="J447" s="268" t="str">
        <f t="shared" si="521"/>
        <v/>
      </c>
      <c r="K447" s="268" t="str">
        <f t="shared" si="521"/>
        <v/>
      </c>
      <c r="L447" s="268" t="str">
        <f t="shared" si="521"/>
        <v/>
      </c>
      <c r="M447" s="268" t="str">
        <f t="shared" si="521"/>
        <v/>
      </c>
      <c r="N447" s="268" t="str">
        <f t="shared" si="521"/>
        <v/>
      </c>
      <c r="O447" s="268" t="str">
        <f t="shared" si="521"/>
        <v/>
      </c>
      <c r="P447" s="268" t="str">
        <f t="shared" si="521"/>
        <v/>
      </c>
      <c r="Q447" s="268" t="str">
        <f t="shared" si="521"/>
        <v/>
      </c>
      <c r="R447" s="268" t="str">
        <f t="shared" si="521"/>
        <v/>
      </c>
      <c r="S447" s="268" t="str">
        <f t="shared" si="521"/>
        <v/>
      </c>
      <c r="T447" s="268" t="str">
        <f t="shared" si="521"/>
        <v/>
      </c>
      <c r="U447" s="268" t="str">
        <f t="shared" si="521"/>
        <v/>
      </c>
      <c r="V447" s="268" t="str">
        <f t="shared" si="521"/>
        <v/>
      </c>
      <c r="W447" s="268" t="str">
        <f t="shared" si="521"/>
        <v/>
      </c>
      <c r="X447" s="268" t="str">
        <f t="shared" si="521"/>
        <v/>
      </c>
      <c r="Y447" s="268" t="str">
        <f t="shared" si="521"/>
        <v/>
      </c>
      <c r="Z447" s="268" t="str">
        <f t="shared" si="521"/>
        <v/>
      </c>
      <c r="AA447" s="268" t="str">
        <f t="shared" si="521"/>
        <v/>
      </c>
      <c r="AB447" s="268" t="str">
        <f t="shared" si="521"/>
        <v/>
      </c>
      <c r="AC447" s="268" t="str">
        <f t="shared" si="521"/>
        <v/>
      </c>
      <c r="AD447" s="268" t="str">
        <f t="shared" si="521"/>
        <v/>
      </c>
      <c r="AE447" s="268" t="str">
        <f t="shared" si="521"/>
        <v/>
      </c>
      <c r="AF447" s="268" t="str">
        <f t="shared" si="521"/>
        <v/>
      </c>
      <c r="AG447" s="268" t="str">
        <f t="shared" si="521"/>
        <v/>
      </c>
      <c r="AH447" s="268" t="str">
        <f t="shared" si="521"/>
        <v/>
      </c>
      <c r="AI447" s="268" t="str">
        <f t="shared" si="521"/>
        <v/>
      </c>
      <c r="AJ447" s="268" t="str">
        <f t="shared" si="521"/>
        <v/>
      </c>
      <c r="AK447" s="268" t="str">
        <f t="shared" si="521"/>
        <v/>
      </c>
      <c r="AL447" s="268" t="str">
        <f t="shared" si="521"/>
        <v/>
      </c>
      <c r="AM447" s="268" t="str">
        <f t="shared" si="521"/>
        <v/>
      </c>
      <c r="AN447" s="268" t="str">
        <f t="shared" si="521"/>
        <v/>
      </c>
      <c r="AO447" s="268" t="str">
        <f t="shared" si="521"/>
        <v/>
      </c>
      <c r="AP447" s="268" t="str">
        <f t="shared" si="521"/>
        <v/>
      </c>
      <c r="AQ447" s="268" t="str">
        <f t="shared" si="521"/>
        <v/>
      </c>
      <c r="AR447" s="268" t="str">
        <f t="shared" si="521"/>
        <v/>
      </c>
      <c r="AS447" s="268" t="str">
        <f t="shared" si="521"/>
        <v/>
      </c>
      <c r="AT447" s="268">
        <f t="shared" si="521"/>
        <v>14016</v>
      </c>
      <c r="AU447" s="268" t="str">
        <f t="shared" si="521"/>
        <v/>
      </c>
      <c r="AV447" s="268" t="str">
        <f t="shared" si="521"/>
        <v/>
      </c>
      <c r="AW447" s="268" t="str">
        <f t="shared" si="521"/>
        <v/>
      </c>
      <c r="AX447" s="268" t="str">
        <f t="shared" si="521"/>
        <v/>
      </c>
      <c r="AY447" s="268" t="str">
        <f t="shared" si="521"/>
        <v/>
      </c>
      <c r="AZ447" s="268" t="str">
        <f t="shared" si="521"/>
        <v/>
      </c>
      <c r="BA447" s="268" t="str">
        <f t="shared" si="521"/>
        <v/>
      </c>
      <c r="BB447" s="268" t="str">
        <f t="shared" si="521"/>
        <v/>
      </c>
      <c r="BC447" s="268" t="str">
        <f t="shared" si="521"/>
        <v/>
      </c>
      <c r="BD447" s="268" t="str">
        <f t="shared" si="521"/>
        <v/>
      </c>
      <c r="BE447" s="268" t="str">
        <f t="shared" si="521"/>
        <v/>
      </c>
      <c r="BF447" s="268" t="str">
        <f t="shared" si="521"/>
        <v/>
      </c>
      <c r="BG447" s="268" t="str">
        <f t="shared" si="521"/>
        <v/>
      </c>
      <c r="BH447" s="268" t="str">
        <f t="shared" si="521"/>
        <v/>
      </c>
      <c r="BI447" s="268" t="str">
        <f t="shared" si="521"/>
        <v/>
      </c>
      <c r="BJ447" s="268" t="str">
        <f t="shared" si="521"/>
        <v/>
      </c>
      <c r="BK447" s="268" t="str">
        <f t="shared" si="521"/>
        <v/>
      </c>
      <c r="BL447" s="268" t="str">
        <f t="shared" si="521"/>
        <v/>
      </c>
      <c r="BM447" s="268" t="str">
        <f t="shared" si="521"/>
        <v/>
      </c>
      <c r="BN447" s="268" t="str">
        <f t="shared" si="521"/>
        <v/>
      </c>
      <c r="BO447" s="268" t="str">
        <f t="shared" si="521"/>
        <v/>
      </c>
      <c r="BP447" s="268" t="str">
        <f t="shared" si="521"/>
        <v/>
      </c>
      <c r="BQ447" s="268" t="str">
        <f t="shared" si="521"/>
        <v/>
      </c>
      <c r="BR447" s="268" t="str">
        <f t="shared" si="521"/>
        <v/>
      </c>
      <c r="BS447" s="268" t="str">
        <f t="shared" si="521"/>
        <v/>
      </c>
      <c r="BT447" s="268" t="str">
        <f t="shared" si="521"/>
        <v/>
      </c>
      <c r="BU447" s="268" t="str">
        <f t="shared" si="456"/>
        <v/>
      </c>
      <c r="BV447" s="247">
        <v>0.8</v>
      </c>
      <c r="BW447" s="729">
        <f t="shared" si="500"/>
        <v>11212.8</v>
      </c>
      <c r="BX447" s="730">
        <f t="shared" si="501"/>
        <v>86899.2</v>
      </c>
      <c r="BY447" s="731" t="str">
        <f t="shared" si="502"/>
        <v>SR</v>
      </c>
    </row>
    <row r="448" s="698" customFormat="1" customHeight="1" spans="1:77">
      <c r="A448" s="208">
        <v>46114</v>
      </c>
      <c r="B448" s="208">
        <v>46183</v>
      </c>
      <c r="C448" s="211" t="s">
        <v>613</v>
      </c>
      <c r="D448" s="211" t="s">
        <v>614</v>
      </c>
      <c r="E448" s="211" t="s">
        <v>59</v>
      </c>
      <c r="F448" s="732">
        <v>23016</v>
      </c>
      <c r="G448" s="211" t="s">
        <v>334</v>
      </c>
      <c r="H448" s="211" t="str">
        <f>IFERROR(VLOOKUP(E448,名称!A:E,4,0),"")</f>
        <v>三代</v>
      </c>
      <c r="I448" s="268" t="str">
        <f t="shared" ref="I448:BT448" si="522">IF(OR($E448="",I$1=""),"",IF(TRIM(LEFT($E448,MIN(IFERROR(FIND("CDU",UPPER($E448)),999),IFERROR(FIND("BULK",UPPER($E448)),999),IFERROR(FIND("-",$E448),999),IFERROR(FIND("（",$E448),999))-1))=I$1,$F448,""))</f>
        <v/>
      </c>
      <c r="J448" s="268" t="str">
        <f t="shared" si="522"/>
        <v/>
      </c>
      <c r="K448" s="268" t="str">
        <f t="shared" si="522"/>
        <v/>
      </c>
      <c r="L448" s="268" t="str">
        <f t="shared" si="522"/>
        <v/>
      </c>
      <c r="M448" s="268" t="str">
        <f t="shared" si="522"/>
        <v/>
      </c>
      <c r="N448" s="268" t="str">
        <f t="shared" si="522"/>
        <v/>
      </c>
      <c r="O448" s="268" t="str">
        <f t="shared" si="522"/>
        <v/>
      </c>
      <c r="P448" s="268" t="str">
        <f t="shared" si="522"/>
        <v/>
      </c>
      <c r="Q448" s="268" t="str">
        <f t="shared" si="522"/>
        <v/>
      </c>
      <c r="R448" s="268" t="str">
        <f t="shared" si="522"/>
        <v/>
      </c>
      <c r="S448" s="268" t="str">
        <f t="shared" si="522"/>
        <v/>
      </c>
      <c r="T448" s="268" t="str">
        <f t="shared" si="522"/>
        <v/>
      </c>
      <c r="U448" s="268" t="str">
        <f t="shared" si="522"/>
        <v/>
      </c>
      <c r="V448" s="268" t="str">
        <f t="shared" si="522"/>
        <v/>
      </c>
      <c r="W448" s="268" t="str">
        <f t="shared" si="522"/>
        <v/>
      </c>
      <c r="X448" s="268" t="str">
        <f t="shared" si="522"/>
        <v/>
      </c>
      <c r="Y448" s="268" t="str">
        <f t="shared" si="522"/>
        <v/>
      </c>
      <c r="Z448" s="268" t="str">
        <f t="shared" si="522"/>
        <v/>
      </c>
      <c r="AA448" s="268" t="str">
        <f t="shared" si="522"/>
        <v/>
      </c>
      <c r="AB448" s="268" t="str">
        <f t="shared" si="522"/>
        <v/>
      </c>
      <c r="AC448" s="268" t="str">
        <f t="shared" si="522"/>
        <v/>
      </c>
      <c r="AD448" s="268">
        <f t="shared" si="522"/>
        <v>23016</v>
      </c>
      <c r="AE448" s="268" t="str">
        <f t="shared" si="522"/>
        <v/>
      </c>
      <c r="AF448" s="268" t="str">
        <f t="shared" si="522"/>
        <v/>
      </c>
      <c r="AG448" s="268" t="str">
        <f t="shared" si="522"/>
        <v/>
      </c>
      <c r="AH448" s="268" t="str">
        <f t="shared" si="522"/>
        <v/>
      </c>
      <c r="AI448" s="268" t="str">
        <f t="shared" si="522"/>
        <v/>
      </c>
      <c r="AJ448" s="268" t="str">
        <f t="shared" si="522"/>
        <v/>
      </c>
      <c r="AK448" s="268" t="str">
        <f t="shared" si="522"/>
        <v/>
      </c>
      <c r="AL448" s="268" t="str">
        <f t="shared" si="522"/>
        <v/>
      </c>
      <c r="AM448" s="268" t="str">
        <f t="shared" si="522"/>
        <v/>
      </c>
      <c r="AN448" s="268" t="str">
        <f t="shared" si="522"/>
        <v/>
      </c>
      <c r="AO448" s="268" t="str">
        <f t="shared" si="522"/>
        <v/>
      </c>
      <c r="AP448" s="268" t="str">
        <f t="shared" si="522"/>
        <v/>
      </c>
      <c r="AQ448" s="268" t="str">
        <f t="shared" si="522"/>
        <v/>
      </c>
      <c r="AR448" s="268" t="str">
        <f t="shared" si="522"/>
        <v/>
      </c>
      <c r="AS448" s="268" t="str">
        <f t="shared" si="522"/>
        <v/>
      </c>
      <c r="AT448" s="268" t="str">
        <f t="shared" si="522"/>
        <v/>
      </c>
      <c r="AU448" s="268" t="str">
        <f t="shared" si="522"/>
        <v/>
      </c>
      <c r="AV448" s="268" t="str">
        <f t="shared" si="522"/>
        <v/>
      </c>
      <c r="AW448" s="268" t="str">
        <f t="shared" si="522"/>
        <v/>
      </c>
      <c r="AX448" s="268" t="str">
        <f t="shared" si="522"/>
        <v/>
      </c>
      <c r="AY448" s="268" t="str">
        <f t="shared" si="522"/>
        <v/>
      </c>
      <c r="AZ448" s="268" t="str">
        <f t="shared" si="522"/>
        <v/>
      </c>
      <c r="BA448" s="268" t="str">
        <f t="shared" si="522"/>
        <v/>
      </c>
      <c r="BB448" s="268" t="str">
        <f t="shared" si="522"/>
        <v/>
      </c>
      <c r="BC448" s="268" t="str">
        <f t="shared" si="522"/>
        <v/>
      </c>
      <c r="BD448" s="268" t="str">
        <f t="shared" si="522"/>
        <v/>
      </c>
      <c r="BE448" s="268" t="str">
        <f t="shared" si="522"/>
        <v/>
      </c>
      <c r="BF448" s="268" t="str">
        <f t="shared" si="522"/>
        <v/>
      </c>
      <c r="BG448" s="268" t="str">
        <f t="shared" si="522"/>
        <v/>
      </c>
      <c r="BH448" s="268" t="str">
        <f t="shared" si="522"/>
        <v/>
      </c>
      <c r="BI448" s="268" t="str">
        <f t="shared" si="522"/>
        <v/>
      </c>
      <c r="BJ448" s="268" t="str">
        <f t="shared" si="522"/>
        <v/>
      </c>
      <c r="BK448" s="268" t="str">
        <f t="shared" si="522"/>
        <v/>
      </c>
      <c r="BL448" s="268" t="str">
        <f t="shared" si="522"/>
        <v/>
      </c>
      <c r="BM448" s="268" t="str">
        <f t="shared" si="522"/>
        <v/>
      </c>
      <c r="BN448" s="268" t="str">
        <f t="shared" si="522"/>
        <v/>
      </c>
      <c r="BO448" s="268" t="str">
        <f t="shared" si="522"/>
        <v/>
      </c>
      <c r="BP448" s="268" t="str">
        <f t="shared" si="522"/>
        <v/>
      </c>
      <c r="BQ448" s="268" t="str">
        <f t="shared" si="522"/>
        <v/>
      </c>
      <c r="BR448" s="268" t="str">
        <f t="shared" si="522"/>
        <v/>
      </c>
      <c r="BS448" s="268" t="str">
        <f t="shared" si="522"/>
        <v/>
      </c>
      <c r="BT448" s="268" t="str">
        <f t="shared" si="522"/>
        <v/>
      </c>
      <c r="BU448" s="268" t="str">
        <f t="shared" si="456"/>
        <v/>
      </c>
      <c r="BV448" s="247">
        <v>0.62</v>
      </c>
      <c r="BW448" s="729">
        <f t="shared" si="500"/>
        <v>14269.92</v>
      </c>
      <c r="BX448" s="730">
        <f t="shared" si="501"/>
        <v>110591.88</v>
      </c>
      <c r="BY448" s="731" t="str">
        <f t="shared" si="502"/>
        <v>SR</v>
      </c>
    </row>
    <row r="449" s="698" customFormat="1" customHeight="1" spans="1:77">
      <c r="A449" s="208">
        <v>46114</v>
      </c>
      <c r="B449" s="208">
        <v>46183</v>
      </c>
      <c r="C449" s="211" t="s">
        <v>613</v>
      </c>
      <c r="D449" s="211" t="s">
        <v>614</v>
      </c>
      <c r="E449" s="211" t="s">
        <v>97</v>
      </c>
      <c r="F449" s="732">
        <v>2016</v>
      </c>
      <c r="G449" s="211" t="s">
        <v>334</v>
      </c>
      <c r="H449" s="211" t="str">
        <f>IFERROR(VLOOKUP(E449,名称!A:E,4,0),"")</f>
        <v>三代</v>
      </c>
      <c r="I449" s="268" t="str">
        <f t="shared" ref="I449:BT449" si="523">IF(OR($E449="",I$1=""),"",IF(TRIM(LEFT($E449,MIN(IFERROR(FIND("CDU",UPPER($E449)),999),IFERROR(FIND("BULK",UPPER($E449)),999),IFERROR(FIND("-",$E449),999),IFERROR(FIND("（",$E449),999))-1))=I$1,$F449,""))</f>
        <v/>
      </c>
      <c r="J449" s="268" t="str">
        <f t="shared" si="523"/>
        <v/>
      </c>
      <c r="K449" s="268" t="str">
        <f t="shared" si="523"/>
        <v/>
      </c>
      <c r="L449" s="268" t="str">
        <f t="shared" si="523"/>
        <v/>
      </c>
      <c r="M449" s="268" t="str">
        <f t="shared" si="523"/>
        <v/>
      </c>
      <c r="N449" s="268" t="str">
        <f t="shared" si="523"/>
        <v/>
      </c>
      <c r="O449" s="268" t="str">
        <f t="shared" si="523"/>
        <v/>
      </c>
      <c r="P449" s="268" t="str">
        <f t="shared" si="523"/>
        <v/>
      </c>
      <c r="Q449" s="268" t="str">
        <f t="shared" si="523"/>
        <v/>
      </c>
      <c r="R449" s="268" t="str">
        <f t="shared" si="523"/>
        <v/>
      </c>
      <c r="S449" s="268" t="str">
        <f t="shared" si="523"/>
        <v/>
      </c>
      <c r="T449" s="268" t="str">
        <f t="shared" si="523"/>
        <v/>
      </c>
      <c r="U449" s="268" t="str">
        <f t="shared" si="523"/>
        <v/>
      </c>
      <c r="V449" s="268" t="str">
        <f t="shared" si="523"/>
        <v/>
      </c>
      <c r="W449" s="268" t="str">
        <f t="shared" si="523"/>
        <v/>
      </c>
      <c r="X449" s="268" t="str">
        <f t="shared" si="523"/>
        <v/>
      </c>
      <c r="Y449" s="268" t="str">
        <f t="shared" si="523"/>
        <v/>
      </c>
      <c r="Z449" s="268" t="str">
        <f t="shared" si="523"/>
        <v/>
      </c>
      <c r="AA449" s="268" t="str">
        <f t="shared" si="523"/>
        <v/>
      </c>
      <c r="AB449" s="268" t="str">
        <f t="shared" si="523"/>
        <v/>
      </c>
      <c r="AC449" s="268" t="str">
        <f t="shared" si="523"/>
        <v/>
      </c>
      <c r="AD449" s="268" t="str">
        <f t="shared" si="523"/>
        <v/>
      </c>
      <c r="AE449" s="268" t="str">
        <f t="shared" si="523"/>
        <v/>
      </c>
      <c r="AF449" s="268" t="str">
        <f t="shared" si="523"/>
        <v/>
      </c>
      <c r="AG449" s="268" t="str">
        <f t="shared" si="523"/>
        <v/>
      </c>
      <c r="AH449" s="268" t="str">
        <f t="shared" si="523"/>
        <v/>
      </c>
      <c r="AI449" s="268" t="str">
        <f t="shared" si="523"/>
        <v/>
      </c>
      <c r="AJ449" s="268" t="str">
        <f t="shared" si="523"/>
        <v/>
      </c>
      <c r="AK449" s="268" t="str">
        <f t="shared" si="523"/>
        <v/>
      </c>
      <c r="AL449" s="268" t="str">
        <f t="shared" si="523"/>
        <v/>
      </c>
      <c r="AM449" s="268" t="str">
        <f t="shared" si="523"/>
        <v/>
      </c>
      <c r="AN449" s="268" t="str">
        <f t="shared" si="523"/>
        <v/>
      </c>
      <c r="AO449" s="268" t="str">
        <f t="shared" si="523"/>
        <v/>
      </c>
      <c r="AP449" s="268" t="str">
        <f t="shared" si="523"/>
        <v/>
      </c>
      <c r="AQ449" s="268" t="str">
        <f t="shared" si="523"/>
        <v/>
      </c>
      <c r="AR449" s="268" t="str">
        <f t="shared" si="523"/>
        <v/>
      </c>
      <c r="AS449" s="268" t="str">
        <f t="shared" si="523"/>
        <v/>
      </c>
      <c r="AT449" s="268" t="str">
        <f t="shared" si="523"/>
        <v/>
      </c>
      <c r="AU449" s="268" t="str">
        <f t="shared" si="523"/>
        <v/>
      </c>
      <c r="AV449" s="268" t="str">
        <f t="shared" si="523"/>
        <v/>
      </c>
      <c r="AW449" s="268" t="str">
        <f t="shared" si="523"/>
        <v/>
      </c>
      <c r="AX449" s="268" t="str">
        <f t="shared" si="523"/>
        <v/>
      </c>
      <c r="AY449" s="268" t="str">
        <f t="shared" si="523"/>
        <v/>
      </c>
      <c r="AZ449" s="268" t="str">
        <f t="shared" si="523"/>
        <v/>
      </c>
      <c r="BA449" s="268">
        <f t="shared" si="523"/>
        <v>2016</v>
      </c>
      <c r="BB449" s="268" t="str">
        <f t="shared" si="523"/>
        <v/>
      </c>
      <c r="BC449" s="268" t="str">
        <f t="shared" si="523"/>
        <v/>
      </c>
      <c r="BD449" s="268" t="str">
        <f t="shared" si="523"/>
        <v/>
      </c>
      <c r="BE449" s="268" t="str">
        <f t="shared" si="523"/>
        <v/>
      </c>
      <c r="BF449" s="268" t="str">
        <f t="shared" si="523"/>
        <v/>
      </c>
      <c r="BG449" s="268" t="str">
        <f t="shared" si="523"/>
        <v/>
      </c>
      <c r="BH449" s="268" t="str">
        <f t="shared" si="523"/>
        <v/>
      </c>
      <c r="BI449" s="268" t="str">
        <f t="shared" si="523"/>
        <v/>
      </c>
      <c r="BJ449" s="268" t="str">
        <f t="shared" si="523"/>
        <v/>
      </c>
      <c r="BK449" s="268" t="str">
        <f t="shared" si="523"/>
        <v/>
      </c>
      <c r="BL449" s="268" t="str">
        <f t="shared" si="523"/>
        <v/>
      </c>
      <c r="BM449" s="268" t="str">
        <f t="shared" si="523"/>
        <v/>
      </c>
      <c r="BN449" s="268" t="str">
        <f t="shared" si="523"/>
        <v/>
      </c>
      <c r="BO449" s="268" t="str">
        <f t="shared" si="523"/>
        <v/>
      </c>
      <c r="BP449" s="268" t="str">
        <f t="shared" si="523"/>
        <v/>
      </c>
      <c r="BQ449" s="268" t="str">
        <f t="shared" si="523"/>
        <v/>
      </c>
      <c r="BR449" s="268" t="str">
        <f t="shared" si="523"/>
        <v/>
      </c>
      <c r="BS449" s="268" t="str">
        <f t="shared" si="523"/>
        <v/>
      </c>
      <c r="BT449" s="268" t="str">
        <f t="shared" si="523"/>
        <v/>
      </c>
      <c r="BU449" s="268" t="str">
        <f t="shared" si="456"/>
        <v/>
      </c>
      <c r="BV449" s="247">
        <v>0.62</v>
      </c>
      <c r="BW449" s="729">
        <f t="shared" si="500"/>
        <v>1249.92</v>
      </c>
      <c r="BX449" s="730">
        <f t="shared" si="501"/>
        <v>9686.88</v>
      </c>
      <c r="BY449" s="731" t="str">
        <f t="shared" si="502"/>
        <v>SR</v>
      </c>
    </row>
    <row r="450" s="698" customFormat="1" customHeight="1" spans="1:77">
      <c r="A450" s="208">
        <v>46114</v>
      </c>
      <c r="B450" s="208">
        <v>46183</v>
      </c>
      <c r="C450" s="211" t="s">
        <v>613</v>
      </c>
      <c r="D450" s="211" t="s">
        <v>614</v>
      </c>
      <c r="E450" s="211" t="s">
        <v>121</v>
      </c>
      <c r="F450" s="732">
        <v>12012</v>
      </c>
      <c r="G450" s="211" t="s">
        <v>334</v>
      </c>
      <c r="H450" s="211" t="str">
        <f>IFERROR(VLOOKUP(E450,名称!A:E,4,0),"")</f>
        <v>三代</v>
      </c>
      <c r="I450" s="268" t="str">
        <f t="shared" ref="I450:BT450" si="524">IF(OR($E450="",I$1=""),"",IF(TRIM(LEFT($E450,MIN(IFERROR(FIND("CDU",UPPER($E450)),999),IFERROR(FIND("BULK",UPPER($E450)),999),IFERROR(FIND("-",$E450),999),IFERROR(FIND("（",$E450),999))-1))=I$1,$F450,""))</f>
        <v/>
      </c>
      <c r="J450" s="268" t="str">
        <f t="shared" si="524"/>
        <v/>
      </c>
      <c r="K450" s="268" t="str">
        <f t="shared" si="524"/>
        <v/>
      </c>
      <c r="L450" s="268" t="str">
        <f t="shared" si="524"/>
        <v/>
      </c>
      <c r="M450" s="268" t="str">
        <f t="shared" si="524"/>
        <v/>
      </c>
      <c r="N450" s="268" t="str">
        <f t="shared" si="524"/>
        <v/>
      </c>
      <c r="O450" s="268" t="str">
        <f t="shared" si="524"/>
        <v/>
      </c>
      <c r="P450" s="268" t="str">
        <f t="shared" si="524"/>
        <v/>
      </c>
      <c r="Q450" s="268" t="str">
        <f t="shared" si="524"/>
        <v/>
      </c>
      <c r="R450" s="268" t="str">
        <f t="shared" si="524"/>
        <v/>
      </c>
      <c r="S450" s="268" t="str">
        <f t="shared" si="524"/>
        <v/>
      </c>
      <c r="T450" s="268" t="str">
        <f t="shared" si="524"/>
        <v/>
      </c>
      <c r="U450" s="268" t="str">
        <f t="shared" si="524"/>
        <v/>
      </c>
      <c r="V450" s="268" t="str">
        <f t="shared" si="524"/>
        <v/>
      </c>
      <c r="W450" s="268" t="str">
        <f t="shared" si="524"/>
        <v/>
      </c>
      <c r="X450" s="268" t="str">
        <f t="shared" si="524"/>
        <v/>
      </c>
      <c r="Y450" s="268" t="str">
        <f t="shared" si="524"/>
        <v/>
      </c>
      <c r="Z450" s="268" t="str">
        <f t="shared" si="524"/>
        <v/>
      </c>
      <c r="AA450" s="268" t="str">
        <f t="shared" si="524"/>
        <v/>
      </c>
      <c r="AB450" s="268" t="str">
        <f t="shared" si="524"/>
        <v/>
      </c>
      <c r="AC450" s="268">
        <f t="shared" si="524"/>
        <v>12012</v>
      </c>
      <c r="AD450" s="268" t="str">
        <f t="shared" si="524"/>
        <v/>
      </c>
      <c r="AE450" s="268" t="str">
        <f t="shared" si="524"/>
        <v/>
      </c>
      <c r="AF450" s="268" t="str">
        <f t="shared" si="524"/>
        <v/>
      </c>
      <c r="AG450" s="268" t="str">
        <f t="shared" si="524"/>
        <v/>
      </c>
      <c r="AH450" s="268" t="str">
        <f t="shared" si="524"/>
        <v/>
      </c>
      <c r="AI450" s="268" t="str">
        <f t="shared" si="524"/>
        <v/>
      </c>
      <c r="AJ450" s="268" t="str">
        <f t="shared" si="524"/>
        <v/>
      </c>
      <c r="AK450" s="268" t="str">
        <f t="shared" si="524"/>
        <v/>
      </c>
      <c r="AL450" s="268" t="str">
        <f t="shared" si="524"/>
        <v/>
      </c>
      <c r="AM450" s="268" t="str">
        <f t="shared" si="524"/>
        <v/>
      </c>
      <c r="AN450" s="268" t="str">
        <f t="shared" si="524"/>
        <v/>
      </c>
      <c r="AO450" s="268" t="str">
        <f t="shared" si="524"/>
        <v/>
      </c>
      <c r="AP450" s="268" t="str">
        <f t="shared" si="524"/>
        <v/>
      </c>
      <c r="AQ450" s="268" t="str">
        <f t="shared" si="524"/>
        <v/>
      </c>
      <c r="AR450" s="268" t="str">
        <f t="shared" si="524"/>
        <v/>
      </c>
      <c r="AS450" s="268" t="str">
        <f t="shared" si="524"/>
        <v/>
      </c>
      <c r="AT450" s="268" t="str">
        <f t="shared" si="524"/>
        <v/>
      </c>
      <c r="AU450" s="268" t="str">
        <f t="shared" si="524"/>
        <v/>
      </c>
      <c r="AV450" s="268" t="str">
        <f t="shared" si="524"/>
        <v/>
      </c>
      <c r="AW450" s="268" t="str">
        <f t="shared" si="524"/>
        <v/>
      </c>
      <c r="AX450" s="268" t="str">
        <f t="shared" si="524"/>
        <v/>
      </c>
      <c r="AY450" s="268" t="str">
        <f t="shared" si="524"/>
        <v/>
      </c>
      <c r="AZ450" s="268" t="str">
        <f t="shared" si="524"/>
        <v/>
      </c>
      <c r="BA450" s="268" t="str">
        <f t="shared" si="524"/>
        <v/>
      </c>
      <c r="BB450" s="268" t="str">
        <f t="shared" si="524"/>
        <v/>
      </c>
      <c r="BC450" s="268" t="str">
        <f t="shared" si="524"/>
        <v/>
      </c>
      <c r="BD450" s="268" t="str">
        <f t="shared" si="524"/>
        <v/>
      </c>
      <c r="BE450" s="268" t="str">
        <f t="shared" si="524"/>
        <v/>
      </c>
      <c r="BF450" s="268" t="str">
        <f t="shared" si="524"/>
        <v/>
      </c>
      <c r="BG450" s="268" t="str">
        <f t="shared" si="524"/>
        <v/>
      </c>
      <c r="BH450" s="268" t="str">
        <f t="shared" si="524"/>
        <v/>
      </c>
      <c r="BI450" s="268" t="str">
        <f t="shared" si="524"/>
        <v/>
      </c>
      <c r="BJ450" s="268" t="str">
        <f t="shared" si="524"/>
        <v/>
      </c>
      <c r="BK450" s="268" t="str">
        <f t="shared" si="524"/>
        <v/>
      </c>
      <c r="BL450" s="268" t="str">
        <f t="shared" si="524"/>
        <v/>
      </c>
      <c r="BM450" s="268" t="str">
        <f t="shared" si="524"/>
        <v/>
      </c>
      <c r="BN450" s="268" t="str">
        <f t="shared" si="524"/>
        <v/>
      </c>
      <c r="BO450" s="268" t="str">
        <f t="shared" si="524"/>
        <v/>
      </c>
      <c r="BP450" s="268" t="str">
        <f t="shared" si="524"/>
        <v/>
      </c>
      <c r="BQ450" s="268" t="str">
        <f t="shared" si="524"/>
        <v/>
      </c>
      <c r="BR450" s="268" t="str">
        <f t="shared" si="524"/>
        <v/>
      </c>
      <c r="BS450" s="268" t="str">
        <f t="shared" si="524"/>
        <v/>
      </c>
      <c r="BT450" s="268" t="str">
        <f t="shared" si="524"/>
        <v/>
      </c>
      <c r="BU450" s="268" t="str">
        <f t="shared" si="456"/>
        <v/>
      </c>
      <c r="BV450" s="247">
        <v>0.79</v>
      </c>
      <c r="BW450" s="729">
        <f t="shared" si="500"/>
        <v>9489.48</v>
      </c>
      <c r="BX450" s="730">
        <f t="shared" si="501"/>
        <v>73543.47</v>
      </c>
      <c r="BY450" s="731" t="str">
        <f t="shared" si="502"/>
        <v>SR</v>
      </c>
    </row>
    <row r="451" s="698" customFormat="1" customHeight="1" spans="1:77">
      <c r="A451" s="208">
        <v>46114</v>
      </c>
      <c r="B451" s="208">
        <v>46183</v>
      </c>
      <c r="C451" s="211" t="s">
        <v>613</v>
      </c>
      <c r="D451" s="211" t="s">
        <v>614</v>
      </c>
      <c r="E451" s="211" t="s">
        <v>89</v>
      </c>
      <c r="F451" s="732">
        <v>5004</v>
      </c>
      <c r="G451" s="211" t="s">
        <v>334</v>
      </c>
      <c r="H451" s="211" t="str">
        <f>IFERROR(VLOOKUP(E451,名称!A:E,4,0),"")</f>
        <v>三代</v>
      </c>
      <c r="I451" s="268" t="str">
        <f t="shared" ref="I451:BT451" si="525">IF(OR($E451="",I$1=""),"",IF(TRIM(LEFT($E451,MIN(IFERROR(FIND("CDU",UPPER($E451)),999),IFERROR(FIND("BULK",UPPER($E451)),999),IFERROR(FIND("-",$E451),999),IFERROR(FIND("（",$E451),999))-1))=I$1,$F451,""))</f>
        <v/>
      </c>
      <c r="J451" s="268" t="str">
        <f t="shared" si="525"/>
        <v/>
      </c>
      <c r="K451" s="268" t="str">
        <f t="shared" si="525"/>
        <v/>
      </c>
      <c r="L451" s="268" t="str">
        <f t="shared" si="525"/>
        <v/>
      </c>
      <c r="M451" s="268" t="str">
        <f t="shared" si="525"/>
        <v/>
      </c>
      <c r="N451" s="268" t="str">
        <f t="shared" si="525"/>
        <v/>
      </c>
      <c r="O451" s="268" t="str">
        <f t="shared" si="525"/>
        <v/>
      </c>
      <c r="P451" s="268" t="str">
        <f t="shared" si="525"/>
        <v/>
      </c>
      <c r="Q451" s="268" t="str">
        <f t="shared" si="525"/>
        <v/>
      </c>
      <c r="R451" s="268" t="str">
        <f t="shared" si="525"/>
        <v/>
      </c>
      <c r="S451" s="268" t="str">
        <f t="shared" si="525"/>
        <v/>
      </c>
      <c r="T451" s="268" t="str">
        <f t="shared" si="525"/>
        <v/>
      </c>
      <c r="U451" s="268" t="str">
        <f t="shared" si="525"/>
        <v/>
      </c>
      <c r="V451" s="268" t="str">
        <f t="shared" si="525"/>
        <v/>
      </c>
      <c r="W451" s="268" t="str">
        <f t="shared" si="525"/>
        <v/>
      </c>
      <c r="X451" s="268" t="str">
        <f t="shared" si="525"/>
        <v/>
      </c>
      <c r="Y451" s="268" t="str">
        <f t="shared" si="525"/>
        <v/>
      </c>
      <c r="Z451" s="268" t="str">
        <f t="shared" si="525"/>
        <v/>
      </c>
      <c r="AA451" s="268" t="str">
        <f t="shared" si="525"/>
        <v/>
      </c>
      <c r="AB451" s="268" t="str">
        <f t="shared" si="525"/>
        <v/>
      </c>
      <c r="AC451" s="268" t="str">
        <f t="shared" si="525"/>
        <v/>
      </c>
      <c r="AD451" s="268" t="str">
        <f t="shared" si="525"/>
        <v/>
      </c>
      <c r="AE451" s="268" t="str">
        <f t="shared" si="525"/>
        <v/>
      </c>
      <c r="AF451" s="268" t="str">
        <f t="shared" si="525"/>
        <v/>
      </c>
      <c r="AG451" s="268" t="str">
        <f t="shared" si="525"/>
        <v/>
      </c>
      <c r="AH451" s="268" t="str">
        <f t="shared" si="525"/>
        <v/>
      </c>
      <c r="AI451" s="268" t="str">
        <f t="shared" si="525"/>
        <v/>
      </c>
      <c r="AJ451" s="268" t="str">
        <f t="shared" si="525"/>
        <v/>
      </c>
      <c r="AK451" s="268" t="str">
        <f t="shared" si="525"/>
        <v/>
      </c>
      <c r="AL451" s="268" t="str">
        <f t="shared" si="525"/>
        <v/>
      </c>
      <c r="AM451" s="268" t="str">
        <f t="shared" si="525"/>
        <v/>
      </c>
      <c r="AN451" s="268" t="str">
        <f t="shared" si="525"/>
        <v/>
      </c>
      <c r="AO451" s="268" t="str">
        <f t="shared" si="525"/>
        <v/>
      </c>
      <c r="AP451" s="268" t="str">
        <f t="shared" si="525"/>
        <v/>
      </c>
      <c r="AQ451" s="268" t="str">
        <f t="shared" si="525"/>
        <v/>
      </c>
      <c r="AR451" s="268" t="str">
        <f t="shared" si="525"/>
        <v/>
      </c>
      <c r="AS451" s="268" t="str">
        <f t="shared" si="525"/>
        <v/>
      </c>
      <c r="AT451" s="268" t="str">
        <f t="shared" si="525"/>
        <v/>
      </c>
      <c r="AU451" s="268">
        <f t="shared" si="525"/>
        <v>5004</v>
      </c>
      <c r="AV451" s="268" t="str">
        <f t="shared" si="525"/>
        <v/>
      </c>
      <c r="AW451" s="268" t="str">
        <f t="shared" si="525"/>
        <v/>
      </c>
      <c r="AX451" s="268" t="str">
        <f t="shared" si="525"/>
        <v/>
      </c>
      <c r="AY451" s="268" t="str">
        <f t="shared" si="525"/>
        <v/>
      </c>
      <c r="AZ451" s="268" t="str">
        <f t="shared" si="525"/>
        <v/>
      </c>
      <c r="BA451" s="268" t="str">
        <f t="shared" si="525"/>
        <v/>
      </c>
      <c r="BB451" s="268" t="str">
        <f t="shared" si="525"/>
        <v/>
      </c>
      <c r="BC451" s="268" t="str">
        <f t="shared" si="525"/>
        <v/>
      </c>
      <c r="BD451" s="268" t="str">
        <f t="shared" si="525"/>
        <v/>
      </c>
      <c r="BE451" s="268" t="str">
        <f t="shared" si="525"/>
        <v/>
      </c>
      <c r="BF451" s="268" t="str">
        <f t="shared" si="525"/>
        <v/>
      </c>
      <c r="BG451" s="268" t="str">
        <f t="shared" si="525"/>
        <v/>
      </c>
      <c r="BH451" s="268" t="str">
        <f t="shared" si="525"/>
        <v/>
      </c>
      <c r="BI451" s="268" t="str">
        <f t="shared" si="525"/>
        <v/>
      </c>
      <c r="BJ451" s="268" t="str">
        <f t="shared" si="525"/>
        <v/>
      </c>
      <c r="BK451" s="268" t="str">
        <f t="shared" si="525"/>
        <v/>
      </c>
      <c r="BL451" s="268" t="str">
        <f t="shared" si="525"/>
        <v/>
      </c>
      <c r="BM451" s="268" t="str">
        <f t="shared" si="525"/>
        <v/>
      </c>
      <c r="BN451" s="268" t="str">
        <f t="shared" si="525"/>
        <v/>
      </c>
      <c r="BO451" s="268" t="str">
        <f t="shared" si="525"/>
        <v/>
      </c>
      <c r="BP451" s="268" t="str">
        <f t="shared" si="525"/>
        <v/>
      </c>
      <c r="BQ451" s="268" t="str">
        <f t="shared" si="525"/>
        <v/>
      </c>
      <c r="BR451" s="268" t="str">
        <f t="shared" si="525"/>
        <v/>
      </c>
      <c r="BS451" s="268" t="str">
        <f t="shared" si="525"/>
        <v/>
      </c>
      <c r="BT451" s="268" t="str">
        <f t="shared" si="525"/>
        <v/>
      </c>
      <c r="BU451" s="268" t="str">
        <f t="shared" ref="BU451:BU514" si="526">IF(OR($E451="",BU$1=""),"",IF(TRIM(LEFT($E451,MIN(IFERROR(FIND("CDU",UPPER($E451)),999),IFERROR(FIND("BULK",UPPER($E451)),999),IFERROR(FIND("-",$E451),999),IFERROR(FIND("（",$E451),999))-1))=BU$1,$F451,""))</f>
        <v/>
      </c>
      <c r="BV451" s="247">
        <v>1.83</v>
      </c>
      <c r="BW451" s="729">
        <f t="shared" si="500"/>
        <v>9157.32</v>
      </c>
      <c r="BX451" s="730">
        <f t="shared" si="501"/>
        <v>70969.23</v>
      </c>
      <c r="BY451" s="731" t="str">
        <f t="shared" si="502"/>
        <v>SR</v>
      </c>
    </row>
    <row r="452" s="698" customFormat="1" customHeight="1" spans="1:77">
      <c r="A452" s="208">
        <v>46114</v>
      </c>
      <c r="B452" s="208">
        <v>46183</v>
      </c>
      <c r="C452" s="211" t="s">
        <v>613</v>
      </c>
      <c r="D452" s="211" t="s">
        <v>614</v>
      </c>
      <c r="E452" s="211" t="s">
        <v>66</v>
      </c>
      <c r="F452" s="732">
        <v>10008</v>
      </c>
      <c r="G452" s="211" t="s">
        <v>334</v>
      </c>
      <c r="H452" s="211" t="str">
        <f>IFERROR(VLOOKUP(E452,名称!A:E,4,0),"")</f>
        <v>三代</v>
      </c>
      <c r="I452" s="268" t="str">
        <f t="shared" ref="I452:BT452" si="527">IF(OR($E452="",I$1=""),"",IF(TRIM(LEFT($E452,MIN(IFERROR(FIND("CDU",UPPER($E452)),999),IFERROR(FIND("BULK",UPPER($E452)),999),IFERROR(FIND("-",$E452),999),IFERROR(FIND("（",$E452),999))-1))=I$1,$F452,""))</f>
        <v/>
      </c>
      <c r="J452" s="268" t="str">
        <f t="shared" si="527"/>
        <v/>
      </c>
      <c r="K452" s="268" t="str">
        <f t="shared" si="527"/>
        <v/>
      </c>
      <c r="L452" s="268" t="str">
        <f t="shared" si="527"/>
        <v/>
      </c>
      <c r="M452" s="268" t="str">
        <f t="shared" si="527"/>
        <v/>
      </c>
      <c r="N452" s="268" t="str">
        <f t="shared" si="527"/>
        <v/>
      </c>
      <c r="O452" s="268" t="str">
        <f t="shared" si="527"/>
        <v/>
      </c>
      <c r="P452" s="268" t="str">
        <f t="shared" si="527"/>
        <v/>
      </c>
      <c r="Q452" s="268" t="str">
        <f t="shared" si="527"/>
        <v/>
      </c>
      <c r="R452" s="268" t="str">
        <f t="shared" si="527"/>
        <v/>
      </c>
      <c r="S452" s="268" t="str">
        <f t="shared" si="527"/>
        <v/>
      </c>
      <c r="T452" s="268" t="str">
        <f t="shared" si="527"/>
        <v/>
      </c>
      <c r="U452" s="268" t="str">
        <f t="shared" si="527"/>
        <v/>
      </c>
      <c r="V452" s="268" t="str">
        <f t="shared" si="527"/>
        <v/>
      </c>
      <c r="W452" s="268" t="str">
        <f t="shared" si="527"/>
        <v/>
      </c>
      <c r="X452" s="268" t="str">
        <f t="shared" si="527"/>
        <v/>
      </c>
      <c r="Y452" s="268" t="str">
        <f t="shared" si="527"/>
        <v/>
      </c>
      <c r="Z452" s="268" t="str">
        <f t="shared" si="527"/>
        <v/>
      </c>
      <c r="AA452" s="268" t="str">
        <f t="shared" si="527"/>
        <v/>
      </c>
      <c r="AB452" s="268" t="str">
        <f t="shared" si="527"/>
        <v/>
      </c>
      <c r="AC452" s="268" t="str">
        <f t="shared" si="527"/>
        <v/>
      </c>
      <c r="AD452" s="268" t="str">
        <f t="shared" si="527"/>
        <v/>
      </c>
      <c r="AE452" s="268" t="str">
        <f t="shared" si="527"/>
        <v/>
      </c>
      <c r="AF452" s="268" t="str">
        <f t="shared" si="527"/>
        <v/>
      </c>
      <c r="AG452" s="268">
        <f t="shared" si="527"/>
        <v>10008</v>
      </c>
      <c r="AH452" s="268" t="str">
        <f t="shared" si="527"/>
        <v/>
      </c>
      <c r="AI452" s="268" t="str">
        <f t="shared" si="527"/>
        <v/>
      </c>
      <c r="AJ452" s="268" t="str">
        <f t="shared" si="527"/>
        <v/>
      </c>
      <c r="AK452" s="268" t="str">
        <f t="shared" si="527"/>
        <v/>
      </c>
      <c r="AL452" s="268" t="str">
        <f t="shared" si="527"/>
        <v/>
      </c>
      <c r="AM452" s="268" t="str">
        <f t="shared" si="527"/>
        <v/>
      </c>
      <c r="AN452" s="268" t="str">
        <f t="shared" si="527"/>
        <v/>
      </c>
      <c r="AO452" s="268" t="str">
        <f t="shared" si="527"/>
        <v/>
      </c>
      <c r="AP452" s="268" t="str">
        <f t="shared" si="527"/>
        <v/>
      </c>
      <c r="AQ452" s="268" t="str">
        <f t="shared" si="527"/>
        <v/>
      </c>
      <c r="AR452" s="268" t="str">
        <f t="shared" si="527"/>
        <v/>
      </c>
      <c r="AS452" s="268" t="str">
        <f t="shared" si="527"/>
        <v/>
      </c>
      <c r="AT452" s="268" t="str">
        <f t="shared" si="527"/>
        <v/>
      </c>
      <c r="AU452" s="268" t="str">
        <f t="shared" si="527"/>
        <v/>
      </c>
      <c r="AV452" s="268" t="str">
        <f t="shared" si="527"/>
        <v/>
      </c>
      <c r="AW452" s="268" t="str">
        <f t="shared" si="527"/>
        <v/>
      </c>
      <c r="AX452" s="268" t="str">
        <f t="shared" si="527"/>
        <v/>
      </c>
      <c r="AY452" s="268" t="str">
        <f t="shared" si="527"/>
        <v/>
      </c>
      <c r="AZ452" s="268" t="str">
        <f t="shared" si="527"/>
        <v/>
      </c>
      <c r="BA452" s="268" t="str">
        <f t="shared" si="527"/>
        <v/>
      </c>
      <c r="BB452" s="268" t="str">
        <f t="shared" si="527"/>
        <v/>
      </c>
      <c r="BC452" s="268" t="str">
        <f t="shared" si="527"/>
        <v/>
      </c>
      <c r="BD452" s="268" t="str">
        <f t="shared" si="527"/>
        <v/>
      </c>
      <c r="BE452" s="268" t="str">
        <f t="shared" si="527"/>
        <v/>
      </c>
      <c r="BF452" s="268" t="str">
        <f t="shared" si="527"/>
        <v/>
      </c>
      <c r="BG452" s="268" t="str">
        <f t="shared" si="527"/>
        <v/>
      </c>
      <c r="BH452" s="268" t="str">
        <f t="shared" si="527"/>
        <v/>
      </c>
      <c r="BI452" s="268" t="str">
        <f t="shared" si="527"/>
        <v/>
      </c>
      <c r="BJ452" s="268" t="str">
        <f t="shared" si="527"/>
        <v/>
      </c>
      <c r="BK452" s="268" t="str">
        <f t="shared" si="527"/>
        <v/>
      </c>
      <c r="BL452" s="268" t="str">
        <f t="shared" si="527"/>
        <v/>
      </c>
      <c r="BM452" s="268" t="str">
        <f t="shared" si="527"/>
        <v/>
      </c>
      <c r="BN452" s="268" t="str">
        <f t="shared" si="527"/>
        <v/>
      </c>
      <c r="BO452" s="268" t="str">
        <f t="shared" si="527"/>
        <v/>
      </c>
      <c r="BP452" s="268" t="str">
        <f t="shared" si="527"/>
        <v/>
      </c>
      <c r="BQ452" s="268" t="str">
        <f t="shared" si="527"/>
        <v/>
      </c>
      <c r="BR452" s="268" t="str">
        <f t="shared" si="527"/>
        <v/>
      </c>
      <c r="BS452" s="268" t="str">
        <f t="shared" si="527"/>
        <v/>
      </c>
      <c r="BT452" s="268" t="str">
        <f t="shared" si="527"/>
        <v/>
      </c>
      <c r="BU452" s="268" t="str">
        <f t="shared" si="526"/>
        <v/>
      </c>
      <c r="BV452" s="247">
        <v>2.02</v>
      </c>
      <c r="BW452" s="729">
        <f t="shared" si="500"/>
        <v>20216.16</v>
      </c>
      <c r="BX452" s="730">
        <f t="shared" si="501"/>
        <v>156675.24</v>
      </c>
      <c r="BY452" s="731" t="str">
        <f t="shared" si="502"/>
        <v>SR</v>
      </c>
    </row>
    <row r="453" s="698" customFormat="1" customHeight="1" spans="1:77">
      <c r="A453" s="208">
        <v>46114</v>
      </c>
      <c r="B453" s="208">
        <v>46183</v>
      </c>
      <c r="C453" s="211" t="s">
        <v>613</v>
      </c>
      <c r="D453" s="211" t="s">
        <v>614</v>
      </c>
      <c r="E453" s="211" t="s">
        <v>122</v>
      </c>
      <c r="F453" s="732">
        <v>5004</v>
      </c>
      <c r="G453" s="211" t="s">
        <v>334</v>
      </c>
      <c r="H453" s="211" t="str">
        <f>IFERROR(VLOOKUP(E453,名称!A:E,4,0),"")</f>
        <v>三代</v>
      </c>
      <c r="I453" s="268" t="str">
        <f t="shared" ref="I453:BT453" si="528">IF(OR($E453="",I$1=""),"",IF(TRIM(LEFT($E453,MIN(IFERROR(FIND("CDU",UPPER($E453)),999),IFERROR(FIND("BULK",UPPER($E453)),999),IFERROR(FIND("-",$E453),999),IFERROR(FIND("（",$E453),999))-1))=I$1,$F453,""))</f>
        <v/>
      </c>
      <c r="J453" s="268" t="str">
        <f t="shared" si="528"/>
        <v/>
      </c>
      <c r="K453" s="268" t="str">
        <f t="shared" si="528"/>
        <v/>
      </c>
      <c r="L453" s="268" t="str">
        <f t="shared" si="528"/>
        <v/>
      </c>
      <c r="M453" s="268" t="str">
        <f t="shared" si="528"/>
        <v/>
      </c>
      <c r="N453" s="268" t="str">
        <f t="shared" si="528"/>
        <v/>
      </c>
      <c r="O453" s="268" t="str">
        <f t="shared" si="528"/>
        <v/>
      </c>
      <c r="P453" s="268" t="str">
        <f t="shared" si="528"/>
        <v/>
      </c>
      <c r="Q453" s="268" t="str">
        <f t="shared" si="528"/>
        <v/>
      </c>
      <c r="R453" s="268" t="str">
        <f t="shared" si="528"/>
        <v/>
      </c>
      <c r="S453" s="268" t="str">
        <f t="shared" si="528"/>
        <v/>
      </c>
      <c r="T453" s="268" t="str">
        <f t="shared" si="528"/>
        <v/>
      </c>
      <c r="U453" s="268" t="str">
        <f t="shared" si="528"/>
        <v/>
      </c>
      <c r="V453" s="268" t="str">
        <f t="shared" si="528"/>
        <v/>
      </c>
      <c r="W453" s="268" t="str">
        <f t="shared" si="528"/>
        <v/>
      </c>
      <c r="X453" s="268" t="str">
        <f t="shared" si="528"/>
        <v/>
      </c>
      <c r="Y453" s="268" t="str">
        <f t="shared" si="528"/>
        <v/>
      </c>
      <c r="Z453" s="268" t="str">
        <f t="shared" si="528"/>
        <v/>
      </c>
      <c r="AA453" s="268" t="str">
        <f t="shared" si="528"/>
        <v/>
      </c>
      <c r="AB453" s="268" t="str">
        <f t="shared" si="528"/>
        <v/>
      </c>
      <c r="AC453" s="268" t="str">
        <f t="shared" si="528"/>
        <v/>
      </c>
      <c r="AD453" s="268" t="str">
        <f t="shared" si="528"/>
        <v/>
      </c>
      <c r="AE453" s="268" t="str">
        <f t="shared" si="528"/>
        <v/>
      </c>
      <c r="AF453" s="268" t="str">
        <f t="shared" si="528"/>
        <v/>
      </c>
      <c r="AG453" s="268" t="str">
        <f t="shared" si="528"/>
        <v/>
      </c>
      <c r="AH453" s="268" t="str">
        <f t="shared" si="528"/>
        <v/>
      </c>
      <c r="AI453" s="268" t="str">
        <f t="shared" si="528"/>
        <v/>
      </c>
      <c r="AJ453" s="268" t="str">
        <f t="shared" si="528"/>
        <v/>
      </c>
      <c r="AK453" s="268" t="str">
        <f t="shared" si="528"/>
        <v/>
      </c>
      <c r="AL453" s="268" t="str">
        <f t="shared" si="528"/>
        <v/>
      </c>
      <c r="AM453" s="268" t="str">
        <f t="shared" si="528"/>
        <v/>
      </c>
      <c r="AN453" s="268" t="str">
        <f t="shared" si="528"/>
        <v/>
      </c>
      <c r="AO453" s="268" t="str">
        <f t="shared" si="528"/>
        <v/>
      </c>
      <c r="AP453" s="268" t="str">
        <f t="shared" si="528"/>
        <v/>
      </c>
      <c r="AQ453" s="268" t="str">
        <f t="shared" si="528"/>
        <v/>
      </c>
      <c r="AR453" s="268" t="str">
        <f t="shared" si="528"/>
        <v/>
      </c>
      <c r="AS453" s="268" t="str">
        <f t="shared" si="528"/>
        <v/>
      </c>
      <c r="AT453" s="268" t="str">
        <f t="shared" si="528"/>
        <v/>
      </c>
      <c r="AU453" s="268" t="str">
        <f t="shared" si="528"/>
        <v/>
      </c>
      <c r="AV453" s="268" t="str">
        <f t="shared" si="528"/>
        <v/>
      </c>
      <c r="AW453" s="268">
        <f t="shared" si="528"/>
        <v>5004</v>
      </c>
      <c r="AX453" s="268" t="str">
        <f t="shared" si="528"/>
        <v/>
      </c>
      <c r="AY453" s="268" t="str">
        <f t="shared" si="528"/>
        <v/>
      </c>
      <c r="AZ453" s="268" t="str">
        <f t="shared" si="528"/>
        <v/>
      </c>
      <c r="BA453" s="268" t="str">
        <f t="shared" si="528"/>
        <v/>
      </c>
      <c r="BB453" s="268" t="str">
        <f t="shared" si="528"/>
        <v/>
      </c>
      <c r="BC453" s="268" t="str">
        <f t="shared" si="528"/>
        <v/>
      </c>
      <c r="BD453" s="268" t="str">
        <f t="shared" si="528"/>
        <v/>
      </c>
      <c r="BE453" s="268" t="str">
        <f t="shared" si="528"/>
        <v/>
      </c>
      <c r="BF453" s="268" t="str">
        <f t="shared" si="528"/>
        <v/>
      </c>
      <c r="BG453" s="268" t="str">
        <f t="shared" si="528"/>
        <v/>
      </c>
      <c r="BH453" s="268" t="str">
        <f t="shared" si="528"/>
        <v/>
      </c>
      <c r="BI453" s="268" t="str">
        <f t="shared" si="528"/>
        <v/>
      </c>
      <c r="BJ453" s="268" t="str">
        <f t="shared" si="528"/>
        <v/>
      </c>
      <c r="BK453" s="268" t="str">
        <f t="shared" si="528"/>
        <v/>
      </c>
      <c r="BL453" s="268" t="str">
        <f t="shared" si="528"/>
        <v/>
      </c>
      <c r="BM453" s="268" t="str">
        <f t="shared" si="528"/>
        <v/>
      </c>
      <c r="BN453" s="268" t="str">
        <f t="shared" si="528"/>
        <v/>
      </c>
      <c r="BO453" s="268" t="str">
        <f t="shared" si="528"/>
        <v/>
      </c>
      <c r="BP453" s="268" t="str">
        <f t="shared" si="528"/>
        <v/>
      </c>
      <c r="BQ453" s="268" t="str">
        <f t="shared" si="528"/>
        <v/>
      </c>
      <c r="BR453" s="268" t="str">
        <f t="shared" si="528"/>
        <v/>
      </c>
      <c r="BS453" s="268" t="str">
        <f t="shared" si="528"/>
        <v/>
      </c>
      <c r="BT453" s="268" t="str">
        <f t="shared" si="528"/>
        <v/>
      </c>
      <c r="BU453" s="268" t="str">
        <f t="shared" si="526"/>
        <v/>
      </c>
      <c r="BV453" s="247">
        <v>1.52</v>
      </c>
      <c r="BW453" s="729">
        <f t="shared" si="500"/>
        <v>7606.08</v>
      </c>
      <c r="BX453" s="730">
        <f t="shared" si="501"/>
        <v>58947.12</v>
      </c>
      <c r="BY453" s="731" t="str">
        <f t="shared" si="502"/>
        <v>SR</v>
      </c>
    </row>
    <row r="454" s="698" customFormat="1" customHeight="1" spans="1:77">
      <c r="A454" s="208">
        <v>46114</v>
      </c>
      <c r="B454" s="208">
        <v>46183</v>
      </c>
      <c r="C454" s="211" t="s">
        <v>613</v>
      </c>
      <c r="D454" s="211" t="s">
        <v>614</v>
      </c>
      <c r="E454" s="211" t="s">
        <v>109</v>
      </c>
      <c r="F454" s="732">
        <v>3000</v>
      </c>
      <c r="G454" s="211" t="s">
        <v>334</v>
      </c>
      <c r="H454" s="211" t="str">
        <f>IFERROR(VLOOKUP(E454,名称!A:E,4,0),"")</f>
        <v>三代</v>
      </c>
      <c r="I454" s="268" t="str">
        <f t="shared" ref="I454:BT454" si="529">IF(OR($E454="",I$1=""),"",IF(TRIM(LEFT($E454,MIN(IFERROR(FIND("CDU",UPPER($E454)),999),IFERROR(FIND("BULK",UPPER($E454)),999),IFERROR(FIND("-",$E454),999),IFERROR(FIND("（",$E454),999))-1))=I$1,$F454,""))</f>
        <v/>
      </c>
      <c r="J454" s="268" t="str">
        <f t="shared" si="529"/>
        <v/>
      </c>
      <c r="K454" s="268" t="str">
        <f t="shared" si="529"/>
        <v/>
      </c>
      <c r="L454" s="268" t="str">
        <f t="shared" si="529"/>
        <v/>
      </c>
      <c r="M454" s="268" t="str">
        <f t="shared" si="529"/>
        <v/>
      </c>
      <c r="N454" s="268" t="str">
        <f t="shared" si="529"/>
        <v/>
      </c>
      <c r="O454" s="268" t="str">
        <f t="shared" si="529"/>
        <v/>
      </c>
      <c r="P454" s="268" t="str">
        <f t="shared" si="529"/>
        <v/>
      </c>
      <c r="Q454" s="268" t="str">
        <f t="shared" si="529"/>
        <v/>
      </c>
      <c r="R454" s="268" t="str">
        <f t="shared" si="529"/>
        <v/>
      </c>
      <c r="S454" s="268" t="str">
        <f t="shared" si="529"/>
        <v/>
      </c>
      <c r="T454" s="268" t="str">
        <f t="shared" si="529"/>
        <v/>
      </c>
      <c r="U454" s="268" t="str">
        <f t="shared" si="529"/>
        <v/>
      </c>
      <c r="V454" s="268" t="str">
        <f t="shared" si="529"/>
        <v/>
      </c>
      <c r="W454" s="268" t="str">
        <f t="shared" si="529"/>
        <v/>
      </c>
      <c r="X454" s="268" t="str">
        <f t="shared" si="529"/>
        <v/>
      </c>
      <c r="Y454" s="268" t="str">
        <f t="shared" si="529"/>
        <v/>
      </c>
      <c r="Z454" s="268" t="str">
        <f t="shared" si="529"/>
        <v/>
      </c>
      <c r="AA454" s="268" t="str">
        <f t="shared" si="529"/>
        <v/>
      </c>
      <c r="AB454" s="268" t="str">
        <f t="shared" si="529"/>
        <v/>
      </c>
      <c r="AC454" s="268" t="str">
        <f t="shared" si="529"/>
        <v/>
      </c>
      <c r="AD454" s="268" t="str">
        <f t="shared" si="529"/>
        <v/>
      </c>
      <c r="AE454" s="268" t="str">
        <f t="shared" si="529"/>
        <v/>
      </c>
      <c r="AF454" s="268" t="str">
        <f t="shared" si="529"/>
        <v/>
      </c>
      <c r="AG454" s="268" t="str">
        <f t="shared" si="529"/>
        <v/>
      </c>
      <c r="AH454" s="268" t="str">
        <f t="shared" si="529"/>
        <v/>
      </c>
      <c r="AI454" s="268" t="str">
        <f t="shared" si="529"/>
        <v/>
      </c>
      <c r="AJ454" s="268" t="str">
        <f t="shared" si="529"/>
        <v/>
      </c>
      <c r="AK454" s="268" t="str">
        <f t="shared" si="529"/>
        <v/>
      </c>
      <c r="AL454" s="268" t="str">
        <f t="shared" si="529"/>
        <v/>
      </c>
      <c r="AM454" s="268" t="str">
        <f t="shared" si="529"/>
        <v/>
      </c>
      <c r="AN454" s="268" t="str">
        <f t="shared" si="529"/>
        <v/>
      </c>
      <c r="AO454" s="268" t="str">
        <f t="shared" si="529"/>
        <v/>
      </c>
      <c r="AP454" s="268" t="str">
        <f t="shared" si="529"/>
        <v/>
      </c>
      <c r="AQ454" s="268" t="str">
        <f t="shared" si="529"/>
        <v/>
      </c>
      <c r="AR454" s="268" t="str">
        <f t="shared" si="529"/>
        <v/>
      </c>
      <c r="AS454" s="268" t="str">
        <f t="shared" si="529"/>
        <v/>
      </c>
      <c r="AT454" s="268" t="str">
        <f t="shared" si="529"/>
        <v/>
      </c>
      <c r="AU454" s="268" t="str">
        <f t="shared" si="529"/>
        <v/>
      </c>
      <c r="AV454" s="268" t="str">
        <f t="shared" si="529"/>
        <v/>
      </c>
      <c r="AW454" s="268" t="str">
        <f t="shared" si="529"/>
        <v/>
      </c>
      <c r="AX454" s="268" t="str">
        <f t="shared" si="529"/>
        <v/>
      </c>
      <c r="AY454" s="268" t="str">
        <f t="shared" si="529"/>
        <v/>
      </c>
      <c r="AZ454" s="268" t="str">
        <f t="shared" si="529"/>
        <v/>
      </c>
      <c r="BA454" s="268" t="str">
        <f t="shared" si="529"/>
        <v/>
      </c>
      <c r="BB454" s="268" t="str">
        <f t="shared" si="529"/>
        <v/>
      </c>
      <c r="BC454" s="268">
        <f t="shared" si="529"/>
        <v>3000</v>
      </c>
      <c r="BD454" s="268" t="str">
        <f t="shared" si="529"/>
        <v/>
      </c>
      <c r="BE454" s="268" t="str">
        <f t="shared" si="529"/>
        <v/>
      </c>
      <c r="BF454" s="268" t="str">
        <f t="shared" si="529"/>
        <v/>
      </c>
      <c r="BG454" s="268" t="str">
        <f t="shared" si="529"/>
        <v/>
      </c>
      <c r="BH454" s="268" t="str">
        <f t="shared" si="529"/>
        <v/>
      </c>
      <c r="BI454" s="268" t="str">
        <f t="shared" si="529"/>
        <v/>
      </c>
      <c r="BJ454" s="268" t="str">
        <f t="shared" si="529"/>
        <v/>
      </c>
      <c r="BK454" s="268" t="str">
        <f t="shared" si="529"/>
        <v/>
      </c>
      <c r="BL454" s="268" t="str">
        <f t="shared" si="529"/>
        <v/>
      </c>
      <c r="BM454" s="268" t="str">
        <f t="shared" si="529"/>
        <v/>
      </c>
      <c r="BN454" s="268" t="str">
        <f t="shared" si="529"/>
        <v/>
      </c>
      <c r="BO454" s="268" t="str">
        <f t="shared" si="529"/>
        <v/>
      </c>
      <c r="BP454" s="268" t="str">
        <f t="shared" si="529"/>
        <v/>
      </c>
      <c r="BQ454" s="268" t="str">
        <f t="shared" si="529"/>
        <v/>
      </c>
      <c r="BR454" s="268" t="str">
        <f t="shared" si="529"/>
        <v/>
      </c>
      <c r="BS454" s="268" t="str">
        <f t="shared" si="529"/>
        <v/>
      </c>
      <c r="BT454" s="268" t="str">
        <f t="shared" si="529"/>
        <v/>
      </c>
      <c r="BU454" s="268" t="str">
        <f t="shared" si="526"/>
        <v/>
      </c>
      <c r="BV454" s="247">
        <v>0.59</v>
      </c>
      <c r="BW454" s="729">
        <f t="shared" si="500"/>
        <v>1770</v>
      </c>
      <c r="BX454" s="730">
        <f t="shared" si="501"/>
        <v>13717.5</v>
      </c>
      <c r="BY454" s="731" t="str">
        <f t="shared" si="502"/>
        <v>JS</v>
      </c>
    </row>
    <row r="455" s="698" customFormat="1" customHeight="1" spans="1:77">
      <c r="A455" s="208">
        <v>46114</v>
      </c>
      <c r="B455" s="208">
        <v>46183</v>
      </c>
      <c r="C455" s="211" t="s">
        <v>613</v>
      </c>
      <c r="D455" s="211" t="s">
        <v>614</v>
      </c>
      <c r="E455" s="211" t="s">
        <v>84</v>
      </c>
      <c r="F455" s="732">
        <v>18018</v>
      </c>
      <c r="G455" s="211" t="s">
        <v>334</v>
      </c>
      <c r="H455" s="211" t="str">
        <f>IFERROR(VLOOKUP(E455,名称!A:E,4,0),"")</f>
        <v>三代</v>
      </c>
      <c r="I455" s="268" t="str">
        <f t="shared" ref="I455:BT455" si="530">IF(OR($E455="",I$1=""),"",IF(TRIM(LEFT($E455,MIN(IFERROR(FIND("CDU",UPPER($E455)),999),IFERROR(FIND("BULK",UPPER($E455)),999),IFERROR(FIND("-",$E455),999),IFERROR(FIND("（",$E455),999))-1))=I$1,$F455,""))</f>
        <v/>
      </c>
      <c r="J455" s="268" t="str">
        <f t="shared" si="530"/>
        <v/>
      </c>
      <c r="K455" s="268" t="str">
        <f t="shared" si="530"/>
        <v/>
      </c>
      <c r="L455" s="268" t="str">
        <f t="shared" si="530"/>
        <v/>
      </c>
      <c r="M455" s="268" t="str">
        <f t="shared" si="530"/>
        <v/>
      </c>
      <c r="N455" s="268" t="str">
        <f t="shared" si="530"/>
        <v/>
      </c>
      <c r="O455" s="268" t="str">
        <f t="shared" si="530"/>
        <v/>
      </c>
      <c r="P455" s="268" t="str">
        <f t="shared" si="530"/>
        <v/>
      </c>
      <c r="Q455" s="268" t="str">
        <f t="shared" si="530"/>
        <v/>
      </c>
      <c r="R455" s="268" t="str">
        <f t="shared" si="530"/>
        <v/>
      </c>
      <c r="S455" s="268" t="str">
        <f t="shared" si="530"/>
        <v/>
      </c>
      <c r="T455" s="268" t="str">
        <f t="shared" si="530"/>
        <v/>
      </c>
      <c r="U455" s="268" t="str">
        <f t="shared" si="530"/>
        <v/>
      </c>
      <c r="V455" s="268" t="str">
        <f t="shared" si="530"/>
        <v/>
      </c>
      <c r="W455" s="268" t="str">
        <f t="shared" si="530"/>
        <v/>
      </c>
      <c r="X455" s="268" t="str">
        <f t="shared" si="530"/>
        <v/>
      </c>
      <c r="Y455" s="268" t="str">
        <f t="shared" si="530"/>
        <v/>
      </c>
      <c r="Z455" s="268" t="str">
        <f t="shared" si="530"/>
        <v/>
      </c>
      <c r="AA455" s="268" t="str">
        <f t="shared" si="530"/>
        <v/>
      </c>
      <c r="AB455" s="268" t="str">
        <f t="shared" si="530"/>
        <v/>
      </c>
      <c r="AC455" s="268" t="str">
        <f t="shared" si="530"/>
        <v/>
      </c>
      <c r="AD455" s="268" t="str">
        <f t="shared" si="530"/>
        <v/>
      </c>
      <c r="AE455" s="268" t="str">
        <f t="shared" si="530"/>
        <v/>
      </c>
      <c r="AF455" s="268" t="str">
        <f t="shared" si="530"/>
        <v/>
      </c>
      <c r="AG455" s="268" t="str">
        <f t="shared" si="530"/>
        <v/>
      </c>
      <c r="AH455" s="268" t="str">
        <f t="shared" si="530"/>
        <v/>
      </c>
      <c r="AI455" s="268" t="str">
        <f t="shared" si="530"/>
        <v/>
      </c>
      <c r="AJ455" s="268" t="str">
        <f t="shared" si="530"/>
        <v/>
      </c>
      <c r="AK455" s="268" t="str">
        <f t="shared" si="530"/>
        <v/>
      </c>
      <c r="AL455" s="268" t="str">
        <f t="shared" si="530"/>
        <v/>
      </c>
      <c r="AM455" s="268" t="str">
        <f t="shared" si="530"/>
        <v/>
      </c>
      <c r="AN455" s="268">
        <f t="shared" si="530"/>
        <v>18018</v>
      </c>
      <c r="AO455" s="268" t="str">
        <f t="shared" si="530"/>
        <v/>
      </c>
      <c r="AP455" s="268" t="str">
        <f t="shared" si="530"/>
        <v/>
      </c>
      <c r="AQ455" s="268" t="str">
        <f t="shared" si="530"/>
        <v/>
      </c>
      <c r="AR455" s="268" t="str">
        <f t="shared" si="530"/>
        <v/>
      </c>
      <c r="AS455" s="268" t="str">
        <f t="shared" si="530"/>
        <v/>
      </c>
      <c r="AT455" s="268" t="str">
        <f t="shared" si="530"/>
        <v/>
      </c>
      <c r="AU455" s="268" t="str">
        <f t="shared" si="530"/>
        <v/>
      </c>
      <c r="AV455" s="268" t="str">
        <f t="shared" si="530"/>
        <v/>
      </c>
      <c r="AW455" s="268" t="str">
        <f t="shared" si="530"/>
        <v/>
      </c>
      <c r="AX455" s="268" t="str">
        <f t="shared" si="530"/>
        <v/>
      </c>
      <c r="AY455" s="268" t="str">
        <f t="shared" si="530"/>
        <v/>
      </c>
      <c r="AZ455" s="268" t="str">
        <f t="shared" si="530"/>
        <v/>
      </c>
      <c r="BA455" s="268" t="str">
        <f t="shared" si="530"/>
        <v/>
      </c>
      <c r="BB455" s="268" t="str">
        <f t="shared" si="530"/>
        <v/>
      </c>
      <c r="BC455" s="268" t="str">
        <f t="shared" si="530"/>
        <v/>
      </c>
      <c r="BD455" s="268" t="str">
        <f t="shared" si="530"/>
        <v/>
      </c>
      <c r="BE455" s="268" t="str">
        <f t="shared" si="530"/>
        <v/>
      </c>
      <c r="BF455" s="268" t="str">
        <f t="shared" si="530"/>
        <v/>
      </c>
      <c r="BG455" s="268" t="str">
        <f t="shared" si="530"/>
        <v/>
      </c>
      <c r="BH455" s="268" t="str">
        <f t="shared" si="530"/>
        <v/>
      </c>
      <c r="BI455" s="268" t="str">
        <f t="shared" si="530"/>
        <v/>
      </c>
      <c r="BJ455" s="268" t="str">
        <f t="shared" si="530"/>
        <v/>
      </c>
      <c r="BK455" s="268" t="str">
        <f t="shared" si="530"/>
        <v/>
      </c>
      <c r="BL455" s="268" t="str">
        <f t="shared" si="530"/>
        <v/>
      </c>
      <c r="BM455" s="268" t="str">
        <f t="shared" si="530"/>
        <v/>
      </c>
      <c r="BN455" s="268" t="str">
        <f t="shared" si="530"/>
        <v/>
      </c>
      <c r="BO455" s="268" t="str">
        <f t="shared" si="530"/>
        <v/>
      </c>
      <c r="BP455" s="268" t="str">
        <f t="shared" si="530"/>
        <v/>
      </c>
      <c r="BQ455" s="268" t="str">
        <f t="shared" si="530"/>
        <v/>
      </c>
      <c r="BR455" s="268" t="str">
        <f t="shared" si="530"/>
        <v/>
      </c>
      <c r="BS455" s="268" t="str">
        <f t="shared" si="530"/>
        <v/>
      </c>
      <c r="BT455" s="268" t="str">
        <f t="shared" si="530"/>
        <v/>
      </c>
      <c r="BU455" s="268" t="str">
        <f t="shared" si="526"/>
        <v/>
      </c>
      <c r="BV455" s="247">
        <v>0.88</v>
      </c>
      <c r="BW455" s="729">
        <f t="shared" si="500"/>
        <v>15855.84</v>
      </c>
      <c r="BX455" s="730">
        <f t="shared" si="501"/>
        <v>122882.76</v>
      </c>
      <c r="BY455" s="731" t="str">
        <f t="shared" si="502"/>
        <v>SR</v>
      </c>
    </row>
    <row r="456" s="698" customFormat="1" customHeight="1" spans="1:77">
      <c r="A456" s="208">
        <v>46114</v>
      </c>
      <c r="B456" s="208">
        <v>46183</v>
      </c>
      <c r="C456" s="211" t="s">
        <v>613</v>
      </c>
      <c r="D456" s="211" t="s">
        <v>614</v>
      </c>
      <c r="E456" s="211" t="s">
        <v>125</v>
      </c>
      <c r="F456" s="732">
        <v>3504</v>
      </c>
      <c r="G456" s="211" t="s">
        <v>334</v>
      </c>
      <c r="H456" s="211" t="str">
        <f>IFERROR(VLOOKUP(E456,名称!A:E,4,0),"")</f>
        <v>三代</v>
      </c>
      <c r="I456" s="268" t="str">
        <f t="shared" ref="I456:BT456" si="531">IF(OR($E456="",I$1=""),"",IF(TRIM(LEFT($E456,MIN(IFERROR(FIND("CDU",UPPER($E456)),999),IFERROR(FIND("BULK",UPPER($E456)),999),IFERROR(FIND("-",$E456),999),IFERROR(FIND("（",$E456),999))-1))=I$1,$F456,""))</f>
        <v/>
      </c>
      <c r="J456" s="268" t="str">
        <f t="shared" si="531"/>
        <v/>
      </c>
      <c r="K456" s="268" t="str">
        <f t="shared" si="531"/>
        <v/>
      </c>
      <c r="L456" s="268" t="str">
        <f t="shared" si="531"/>
        <v/>
      </c>
      <c r="M456" s="268" t="str">
        <f t="shared" si="531"/>
        <v/>
      </c>
      <c r="N456" s="268" t="str">
        <f t="shared" si="531"/>
        <v/>
      </c>
      <c r="O456" s="268" t="str">
        <f t="shared" si="531"/>
        <v/>
      </c>
      <c r="P456" s="268" t="str">
        <f t="shared" si="531"/>
        <v/>
      </c>
      <c r="Q456" s="268" t="str">
        <f t="shared" si="531"/>
        <v/>
      </c>
      <c r="R456" s="268" t="str">
        <f t="shared" si="531"/>
        <v/>
      </c>
      <c r="S456" s="268" t="str">
        <f t="shared" si="531"/>
        <v/>
      </c>
      <c r="T456" s="268" t="str">
        <f t="shared" si="531"/>
        <v/>
      </c>
      <c r="U456" s="268" t="str">
        <f t="shared" si="531"/>
        <v/>
      </c>
      <c r="V456" s="268" t="str">
        <f t="shared" si="531"/>
        <v/>
      </c>
      <c r="W456" s="268" t="str">
        <f t="shared" si="531"/>
        <v/>
      </c>
      <c r="X456" s="268" t="str">
        <f t="shared" si="531"/>
        <v/>
      </c>
      <c r="Y456" s="268" t="str">
        <f t="shared" si="531"/>
        <v/>
      </c>
      <c r="Z456" s="268" t="str">
        <f t="shared" si="531"/>
        <v/>
      </c>
      <c r="AA456" s="268" t="str">
        <f t="shared" si="531"/>
        <v/>
      </c>
      <c r="AB456" s="268" t="str">
        <f t="shared" si="531"/>
        <v/>
      </c>
      <c r="AC456" s="268" t="str">
        <f t="shared" si="531"/>
        <v/>
      </c>
      <c r="AD456" s="268" t="str">
        <f t="shared" si="531"/>
        <v/>
      </c>
      <c r="AE456" s="268" t="str">
        <f t="shared" si="531"/>
        <v/>
      </c>
      <c r="AF456" s="268" t="str">
        <f t="shared" si="531"/>
        <v/>
      </c>
      <c r="AG456" s="268" t="str">
        <f t="shared" si="531"/>
        <v/>
      </c>
      <c r="AH456" s="268" t="str">
        <f t="shared" si="531"/>
        <v/>
      </c>
      <c r="AI456" s="268" t="str">
        <f t="shared" si="531"/>
        <v/>
      </c>
      <c r="AJ456" s="268" t="str">
        <f t="shared" si="531"/>
        <v/>
      </c>
      <c r="AK456" s="268" t="str">
        <f t="shared" si="531"/>
        <v/>
      </c>
      <c r="AL456" s="268" t="str">
        <f t="shared" si="531"/>
        <v/>
      </c>
      <c r="AM456" s="268" t="str">
        <f t="shared" si="531"/>
        <v/>
      </c>
      <c r="AN456" s="268" t="str">
        <f t="shared" si="531"/>
        <v/>
      </c>
      <c r="AO456" s="268" t="str">
        <f t="shared" si="531"/>
        <v/>
      </c>
      <c r="AP456" s="268" t="str">
        <f t="shared" si="531"/>
        <v/>
      </c>
      <c r="AQ456" s="268" t="str">
        <f t="shared" si="531"/>
        <v/>
      </c>
      <c r="AR456" s="268">
        <f t="shared" si="531"/>
        <v>3504</v>
      </c>
      <c r="AS456" s="268" t="str">
        <f t="shared" si="531"/>
        <v/>
      </c>
      <c r="AT456" s="268" t="str">
        <f t="shared" si="531"/>
        <v/>
      </c>
      <c r="AU456" s="268" t="str">
        <f t="shared" si="531"/>
        <v/>
      </c>
      <c r="AV456" s="268" t="str">
        <f t="shared" si="531"/>
        <v/>
      </c>
      <c r="AW456" s="268" t="str">
        <f t="shared" si="531"/>
        <v/>
      </c>
      <c r="AX456" s="268" t="str">
        <f t="shared" si="531"/>
        <v/>
      </c>
      <c r="AY456" s="268" t="str">
        <f t="shared" si="531"/>
        <v/>
      </c>
      <c r="AZ456" s="268" t="str">
        <f t="shared" si="531"/>
        <v/>
      </c>
      <c r="BA456" s="268" t="str">
        <f t="shared" si="531"/>
        <v/>
      </c>
      <c r="BB456" s="268" t="str">
        <f t="shared" si="531"/>
        <v/>
      </c>
      <c r="BC456" s="268" t="str">
        <f t="shared" si="531"/>
        <v/>
      </c>
      <c r="BD456" s="268" t="str">
        <f t="shared" si="531"/>
        <v/>
      </c>
      <c r="BE456" s="268" t="str">
        <f t="shared" si="531"/>
        <v/>
      </c>
      <c r="BF456" s="268" t="str">
        <f t="shared" si="531"/>
        <v/>
      </c>
      <c r="BG456" s="268" t="str">
        <f t="shared" si="531"/>
        <v/>
      </c>
      <c r="BH456" s="268" t="str">
        <f t="shared" si="531"/>
        <v/>
      </c>
      <c r="BI456" s="268" t="str">
        <f t="shared" si="531"/>
        <v/>
      </c>
      <c r="BJ456" s="268" t="str">
        <f t="shared" si="531"/>
        <v/>
      </c>
      <c r="BK456" s="268" t="str">
        <f t="shared" si="531"/>
        <v/>
      </c>
      <c r="BL456" s="268" t="str">
        <f t="shared" si="531"/>
        <v/>
      </c>
      <c r="BM456" s="268" t="str">
        <f t="shared" si="531"/>
        <v/>
      </c>
      <c r="BN456" s="268" t="str">
        <f t="shared" si="531"/>
        <v/>
      </c>
      <c r="BO456" s="268" t="str">
        <f t="shared" si="531"/>
        <v/>
      </c>
      <c r="BP456" s="268" t="str">
        <f t="shared" si="531"/>
        <v/>
      </c>
      <c r="BQ456" s="268" t="str">
        <f t="shared" si="531"/>
        <v/>
      </c>
      <c r="BR456" s="268" t="str">
        <f t="shared" si="531"/>
        <v/>
      </c>
      <c r="BS456" s="268" t="str">
        <f t="shared" si="531"/>
        <v/>
      </c>
      <c r="BT456" s="268" t="str">
        <f t="shared" si="531"/>
        <v/>
      </c>
      <c r="BU456" s="268" t="str">
        <f t="shared" si="526"/>
        <v/>
      </c>
      <c r="BV456" s="247">
        <v>1.65</v>
      </c>
      <c r="BW456" s="729">
        <f t="shared" si="500"/>
        <v>5781.6</v>
      </c>
      <c r="BX456" s="730">
        <f t="shared" si="501"/>
        <v>44807.4</v>
      </c>
      <c r="BY456" s="731" t="str">
        <f t="shared" si="502"/>
        <v>SR</v>
      </c>
    </row>
    <row r="457" s="698" customFormat="1" customHeight="1" spans="1:77">
      <c r="A457" s="208">
        <v>46114</v>
      </c>
      <c r="B457" s="208">
        <v>46183</v>
      </c>
      <c r="C457" s="211" t="s">
        <v>613</v>
      </c>
      <c r="D457" s="211" t="s">
        <v>614</v>
      </c>
      <c r="E457" s="211" t="s">
        <v>98</v>
      </c>
      <c r="F457" s="732">
        <v>1008</v>
      </c>
      <c r="G457" s="211" t="s">
        <v>334</v>
      </c>
      <c r="H457" s="211" t="str">
        <f>IFERROR(VLOOKUP(E457,名称!A:E,4,0),"")</f>
        <v>三代</v>
      </c>
      <c r="I457" s="268" t="str">
        <f t="shared" ref="I457:BT457" si="532">IF(OR($E457="",I$1=""),"",IF(TRIM(LEFT($E457,MIN(IFERROR(FIND("CDU",UPPER($E457)),999),IFERROR(FIND("BULK",UPPER($E457)),999),IFERROR(FIND("-",$E457),999),IFERROR(FIND("（",$E457),999))-1))=I$1,$F457,""))</f>
        <v/>
      </c>
      <c r="J457" s="268" t="str">
        <f t="shared" si="532"/>
        <v/>
      </c>
      <c r="K457" s="268" t="str">
        <f t="shared" si="532"/>
        <v/>
      </c>
      <c r="L457" s="268" t="str">
        <f t="shared" si="532"/>
        <v/>
      </c>
      <c r="M457" s="268" t="str">
        <f t="shared" si="532"/>
        <v/>
      </c>
      <c r="N457" s="268" t="str">
        <f t="shared" si="532"/>
        <v/>
      </c>
      <c r="O457" s="268" t="str">
        <f t="shared" si="532"/>
        <v/>
      </c>
      <c r="P457" s="268" t="str">
        <f t="shared" si="532"/>
        <v/>
      </c>
      <c r="Q457" s="268" t="str">
        <f t="shared" si="532"/>
        <v/>
      </c>
      <c r="R457" s="268" t="str">
        <f t="shared" si="532"/>
        <v/>
      </c>
      <c r="S457" s="268" t="str">
        <f t="shared" si="532"/>
        <v/>
      </c>
      <c r="T457" s="268" t="str">
        <f t="shared" si="532"/>
        <v/>
      </c>
      <c r="U457" s="268" t="str">
        <f t="shared" si="532"/>
        <v/>
      </c>
      <c r="V457" s="268" t="str">
        <f t="shared" si="532"/>
        <v/>
      </c>
      <c r="W457" s="268" t="str">
        <f t="shared" si="532"/>
        <v/>
      </c>
      <c r="X457" s="268" t="str">
        <f t="shared" si="532"/>
        <v/>
      </c>
      <c r="Y457" s="268" t="str">
        <f t="shared" si="532"/>
        <v/>
      </c>
      <c r="Z457" s="268" t="str">
        <f t="shared" si="532"/>
        <v/>
      </c>
      <c r="AA457" s="268" t="str">
        <f t="shared" si="532"/>
        <v/>
      </c>
      <c r="AB457" s="268" t="str">
        <f t="shared" si="532"/>
        <v/>
      </c>
      <c r="AC457" s="268" t="str">
        <f t="shared" si="532"/>
        <v/>
      </c>
      <c r="AD457" s="268" t="str">
        <f t="shared" si="532"/>
        <v/>
      </c>
      <c r="AE457" s="268" t="str">
        <f t="shared" si="532"/>
        <v/>
      </c>
      <c r="AF457" s="268" t="str">
        <f t="shared" si="532"/>
        <v/>
      </c>
      <c r="AG457" s="268" t="str">
        <f t="shared" si="532"/>
        <v/>
      </c>
      <c r="AH457" s="268" t="str">
        <f t="shared" si="532"/>
        <v/>
      </c>
      <c r="AI457" s="268" t="str">
        <f t="shared" si="532"/>
        <v/>
      </c>
      <c r="AJ457" s="268" t="str">
        <f t="shared" si="532"/>
        <v/>
      </c>
      <c r="AK457" s="268" t="str">
        <f t="shared" si="532"/>
        <v/>
      </c>
      <c r="AL457" s="268" t="str">
        <f t="shared" si="532"/>
        <v/>
      </c>
      <c r="AM457" s="268" t="str">
        <f t="shared" si="532"/>
        <v/>
      </c>
      <c r="AN457" s="268" t="str">
        <f t="shared" si="532"/>
        <v/>
      </c>
      <c r="AO457" s="268" t="str">
        <f t="shared" si="532"/>
        <v/>
      </c>
      <c r="AP457" s="268" t="str">
        <f t="shared" si="532"/>
        <v/>
      </c>
      <c r="AQ457" s="268" t="str">
        <f t="shared" si="532"/>
        <v/>
      </c>
      <c r="AR457" s="268" t="str">
        <f t="shared" si="532"/>
        <v/>
      </c>
      <c r="AS457" s="268" t="str">
        <f t="shared" si="532"/>
        <v/>
      </c>
      <c r="AT457" s="268" t="str">
        <f t="shared" si="532"/>
        <v/>
      </c>
      <c r="AU457" s="268" t="str">
        <f t="shared" si="532"/>
        <v/>
      </c>
      <c r="AV457" s="268" t="str">
        <f t="shared" si="532"/>
        <v/>
      </c>
      <c r="AW457" s="268" t="str">
        <f t="shared" si="532"/>
        <v/>
      </c>
      <c r="AX457" s="268" t="str">
        <f t="shared" si="532"/>
        <v/>
      </c>
      <c r="AY457" s="268" t="str">
        <f t="shared" si="532"/>
        <v/>
      </c>
      <c r="AZ457" s="268" t="str">
        <f t="shared" si="532"/>
        <v/>
      </c>
      <c r="BA457" s="268" t="str">
        <f t="shared" si="532"/>
        <v/>
      </c>
      <c r="BB457" s="268">
        <f t="shared" si="532"/>
        <v>1008</v>
      </c>
      <c r="BC457" s="268" t="str">
        <f t="shared" si="532"/>
        <v/>
      </c>
      <c r="BD457" s="268" t="str">
        <f t="shared" si="532"/>
        <v/>
      </c>
      <c r="BE457" s="268" t="str">
        <f t="shared" si="532"/>
        <v/>
      </c>
      <c r="BF457" s="268" t="str">
        <f t="shared" si="532"/>
        <v/>
      </c>
      <c r="BG457" s="268" t="str">
        <f t="shared" si="532"/>
        <v/>
      </c>
      <c r="BH457" s="268" t="str">
        <f t="shared" si="532"/>
        <v/>
      </c>
      <c r="BI457" s="268" t="str">
        <f t="shared" si="532"/>
        <v/>
      </c>
      <c r="BJ457" s="268" t="str">
        <f t="shared" si="532"/>
        <v/>
      </c>
      <c r="BK457" s="268" t="str">
        <f t="shared" si="532"/>
        <v/>
      </c>
      <c r="BL457" s="268" t="str">
        <f t="shared" si="532"/>
        <v/>
      </c>
      <c r="BM457" s="268" t="str">
        <f t="shared" si="532"/>
        <v/>
      </c>
      <c r="BN457" s="268" t="str">
        <f t="shared" si="532"/>
        <v/>
      </c>
      <c r="BO457" s="268" t="str">
        <f t="shared" si="532"/>
        <v/>
      </c>
      <c r="BP457" s="268" t="str">
        <f t="shared" si="532"/>
        <v/>
      </c>
      <c r="BQ457" s="268" t="str">
        <f t="shared" si="532"/>
        <v/>
      </c>
      <c r="BR457" s="268" t="str">
        <f t="shared" si="532"/>
        <v/>
      </c>
      <c r="BS457" s="268" t="str">
        <f t="shared" si="532"/>
        <v/>
      </c>
      <c r="BT457" s="268" t="str">
        <f t="shared" si="532"/>
        <v/>
      </c>
      <c r="BU457" s="268" t="str">
        <f t="shared" si="526"/>
        <v/>
      </c>
      <c r="BV457" s="247">
        <v>1.58</v>
      </c>
      <c r="BW457" s="729">
        <f t="shared" si="500"/>
        <v>1592.64</v>
      </c>
      <c r="BX457" s="730">
        <f t="shared" si="501"/>
        <v>12342.96</v>
      </c>
      <c r="BY457" s="731" t="str">
        <f t="shared" si="502"/>
        <v>SR</v>
      </c>
    </row>
    <row r="458" s="698" customFormat="1" customHeight="1" spans="1:77">
      <c r="A458" s="208">
        <v>46114</v>
      </c>
      <c r="B458" s="208">
        <v>46183</v>
      </c>
      <c r="C458" s="211" t="s">
        <v>613</v>
      </c>
      <c r="D458" s="211" t="s">
        <v>614</v>
      </c>
      <c r="E458" s="211" t="s">
        <v>68</v>
      </c>
      <c r="F458" s="732">
        <v>6500</v>
      </c>
      <c r="G458" s="211" t="s">
        <v>334</v>
      </c>
      <c r="H458" s="211" t="str">
        <f>IFERROR(VLOOKUP(E458,名称!A:E,4,0),"")</f>
        <v>三代</v>
      </c>
      <c r="I458" s="268" t="str">
        <f t="shared" ref="I458:BT458" si="533">IF(OR($E458="",I$1=""),"",IF(TRIM(LEFT($E458,MIN(IFERROR(FIND("CDU",UPPER($E458)),999),IFERROR(FIND("BULK",UPPER($E458)),999),IFERROR(FIND("-",$E458),999),IFERROR(FIND("（",$E458),999))-1))=I$1,$F458,""))</f>
        <v/>
      </c>
      <c r="J458" s="268" t="str">
        <f t="shared" si="533"/>
        <v/>
      </c>
      <c r="K458" s="268" t="str">
        <f t="shared" si="533"/>
        <v/>
      </c>
      <c r="L458" s="268" t="str">
        <f t="shared" si="533"/>
        <v/>
      </c>
      <c r="M458" s="268" t="str">
        <f t="shared" si="533"/>
        <v/>
      </c>
      <c r="N458" s="268" t="str">
        <f t="shared" si="533"/>
        <v/>
      </c>
      <c r="O458" s="268" t="str">
        <f t="shared" si="533"/>
        <v/>
      </c>
      <c r="P458" s="268" t="str">
        <f t="shared" si="533"/>
        <v/>
      </c>
      <c r="Q458" s="268" t="str">
        <f t="shared" si="533"/>
        <v/>
      </c>
      <c r="R458" s="268" t="str">
        <f t="shared" si="533"/>
        <v/>
      </c>
      <c r="S458" s="268" t="str">
        <f t="shared" si="533"/>
        <v/>
      </c>
      <c r="T458" s="268" t="str">
        <f t="shared" si="533"/>
        <v/>
      </c>
      <c r="U458" s="268" t="str">
        <f t="shared" si="533"/>
        <v/>
      </c>
      <c r="V458" s="268" t="str">
        <f t="shared" si="533"/>
        <v/>
      </c>
      <c r="W458" s="268" t="str">
        <f t="shared" si="533"/>
        <v/>
      </c>
      <c r="X458" s="268" t="str">
        <f t="shared" si="533"/>
        <v/>
      </c>
      <c r="Y458" s="268" t="str">
        <f t="shared" si="533"/>
        <v/>
      </c>
      <c r="Z458" s="268" t="str">
        <f t="shared" si="533"/>
        <v/>
      </c>
      <c r="AA458" s="268" t="str">
        <f t="shared" si="533"/>
        <v/>
      </c>
      <c r="AB458" s="268" t="str">
        <f t="shared" si="533"/>
        <v/>
      </c>
      <c r="AC458" s="268" t="str">
        <f t="shared" si="533"/>
        <v/>
      </c>
      <c r="AD458" s="268" t="str">
        <f t="shared" si="533"/>
        <v/>
      </c>
      <c r="AE458" s="268" t="str">
        <f t="shared" si="533"/>
        <v/>
      </c>
      <c r="AF458" s="268" t="str">
        <f t="shared" si="533"/>
        <v/>
      </c>
      <c r="AG458" s="268" t="str">
        <f t="shared" si="533"/>
        <v/>
      </c>
      <c r="AH458" s="268">
        <f t="shared" si="533"/>
        <v>6500</v>
      </c>
      <c r="AI458" s="268" t="str">
        <f t="shared" si="533"/>
        <v/>
      </c>
      <c r="AJ458" s="268" t="str">
        <f t="shared" si="533"/>
        <v/>
      </c>
      <c r="AK458" s="268" t="str">
        <f t="shared" si="533"/>
        <v/>
      </c>
      <c r="AL458" s="268" t="str">
        <f t="shared" si="533"/>
        <v/>
      </c>
      <c r="AM458" s="268" t="str">
        <f t="shared" si="533"/>
        <v/>
      </c>
      <c r="AN458" s="268" t="str">
        <f t="shared" si="533"/>
        <v/>
      </c>
      <c r="AO458" s="268" t="str">
        <f t="shared" si="533"/>
        <v/>
      </c>
      <c r="AP458" s="268" t="str">
        <f t="shared" si="533"/>
        <v/>
      </c>
      <c r="AQ458" s="268" t="str">
        <f t="shared" si="533"/>
        <v/>
      </c>
      <c r="AR458" s="268" t="str">
        <f t="shared" si="533"/>
        <v/>
      </c>
      <c r="AS458" s="268" t="str">
        <f t="shared" si="533"/>
        <v/>
      </c>
      <c r="AT458" s="268" t="str">
        <f t="shared" si="533"/>
        <v/>
      </c>
      <c r="AU458" s="268" t="str">
        <f t="shared" si="533"/>
        <v/>
      </c>
      <c r="AV458" s="268" t="str">
        <f t="shared" si="533"/>
        <v/>
      </c>
      <c r="AW458" s="268" t="str">
        <f t="shared" si="533"/>
        <v/>
      </c>
      <c r="AX458" s="268" t="str">
        <f t="shared" si="533"/>
        <v/>
      </c>
      <c r="AY458" s="268" t="str">
        <f t="shared" si="533"/>
        <v/>
      </c>
      <c r="AZ458" s="268" t="str">
        <f t="shared" si="533"/>
        <v/>
      </c>
      <c r="BA458" s="268" t="str">
        <f t="shared" si="533"/>
        <v/>
      </c>
      <c r="BB458" s="268" t="str">
        <f t="shared" si="533"/>
        <v/>
      </c>
      <c r="BC458" s="268" t="str">
        <f t="shared" si="533"/>
        <v/>
      </c>
      <c r="BD458" s="268" t="str">
        <f t="shared" si="533"/>
        <v/>
      </c>
      <c r="BE458" s="268" t="str">
        <f t="shared" si="533"/>
        <v/>
      </c>
      <c r="BF458" s="268" t="str">
        <f t="shared" si="533"/>
        <v/>
      </c>
      <c r="BG458" s="268" t="str">
        <f t="shared" si="533"/>
        <v/>
      </c>
      <c r="BH458" s="268" t="str">
        <f t="shared" si="533"/>
        <v/>
      </c>
      <c r="BI458" s="268" t="str">
        <f t="shared" si="533"/>
        <v/>
      </c>
      <c r="BJ458" s="268" t="str">
        <f t="shared" si="533"/>
        <v/>
      </c>
      <c r="BK458" s="268" t="str">
        <f t="shared" si="533"/>
        <v/>
      </c>
      <c r="BL458" s="268" t="str">
        <f t="shared" si="533"/>
        <v/>
      </c>
      <c r="BM458" s="268" t="str">
        <f t="shared" si="533"/>
        <v/>
      </c>
      <c r="BN458" s="268" t="str">
        <f t="shared" si="533"/>
        <v/>
      </c>
      <c r="BO458" s="268" t="str">
        <f t="shared" si="533"/>
        <v/>
      </c>
      <c r="BP458" s="268" t="str">
        <f t="shared" si="533"/>
        <v/>
      </c>
      <c r="BQ458" s="268" t="str">
        <f t="shared" si="533"/>
        <v/>
      </c>
      <c r="BR458" s="268" t="str">
        <f t="shared" si="533"/>
        <v/>
      </c>
      <c r="BS458" s="268" t="str">
        <f t="shared" si="533"/>
        <v/>
      </c>
      <c r="BT458" s="268" t="str">
        <f t="shared" si="533"/>
        <v/>
      </c>
      <c r="BU458" s="268" t="str">
        <f t="shared" si="526"/>
        <v/>
      </c>
      <c r="BV458" s="247">
        <v>3.09</v>
      </c>
      <c r="BW458" s="729">
        <f t="shared" si="500"/>
        <v>20085</v>
      </c>
      <c r="BX458" s="730">
        <f t="shared" si="501"/>
        <v>155658.75</v>
      </c>
      <c r="BY458" s="731" t="str">
        <f t="shared" si="502"/>
        <v>SR</v>
      </c>
    </row>
    <row r="459" s="698" customFormat="1" customHeight="1" spans="1:77">
      <c r="A459" s="208">
        <v>46114</v>
      </c>
      <c r="B459" s="208">
        <v>46183</v>
      </c>
      <c r="C459" s="211" t="s">
        <v>613</v>
      </c>
      <c r="D459" s="211" t="s">
        <v>614</v>
      </c>
      <c r="E459" s="211" t="s">
        <v>50</v>
      </c>
      <c r="F459" s="732">
        <v>3006</v>
      </c>
      <c r="G459" s="211" t="s">
        <v>334</v>
      </c>
      <c r="H459" s="211" t="str">
        <f>IFERROR(VLOOKUP(E459,名称!A:E,4,0),"")</f>
        <v>蛋糕</v>
      </c>
      <c r="I459" s="268" t="str">
        <f t="shared" ref="I459:BT459" si="534">IF(OR($E459="",I$1=""),"",IF(TRIM(LEFT($E459,MIN(IFERROR(FIND("CDU",UPPER($E459)),999),IFERROR(FIND("BULK",UPPER($E459)),999),IFERROR(FIND("-",$E459),999),IFERROR(FIND("（",$E459),999))-1))=I$1,$F459,""))</f>
        <v/>
      </c>
      <c r="J459" s="268" t="str">
        <f t="shared" si="534"/>
        <v/>
      </c>
      <c r="K459" s="268" t="str">
        <f t="shared" si="534"/>
        <v/>
      </c>
      <c r="L459" s="268" t="str">
        <f t="shared" si="534"/>
        <v/>
      </c>
      <c r="M459" s="268" t="str">
        <f t="shared" si="534"/>
        <v/>
      </c>
      <c r="N459" s="268" t="str">
        <f t="shared" si="534"/>
        <v/>
      </c>
      <c r="O459" s="268" t="str">
        <f t="shared" si="534"/>
        <v/>
      </c>
      <c r="P459" s="268" t="str">
        <f t="shared" si="534"/>
        <v/>
      </c>
      <c r="Q459" s="268" t="str">
        <f t="shared" si="534"/>
        <v/>
      </c>
      <c r="R459" s="268" t="str">
        <f t="shared" si="534"/>
        <v/>
      </c>
      <c r="S459" s="268" t="str">
        <f t="shared" si="534"/>
        <v/>
      </c>
      <c r="T459" s="268" t="str">
        <f t="shared" si="534"/>
        <v/>
      </c>
      <c r="U459" s="268" t="str">
        <f t="shared" si="534"/>
        <v/>
      </c>
      <c r="V459" s="268" t="str">
        <f t="shared" si="534"/>
        <v/>
      </c>
      <c r="W459" s="268" t="str">
        <f t="shared" si="534"/>
        <v/>
      </c>
      <c r="X459" s="268" t="str">
        <f t="shared" si="534"/>
        <v/>
      </c>
      <c r="Y459" s="268" t="str">
        <f t="shared" si="534"/>
        <v/>
      </c>
      <c r="Z459" s="268" t="str">
        <f t="shared" si="534"/>
        <v/>
      </c>
      <c r="AA459" s="268" t="str">
        <f t="shared" si="534"/>
        <v/>
      </c>
      <c r="AB459" s="268" t="str">
        <f t="shared" si="534"/>
        <v/>
      </c>
      <c r="AC459" s="268" t="str">
        <f t="shared" si="534"/>
        <v/>
      </c>
      <c r="AD459" s="268" t="str">
        <f t="shared" si="534"/>
        <v/>
      </c>
      <c r="AE459" s="268" t="str">
        <f t="shared" si="534"/>
        <v/>
      </c>
      <c r="AF459" s="268" t="str">
        <f t="shared" si="534"/>
        <v/>
      </c>
      <c r="AG459" s="268" t="str">
        <f t="shared" si="534"/>
        <v/>
      </c>
      <c r="AH459" s="268" t="str">
        <f t="shared" si="534"/>
        <v/>
      </c>
      <c r="AI459" s="268" t="str">
        <f t="shared" si="534"/>
        <v/>
      </c>
      <c r="AJ459" s="268" t="str">
        <f t="shared" si="534"/>
        <v/>
      </c>
      <c r="AK459" s="268" t="str">
        <f t="shared" si="534"/>
        <v/>
      </c>
      <c r="AL459" s="268" t="str">
        <f t="shared" si="534"/>
        <v/>
      </c>
      <c r="AM459" s="268" t="str">
        <f t="shared" si="534"/>
        <v/>
      </c>
      <c r="AN459" s="268" t="str">
        <f t="shared" si="534"/>
        <v/>
      </c>
      <c r="AO459" s="268" t="str">
        <f t="shared" si="534"/>
        <v/>
      </c>
      <c r="AP459" s="268" t="str">
        <f t="shared" si="534"/>
        <v/>
      </c>
      <c r="AQ459" s="268" t="str">
        <f t="shared" si="534"/>
        <v/>
      </c>
      <c r="AR459" s="268" t="str">
        <f t="shared" si="534"/>
        <v/>
      </c>
      <c r="AS459" s="268" t="str">
        <f t="shared" si="534"/>
        <v/>
      </c>
      <c r="AT459" s="268" t="str">
        <f t="shared" si="534"/>
        <v/>
      </c>
      <c r="AU459" s="268" t="str">
        <f t="shared" si="534"/>
        <v/>
      </c>
      <c r="AV459" s="268" t="str">
        <f t="shared" si="534"/>
        <v/>
      </c>
      <c r="AW459" s="268" t="str">
        <f t="shared" si="534"/>
        <v/>
      </c>
      <c r="AX459" s="268" t="str">
        <f t="shared" si="534"/>
        <v/>
      </c>
      <c r="AY459" s="268" t="str">
        <f t="shared" si="534"/>
        <v/>
      </c>
      <c r="AZ459" s="268" t="str">
        <f t="shared" si="534"/>
        <v/>
      </c>
      <c r="BA459" s="268" t="str">
        <f t="shared" si="534"/>
        <v/>
      </c>
      <c r="BB459" s="268" t="str">
        <f t="shared" si="534"/>
        <v/>
      </c>
      <c r="BC459" s="268" t="str">
        <f t="shared" si="534"/>
        <v/>
      </c>
      <c r="BD459" s="268" t="str">
        <f t="shared" si="534"/>
        <v/>
      </c>
      <c r="BE459" s="268" t="str">
        <f t="shared" si="534"/>
        <v/>
      </c>
      <c r="BF459" s="268" t="str">
        <f t="shared" si="534"/>
        <v/>
      </c>
      <c r="BG459" s="268">
        <f t="shared" si="534"/>
        <v>3006</v>
      </c>
      <c r="BH459" s="268" t="str">
        <f t="shared" si="534"/>
        <v/>
      </c>
      <c r="BI459" s="268" t="str">
        <f t="shared" si="534"/>
        <v/>
      </c>
      <c r="BJ459" s="268" t="str">
        <f t="shared" si="534"/>
        <v/>
      </c>
      <c r="BK459" s="268" t="str">
        <f t="shared" si="534"/>
        <v/>
      </c>
      <c r="BL459" s="268" t="str">
        <f t="shared" si="534"/>
        <v/>
      </c>
      <c r="BM459" s="268" t="str">
        <f t="shared" si="534"/>
        <v/>
      </c>
      <c r="BN459" s="268" t="str">
        <f t="shared" si="534"/>
        <v/>
      </c>
      <c r="BO459" s="268" t="str">
        <f t="shared" si="534"/>
        <v/>
      </c>
      <c r="BP459" s="268" t="str">
        <f t="shared" si="534"/>
        <v/>
      </c>
      <c r="BQ459" s="268" t="str">
        <f t="shared" si="534"/>
        <v/>
      </c>
      <c r="BR459" s="268" t="str">
        <f t="shared" si="534"/>
        <v/>
      </c>
      <c r="BS459" s="268" t="str">
        <f t="shared" si="534"/>
        <v/>
      </c>
      <c r="BT459" s="268" t="str">
        <f t="shared" si="534"/>
        <v/>
      </c>
      <c r="BU459" s="268" t="str">
        <f t="shared" si="526"/>
        <v/>
      </c>
      <c r="BV459" s="247">
        <v>1.08</v>
      </c>
      <c r="BW459" s="729">
        <f t="shared" si="500"/>
        <v>3246.48</v>
      </c>
      <c r="BX459" s="730">
        <f t="shared" si="501"/>
        <v>25160.22</v>
      </c>
      <c r="BY459" s="731" t="str">
        <f t="shared" si="502"/>
        <v>JC</v>
      </c>
    </row>
    <row r="460" s="698" customFormat="1" customHeight="1" spans="1:77">
      <c r="A460" s="208">
        <v>46114</v>
      </c>
      <c r="B460" s="208">
        <v>46183</v>
      </c>
      <c r="C460" s="211" t="s">
        <v>615</v>
      </c>
      <c r="D460" s="211" t="s">
        <v>616</v>
      </c>
      <c r="E460" s="211" t="s">
        <v>71</v>
      </c>
      <c r="F460" s="732">
        <v>2500</v>
      </c>
      <c r="G460" s="211" t="s">
        <v>334</v>
      </c>
      <c r="H460" s="211" t="str">
        <f>IFERROR(VLOOKUP(E460,名称!A:E,4,0),"")</f>
        <v>三代</v>
      </c>
      <c r="I460" s="268" t="str">
        <f t="shared" ref="I460:BT460" si="535">IF(OR($E460="",I$1=""),"",IF(TRIM(LEFT($E460,MIN(IFERROR(FIND("CDU",UPPER($E460)),999),IFERROR(FIND("BULK",UPPER($E460)),999),IFERROR(FIND("-",$E460),999),IFERROR(FIND("（",$E460),999))-1))=I$1,$F460,""))</f>
        <v/>
      </c>
      <c r="J460" s="268" t="str">
        <f t="shared" si="535"/>
        <v/>
      </c>
      <c r="K460" s="268" t="str">
        <f t="shared" si="535"/>
        <v/>
      </c>
      <c r="L460" s="268" t="str">
        <f t="shared" si="535"/>
        <v/>
      </c>
      <c r="M460" s="268" t="str">
        <f t="shared" si="535"/>
        <v/>
      </c>
      <c r="N460" s="268" t="str">
        <f t="shared" si="535"/>
        <v/>
      </c>
      <c r="O460" s="268" t="str">
        <f t="shared" si="535"/>
        <v/>
      </c>
      <c r="P460" s="268" t="str">
        <f t="shared" si="535"/>
        <v/>
      </c>
      <c r="Q460" s="268" t="str">
        <f t="shared" si="535"/>
        <v/>
      </c>
      <c r="R460" s="268" t="str">
        <f t="shared" si="535"/>
        <v/>
      </c>
      <c r="S460" s="268" t="str">
        <f t="shared" si="535"/>
        <v/>
      </c>
      <c r="T460" s="268" t="str">
        <f t="shared" si="535"/>
        <v/>
      </c>
      <c r="U460" s="268" t="str">
        <f t="shared" si="535"/>
        <v/>
      </c>
      <c r="V460" s="268" t="str">
        <f t="shared" si="535"/>
        <v/>
      </c>
      <c r="W460" s="268" t="str">
        <f t="shared" si="535"/>
        <v/>
      </c>
      <c r="X460" s="268" t="str">
        <f t="shared" si="535"/>
        <v/>
      </c>
      <c r="Y460" s="268" t="str">
        <f t="shared" si="535"/>
        <v/>
      </c>
      <c r="Z460" s="268" t="str">
        <f t="shared" si="535"/>
        <v/>
      </c>
      <c r="AA460" s="268" t="str">
        <f t="shared" si="535"/>
        <v/>
      </c>
      <c r="AB460" s="268" t="str">
        <f t="shared" si="535"/>
        <v/>
      </c>
      <c r="AC460" s="268" t="str">
        <f t="shared" si="535"/>
        <v/>
      </c>
      <c r="AD460" s="268" t="str">
        <f t="shared" si="535"/>
        <v/>
      </c>
      <c r="AE460" s="268" t="str">
        <f t="shared" si="535"/>
        <v/>
      </c>
      <c r="AF460" s="268" t="str">
        <f t="shared" si="535"/>
        <v/>
      </c>
      <c r="AG460" s="268" t="str">
        <f t="shared" si="535"/>
        <v/>
      </c>
      <c r="AH460" s="268" t="str">
        <f t="shared" si="535"/>
        <v/>
      </c>
      <c r="AI460" s="268" t="str">
        <f t="shared" si="535"/>
        <v/>
      </c>
      <c r="AJ460" s="268">
        <f t="shared" si="535"/>
        <v>2500</v>
      </c>
      <c r="AK460" s="268" t="str">
        <f t="shared" si="535"/>
        <v/>
      </c>
      <c r="AL460" s="268" t="str">
        <f t="shared" si="535"/>
        <v/>
      </c>
      <c r="AM460" s="268" t="str">
        <f t="shared" si="535"/>
        <v/>
      </c>
      <c r="AN460" s="268" t="str">
        <f t="shared" si="535"/>
        <v/>
      </c>
      <c r="AO460" s="268" t="str">
        <f t="shared" si="535"/>
        <v/>
      </c>
      <c r="AP460" s="268" t="str">
        <f t="shared" si="535"/>
        <v/>
      </c>
      <c r="AQ460" s="268" t="str">
        <f t="shared" si="535"/>
        <v/>
      </c>
      <c r="AR460" s="268" t="str">
        <f t="shared" si="535"/>
        <v/>
      </c>
      <c r="AS460" s="268" t="str">
        <f t="shared" si="535"/>
        <v/>
      </c>
      <c r="AT460" s="268" t="str">
        <f t="shared" si="535"/>
        <v/>
      </c>
      <c r="AU460" s="268" t="str">
        <f t="shared" si="535"/>
        <v/>
      </c>
      <c r="AV460" s="268" t="str">
        <f t="shared" si="535"/>
        <v/>
      </c>
      <c r="AW460" s="268" t="str">
        <f t="shared" si="535"/>
        <v/>
      </c>
      <c r="AX460" s="268" t="str">
        <f t="shared" si="535"/>
        <v/>
      </c>
      <c r="AY460" s="268" t="str">
        <f t="shared" si="535"/>
        <v/>
      </c>
      <c r="AZ460" s="268" t="str">
        <f t="shared" si="535"/>
        <v/>
      </c>
      <c r="BA460" s="268" t="str">
        <f t="shared" si="535"/>
        <v/>
      </c>
      <c r="BB460" s="268" t="str">
        <f t="shared" si="535"/>
        <v/>
      </c>
      <c r="BC460" s="268" t="str">
        <f t="shared" si="535"/>
        <v/>
      </c>
      <c r="BD460" s="268" t="str">
        <f t="shared" si="535"/>
        <v/>
      </c>
      <c r="BE460" s="268" t="str">
        <f t="shared" si="535"/>
        <v/>
      </c>
      <c r="BF460" s="268" t="str">
        <f t="shared" si="535"/>
        <v/>
      </c>
      <c r="BG460" s="268" t="str">
        <f t="shared" si="535"/>
        <v/>
      </c>
      <c r="BH460" s="268" t="str">
        <f t="shared" si="535"/>
        <v/>
      </c>
      <c r="BI460" s="268" t="str">
        <f t="shared" si="535"/>
        <v/>
      </c>
      <c r="BJ460" s="268" t="str">
        <f t="shared" si="535"/>
        <v/>
      </c>
      <c r="BK460" s="268" t="str">
        <f t="shared" si="535"/>
        <v/>
      </c>
      <c r="BL460" s="268" t="str">
        <f t="shared" si="535"/>
        <v/>
      </c>
      <c r="BM460" s="268" t="str">
        <f t="shared" si="535"/>
        <v/>
      </c>
      <c r="BN460" s="268" t="str">
        <f t="shared" si="535"/>
        <v/>
      </c>
      <c r="BO460" s="268" t="str">
        <f t="shared" si="535"/>
        <v/>
      </c>
      <c r="BP460" s="268" t="str">
        <f t="shared" si="535"/>
        <v/>
      </c>
      <c r="BQ460" s="268" t="str">
        <f t="shared" si="535"/>
        <v/>
      </c>
      <c r="BR460" s="268" t="str">
        <f t="shared" si="535"/>
        <v/>
      </c>
      <c r="BS460" s="268" t="str">
        <f t="shared" si="535"/>
        <v/>
      </c>
      <c r="BT460" s="268" t="str">
        <f t="shared" si="535"/>
        <v/>
      </c>
      <c r="BU460" s="268" t="str">
        <f t="shared" si="526"/>
        <v/>
      </c>
      <c r="BV460" s="215">
        <v>6.87</v>
      </c>
      <c r="BW460" s="729">
        <f t="shared" si="500"/>
        <v>17175</v>
      </c>
      <c r="BX460" s="730">
        <f t="shared" si="501"/>
        <v>133106.25</v>
      </c>
      <c r="BY460" s="731" t="str">
        <f t="shared" si="502"/>
        <v>SR</v>
      </c>
    </row>
    <row r="461" s="698" customFormat="1" customHeight="1" spans="1:77">
      <c r="A461" s="208">
        <v>46115</v>
      </c>
      <c r="B461" s="208">
        <v>46199</v>
      </c>
      <c r="C461" s="211" t="s">
        <v>617</v>
      </c>
      <c r="D461" s="211" t="s">
        <v>618</v>
      </c>
      <c r="E461" s="211" t="s">
        <v>117</v>
      </c>
      <c r="F461" s="732">
        <v>4700</v>
      </c>
      <c r="G461" s="211" t="s">
        <v>334</v>
      </c>
      <c r="H461" s="211" t="str">
        <f>IFERROR(VLOOKUP(E461,名称!A:E,4,0),"")</f>
        <v>三代</v>
      </c>
      <c r="I461" s="268" t="str">
        <f t="shared" ref="I461:BT461" si="536">IF(OR($E461="",I$1=""),"",IF(TRIM(LEFT($E461,MIN(IFERROR(FIND("CDU",UPPER($E461)),999),IFERROR(FIND("BULK",UPPER($E461)),999),IFERROR(FIND("-",$E461),999),IFERROR(FIND("（",$E461),999))-1))=I$1,$F461,""))</f>
        <v/>
      </c>
      <c r="J461" s="268" t="str">
        <f t="shared" si="536"/>
        <v/>
      </c>
      <c r="K461" s="268" t="str">
        <f t="shared" si="536"/>
        <v/>
      </c>
      <c r="L461" s="268" t="str">
        <f t="shared" si="536"/>
        <v/>
      </c>
      <c r="M461" s="268" t="str">
        <f t="shared" si="536"/>
        <v/>
      </c>
      <c r="N461" s="268" t="str">
        <f t="shared" si="536"/>
        <v/>
      </c>
      <c r="O461" s="268" t="str">
        <f t="shared" si="536"/>
        <v/>
      </c>
      <c r="P461" s="268" t="str">
        <f t="shared" si="536"/>
        <v/>
      </c>
      <c r="Q461" s="268" t="str">
        <f t="shared" si="536"/>
        <v/>
      </c>
      <c r="R461" s="268" t="str">
        <f t="shared" si="536"/>
        <v/>
      </c>
      <c r="S461" s="268" t="str">
        <f t="shared" si="536"/>
        <v/>
      </c>
      <c r="T461" s="268" t="str">
        <f t="shared" si="536"/>
        <v/>
      </c>
      <c r="U461" s="268" t="str">
        <f t="shared" si="536"/>
        <v/>
      </c>
      <c r="V461" s="268" t="str">
        <f t="shared" si="536"/>
        <v/>
      </c>
      <c r="W461" s="268" t="str">
        <f t="shared" si="536"/>
        <v/>
      </c>
      <c r="X461" s="268" t="str">
        <f t="shared" si="536"/>
        <v/>
      </c>
      <c r="Y461" s="268" t="str">
        <f t="shared" si="536"/>
        <v/>
      </c>
      <c r="Z461" s="268" t="str">
        <f t="shared" si="536"/>
        <v/>
      </c>
      <c r="AA461" s="268" t="str">
        <f t="shared" si="536"/>
        <v/>
      </c>
      <c r="AB461" s="268" t="str">
        <f t="shared" si="536"/>
        <v/>
      </c>
      <c r="AC461" s="268" t="str">
        <f t="shared" si="536"/>
        <v/>
      </c>
      <c r="AD461" s="268" t="str">
        <f t="shared" si="536"/>
        <v/>
      </c>
      <c r="AE461" s="268" t="str">
        <f t="shared" si="536"/>
        <v/>
      </c>
      <c r="AF461" s="268" t="str">
        <f t="shared" si="536"/>
        <v/>
      </c>
      <c r="AG461" s="268" t="str">
        <f t="shared" si="536"/>
        <v/>
      </c>
      <c r="AH461" s="268" t="str">
        <f t="shared" si="536"/>
        <v/>
      </c>
      <c r="AI461" s="268" t="str">
        <f t="shared" si="536"/>
        <v/>
      </c>
      <c r="AJ461" s="268" t="str">
        <f t="shared" si="536"/>
        <v/>
      </c>
      <c r="AK461" s="268" t="str">
        <f t="shared" si="536"/>
        <v/>
      </c>
      <c r="AL461" s="268" t="str">
        <f t="shared" si="536"/>
        <v/>
      </c>
      <c r="AM461" s="268" t="str">
        <f t="shared" si="536"/>
        <v/>
      </c>
      <c r="AN461" s="268" t="str">
        <f t="shared" si="536"/>
        <v/>
      </c>
      <c r="AO461" s="268" t="str">
        <f t="shared" si="536"/>
        <v/>
      </c>
      <c r="AP461" s="268" t="str">
        <f t="shared" si="536"/>
        <v/>
      </c>
      <c r="AQ461" s="268">
        <f t="shared" si="536"/>
        <v>4700</v>
      </c>
      <c r="AR461" s="268" t="str">
        <f t="shared" si="536"/>
        <v/>
      </c>
      <c r="AS461" s="268" t="str">
        <f t="shared" si="536"/>
        <v/>
      </c>
      <c r="AT461" s="268" t="str">
        <f t="shared" si="536"/>
        <v/>
      </c>
      <c r="AU461" s="268" t="str">
        <f t="shared" si="536"/>
        <v/>
      </c>
      <c r="AV461" s="268" t="str">
        <f t="shared" si="536"/>
        <v/>
      </c>
      <c r="AW461" s="268" t="str">
        <f t="shared" si="536"/>
        <v/>
      </c>
      <c r="AX461" s="268" t="str">
        <f t="shared" si="536"/>
        <v/>
      </c>
      <c r="AY461" s="268" t="str">
        <f t="shared" si="536"/>
        <v/>
      </c>
      <c r="AZ461" s="268" t="str">
        <f t="shared" si="536"/>
        <v/>
      </c>
      <c r="BA461" s="268" t="str">
        <f t="shared" si="536"/>
        <v/>
      </c>
      <c r="BB461" s="268" t="str">
        <f t="shared" si="536"/>
        <v/>
      </c>
      <c r="BC461" s="268" t="str">
        <f t="shared" si="536"/>
        <v/>
      </c>
      <c r="BD461" s="268" t="str">
        <f t="shared" si="536"/>
        <v/>
      </c>
      <c r="BE461" s="268" t="str">
        <f t="shared" si="536"/>
        <v/>
      </c>
      <c r="BF461" s="268" t="str">
        <f t="shared" si="536"/>
        <v/>
      </c>
      <c r="BG461" s="268" t="str">
        <f t="shared" si="536"/>
        <v/>
      </c>
      <c r="BH461" s="268" t="str">
        <f t="shared" si="536"/>
        <v/>
      </c>
      <c r="BI461" s="268" t="str">
        <f t="shared" si="536"/>
        <v/>
      </c>
      <c r="BJ461" s="268" t="str">
        <f t="shared" si="536"/>
        <v/>
      </c>
      <c r="BK461" s="268" t="str">
        <f t="shared" si="536"/>
        <v/>
      </c>
      <c r="BL461" s="268" t="str">
        <f t="shared" si="536"/>
        <v/>
      </c>
      <c r="BM461" s="268" t="str">
        <f t="shared" si="536"/>
        <v/>
      </c>
      <c r="BN461" s="268" t="str">
        <f t="shared" si="536"/>
        <v/>
      </c>
      <c r="BO461" s="268" t="str">
        <f t="shared" si="536"/>
        <v/>
      </c>
      <c r="BP461" s="268" t="str">
        <f t="shared" si="536"/>
        <v/>
      </c>
      <c r="BQ461" s="268" t="str">
        <f t="shared" si="536"/>
        <v/>
      </c>
      <c r="BR461" s="268" t="str">
        <f t="shared" si="536"/>
        <v/>
      </c>
      <c r="BS461" s="268" t="str">
        <f t="shared" si="536"/>
        <v/>
      </c>
      <c r="BT461" s="268" t="str">
        <f t="shared" si="536"/>
        <v/>
      </c>
      <c r="BU461" s="268" t="str">
        <f t="shared" si="526"/>
        <v/>
      </c>
      <c r="BV461" s="247">
        <v>8.45</v>
      </c>
      <c r="BW461" s="729">
        <f t="shared" ref="BW461:BW510" si="537">SUM(I461:BU461)*BV461</f>
        <v>39715</v>
      </c>
      <c r="BX461" s="730">
        <f t="shared" ref="BX461:BX510" si="538">BW461*7.75</f>
        <v>307791.25</v>
      </c>
      <c r="BY461" s="731" t="str">
        <f t="shared" ref="BY461:BY510" si="539">MID(E461,1,2)</f>
        <v>SR</v>
      </c>
    </row>
    <row r="462" s="698" customFormat="1" customHeight="1" spans="1:77">
      <c r="A462" s="208">
        <v>46115</v>
      </c>
      <c r="B462" s="208">
        <v>46219</v>
      </c>
      <c r="C462" s="211" t="s">
        <v>619</v>
      </c>
      <c r="D462" s="211" t="s">
        <v>620</v>
      </c>
      <c r="E462" s="211" t="s">
        <v>117</v>
      </c>
      <c r="F462" s="732">
        <v>5400</v>
      </c>
      <c r="G462" s="211" t="s">
        <v>334</v>
      </c>
      <c r="H462" s="211" t="str">
        <f>IFERROR(VLOOKUP(E462,名称!A:E,4,0),"")</f>
        <v>三代</v>
      </c>
      <c r="I462" s="268" t="str">
        <f t="shared" ref="I462:BT462" si="540">IF(OR($E462="",I$1=""),"",IF(TRIM(LEFT($E462,MIN(IFERROR(FIND("CDU",UPPER($E462)),999),IFERROR(FIND("BULK",UPPER($E462)),999),IFERROR(FIND("-",$E462),999),IFERROR(FIND("（",$E462),999))-1))=I$1,$F462,""))</f>
        <v/>
      </c>
      <c r="J462" s="268" t="str">
        <f t="shared" si="540"/>
        <v/>
      </c>
      <c r="K462" s="268" t="str">
        <f t="shared" si="540"/>
        <v/>
      </c>
      <c r="L462" s="268" t="str">
        <f t="shared" si="540"/>
        <v/>
      </c>
      <c r="M462" s="268" t="str">
        <f t="shared" si="540"/>
        <v/>
      </c>
      <c r="N462" s="268" t="str">
        <f t="shared" si="540"/>
        <v/>
      </c>
      <c r="O462" s="268" t="str">
        <f t="shared" si="540"/>
        <v/>
      </c>
      <c r="P462" s="268" t="str">
        <f t="shared" si="540"/>
        <v/>
      </c>
      <c r="Q462" s="268" t="str">
        <f t="shared" si="540"/>
        <v/>
      </c>
      <c r="R462" s="268" t="str">
        <f t="shared" si="540"/>
        <v/>
      </c>
      <c r="S462" s="268" t="str">
        <f t="shared" si="540"/>
        <v/>
      </c>
      <c r="T462" s="268" t="str">
        <f t="shared" si="540"/>
        <v/>
      </c>
      <c r="U462" s="268" t="str">
        <f t="shared" si="540"/>
        <v/>
      </c>
      <c r="V462" s="268" t="str">
        <f t="shared" si="540"/>
        <v/>
      </c>
      <c r="W462" s="268" t="str">
        <f t="shared" si="540"/>
        <v/>
      </c>
      <c r="X462" s="268" t="str">
        <f t="shared" si="540"/>
        <v/>
      </c>
      <c r="Y462" s="268" t="str">
        <f t="shared" si="540"/>
        <v/>
      </c>
      <c r="Z462" s="268" t="str">
        <f t="shared" si="540"/>
        <v/>
      </c>
      <c r="AA462" s="268" t="str">
        <f t="shared" si="540"/>
        <v/>
      </c>
      <c r="AB462" s="268" t="str">
        <f t="shared" si="540"/>
        <v/>
      </c>
      <c r="AC462" s="268" t="str">
        <f t="shared" si="540"/>
        <v/>
      </c>
      <c r="AD462" s="268" t="str">
        <f t="shared" si="540"/>
        <v/>
      </c>
      <c r="AE462" s="268" t="str">
        <f t="shared" si="540"/>
        <v/>
      </c>
      <c r="AF462" s="268" t="str">
        <f t="shared" si="540"/>
        <v/>
      </c>
      <c r="AG462" s="268" t="str">
        <f t="shared" si="540"/>
        <v/>
      </c>
      <c r="AH462" s="268" t="str">
        <f t="shared" si="540"/>
        <v/>
      </c>
      <c r="AI462" s="268" t="str">
        <f t="shared" si="540"/>
        <v/>
      </c>
      <c r="AJ462" s="268" t="str">
        <f t="shared" si="540"/>
        <v/>
      </c>
      <c r="AK462" s="268" t="str">
        <f t="shared" si="540"/>
        <v/>
      </c>
      <c r="AL462" s="268" t="str">
        <f t="shared" si="540"/>
        <v/>
      </c>
      <c r="AM462" s="268" t="str">
        <f t="shared" si="540"/>
        <v/>
      </c>
      <c r="AN462" s="268" t="str">
        <f t="shared" si="540"/>
        <v/>
      </c>
      <c r="AO462" s="268" t="str">
        <f t="shared" si="540"/>
        <v/>
      </c>
      <c r="AP462" s="268" t="str">
        <f t="shared" si="540"/>
        <v/>
      </c>
      <c r="AQ462" s="268">
        <f t="shared" si="540"/>
        <v>5400</v>
      </c>
      <c r="AR462" s="268" t="str">
        <f t="shared" si="540"/>
        <v/>
      </c>
      <c r="AS462" s="268" t="str">
        <f t="shared" si="540"/>
        <v/>
      </c>
      <c r="AT462" s="268" t="str">
        <f t="shared" si="540"/>
        <v/>
      </c>
      <c r="AU462" s="268" t="str">
        <f t="shared" si="540"/>
        <v/>
      </c>
      <c r="AV462" s="268" t="str">
        <f t="shared" si="540"/>
        <v/>
      </c>
      <c r="AW462" s="268" t="str">
        <f t="shared" si="540"/>
        <v/>
      </c>
      <c r="AX462" s="268" t="str">
        <f t="shared" si="540"/>
        <v/>
      </c>
      <c r="AY462" s="268" t="str">
        <f t="shared" si="540"/>
        <v/>
      </c>
      <c r="AZ462" s="268" t="str">
        <f t="shared" si="540"/>
        <v/>
      </c>
      <c r="BA462" s="268" t="str">
        <f t="shared" si="540"/>
        <v/>
      </c>
      <c r="BB462" s="268" t="str">
        <f t="shared" si="540"/>
        <v/>
      </c>
      <c r="BC462" s="268" t="str">
        <f t="shared" si="540"/>
        <v/>
      </c>
      <c r="BD462" s="268" t="str">
        <f t="shared" si="540"/>
        <v/>
      </c>
      <c r="BE462" s="268" t="str">
        <f t="shared" si="540"/>
        <v/>
      </c>
      <c r="BF462" s="268" t="str">
        <f t="shared" si="540"/>
        <v/>
      </c>
      <c r="BG462" s="268" t="str">
        <f t="shared" si="540"/>
        <v/>
      </c>
      <c r="BH462" s="268" t="str">
        <f t="shared" si="540"/>
        <v/>
      </c>
      <c r="BI462" s="268" t="str">
        <f t="shared" si="540"/>
        <v/>
      </c>
      <c r="BJ462" s="268" t="str">
        <f t="shared" si="540"/>
        <v/>
      </c>
      <c r="BK462" s="268" t="str">
        <f t="shared" si="540"/>
        <v/>
      </c>
      <c r="BL462" s="268" t="str">
        <f t="shared" si="540"/>
        <v/>
      </c>
      <c r="BM462" s="268" t="str">
        <f t="shared" si="540"/>
        <v/>
      </c>
      <c r="BN462" s="268" t="str">
        <f t="shared" si="540"/>
        <v/>
      </c>
      <c r="BO462" s="268" t="str">
        <f t="shared" si="540"/>
        <v/>
      </c>
      <c r="BP462" s="268" t="str">
        <f t="shared" si="540"/>
        <v/>
      </c>
      <c r="BQ462" s="268" t="str">
        <f t="shared" si="540"/>
        <v/>
      </c>
      <c r="BR462" s="268" t="str">
        <f t="shared" si="540"/>
        <v/>
      </c>
      <c r="BS462" s="268" t="str">
        <f t="shared" si="540"/>
        <v/>
      </c>
      <c r="BT462" s="268" t="str">
        <f t="shared" si="540"/>
        <v/>
      </c>
      <c r="BU462" s="268" t="str">
        <f t="shared" si="526"/>
        <v/>
      </c>
      <c r="BV462" s="247">
        <v>8.45</v>
      </c>
      <c r="BW462" s="729">
        <f t="shared" si="537"/>
        <v>45630</v>
      </c>
      <c r="BX462" s="730">
        <f t="shared" si="538"/>
        <v>353632.5</v>
      </c>
      <c r="BY462" s="731" t="str">
        <f t="shared" si="539"/>
        <v>SR</v>
      </c>
    </row>
    <row r="463" s="698" customFormat="1" customHeight="1" spans="1:77">
      <c r="A463" s="208">
        <v>46115</v>
      </c>
      <c r="B463" s="208">
        <v>46167</v>
      </c>
      <c r="C463" s="211"/>
      <c r="D463" s="211" t="s">
        <v>621</v>
      </c>
      <c r="E463" s="211" t="s">
        <v>55</v>
      </c>
      <c r="F463" s="732">
        <v>6000</v>
      </c>
      <c r="G463" s="211" t="s">
        <v>510</v>
      </c>
      <c r="H463" s="211" t="str">
        <f>IFERROR(VLOOKUP(E463,名称!A:E,4,0),"")</f>
        <v>三代</v>
      </c>
      <c r="I463" s="268" t="str">
        <f t="shared" ref="I463:BT463" si="541">IF(OR($E463="",I$1=""),"",IF(TRIM(LEFT($E463,MIN(IFERROR(FIND("CDU",UPPER($E463)),999),IFERROR(FIND("BULK",UPPER($E463)),999),IFERROR(FIND("-",$E463),999),IFERROR(FIND("（",$E463),999))-1))=I$1,$F463,""))</f>
        <v/>
      </c>
      <c r="J463" s="268" t="str">
        <f t="shared" si="541"/>
        <v/>
      </c>
      <c r="K463" s="268" t="str">
        <f t="shared" si="541"/>
        <v/>
      </c>
      <c r="L463" s="268" t="str">
        <f t="shared" si="541"/>
        <v/>
      </c>
      <c r="M463" s="268" t="str">
        <f t="shared" si="541"/>
        <v/>
      </c>
      <c r="N463" s="268" t="str">
        <f t="shared" si="541"/>
        <v/>
      </c>
      <c r="O463" s="268" t="str">
        <f t="shared" si="541"/>
        <v/>
      </c>
      <c r="P463" s="268" t="str">
        <f t="shared" si="541"/>
        <v/>
      </c>
      <c r="Q463" s="268" t="str">
        <f t="shared" si="541"/>
        <v/>
      </c>
      <c r="R463" s="268" t="str">
        <f t="shared" si="541"/>
        <v/>
      </c>
      <c r="S463" s="268" t="str">
        <f t="shared" si="541"/>
        <v/>
      </c>
      <c r="T463" s="268" t="str">
        <f t="shared" si="541"/>
        <v/>
      </c>
      <c r="U463" s="268" t="str">
        <f t="shared" si="541"/>
        <v/>
      </c>
      <c r="V463" s="268" t="str">
        <f t="shared" si="541"/>
        <v/>
      </c>
      <c r="W463" s="268" t="str">
        <f t="shared" si="541"/>
        <v/>
      </c>
      <c r="X463" s="268" t="str">
        <f t="shared" si="541"/>
        <v/>
      </c>
      <c r="Y463" s="268" t="str">
        <f t="shared" si="541"/>
        <v/>
      </c>
      <c r="Z463" s="268" t="str">
        <f t="shared" si="541"/>
        <v/>
      </c>
      <c r="AA463" s="268" t="str">
        <f t="shared" si="541"/>
        <v/>
      </c>
      <c r="AB463" s="268" t="str">
        <f t="shared" si="541"/>
        <v/>
      </c>
      <c r="AC463" s="268">
        <f t="shared" si="541"/>
        <v>6000</v>
      </c>
      <c r="AD463" s="268" t="str">
        <f t="shared" si="541"/>
        <v/>
      </c>
      <c r="AE463" s="268" t="str">
        <f t="shared" si="541"/>
        <v/>
      </c>
      <c r="AF463" s="268" t="str">
        <f t="shared" si="541"/>
        <v/>
      </c>
      <c r="AG463" s="268" t="str">
        <f t="shared" si="541"/>
        <v/>
      </c>
      <c r="AH463" s="268" t="str">
        <f t="shared" si="541"/>
        <v/>
      </c>
      <c r="AI463" s="268" t="str">
        <f t="shared" si="541"/>
        <v/>
      </c>
      <c r="AJ463" s="268" t="str">
        <f t="shared" si="541"/>
        <v/>
      </c>
      <c r="AK463" s="268" t="str">
        <f t="shared" si="541"/>
        <v/>
      </c>
      <c r="AL463" s="268" t="str">
        <f t="shared" si="541"/>
        <v/>
      </c>
      <c r="AM463" s="268" t="str">
        <f t="shared" si="541"/>
        <v/>
      </c>
      <c r="AN463" s="268" t="str">
        <f t="shared" si="541"/>
        <v/>
      </c>
      <c r="AO463" s="268" t="str">
        <f t="shared" si="541"/>
        <v/>
      </c>
      <c r="AP463" s="268" t="str">
        <f t="shared" si="541"/>
        <v/>
      </c>
      <c r="AQ463" s="268" t="str">
        <f t="shared" si="541"/>
        <v/>
      </c>
      <c r="AR463" s="268" t="str">
        <f t="shared" si="541"/>
        <v/>
      </c>
      <c r="AS463" s="268" t="str">
        <f t="shared" si="541"/>
        <v/>
      </c>
      <c r="AT463" s="268" t="str">
        <f t="shared" si="541"/>
        <v/>
      </c>
      <c r="AU463" s="268" t="str">
        <f t="shared" si="541"/>
        <v/>
      </c>
      <c r="AV463" s="268" t="str">
        <f t="shared" si="541"/>
        <v/>
      </c>
      <c r="AW463" s="268" t="str">
        <f t="shared" si="541"/>
        <v/>
      </c>
      <c r="AX463" s="268" t="str">
        <f t="shared" si="541"/>
        <v/>
      </c>
      <c r="AY463" s="268" t="str">
        <f t="shared" si="541"/>
        <v/>
      </c>
      <c r="AZ463" s="268" t="str">
        <f t="shared" si="541"/>
        <v/>
      </c>
      <c r="BA463" s="268" t="str">
        <f t="shared" si="541"/>
        <v/>
      </c>
      <c r="BB463" s="268" t="str">
        <f t="shared" si="541"/>
        <v/>
      </c>
      <c r="BC463" s="268" t="str">
        <f t="shared" si="541"/>
        <v/>
      </c>
      <c r="BD463" s="268" t="str">
        <f t="shared" si="541"/>
        <v/>
      </c>
      <c r="BE463" s="268" t="str">
        <f t="shared" si="541"/>
        <v/>
      </c>
      <c r="BF463" s="268" t="str">
        <f t="shared" si="541"/>
        <v/>
      </c>
      <c r="BG463" s="268" t="str">
        <f t="shared" si="541"/>
        <v/>
      </c>
      <c r="BH463" s="268" t="str">
        <f t="shared" si="541"/>
        <v/>
      </c>
      <c r="BI463" s="268" t="str">
        <f t="shared" si="541"/>
        <v/>
      </c>
      <c r="BJ463" s="268" t="str">
        <f t="shared" si="541"/>
        <v/>
      </c>
      <c r="BK463" s="268" t="str">
        <f t="shared" si="541"/>
        <v/>
      </c>
      <c r="BL463" s="268" t="str">
        <f t="shared" si="541"/>
        <v/>
      </c>
      <c r="BM463" s="268" t="str">
        <f t="shared" si="541"/>
        <v/>
      </c>
      <c r="BN463" s="268" t="str">
        <f t="shared" si="541"/>
        <v/>
      </c>
      <c r="BO463" s="268" t="str">
        <f t="shared" si="541"/>
        <v/>
      </c>
      <c r="BP463" s="268" t="str">
        <f t="shared" si="541"/>
        <v/>
      </c>
      <c r="BQ463" s="268" t="str">
        <f t="shared" si="541"/>
        <v/>
      </c>
      <c r="BR463" s="268" t="str">
        <f t="shared" si="541"/>
        <v/>
      </c>
      <c r="BS463" s="268" t="str">
        <f t="shared" si="541"/>
        <v/>
      </c>
      <c r="BT463" s="268" t="str">
        <f t="shared" si="541"/>
        <v/>
      </c>
      <c r="BU463" s="268" t="str">
        <f t="shared" si="526"/>
        <v/>
      </c>
      <c r="BV463" s="247">
        <v>0.93</v>
      </c>
      <c r="BW463" s="729">
        <f t="shared" si="537"/>
        <v>5580</v>
      </c>
      <c r="BX463" s="730">
        <f t="shared" si="538"/>
        <v>43245</v>
      </c>
      <c r="BY463" s="731" t="str">
        <f t="shared" si="539"/>
        <v>SR</v>
      </c>
    </row>
    <row r="464" s="698" customFormat="1" customHeight="1" spans="1:77">
      <c r="A464" s="208">
        <v>46115</v>
      </c>
      <c r="B464" s="208">
        <v>46167</v>
      </c>
      <c r="C464" s="211"/>
      <c r="D464" s="211" t="s">
        <v>621</v>
      </c>
      <c r="E464" s="211" t="s">
        <v>59</v>
      </c>
      <c r="F464" s="732">
        <v>3600</v>
      </c>
      <c r="G464" s="211" t="s">
        <v>510</v>
      </c>
      <c r="H464" s="211" t="str">
        <f>IFERROR(VLOOKUP(E464,名称!A:E,4,0),"")</f>
        <v>三代</v>
      </c>
      <c r="I464" s="268" t="str">
        <f t="shared" ref="I464:BT464" si="542">IF(OR($E464="",I$1=""),"",IF(TRIM(LEFT($E464,MIN(IFERROR(FIND("CDU",UPPER($E464)),999),IFERROR(FIND("BULK",UPPER($E464)),999),IFERROR(FIND("-",$E464),999),IFERROR(FIND("（",$E464),999))-1))=I$1,$F464,""))</f>
        <v/>
      </c>
      <c r="J464" s="268" t="str">
        <f t="shared" si="542"/>
        <v/>
      </c>
      <c r="K464" s="268" t="str">
        <f t="shared" si="542"/>
        <v/>
      </c>
      <c r="L464" s="268" t="str">
        <f t="shared" si="542"/>
        <v/>
      </c>
      <c r="M464" s="268" t="str">
        <f t="shared" si="542"/>
        <v/>
      </c>
      <c r="N464" s="268" t="str">
        <f t="shared" si="542"/>
        <v/>
      </c>
      <c r="O464" s="268" t="str">
        <f t="shared" si="542"/>
        <v/>
      </c>
      <c r="P464" s="268" t="str">
        <f t="shared" si="542"/>
        <v/>
      </c>
      <c r="Q464" s="268" t="str">
        <f t="shared" si="542"/>
        <v/>
      </c>
      <c r="R464" s="268" t="str">
        <f t="shared" si="542"/>
        <v/>
      </c>
      <c r="S464" s="268" t="str">
        <f t="shared" si="542"/>
        <v/>
      </c>
      <c r="T464" s="268" t="str">
        <f t="shared" si="542"/>
        <v/>
      </c>
      <c r="U464" s="268" t="str">
        <f t="shared" si="542"/>
        <v/>
      </c>
      <c r="V464" s="268" t="str">
        <f t="shared" si="542"/>
        <v/>
      </c>
      <c r="W464" s="268" t="str">
        <f t="shared" si="542"/>
        <v/>
      </c>
      <c r="X464" s="268" t="str">
        <f t="shared" si="542"/>
        <v/>
      </c>
      <c r="Y464" s="268" t="str">
        <f t="shared" si="542"/>
        <v/>
      </c>
      <c r="Z464" s="268" t="str">
        <f t="shared" si="542"/>
        <v/>
      </c>
      <c r="AA464" s="268" t="str">
        <f t="shared" si="542"/>
        <v/>
      </c>
      <c r="AB464" s="268" t="str">
        <f t="shared" si="542"/>
        <v/>
      </c>
      <c r="AC464" s="268" t="str">
        <f t="shared" si="542"/>
        <v/>
      </c>
      <c r="AD464" s="268">
        <f t="shared" si="542"/>
        <v>3600</v>
      </c>
      <c r="AE464" s="268" t="str">
        <f t="shared" si="542"/>
        <v/>
      </c>
      <c r="AF464" s="268" t="str">
        <f t="shared" si="542"/>
        <v/>
      </c>
      <c r="AG464" s="268" t="str">
        <f t="shared" si="542"/>
        <v/>
      </c>
      <c r="AH464" s="268" t="str">
        <f t="shared" si="542"/>
        <v/>
      </c>
      <c r="AI464" s="268" t="str">
        <f t="shared" si="542"/>
        <v/>
      </c>
      <c r="AJ464" s="268" t="str">
        <f t="shared" si="542"/>
        <v/>
      </c>
      <c r="AK464" s="268" t="str">
        <f t="shared" si="542"/>
        <v/>
      </c>
      <c r="AL464" s="268" t="str">
        <f t="shared" si="542"/>
        <v/>
      </c>
      <c r="AM464" s="268" t="str">
        <f t="shared" si="542"/>
        <v/>
      </c>
      <c r="AN464" s="268" t="str">
        <f t="shared" si="542"/>
        <v/>
      </c>
      <c r="AO464" s="268" t="str">
        <f t="shared" si="542"/>
        <v/>
      </c>
      <c r="AP464" s="268" t="str">
        <f t="shared" si="542"/>
        <v/>
      </c>
      <c r="AQ464" s="268" t="str">
        <f t="shared" si="542"/>
        <v/>
      </c>
      <c r="AR464" s="268" t="str">
        <f t="shared" si="542"/>
        <v/>
      </c>
      <c r="AS464" s="268" t="str">
        <f t="shared" si="542"/>
        <v/>
      </c>
      <c r="AT464" s="268" t="str">
        <f t="shared" si="542"/>
        <v/>
      </c>
      <c r="AU464" s="268" t="str">
        <f t="shared" si="542"/>
        <v/>
      </c>
      <c r="AV464" s="268" t="str">
        <f t="shared" si="542"/>
        <v/>
      </c>
      <c r="AW464" s="268" t="str">
        <f t="shared" si="542"/>
        <v/>
      </c>
      <c r="AX464" s="268" t="str">
        <f t="shared" si="542"/>
        <v/>
      </c>
      <c r="AY464" s="268" t="str">
        <f t="shared" si="542"/>
        <v/>
      </c>
      <c r="AZ464" s="268" t="str">
        <f t="shared" si="542"/>
        <v/>
      </c>
      <c r="BA464" s="268" t="str">
        <f t="shared" si="542"/>
        <v/>
      </c>
      <c r="BB464" s="268" t="str">
        <f t="shared" si="542"/>
        <v/>
      </c>
      <c r="BC464" s="268" t="str">
        <f t="shared" si="542"/>
        <v/>
      </c>
      <c r="BD464" s="268" t="str">
        <f t="shared" si="542"/>
        <v/>
      </c>
      <c r="BE464" s="268" t="str">
        <f t="shared" si="542"/>
        <v/>
      </c>
      <c r="BF464" s="268" t="str">
        <f t="shared" si="542"/>
        <v/>
      </c>
      <c r="BG464" s="268" t="str">
        <f t="shared" si="542"/>
        <v/>
      </c>
      <c r="BH464" s="268" t="str">
        <f t="shared" si="542"/>
        <v/>
      </c>
      <c r="BI464" s="268" t="str">
        <f t="shared" si="542"/>
        <v/>
      </c>
      <c r="BJ464" s="268" t="str">
        <f t="shared" si="542"/>
        <v/>
      </c>
      <c r="BK464" s="268" t="str">
        <f t="shared" si="542"/>
        <v/>
      </c>
      <c r="BL464" s="268" t="str">
        <f t="shared" si="542"/>
        <v/>
      </c>
      <c r="BM464" s="268" t="str">
        <f t="shared" si="542"/>
        <v/>
      </c>
      <c r="BN464" s="268" t="str">
        <f t="shared" si="542"/>
        <v/>
      </c>
      <c r="BO464" s="268" t="str">
        <f t="shared" si="542"/>
        <v/>
      </c>
      <c r="BP464" s="268" t="str">
        <f t="shared" si="542"/>
        <v/>
      </c>
      <c r="BQ464" s="268" t="str">
        <f t="shared" si="542"/>
        <v/>
      </c>
      <c r="BR464" s="268" t="str">
        <f t="shared" si="542"/>
        <v/>
      </c>
      <c r="BS464" s="268" t="str">
        <f t="shared" si="542"/>
        <v/>
      </c>
      <c r="BT464" s="268" t="str">
        <f t="shared" si="542"/>
        <v/>
      </c>
      <c r="BU464" s="268" t="str">
        <f t="shared" si="526"/>
        <v/>
      </c>
      <c r="BV464" s="247">
        <v>0.66</v>
      </c>
      <c r="BW464" s="729">
        <f t="shared" si="537"/>
        <v>2376</v>
      </c>
      <c r="BX464" s="730">
        <f t="shared" si="538"/>
        <v>18414</v>
      </c>
      <c r="BY464" s="731" t="str">
        <f t="shared" si="539"/>
        <v>SR</v>
      </c>
    </row>
    <row r="465" s="698" customFormat="1" customHeight="1" spans="1:77">
      <c r="A465" s="208">
        <v>46115</v>
      </c>
      <c r="B465" s="208">
        <v>46167</v>
      </c>
      <c r="C465" s="211"/>
      <c r="D465" s="211" t="s">
        <v>621</v>
      </c>
      <c r="E465" s="211" t="s">
        <v>61</v>
      </c>
      <c r="F465" s="732">
        <v>3600</v>
      </c>
      <c r="G465" s="211" t="s">
        <v>510</v>
      </c>
      <c r="H465" s="211" t="str">
        <f>IFERROR(VLOOKUP(E465,名称!A:E,4,0),"")</f>
        <v>三代</v>
      </c>
      <c r="I465" s="268" t="str">
        <f t="shared" ref="I465:BT465" si="543">IF(OR($E465="",I$1=""),"",IF(TRIM(LEFT($E465,MIN(IFERROR(FIND("CDU",UPPER($E465)),999),IFERROR(FIND("BULK",UPPER($E465)),999),IFERROR(FIND("-",$E465),999),IFERROR(FIND("（",$E465),999))-1))=I$1,$F465,""))</f>
        <v/>
      </c>
      <c r="J465" s="268" t="str">
        <f t="shared" si="543"/>
        <v/>
      </c>
      <c r="K465" s="268" t="str">
        <f t="shared" si="543"/>
        <v/>
      </c>
      <c r="L465" s="268" t="str">
        <f t="shared" si="543"/>
        <v/>
      </c>
      <c r="M465" s="268" t="str">
        <f t="shared" si="543"/>
        <v/>
      </c>
      <c r="N465" s="268" t="str">
        <f t="shared" si="543"/>
        <v/>
      </c>
      <c r="O465" s="268" t="str">
        <f t="shared" si="543"/>
        <v/>
      </c>
      <c r="P465" s="268" t="str">
        <f t="shared" si="543"/>
        <v/>
      </c>
      <c r="Q465" s="268" t="str">
        <f t="shared" si="543"/>
        <v/>
      </c>
      <c r="R465" s="268" t="str">
        <f t="shared" si="543"/>
        <v/>
      </c>
      <c r="S465" s="268" t="str">
        <f t="shared" si="543"/>
        <v/>
      </c>
      <c r="T465" s="268" t="str">
        <f t="shared" si="543"/>
        <v/>
      </c>
      <c r="U465" s="268" t="str">
        <f t="shared" si="543"/>
        <v/>
      </c>
      <c r="V465" s="268" t="str">
        <f t="shared" si="543"/>
        <v/>
      </c>
      <c r="W465" s="268" t="str">
        <f t="shared" si="543"/>
        <v/>
      </c>
      <c r="X465" s="268" t="str">
        <f t="shared" si="543"/>
        <v/>
      </c>
      <c r="Y465" s="268" t="str">
        <f t="shared" si="543"/>
        <v/>
      </c>
      <c r="Z465" s="268" t="str">
        <f t="shared" si="543"/>
        <v/>
      </c>
      <c r="AA465" s="268" t="str">
        <f t="shared" si="543"/>
        <v/>
      </c>
      <c r="AB465" s="268" t="str">
        <f t="shared" si="543"/>
        <v/>
      </c>
      <c r="AC465" s="268" t="str">
        <f t="shared" si="543"/>
        <v/>
      </c>
      <c r="AD465" s="268" t="str">
        <f t="shared" si="543"/>
        <v/>
      </c>
      <c r="AE465" s="268">
        <f t="shared" si="543"/>
        <v>3600</v>
      </c>
      <c r="AF465" s="268" t="str">
        <f t="shared" si="543"/>
        <v/>
      </c>
      <c r="AG465" s="268" t="str">
        <f t="shared" si="543"/>
        <v/>
      </c>
      <c r="AH465" s="268" t="str">
        <f t="shared" si="543"/>
        <v/>
      </c>
      <c r="AI465" s="268" t="str">
        <f t="shared" si="543"/>
        <v/>
      </c>
      <c r="AJ465" s="268" t="str">
        <f t="shared" si="543"/>
        <v/>
      </c>
      <c r="AK465" s="268" t="str">
        <f t="shared" si="543"/>
        <v/>
      </c>
      <c r="AL465" s="268" t="str">
        <f t="shared" si="543"/>
        <v/>
      </c>
      <c r="AM465" s="268" t="str">
        <f t="shared" si="543"/>
        <v/>
      </c>
      <c r="AN465" s="268" t="str">
        <f t="shared" si="543"/>
        <v/>
      </c>
      <c r="AO465" s="268" t="str">
        <f t="shared" si="543"/>
        <v/>
      </c>
      <c r="AP465" s="268" t="str">
        <f t="shared" si="543"/>
        <v/>
      </c>
      <c r="AQ465" s="268" t="str">
        <f t="shared" si="543"/>
        <v/>
      </c>
      <c r="AR465" s="268" t="str">
        <f t="shared" si="543"/>
        <v/>
      </c>
      <c r="AS465" s="268" t="str">
        <f t="shared" si="543"/>
        <v/>
      </c>
      <c r="AT465" s="268" t="str">
        <f t="shared" si="543"/>
        <v/>
      </c>
      <c r="AU465" s="268" t="str">
        <f t="shared" si="543"/>
        <v/>
      </c>
      <c r="AV465" s="268" t="str">
        <f t="shared" si="543"/>
        <v/>
      </c>
      <c r="AW465" s="268" t="str">
        <f t="shared" si="543"/>
        <v/>
      </c>
      <c r="AX465" s="268" t="str">
        <f t="shared" si="543"/>
        <v/>
      </c>
      <c r="AY465" s="268" t="str">
        <f t="shared" si="543"/>
        <v/>
      </c>
      <c r="AZ465" s="268" t="str">
        <f t="shared" si="543"/>
        <v/>
      </c>
      <c r="BA465" s="268" t="str">
        <f t="shared" si="543"/>
        <v/>
      </c>
      <c r="BB465" s="268" t="str">
        <f t="shared" si="543"/>
        <v/>
      </c>
      <c r="BC465" s="268" t="str">
        <f t="shared" si="543"/>
        <v/>
      </c>
      <c r="BD465" s="268" t="str">
        <f t="shared" si="543"/>
        <v/>
      </c>
      <c r="BE465" s="268" t="str">
        <f t="shared" si="543"/>
        <v/>
      </c>
      <c r="BF465" s="268" t="str">
        <f t="shared" si="543"/>
        <v/>
      </c>
      <c r="BG465" s="268" t="str">
        <f t="shared" si="543"/>
        <v/>
      </c>
      <c r="BH465" s="268" t="str">
        <f t="shared" si="543"/>
        <v/>
      </c>
      <c r="BI465" s="268" t="str">
        <f t="shared" si="543"/>
        <v/>
      </c>
      <c r="BJ465" s="268" t="str">
        <f t="shared" si="543"/>
        <v/>
      </c>
      <c r="BK465" s="268" t="str">
        <f t="shared" si="543"/>
        <v/>
      </c>
      <c r="BL465" s="268" t="str">
        <f t="shared" si="543"/>
        <v/>
      </c>
      <c r="BM465" s="268" t="str">
        <f t="shared" si="543"/>
        <v/>
      </c>
      <c r="BN465" s="268" t="str">
        <f t="shared" si="543"/>
        <v/>
      </c>
      <c r="BO465" s="268" t="str">
        <f t="shared" si="543"/>
        <v/>
      </c>
      <c r="BP465" s="268" t="str">
        <f t="shared" si="543"/>
        <v/>
      </c>
      <c r="BQ465" s="268" t="str">
        <f t="shared" si="543"/>
        <v/>
      </c>
      <c r="BR465" s="268" t="str">
        <f t="shared" si="543"/>
        <v/>
      </c>
      <c r="BS465" s="268" t="str">
        <f t="shared" si="543"/>
        <v/>
      </c>
      <c r="BT465" s="268" t="str">
        <f t="shared" si="543"/>
        <v/>
      </c>
      <c r="BU465" s="268" t="str">
        <f t="shared" si="526"/>
        <v/>
      </c>
      <c r="BV465" s="247">
        <v>0.65</v>
      </c>
      <c r="BW465" s="729">
        <f t="shared" si="537"/>
        <v>2340</v>
      </c>
      <c r="BX465" s="730">
        <f t="shared" si="538"/>
        <v>18135</v>
      </c>
      <c r="BY465" s="731" t="str">
        <f t="shared" si="539"/>
        <v>SR</v>
      </c>
    </row>
    <row r="466" s="697" customFormat="1" customHeight="1" spans="1:77">
      <c r="A466" s="116">
        <v>46115</v>
      </c>
      <c r="B466" s="116">
        <v>46248</v>
      </c>
      <c r="C466" s="118" t="s">
        <v>622</v>
      </c>
      <c r="D466" s="118" t="s">
        <v>623</v>
      </c>
      <c r="E466" s="118" t="s">
        <v>127</v>
      </c>
      <c r="F466" s="726">
        <f>20016</f>
        <v>20016</v>
      </c>
      <c r="G466" s="118" t="s">
        <v>270</v>
      </c>
      <c r="H466" s="118" t="str">
        <f>IFERROR(VLOOKUP(E466,名称!A:E,4,0),"")</f>
        <v>三代</v>
      </c>
      <c r="I466" s="418" t="str">
        <f t="shared" ref="I466:BT466" si="544">IF(OR($E466="",I$1=""),"",IF(TRIM(LEFT($E466,MIN(IFERROR(FIND("CDU",UPPER($E466)),999),IFERROR(FIND("BULK",UPPER($E466)),999),IFERROR(FIND("-",$E466),999),IFERROR(FIND("（",$E466),999))-1))=I$1,$F466,""))</f>
        <v/>
      </c>
      <c r="J466" s="418" t="str">
        <f t="shared" si="544"/>
        <v/>
      </c>
      <c r="K466" s="418" t="str">
        <f t="shared" si="544"/>
        <v/>
      </c>
      <c r="L466" s="418" t="str">
        <f t="shared" si="544"/>
        <v/>
      </c>
      <c r="M466" s="418" t="str">
        <f t="shared" si="544"/>
        <v/>
      </c>
      <c r="N466" s="418" t="str">
        <f t="shared" si="544"/>
        <v/>
      </c>
      <c r="O466" s="418" t="str">
        <f t="shared" si="544"/>
        <v/>
      </c>
      <c r="P466" s="418" t="str">
        <f t="shared" si="544"/>
        <v/>
      </c>
      <c r="Q466" s="418" t="str">
        <f t="shared" si="544"/>
        <v/>
      </c>
      <c r="R466" s="418" t="str">
        <f t="shared" si="544"/>
        <v/>
      </c>
      <c r="S466" s="418" t="str">
        <f t="shared" si="544"/>
        <v/>
      </c>
      <c r="T466" s="418" t="str">
        <f t="shared" si="544"/>
        <v/>
      </c>
      <c r="U466" s="418" t="str">
        <f t="shared" si="544"/>
        <v/>
      </c>
      <c r="V466" s="418" t="str">
        <f t="shared" si="544"/>
        <v/>
      </c>
      <c r="W466" s="418" t="str">
        <f t="shared" si="544"/>
        <v/>
      </c>
      <c r="X466" s="418" t="str">
        <f t="shared" si="544"/>
        <v/>
      </c>
      <c r="Y466" s="418" t="str">
        <f t="shared" si="544"/>
        <v/>
      </c>
      <c r="Z466" s="418" t="str">
        <f t="shared" si="544"/>
        <v/>
      </c>
      <c r="AA466" s="418" t="str">
        <f t="shared" si="544"/>
        <v/>
      </c>
      <c r="AB466" s="418" t="str">
        <f t="shared" si="544"/>
        <v/>
      </c>
      <c r="AC466" s="418" t="str">
        <f t="shared" si="544"/>
        <v/>
      </c>
      <c r="AD466" s="418" t="str">
        <f t="shared" si="544"/>
        <v/>
      </c>
      <c r="AE466" s="418" t="str">
        <f t="shared" si="544"/>
        <v/>
      </c>
      <c r="AF466" s="418" t="str">
        <f t="shared" si="544"/>
        <v/>
      </c>
      <c r="AG466" s="418" t="str">
        <f t="shared" si="544"/>
        <v/>
      </c>
      <c r="AH466" s="418" t="str">
        <f t="shared" si="544"/>
        <v/>
      </c>
      <c r="AI466" s="418" t="str">
        <f t="shared" si="544"/>
        <v/>
      </c>
      <c r="AJ466" s="418" t="str">
        <f t="shared" si="544"/>
        <v/>
      </c>
      <c r="AK466" s="418">
        <f t="shared" si="544"/>
        <v>20016</v>
      </c>
      <c r="AL466" s="418" t="str">
        <f t="shared" si="544"/>
        <v/>
      </c>
      <c r="AM466" s="418" t="str">
        <f t="shared" si="544"/>
        <v/>
      </c>
      <c r="AN466" s="418" t="str">
        <f t="shared" si="544"/>
        <v/>
      </c>
      <c r="AO466" s="418" t="str">
        <f t="shared" si="544"/>
        <v/>
      </c>
      <c r="AP466" s="418" t="str">
        <f t="shared" si="544"/>
        <v/>
      </c>
      <c r="AQ466" s="418" t="str">
        <f t="shared" si="544"/>
        <v/>
      </c>
      <c r="AR466" s="418" t="str">
        <f t="shared" si="544"/>
        <v/>
      </c>
      <c r="AS466" s="418" t="str">
        <f t="shared" si="544"/>
        <v/>
      </c>
      <c r="AT466" s="418" t="str">
        <f t="shared" si="544"/>
        <v/>
      </c>
      <c r="AU466" s="418" t="str">
        <f t="shared" si="544"/>
        <v/>
      </c>
      <c r="AV466" s="418" t="str">
        <f t="shared" si="544"/>
        <v/>
      </c>
      <c r="AW466" s="418" t="str">
        <f t="shared" si="544"/>
        <v/>
      </c>
      <c r="AX466" s="418" t="str">
        <f t="shared" si="544"/>
        <v/>
      </c>
      <c r="AY466" s="418" t="str">
        <f t="shared" si="544"/>
        <v/>
      </c>
      <c r="AZ466" s="418" t="str">
        <f t="shared" si="544"/>
        <v/>
      </c>
      <c r="BA466" s="418" t="str">
        <f t="shared" si="544"/>
        <v/>
      </c>
      <c r="BB466" s="418" t="str">
        <f t="shared" si="544"/>
        <v/>
      </c>
      <c r="BC466" s="418" t="str">
        <f t="shared" si="544"/>
        <v/>
      </c>
      <c r="BD466" s="418" t="str">
        <f t="shared" si="544"/>
        <v/>
      </c>
      <c r="BE466" s="418" t="str">
        <f t="shared" si="544"/>
        <v/>
      </c>
      <c r="BF466" s="418" t="str">
        <f t="shared" si="544"/>
        <v/>
      </c>
      <c r="BG466" s="418" t="str">
        <f t="shared" si="544"/>
        <v/>
      </c>
      <c r="BH466" s="418" t="str">
        <f t="shared" si="544"/>
        <v/>
      </c>
      <c r="BI466" s="418" t="str">
        <f t="shared" si="544"/>
        <v/>
      </c>
      <c r="BJ466" s="418" t="str">
        <f t="shared" si="544"/>
        <v/>
      </c>
      <c r="BK466" s="418" t="str">
        <f t="shared" si="544"/>
        <v/>
      </c>
      <c r="BL466" s="418" t="str">
        <f t="shared" si="544"/>
        <v/>
      </c>
      <c r="BM466" s="418" t="str">
        <f t="shared" si="544"/>
        <v/>
      </c>
      <c r="BN466" s="418" t="str">
        <f t="shared" si="544"/>
        <v/>
      </c>
      <c r="BO466" s="418" t="str">
        <f t="shared" si="544"/>
        <v/>
      </c>
      <c r="BP466" s="418" t="str">
        <f t="shared" si="544"/>
        <v/>
      </c>
      <c r="BQ466" s="418" t="str">
        <f t="shared" si="544"/>
        <v/>
      </c>
      <c r="BR466" s="418" t="str">
        <f t="shared" si="544"/>
        <v/>
      </c>
      <c r="BS466" s="418" t="str">
        <f t="shared" si="544"/>
        <v/>
      </c>
      <c r="BT466" s="418" t="str">
        <f t="shared" si="544"/>
        <v/>
      </c>
      <c r="BU466" s="418" t="str">
        <f t="shared" si="526"/>
        <v/>
      </c>
      <c r="BV466" s="544">
        <v>7.01</v>
      </c>
      <c r="BW466" s="723">
        <f t="shared" si="537"/>
        <v>140312.16</v>
      </c>
      <c r="BX466" s="724">
        <f t="shared" si="538"/>
        <v>1087419.24</v>
      </c>
      <c r="BY466" s="725" t="str">
        <f t="shared" si="539"/>
        <v>SR</v>
      </c>
    </row>
    <row r="467" s="698" customFormat="1" customHeight="1" spans="1:77">
      <c r="A467" s="208">
        <v>46115</v>
      </c>
      <c r="B467" s="208">
        <v>46194</v>
      </c>
      <c r="C467" s="211" t="s">
        <v>624</v>
      </c>
      <c r="D467" s="211" t="s">
        <v>625</v>
      </c>
      <c r="E467" s="211" t="s">
        <v>44</v>
      </c>
      <c r="F467" s="732">
        <v>1800</v>
      </c>
      <c r="G467" s="211" t="s">
        <v>253</v>
      </c>
      <c r="H467" s="211" t="str">
        <f>IFERROR(VLOOKUP(E467,名称!A:E,4,0),"")</f>
        <v>二代</v>
      </c>
      <c r="I467" s="268" t="str">
        <f t="shared" ref="I467:BT467" si="545">IF(OR($E467="",I$1=""),"",IF(TRIM(LEFT($E467,MIN(IFERROR(FIND("CDU",UPPER($E467)),999),IFERROR(FIND("BULK",UPPER($E467)),999),IFERROR(FIND("-",$E467),999),IFERROR(FIND("（",$E467),999))-1))=I$1,$F467,""))</f>
        <v/>
      </c>
      <c r="J467" s="268" t="str">
        <f t="shared" si="545"/>
        <v/>
      </c>
      <c r="K467" s="268" t="str">
        <f t="shared" si="545"/>
        <v/>
      </c>
      <c r="L467" s="268" t="str">
        <f t="shared" si="545"/>
        <v/>
      </c>
      <c r="M467" s="268">
        <f t="shared" si="545"/>
        <v>1800</v>
      </c>
      <c r="N467" s="268" t="str">
        <f t="shared" si="545"/>
        <v/>
      </c>
      <c r="O467" s="268" t="str">
        <f t="shared" si="545"/>
        <v/>
      </c>
      <c r="P467" s="268" t="str">
        <f t="shared" si="545"/>
        <v/>
      </c>
      <c r="Q467" s="268" t="str">
        <f t="shared" si="545"/>
        <v/>
      </c>
      <c r="R467" s="268" t="str">
        <f t="shared" si="545"/>
        <v/>
      </c>
      <c r="S467" s="268" t="str">
        <f t="shared" si="545"/>
        <v/>
      </c>
      <c r="T467" s="268" t="str">
        <f t="shared" si="545"/>
        <v/>
      </c>
      <c r="U467" s="268" t="str">
        <f t="shared" si="545"/>
        <v/>
      </c>
      <c r="V467" s="268" t="str">
        <f t="shared" si="545"/>
        <v/>
      </c>
      <c r="W467" s="268" t="str">
        <f t="shared" si="545"/>
        <v/>
      </c>
      <c r="X467" s="268" t="str">
        <f t="shared" si="545"/>
        <v/>
      </c>
      <c r="Y467" s="268" t="str">
        <f t="shared" si="545"/>
        <v/>
      </c>
      <c r="Z467" s="268" t="str">
        <f t="shared" si="545"/>
        <v/>
      </c>
      <c r="AA467" s="268" t="str">
        <f t="shared" si="545"/>
        <v/>
      </c>
      <c r="AB467" s="268" t="str">
        <f t="shared" si="545"/>
        <v/>
      </c>
      <c r="AC467" s="268" t="str">
        <f t="shared" si="545"/>
        <v/>
      </c>
      <c r="AD467" s="268" t="str">
        <f t="shared" si="545"/>
        <v/>
      </c>
      <c r="AE467" s="268" t="str">
        <f t="shared" si="545"/>
        <v/>
      </c>
      <c r="AF467" s="268" t="str">
        <f t="shared" si="545"/>
        <v/>
      </c>
      <c r="AG467" s="268" t="str">
        <f t="shared" si="545"/>
        <v/>
      </c>
      <c r="AH467" s="268" t="str">
        <f t="shared" si="545"/>
        <v/>
      </c>
      <c r="AI467" s="268" t="str">
        <f t="shared" si="545"/>
        <v/>
      </c>
      <c r="AJ467" s="268" t="str">
        <f t="shared" si="545"/>
        <v/>
      </c>
      <c r="AK467" s="268" t="str">
        <f t="shared" si="545"/>
        <v/>
      </c>
      <c r="AL467" s="268" t="str">
        <f t="shared" si="545"/>
        <v/>
      </c>
      <c r="AM467" s="268" t="str">
        <f t="shared" si="545"/>
        <v/>
      </c>
      <c r="AN467" s="268" t="str">
        <f t="shared" si="545"/>
        <v/>
      </c>
      <c r="AO467" s="268" t="str">
        <f t="shared" si="545"/>
        <v/>
      </c>
      <c r="AP467" s="268" t="str">
        <f t="shared" si="545"/>
        <v/>
      </c>
      <c r="AQ467" s="268" t="str">
        <f t="shared" si="545"/>
        <v/>
      </c>
      <c r="AR467" s="268" t="str">
        <f t="shared" si="545"/>
        <v/>
      </c>
      <c r="AS467" s="268" t="str">
        <f t="shared" si="545"/>
        <v/>
      </c>
      <c r="AT467" s="268" t="str">
        <f t="shared" si="545"/>
        <v/>
      </c>
      <c r="AU467" s="268" t="str">
        <f t="shared" si="545"/>
        <v/>
      </c>
      <c r="AV467" s="268" t="str">
        <f t="shared" si="545"/>
        <v/>
      </c>
      <c r="AW467" s="268" t="str">
        <f t="shared" si="545"/>
        <v/>
      </c>
      <c r="AX467" s="268" t="str">
        <f t="shared" si="545"/>
        <v/>
      </c>
      <c r="AY467" s="268" t="str">
        <f t="shared" si="545"/>
        <v/>
      </c>
      <c r="AZ467" s="268" t="str">
        <f t="shared" si="545"/>
        <v/>
      </c>
      <c r="BA467" s="268" t="str">
        <f t="shared" si="545"/>
        <v/>
      </c>
      <c r="BB467" s="268" t="str">
        <f t="shared" si="545"/>
        <v/>
      </c>
      <c r="BC467" s="268" t="str">
        <f t="shared" si="545"/>
        <v/>
      </c>
      <c r="BD467" s="268" t="str">
        <f t="shared" si="545"/>
        <v/>
      </c>
      <c r="BE467" s="268" t="str">
        <f t="shared" si="545"/>
        <v/>
      </c>
      <c r="BF467" s="268" t="str">
        <f t="shared" si="545"/>
        <v/>
      </c>
      <c r="BG467" s="268" t="str">
        <f t="shared" si="545"/>
        <v/>
      </c>
      <c r="BH467" s="268" t="str">
        <f t="shared" si="545"/>
        <v/>
      </c>
      <c r="BI467" s="268" t="str">
        <f t="shared" si="545"/>
        <v/>
      </c>
      <c r="BJ467" s="268" t="str">
        <f t="shared" si="545"/>
        <v/>
      </c>
      <c r="BK467" s="268" t="str">
        <f t="shared" si="545"/>
        <v/>
      </c>
      <c r="BL467" s="268" t="str">
        <f t="shared" si="545"/>
        <v/>
      </c>
      <c r="BM467" s="268" t="str">
        <f t="shared" si="545"/>
        <v/>
      </c>
      <c r="BN467" s="268" t="str">
        <f t="shared" si="545"/>
        <v/>
      </c>
      <c r="BO467" s="268" t="str">
        <f t="shared" si="545"/>
        <v/>
      </c>
      <c r="BP467" s="268" t="str">
        <f t="shared" si="545"/>
        <v/>
      </c>
      <c r="BQ467" s="268" t="str">
        <f t="shared" si="545"/>
        <v/>
      </c>
      <c r="BR467" s="268" t="str">
        <f t="shared" si="545"/>
        <v/>
      </c>
      <c r="BS467" s="268" t="str">
        <f t="shared" si="545"/>
        <v/>
      </c>
      <c r="BT467" s="268" t="str">
        <f t="shared" si="545"/>
        <v/>
      </c>
      <c r="BU467" s="268" t="str">
        <f t="shared" si="526"/>
        <v/>
      </c>
      <c r="BV467" s="247">
        <v>0.65</v>
      </c>
      <c r="BW467" s="729">
        <f t="shared" si="537"/>
        <v>1170</v>
      </c>
      <c r="BX467" s="730">
        <f t="shared" si="538"/>
        <v>9067.5</v>
      </c>
      <c r="BY467" s="731" t="str">
        <f t="shared" si="539"/>
        <v>SR</v>
      </c>
    </row>
    <row r="468" s="698" customFormat="1" customHeight="1" spans="1:77">
      <c r="A468" s="208">
        <v>46115</v>
      </c>
      <c r="B468" s="208">
        <v>46152</v>
      </c>
      <c r="C468" s="211" t="s">
        <v>626</v>
      </c>
      <c r="D468" s="211" t="s">
        <v>627</v>
      </c>
      <c r="E468" s="211" t="s">
        <v>83</v>
      </c>
      <c r="F468" s="732">
        <v>3552</v>
      </c>
      <c r="G468" s="211" t="s">
        <v>253</v>
      </c>
      <c r="H468" s="211" t="str">
        <f>IFERROR(VLOOKUP(E468,名称!A:E,4,0),"")</f>
        <v>三代</v>
      </c>
      <c r="I468" s="268" t="str">
        <f t="shared" ref="I468:BT468" si="546">IF(OR($E468="",I$1=""),"",IF(TRIM(LEFT($E468,MIN(IFERROR(FIND("CDU",UPPER($E468)),999),IFERROR(FIND("BULK",UPPER($E468)),999),IFERROR(FIND("-",$E468),999),IFERROR(FIND("（",$E468),999))-1))=I$1,$F468,""))</f>
        <v/>
      </c>
      <c r="J468" s="268" t="str">
        <f t="shared" si="546"/>
        <v/>
      </c>
      <c r="K468" s="268" t="str">
        <f t="shared" si="546"/>
        <v/>
      </c>
      <c r="L468" s="268" t="str">
        <f t="shared" si="546"/>
        <v/>
      </c>
      <c r="M468" s="268" t="str">
        <f t="shared" si="546"/>
        <v/>
      </c>
      <c r="N468" s="268" t="str">
        <f t="shared" si="546"/>
        <v/>
      </c>
      <c r="O468" s="268" t="str">
        <f t="shared" si="546"/>
        <v/>
      </c>
      <c r="P468" s="268" t="str">
        <f t="shared" si="546"/>
        <v/>
      </c>
      <c r="Q468" s="268" t="str">
        <f t="shared" si="546"/>
        <v/>
      </c>
      <c r="R468" s="268" t="str">
        <f t="shared" si="546"/>
        <v/>
      </c>
      <c r="S468" s="268" t="str">
        <f t="shared" si="546"/>
        <v/>
      </c>
      <c r="T468" s="268" t="str">
        <f t="shared" si="546"/>
        <v/>
      </c>
      <c r="U468" s="268" t="str">
        <f t="shared" si="546"/>
        <v/>
      </c>
      <c r="V468" s="268" t="str">
        <f t="shared" si="546"/>
        <v/>
      </c>
      <c r="W468" s="268" t="str">
        <f t="shared" si="546"/>
        <v/>
      </c>
      <c r="X468" s="268" t="str">
        <f t="shared" si="546"/>
        <v/>
      </c>
      <c r="Y468" s="268" t="str">
        <f t="shared" si="546"/>
        <v/>
      </c>
      <c r="Z468" s="268" t="str">
        <f t="shared" si="546"/>
        <v/>
      </c>
      <c r="AA468" s="268" t="str">
        <f t="shared" si="546"/>
        <v/>
      </c>
      <c r="AB468" s="268" t="str">
        <f t="shared" si="546"/>
        <v/>
      </c>
      <c r="AC468" s="268" t="str">
        <f t="shared" si="546"/>
        <v/>
      </c>
      <c r="AD468" s="268" t="str">
        <f t="shared" si="546"/>
        <v/>
      </c>
      <c r="AE468" s="268" t="str">
        <f t="shared" si="546"/>
        <v/>
      </c>
      <c r="AF468" s="268" t="str">
        <f t="shared" si="546"/>
        <v/>
      </c>
      <c r="AG468" s="268" t="str">
        <f t="shared" si="546"/>
        <v/>
      </c>
      <c r="AH468" s="268" t="str">
        <f t="shared" si="546"/>
        <v/>
      </c>
      <c r="AI468" s="268" t="str">
        <f t="shared" si="546"/>
        <v/>
      </c>
      <c r="AJ468" s="268" t="str">
        <f t="shared" si="546"/>
        <v/>
      </c>
      <c r="AK468" s="268" t="str">
        <f t="shared" si="546"/>
        <v/>
      </c>
      <c r="AL468" s="268" t="str">
        <f t="shared" si="546"/>
        <v/>
      </c>
      <c r="AM468" s="268" t="str">
        <f t="shared" si="546"/>
        <v/>
      </c>
      <c r="AN468" s="268">
        <f t="shared" si="546"/>
        <v>3552</v>
      </c>
      <c r="AO468" s="268" t="str">
        <f t="shared" si="546"/>
        <v/>
      </c>
      <c r="AP468" s="268" t="str">
        <f t="shared" si="546"/>
        <v/>
      </c>
      <c r="AQ468" s="268" t="str">
        <f t="shared" si="546"/>
        <v/>
      </c>
      <c r="AR468" s="268" t="str">
        <f t="shared" si="546"/>
        <v/>
      </c>
      <c r="AS468" s="268" t="str">
        <f t="shared" si="546"/>
        <v/>
      </c>
      <c r="AT468" s="268" t="str">
        <f t="shared" si="546"/>
        <v/>
      </c>
      <c r="AU468" s="268" t="str">
        <f t="shared" si="546"/>
        <v/>
      </c>
      <c r="AV468" s="268" t="str">
        <f t="shared" si="546"/>
        <v/>
      </c>
      <c r="AW468" s="268" t="str">
        <f t="shared" si="546"/>
        <v/>
      </c>
      <c r="AX468" s="268" t="str">
        <f t="shared" si="546"/>
        <v/>
      </c>
      <c r="AY468" s="268" t="str">
        <f t="shared" si="546"/>
        <v/>
      </c>
      <c r="AZ468" s="268" t="str">
        <f t="shared" si="546"/>
        <v/>
      </c>
      <c r="BA468" s="268" t="str">
        <f t="shared" si="546"/>
        <v/>
      </c>
      <c r="BB468" s="268" t="str">
        <f t="shared" si="546"/>
        <v/>
      </c>
      <c r="BC468" s="268" t="str">
        <f t="shared" si="546"/>
        <v/>
      </c>
      <c r="BD468" s="268" t="str">
        <f t="shared" si="546"/>
        <v/>
      </c>
      <c r="BE468" s="268" t="str">
        <f t="shared" si="546"/>
        <v/>
      </c>
      <c r="BF468" s="268" t="str">
        <f t="shared" si="546"/>
        <v/>
      </c>
      <c r="BG468" s="268" t="str">
        <f t="shared" si="546"/>
        <v/>
      </c>
      <c r="BH468" s="268" t="str">
        <f t="shared" si="546"/>
        <v/>
      </c>
      <c r="BI468" s="268" t="str">
        <f t="shared" si="546"/>
        <v/>
      </c>
      <c r="BJ468" s="268" t="str">
        <f t="shared" si="546"/>
        <v/>
      </c>
      <c r="BK468" s="268" t="str">
        <f t="shared" si="546"/>
        <v/>
      </c>
      <c r="BL468" s="268" t="str">
        <f t="shared" si="546"/>
        <v/>
      </c>
      <c r="BM468" s="268" t="str">
        <f t="shared" si="546"/>
        <v/>
      </c>
      <c r="BN468" s="268" t="str">
        <f t="shared" si="546"/>
        <v/>
      </c>
      <c r="BO468" s="268" t="str">
        <f t="shared" si="546"/>
        <v/>
      </c>
      <c r="BP468" s="268" t="str">
        <f t="shared" si="546"/>
        <v/>
      </c>
      <c r="BQ468" s="268" t="str">
        <f t="shared" si="546"/>
        <v/>
      </c>
      <c r="BR468" s="268" t="str">
        <f t="shared" si="546"/>
        <v/>
      </c>
      <c r="BS468" s="268" t="str">
        <f t="shared" si="546"/>
        <v/>
      </c>
      <c r="BT468" s="268" t="str">
        <f t="shared" si="546"/>
        <v/>
      </c>
      <c r="BU468" s="268" t="str">
        <f t="shared" si="526"/>
        <v/>
      </c>
      <c r="BV468" s="247">
        <v>0.91</v>
      </c>
      <c r="BW468" s="729">
        <f t="shared" si="537"/>
        <v>3232.32</v>
      </c>
      <c r="BX468" s="730">
        <f t="shared" si="538"/>
        <v>25050.48</v>
      </c>
      <c r="BY468" s="731" t="str">
        <f t="shared" si="539"/>
        <v>SR</v>
      </c>
    </row>
    <row r="469" s="698" customFormat="1" customHeight="1" spans="1:77">
      <c r="A469" s="208">
        <v>46115</v>
      </c>
      <c r="B469" s="208">
        <v>46162</v>
      </c>
      <c r="C469" s="211" t="s">
        <v>628</v>
      </c>
      <c r="D469" s="211" t="s">
        <v>629</v>
      </c>
      <c r="E469" s="211" t="s">
        <v>83</v>
      </c>
      <c r="F469" s="732">
        <v>3516</v>
      </c>
      <c r="G469" s="211" t="s">
        <v>253</v>
      </c>
      <c r="H469" s="211" t="str">
        <f>IFERROR(VLOOKUP(E469,名称!A:E,4,0),"")</f>
        <v>三代</v>
      </c>
      <c r="I469" s="268" t="str">
        <f t="shared" ref="I469:BT469" si="547">IF(OR($E469="",I$1=""),"",IF(TRIM(LEFT($E469,MIN(IFERROR(FIND("CDU",UPPER($E469)),999),IFERROR(FIND("BULK",UPPER($E469)),999),IFERROR(FIND("-",$E469),999),IFERROR(FIND("（",$E469),999))-1))=I$1,$F469,""))</f>
        <v/>
      </c>
      <c r="J469" s="268" t="str">
        <f t="shared" si="547"/>
        <v/>
      </c>
      <c r="K469" s="268" t="str">
        <f t="shared" si="547"/>
        <v/>
      </c>
      <c r="L469" s="268" t="str">
        <f t="shared" si="547"/>
        <v/>
      </c>
      <c r="M469" s="268" t="str">
        <f t="shared" si="547"/>
        <v/>
      </c>
      <c r="N469" s="268" t="str">
        <f t="shared" si="547"/>
        <v/>
      </c>
      <c r="O469" s="268" t="str">
        <f t="shared" si="547"/>
        <v/>
      </c>
      <c r="P469" s="268" t="str">
        <f t="shared" si="547"/>
        <v/>
      </c>
      <c r="Q469" s="268" t="str">
        <f t="shared" si="547"/>
        <v/>
      </c>
      <c r="R469" s="268" t="str">
        <f t="shared" si="547"/>
        <v/>
      </c>
      <c r="S469" s="268" t="str">
        <f t="shared" si="547"/>
        <v/>
      </c>
      <c r="T469" s="268" t="str">
        <f t="shared" si="547"/>
        <v/>
      </c>
      <c r="U469" s="268" t="str">
        <f t="shared" si="547"/>
        <v/>
      </c>
      <c r="V469" s="268" t="str">
        <f t="shared" si="547"/>
        <v/>
      </c>
      <c r="W469" s="268" t="str">
        <f t="shared" si="547"/>
        <v/>
      </c>
      <c r="X469" s="268" t="str">
        <f t="shared" si="547"/>
        <v/>
      </c>
      <c r="Y469" s="268" t="str">
        <f t="shared" si="547"/>
        <v/>
      </c>
      <c r="Z469" s="268" t="str">
        <f t="shared" si="547"/>
        <v/>
      </c>
      <c r="AA469" s="268" t="str">
        <f t="shared" si="547"/>
        <v/>
      </c>
      <c r="AB469" s="268" t="str">
        <f t="shared" si="547"/>
        <v/>
      </c>
      <c r="AC469" s="268" t="str">
        <f t="shared" si="547"/>
        <v/>
      </c>
      <c r="AD469" s="268" t="str">
        <f t="shared" si="547"/>
        <v/>
      </c>
      <c r="AE469" s="268" t="str">
        <f t="shared" si="547"/>
        <v/>
      </c>
      <c r="AF469" s="268" t="str">
        <f t="shared" si="547"/>
        <v/>
      </c>
      <c r="AG469" s="268" t="str">
        <f t="shared" si="547"/>
        <v/>
      </c>
      <c r="AH469" s="268" t="str">
        <f t="shared" si="547"/>
        <v/>
      </c>
      <c r="AI469" s="268" t="str">
        <f t="shared" si="547"/>
        <v/>
      </c>
      <c r="AJ469" s="268" t="str">
        <f t="shared" si="547"/>
        <v/>
      </c>
      <c r="AK469" s="268" t="str">
        <f t="shared" si="547"/>
        <v/>
      </c>
      <c r="AL469" s="268" t="str">
        <f t="shared" si="547"/>
        <v/>
      </c>
      <c r="AM469" s="268" t="str">
        <f t="shared" si="547"/>
        <v/>
      </c>
      <c r="AN469" s="268">
        <f t="shared" si="547"/>
        <v>3516</v>
      </c>
      <c r="AO469" s="268" t="str">
        <f t="shared" si="547"/>
        <v/>
      </c>
      <c r="AP469" s="268" t="str">
        <f t="shared" si="547"/>
        <v/>
      </c>
      <c r="AQ469" s="268" t="str">
        <f t="shared" si="547"/>
        <v/>
      </c>
      <c r="AR469" s="268" t="str">
        <f t="shared" si="547"/>
        <v/>
      </c>
      <c r="AS469" s="268" t="str">
        <f t="shared" si="547"/>
        <v/>
      </c>
      <c r="AT469" s="268" t="str">
        <f t="shared" si="547"/>
        <v/>
      </c>
      <c r="AU469" s="268" t="str">
        <f t="shared" si="547"/>
        <v/>
      </c>
      <c r="AV469" s="268" t="str">
        <f t="shared" si="547"/>
        <v/>
      </c>
      <c r="AW469" s="268" t="str">
        <f t="shared" si="547"/>
        <v/>
      </c>
      <c r="AX469" s="268" t="str">
        <f t="shared" si="547"/>
        <v/>
      </c>
      <c r="AY469" s="268" t="str">
        <f t="shared" si="547"/>
        <v/>
      </c>
      <c r="AZ469" s="268" t="str">
        <f t="shared" si="547"/>
        <v/>
      </c>
      <c r="BA469" s="268" t="str">
        <f t="shared" si="547"/>
        <v/>
      </c>
      <c r="BB469" s="268" t="str">
        <f t="shared" si="547"/>
        <v/>
      </c>
      <c r="BC469" s="268" t="str">
        <f t="shared" si="547"/>
        <v/>
      </c>
      <c r="BD469" s="268" t="str">
        <f t="shared" si="547"/>
        <v/>
      </c>
      <c r="BE469" s="268" t="str">
        <f t="shared" si="547"/>
        <v/>
      </c>
      <c r="BF469" s="268" t="str">
        <f t="shared" si="547"/>
        <v/>
      </c>
      <c r="BG469" s="268" t="str">
        <f t="shared" si="547"/>
        <v/>
      </c>
      <c r="BH469" s="268" t="str">
        <f t="shared" si="547"/>
        <v/>
      </c>
      <c r="BI469" s="268" t="str">
        <f t="shared" si="547"/>
        <v/>
      </c>
      <c r="BJ469" s="268" t="str">
        <f t="shared" si="547"/>
        <v/>
      </c>
      <c r="BK469" s="268" t="str">
        <f t="shared" si="547"/>
        <v/>
      </c>
      <c r="BL469" s="268" t="str">
        <f t="shared" si="547"/>
        <v/>
      </c>
      <c r="BM469" s="268" t="str">
        <f t="shared" si="547"/>
        <v/>
      </c>
      <c r="BN469" s="268" t="str">
        <f t="shared" si="547"/>
        <v/>
      </c>
      <c r="BO469" s="268" t="str">
        <f t="shared" si="547"/>
        <v/>
      </c>
      <c r="BP469" s="268" t="str">
        <f t="shared" si="547"/>
        <v/>
      </c>
      <c r="BQ469" s="268" t="str">
        <f t="shared" si="547"/>
        <v/>
      </c>
      <c r="BR469" s="268" t="str">
        <f t="shared" si="547"/>
        <v/>
      </c>
      <c r="BS469" s="268" t="str">
        <f t="shared" si="547"/>
        <v/>
      </c>
      <c r="BT469" s="268" t="str">
        <f t="shared" si="547"/>
        <v/>
      </c>
      <c r="BU469" s="268" t="str">
        <f t="shared" si="526"/>
        <v/>
      </c>
      <c r="BV469" s="247">
        <v>0.94</v>
      </c>
      <c r="BW469" s="729">
        <f t="shared" si="537"/>
        <v>3305.04</v>
      </c>
      <c r="BX469" s="730">
        <f t="shared" si="538"/>
        <v>25614.06</v>
      </c>
      <c r="BY469" s="731" t="str">
        <f t="shared" si="539"/>
        <v>SR</v>
      </c>
    </row>
    <row r="470" s="698" customFormat="1" customHeight="1" spans="1:77">
      <c r="A470" s="208">
        <v>46115</v>
      </c>
      <c r="B470" s="208">
        <v>46176</v>
      </c>
      <c r="C470" s="211" t="s">
        <v>630</v>
      </c>
      <c r="D470" s="211" t="s">
        <v>631</v>
      </c>
      <c r="E470" s="211" t="s">
        <v>83</v>
      </c>
      <c r="F470" s="732">
        <v>348</v>
      </c>
      <c r="G470" s="211" t="s">
        <v>253</v>
      </c>
      <c r="H470" s="211" t="str">
        <f>IFERROR(VLOOKUP(E470,名称!A:E,4,0),"")</f>
        <v>三代</v>
      </c>
      <c r="I470" s="268" t="str">
        <f t="shared" ref="I470:BT470" si="548">IF(OR($E470="",I$1=""),"",IF(TRIM(LEFT($E470,MIN(IFERROR(FIND("CDU",UPPER($E470)),999),IFERROR(FIND("BULK",UPPER($E470)),999),IFERROR(FIND("-",$E470),999),IFERROR(FIND("（",$E470),999))-1))=I$1,$F470,""))</f>
        <v/>
      </c>
      <c r="J470" s="268" t="str">
        <f t="shared" si="548"/>
        <v/>
      </c>
      <c r="K470" s="268" t="str">
        <f t="shared" si="548"/>
        <v/>
      </c>
      <c r="L470" s="268" t="str">
        <f t="shared" si="548"/>
        <v/>
      </c>
      <c r="M470" s="268" t="str">
        <f t="shared" si="548"/>
        <v/>
      </c>
      <c r="N470" s="268" t="str">
        <f t="shared" si="548"/>
        <v/>
      </c>
      <c r="O470" s="268" t="str">
        <f t="shared" si="548"/>
        <v/>
      </c>
      <c r="P470" s="268" t="str">
        <f t="shared" si="548"/>
        <v/>
      </c>
      <c r="Q470" s="268" t="str">
        <f t="shared" si="548"/>
        <v/>
      </c>
      <c r="R470" s="268" t="str">
        <f t="shared" si="548"/>
        <v/>
      </c>
      <c r="S470" s="268" t="str">
        <f t="shared" si="548"/>
        <v/>
      </c>
      <c r="T470" s="268" t="str">
        <f t="shared" si="548"/>
        <v/>
      </c>
      <c r="U470" s="268" t="str">
        <f t="shared" si="548"/>
        <v/>
      </c>
      <c r="V470" s="268" t="str">
        <f t="shared" si="548"/>
        <v/>
      </c>
      <c r="W470" s="268" t="str">
        <f t="shared" si="548"/>
        <v/>
      </c>
      <c r="X470" s="268" t="str">
        <f t="shared" si="548"/>
        <v/>
      </c>
      <c r="Y470" s="268" t="str">
        <f t="shared" si="548"/>
        <v/>
      </c>
      <c r="Z470" s="268" t="str">
        <f t="shared" si="548"/>
        <v/>
      </c>
      <c r="AA470" s="268" t="str">
        <f t="shared" si="548"/>
        <v/>
      </c>
      <c r="AB470" s="268" t="str">
        <f t="shared" si="548"/>
        <v/>
      </c>
      <c r="AC470" s="268" t="str">
        <f t="shared" si="548"/>
        <v/>
      </c>
      <c r="AD470" s="268" t="str">
        <f t="shared" si="548"/>
        <v/>
      </c>
      <c r="AE470" s="268" t="str">
        <f t="shared" si="548"/>
        <v/>
      </c>
      <c r="AF470" s="268" t="str">
        <f t="shared" si="548"/>
        <v/>
      </c>
      <c r="AG470" s="268" t="str">
        <f t="shared" si="548"/>
        <v/>
      </c>
      <c r="AH470" s="268" t="str">
        <f t="shared" si="548"/>
        <v/>
      </c>
      <c r="AI470" s="268" t="str">
        <f t="shared" si="548"/>
        <v/>
      </c>
      <c r="AJ470" s="268" t="str">
        <f t="shared" si="548"/>
        <v/>
      </c>
      <c r="AK470" s="268" t="str">
        <f t="shared" si="548"/>
        <v/>
      </c>
      <c r="AL470" s="268" t="str">
        <f t="shared" si="548"/>
        <v/>
      </c>
      <c r="AM470" s="268" t="str">
        <f t="shared" si="548"/>
        <v/>
      </c>
      <c r="AN470" s="268">
        <f t="shared" si="548"/>
        <v>348</v>
      </c>
      <c r="AO470" s="268" t="str">
        <f t="shared" si="548"/>
        <v/>
      </c>
      <c r="AP470" s="268" t="str">
        <f t="shared" si="548"/>
        <v/>
      </c>
      <c r="AQ470" s="268" t="str">
        <f t="shared" si="548"/>
        <v/>
      </c>
      <c r="AR470" s="268" t="str">
        <f t="shared" si="548"/>
        <v/>
      </c>
      <c r="AS470" s="268" t="str">
        <f t="shared" si="548"/>
        <v/>
      </c>
      <c r="AT470" s="268" t="str">
        <f t="shared" si="548"/>
        <v/>
      </c>
      <c r="AU470" s="268" t="str">
        <f t="shared" si="548"/>
        <v/>
      </c>
      <c r="AV470" s="268" t="str">
        <f t="shared" si="548"/>
        <v/>
      </c>
      <c r="AW470" s="268" t="str">
        <f t="shared" si="548"/>
        <v/>
      </c>
      <c r="AX470" s="268" t="str">
        <f t="shared" si="548"/>
        <v/>
      </c>
      <c r="AY470" s="268" t="str">
        <f t="shared" si="548"/>
        <v/>
      </c>
      <c r="AZ470" s="268" t="str">
        <f t="shared" si="548"/>
        <v/>
      </c>
      <c r="BA470" s="268" t="str">
        <f t="shared" si="548"/>
        <v/>
      </c>
      <c r="BB470" s="268" t="str">
        <f t="shared" si="548"/>
        <v/>
      </c>
      <c r="BC470" s="268" t="str">
        <f t="shared" si="548"/>
        <v/>
      </c>
      <c r="BD470" s="268" t="str">
        <f t="shared" si="548"/>
        <v/>
      </c>
      <c r="BE470" s="268" t="str">
        <f t="shared" si="548"/>
        <v/>
      </c>
      <c r="BF470" s="268" t="str">
        <f t="shared" si="548"/>
        <v/>
      </c>
      <c r="BG470" s="268" t="str">
        <f t="shared" si="548"/>
        <v/>
      </c>
      <c r="BH470" s="268" t="str">
        <f t="shared" si="548"/>
        <v/>
      </c>
      <c r="BI470" s="268" t="str">
        <f t="shared" si="548"/>
        <v/>
      </c>
      <c r="BJ470" s="268" t="str">
        <f t="shared" si="548"/>
        <v/>
      </c>
      <c r="BK470" s="268" t="str">
        <f t="shared" si="548"/>
        <v/>
      </c>
      <c r="BL470" s="268" t="str">
        <f t="shared" si="548"/>
        <v/>
      </c>
      <c r="BM470" s="268" t="str">
        <f t="shared" si="548"/>
        <v/>
      </c>
      <c r="BN470" s="268" t="str">
        <f t="shared" si="548"/>
        <v/>
      </c>
      <c r="BO470" s="268" t="str">
        <f t="shared" si="548"/>
        <v/>
      </c>
      <c r="BP470" s="268" t="str">
        <f t="shared" si="548"/>
        <v/>
      </c>
      <c r="BQ470" s="268" t="str">
        <f t="shared" si="548"/>
        <v/>
      </c>
      <c r="BR470" s="268" t="str">
        <f t="shared" si="548"/>
        <v/>
      </c>
      <c r="BS470" s="268" t="str">
        <f t="shared" si="548"/>
        <v/>
      </c>
      <c r="BT470" s="268" t="str">
        <f t="shared" si="548"/>
        <v/>
      </c>
      <c r="BU470" s="268" t="str">
        <f t="shared" si="526"/>
        <v/>
      </c>
      <c r="BV470" s="247">
        <v>0.94</v>
      </c>
      <c r="BW470" s="729">
        <f t="shared" si="537"/>
        <v>327.12</v>
      </c>
      <c r="BX470" s="730">
        <f t="shared" si="538"/>
        <v>2535.18</v>
      </c>
      <c r="BY470" s="731" t="str">
        <f t="shared" si="539"/>
        <v>SR</v>
      </c>
    </row>
    <row r="471" s="698" customFormat="1" customHeight="1" spans="1:77">
      <c r="A471" s="208">
        <v>46115</v>
      </c>
      <c r="B471" s="208">
        <v>46190</v>
      </c>
      <c r="C471" s="211" t="s">
        <v>632</v>
      </c>
      <c r="D471" s="211" t="s">
        <v>633</v>
      </c>
      <c r="E471" s="211" t="s">
        <v>83</v>
      </c>
      <c r="F471" s="732">
        <v>348</v>
      </c>
      <c r="G471" s="211" t="s">
        <v>253</v>
      </c>
      <c r="H471" s="211" t="str">
        <f>IFERROR(VLOOKUP(E471,名称!A:E,4,0),"")</f>
        <v>三代</v>
      </c>
      <c r="I471" s="268" t="str">
        <f t="shared" ref="I471:BT471" si="549">IF(OR($E471="",I$1=""),"",IF(TRIM(LEFT($E471,MIN(IFERROR(FIND("CDU",UPPER($E471)),999),IFERROR(FIND("BULK",UPPER($E471)),999),IFERROR(FIND("-",$E471),999),IFERROR(FIND("（",$E471),999))-1))=I$1,$F471,""))</f>
        <v/>
      </c>
      <c r="J471" s="268" t="str">
        <f t="shared" si="549"/>
        <v/>
      </c>
      <c r="K471" s="268" t="str">
        <f t="shared" si="549"/>
        <v/>
      </c>
      <c r="L471" s="268" t="str">
        <f t="shared" si="549"/>
        <v/>
      </c>
      <c r="M471" s="268" t="str">
        <f t="shared" si="549"/>
        <v/>
      </c>
      <c r="N471" s="268" t="str">
        <f t="shared" si="549"/>
        <v/>
      </c>
      <c r="O471" s="268" t="str">
        <f t="shared" si="549"/>
        <v/>
      </c>
      <c r="P471" s="268" t="str">
        <f t="shared" si="549"/>
        <v/>
      </c>
      <c r="Q471" s="268" t="str">
        <f t="shared" si="549"/>
        <v/>
      </c>
      <c r="R471" s="268" t="str">
        <f t="shared" si="549"/>
        <v/>
      </c>
      <c r="S471" s="268" t="str">
        <f t="shared" si="549"/>
        <v/>
      </c>
      <c r="T471" s="268" t="str">
        <f t="shared" si="549"/>
        <v/>
      </c>
      <c r="U471" s="268" t="str">
        <f t="shared" si="549"/>
        <v/>
      </c>
      <c r="V471" s="268" t="str">
        <f t="shared" si="549"/>
        <v/>
      </c>
      <c r="W471" s="268" t="str">
        <f t="shared" si="549"/>
        <v/>
      </c>
      <c r="X471" s="268" t="str">
        <f t="shared" si="549"/>
        <v/>
      </c>
      <c r="Y471" s="268" t="str">
        <f t="shared" si="549"/>
        <v/>
      </c>
      <c r="Z471" s="268" t="str">
        <f t="shared" si="549"/>
        <v/>
      </c>
      <c r="AA471" s="268" t="str">
        <f t="shared" si="549"/>
        <v/>
      </c>
      <c r="AB471" s="268" t="str">
        <f t="shared" si="549"/>
        <v/>
      </c>
      <c r="AC471" s="268" t="str">
        <f t="shared" si="549"/>
        <v/>
      </c>
      <c r="AD471" s="268" t="str">
        <f t="shared" si="549"/>
        <v/>
      </c>
      <c r="AE471" s="268" t="str">
        <f t="shared" si="549"/>
        <v/>
      </c>
      <c r="AF471" s="268" t="str">
        <f t="shared" si="549"/>
        <v/>
      </c>
      <c r="AG471" s="268" t="str">
        <f t="shared" si="549"/>
        <v/>
      </c>
      <c r="AH471" s="268" t="str">
        <f t="shared" si="549"/>
        <v/>
      </c>
      <c r="AI471" s="268" t="str">
        <f t="shared" si="549"/>
        <v/>
      </c>
      <c r="AJ471" s="268" t="str">
        <f t="shared" si="549"/>
        <v/>
      </c>
      <c r="AK471" s="268" t="str">
        <f t="shared" si="549"/>
        <v/>
      </c>
      <c r="AL471" s="268" t="str">
        <f t="shared" si="549"/>
        <v/>
      </c>
      <c r="AM471" s="268" t="str">
        <f t="shared" si="549"/>
        <v/>
      </c>
      <c r="AN471" s="268">
        <f t="shared" si="549"/>
        <v>348</v>
      </c>
      <c r="AO471" s="268" t="str">
        <f t="shared" si="549"/>
        <v/>
      </c>
      <c r="AP471" s="268" t="str">
        <f t="shared" si="549"/>
        <v/>
      </c>
      <c r="AQ471" s="268" t="str">
        <f t="shared" si="549"/>
        <v/>
      </c>
      <c r="AR471" s="268" t="str">
        <f t="shared" si="549"/>
        <v/>
      </c>
      <c r="AS471" s="268" t="str">
        <f t="shared" si="549"/>
        <v/>
      </c>
      <c r="AT471" s="268" t="str">
        <f t="shared" si="549"/>
        <v/>
      </c>
      <c r="AU471" s="268" t="str">
        <f t="shared" si="549"/>
        <v/>
      </c>
      <c r="AV471" s="268" t="str">
        <f t="shared" si="549"/>
        <v/>
      </c>
      <c r="AW471" s="268" t="str">
        <f t="shared" si="549"/>
        <v/>
      </c>
      <c r="AX471" s="268" t="str">
        <f t="shared" si="549"/>
        <v/>
      </c>
      <c r="AY471" s="268" t="str">
        <f t="shared" si="549"/>
        <v/>
      </c>
      <c r="AZ471" s="268" t="str">
        <f t="shared" si="549"/>
        <v/>
      </c>
      <c r="BA471" s="268" t="str">
        <f t="shared" si="549"/>
        <v/>
      </c>
      <c r="BB471" s="268" t="str">
        <f t="shared" si="549"/>
        <v/>
      </c>
      <c r="BC471" s="268" t="str">
        <f t="shared" si="549"/>
        <v/>
      </c>
      <c r="BD471" s="268" t="str">
        <f t="shared" si="549"/>
        <v/>
      </c>
      <c r="BE471" s="268" t="str">
        <f t="shared" si="549"/>
        <v/>
      </c>
      <c r="BF471" s="268" t="str">
        <f t="shared" si="549"/>
        <v/>
      </c>
      <c r="BG471" s="268" t="str">
        <f t="shared" si="549"/>
        <v/>
      </c>
      <c r="BH471" s="268" t="str">
        <f t="shared" si="549"/>
        <v/>
      </c>
      <c r="BI471" s="268" t="str">
        <f t="shared" si="549"/>
        <v/>
      </c>
      <c r="BJ471" s="268" t="str">
        <f t="shared" si="549"/>
        <v/>
      </c>
      <c r="BK471" s="268" t="str">
        <f t="shared" si="549"/>
        <v/>
      </c>
      <c r="BL471" s="268" t="str">
        <f t="shared" si="549"/>
        <v/>
      </c>
      <c r="BM471" s="268" t="str">
        <f t="shared" si="549"/>
        <v/>
      </c>
      <c r="BN471" s="268" t="str">
        <f t="shared" si="549"/>
        <v/>
      </c>
      <c r="BO471" s="268" t="str">
        <f t="shared" si="549"/>
        <v/>
      </c>
      <c r="BP471" s="268" t="str">
        <f t="shared" si="549"/>
        <v/>
      </c>
      <c r="BQ471" s="268" t="str">
        <f t="shared" si="549"/>
        <v/>
      </c>
      <c r="BR471" s="268" t="str">
        <f t="shared" si="549"/>
        <v/>
      </c>
      <c r="BS471" s="268" t="str">
        <f t="shared" si="549"/>
        <v/>
      </c>
      <c r="BT471" s="268" t="str">
        <f t="shared" si="549"/>
        <v/>
      </c>
      <c r="BU471" s="268" t="str">
        <f t="shared" si="526"/>
        <v/>
      </c>
      <c r="BV471" s="247">
        <v>0.94</v>
      </c>
      <c r="BW471" s="729">
        <f t="shared" si="537"/>
        <v>327.12</v>
      </c>
      <c r="BX471" s="730">
        <f t="shared" si="538"/>
        <v>2535.18</v>
      </c>
      <c r="BY471" s="731" t="str">
        <f t="shared" si="539"/>
        <v>SR</v>
      </c>
    </row>
    <row r="472" s="698" customFormat="1" customHeight="1" spans="1:77">
      <c r="A472" s="208">
        <v>46115</v>
      </c>
      <c r="B472" s="208">
        <v>46218</v>
      </c>
      <c r="C472" s="211" t="s">
        <v>634</v>
      </c>
      <c r="D472" s="211" t="s">
        <v>635</v>
      </c>
      <c r="E472" s="211" t="s">
        <v>83</v>
      </c>
      <c r="F472" s="732">
        <v>1140</v>
      </c>
      <c r="G472" s="211" t="s">
        <v>253</v>
      </c>
      <c r="H472" s="211" t="str">
        <f>IFERROR(VLOOKUP(E472,名称!A:E,4,0),"")</f>
        <v>三代</v>
      </c>
      <c r="I472" s="268" t="str">
        <f t="shared" ref="I472:BT472" si="550">IF(OR($E472="",I$1=""),"",IF(TRIM(LEFT($E472,MIN(IFERROR(FIND("CDU",UPPER($E472)),999),IFERROR(FIND("BULK",UPPER($E472)),999),IFERROR(FIND("-",$E472),999),IFERROR(FIND("（",$E472),999))-1))=I$1,$F472,""))</f>
        <v/>
      </c>
      <c r="J472" s="268" t="str">
        <f t="shared" si="550"/>
        <v/>
      </c>
      <c r="K472" s="268" t="str">
        <f t="shared" si="550"/>
        <v/>
      </c>
      <c r="L472" s="268" t="str">
        <f t="shared" si="550"/>
        <v/>
      </c>
      <c r="M472" s="268" t="str">
        <f t="shared" si="550"/>
        <v/>
      </c>
      <c r="N472" s="268" t="str">
        <f t="shared" si="550"/>
        <v/>
      </c>
      <c r="O472" s="268" t="str">
        <f t="shared" si="550"/>
        <v/>
      </c>
      <c r="P472" s="268" t="str">
        <f t="shared" si="550"/>
        <v/>
      </c>
      <c r="Q472" s="268" t="str">
        <f t="shared" si="550"/>
        <v/>
      </c>
      <c r="R472" s="268" t="str">
        <f t="shared" si="550"/>
        <v/>
      </c>
      <c r="S472" s="268" t="str">
        <f t="shared" si="550"/>
        <v/>
      </c>
      <c r="T472" s="268" t="str">
        <f t="shared" si="550"/>
        <v/>
      </c>
      <c r="U472" s="268" t="str">
        <f t="shared" si="550"/>
        <v/>
      </c>
      <c r="V472" s="268" t="str">
        <f t="shared" si="550"/>
        <v/>
      </c>
      <c r="W472" s="268" t="str">
        <f t="shared" si="550"/>
        <v/>
      </c>
      <c r="X472" s="268" t="str">
        <f t="shared" si="550"/>
        <v/>
      </c>
      <c r="Y472" s="268" t="str">
        <f t="shared" si="550"/>
        <v/>
      </c>
      <c r="Z472" s="268" t="str">
        <f t="shared" si="550"/>
        <v/>
      </c>
      <c r="AA472" s="268" t="str">
        <f t="shared" si="550"/>
        <v/>
      </c>
      <c r="AB472" s="268" t="str">
        <f t="shared" si="550"/>
        <v/>
      </c>
      <c r="AC472" s="268" t="str">
        <f t="shared" si="550"/>
        <v/>
      </c>
      <c r="AD472" s="268" t="str">
        <f t="shared" si="550"/>
        <v/>
      </c>
      <c r="AE472" s="268" t="str">
        <f t="shared" si="550"/>
        <v/>
      </c>
      <c r="AF472" s="268" t="str">
        <f t="shared" si="550"/>
        <v/>
      </c>
      <c r="AG472" s="268" t="str">
        <f t="shared" si="550"/>
        <v/>
      </c>
      <c r="AH472" s="268" t="str">
        <f t="shared" si="550"/>
        <v/>
      </c>
      <c r="AI472" s="268" t="str">
        <f t="shared" si="550"/>
        <v/>
      </c>
      <c r="AJ472" s="268" t="str">
        <f t="shared" si="550"/>
        <v/>
      </c>
      <c r="AK472" s="268" t="str">
        <f t="shared" si="550"/>
        <v/>
      </c>
      <c r="AL472" s="268" t="str">
        <f t="shared" si="550"/>
        <v/>
      </c>
      <c r="AM472" s="268" t="str">
        <f t="shared" si="550"/>
        <v/>
      </c>
      <c r="AN472" s="268">
        <f t="shared" si="550"/>
        <v>1140</v>
      </c>
      <c r="AO472" s="268" t="str">
        <f t="shared" si="550"/>
        <v/>
      </c>
      <c r="AP472" s="268" t="str">
        <f t="shared" si="550"/>
        <v/>
      </c>
      <c r="AQ472" s="268" t="str">
        <f t="shared" si="550"/>
        <v/>
      </c>
      <c r="AR472" s="268" t="str">
        <f t="shared" si="550"/>
        <v/>
      </c>
      <c r="AS472" s="268" t="str">
        <f t="shared" si="550"/>
        <v/>
      </c>
      <c r="AT472" s="268" t="str">
        <f t="shared" si="550"/>
        <v/>
      </c>
      <c r="AU472" s="268" t="str">
        <f t="shared" si="550"/>
        <v/>
      </c>
      <c r="AV472" s="268" t="str">
        <f t="shared" si="550"/>
        <v/>
      </c>
      <c r="AW472" s="268" t="str">
        <f t="shared" si="550"/>
        <v/>
      </c>
      <c r="AX472" s="268" t="str">
        <f t="shared" si="550"/>
        <v/>
      </c>
      <c r="AY472" s="268" t="str">
        <f t="shared" si="550"/>
        <v/>
      </c>
      <c r="AZ472" s="268" t="str">
        <f t="shared" si="550"/>
        <v/>
      </c>
      <c r="BA472" s="268" t="str">
        <f t="shared" si="550"/>
        <v/>
      </c>
      <c r="BB472" s="268" t="str">
        <f t="shared" si="550"/>
        <v/>
      </c>
      <c r="BC472" s="268" t="str">
        <f t="shared" si="550"/>
        <v/>
      </c>
      <c r="BD472" s="268" t="str">
        <f t="shared" si="550"/>
        <v/>
      </c>
      <c r="BE472" s="268" t="str">
        <f t="shared" si="550"/>
        <v/>
      </c>
      <c r="BF472" s="268" t="str">
        <f t="shared" si="550"/>
        <v/>
      </c>
      <c r="BG472" s="268" t="str">
        <f t="shared" si="550"/>
        <v/>
      </c>
      <c r="BH472" s="268" t="str">
        <f t="shared" si="550"/>
        <v/>
      </c>
      <c r="BI472" s="268" t="str">
        <f t="shared" si="550"/>
        <v/>
      </c>
      <c r="BJ472" s="268" t="str">
        <f t="shared" si="550"/>
        <v/>
      </c>
      <c r="BK472" s="268" t="str">
        <f t="shared" si="550"/>
        <v/>
      </c>
      <c r="BL472" s="268" t="str">
        <f t="shared" si="550"/>
        <v/>
      </c>
      <c r="BM472" s="268" t="str">
        <f t="shared" si="550"/>
        <v/>
      </c>
      <c r="BN472" s="268" t="str">
        <f t="shared" si="550"/>
        <v/>
      </c>
      <c r="BO472" s="268" t="str">
        <f t="shared" si="550"/>
        <v/>
      </c>
      <c r="BP472" s="268" t="str">
        <f t="shared" si="550"/>
        <v/>
      </c>
      <c r="BQ472" s="268" t="str">
        <f t="shared" si="550"/>
        <v/>
      </c>
      <c r="BR472" s="268" t="str">
        <f t="shared" si="550"/>
        <v/>
      </c>
      <c r="BS472" s="268" t="str">
        <f t="shared" si="550"/>
        <v/>
      </c>
      <c r="BT472" s="268" t="str">
        <f t="shared" si="550"/>
        <v/>
      </c>
      <c r="BU472" s="268" t="str">
        <f t="shared" si="526"/>
        <v/>
      </c>
      <c r="BV472" s="247">
        <v>0.94</v>
      </c>
      <c r="BW472" s="729">
        <f t="shared" si="537"/>
        <v>1071.6</v>
      </c>
      <c r="BX472" s="730">
        <f t="shared" si="538"/>
        <v>8304.9</v>
      </c>
      <c r="BY472" s="731" t="str">
        <f t="shared" si="539"/>
        <v>SR</v>
      </c>
    </row>
    <row r="473" s="697" customFormat="1" customHeight="1" spans="1:77">
      <c r="A473" s="116">
        <v>46115</v>
      </c>
      <c r="B473" s="116">
        <v>46232</v>
      </c>
      <c r="C473" s="118" t="s">
        <v>636</v>
      </c>
      <c r="D473" s="118" t="s">
        <v>637</v>
      </c>
      <c r="E473" s="118" t="s">
        <v>83</v>
      </c>
      <c r="F473" s="726">
        <v>1680</v>
      </c>
      <c r="G473" s="118" t="s">
        <v>253</v>
      </c>
      <c r="H473" s="118" t="str">
        <f>IFERROR(VLOOKUP(E473,名称!A:E,4,0),"")</f>
        <v>三代</v>
      </c>
      <c r="I473" s="418" t="str">
        <f t="shared" ref="I473:BT473" si="551">IF(OR($E473="",I$1=""),"",IF(TRIM(LEFT($E473,MIN(IFERROR(FIND("CDU",UPPER($E473)),999),IFERROR(FIND("BULK",UPPER($E473)),999),IFERROR(FIND("-",$E473),999),IFERROR(FIND("（",$E473),999))-1))=I$1,$F473,""))</f>
        <v/>
      </c>
      <c r="J473" s="418" t="str">
        <f t="shared" si="551"/>
        <v/>
      </c>
      <c r="K473" s="418" t="str">
        <f t="shared" si="551"/>
        <v/>
      </c>
      <c r="L473" s="418" t="str">
        <f t="shared" si="551"/>
        <v/>
      </c>
      <c r="M473" s="418" t="str">
        <f t="shared" si="551"/>
        <v/>
      </c>
      <c r="N473" s="418" t="str">
        <f t="shared" si="551"/>
        <v/>
      </c>
      <c r="O473" s="418" t="str">
        <f t="shared" si="551"/>
        <v/>
      </c>
      <c r="P473" s="418" t="str">
        <f t="shared" si="551"/>
        <v/>
      </c>
      <c r="Q473" s="418" t="str">
        <f t="shared" si="551"/>
        <v/>
      </c>
      <c r="R473" s="418" t="str">
        <f t="shared" si="551"/>
        <v/>
      </c>
      <c r="S473" s="418" t="str">
        <f t="shared" si="551"/>
        <v/>
      </c>
      <c r="T473" s="418" t="str">
        <f t="shared" si="551"/>
        <v/>
      </c>
      <c r="U473" s="418" t="str">
        <f t="shared" si="551"/>
        <v/>
      </c>
      <c r="V473" s="418" t="str">
        <f t="shared" si="551"/>
        <v/>
      </c>
      <c r="W473" s="418" t="str">
        <f t="shared" si="551"/>
        <v/>
      </c>
      <c r="X473" s="418" t="str">
        <f t="shared" si="551"/>
        <v/>
      </c>
      <c r="Y473" s="418" t="str">
        <f t="shared" si="551"/>
        <v/>
      </c>
      <c r="Z473" s="418" t="str">
        <f t="shared" si="551"/>
        <v/>
      </c>
      <c r="AA473" s="418" t="str">
        <f t="shared" si="551"/>
        <v/>
      </c>
      <c r="AB473" s="418" t="str">
        <f t="shared" si="551"/>
        <v/>
      </c>
      <c r="AC473" s="418" t="str">
        <f t="shared" si="551"/>
        <v/>
      </c>
      <c r="AD473" s="418" t="str">
        <f t="shared" si="551"/>
        <v/>
      </c>
      <c r="AE473" s="418" t="str">
        <f t="shared" si="551"/>
        <v/>
      </c>
      <c r="AF473" s="418" t="str">
        <f t="shared" si="551"/>
        <v/>
      </c>
      <c r="AG473" s="418" t="str">
        <f t="shared" si="551"/>
        <v/>
      </c>
      <c r="AH473" s="418" t="str">
        <f t="shared" si="551"/>
        <v/>
      </c>
      <c r="AI473" s="418" t="str">
        <f t="shared" si="551"/>
        <v/>
      </c>
      <c r="AJ473" s="418" t="str">
        <f t="shared" si="551"/>
        <v/>
      </c>
      <c r="AK473" s="418" t="str">
        <f t="shared" si="551"/>
        <v/>
      </c>
      <c r="AL473" s="418" t="str">
        <f t="shared" si="551"/>
        <v/>
      </c>
      <c r="AM473" s="418" t="str">
        <f t="shared" si="551"/>
        <v/>
      </c>
      <c r="AN473" s="418">
        <f t="shared" si="551"/>
        <v>1680</v>
      </c>
      <c r="AO473" s="418" t="str">
        <f t="shared" si="551"/>
        <v/>
      </c>
      <c r="AP473" s="418" t="str">
        <f t="shared" si="551"/>
        <v/>
      </c>
      <c r="AQ473" s="418" t="str">
        <f t="shared" si="551"/>
        <v/>
      </c>
      <c r="AR473" s="418" t="str">
        <f t="shared" si="551"/>
        <v/>
      </c>
      <c r="AS473" s="418" t="str">
        <f t="shared" si="551"/>
        <v/>
      </c>
      <c r="AT473" s="418" t="str">
        <f t="shared" si="551"/>
        <v/>
      </c>
      <c r="AU473" s="418" t="str">
        <f t="shared" si="551"/>
        <v/>
      </c>
      <c r="AV473" s="418" t="str">
        <f t="shared" si="551"/>
        <v/>
      </c>
      <c r="AW473" s="418" t="str">
        <f t="shared" si="551"/>
        <v/>
      </c>
      <c r="AX473" s="418" t="str">
        <f t="shared" si="551"/>
        <v/>
      </c>
      <c r="AY473" s="418" t="str">
        <f t="shared" si="551"/>
        <v/>
      </c>
      <c r="AZ473" s="418" t="str">
        <f t="shared" si="551"/>
        <v/>
      </c>
      <c r="BA473" s="418" t="str">
        <f t="shared" si="551"/>
        <v/>
      </c>
      <c r="BB473" s="418" t="str">
        <f t="shared" si="551"/>
        <v/>
      </c>
      <c r="BC473" s="418" t="str">
        <f t="shared" si="551"/>
        <v/>
      </c>
      <c r="BD473" s="418" t="str">
        <f t="shared" si="551"/>
        <v/>
      </c>
      <c r="BE473" s="418" t="str">
        <f t="shared" si="551"/>
        <v/>
      </c>
      <c r="BF473" s="418" t="str">
        <f t="shared" si="551"/>
        <v/>
      </c>
      <c r="BG473" s="418" t="str">
        <f t="shared" si="551"/>
        <v/>
      </c>
      <c r="BH473" s="418" t="str">
        <f t="shared" si="551"/>
        <v/>
      </c>
      <c r="BI473" s="418" t="str">
        <f t="shared" si="551"/>
        <v/>
      </c>
      <c r="BJ473" s="418" t="str">
        <f t="shared" si="551"/>
        <v/>
      </c>
      <c r="BK473" s="418" t="str">
        <f t="shared" si="551"/>
        <v/>
      </c>
      <c r="BL473" s="418" t="str">
        <f t="shared" si="551"/>
        <v/>
      </c>
      <c r="BM473" s="418" t="str">
        <f t="shared" si="551"/>
        <v/>
      </c>
      <c r="BN473" s="418" t="str">
        <f t="shared" si="551"/>
        <v/>
      </c>
      <c r="BO473" s="418" t="str">
        <f t="shared" si="551"/>
        <v/>
      </c>
      <c r="BP473" s="418" t="str">
        <f t="shared" si="551"/>
        <v/>
      </c>
      <c r="BQ473" s="418" t="str">
        <f t="shared" si="551"/>
        <v/>
      </c>
      <c r="BR473" s="418" t="str">
        <f t="shared" si="551"/>
        <v/>
      </c>
      <c r="BS473" s="418" t="str">
        <f t="shared" si="551"/>
        <v/>
      </c>
      <c r="BT473" s="418" t="str">
        <f t="shared" si="551"/>
        <v/>
      </c>
      <c r="BU473" s="418" t="str">
        <f t="shared" si="526"/>
        <v/>
      </c>
      <c r="BV473" s="544">
        <v>0.83</v>
      </c>
      <c r="BW473" s="723">
        <f t="shared" si="537"/>
        <v>1394.4</v>
      </c>
      <c r="BX473" s="724">
        <f t="shared" si="538"/>
        <v>10806.6</v>
      </c>
      <c r="BY473" s="725" t="str">
        <f t="shared" si="539"/>
        <v>SR</v>
      </c>
    </row>
    <row r="474" s="697" customFormat="1" customHeight="1" spans="1:77">
      <c r="A474" s="116">
        <v>46115</v>
      </c>
      <c r="B474" s="116">
        <v>46260</v>
      </c>
      <c r="C474" s="118" t="s">
        <v>638</v>
      </c>
      <c r="D474" s="118" t="s">
        <v>639</v>
      </c>
      <c r="E474" s="118" t="s">
        <v>83</v>
      </c>
      <c r="F474" s="726">
        <v>1416</v>
      </c>
      <c r="G474" s="118" t="s">
        <v>253</v>
      </c>
      <c r="H474" s="118" t="str">
        <f>IFERROR(VLOOKUP(E474,名称!A:E,4,0),"")</f>
        <v>三代</v>
      </c>
      <c r="I474" s="418" t="str">
        <f t="shared" ref="I474:BT474" si="552">IF(OR($E474="",I$1=""),"",IF(TRIM(LEFT($E474,MIN(IFERROR(FIND("CDU",UPPER($E474)),999),IFERROR(FIND("BULK",UPPER($E474)),999),IFERROR(FIND("-",$E474),999),IFERROR(FIND("（",$E474),999))-1))=I$1,$F474,""))</f>
        <v/>
      </c>
      <c r="J474" s="418" t="str">
        <f t="shared" si="552"/>
        <v/>
      </c>
      <c r="K474" s="418" t="str">
        <f t="shared" si="552"/>
        <v/>
      </c>
      <c r="L474" s="418" t="str">
        <f t="shared" si="552"/>
        <v/>
      </c>
      <c r="M474" s="418" t="str">
        <f t="shared" si="552"/>
        <v/>
      </c>
      <c r="N474" s="418" t="str">
        <f t="shared" si="552"/>
        <v/>
      </c>
      <c r="O474" s="418" t="str">
        <f t="shared" si="552"/>
        <v/>
      </c>
      <c r="P474" s="418" t="str">
        <f t="shared" si="552"/>
        <v/>
      </c>
      <c r="Q474" s="418" t="str">
        <f t="shared" si="552"/>
        <v/>
      </c>
      <c r="R474" s="418" t="str">
        <f t="shared" si="552"/>
        <v/>
      </c>
      <c r="S474" s="418" t="str">
        <f t="shared" si="552"/>
        <v/>
      </c>
      <c r="T474" s="418" t="str">
        <f t="shared" si="552"/>
        <v/>
      </c>
      <c r="U474" s="418" t="str">
        <f t="shared" si="552"/>
        <v/>
      </c>
      <c r="V474" s="418" t="str">
        <f t="shared" si="552"/>
        <v/>
      </c>
      <c r="W474" s="418" t="str">
        <f t="shared" si="552"/>
        <v/>
      </c>
      <c r="X474" s="418" t="str">
        <f t="shared" si="552"/>
        <v/>
      </c>
      <c r="Y474" s="418" t="str">
        <f t="shared" si="552"/>
        <v/>
      </c>
      <c r="Z474" s="418" t="str">
        <f t="shared" si="552"/>
        <v/>
      </c>
      <c r="AA474" s="418" t="str">
        <f t="shared" si="552"/>
        <v/>
      </c>
      <c r="AB474" s="418" t="str">
        <f t="shared" si="552"/>
        <v/>
      </c>
      <c r="AC474" s="418" t="str">
        <f t="shared" si="552"/>
        <v/>
      </c>
      <c r="AD474" s="418" t="str">
        <f t="shared" si="552"/>
        <v/>
      </c>
      <c r="AE474" s="418" t="str">
        <f t="shared" si="552"/>
        <v/>
      </c>
      <c r="AF474" s="418" t="str">
        <f t="shared" si="552"/>
        <v/>
      </c>
      <c r="AG474" s="418" t="str">
        <f t="shared" si="552"/>
        <v/>
      </c>
      <c r="AH474" s="418" t="str">
        <f t="shared" si="552"/>
        <v/>
      </c>
      <c r="AI474" s="418" t="str">
        <f t="shared" si="552"/>
        <v/>
      </c>
      <c r="AJ474" s="418" t="str">
        <f t="shared" si="552"/>
        <v/>
      </c>
      <c r="AK474" s="418" t="str">
        <f t="shared" si="552"/>
        <v/>
      </c>
      <c r="AL474" s="418" t="str">
        <f t="shared" si="552"/>
        <v/>
      </c>
      <c r="AM474" s="418" t="str">
        <f t="shared" si="552"/>
        <v/>
      </c>
      <c r="AN474" s="418">
        <f t="shared" si="552"/>
        <v>1416</v>
      </c>
      <c r="AO474" s="418" t="str">
        <f t="shared" si="552"/>
        <v/>
      </c>
      <c r="AP474" s="418" t="str">
        <f t="shared" si="552"/>
        <v/>
      </c>
      <c r="AQ474" s="418" t="str">
        <f t="shared" si="552"/>
        <v/>
      </c>
      <c r="AR474" s="418" t="str">
        <f t="shared" si="552"/>
        <v/>
      </c>
      <c r="AS474" s="418" t="str">
        <f t="shared" si="552"/>
        <v/>
      </c>
      <c r="AT474" s="418" t="str">
        <f t="shared" si="552"/>
        <v/>
      </c>
      <c r="AU474" s="418" t="str">
        <f t="shared" si="552"/>
        <v/>
      </c>
      <c r="AV474" s="418" t="str">
        <f t="shared" si="552"/>
        <v/>
      </c>
      <c r="AW474" s="418" t="str">
        <f t="shared" si="552"/>
        <v/>
      </c>
      <c r="AX474" s="418" t="str">
        <f t="shared" si="552"/>
        <v/>
      </c>
      <c r="AY474" s="418" t="str">
        <f t="shared" si="552"/>
        <v/>
      </c>
      <c r="AZ474" s="418" t="str">
        <f t="shared" si="552"/>
        <v/>
      </c>
      <c r="BA474" s="418" t="str">
        <f t="shared" si="552"/>
        <v/>
      </c>
      <c r="BB474" s="418" t="str">
        <f t="shared" si="552"/>
        <v/>
      </c>
      <c r="BC474" s="418" t="str">
        <f t="shared" si="552"/>
        <v/>
      </c>
      <c r="BD474" s="418" t="str">
        <f t="shared" si="552"/>
        <v/>
      </c>
      <c r="BE474" s="418" t="str">
        <f t="shared" si="552"/>
        <v/>
      </c>
      <c r="BF474" s="418" t="str">
        <f t="shared" si="552"/>
        <v/>
      </c>
      <c r="BG474" s="418" t="str">
        <f t="shared" si="552"/>
        <v/>
      </c>
      <c r="BH474" s="418" t="str">
        <f t="shared" si="552"/>
        <v/>
      </c>
      <c r="BI474" s="418" t="str">
        <f t="shared" si="552"/>
        <v/>
      </c>
      <c r="BJ474" s="418" t="str">
        <f t="shared" si="552"/>
        <v/>
      </c>
      <c r="BK474" s="418" t="str">
        <f t="shared" si="552"/>
        <v/>
      </c>
      <c r="BL474" s="418" t="str">
        <f t="shared" si="552"/>
        <v/>
      </c>
      <c r="BM474" s="418" t="str">
        <f t="shared" si="552"/>
        <v/>
      </c>
      <c r="BN474" s="418" t="str">
        <f t="shared" si="552"/>
        <v/>
      </c>
      <c r="BO474" s="418" t="str">
        <f t="shared" si="552"/>
        <v/>
      </c>
      <c r="BP474" s="418" t="str">
        <f t="shared" si="552"/>
        <v/>
      </c>
      <c r="BQ474" s="418" t="str">
        <f t="shared" si="552"/>
        <v/>
      </c>
      <c r="BR474" s="418" t="str">
        <f t="shared" si="552"/>
        <v/>
      </c>
      <c r="BS474" s="418" t="str">
        <f t="shared" si="552"/>
        <v/>
      </c>
      <c r="BT474" s="418" t="str">
        <f t="shared" si="552"/>
        <v/>
      </c>
      <c r="BU474" s="418" t="str">
        <f t="shared" si="526"/>
        <v/>
      </c>
      <c r="BV474" s="544">
        <v>0.83</v>
      </c>
      <c r="BW474" s="723">
        <f t="shared" si="537"/>
        <v>1175.28</v>
      </c>
      <c r="BX474" s="724">
        <f t="shared" si="538"/>
        <v>9108.42</v>
      </c>
      <c r="BY474" s="725" t="str">
        <f t="shared" si="539"/>
        <v>SR</v>
      </c>
    </row>
    <row r="475" s="697" customFormat="1" customHeight="1" spans="1:77">
      <c r="A475" s="116">
        <v>46115</v>
      </c>
      <c r="B475" s="116">
        <v>46288</v>
      </c>
      <c r="C475" s="118" t="s">
        <v>640</v>
      </c>
      <c r="D475" s="118" t="s">
        <v>641</v>
      </c>
      <c r="E475" s="118" t="s">
        <v>83</v>
      </c>
      <c r="F475" s="726">
        <v>1800</v>
      </c>
      <c r="G475" s="118" t="s">
        <v>253</v>
      </c>
      <c r="H475" s="118" t="str">
        <f>IFERROR(VLOOKUP(E475,名称!A:E,4,0),"")</f>
        <v>三代</v>
      </c>
      <c r="I475" s="418" t="str">
        <f t="shared" ref="I475:BT475" si="553">IF(OR($E475="",I$1=""),"",IF(TRIM(LEFT($E475,MIN(IFERROR(FIND("CDU",UPPER($E475)),999),IFERROR(FIND("BULK",UPPER($E475)),999),IFERROR(FIND("-",$E475),999),IFERROR(FIND("（",$E475),999))-1))=I$1,$F475,""))</f>
        <v/>
      </c>
      <c r="J475" s="418" t="str">
        <f t="shared" si="553"/>
        <v/>
      </c>
      <c r="K475" s="418" t="str">
        <f t="shared" si="553"/>
        <v/>
      </c>
      <c r="L475" s="418" t="str">
        <f t="shared" si="553"/>
        <v/>
      </c>
      <c r="M475" s="418" t="str">
        <f t="shared" si="553"/>
        <v/>
      </c>
      <c r="N475" s="418" t="str">
        <f t="shared" si="553"/>
        <v/>
      </c>
      <c r="O475" s="418" t="str">
        <f t="shared" si="553"/>
        <v/>
      </c>
      <c r="P475" s="418" t="str">
        <f t="shared" si="553"/>
        <v/>
      </c>
      <c r="Q475" s="418" t="str">
        <f t="shared" si="553"/>
        <v/>
      </c>
      <c r="R475" s="418" t="str">
        <f t="shared" si="553"/>
        <v/>
      </c>
      <c r="S475" s="418" t="str">
        <f t="shared" si="553"/>
        <v/>
      </c>
      <c r="T475" s="418" t="str">
        <f t="shared" si="553"/>
        <v/>
      </c>
      <c r="U475" s="418" t="str">
        <f t="shared" si="553"/>
        <v/>
      </c>
      <c r="V475" s="418" t="str">
        <f t="shared" si="553"/>
        <v/>
      </c>
      <c r="W475" s="418" t="str">
        <f t="shared" si="553"/>
        <v/>
      </c>
      <c r="X475" s="418" t="str">
        <f t="shared" si="553"/>
        <v/>
      </c>
      <c r="Y475" s="418" t="str">
        <f t="shared" si="553"/>
        <v/>
      </c>
      <c r="Z475" s="418" t="str">
        <f t="shared" si="553"/>
        <v/>
      </c>
      <c r="AA475" s="418" t="str">
        <f t="shared" si="553"/>
        <v/>
      </c>
      <c r="AB475" s="418" t="str">
        <f t="shared" si="553"/>
        <v/>
      </c>
      <c r="AC475" s="418" t="str">
        <f t="shared" si="553"/>
        <v/>
      </c>
      <c r="AD475" s="418" t="str">
        <f t="shared" si="553"/>
        <v/>
      </c>
      <c r="AE475" s="418" t="str">
        <f t="shared" si="553"/>
        <v/>
      </c>
      <c r="AF475" s="418" t="str">
        <f t="shared" si="553"/>
        <v/>
      </c>
      <c r="AG475" s="418" t="str">
        <f t="shared" si="553"/>
        <v/>
      </c>
      <c r="AH475" s="418" t="str">
        <f t="shared" si="553"/>
        <v/>
      </c>
      <c r="AI475" s="418" t="str">
        <f t="shared" si="553"/>
        <v/>
      </c>
      <c r="AJ475" s="418" t="str">
        <f t="shared" si="553"/>
        <v/>
      </c>
      <c r="AK475" s="418" t="str">
        <f t="shared" si="553"/>
        <v/>
      </c>
      <c r="AL475" s="418" t="str">
        <f t="shared" si="553"/>
        <v/>
      </c>
      <c r="AM475" s="418" t="str">
        <f t="shared" si="553"/>
        <v/>
      </c>
      <c r="AN475" s="418">
        <f t="shared" si="553"/>
        <v>1800</v>
      </c>
      <c r="AO475" s="418" t="str">
        <f t="shared" si="553"/>
        <v/>
      </c>
      <c r="AP475" s="418" t="str">
        <f t="shared" si="553"/>
        <v/>
      </c>
      <c r="AQ475" s="418" t="str">
        <f t="shared" si="553"/>
        <v/>
      </c>
      <c r="AR475" s="418" t="str">
        <f t="shared" si="553"/>
        <v/>
      </c>
      <c r="AS475" s="418" t="str">
        <f t="shared" si="553"/>
        <v/>
      </c>
      <c r="AT475" s="418" t="str">
        <f t="shared" si="553"/>
        <v/>
      </c>
      <c r="AU475" s="418" t="str">
        <f t="shared" si="553"/>
        <v/>
      </c>
      <c r="AV475" s="418" t="str">
        <f t="shared" si="553"/>
        <v/>
      </c>
      <c r="AW475" s="418" t="str">
        <f t="shared" si="553"/>
        <v/>
      </c>
      <c r="AX475" s="418" t="str">
        <f t="shared" si="553"/>
        <v/>
      </c>
      <c r="AY475" s="418" t="str">
        <f t="shared" si="553"/>
        <v/>
      </c>
      <c r="AZ475" s="418" t="str">
        <f t="shared" si="553"/>
        <v/>
      </c>
      <c r="BA475" s="418" t="str">
        <f t="shared" si="553"/>
        <v/>
      </c>
      <c r="BB475" s="418" t="str">
        <f t="shared" si="553"/>
        <v/>
      </c>
      <c r="BC475" s="418" t="str">
        <f t="shared" si="553"/>
        <v/>
      </c>
      <c r="BD475" s="418" t="str">
        <f t="shared" si="553"/>
        <v/>
      </c>
      <c r="BE475" s="418" t="str">
        <f t="shared" si="553"/>
        <v/>
      </c>
      <c r="BF475" s="418" t="str">
        <f t="shared" si="553"/>
        <v/>
      </c>
      <c r="BG475" s="418" t="str">
        <f t="shared" si="553"/>
        <v/>
      </c>
      <c r="BH475" s="418" t="str">
        <f t="shared" si="553"/>
        <v/>
      </c>
      <c r="BI475" s="418" t="str">
        <f t="shared" si="553"/>
        <v/>
      </c>
      <c r="BJ475" s="418" t="str">
        <f t="shared" si="553"/>
        <v/>
      </c>
      <c r="BK475" s="418" t="str">
        <f t="shared" si="553"/>
        <v/>
      </c>
      <c r="BL475" s="418" t="str">
        <f t="shared" si="553"/>
        <v/>
      </c>
      <c r="BM475" s="418" t="str">
        <f t="shared" si="553"/>
        <v/>
      </c>
      <c r="BN475" s="418" t="str">
        <f t="shared" si="553"/>
        <v/>
      </c>
      <c r="BO475" s="418" t="str">
        <f t="shared" si="553"/>
        <v/>
      </c>
      <c r="BP475" s="418" t="str">
        <f t="shared" si="553"/>
        <v/>
      </c>
      <c r="BQ475" s="418" t="str">
        <f t="shared" si="553"/>
        <v/>
      </c>
      <c r="BR475" s="418" t="str">
        <f t="shared" si="553"/>
        <v/>
      </c>
      <c r="BS475" s="418" t="str">
        <f t="shared" si="553"/>
        <v/>
      </c>
      <c r="BT475" s="418" t="str">
        <f t="shared" si="553"/>
        <v/>
      </c>
      <c r="BU475" s="418" t="str">
        <f t="shared" si="526"/>
        <v/>
      </c>
      <c r="BV475" s="544">
        <v>0.83</v>
      </c>
      <c r="BW475" s="723">
        <f t="shared" si="537"/>
        <v>1494</v>
      </c>
      <c r="BX475" s="724">
        <f t="shared" si="538"/>
        <v>11578.5</v>
      </c>
      <c r="BY475" s="725" t="str">
        <f t="shared" si="539"/>
        <v>SR</v>
      </c>
    </row>
    <row r="476" s="697" customFormat="1" customHeight="1" spans="1:77">
      <c r="A476" s="116">
        <v>46115</v>
      </c>
      <c r="B476" s="116">
        <v>46316</v>
      </c>
      <c r="C476" s="118" t="s">
        <v>642</v>
      </c>
      <c r="D476" s="118" t="s">
        <v>643</v>
      </c>
      <c r="E476" s="118" t="s">
        <v>83</v>
      </c>
      <c r="F476" s="726">
        <v>1032</v>
      </c>
      <c r="G476" s="118" t="s">
        <v>253</v>
      </c>
      <c r="H476" s="118" t="str">
        <f>IFERROR(VLOOKUP(E476,名称!A:E,4,0),"")</f>
        <v>三代</v>
      </c>
      <c r="I476" s="418" t="str">
        <f t="shared" ref="I476:BT476" si="554">IF(OR($E476="",I$1=""),"",IF(TRIM(LEFT($E476,MIN(IFERROR(FIND("CDU",UPPER($E476)),999),IFERROR(FIND("BULK",UPPER($E476)),999),IFERROR(FIND("-",$E476),999),IFERROR(FIND("（",$E476),999))-1))=I$1,$F476,""))</f>
        <v/>
      </c>
      <c r="J476" s="418" t="str">
        <f t="shared" si="554"/>
        <v/>
      </c>
      <c r="K476" s="418" t="str">
        <f t="shared" si="554"/>
        <v/>
      </c>
      <c r="L476" s="418" t="str">
        <f t="shared" si="554"/>
        <v/>
      </c>
      <c r="M476" s="418" t="str">
        <f t="shared" si="554"/>
        <v/>
      </c>
      <c r="N476" s="418" t="str">
        <f t="shared" si="554"/>
        <v/>
      </c>
      <c r="O476" s="418" t="str">
        <f t="shared" si="554"/>
        <v/>
      </c>
      <c r="P476" s="418" t="str">
        <f t="shared" si="554"/>
        <v/>
      </c>
      <c r="Q476" s="418" t="str">
        <f t="shared" si="554"/>
        <v/>
      </c>
      <c r="R476" s="418" t="str">
        <f t="shared" si="554"/>
        <v/>
      </c>
      <c r="S476" s="418" t="str">
        <f t="shared" si="554"/>
        <v/>
      </c>
      <c r="T476" s="418" t="str">
        <f t="shared" si="554"/>
        <v/>
      </c>
      <c r="U476" s="418" t="str">
        <f t="shared" si="554"/>
        <v/>
      </c>
      <c r="V476" s="418" t="str">
        <f t="shared" si="554"/>
        <v/>
      </c>
      <c r="W476" s="418" t="str">
        <f t="shared" si="554"/>
        <v/>
      </c>
      <c r="X476" s="418" t="str">
        <f t="shared" si="554"/>
        <v/>
      </c>
      <c r="Y476" s="418" t="str">
        <f t="shared" si="554"/>
        <v/>
      </c>
      <c r="Z476" s="418" t="str">
        <f t="shared" si="554"/>
        <v/>
      </c>
      <c r="AA476" s="418" t="str">
        <f t="shared" si="554"/>
        <v/>
      </c>
      <c r="AB476" s="418" t="str">
        <f t="shared" si="554"/>
        <v/>
      </c>
      <c r="AC476" s="418" t="str">
        <f t="shared" si="554"/>
        <v/>
      </c>
      <c r="AD476" s="418" t="str">
        <f t="shared" si="554"/>
        <v/>
      </c>
      <c r="AE476" s="418" t="str">
        <f t="shared" si="554"/>
        <v/>
      </c>
      <c r="AF476" s="418" t="str">
        <f t="shared" si="554"/>
        <v/>
      </c>
      <c r="AG476" s="418" t="str">
        <f t="shared" si="554"/>
        <v/>
      </c>
      <c r="AH476" s="418" t="str">
        <f t="shared" si="554"/>
        <v/>
      </c>
      <c r="AI476" s="418" t="str">
        <f t="shared" si="554"/>
        <v/>
      </c>
      <c r="AJ476" s="418" t="str">
        <f t="shared" si="554"/>
        <v/>
      </c>
      <c r="AK476" s="418" t="str">
        <f t="shared" si="554"/>
        <v/>
      </c>
      <c r="AL476" s="418" t="str">
        <f t="shared" si="554"/>
        <v/>
      </c>
      <c r="AM476" s="418" t="str">
        <f t="shared" si="554"/>
        <v/>
      </c>
      <c r="AN476" s="418">
        <f t="shared" si="554"/>
        <v>1032</v>
      </c>
      <c r="AO476" s="418" t="str">
        <f t="shared" si="554"/>
        <v/>
      </c>
      <c r="AP476" s="418" t="str">
        <f t="shared" si="554"/>
        <v/>
      </c>
      <c r="AQ476" s="418" t="str">
        <f t="shared" si="554"/>
        <v/>
      </c>
      <c r="AR476" s="418" t="str">
        <f t="shared" si="554"/>
        <v/>
      </c>
      <c r="AS476" s="418" t="str">
        <f t="shared" si="554"/>
        <v/>
      </c>
      <c r="AT476" s="418" t="str">
        <f t="shared" si="554"/>
        <v/>
      </c>
      <c r="AU476" s="418" t="str">
        <f t="shared" si="554"/>
        <v/>
      </c>
      <c r="AV476" s="418" t="str">
        <f t="shared" si="554"/>
        <v/>
      </c>
      <c r="AW476" s="418" t="str">
        <f t="shared" si="554"/>
        <v/>
      </c>
      <c r="AX476" s="418" t="str">
        <f t="shared" si="554"/>
        <v/>
      </c>
      <c r="AY476" s="418" t="str">
        <f t="shared" si="554"/>
        <v/>
      </c>
      <c r="AZ476" s="418" t="str">
        <f t="shared" si="554"/>
        <v/>
      </c>
      <c r="BA476" s="418" t="str">
        <f t="shared" si="554"/>
        <v/>
      </c>
      <c r="BB476" s="418" t="str">
        <f t="shared" si="554"/>
        <v/>
      </c>
      <c r="BC476" s="418" t="str">
        <f t="shared" si="554"/>
        <v/>
      </c>
      <c r="BD476" s="418" t="str">
        <f t="shared" si="554"/>
        <v/>
      </c>
      <c r="BE476" s="418" t="str">
        <f t="shared" si="554"/>
        <v/>
      </c>
      <c r="BF476" s="418" t="str">
        <f t="shared" si="554"/>
        <v/>
      </c>
      <c r="BG476" s="418" t="str">
        <f t="shared" si="554"/>
        <v/>
      </c>
      <c r="BH476" s="418" t="str">
        <f t="shared" si="554"/>
        <v/>
      </c>
      <c r="BI476" s="418" t="str">
        <f t="shared" si="554"/>
        <v/>
      </c>
      <c r="BJ476" s="418" t="str">
        <f t="shared" si="554"/>
        <v/>
      </c>
      <c r="BK476" s="418" t="str">
        <f t="shared" si="554"/>
        <v/>
      </c>
      <c r="BL476" s="418" t="str">
        <f t="shared" si="554"/>
        <v/>
      </c>
      <c r="BM476" s="418" t="str">
        <f t="shared" si="554"/>
        <v/>
      </c>
      <c r="BN476" s="418" t="str">
        <f t="shared" si="554"/>
        <v/>
      </c>
      <c r="BO476" s="418" t="str">
        <f t="shared" si="554"/>
        <v/>
      </c>
      <c r="BP476" s="418" t="str">
        <f t="shared" si="554"/>
        <v/>
      </c>
      <c r="BQ476" s="418" t="str">
        <f t="shared" si="554"/>
        <v/>
      </c>
      <c r="BR476" s="418" t="str">
        <f t="shared" si="554"/>
        <v/>
      </c>
      <c r="BS476" s="418" t="str">
        <f t="shared" si="554"/>
        <v/>
      </c>
      <c r="BT476" s="418" t="str">
        <f t="shared" si="554"/>
        <v/>
      </c>
      <c r="BU476" s="418" t="str">
        <f t="shared" si="526"/>
        <v/>
      </c>
      <c r="BV476" s="544">
        <v>0.83</v>
      </c>
      <c r="BW476" s="723">
        <f t="shared" si="537"/>
        <v>856.56</v>
      </c>
      <c r="BX476" s="724">
        <f t="shared" si="538"/>
        <v>6638.34</v>
      </c>
      <c r="BY476" s="725" t="str">
        <f t="shared" si="539"/>
        <v>SR</v>
      </c>
    </row>
    <row r="477" s="698" customFormat="1" customHeight="1" spans="1:77">
      <c r="A477" s="208">
        <v>46115</v>
      </c>
      <c r="B477" s="208">
        <v>46149</v>
      </c>
      <c r="C477" s="211" t="s">
        <v>644</v>
      </c>
      <c r="D477" s="211" t="s">
        <v>645</v>
      </c>
      <c r="E477" s="211" t="s">
        <v>60</v>
      </c>
      <c r="F477" s="732">
        <v>4236</v>
      </c>
      <c r="G477" s="211" t="s">
        <v>253</v>
      </c>
      <c r="H477" s="211" t="str">
        <f>IFERROR(VLOOKUP(E477,名称!A:E,4,0),"")</f>
        <v>三代</v>
      </c>
      <c r="I477" s="268" t="str">
        <f t="shared" ref="I477:BT477" si="555">IF(OR($E477="",I$1=""),"",IF(TRIM(LEFT($E477,MIN(IFERROR(FIND("CDU",UPPER($E477)),999),IFERROR(FIND("BULK",UPPER($E477)),999),IFERROR(FIND("-",$E477),999),IFERROR(FIND("（",$E477),999))-1))=I$1,$F477,""))</f>
        <v/>
      </c>
      <c r="J477" s="268" t="str">
        <f t="shared" si="555"/>
        <v/>
      </c>
      <c r="K477" s="268" t="str">
        <f t="shared" si="555"/>
        <v/>
      </c>
      <c r="L477" s="268" t="str">
        <f t="shared" si="555"/>
        <v/>
      </c>
      <c r="M477" s="268" t="str">
        <f t="shared" si="555"/>
        <v/>
      </c>
      <c r="N477" s="268" t="str">
        <f t="shared" si="555"/>
        <v/>
      </c>
      <c r="O477" s="268" t="str">
        <f t="shared" si="555"/>
        <v/>
      </c>
      <c r="P477" s="268" t="str">
        <f t="shared" si="555"/>
        <v/>
      </c>
      <c r="Q477" s="268" t="str">
        <f t="shared" si="555"/>
        <v/>
      </c>
      <c r="R477" s="268" t="str">
        <f t="shared" si="555"/>
        <v/>
      </c>
      <c r="S477" s="268" t="str">
        <f t="shared" si="555"/>
        <v/>
      </c>
      <c r="T477" s="268" t="str">
        <f t="shared" si="555"/>
        <v/>
      </c>
      <c r="U477" s="268" t="str">
        <f t="shared" si="555"/>
        <v/>
      </c>
      <c r="V477" s="268" t="str">
        <f t="shared" si="555"/>
        <v/>
      </c>
      <c r="W477" s="268" t="str">
        <f t="shared" si="555"/>
        <v/>
      </c>
      <c r="X477" s="268" t="str">
        <f t="shared" si="555"/>
        <v/>
      </c>
      <c r="Y477" s="268" t="str">
        <f t="shared" si="555"/>
        <v/>
      </c>
      <c r="Z477" s="268" t="str">
        <f t="shared" si="555"/>
        <v/>
      </c>
      <c r="AA477" s="268" t="str">
        <f t="shared" si="555"/>
        <v/>
      </c>
      <c r="AB477" s="268" t="str">
        <f t="shared" si="555"/>
        <v/>
      </c>
      <c r="AC477" s="268" t="str">
        <f t="shared" si="555"/>
        <v/>
      </c>
      <c r="AD477" s="268" t="str">
        <f t="shared" si="555"/>
        <v/>
      </c>
      <c r="AE477" s="268">
        <f t="shared" si="555"/>
        <v>4236</v>
      </c>
      <c r="AF477" s="268" t="str">
        <f t="shared" si="555"/>
        <v/>
      </c>
      <c r="AG477" s="268" t="str">
        <f t="shared" si="555"/>
        <v/>
      </c>
      <c r="AH477" s="268" t="str">
        <f t="shared" si="555"/>
        <v/>
      </c>
      <c r="AI477" s="268" t="str">
        <f t="shared" si="555"/>
        <v/>
      </c>
      <c r="AJ477" s="268" t="str">
        <f t="shared" si="555"/>
        <v/>
      </c>
      <c r="AK477" s="268" t="str">
        <f t="shared" si="555"/>
        <v/>
      </c>
      <c r="AL477" s="268" t="str">
        <f t="shared" si="555"/>
        <v/>
      </c>
      <c r="AM477" s="268" t="str">
        <f t="shared" si="555"/>
        <v/>
      </c>
      <c r="AN477" s="268" t="str">
        <f t="shared" si="555"/>
        <v/>
      </c>
      <c r="AO477" s="268" t="str">
        <f t="shared" si="555"/>
        <v/>
      </c>
      <c r="AP477" s="268" t="str">
        <f t="shared" si="555"/>
        <v/>
      </c>
      <c r="AQ477" s="268" t="str">
        <f t="shared" si="555"/>
        <v/>
      </c>
      <c r="AR477" s="268" t="str">
        <f t="shared" si="555"/>
        <v/>
      </c>
      <c r="AS477" s="268" t="str">
        <f t="shared" si="555"/>
        <v/>
      </c>
      <c r="AT477" s="268" t="str">
        <f t="shared" si="555"/>
        <v/>
      </c>
      <c r="AU477" s="268" t="str">
        <f t="shared" si="555"/>
        <v/>
      </c>
      <c r="AV477" s="268" t="str">
        <f t="shared" si="555"/>
        <v/>
      </c>
      <c r="AW477" s="268" t="str">
        <f t="shared" si="555"/>
        <v/>
      </c>
      <c r="AX477" s="268" t="str">
        <f t="shared" si="555"/>
        <v/>
      </c>
      <c r="AY477" s="268" t="str">
        <f t="shared" si="555"/>
        <v/>
      </c>
      <c r="AZ477" s="268" t="str">
        <f t="shared" si="555"/>
        <v/>
      </c>
      <c r="BA477" s="268" t="str">
        <f t="shared" si="555"/>
        <v/>
      </c>
      <c r="BB477" s="268" t="str">
        <f t="shared" si="555"/>
        <v/>
      </c>
      <c r="BC477" s="268" t="str">
        <f t="shared" si="555"/>
        <v/>
      </c>
      <c r="BD477" s="268" t="str">
        <f t="shared" si="555"/>
        <v/>
      </c>
      <c r="BE477" s="268" t="str">
        <f t="shared" si="555"/>
        <v/>
      </c>
      <c r="BF477" s="268" t="str">
        <f t="shared" si="555"/>
        <v/>
      </c>
      <c r="BG477" s="268" t="str">
        <f t="shared" si="555"/>
        <v/>
      </c>
      <c r="BH477" s="268" t="str">
        <f t="shared" si="555"/>
        <v/>
      </c>
      <c r="BI477" s="268" t="str">
        <f t="shared" si="555"/>
        <v/>
      </c>
      <c r="BJ477" s="268" t="str">
        <f t="shared" si="555"/>
        <v/>
      </c>
      <c r="BK477" s="268" t="str">
        <f t="shared" si="555"/>
        <v/>
      </c>
      <c r="BL477" s="268" t="str">
        <f t="shared" si="555"/>
        <v/>
      </c>
      <c r="BM477" s="268" t="str">
        <f t="shared" si="555"/>
        <v/>
      </c>
      <c r="BN477" s="268" t="str">
        <f t="shared" si="555"/>
        <v/>
      </c>
      <c r="BO477" s="268" t="str">
        <f t="shared" si="555"/>
        <v/>
      </c>
      <c r="BP477" s="268" t="str">
        <f t="shared" si="555"/>
        <v/>
      </c>
      <c r="BQ477" s="268" t="str">
        <f t="shared" si="555"/>
        <v/>
      </c>
      <c r="BR477" s="268" t="str">
        <f t="shared" si="555"/>
        <v/>
      </c>
      <c r="BS477" s="268" t="str">
        <f t="shared" si="555"/>
        <v/>
      </c>
      <c r="BT477" s="268" t="str">
        <f t="shared" si="555"/>
        <v/>
      </c>
      <c r="BU477" s="268" t="str">
        <f t="shared" si="526"/>
        <v/>
      </c>
      <c r="BV477" s="247">
        <v>0.6</v>
      </c>
      <c r="BW477" s="729">
        <f t="shared" si="537"/>
        <v>2541.6</v>
      </c>
      <c r="BX477" s="730">
        <f t="shared" si="538"/>
        <v>19697.4</v>
      </c>
      <c r="BY477" s="731" t="str">
        <f t="shared" si="539"/>
        <v>SR</v>
      </c>
    </row>
    <row r="478" s="698" customFormat="1" customHeight="1" spans="1:77">
      <c r="A478" s="208">
        <v>46115</v>
      </c>
      <c r="B478" s="208">
        <v>46162</v>
      </c>
      <c r="C478" s="211" t="s">
        <v>646</v>
      </c>
      <c r="D478" s="211" t="s">
        <v>647</v>
      </c>
      <c r="E478" s="211" t="s">
        <v>60</v>
      </c>
      <c r="F478" s="732">
        <v>4200</v>
      </c>
      <c r="G478" s="211" t="s">
        <v>253</v>
      </c>
      <c r="H478" s="211" t="str">
        <f>IFERROR(VLOOKUP(E478,名称!A:E,4,0),"")</f>
        <v>三代</v>
      </c>
      <c r="I478" s="268" t="str">
        <f t="shared" ref="I478:BT478" si="556">IF(OR($E478="",I$1=""),"",IF(TRIM(LEFT($E478,MIN(IFERROR(FIND("CDU",UPPER($E478)),999),IFERROR(FIND("BULK",UPPER($E478)),999),IFERROR(FIND("-",$E478),999),IFERROR(FIND("（",$E478),999))-1))=I$1,$F478,""))</f>
        <v/>
      </c>
      <c r="J478" s="268" t="str">
        <f t="shared" si="556"/>
        <v/>
      </c>
      <c r="K478" s="268" t="str">
        <f t="shared" si="556"/>
        <v/>
      </c>
      <c r="L478" s="268" t="str">
        <f t="shared" si="556"/>
        <v/>
      </c>
      <c r="M478" s="268" t="str">
        <f t="shared" si="556"/>
        <v/>
      </c>
      <c r="N478" s="268" t="str">
        <f t="shared" si="556"/>
        <v/>
      </c>
      <c r="O478" s="268" t="str">
        <f t="shared" si="556"/>
        <v/>
      </c>
      <c r="P478" s="268" t="str">
        <f t="shared" si="556"/>
        <v/>
      </c>
      <c r="Q478" s="268" t="str">
        <f t="shared" si="556"/>
        <v/>
      </c>
      <c r="R478" s="268" t="str">
        <f t="shared" si="556"/>
        <v/>
      </c>
      <c r="S478" s="268" t="str">
        <f t="shared" si="556"/>
        <v/>
      </c>
      <c r="T478" s="268" t="str">
        <f t="shared" si="556"/>
        <v/>
      </c>
      <c r="U478" s="268" t="str">
        <f t="shared" si="556"/>
        <v/>
      </c>
      <c r="V478" s="268" t="str">
        <f t="shared" si="556"/>
        <v/>
      </c>
      <c r="W478" s="268" t="str">
        <f t="shared" si="556"/>
        <v/>
      </c>
      <c r="X478" s="268" t="str">
        <f t="shared" si="556"/>
        <v/>
      </c>
      <c r="Y478" s="268" t="str">
        <f t="shared" si="556"/>
        <v/>
      </c>
      <c r="Z478" s="268" t="str">
        <f t="shared" si="556"/>
        <v/>
      </c>
      <c r="AA478" s="268" t="str">
        <f t="shared" si="556"/>
        <v/>
      </c>
      <c r="AB478" s="268" t="str">
        <f t="shared" si="556"/>
        <v/>
      </c>
      <c r="AC478" s="268" t="str">
        <f t="shared" si="556"/>
        <v/>
      </c>
      <c r="AD478" s="268" t="str">
        <f t="shared" si="556"/>
        <v/>
      </c>
      <c r="AE478" s="268">
        <f t="shared" si="556"/>
        <v>4200</v>
      </c>
      <c r="AF478" s="268" t="str">
        <f t="shared" si="556"/>
        <v/>
      </c>
      <c r="AG478" s="268" t="str">
        <f t="shared" si="556"/>
        <v/>
      </c>
      <c r="AH478" s="268" t="str">
        <f t="shared" si="556"/>
        <v/>
      </c>
      <c r="AI478" s="268" t="str">
        <f t="shared" si="556"/>
        <v/>
      </c>
      <c r="AJ478" s="268" t="str">
        <f t="shared" si="556"/>
        <v/>
      </c>
      <c r="AK478" s="268" t="str">
        <f t="shared" si="556"/>
        <v/>
      </c>
      <c r="AL478" s="268" t="str">
        <f t="shared" si="556"/>
        <v/>
      </c>
      <c r="AM478" s="268" t="str">
        <f t="shared" si="556"/>
        <v/>
      </c>
      <c r="AN478" s="268" t="str">
        <f t="shared" si="556"/>
        <v/>
      </c>
      <c r="AO478" s="268" t="str">
        <f t="shared" si="556"/>
        <v/>
      </c>
      <c r="AP478" s="268" t="str">
        <f t="shared" si="556"/>
        <v/>
      </c>
      <c r="AQ478" s="268" t="str">
        <f t="shared" si="556"/>
        <v/>
      </c>
      <c r="AR478" s="268" t="str">
        <f t="shared" si="556"/>
        <v/>
      </c>
      <c r="AS478" s="268" t="str">
        <f t="shared" si="556"/>
        <v/>
      </c>
      <c r="AT478" s="268" t="str">
        <f t="shared" si="556"/>
        <v/>
      </c>
      <c r="AU478" s="268" t="str">
        <f t="shared" si="556"/>
        <v/>
      </c>
      <c r="AV478" s="268" t="str">
        <f t="shared" si="556"/>
        <v/>
      </c>
      <c r="AW478" s="268" t="str">
        <f t="shared" si="556"/>
        <v/>
      </c>
      <c r="AX478" s="268" t="str">
        <f t="shared" si="556"/>
        <v/>
      </c>
      <c r="AY478" s="268" t="str">
        <f t="shared" si="556"/>
        <v/>
      </c>
      <c r="AZ478" s="268" t="str">
        <f t="shared" si="556"/>
        <v/>
      </c>
      <c r="BA478" s="268" t="str">
        <f t="shared" si="556"/>
        <v/>
      </c>
      <c r="BB478" s="268" t="str">
        <f t="shared" si="556"/>
        <v/>
      </c>
      <c r="BC478" s="268" t="str">
        <f t="shared" si="556"/>
        <v/>
      </c>
      <c r="BD478" s="268" t="str">
        <f t="shared" si="556"/>
        <v/>
      </c>
      <c r="BE478" s="268" t="str">
        <f t="shared" si="556"/>
        <v/>
      </c>
      <c r="BF478" s="268" t="str">
        <f t="shared" si="556"/>
        <v/>
      </c>
      <c r="BG478" s="268" t="str">
        <f t="shared" si="556"/>
        <v/>
      </c>
      <c r="BH478" s="268" t="str">
        <f t="shared" si="556"/>
        <v/>
      </c>
      <c r="BI478" s="268" t="str">
        <f t="shared" si="556"/>
        <v/>
      </c>
      <c r="BJ478" s="268" t="str">
        <f t="shared" si="556"/>
        <v/>
      </c>
      <c r="BK478" s="268" t="str">
        <f t="shared" si="556"/>
        <v/>
      </c>
      <c r="BL478" s="268" t="str">
        <f t="shared" si="556"/>
        <v/>
      </c>
      <c r="BM478" s="268" t="str">
        <f t="shared" si="556"/>
        <v/>
      </c>
      <c r="BN478" s="268" t="str">
        <f t="shared" si="556"/>
        <v/>
      </c>
      <c r="BO478" s="268" t="str">
        <f t="shared" si="556"/>
        <v/>
      </c>
      <c r="BP478" s="268" t="str">
        <f t="shared" si="556"/>
        <v/>
      </c>
      <c r="BQ478" s="268" t="str">
        <f t="shared" si="556"/>
        <v/>
      </c>
      <c r="BR478" s="268" t="str">
        <f t="shared" si="556"/>
        <v/>
      </c>
      <c r="BS478" s="268" t="str">
        <f t="shared" si="556"/>
        <v/>
      </c>
      <c r="BT478" s="268" t="str">
        <f t="shared" si="556"/>
        <v/>
      </c>
      <c r="BU478" s="268" t="str">
        <f t="shared" si="526"/>
        <v/>
      </c>
      <c r="BV478" s="247">
        <v>0.63</v>
      </c>
      <c r="BW478" s="729">
        <f t="shared" si="537"/>
        <v>2646</v>
      </c>
      <c r="BX478" s="730">
        <f t="shared" si="538"/>
        <v>20506.5</v>
      </c>
      <c r="BY478" s="731" t="str">
        <f t="shared" si="539"/>
        <v>SR</v>
      </c>
    </row>
    <row r="479" s="698" customFormat="1" customHeight="1" spans="1:77">
      <c r="A479" s="208">
        <v>46115</v>
      </c>
      <c r="B479" s="208">
        <v>46176</v>
      </c>
      <c r="C479" s="211" t="s">
        <v>648</v>
      </c>
      <c r="D479" s="211" t="s">
        <v>649</v>
      </c>
      <c r="E479" s="211" t="s">
        <v>60</v>
      </c>
      <c r="F479" s="732">
        <v>1500</v>
      </c>
      <c r="G479" s="211" t="s">
        <v>253</v>
      </c>
      <c r="H479" s="211" t="str">
        <f>IFERROR(VLOOKUP(E479,名称!A:E,4,0),"")</f>
        <v>三代</v>
      </c>
      <c r="I479" s="268" t="str">
        <f t="shared" ref="I479:BT479" si="557">IF(OR($E479="",I$1=""),"",IF(TRIM(LEFT($E479,MIN(IFERROR(FIND("CDU",UPPER($E479)),999),IFERROR(FIND("BULK",UPPER($E479)),999),IFERROR(FIND("-",$E479),999),IFERROR(FIND("（",$E479),999))-1))=I$1,$F479,""))</f>
        <v/>
      </c>
      <c r="J479" s="268" t="str">
        <f t="shared" si="557"/>
        <v/>
      </c>
      <c r="K479" s="268" t="str">
        <f t="shared" si="557"/>
        <v/>
      </c>
      <c r="L479" s="268" t="str">
        <f t="shared" si="557"/>
        <v/>
      </c>
      <c r="M479" s="268" t="str">
        <f t="shared" si="557"/>
        <v/>
      </c>
      <c r="N479" s="268" t="str">
        <f t="shared" si="557"/>
        <v/>
      </c>
      <c r="O479" s="268" t="str">
        <f t="shared" si="557"/>
        <v/>
      </c>
      <c r="P479" s="268" t="str">
        <f t="shared" si="557"/>
        <v/>
      </c>
      <c r="Q479" s="268" t="str">
        <f t="shared" si="557"/>
        <v/>
      </c>
      <c r="R479" s="268" t="str">
        <f t="shared" si="557"/>
        <v/>
      </c>
      <c r="S479" s="268" t="str">
        <f t="shared" si="557"/>
        <v/>
      </c>
      <c r="T479" s="268" t="str">
        <f t="shared" si="557"/>
        <v/>
      </c>
      <c r="U479" s="268" t="str">
        <f t="shared" si="557"/>
        <v/>
      </c>
      <c r="V479" s="268" t="str">
        <f t="shared" si="557"/>
        <v/>
      </c>
      <c r="W479" s="268" t="str">
        <f t="shared" si="557"/>
        <v/>
      </c>
      <c r="X479" s="268" t="str">
        <f t="shared" si="557"/>
        <v/>
      </c>
      <c r="Y479" s="268" t="str">
        <f t="shared" si="557"/>
        <v/>
      </c>
      <c r="Z479" s="268" t="str">
        <f t="shared" si="557"/>
        <v/>
      </c>
      <c r="AA479" s="268" t="str">
        <f t="shared" si="557"/>
        <v/>
      </c>
      <c r="AB479" s="268" t="str">
        <f t="shared" si="557"/>
        <v/>
      </c>
      <c r="AC479" s="268" t="str">
        <f t="shared" si="557"/>
        <v/>
      </c>
      <c r="AD479" s="268" t="str">
        <f t="shared" si="557"/>
        <v/>
      </c>
      <c r="AE479" s="268">
        <f t="shared" si="557"/>
        <v>1500</v>
      </c>
      <c r="AF479" s="268" t="str">
        <f t="shared" si="557"/>
        <v/>
      </c>
      <c r="AG479" s="268" t="str">
        <f t="shared" si="557"/>
        <v/>
      </c>
      <c r="AH479" s="268" t="str">
        <f t="shared" si="557"/>
        <v/>
      </c>
      <c r="AI479" s="268" t="str">
        <f t="shared" si="557"/>
        <v/>
      </c>
      <c r="AJ479" s="268" t="str">
        <f t="shared" si="557"/>
        <v/>
      </c>
      <c r="AK479" s="268" t="str">
        <f t="shared" si="557"/>
        <v/>
      </c>
      <c r="AL479" s="268" t="str">
        <f t="shared" si="557"/>
        <v/>
      </c>
      <c r="AM479" s="268" t="str">
        <f t="shared" si="557"/>
        <v/>
      </c>
      <c r="AN479" s="268" t="str">
        <f t="shared" si="557"/>
        <v/>
      </c>
      <c r="AO479" s="268" t="str">
        <f t="shared" si="557"/>
        <v/>
      </c>
      <c r="AP479" s="268" t="str">
        <f t="shared" si="557"/>
        <v/>
      </c>
      <c r="AQ479" s="268" t="str">
        <f t="shared" si="557"/>
        <v/>
      </c>
      <c r="AR479" s="268" t="str">
        <f t="shared" si="557"/>
        <v/>
      </c>
      <c r="AS479" s="268" t="str">
        <f t="shared" si="557"/>
        <v/>
      </c>
      <c r="AT479" s="268" t="str">
        <f t="shared" si="557"/>
        <v/>
      </c>
      <c r="AU479" s="268" t="str">
        <f t="shared" si="557"/>
        <v/>
      </c>
      <c r="AV479" s="268" t="str">
        <f t="shared" si="557"/>
        <v/>
      </c>
      <c r="AW479" s="268" t="str">
        <f t="shared" si="557"/>
        <v/>
      </c>
      <c r="AX479" s="268" t="str">
        <f t="shared" si="557"/>
        <v/>
      </c>
      <c r="AY479" s="268" t="str">
        <f t="shared" si="557"/>
        <v/>
      </c>
      <c r="AZ479" s="268" t="str">
        <f t="shared" si="557"/>
        <v/>
      </c>
      <c r="BA479" s="268" t="str">
        <f t="shared" si="557"/>
        <v/>
      </c>
      <c r="BB479" s="268" t="str">
        <f t="shared" si="557"/>
        <v/>
      </c>
      <c r="BC479" s="268" t="str">
        <f t="shared" si="557"/>
        <v/>
      </c>
      <c r="BD479" s="268" t="str">
        <f t="shared" si="557"/>
        <v/>
      </c>
      <c r="BE479" s="268" t="str">
        <f t="shared" si="557"/>
        <v/>
      </c>
      <c r="BF479" s="268" t="str">
        <f t="shared" si="557"/>
        <v/>
      </c>
      <c r="BG479" s="268" t="str">
        <f t="shared" si="557"/>
        <v/>
      </c>
      <c r="BH479" s="268" t="str">
        <f t="shared" si="557"/>
        <v/>
      </c>
      <c r="BI479" s="268" t="str">
        <f t="shared" si="557"/>
        <v/>
      </c>
      <c r="BJ479" s="268" t="str">
        <f t="shared" si="557"/>
        <v/>
      </c>
      <c r="BK479" s="268" t="str">
        <f t="shared" si="557"/>
        <v/>
      </c>
      <c r="BL479" s="268" t="str">
        <f t="shared" si="557"/>
        <v/>
      </c>
      <c r="BM479" s="268" t="str">
        <f t="shared" si="557"/>
        <v/>
      </c>
      <c r="BN479" s="268" t="str">
        <f t="shared" si="557"/>
        <v/>
      </c>
      <c r="BO479" s="268" t="str">
        <f t="shared" si="557"/>
        <v/>
      </c>
      <c r="BP479" s="268" t="str">
        <f t="shared" si="557"/>
        <v/>
      </c>
      <c r="BQ479" s="268" t="str">
        <f t="shared" si="557"/>
        <v/>
      </c>
      <c r="BR479" s="268" t="str">
        <f t="shared" si="557"/>
        <v/>
      </c>
      <c r="BS479" s="268" t="str">
        <f t="shared" si="557"/>
        <v/>
      </c>
      <c r="BT479" s="268" t="str">
        <f t="shared" si="557"/>
        <v/>
      </c>
      <c r="BU479" s="268" t="str">
        <f t="shared" si="526"/>
        <v/>
      </c>
      <c r="BV479" s="247">
        <v>0.63</v>
      </c>
      <c r="BW479" s="729">
        <f t="shared" si="537"/>
        <v>945</v>
      </c>
      <c r="BX479" s="730">
        <f t="shared" si="538"/>
        <v>7323.75</v>
      </c>
      <c r="BY479" s="731" t="str">
        <f t="shared" si="539"/>
        <v>SR</v>
      </c>
    </row>
    <row r="480" s="697" customFormat="1" customHeight="1" spans="1:77">
      <c r="A480" s="116">
        <v>46119</v>
      </c>
      <c r="B480" s="116">
        <v>46246</v>
      </c>
      <c r="C480" s="118" t="s">
        <v>650</v>
      </c>
      <c r="D480" s="118" t="s">
        <v>563</v>
      </c>
      <c r="E480" s="118" t="s">
        <v>107</v>
      </c>
      <c r="F480" s="726">
        <v>2790</v>
      </c>
      <c r="G480" s="118" t="s">
        <v>253</v>
      </c>
      <c r="H480" s="118" t="str">
        <f>IFERROR(VLOOKUP(E480,名称!A:E,4,0),"")</f>
        <v>三代</v>
      </c>
      <c r="I480" s="418" t="str">
        <f t="shared" ref="I480:BT480" si="558">IF(OR($E480="",I$1=""),"",IF(TRIM(LEFT($E480,MIN(IFERROR(FIND("CDU",UPPER($E480)),999),IFERROR(FIND("BULK",UPPER($E480)),999),IFERROR(FIND("-",$E480),999),IFERROR(FIND("（",$E480),999))-1))=I$1,$F480,""))</f>
        <v/>
      </c>
      <c r="J480" s="418" t="str">
        <f t="shared" si="558"/>
        <v/>
      </c>
      <c r="K480" s="418" t="str">
        <f t="shared" si="558"/>
        <v/>
      </c>
      <c r="L480" s="418" t="str">
        <f t="shared" si="558"/>
        <v/>
      </c>
      <c r="M480" s="418" t="str">
        <f t="shared" si="558"/>
        <v/>
      </c>
      <c r="N480" s="418" t="str">
        <f t="shared" si="558"/>
        <v/>
      </c>
      <c r="O480" s="418" t="str">
        <f t="shared" si="558"/>
        <v/>
      </c>
      <c r="P480" s="418" t="str">
        <f t="shared" si="558"/>
        <v/>
      </c>
      <c r="Q480" s="418" t="str">
        <f t="shared" si="558"/>
        <v/>
      </c>
      <c r="R480" s="418" t="str">
        <f t="shared" si="558"/>
        <v/>
      </c>
      <c r="S480" s="418" t="str">
        <f t="shared" si="558"/>
        <v/>
      </c>
      <c r="T480" s="418" t="str">
        <f t="shared" si="558"/>
        <v/>
      </c>
      <c r="U480" s="418" t="str">
        <f t="shared" si="558"/>
        <v/>
      </c>
      <c r="V480" s="418" t="str">
        <f t="shared" si="558"/>
        <v/>
      </c>
      <c r="W480" s="418" t="str">
        <f t="shared" si="558"/>
        <v/>
      </c>
      <c r="X480" s="418" t="str">
        <f t="shared" si="558"/>
        <v/>
      </c>
      <c r="Y480" s="418" t="str">
        <f t="shared" si="558"/>
        <v/>
      </c>
      <c r="Z480" s="418" t="str">
        <f t="shared" si="558"/>
        <v/>
      </c>
      <c r="AA480" s="418" t="str">
        <f t="shared" si="558"/>
        <v/>
      </c>
      <c r="AB480" s="418" t="str">
        <f t="shared" si="558"/>
        <v/>
      </c>
      <c r="AC480" s="418" t="str">
        <f t="shared" si="558"/>
        <v/>
      </c>
      <c r="AD480" s="418" t="str">
        <f t="shared" si="558"/>
        <v/>
      </c>
      <c r="AE480" s="418" t="str">
        <f t="shared" si="558"/>
        <v/>
      </c>
      <c r="AF480" s="418" t="str">
        <f t="shared" si="558"/>
        <v/>
      </c>
      <c r="AG480" s="418">
        <f t="shared" si="558"/>
        <v>2790</v>
      </c>
      <c r="AH480" s="418" t="str">
        <f t="shared" si="558"/>
        <v/>
      </c>
      <c r="AI480" s="418" t="str">
        <f t="shared" si="558"/>
        <v/>
      </c>
      <c r="AJ480" s="418" t="str">
        <f t="shared" si="558"/>
        <v/>
      </c>
      <c r="AK480" s="418" t="str">
        <f t="shared" si="558"/>
        <v/>
      </c>
      <c r="AL480" s="418" t="str">
        <f t="shared" si="558"/>
        <v/>
      </c>
      <c r="AM480" s="418" t="str">
        <f t="shared" si="558"/>
        <v/>
      </c>
      <c r="AN480" s="418" t="str">
        <f t="shared" si="558"/>
        <v/>
      </c>
      <c r="AO480" s="418" t="str">
        <f t="shared" si="558"/>
        <v/>
      </c>
      <c r="AP480" s="418" t="str">
        <f t="shared" si="558"/>
        <v/>
      </c>
      <c r="AQ480" s="418" t="str">
        <f t="shared" si="558"/>
        <v/>
      </c>
      <c r="AR480" s="418" t="str">
        <f t="shared" si="558"/>
        <v/>
      </c>
      <c r="AS480" s="418" t="str">
        <f t="shared" si="558"/>
        <v/>
      </c>
      <c r="AT480" s="418" t="str">
        <f t="shared" si="558"/>
        <v/>
      </c>
      <c r="AU480" s="418" t="str">
        <f t="shared" si="558"/>
        <v/>
      </c>
      <c r="AV480" s="418" t="str">
        <f t="shared" si="558"/>
        <v/>
      </c>
      <c r="AW480" s="418" t="str">
        <f t="shared" si="558"/>
        <v/>
      </c>
      <c r="AX480" s="418" t="str">
        <f t="shared" si="558"/>
        <v/>
      </c>
      <c r="AY480" s="418" t="str">
        <f t="shared" si="558"/>
        <v/>
      </c>
      <c r="AZ480" s="418" t="str">
        <f t="shared" si="558"/>
        <v/>
      </c>
      <c r="BA480" s="418" t="str">
        <f t="shared" si="558"/>
        <v/>
      </c>
      <c r="BB480" s="418" t="str">
        <f t="shared" si="558"/>
        <v/>
      </c>
      <c r="BC480" s="418" t="str">
        <f t="shared" si="558"/>
        <v/>
      </c>
      <c r="BD480" s="418" t="str">
        <f t="shared" si="558"/>
        <v/>
      </c>
      <c r="BE480" s="418" t="str">
        <f t="shared" si="558"/>
        <v/>
      </c>
      <c r="BF480" s="418" t="str">
        <f t="shared" si="558"/>
        <v/>
      </c>
      <c r="BG480" s="418" t="str">
        <f t="shared" si="558"/>
        <v/>
      </c>
      <c r="BH480" s="418" t="str">
        <f t="shared" si="558"/>
        <v/>
      </c>
      <c r="BI480" s="418" t="str">
        <f t="shared" si="558"/>
        <v/>
      </c>
      <c r="BJ480" s="418" t="str">
        <f t="shared" si="558"/>
        <v/>
      </c>
      <c r="BK480" s="418" t="str">
        <f t="shared" si="558"/>
        <v/>
      </c>
      <c r="BL480" s="418" t="str">
        <f t="shared" si="558"/>
        <v/>
      </c>
      <c r="BM480" s="418" t="str">
        <f t="shared" si="558"/>
        <v/>
      </c>
      <c r="BN480" s="418" t="str">
        <f t="shared" si="558"/>
        <v/>
      </c>
      <c r="BO480" s="418" t="str">
        <f t="shared" si="558"/>
        <v/>
      </c>
      <c r="BP480" s="418" t="str">
        <f t="shared" si="558"/>
        <v/>
      </c>
      <c r="BQ480" s="418" t="str">
        <f t="shared" si="558"/>
        <v/>
      </c>
      <c r="BR480" s="418" t="str">
        <f t="shared" si="558"/>
        <v/>
      </c>
      <c r="BS480" s="418" t="str">
        <f t="shared" si="558"/>
        <v/>
      </c>
      <c r="BT480" s="418" t="str">
        <f t="shared" si="558"/>
        <v/>
      </c>
      <c r="BU480" s="418" t="str">
        <f t="shared" si="526"/>
        <v/>
      </c>
      <c r="BV480" s="544">
        <v>2.12</v>
      </c>
      <c r="BW480" s="723">
        <f t="shared" si="537"/>
        <v>5914.8</v>
      </c>
      <c r="BX480" s="724">
        <f t="shared" si="538"/>
        <v>45839.7</v>
      </c>
      <c r="BY480" s="725" t="str">
        <f t="shared" si="539"/>
        <v>SR</v>
      </c>
    </row>
    <row r="481" s="697" customFormat="1" customHeight="1" spans="1:77">
      <c r="A481" s="116">
        <v>46119</v>
      </c>
      <c r="B481" s="116">
        <v>46260</v>
      </c>
      <c r="C481" s="118" t="s">
        <v>651</v>
      </c>
      <c r="D481" s="118" t="s">
        <v>564</v>
      </c>
      <c r="E481" s="118" t="s">
        <v>107</v>
      </c>
      <c r="F481" s="726">
        <v>6215</v>
      </c>
      <c r="G481" s="118" t="s">
        <v>253</v>
      </c>
      <c r="H481" s="118" t="str">
        <f>IFERROR(VLOOKUP(E481,名称!A:E,4,0),"")</f>
        <v>三代</v>
      </c>
      <c r="I481" s="418" t="str">
        <f t="shared" ref="I481:BT481" si="559">IF(OR($E481="",I$1=""),"",IF(TRIM(LEFT($E481,MIN(IFERROR(FIND("CDU",UPPER($E481)),999),IFERROR(FIND("BULK",UPPER($E481)),999),IFERROR(FIND("-",$E481),999),IFERROR(FIND("（",$E481),999))-1))=I$1,$F481,""))</f>
        <v/>
      </c>
      <c r="J481" s="418" t="str">
        <f t="shared" si="559"/>
        <v/>
      </c>
      <c r="K481" s="418" t="str">
        <f t="shared" si="559"/>
        <v/>
      </c>
      <c r="L481" s="418" t="str">
        <f t="shared" si="559"/>
        <v/>
      </c>
      <c r="M481" s="418" t="str">
        <f t="shared" si="559"/>
        <v/>
      </c>
      <c r="N481" s="418" t="str">
        <f t="shared" si="559"/>
        <v/>
      </c>
      <c r="O481" s="418" t="str">
        <f t="shared" si="559"/>
        <v/>
      </c>
      <c r="P481" s="418" t="str">
        <f t="shared" si="559"/>
        <v/>
      </c>
      <c r="Q481" s="418" t="str">
        <f t="shared" si="559"/>
        <v/>
      </c>
      <c r="R481" s="418" t="str">
        <f t="shared" si="559"/>
        <v/>
      </c>
      <c r="S481" s="418" t="str">
        <f t="shared" si="559"/>
        <v/>
      </c>
      <c r="T481" s="418" t="str">
        <f t="shared" si="559"/>
        <v/>
      </c>
      <c r="U481" s="418" t="str">
        <f t="shared" si="559"/>
        <v/>
      </c>
      <c r="V481" s="418" t="str">
        <f t="shared" si="559"/>
        <v/>
      </c>
      <c r="W481" s="418" t="str">
        <f t="shared" si="559"/>
        <v/>
      </c>
      <c r="X481" s="418" t="str">
        <f t="shared" si="559"/>
        <v/>
      </c>
      <c r="Y481" s="418" t="str">
        <f t="shared" si="559"/>
        <v/>
      </c>
      <c r="Z481" s="418" t="str">
        <f t="shared" si="559"/>
        <v/>
      </c>
      <c r="AA481" s="418" t="str">
        <f t="shared" si="559"/>
        <v/>
      </c>
      <c r="AB481" s="418" t="str">
        <f t="shared" si="559"/>
        <v/>
      </c>
      <c r="AC481" s="418" t="str">
        <f t="shared" si="559"/>
        <v/>
      </c>
      <c r="AD481" s="418" t="str">
        <f t="shared" si="559"/>
        <v/>
      </c>
      <c r="AE481" s="418" t="str">
        <f t="shared" si="559"/>
        <v/>
      </c>
      <c r="AF481" s="418" t="str">
        <f t="shared" si="559"/>
        <v/>
      </c>
      <c r="AG481" s="418">
        <f t="shared" si="559"/>
        <v>6215</v>
      </c>
      <c r="AH481" s="418" t="str">
        <f t="shared" si="559"/>
        <v/>
      </c>
      <c r="AI481" s="418" t="str">
        <f t="shared" si="559"/>
        <v/>
      </c>
      <c r="AJ481" s="418" t="str">
        <f t="shared" si="559"/>
        <v/>
      </c>
      <c r="AK481" s="418" t="str">
        <f t="shared" si="559"/>
        <v/>
      </c>
      <c r="AL481" s="418" t="str">
        <f t="shared" si="559"/>
        <v/>
      </c>
      <c r="AM481" s="418" t="str">
        <f t="shared" si="559"/>
        <v/>
      </c>
      <c r="AN481" s="418" t="str">
        <f t="shared" si="559"/>
        <v/>
      </c>
      <c r="AO481" s="418" t="str">
        <f t="shared" si="559"/>
        <v/>
      </c>
      <c r="AP481" s="418" t="str">
        <f t="shared" si="559"/>
        <v/>
      </c>
      <c r="AQ481" s="418" t="str">
        <f t="shared" si="559"/>
        <v/>
      </c>
      <c r="AR481" s="418" t="str">
        <f t="shared" si="559"/>
        <v/>
      </c>
      <c r="AS481" s="418" t="str">
        <f t="shared" si="559"/>
        <v/>
      </c>
      <c r="AT481" s="418" t="str">
        <f t="shared" si="559"/>
        <v/>
      </c>
      <c r="AU481" s="418" t="str">
        <f t="shared" si="559"/>
        <v/>
      </c>
      <c r="AV481" s="418" t="str">
        <f t="shared" si="559"/>
        <v/>
      </c>
      <c r="AW481" s="418" t="str">
        <f t="shared" si="559"/>
        <v/>
      </c>
      <c r="AX481" s="418" t="str">
        <f t="shared" si="559"/>
        <v/>
      </c>
      <c r="AY481" s="418" t="str">
        <f t="shared" si="559"/>
        <v/>
      </c>
      <c r="AZ481" s="418" t="str">
        <f t="shared" si="559"/>
        <v/>
      </c>
      <c r="BA481" s="418" t="str">
        <f t="shared" si="559"/>
        <v/>
      </c>
      <c r="BB481" s="418" t="str">
        <f t="shared" si="559"/>
        <v/>
      </c>
      <c r="BC481" s="418" t="str">
        <f t="shared" si="559"/>
        <v/>
      </c>
      <c r="BD481" s="418" t="str">
        <f t="shared" si="559"/>
        <v/>
      </c>
      <c r="BE481" s="418" t="str">
        <f t="shared" si="559"/>
        <v/>
      </c>
      <c r="BF481" s="418" t="str">
        <f t="shared" si="559"/>
        <v/>
      </c>
      <c r="BG481" s="418" t="str">
        <f t="shared" si="559"/>
        <v/>
      </c>
      <c r="BH481" s="418" t="str">
        <f t="shared" si="559"/>
        <v/>
      </c>
      <c r="BI481" s="418" t="str">
        <f t="shared" si="559"/>
        <v/>
      </c>
      <c r="BJ481" s="418" t="str">
        <f t="shared" si="559"/>
        <v/>
      </c>
      <c r="BK481" s="418" t="str">
        <f t="shared" si="559"/>
        <v/>
      </c>
      <c r="BL481" s="418" t="str">
        <f t="shared" si="559"/>
        <v/>
      </c>
      <c r="BM481" s="418" t="str">
        <f t="shared" si="559"/>
        <v/>
      </c>
      <c r="BN481" s="418" t="str">
        <f t="shared" si="559"/>
        <v/>
      </c>
      <c r="BO481" s="418" t="str">
        <f t="shared" si="559"/>
        <v/>
      </c>
      <c r="BP481" s="418" t="str">
        <f t="shared" si="559"/>
        <v/>
      </c>
      <c r="BQ481" s="418" t="str">
        <f t="shared" si="559"/>
        <v/>
      </c>
      <c r="BR481" s="418" t="str">
        <f t="shared" si="559"/>
        <v/>
      </c>
      <c r="BS481" s="418" t="str">
        <f t="shared" si="559"/>
        <v/>
      </c>
      <c r="BT481" s="418" t="str">
        <f t="shared" si="559"/>
        <v/>
      </c>
      <c r="BU481" s="418" t="str">
        <f t="shared" si="526"/>
        <v/>
      </c>
      <c r="BV481" s="544">
        <v>2.12</v>
      </c>
      <c r="BW481" s="723">
        <f t="shared" si="537"/>
        <v>13175.8</v>
      </c>
      <c r="BX481" s="724">
        <f t="shared" si="538"/>
        <v>102112.45</v>
      </c>
      <c r="BY481" s="725" t="str">
        <f t="shared" si="539"/>
        <v>SR</v>
      </c>
    </row>
    <row r="482" s="697" customFormat="1" customHeight="1" spans="1:77">
      <c r="A482" s="116">
        <v>46119</v>
      </c>
      <c r="B482" s="116">
        <v>46274</v>
      </c>
      <c r="C482" s="118" t="s">
        <v>652</v>
      </c>
      <c r="D482" s="118" t="s">
        <v>565</v>
      </c>
      <c r="E482" s="118" t="s">
        <v>107</v>
      </c>
      <c r="F482" s="726">
        <v>3930</v>
      </c>
      <c r="G482" s="118" t="s">
        <v>253</v>
      </c>
      <c r="H482" s="118" t="str">
        <f>IFERROR(VLOOKUP(E482,名称!A:E,4,0),"")</f>
        <v>三代</v>
      </c>
      <c r="I482" s="418" t="str">
        <f t="shared" ref="I482:BT482" si="560">IF(OR($E482="",I$1=""),"",IF(TRIM(LEFT($E482,MIN(IFERROR(FIND("CDU",UPPER($E482)),999),IFERROR(FIND("BULK",UPPER($E482)),999),IFERROR(FIND("-",$E482),999),IFERROR(FIND("（",$E482),999))-1))=I$1,$F482,""))</f>
        <v/>
      </c>
      <c r="J482" s="418" t="str">
        <f t="shared" si="560"/>
        <v/>
      </c>
      <c r="K482" s="418" t="str">
        <f t="shared" si="560"/>
        <v/>
      </c>
      <c r="L482" s="418" t="str">
        <f t="shared" si="560"/>
        <v/>
      </c>
      <c r="M482" s="418" t="str">
        <f t="shared" si="560"/>
        <v/>
      </c>
      <c r="N482" s="418" t="str">
        <f t="shared" si="560"/>
        <v/>
      </c>
      <c r="O482" s="418" t="str">
        <f t="shared" si="560"/>
        <v/>
      </c>
      <c r="P482" s="418" t="str">
        <f t="shared" si="560"/>
        <v/>
      </c>
      <c r="Q482" s="418" t="str">
        <f t="shared" si="560"/>
        <v/>
      </c>
      <c r="R482" s="418" t="str">
        <f t="shared" si="560"/>
        <v/>
      </c>
      <c r="S482" s="418" t="str">
        <f t="shared" si="560"/>
        <v/>
      </c>
      <c r="T482" s="418" t="str">
        <f t="shared" si="560"/>
        <v/>
      </c>
      <c r="U482" s="418" t="str">
        <f t="shared" si="560"/>
        <v/>
      </c>
      <c r="V482" s="418" t="str">
        <f t="shared" si="560"/>
        <v/>
      </c>
      <c r="W482" s="418" t="str">
        <f t="shared" si="560"/>
        <v/>
      </c>
      <c r="X482" s="418" t="str">
        <f t="shared" si="560"/>
        <v/>
      </c>
      <c r="Y482" s="418" t="str">
        <f t="shared" si="560"/>
        <v/>
      </c>
      <c r="Z482" s="418" t="str">
        <f t="shared" si="560"/>
        <v/>
      </c>
      <c r="AA482" s="418" t="str">
        <f t="shared" si="560"/>
        <v/>
      </c>
      <c r="AB482" s="418" t="str">
        <f t="shared" si="560"/>
        <v/>
      </c>
      <c r="AC482" s="418" t="str">
        <f t="shared" si="560"/>
        <v/>
      </c>
      <c r="AD482" s="418" t="str">
        <f t="shared" si="560"/>
        <v/>
      </c>
      <c r="AE482" s="418" t="str">
        <f t="shared" si="560"/>
        <v/>
      </c>
      <c r="AF482" s="418" t="str">
        <f t="shared" si="560"/>
        <v/>
      </c>
      <c r="AG482" s="418">
        <f t="shared" si="560"/>
        <v>3930</v>
      </c>
      <c r="AH482" s="418" t="str">
        <f t="shared" si="560"/>
        <v/>
      </c>
      <c r="AI482" s="418" t="str">
        <f t="shared" si="560"/>
        <v/>
      </c>
      <c r="AJ482" s="418" t="str">
        <f t="shared" si="560"/>
        <v/>
      </c>
      <c r="AK482" s="418" t="str">
        <f t="shared" si="560"/>
        <v/>
      </c>
      <c r="AL482" s="418" t="str">
        <f t="shared" si="560"/>
        <v/>
      </c>
      <c r="AM482" s="418" t="str">
        <f t="shared" si="560"/>
        <v/>
      </c>
      <c r="AN482" s="418" t="str">
        <f t="shared" si="560"/>
        <v/>
      </c>
      <c r="AO482" s="418" t="str">
        <f t="shared" si="560"/>
        <v/>
      </c>
      <c r="AP482" s="418" t="str">
        <f t="shared" si="560"/>
        <v/>
      </c>
      <c r="AQ482" s="418" t="str">
        <f t="shared" si="560"/>
        <v/>
      </c>
      <c r="AR482" s="418" t="str">
        <f t="shared" si="560"/>
        <v/>
      </c>
      <c r="AS482" s="418" t="str">
        <f t="shared" si="560"/>
        <v/>
      </c>
      <c r="AT482" s="418" t="str">
        <f t="shared" si="560"/>
        <v/>
      </c>
      <c r="AU482" s="418" t="str">
        <f t="shared" si="560"/>
        <v/>
      </c>
      <c r="AV482" s="418" t="str">
        <f t="shared" si="560"/>
        <v/>
      </c>
      <c r="AW482" s="418" t="str">
        <f t="shared" si="560"/>
        <v/>
      </c>
      <c r="AX482" s="418" t="str">
        <f t="shared" si="560"/>
        <v/>
      </c>
      <c r="AY482" s="418" t="str">
        <f t="shared" si="560"/>
        <v/>
      </c>
      <c r="AZ482" s="418" t="str">
        <f t="shared" si="560"/>
        <v/>
      </c>
      <c r="BA482" s="418" t="str">
        <f t="shared" si="560"/>
        <v/>
      </c>
      <c r="BB482" s="418" t="str">
        <f t="shared" si="560"/>
        <v/>
      </c>
      <c r="BC482" s="418" t="str">
        <f t="shared" si="560"/>
        <v/>
      </c>
      <c r="BD482" s="418" t="str">
        <f t="shared" si="560"/>
        <v/>
      </c>
      <c r="BE482" s="418" t="str">
        <f t="shared" si="560"/>
        <v/>
      </c>
      <c r="BF482" s="418" t="str">
        <f t="shared" si="560"/>
        <v/>
      </c>
      <c r="BG482" s="418" t="str">
        <f t="shared" si="560"/>
        <v/>
      </c>
      <c r="BH482" s="418" t="str">
        <f t="shared" si="560"/>
        <v/>
      </c>
      <c r="BI482" s="418" t="str">
        <f t="shared" si="560"/>
        <v/>
      </c>
      <c r="BJ482" s="418" t="str">
        <f t="shared" si="560"/>
        <v/>
      </c>
      <c r="BK482" s="418" t="str">
        <f t="shared" si="560"/>
        <v/>
      </c>
      <c r="BL482" s="418" t="str">
        <f t="shared" si="560"/>
        <v/>
      </c>
      <c r="BM482" s="418" t="str">
        <f t="shared" si="560"/>
        <v/>
      </c>
      <c r="BN482" s="418" t="str">
        <f t="shared" si="560"/>
        <v/>
      </c>
      <c r="BO482" s="418" t="str">
        <f t="shared" si="560"/>
        <v/>
      </c>
      <c r="BP482" s="418" t="str">
        <f t="shared" si="560"/>
        <v/>
      </c>
      <c r="BQ482" s="418" t="str">
        <f t="shared" si="560"/>
        <v/>
      </c>
      <c r="BR482" s="418" t="str">
        <f t="shared" si="560"/>
        <v/>
      </c>
      <c r="BS482" s="418" t="str">
        <f t="shared" si="560"/>
        <v/>
      </c>
      <c r="BT482" s="418" t="str">
        <f t="shared" si="560"/>
        <v/>
      </c>
      <c r="BU482" s="418" t="str">
        <f t="shared" si="526"/>
        <v/>
      </c>
      <c r="BV482" s="544">
        <v>2.12</v>
      </c>
      <c r="BW482" s="723">
        <f t="shared" si="537"/>
        <v>8331.6</v>
      </c>
      <c r="BX482" s="724">
        <f t="shared" si="538"/>
        <v>64569.9</v>
      </c>
      <c r="BY482" s="725" t="str">
        <f t="shared" si="539"/>
        <v>SR</v>
      </c>
    </row>
    <row r="483" s="697" customFormat="1" customHeight="1" spans="1:77">
      <c r="A483" s="116">
        <v>46119</v>
      </c>
      <c r="B483" s="116">
        <v>46288</v>
      </c>
      <c r="C483" s="118" t="s">
        <v>653</v>
      </c>
      <c r="D483" s="118" t="s">
        <v>566</v>
      </c>
      <c r="E483" s="118" t="s">
        <v>107</v>
      </c>
      <c r="F483" s="726">
        <v>2430</v>
      </c>
      <c r="G483" s="118" t="s">
        <v>253</v>
      </c>
      <c r="H483" s="118" t="str">
        <f>IFERROR(VLOOKUP(E483,名称!A:E,4,0),"")</f>
        <v>三代</v>
      </c>
      <c r="I483" s="418" t="str">
        <f t="shared" ref="I483:BT483" si="561">IF(OR($E483="",I$1=""),"",IF(TRIM(LEFT($E483,MIN(IFERROR(FIND("CDU",UPPER($E483)),999),IFERROR(FIND("BULK",UPPER($E483)),999),IFERROR(FIND("-",$E483),999),IFERROR(FIND("（",$E483),999))-1))=I$1,$F483,""))</f>
        <v/>
      </c>
      <c r="J483" s="418" t="str">
        <f t="shared" si="561"/>
        <v/>
      </c>
      <c r="K483" s="418" t="str">
        <f t="shared" si="561"/>
        <v/>
      </c>
      <c r="L483" s="418" t="str">
        <f t="shared" si="561"/>
        <v/>
      </c>
      <c r="M483" s="418" t="str">
        <f t="shared" si="561"/>
        <v/>
      </c>
      <c r="N483" s="418" t="str">
        <f t="shared" si="561"/>
        <v/>
      </c>
      <c r="O483" s="418" t="str">
        <f t="shared" si="561"/>
        <v/>
      </c>
      <c r="P483" s="418" t="str">
        <f t="shared" si="561"/>
        <v/>
      </c>
      <c r="Q483" s="418" t="str">
        <f t="shared" si="561"/>
        <v/>
      </c>
      <c r="R483" s="418" t="str">
        <f t="shared" si="561"/>
        <v/>
      </c>
      <c r="S483" s="418" t="str">
        <f t="shared" si="561"/>
        <v/>
      </c>
      <c r="T483" s="418" t="str">
        <f t="shared" si="561"/>
        <v/>
      </c>
      <c r="U483" s="418" t="str">
        <f t="shared" si="561"/>
        <v/>
      </c>
      <c r="V483" s="418" t="str">
        <f t="shared" si="561"/>
        <v/>
      </c>
      <c r="W483" s="418" t="str">
        <f t="shared" si="561"/>
        <v/>
      </c>
      <c r="X483" s="418" t="str">
        <f t="shared" si="561"/>
        <v/>
      </c>
      <c r="Y483" s="418" t="str">
        <f t="shared" si="561"/>
        <v/>
      </c>
      <c r="Z483" s="418" t="str">
        <f t="shared" si="561"/>
        <v/>
      </c>
      <c r="AA483" s="418" t="str">
        <f t="shared" si="561"/>
        <v/>
      </c>
      <c r="AB483" s="418" t="str">
        <f t="shared" si="561"/>
        <v/>
      </c>
      <c r="AC483" s="418" t="str">
        <f t="shared" si="561"/>
        <v/>
      </c>
      <c r="AD483" s="418" t="str">
        <f t="shared" si="561"/>
        <v/>
      </c>
      <c r="AE483" s="418" t="str">
        <f t="shared" si="561"/>
        <v/>
      </c>
      <c r="AF483" s="418" t="str">
        <f t="shared" si="561"/>
        <v/>
      </c>
      <c r="AG483" s="418">
        <f t="shared" si="561"/>
        <v>2430</v>
      </c>
      <c r="AH483" s="418" t="str">
        <f t="shared" si="561"/>
        <v/>
      </c>
      <c r="AI483" s="418" t="str">
        <f t="shared" si="561"/>
        <v/>
      </c>
      <c r="AJ483" s="418" t="str">
        <f t="shared" si="561"/>
        <v/>
      </c>
      <c r="AK483" s="418" t="str">
        <f t="shared" si="561"/>
        <v/>
      </c>
      <c r="AL483" s="418" t="str">
        <f t="shared" si="561"/>
        <v/>
      </c>
      <c r="AM483" s="418" t="str">
        <f t="shared" si="561"/>
        <v/>
      </c>
      <c r="AN483" s="418" t="str">
        <f t="shared" si="561"/>
        <v/>
      </c>
      <c r="AO483" s="418" t="str">
        <f t="shared" si="561"/>
        <v/>
      </c>
      <c r="AP483" s="418" t="str">
        <f t="shared" si="561"/>
        <v/>
      </c>
      <c r="AQ483" s="418" t="str">
        <f t="shared" si="561"/>
        <v/>
      </c>
      <c r="AR483" s="418" t="str">
        <f t="shared" si="561"/>
        <v/>
      </c>
      <c r="AS483" s="418" t="str">
        <f t="shared" si="561"/>
        <v/>
      </c>
      <c r="AT483" s="418" t="str">
        <f t="shared" si="561"/>
        <v/>
      </c>
      <c r="AU483" s="418" t="str">
        <f t="shared" si="561"/>
        <v/>
      </c>
      <c r="AV483" s="418" t="str">
        <f t="shared" si="561"/>
        <v/>
      </c>
      <c r="AW483" s="418" t="str">
        <f t="shared" si="561"/>
        <v/>
      </c>
      <c r="AX483" s="418" t="str">
        <f t="shared" si="561"/>
        <v/>
      </c>
      <c r="AY483" s="418" t="str">
        <f t="shared" si="561"/>
        <v/>
      </c>
      <c r="AZ483" s="418" t="str">
        <f t="shared" si="561"/>
        <v/>
      </c>
      <c r="BA483" s="418" t="str">
        <f t="shared" si="561"/>
        <v/>
      </c>
      <c r="BB483" s="418" t="str">
        <f t="shared" si="561"/>
        <v/>
      </c>
      <c r="BC483" s="418" t="str">
        <f t="shared" si="561"/>
        <v/>
      </c>
      <c r="BD483" s="418" t="str">
        <f t="shared" si="561"/>
        <v/>
      </c>
      <c r="BE483" s="418" t="str">
        <f t="shared" si="561"/>
        <v/>
      </c>
      <c r="BF483" s="418" t="str">
        <f t="shared" si="561"/>
        <v/>
      </c>
      <c r="BG483" s="418" t="str">
        <f t="shared" si="561"/>
        <v/>
      </c>
      <c r="BH483" s="418" t="str">
        <f t="shared" si="561"/>
        <v/>
      </c>
      <c r="BI483" s="418" t="str">
        <f t="shared" si="561"/>
        <v/>
      </c>
      <c r="BJ483" s="418" t="str">
        <f t="shared" si="561"/>
        <v/>
      </c>
      <c r="BK483" s="418" t="str">
        <f t="shared" si="561"/>
        <v/>
      </c>
      <c r="BL483" s="418" t="str">
        <f t="shared" si="561"/>
        <v/>
      </c>
      <c r="BM483" s="418" t="str">
        <f t="shared" si="561"/>
        <v/>
      </c>
      <c r="BN483" s="418" t="str">
        <f t="shared" si="561"/>
        <v/>
      </c>
      <c r="BO483" s="418" t="str">
        <f t="shared" si="561"/>
        <v/>
      </c>
      <c r="BP483" s="418" t="str">
        <f t="shared" si="561"/>
        <v/>
      </c>
      <c r="BQ483" s="418" t="str">
        <f t="shared" si="561"/>
        <v/>
      </c>
      <c r="BR483" s="418" t="str">
        <f t="shared" si="561"/>
        <v/>
      </c>
      <c r="BS483" s="418" t="str">
        <f t="shared" si="561"/>
        <v/>
      </c>
      <c r="BT483" s="418" t="str">
        <f t="shared" si="561"/>
        <v/>
      </c>
      <c r="BU483" s="418" t="str">
        <f t="shared" si="526"/>
        <v/>
      </c>
      <c r="BV483" s="544">
        <v>2.12</v>
      </c>
      <c r="BW483" s="723">
        <f t="shared" si="537"/>
        <v>5151.6</v>
      </c>
      <c r="BX483" s="724">
        <f t="shared" si="538"/>
        <v>39924.9</v>
      </c>
      <c r="BY483" s="725" t="str">
        <f t="shared" si="539"/>
        <v>SR</v>
      </c>
    </row>
    <row r="484" s="697" customFormat="1" customHeight="1" spans="1:77">
      <c r="A484" s="116">
        <v>46119</v>
      </c>
      <c r="B484" s="116">
        <v>46302</v>
      </c>
      <c r="C484" s="118" t="s">
        <v>654</v>
      </c>
      <c r="D484" s="118" t="s">
        <v>567</v>
      </c>
      <c r="E484" s="118" t="s">
        <v>107</v>
      </c>
      <c r="F484" s="726">
        <v>2655</v>
      </c>
      <c r="G484" s="118" t="s">
        <v>253</v>
      </c>
      <c r="H484" s="118" t="str">
        <f>IFERROR(VLOOKUP(E484,名称!A:E,4,0),"")</f>
        <v>三代</v>
      </c>
      <c r="I484" s="418" t="str">
        <f t="shared" ref="I484:BT484" si="562">IF(OR($E484="",I$1=""),"",IF(TRIM(LEFT($E484,MIN(IFERROR(FIND("CDU",UPPER($E484)),999),IFERROR(FIND("BULK",UPPER($E484)),999),IFERROR(FIND("-",$E484),999),IFERROR(FIND("（",$E484),999))-1))=I$1,$F484,""))</f>
        <v/>
      </c>
      <c r="J484" s="418" t="str">
        <f t="shared" si="562"/>
        <v/>
      </c>
      <c r="K484" s="418" t="str">
        <f t="shared" si="562"/>
        <v/>
      </c>
      <c r="L484" s="418" t="str">
        <f t="shared" si="562"/>
        <v/>
      </c>
      <c r="M484" s="418" t="str">
        <f t="shared" si="562"/>
        <v/>
      </c>
      <c r="N484" s="418" t="str">
        <f t="shared" si="562"/>
        <v/>
      </c>
      <c r="O484" s="418" t="str">
        <f t="shared" si="562"/>
        <v/>
      </c>
      <c r="P484" s="418" t="str">
        <f t="shared" si="562"/>
        <v/>
      </c>
      <c r="Q484" s="418" t="str">
        <f t="shared" si="562"/>
        <v/>
      </c>
      <c r="R484" s="418" t="str">
        <f t="shared" si="562"/>
        <v/>
      </c>
      <c r="S484" s="418" t="str">
        <f t="shared" si="562"/>
        <v/>
      </c>
      <c r="T484" s="418" t="str">
        <f t="shared" si="562"/>
        <v/>
      </c>
      <c r="U484" s="418" t="str">
        <f t="shared" si="562"/>
        <v/>
      </c>
      <c r="V484" s="418" t="str">
        <f t="shared" si="562"/>
        <v/>
      </c>
      <c r="W484" s="418" t="str">
        <f t="shared" si="562"/>
        <v/>
      </c>
      <c r="X484" s="418" t="str">
        <f t="shared" si="562"/>
        <v/>
      </c>
      <c r="Y484" s="418" t="str">
        <f t="shared" si="562"/>
        <v/>
      </c>
      <c r="Z484" s="418" t="str">
        <f t="shared" si="562"/>
        <v/>
      </c>
      <c r="AA484" s="418" t="str">
        <f t="shared" si="562"/>
        <v/>
      </c>
      <c r="AB484" s="418" t="str">
        <f t="shared" si="562"/>
        <v/>
      </c>
      <c r="AC484" s="418" t="str">
        <f t="shared" si="562"/>
        <v/>
      </c>
      <c r="AD484" s="418" t="str">
        <f t="shared" si="562"/>
        <v/>
      </c>
      <c r="AE484" s="418" t="str">
        <f t="shared" si="562"/>
        <v/>
      </c>
      <c r="AF484" s="418" t="str">
        <f t="shared" si="562"/>
        <v/>
      </c>
      <c r="AG484" s="418">
        <f t="shared" si="562"/>
        <v>2655</v>
      </c>
      <c r="AH484" s="418" t="str">
        <f t="shared" si="562"/>
        <v/>
      </c>
      <c r="AI484" s="418" t="str">
        <f t="shared" si="562"/>
        <v/>
      </c>
      <c r="AJ484" s="418" t="str">
        <f t="shared" si="562"/>
        <v/>
      </c>
      <c r="AK484" s="418" t="str">
        <f t="shared" si="562"/>
        <v/>
      </c>
      <c r="AL484" s="418" t="str">
        <f t="shared" si="562"/>
        <v/>
      </c>
      <c r="AM484" s="418" t="str">
        <f t="shared" si="562"/>
        <v/>
      </c>
      <c r="AN484" s="418" t="str">
        <f t="shared" si="562"/>
        <v/>
      </c>
      <c r="AO484" s="418" t="str">
        <f t="shared" si="562"/>
        <v/>
      </c>
      <c r="AP484" s="418" t="str">
        <f t="shared" si="562"/>
        <v/>
      </c>
      <c r="AQ484" s="418" t="str">
        <f t="shared" si="562"/>
        <v/>
      </c>
      <c r="AR484" s="418" t="str">
        <f t="shared" si="562"/>
        <v/>
      </c>
      <c r="AS484" s="418" t="str">
        <f t="shared" si="562"/>
        <v/>
      </c>
      <c r="AT484" s="418" t="str">
        <f t="shared" si="562"/>
        <v/>
      </c>
      <c r="AU484" s="418" t="str">
        <f t="shared" si="562"/>
        <v/>
      </c>
      <c r="AV484" s="418" t="str">
        <f t="shared" si="562"/>
        <v/>
      </c>
      <c r="AW484" s="418" t="str">
        <f t="shared" si="562"/>
        <v/>
      </c>
      <c r="AX484" s="418" t="str">
        <f t="shared" si="562"/>
        <v/>
      </c>
      <c r="AY484" s="418" t="str">
        <f t="shared" si="562"/>
        <v/>
      </c>
      <c r="AZ484" s="418" t="str">
        <f t="shared" si="562"/>
        <v/>
      </c>
      <c r="BA484" s="418" t="str">
        <f t="shared" si="562"/>
        <v/>
      </c>
      <c r="BB484" s="418" t="str">
        <f t="shared" si="562"/>
        <v/>
      </c>
      <c r="BC484" s="418" t="str">
        <f t="shared" si="562"/>
        <v/>
      </c>
      <c r="BD484" s="418" t="str">
        <f t="shared" si="562"/>
        <v/>
      </c>
      <c r="BE484" s="418" t="str">
        <f t="shared" si="562"/>
        <v/>
      </c>
      <c r="BF484" s="418" t="str">
        <f t="shared" si="562"/>
        <v/>
      </c>
      <c r="BG484" s="418" t="str">
        <f t="shared" si="562"/>
        <v/>
      </c>
      <c r="BH484" s="418" t="str">
        <f t="shared" si="562"/>
        <v/>
      </c>
      <c r="BI484" s="418" t="str">
        <f t="shared" si="562"/>
        <v/>
      </c>
      <c r="BJ484" s="418" t="str">
        <f t="shared" si="562"/>
        <v/>
      </c>
      <c r="BK484" s="418" t="str">
        <f t="shared" si="562"/>
        <v/>
      </c>
      <c r="BL484" s="418" t="str">
        <f t="shared" si="562"/>
        <v/>
      </c>
      <c r="BM484" s="418" t="str">
        <f t="shared" si="562"/>
        <v/>
      </c>
      <c r="BN484" s="418" t="str">
        <f t="shared" si="562"/>
        <v/>
      </c>
      <c r="BO484" s="418" t="str">
        <f t="shared" si="562"/>
        <v/>
      </c>
      <c r="BP484" s="418" t="str">
        <f t="shared" si="562"/>
        <v/>
      </c>
      <c r="BQ484" s="418" t="str">
        <f t="shared" si="562"/>
        <v/>
      </c>
      <c r="BR484" s="418" t="str">
        <f t="shared" si="562"/>
        <v/>
      </c>
      <c r="BS484" s="418" t="str">
        <f t="shared" si="562"/>
        <v/>
      </c>
      <c r="BT484" s="418" t="str">
        <f t="shared" si="562"/>
        <v/>
      </c>
      <c r="BU484" s="418" t="str">
        <f t="shared" si="526"/>
        <v/>
      </c>
      <c r="BV484" s="544">
        <v>2.12</v>
      </c>
      <c r="BW484" s="723">
        <f t="shared" si="537"/>
        <v>5628.6</v>
      </c>
      <c r="BX484" s="724">
        <f t="shared" si="538"/>
        <v>43621.65</v>
      </c>
      <c r="BY484" s="725" t="str">
        <f t="shared" si="539"/>
        <v>SR</v>
      </c>
    </row>
    <row r="485" s="698" customFormat="1" customHeight="1" spans="1:77">
      <c r="A485" s="208">
        <v>46119</v>
      </c>
      <c r="B485" s="208">
        <v>46190</v>
      </c>
      <c r="C485" s="211" t="s">
        <v>655</v>
      </c>
      <c r="D485" s="211" t="s">
        <v>656</v>
      </c>
      <c r="E485" s="211" t="s">
        <v>60</v>
      </c>
      <c r="F485" s="732">
        <v>1068</v>
      </c>
      <c r="G485" s="211" t="s">
        <v>253</v>
      </c>
      <c r="H485" s="211" t="str">
        <f>IFERROR(VLOOKUP(E485,名称!A:E,4,0),"")</f>
        <v>三代</v>
      </c>
      <c r="I485" s="268" t="str">
        <f t="shared" ref="I485:BT485" si="563">IF(OR($E485="",I$1=""),"",IF(TRIM(LEFT($E485,MIN(IFERROR(FIND("CDU",UPPER($E485)),999),IFERROR(FIND("BULK",UPPER($E485)),999),IFERROR(FIND("-",$E485),999),IFERROR(FIND("（",$E485),999))-1))=I$1,$F485,""))</f>
        <v/>
      </c>
      <c r="J485" s="268" t="str">
        <f t="shared" si="563"/>
        <v/>
      </c>
      <c r="K485" s="268" t="str">
        <f t="shared" si="563"/>
        <v/>
      </c>
      <c r="L485" s="268" t="str">
        <f t="shared" si="563"/>
        <v/>
      </c>
      <c r="M485" s="268" t="str">
        <f t="shared" si="563"/>
        <v/>
      </c>
      <c r="N485" s="268" t="str">
        <f t="shared" si="563"/>
        <v/>
      </c>
      <c r="O485" s="268" t="str">
        <f t="shared" si="563"/>
        <v/>
      </c>
      <c r="P485" s="268" t="str">
        <f t="shared" si="563"/>
        <v/>
      </c>
      <c r="Q485" s="268" t="str">
        <f t="shared" si="563"/>
        <v/>
      </c>
      <c r="R485" s="268" t="str">
        <f t="shared" si="563"/>
        <v/>
      </c>
      <c r="S485" s="268" t="str">
        <f t="shared" si="563"/>
        <v/>
      </c>
      <c r="T485" s="268" t="str">
        <f t="shared" si="563"/>
        <v/>
      </c>
      <c r="U485" s="268" t="str">
        <f t="shared" si="563"/>
        <v/>
      </c>
      <c r="V485" s="268" t="str">
        <f t="shared" si="563"/>
        <v/>
      </c>
      <c r="W485" s="268" t="str">
        <f t="shared" si="563"/>
        <v/>
      </c>
      <c r="X485" s="268" t="str">
        <f t="shared" si="563"/>
        <v/>
      </c>
      <c r="Y485" s="268" t="str">
        <f t="shared" si="563"/>
        <v/>
      </c>
      <c r="Z485" s="268" t="str">
        <f t="shared" si="563"/>
        <v/>
      </c>
      <c r="AA485" s="268" t="str">
        <f t="shared" si="563"/>
        <v/>
      </c>
      <c r="AB485" s="268" t="str">
        <f t="shared" si="563"/>
        <v/>
      </c>
      <c r="AC485" s="268" t="str">
        <f t="shared" si="563"/>
        <v/>
      </c>
      <c r="AD485" s="268" t="str">
        <f t="shared" si="563"/>
        <v/>
      </c>
      <c r="AE485" s="268">
        <f t="shared" si="563"/>
        <v>1068</v>
      </c>
      <c r="AF485" s="268" t="str">
        <f t="shared" si="563"/>
        <v/>
      </c>
      <c r="AG485" s="268" t="str">
        <f t="shared" si="563"/>
        <v/>
      </c>
      <c r="AH485" s="268" t="str">
        <f t="shared" si="563"/>
        <v/>
      </c>
      <c r="AI485" s="268" t="str">
        <f t="shared" si="563"/>
        <v/>
      </c>
      <c r="AJ485" s="268" t="str">
        <f t="shared" si="563"/>
        <v/>
      </c>
      <c r="AK485" s="268" t="str">
        <f t="shared" si="563"/>
        <v/>
      </c>
      <c r="AL485" s="268" t="str">
        <f t="shared" si="563"/>
        <v/>
      </c>
      <c r="AM485" s="268" t="str">
        <f t="shared" si="563"/>
        <v/>
      </c>
      <c r="AN485" s="268" t="str">
        <f t="shared" si="563"/>
        <v/>
      </c>
      <c r="AO485" s="268" t="str">
        <f t="shared" si="563"/>
        <v/>
      </c>
      <c r="AP485" s="268" t="str">
        <f t="shared" si="563"/>
        <v/>
      </c>
      <c r="AQ485" s="268" t="str">
        <f t="shared" si="563"/>
        <v/>
      </c>
      <c r="AR485" s="268" t="str">
        <f t="shared" si="563"/>
        <v/>
      </c>
      <c r="AS485" s="268" t="str">
        <f t="shared" si="563"/>
        <v/>
      </c>
      <c r="AT485" s="268" t="str">
        <f t="shared" si="563"/>
        <v/>
      </c>
      <c r="AU485" s="268" t="str">
        <f t="shared" si="563"/>
        <v/>
      </c>
      <c r="AV485" s="268" t="str">
        <f t="shared" si="563"/>
        <v/>
      </c>
      <c r="AW485" s="268" t="str">
        <f t="shared" si="563"/>
        <v/>
      </c>
      <c r="AX485" s="268" t="str">
        <f t="shared" si="563"/>
        <v/>
      </c>
      <c r="AY485" s="268" t="str">
        <f t="shared" si="563"/>
        <v/>
      </c>
      <c r="AZ485" s="268" t="str">
        <f t="shared" si="563"/>
        <v/>
      </c>
      <c r="BA485" s="268" t="str">
        <f t="shared" si="563"/>
        <v/>
      </c>
      <c r="BB485" s="268" t="str">
        <f t="shared" si="563"/>
        <v/>
      </c>
      <c r="BC485" s="268" t="str">
        <f t="shared" si="563"/>
        <v/>
      </c>
      <c r="BD485" s="268" t="str">
        <f t="shared" si="563"/>
        <v/>
      </c>
      <c r="BE485" s="268" t="str">
        <f t="shared" si="563"/>
        <v/>
      </c>
      <c r="BF485" s="268" t="str">
        <f t="shared" si="563"/>
        <v/>
      </c>
      <c r="BG485" s="268" t="str">
        <f t="shared" si="563"/>
        <v/>
      </c>
      <c r="BH485" s="268" t="str">
        <f t="shared" si="563"/>
        <v/>
      </c>
      <c r="BI485" s="268" t="str">
        <f t="shared" si="563"/>
        <v/>
      </c>
      <c r="BJ485" s="268" t="str">
        <f t="shared" si="563"/>
        <v/>
      </c>
      <c r="BK485" s="268" t="str">
        <f t="shared" si="563"/>
        <v/>
      </c>
      <c r="BL485" s="268" t="str">
        <f t="shared" si="563"/>
        <v/>
      </c>
      <c r="BM485" s="268" t="str">
        <f t="shared" si="563"/>
        <v/>
      </c>
      <c r="BN485" s="268" t="str">
        <f t="shared" si="563"/>
        <v/>
      </c>
      <c r="BO485" s="268" t="str">
        <f t="shared" si="563"/>
        <v/>
      </c>
      <c r="BP485" s="268" t="str">
        <f t="shared" si="563"/>
        <v/>
      </c>
      <c r="BQ485" s="268" t="str">
        <f t="shared" si="563"/>
        <v/>
      </c>
      <c r="BR485" s="268" t="str">
        <f t="shared" si="563"/>
        <v/>
      </c>
      <c r="BS485" s="268" t="str">
        <f t="shared" si="563"/>
        <v/>
      </c>
      <c r="BT485" s="268" t="str">
        <f t="shared" si="563"/>
        <v/>
      </c>
      <c r="BU485" s="268" t="str">
        <f t="shared" si="526"/>
        <v/>
      </c>
      <c r="BV485" s="247">
        <v>0.63</v>
      </c>
      <c r="BW485" s="729">
        <f t="shared" si="537"/>
        <v>672.84</v>
      </c>
      <c r="BX485" s="730">
        <f t="shared" si="538"/>
        <v>5214.51</v>
      </c>
      <c r="BY485" s="731" t="str">
        <f t="shared" si="539"/>
        <v>SR</v>
      </c>
    </row>
    <row r="486" s="698" customFormat="1" customHeight="1" spans="1:77">
      <c r="A486" s="208">
        <v>46119</v>
      </c>
      <c r="B486" s="208">
        <v>46190</v>
      </c>
      <c r="C486" s="211" t="s">
        <v>655</v>
      </c>
      <c r="D486" s="211" t="s">
        <v>656</v>
      </c>
      <c r="E486" s="211" t="s">
        <v>60</v>
      </c>
      <c r="F486" s="732">
        <v>732</v>
      </c>
      <c r="G486" s="211" t="s">
        <v>253</v>
      </c>
      <c r="H486" s="211" t="str">
        <f>IFERROR(VLOOKUP(E486,名称!A:E,4,0),"")</f>
        <v>三代</v>
      </c>
      <c r="I486" s="268" t="str">
        <f t="shared" ref="I486:BT486" si="564">IF(OR($E486="",I$1=""),"",IF(TRIM(LEFT($E486,MIN(IFERROR(FIND("CDU",UPPER($E486)),999),IFERROR(FIND("BULK",UPPER($E486)),999),IFERROR(FIND("-",$E486),999),IFERROR(FIND("（",$E486),999))-1))=I$1,$F486,""))</f>
        <v/>
      </c>
      <c r="J486" s="268" t="str">
        <f t="shared" si="564"/>
        <v/>
      </c>
      <c r="K486" s="268" t="str">
        <f t="shared" si="564"/>
        <v/>
      </c>
      <c r="L486" s="268" t="str">
        <f t="shared" si="564"/>
        <v/>
      </c>
      <c r="M486" s="268" t="str">
        <f t="shared" si="564"/>
        <v/>
      </c>
      <c r="N486" s="268" t="str">
        <f t="shared" si="564"/>
        <v/>
      </c>
      <c r="O486" s="268" t="str">
        <f t="shared" si="564"/>
        <v/>
      </c>
      <c r="P486" s="268" t="str">
        <f t="shared" si="564"/>
        <v/>
      </c>
      <c r="Q486" s="268" t="str">
        <f t="shared" si="564"/>
        <v/>
      </c>
      <c r="R486" s="268" t="str">
        <f t="shared" si="564"/>
        <v/>
      </c>
      <c r="S486" s="268" t="str">
        <f t="shared" si="564"/>
        <v/>
      </c>
      <c r="T486" s="268" t="str">
        <f t="shared" si="564"/>
        <v/>
      </c>
      <c r="U486" s="268" t="str">
        <f t="shared" si="564"/>
        <v/>
      </c>
      <c r="V486" s="268" t="str">
        <f t="shared" si="564"/>
        <v/>
      </c>
      <c r="W486" s="268" t="str">
        <f t="shared" si="564"/>
        <v/>
      </c>
      <c r="X486" s="268" t="str">
        <f t="shared" si="564"/>
        <v/>
      </c>
      <c r="Y486" s="268" t="str">
        <f t="shared" si="564"/>
        <v/>
      </c>
      <c r="Z486" s="268" t="str">
        <f t="shared" si="564"/>
        <v/>
      </c>
      <c r="AA486" s="268" t="str">
        <f t="shared" si="564"/>
        <v/>
      </c>
      <c r="AB486" s="268" t="str">
        <f t="shared" si="564"/>
        <v/>
      </c>
      <c r="AC486" s="268" t="str">
        <f t="shared" si="564"/>
        <v/>
      </c>
      <c r="AD486" s="268" t="str">
        <f t="shared" si="564"/>
        <v/>
      </c>
      <c r="AE486" s="268">
        <f t="shared" si="564"/>
        <v>732</v>
      </c>
      <c r="AF486" s="268" t="str">
        <f t="shared" si="564"/>
        <v/>
      </c>
      <c r="AG486" s="268" t="str">
        <f t="shared" si="564"/>
        <v/>
      </c>
      <c r="AH486" s="268" t="str">
        <f t="shared" si="564"/>
        <v/>
      </c>
      <c r="AI486" s="268" t="str">
        <f t="shared" si="564"/>
        <v/>
      </c>
      <c r="AJ486" s="268" t="str">
        <f t="shared" si="564"/>
        <v/>
      </c>
      <c r="AK486" s="268" t="str">
        <f t="shared" si="564"/>
        <v/>
      </c>
      <c r="AL486" s="268" t="str">
        <f t="shared" si="564"/>
        <v/>
      </c>
      <c r="AM486" s="268" t="str">
        <f t="shared" si="564"/>
        <v/>
      </c>
      <c r="AN486" s="268" t="str">
        <f t="shared" si="564"/>
        <v/>
      </c>
      <c r="AO486" s="268" t="str">
        <f t="shared" si="564"/>
        <v/>
      </c>
      <c r="AP486" s="268" t="str">
        <f t="shared" si="564"/>
        <v/>
      </c>
      <c r="AQ486" s="268" t="str">
        <f t="shared" si="564"/>
        <v/>
      </c>
      <c r="AR486" s="268" t="str">
        <f t="shared" si="564"/>
        <v/>
      </c>
      <c r="AS486" s="268" t="str">
        <f t="shared" si="564"/>
        <v/>
      </c>
      <c r="AT486" s="268" t="str">
        <f t="shared" si="564"/>
        <v/>
      </c>
      <c r="AU486" s="268" t="str">
        <f t="shared" si="564"/>
        <v/>
      </c>
      <c r="AV486" s="268" t="str">
        <f t="shared" si="564"/>
        <v/>
      </c>
      <c r="AW486" s="268" t="str">
        <f t="shared" si="564"/>
        <v/>
      </c>
      <c r="AX486" s="268" t="str">
        <f t="shared" si="564"/>
        <v/>
      </c>
      <c r="AY486" s="268" t="str">
        <f t="shared" si="564"/>
        <v/>
      </c>
      <c r="AZ486" s="268" t="str">
        <f t="shared" si="564"/>
        <v/>
      </c>
      <c r="BA486" s="268" t="str">
        <f t="shared" si="564"/>
        <v/>
      </c>
      <c r="BB486" s="268" t="str">
        <f t="shared" si="564"/>
        <v/>
      </c>
      <c r="BC486" s="268" t="str">
        <f t="shared" si="564"/>
        <v/>
      </c>
      <c r="BD486" s="268" t="str">
        <f t="shared" si="564"/>
        <v/>
      </c>
      <c r="BE486" s="268" t="str">
        <f t="shared" si="564"/>
        <v/>
      </c>
      <c r="BF486" s="268" t="str">
        <f t="shared" si="564"/>
        <v/>
      </c>
      <c r="BG486" s="268" t="str">
        <f t="shared" si="564"/>
        <v/>
      </c>
      <c r="BH486" s="268" t="str">
        <f t="shared" si="564"/>
        <v/>
      </c>
      <c r="BI486" s="268" t="str">
        <f t="shared" si="564"/>
        <v/>
      </c>
      <c r="BJ486" s="268" t="str">
        <f t="shared" si="564"/>
        <v/>
      </c>
      <c r="BK486" s="268" t="str">
        <f t="shared" si="564"/>
        <v/>
      </c>
      <c r="BL486" s="268" t="str">
        <f t="shared" si="564"/>
        <v/>
      </c>
      <c r="BM486" s="268" t="str">
        <f t="shared" si="564"/>
        <v/>
      </c>
      <c r="BN486" s="268" t="str">
        <f t="shared" si="564"/>
        <v/>
      </c>
      <c r="BO486" s="268" t="str">
        <f t="shared" si="564"/>
        <v/>
      </c>
      <c r="BP486" s="268" t="str">
        <f t="shared" si="564"/>
        <v/>
      </c>
      <c r="BQ486" s="268" t="str">
        <f t="shared" si="564"/>
        <v/>
      </c>
      <c r="BR486" s="268" t="str">
        <f t="shared" si="564"/>
        <v/>
      </c>
      <c r="BS486" s="268" t="str">
        <f t="shared" si="564"/>
        <v/>
      </c>
      <c r="BT486" s="268" t="str">
        <f t="shared" si="564"/>
        <v/>
      </c>
      <c r="BU486" s="268" t="str">
        <f t="shared" si="526"/>
        <v/>
      </c>
      <c r="BV486" s="247">
        <v>0.63</v>
      </c>
      <c r="BW486" s="729">
        <f t="shared" si="537"/>
        <v>461.16</v>
      </c>
      <c r="BX486" s="730">
        <f t="shared" si="538"/>
        <v>3573.99</v>
      </c>
      <c r="BY486" s="731" t="str">
        <f t="shared" si="539"/>
        <v>SR</v>
      </c>
    </row>
    <row r="487" s="698" customFormat="1" customHeight="1" spans="1:77">
      <c r="A487" s="208">
        <v>46119</v>
      </c>
      <c r="B487" s="208">
        <v>46204</v>
      </c>
      <c r="C487" s="211" t="s">
        <v>657</v>
      </c>
      <c r="D487" s="211" t="s">
        <v>658</v>
      </c>
      <c r="E487" s="211" t="s">
        <v>60</v>
      </c>
      <c r="F487" s="732">
        <v>1800</v>
      </c>
      <c r="G487" s="211" t="s">
        <v>253</v>
      </c>
      <c r="H487" s="211" t="str">
        <f>IFERROR(VLOOKUP(E487,名称!A:E,4,0),"")</f>
        <v>三代</v>
      </c>
      <c r="I487" s="268" t="str">
        <f t="shared" ref="I487:BT487" si="565">IF(OR($E487="",I$1=""),"",IF(TRIM(LEFT($E487,MIN(IFERROR(FIND("CDU",UPPER($E487)),999),IFERROR(FIND("BULK",UPPER($E487)),999),IFERROR(FIND("-",$E487),999),IFERROR(FIND("（",$E487),999))-1))=I$1,$F487,""))</f>
        <v/>
      </c>
      <c r="J487" s="268" t="str">
        <f t="shared" si="565"/>
        <v/>
      </c>
      <c r="K487" s="268" t="str">
        <f t="shared" si="565"/>
        <v/>
      </c>
      <c r="L487" s="268" t="str">
        <f t="shared" si="565"/>
        <v/>
      </c>
      <c r="M487" s="268" t="str">
        <f t="shared" si="565"/>
        <v/>
      </c>
      <c r="N487" s="268" t="str">
        <f t="shared" si="565"/>
        <v/>
      </c>
      <c r="O487" s="268" t="str">
        <f t="shared" si="565"/>
        <v/>
      </c>
      <c r="P487" s="268" t="str">
        <f t="shared" si="565"/>
        <v/>
      </c>
      <c r="Q487" s="268" t="str">
        <f t="shared" si="565"/>
        <v/>
      </c>
      <c r="R487" s="268" t="str">
        <f t="shared" si="565"/>
        <v/>
      </c>
      <c r="S487" s="268" t="str">
        <f t="shared" si="565"/>
        <v/>
      </c>
      <c r="T487" s="268" t="str">
        <f t="shared" si="565"/>
        <v/>
      </c>
      <c r="U487" s="268" t="str">
        <f t="shared" si="565"/>
        <v/>
      </c>
      <c r="V487" s="268" t="str">
        <f t="shared" si="565"/>
        <v/>
      </c>
      <c r="W487" s="268" t="str">
        <f t="shared" si="565"/>
        <v/>
      </c>
      <c r="X487" s="268" t="str">
        <f t="shared" si="565"/>
        <v/>
      </c>
      <c r="Y487" s="268" t="str">
        <f t="shared" si="565"/>
        <v/>
      </c>
      <c r="Z487" s="268" t="str">
        <f t="shared" si="565"/>
        <v/>
      </c>
      <c r="AA487" s="268" t="str">
        <f t="shared" si="565"/>
        <v/>
      </c>
      <c r="AB487" s="268" t="str">
        <f t="shared" si="565"/>
        <v/>
      </c>
      <c r="AC487" s="268" t="str">
        <f t="shared" si="565"/>
        <v/>
      </c>
      <c r="AD487" s="268" t="str">
        <f t="shared" si="565"/>
        <v/>
      </c>
      <c r="AE487" s="268">
        <f t="shared" si="565"/>
        <v>1800</v>
      </c>
      <c r="AF487" s="268" t="str">
        <f t="shared" si="565"/>
        <v/>
      </c>
      <c r="AG487" s="268" t="str">
        <f t="shared" si="565"/>
        <v/>
      </c>
      <c r="AH487" s="268" t="str">
        <f t="shared" si="565"/>
        <v/>
      </c>
      <c r="AI487" s="268" t="str">
        <f t="shared" si="565"/>
        <v/>
      </c>
      <c r="AJ487" s="268" t="str">
        <f t="shared" si="565"/>
        <v/>
      </c>
      <c r="AK487" s="268" t="str">
        <f t="shared" si="565"/>
        <v/>
      </c>
      <c r="AL487" s="268" t="str">
        <f t="shared" si="565"/>
        <v/>
      </c>
      <c r="AM487" s="268" t="str">
        <f t="shared" si="565"/>
        <v/>
      </c>
      <c r="AN487" s="268" t="str">
        <f t="shared" si="565"/>
        <v/>
      </c>
      <c r="AO487" s="268" t="str">
        <f t="shared" si="565"/>
        <v/>
      </c>
      <c r="AP487" s="268" t="str">
        <f t="shared" si="565"/>
        <v/>
      </c>
      <c r="AQ487" s="268" t="str">
        <f t="shared" si="565"/>
        <v/>
      </c>
      <c r="AR487" s="268" t="str">
        <f t="shared" si="565"/>
        <v/>
      </c>
      <c r="AS487" s="268" t="str">
        <f t="shared" si="565"/>
        <v/>
      </c>
      <c r="AT487" s="268" t="str">
        <f t="shared" si="565"/>
        <v/>
      </c>
      <c r="AU487" s="268" t="str">
        <f t="shared" si="565"/>
        <v/>
      </c>
      <c r="AV487" s="268" t="str">
        <f t="shared" si="565"/>
        <v/>
      </c>
      <c r="AW487" s="268" t="str">
        <f t="shared" si="565"/>
        <v/>
      </c>
      <c r="AX487" s="268" t="str">
        <f t="shared" si="565"/>
        <v/>
      </c>
      <c r="AY487" s="268" t="str">
        <f t="shared" si="565"/>
        <v/>
      </c>
      <c r="AZ487" s="268" t="str">
        <f t="shared" si="565"/>
        <v/>
      </c>
      <c r="BA487" s="268" t="str">
        <f t="shared" si="565"/>
        <v/>
      </c>
      <c r="BB487" s="268" t="str">
        <f t="shared" si="565"/>
        <v/>
      </c>
      <c r="BC487" s="268" t="str">
        <f t="shared" si="565"/>
        <v/>
      </c>
      <c r="BD487" s="268" t="str">
        <f t="shared" si="565"/>
        <v/>
      </c>
      <c r="BE487" s="268" t="str">
        <f t="shared" si="565"/>
        <v/>
      </c>
      <c r="BF487" s="268" t="str">
        <f t="shared" si="565"/>
        <v/>
      </c>
      <c r="BG487" s="268" t="str">
        <f t="shared" si="565"/>
        <v/>
      </c>
      <c r="BH487" s="268" t="str">
        <f t="shared" si="565"/>
        <v/>
      </c>
      <c r="BI487" s="268" t="str">
        <f t="shared" si="565"/>
        <v/>
      </c>
      <c r="BJ487" s="268" t="str">
        <f t="shared" si="565"/>
        <v/>
      </c>
      <c r="BK487" s="268" t="str">
        <f t="shared" si="565"/>
        <v/>
      </c>
      <c r="BL487" s="268" t="str">
        <f t="shared" si="565"/>
        <v/>
      </c>
      <c r="BM487" s="268" t="str">
        <f t="shared" si="565"/>
        <v/>
      </c>
      <c r="BN487" s="268" t="str">
        <f t="shared" si="565"/>
        <v/>
      </c>
      <c r="BO487" s="268" t="str">
        <f t="shared" si="565"/>
        <v/>
      </c>
      <c r="BP487" s="268" t="str">
        <f t="shared" si="565"/>
        <v/>
      </c>
      <c r="BQ487" s="268" t="str">
        <f t="shared" si="565"/>
        <v/>
      </c>
      <c r="BR487" s="268" t="str">
        <f t="shared" si="565"/>
        <v/>
      </c>
      <c r="BS487" s="268" t="str">
        <f t="shared" si="565"/>
        <v/>
      </c>
      <c r="BT487" s="268" t="str">
        <f t="shared" si="565"/>
        <v/>
      </c>
      <c r="BU487" s="268" t="str">
        <f t="shared" si="526"/>
        <v/>
      </c>
      <c r="BV487" s="247">
        <v>0.63</v>
      </c>
      <c r="BW487" s="729">
        <f t="shared" si="537"/>
        <v>1134</v>
      </c>
      <c r="BX487" s="730">
        <f t="shared" si="538"/>
        <v>8788.5</v>
      </c>
      <c r="BY487" s="731" t="str">
        <f t="shared" si="539"/>
        <v>SR</v>
      </c>
    </row>
    <row r="488" s="698" customFormat="1" customHeight="1" spans="1:77">
      <c r="A488" s="208">
        <v>46119</v>
      </c>
      <c r="B488" s="208">
        <v>46218</v>
      </c>
      <c r="C488" s="211" t="s">
        <v>659</v>
      </c>
      <c r="D488" s="211" t="s">
        <v>660</v>
      </c>
      <c r="E488" s="211" t="s">
        <v>60</v>
      </c>
      <c r="F488" s="732">
        <v>1800</v>
      </c>
      <c r="G488" s="211" t="s">
        <v>253</v>
      </c>
      <c r="H488" s="211" t="str">
        <f>IFERROR(VLOOKUP(E488,名称!A:E,4,0),"")</f>
        <v>三代</v>
      </c>
      <c r="I488" s="268" t="str">
        <f t="shared" ref="I488:BT488" si="566">IF(OR($E488="",I$1=""),"",IF(TRIM(LEFT($E488,MIN(IFERROR(FIND("CDU",UPPER($E488)),999),IFERROR(FIND("BULK",UPPER($E488)),999),IFERROR(FIND("-",$E488),999),IFERROR(FIND("（",$E488),999))-1))=I$1,$F488,""))</f>
        <v/>
      </c>
      <c r="J488" s="268" t="str">
        <f t="shared" si="566"/>
        <v/>
      </c>
      <c r="K488" s="268" t="str">
        <f t="shared" si="566"/>
        <v/>
      </c>
      <c r="L488" s="268" t="str">
        <f t="shared" si="566"/>
        <v/>
      </c>
      <c r="M488" s="268" t="str">
        <f t="shared" si="566"/>
        <v/>
      </c>
      <c r="N488" s="268" t="str">
        <f t="shared" si="566"/>
        <v/>
      </c>
      <c r="O488" s="268" t="str">
        <f t="shared" si="566"/>
        <v/>
      </c>
      <c r="P488" s="268" t="str">
        <f t="shared" si="566"/>
        <v/>
      </c>
      <c r="Q488" s="268" t="str">
        <f t="shared" si="566"/>
        <v/>
      </c>
      <c r="R488" s="268" t="str">
        <f t="shared" si="566"/>
        <v/>
      </c>
      <c r="S488" s="268" t="str">
        <f t="shared" si="566"/>
        <v/>
      </c>
      <c r="T488" s="268" t="str">
        <f t="shared" si="566"/>
        <v/>
      </c>
      <c r="U488" s="268" t="str">
        <f t="shared" si="566"/>
        <v/>
      </c>
      <c r="V488" s="268" t="str">
        <f t="shared" si="566"/>
        <v/>
      </c>
      <c r="W488" s="268" t="str">
        <f t="shared" si="566"/>
        <v/>
      </c>
      <c r="X488" s="268" t="str">
        <f t="shared" si="566"/>
        <v/>
      </c>
      <c r="Y488" s="268" t="str">
        <f t="shared" si="566"/>
        <v/>
      </c>
      <c r="Z488" s="268" t="str">
        <f t="shared" si="566"/>
        <v/>
      </c>
      <c r="AA488" s="268" t="str">
        <f t="shared" si="566"/>
        <v/>
      </c>
      <c r="AB488" s="268" t="str">
        <f t="shared" si="566"/>
        <v/>
      </c>
      <c r="AC488" s="268" t="str">
        <f t="shared" si="566"/>
        <v/>
      </c>
      <c r="AD488" s="268" t="str">
        <f t="shared" si="566"/>
        <v/>
      </c>
      <c r="AE488" s="268">
        <f t="shared" si="566"/>
        <v>1800</v>
      </c>
      <c r="AF488" s="268" t="str">
        <f t="shared" si="566"/>
        <v/>
      </c>
      <c r="AG488" s="268" t="str">
        <f t="shared" si="566"/>
        <v/>
      </c>
      <c r="AH488" s="268" t="str">
        <f t="shared" si="566"/>
        <v/>
      </c>
      <c r="AI488" s="268" t="str">
        <f t="shared" si="566"/>
        <v/>
      </c>
      <c r="AJ488" s="268" t="str">
        <f t="shared" si="566"/>
        <v/>
      </c>
      <c r="AK488" s="268" t="str">
        <f t="shared" si="566"/>
        <v/>
      </c>
      <c r="AL488" s="268" t="str">
        <f t="shared" si="566"/>
        <v/>
      </c>
      <c r="AM488" s="268" t="str">
        <f t="shared" si="566"/>
        <v/>
      </c>
      <c r="AN488" s="268" t="str">
        <f t="shared" si="566"/>
        <v/>
      </c>
      <c r="AO488" s="268" t="str">
        <f t="shared" si="566"/>
        <v/>
      </c>
      <c r="AP488" s="268" t="str">
        <f t="shared" si="566"/>
        <v/>
      </c>
      <c r="AQ488" s="268" t="str">
        <f t="shared" si="566"/>
        <v/>
      </c>
      <c r="AR488" s="268" t="str">
        <f t="shared" si="566"/>
        <v/>
      </c>
      <c r="AS488" s="268" t="str">
        <f t="shared" si="566"/>
        <v/>
      </c>
      <c r="AT488" s="268" t="str">
        <f t="shared" si="566"/>
        <v/>
      </c>
      <c r="AU488" s="268" t="str">
        <f t="shared" si="566"/>
        <v/>
      </c>
      <c r="AV488" s="268" t="str">
        <f t="shared" si="566"/>
        <v/>
      </c>
      <c r="AW488" s="268" t="str">
        <f t="shared" si="566"/>
        <v/>
      </c>
      <c r="AX488" s="268" t="str">
        <f t="shared" si="566"/>
        <v/>
      </c>
      <c r="AY488" s="268" t="str">
        <f t="shared" si="566"/>
        <v/>
      </c>
      <c r="AZ488" s="268" t="str">
        <f t="shared" si="566"/>
        <v/>
      </c>
      <c r="BA488" s="268" t="str">
        <f t="shared" si="566"/>
        <v/>
      </c>
      <c r="BB488" s="268" t="str">
        <f t="shared" si="566"/>
        <v/>
      </c>
      <c r="BC488" s="268" t="str">
        <f t="shared" si="566"/>
        <v/>
      </c>
      <c r="BD488" s="268" t="str">
        <f t="shared" si="566"/>
        <v/>
      </c>
      <c r="BE488" s="268" t="str">
        <f t="shared" si="566"/>
        <v/>
      </c>
      <c r="BF488" s="268" t="str">
        <f t="shared" si="566"/>
        <v/>
      </c>
      <c r="BG488" s="268" t="str">
        <f t="shared" si="566"/>
        <v/>
      </c>
      <c r="BH488" s="268" t="str">
        <f t="shared" si="566"/>
        <v/>
      </c>
      <c r="BI488" s="268" t="str">
        <f t="shared" si="566"/>
        <v/>
      </c>
      <c r="BJ488" s="268" t="str">
        <f t="shared" si="566"/>
        <v/>
      </c>
      <c r="BK488" s="268" t="str">
        <f t="shared" si="566"/>
        <v/>
      </c>
      <c r="BL488" s="268" t="str">
        <f t="shared" si="566"/>
        <v/>
      </c>
      <c r="BM488" s="268" t="str">
        <f t="shared" si="566"/>
        <v/>
      </c>
      <c r="BN488" s="268" t="str">
        <f t="shared" si="566"/>
        <v/>
      </c>
      <c r="BO488" s="268" t="str">
        <f t="shared" si="566"/>
        <v/>
      </c>
      <c r="BP488" s="268" t="str">
        <f t="shared" si="566"/>
        <v/>
      </c>
      <c r="BQ488" s="268" t="str">
        <f t="shared" si="566"/>
        <v/>
      </c>
      <c r="BR488" s="268" t="str">
        <f t="shared" si="566"/>
        <v/>
      </c>
      <c r="BS488" s="268" t="str">
        <f t="shared" si="566"/>
        <v/>
      </c>
      <c r="BT488" s="268" t="str">
        <f t="shared" si="566"/>
        <v/>
      </c>
      <c r="BU488" s="268" t="str">
        <f t="shared" si="526"/>
        <v/>
      </c>
      <c r="BV488" s="247">
        <v>0.63</v>
      </c>
      <c r="BW488" s="729">
        <f t="shared" si="537"/>
        <v>1134</v>
      </c>
      <c r="BX488" s="730">
        <f t="shared" si="538"/>
        <v>8788.5</v>
      </c>
      <c r="BY488" s="731" t="str">
        <f t="shared" si="539"/>
        <v>SR</v>
      </c>
    </row>
    <row r="489" s="697" customFormat="1" customHeight="1" spans="1:77">
      <c r="A489" s="116">
        <v>46119</v>
      </c>
      <c r="B489" s="116">
        <v>46232</v>
      </c>
      <c r="C489" s="118" t="s">
        <v>661</v>
      </c>
      <c r="D489" s="118" t="s">
        <v>662</v>
      </c>
      <c r="E489" s="118" t="s">
        <v>60</v>
      </c>
      <c r="F489" s="726">
        <v>1800</v>
      </c>
      <c r="G489" s="118" t="s">
        <v>253</v>
      </c>
      <c r="H489" s="118" t="str">
        <f>IFERROR(VLOOKUP(E489,名称!A:E,4,0),"")</f>
        <v>三代</v>
      </c>
      <c r="I489" s="418" t="str">
        <f t="shared" ref="I489:BT489" si="567">IF(OR($E489="",I$1=""),"",IF(TRIM(LEFT($E489,MIN(IFERROR(FIND("CDU",UPPER($E489)),999),IFERROR(FIND("BULK",UPPER($E489)),999),IFERROR(FIND("-",$E489),999),IFERROR(FIND("（",$E489),999))-1))=I$1,$F489,""))</f>
        <v/>
      </c>
      <c r="J489" s="418" t="str">
        <f t="shared" si="567"/>
        <v/>
      </c>
      <c r="K489" s="418" t="str">
        <f t="shared" si="567"/>
        <v/>
      </c>
      <c r="L489" s="418" t="str">
        <f t="shared" si="567"/>
        <v/>
      </c>
      <c r="M489" s="418" t="str">
        <f t="shared" si="567"/>
        <v/>
      </c>
      <c r="N489" s="418" t="str">
        <f t="shared" si="567"/>
        <v/>
      </c>
      <c r="O489" s="418" t="str">
        <f t="shared" si="567"/>
        <v/>
      </c>
      <c r="P489" s="418" t="str">
        <f t="shared" si="567"/>
        <v/>
      </c>
      <c r="Q489" s="418" t="str">
        <f t="shared" si="567"/>
        <v/>
      </c>
      <c r="R489" s="418" t="str">
        <f t="shared" si="567"/>
        <v/>
      </c>
      <c r="S489" s="418" t="str">
        <f t="shared" si="567"/>
        <v/>
      </c>
      <c r="T489" s="418" t="str">
        <f t="shared" si="567"/>
        <v/>
      </c>
      <c r="U489" s="418" t="str">
        <f t="shared" si="567"/>
        <v/>
      </c>
      <c r="V489" s="418" t="str">
        <f t="shared" si="567"/>
        <v/>
      </c>
      <c r="W489" s="418" t="str">
        <f t="shared" si="567"/>
        <v/>
      </c>
      <c r="X489" s="418" t="str">
        <f t="shared" si="567"/>
        <v/>
      </c>
      <c r="Y489" s="418" t="str">
        <f t="shared" si="567"/>
        <v/>
      </c>
      <c r="Z489" s="418" t="str">
        <f t="shared" si="567"/>
        <v/>
      </c>
      <c r="AA489" s="418" t="str">
        <f t="shared" si="567"/>
        <v/>
      </c>
      <c r="AB489" s="418" t="str">
        <f t="shared" si="567"/>
        <v/>
      </c>
      <c r="AC489" s="418" t="str">
        <f t="shared" si="567"/>
        <v/>
      </c>
      <c r="AD489" s="418" t="str">
        <f t="shared" si="567"/>
        <v/>
      </c>
      <c r="AE489" s="418">
        <f t="shared" si="567"/>
        <v>1800</v>
      </c>
      <c r="AF489" s="418" t="str">
        <f t="shared" si="567"/>
        <v/>
      </c>
      <c r="AG489" s="418" t="str">
        <f t="shared" si="567"/>
        <v/>
      </c>
      <c r="AH489" s="418" t="str">
        <f t="shared" si="567"/>
        <v/>
      </c>
      <c r="AI489" s="418" t="str">
        <f t="shared" si="567"/>
        <v/>
      </c>
      <c r="AJ489" s="418" t="str">
        <f t="shared" si="567"/>
        <v/>
      </c>
      <c r="AK489" s="418" t="str">
        <f t="shared" si="567"/>
        <v/>
      </c>
      <c r="AL489" s="418" t="str">
        <f t="shared" si="567"/>
        <v/>
      </c>
      <c r="AM489" s="418" t="str">
        <f t="shared" si="567"/>
        <v/>
      </c>
      <c r="AN489" s="418" t="str">
        <f t="shared" si="567"/>
        <v/>
      </c>
      <c r="AO489" s="418" t="str">
        <f t="shared" si="567"/>
        <v/>
      </c>
      <c r="AP489" s="418" t="str">
        <f t="shared" si="567"/>
        <v/>
      </c>
      <c r="AQ489" s="418" t="str">
        <f t="shared" si="567"/>
        <v/>
      </c>
      <c r="AR489" s="418" t="str">
        <f t="shared" si="567"/>
        <v/>
      </c>
      <c r="AS489" s="418" t="str">
        <f t="shared" si="567"/>
        <v/>
      </c>
      <c r="AT489" s="418" t="str">
        <f t="shared" si="567"/>
        <v/>
      </c>
      <c r="AU489" s="418" t="str">
        <f t="shared" si="567"/>
        <v/>
      </c>
      <c r="AV489" s="418" t="str">
        <f t="shared" si="567"/>
        <v/>
      </c>
      <c r="AW489" s="418" t="str">
        <f t="shared" si="567"/>
        <v/>
      </c>
      <c r="AX489" s="418" t="str">
        <f t="shared" si="567"/>
        <v/>
      </c>
      <c r="AY489" s="418" t="str">
        <f t="shared" si="567"/>
        <v/>
      </c>
      <c r="AZ489" s="418" t="str">
        <f t="shared" si="567"/>
        <v/>
      </c>
      <c r="BA489" s="418" t="str">
        <f t="shared" si="567"/>
        <v/>
      </c>
      <c r="BB489" s="418" t="str">
        <f t="shared" si="567"/>
        <v/>
      </c>
      <c r="BC489" s="418" t="str">
        <f t="shared" si="567"/>
        <v/>
      </c>
      <c r="BD489" s="418" t="str">
        <f t="shared" si="567"/>
        <v/>
      </c>
      <c r="BE489" s="418" t="str">
        <f t="shared" si="567"/>
        <v/>
      </c>
      <c r="BF489" s="418" t="str">
        <f t="shared" si="567"/>
        <v/>
      </c>
      <c r="BG489" s="418" t="str">
        <f t="shared" si="567"/>
        <v/>
      </c>
      <c r="BH489" s="418" t="str">
        <f t="shared" si="567"/>
        <v/>
      </c>
      <c r="BI489" s="418" t="str">
        <f t="shared" si="567"/>
        <v/>
      </c>
      <c r="BJ489" s="418" t="str">
        <f t="shared" si="567"/>
        <v/>
      </c>
      <c r="BK489" s="418" t="str">
        <f t="shared" si="567"/>
        <v/>
      </c>
      <c r="BL489" s="418" t="str">
        <f t="shared" si="567"/>
        <v/>
      </c>
      <c r="BM489" s="418" t="str">
        <f t="shared" si="567"/>
        <v/>
      </c>
      <c r="BN489" s="418" t="str">
        <f t="shared" si="567"/>
        <v/>
      </c>
      <c r="BO489" s="418" t="str">
        <f t="shared" si="567"/>
        <v/>
      </c>
      <c r="BP489" s="418" t="str">
        <f t="shared" si="567"/>
        <v/>
      </c>
      <c r="BQ489" s="418" t="str">
        <f t="shared" si="567"/>
        <v/>
      </c>
      <c r="BR489" s="418" t="str">
        <f t="shared" si="567"/>
        <v/>
      </c>
      <c r="BS489" s="418" t="str">
        <f t="shared" si="567"/>
        <v/>
      </c>
      <c r="BT489" s="418" t="str">
        <f t="shared" si="567"/>
        <v/>
      </c>
      <c r="BU489" s="418" t="str">
        <f t="shared" si="526"/>
        <v/>
      </c>
      <c r="BV489" s="544">
        <v>0.61</v>
      </c>
      <c r="BW489" s="723">
        <f t="shared" si="537"/>
        <v>1098</v>
      </c>
      <c r="BX489" s="724">
        <f t="shared" si="538"/>
        <v>8509.5</v>
      </c>
      <c r="BY489" s="725" t="str">
        <f t="shared" si="539"/>
        <v>SR</v>
      </c>
    </row>
    <row r="490" s="697" customFormat="1" customHeight="1" spans="1:77">
      <c r="A490" s="116">
        <v>46119</v>
      </c>
      <c r="B490" s="116">
        <v>46246</v>
      </c>
      <c r="C490" s="118" t="s">
        <v>663</v>
      </c>
      <c r="D490" s="118" t="s">
        <v>664</v>
      </c>
      <c r="E490" s="118" t="s">
        <v>60</v>
      </c>
      <c r="F490" s="726">
        <v>1800</v>
      </c>
      <c r="G490" s="118" t="s">
        <v>253</v>
      </c>
      <c r="H490" s="118" t="str">
        <f>IFERROR(VLOOKUP(E490,名称!A:E,4,0),"")</f>
        <v>三代</v>
      </c>
      <c r="I490" s="418" t="str">
        <f t="shared" ref="I490:BT490" si="568">IF(OR($E490="",I$1=""),"",IF(TRIM(LEFT($E490,MIN(IFERROR(FIND("CDU",UPPER($E490)),999),IFERROR(FIND("BULK",UPPER($E490)),999),IFERROR(FIND("-",$E490),999),IFERROR(FIND("（",$E490),999))-1))=I$1,$F490,""))</f>
        <v/>
      </c>
      <c r="J490" s="418" t="str">
        <f t="shared" si="568"/>
        <v/>
      </c>
      <c r="K490" s="418" t="str">
        <f t="shared" si="568"/>
        <v/>
      </c>
      <c r="L490" s="418" t="str">
        <f t="shared" si="568"/>
        <v/>
      </c>
      <c r="M490" s="418" t="str">
        <f t="shared" si="568"/>
        <v/>
      </c>
      <c r="N490" s="418" t="str">
        <f t="shared" si="568"/>
        <v/>
      </c>
      <c r="O490" s="418" t="str">
        <f t="shared" si="568"/>
        <v/>
      </c>
      <c r="P490" s="418" t="str">
        <f t="shared" si="568"/>
        <v/>
      </c>
      <c r="Q490" s="418" t="str">
        <f t="shared" si="568"/>
        <v/>
      </c>
      <c r="R490" s="418" t="str">
        <f t="shared" si="568"/>
        <v/>
      </c>
      <c r="S490" s="418" t="str">
        <f t="shared" si="568"/>
        <v/>
      </c>
      <c r="T490" s="418" t="str">
        <f t="shared" si="568"/>
        <v/>
      </c>
      <c r="U490" s="418" t="str">
        <f t="shared" si="568"/>
        <v/>
      </c>
      <c r="V490" s="418" t="str">
        <f t="shared" si="568"/>
        <v/>
      </c>
      <c r="W490" s="418" t="str">
        <f t="shared" si="568"/>
        <v/>
      </c>
      <c r="X490" s="418" t="str">
        <f t="shared" si="568"/>
        <v/>
      </c>
      <c r="Y490" s="418" t="str">
        <f t="shared" si="568"/>
        <v/>
      </c>
      <c r="Z490" s="418" t="str">
        <f t="shared" si="568"/>
        <v/>
      </c>
      <c r="AA490" s="418" t="str">
        <f t="shared" si="568"/>
        <v/>
      </c>
      <c r="AB490" s="418" t="str">
        <f t="shared" si="568"/>
        <v/>
      </c>
      <c r="AC490" s="418" t="str">
        <f t="shared" si="568"/>
        <v/>
      </c>
      <c r="AD490" s="418" t="str">
        <f t="shared" si="568"/>
        <v/>
      </c>
      <c r="AE490" s="418">
        <f t="shared" si="568"/>
        <v>1800</v>
      </c>
      <c r="AF490" s="418" t="str">
        <f t="shared" si="568"/>
        <v/>
      </c>
      <c r="AG490" s="418" t="str">
        <f t="shared" si="568"/>
        <v/>
      </c>
      <c r="AH490" s="418" t="str">
        <f t="shared" si="568"/>
        <v/>
      </c>
      <c r="AI490" s="418" t="str">
        <f t="shared" si="568"/>
        <v/>
      </c>
      <c r="AJ490" s="418" t="str">
        <f t="shared" si="568"/>
        <v/>
      </c>
      <c r="AK490" s="418" t="str">
        <f t="shared" si="568"/>
        <v/>
      </c>
      <c r="AL490" s="418" t="str">
        <f t="shared" si="568"/>
        <v/>
      </c>
      <c r="AM490" s="418" t="str">
        <f t="shared" si="568"/>
        <v/>
      </c>
      <c r="AN490" s="418" t="str">
        <f t="shared" si="568"/>
        <v/>
      </c>
      <c r="AO490" s="418" t="str">
        <f t="shared" si="568"/>
        <v/>
      </c>
      <c r="AP490" s="418" t="str">
        <f t="shared" si="568"/>
        <v/>
      </c>
      <c r="AQ490" s="418" t="str">
        <f t="shared" si="568"/>
        <v/>
      </c>
      <c r="AR490" s="418" t="str">
        <f t="shared" si="568"/>
        <v/>
      </c>
      <c r="AS490" s="418" t="str">
        <f t="shared" si="568"/>
        <v/>
      </c>
      <c r="AT490" s="418" t="str">
        <f t="shared" si="568"/>
        <v/>
      </c>
      <c r="AU490" s="418" t="str">
        <f t="shared" si="568"/>
        <v/>
      </c>
      <c r="AV490" s="418" t="str">
        <f t="shared" si="568"/>
        <v/>
      </c>
      <c r="AW490" s="418" t="str">
        <f t="shared" si="568"/>
        <v/>
      </c>
      <c r="AX490" s="418" t="str">
        <f t="shared" si="568"/>
        <v/>
      </c>
      <c r="AY490" s="418" t="str">
        <f t="shared" si="568"/>
        <v/>
      </c>
      <c r="AZ490" s="418" t="str">
        <f t="shared" si="568"/>
        <v/>
      </c>
      <c r="BA490" s="418" t="str">
        <f t="shared" si="568"/>
        <v/>
      </c>
      <c r="BB490" s="418" t="str">
        <f t="shared" si="568"/>
        <v/>
      </c>
      <c r="BC490" s="418" t="str">
        <f t="shared" si="568"/>
        <v/>
      </c>
      <c r="BD490" s="418" t="str">
        <f t="shared" si="568"/>
        <v/>
      </c>
      <c r="BE490" s="418" t="str">
        <f t="shared" si="568"/>
        <v/>
      </c>
      <c r="BF490" s="418" t="str">
        <f t="shared" si="568"/>
        <v/>
      </c>
      <c r="BG490" s="418" t="str">
        <f t="shared" si="568"/>
        <v/>
      </c>
      <c r="BH490" s="418" t="str">
        <f t="shared" si="568"/>
        <v/>
      </c>
      <c r="BI490" s="418" t="str">
        <f t="shared" si="568"/>
        <v/>
      </c>
      <c r="BJ490" s="418" t="str">
        <f t="shared" si="568"/>
        <v/>
      </c>
      <c r="BK490" s="418" t="str">
        <f t="shared" si="568"/>
        <v/>
      </c>
      <c r="BL490" s="418" t="str">
        <f t="shared" si="568"/>
        <v/>
      </c>
      <c r="BM490" s="418" t="str">
        <f t="shared" si="568"/>
        <v/>
      </c>
      <c r="BN490" s="418" t="str">
        <f t="shared" si="568"/>
        <v/>
      </c>
      <c r="BO490" s="418" t="str">
        <f t="shared" si="568"/>
        <v/>
      </c>
      <c r="BP490" s="418" t="str">
        <f t="shared" si="568"/>
        <v/>
      </c>
      <c r="BQ490" s="418" t="str">
        <f t="shared" si="568"/>
        <v/>
      </c>
      <c r="BR490" s="418" t="str">
        <f t="shared" si="568"/>
        <v/>
      </c>
      <c r="BS490" s="418" t="str">
        <f t="shared" si="568"/>
        <v/>
      </c>
      <c r="BT490" s="418" t="str">
        <f t="shared" si="568"/>
        <v/>
      </c>
      <c r="BU490" s="418" t="str">
        <f t="shared" si="526"/>
        <v/>
      </c>
      <c r="BV490" s="544">
        <v>0.61</v>
      </c>
      <c r="BW490" s="723">
        <f t="shared" si="537"/>
        <v>1098</v>
      </c>
      <c r="BX490" s="724">
        <f t="shared" si="538"/>
        <v>8509.5</v>
      </c>
      <c r="BY490" s="725" t="str">
        <f t="shared" si="539"/>
        <v>SR</v>
      </c>
    </row>
    <row r="491" s="697" customFormat="1" customHeight="1" spans="1:77">
      <c r="A491" s="116">
        <v>46119</v>
      </c>
      <c r="B491" s="116">
        <v>46260</v>
      </c>
      <c r="C491" s="118" t="s">
        <v>665</v>
      </c>
      <c r="D491" s="118" t="s">
        <v>666</v>
      </c>
      <c r="E491" s="118" t="s">
        <v>60</v>
      </c>
      <c r="F491" s="726">
        <v>1800</v>
      </c>
      <c r="G491" s="118" t="s">
        <v>253</v>
      </c>
      <c r="H491" s="118" t="str">
        <f>IFERROR(VLOOKUP(E491,名称!A:E,4,0),"")</f>
        <v>三代</v>
      </c>
      <c r="I491" s="418" t="str">
        <f t="shared" ref="I491:BT491" si="569">IF(OR($E491="",I$1=""),"",IF(TRIM(LEFT($E491,MIN(IFERROR(FIND("CDU",UPPER($E491)),999),IFERROR(FIND("BULK",UPPER($E491)),999),IFERROR(FIND("-",$E491),999),IFERROR(FIND("（",$E491),999))-1))=I$1,$F491,""))</f>
        <v/>
      </c>
      <c r="J491" s="418" t="str">
        <f t="shared" si="569"/>
        <v/>
      </c>
      <c r="K491" s="418" t="str">
        <f t="shared" si="569"/>
        <v/>
      </c>
      <c r="L491" s="418" t="str">
        <f t="shared" si="569"/>
        <v/>
      </c>
      <c r="M491" s="418" t="str">
        <f t="shared" si="569"/>
        <v/>
      </c>
      <c r="N491" s="418" t="str">
        <f t="shared" si="569"/>
        <v/>
      </c>
      <c r="O491" s="418" t="str">
        <f t="shared" si="569"/>
        <v/>
      </c>
      <c r="P491" s="418" t="str">
        <f t="shared" si="569"/>
        <v/>
      </c>
      <c r="Q491" s="418" t="str">
        <f t="shared" si="569"/>
        <v/>
      </c>
      <c r="R491" s="418" t="str">
        <f t="shared" si="569"/>
        <v/>
      </c>
      <c r="S491" s="418" t="str">
        <f t="shared" si="569"/>
        <v/>
      </c>
      <c r="T491" s="418" t="str">
        <f t="shared" si="569"/>
        <v/>
      </c>
      <c r="U491" s="418" t="str">
        <f t="shared" si="569"/>
        <v/>
      </c>
      <c r="V491" s="418" t="str">
        <f t="shared" si="569"/>
        <v/>
      </c>
      <c r="W491" s="418" t="str">
        <f t="shared" si="569"/>
        <v/>
      </c>
      <c r="X491" s="418" t="str">
        <f t="shared" si="569"/>
        <v/>
      </c>
      <c r="Y491" s="418" t="str">
        <f t="shared" si="569"/>
        <v/>
      </c>
      <c r="Z491" s="418" t="str">
        <f t="shared" si="569"/>
        <v/>
      </c>
      <c r="AA491" s="418" t="str">
        <f t="shared" si="569"/>
        <v/>
      </c>
      <c r="AB491" s="418" t="str">
        <f t="shared" si="569"/>
        <v/>
      </c>
      <c r="AC491" s="418" t="str">
        <f t="shared" si="569"/>
        <v/>
      </c>
      <c r="AD491" s="418" t="str">
        <f t="shared" si="569"/>
        <v/>
      </c>
      <c r="AE491" s="418">
        <f t="shared" si="569"/>
        <v>1800</v>
      </c>
      <c r="AF491" s="418" t="str">
        <f t="shared" si="569"/>
        <v/>
      </c>
      <c r="AG491" s="418" t="str">
        <f t="shared" si="569"/>
        <v/>
      </c>
      <c r="AH491" s="418" t="str">
        <f t="shared" si="569"/>
        <v/>
      </c>
      <c r="AI491" s="418" t="str">
        <f t="shared" si="569"/>
        <v/>
      </c>
      <c r="AJ491" s="418" t="str">
        <f t="shared" si="569"/>
        <v/>
      </c>
      <c r="AK491" s="418" t="str">
        <f t="shared" si="569"/>
        <v/>
      </c>
      <c r="AL491" s="418" t="str">
        <f t="shared" si="569"/>
        <v/>
      </c>
      <c r="AM491" s="418" t="str">
        <f t="shared" si="569"/>
        <v/>
      </c>
      <c r="AN491" s="418" t="str">
        <f t="shared" si="569"/>
        <v/>
      </c>
      <c r="AO491" s="418" t="str">
        <f t="shared" si="569"/>
        <v/>
      </c>
      <c r="AP491" s="418" t="str">
        <f t="shared" si="569"/>
        <v/>
      </c>
      <c r="AQ491" s="418" t="str">
        <f t="shared" si="569"/>
        <v/>
      </c>
      <c r="AR491" s="418" t="str">
        <f t="shared" si="569"/>
        <v/>
      </c>
      <c r="AS491" s="418" t="str">
        <f t="shared" si="569"/>
        <v/>
      </c>
      <c r="AT491" s="418" t="str">
        <f t="shared" si="569"/>
        <v/>
      </c>
      <c r="AU491" s="418" t="str">
        <f t="shared" si="569"/>
        <v/>
      </c>
      <c r="AV491" s="418" t="str">
        <f t="shared" si="569"/>
        <v/>
      </c>
      <c r="AW491" s="418" t="str">
        <f t="shared" si="569"/>
        <v/>
      </c>
      <c r="AX491" s="418" t="str">
        <f t="shared" si="569"/>
        <v/>
      </c>
      <c r="AY491" s="418" t="str">
        <f t="shared" si="569"/>
        <v/>
      </c>
      <c r="AZ491" s="418" t="str">
        <f t="shared" si="569"/>
        <v/>
      </c>
      <c r="BA491" s="418" t="str">
        <f t="shared" si="569"/>
        <v/>
      </c>
      <c r="BB491" s="418" t="str">
        <f t="shared" si="569"/>
        <v/>
      </c>
      <c r="BC491" s="418" t="str">
        <f t="shared" si="569"/>
        <v/>
      </c>
      <c r="BD491" s="418" t="str">
        <f t="shared" si="569"/>
        <v/>
      </c>
      <c r="BE491" s="418" t="str">
        <f t="shared" si="569"/>
        <v/>
      </c>
      <c r="BF491" s="418" t="str">
        <f t="shared" si="569"/>
        <v/>
      </c>
      <c r="BG491" s="418" t="str">
        <f t="shared" si="569"/>
        <v/>
      </c>
      <c r="BH491" s="418" t="str">
        <f t="shared" si="569"/>
        <v/>
      </c>
      <c r="BI491" s="418" t="str">
        <f t="shared" si="569"/>
        <v/>
      </c>
      <c r="BJ491" s="418" t="str">
        <f t="shared" si="569"/>
        <v/>
      </c>
      <c r="BK491" s="418" t="str">
        <f t="shared" si="569"/>
        <v/>
      </c>
      <c r="BL491" s="418" t="str">
        <f t="shared" si="569"/>
        <v/>
      </c>
      <c r="BM491" s="418" t="str">
        <f t="shared" si="569"/>
        <v/>
      </c>
      <c r="BN491" s="418" t="str">
        <f t="shared" si="569"/>
        <v/>
      </c>
      <c r="BO491" s="418" t="str">
        <f t="shared" si="569"/>
        <v/>
      </c>
      <c r="BP491" s="418" t="str">
        <f t="shared" si="569"/>
        <v/>
      </c>
      <c r="BQ491" s="418" t="str">
        <f t="shared" si="569"/>
        <v/>
      </c>
      <c r="BR491" s="418" t="str">
        <f t="shared" si="569"/>
        <v/>
      </c>
      <c r="BS491" s="418" t="str">
        <f t="shared" si="569"/>
        <v/>
      </c>
      <c r="BT491" s="418" t="str">
        <f t="shared" si="569"/>
        <v/>
      </c>
      <c r="BU491" s="418" t="str">
        <f t="shared" si="526"/>
        <v/>
      </c>
      <c r="BV491" s="544">
        <v>0.61</v>
      </c>
      <c r="BW491" s="723">
        <f t="shared" si="537"/>
        <v>1098</v>
      </c>
      <c r="BX491" s="724">
        <f t="shared" si="538"/>
        <v>8509.5</v>
      </c>
      <c r="BY491" s="725" t="str">
        <f t="shared" si="539"/>
        <v>SR</v>
      </c>
    </row>
    <row r="492" s="697" customFormat="1" customHeight="1" spans="1:77">
      <c r="A492" s="116">
        <v>46119</v>
      </c>
      <c r="B492" s="116">
        <v>46274</v>
      </c>
      <c r="C492" s="118" t="s">
        <v>667</v>
      </c>
      <c r="D492" s="118" t="s">
        <v>668</v>
      </c>
      <c r="E492" s="118" t="s">
        <v>60</v>
      </c>
      <c r="F492" s="726">
        <v>1800</v>
      </c>
      <c r="G492" s="118" t="s">
        <v>253</v>
      </c>
      <c r="H492" s="118" t="str">
        <f>IFERROR(VLOOKUP(E492,名称!A:E,4,0),"")</f>
        <v>三代</v>
      </c>
      <c r="I492" s="418" t="str">
        <f t="shared" ref="I492:BT492" si="570">IF(OR($E492="",I$1=""),"",IF(TRIM(LEFT($E492,MIN(IFERROR(FIND("CDU",UPPER($E492)),999),IFERROR(FIND("BULK",UPPER($E492)),999),IFERROR(FIND("-",$E492),999),IFERROR(FIND("（",$E492),999))-1))=I$1,$F492,""))</f>
        <v/>
      </c>
      <c r="J492" s="418" t="str">
        <f t="shared" si="570"/>
        <v/>
      </c>
      <c r="K492" s="418" t="str">
        <f t="shared" si="570"/>
        <v/>
      </c>
      <c r="L492" s="418" t="str">
        <f t="shared" si="570"/>
        <v/>
      </c>
      <c r="M492" s="418" t="str">
        <f t="shared" si="570"/>
        <v/>
      </c>
      <c r="N492" s="418" t="str">
        <f t="shared" si="570"/>
        <v/>
      </c>
      <c r="O492" s="418" t="str">
        <f t="shared" si="570"/>
        <v/>
      </c>
      <c r="P492" s="418" t="str">
        <f t="shared" si="570"/>
        <v/>
      </c>
      <c r="Q492" s="418" t="str">
        <f t="shared" si="570"/>
        <v/>
      </c>
      <c r="R492" s="418" t="str">
        <f t="shared" si="570"/>
        <v/>
      </c>
      <c r="S492" s="418" t="str">
        <f t="shared" si="570"/>
        <v/>
      </c>
      <c r="T492" s="418" t="str">
        <f t="shared" si="570"/>
        <v/>
      </c>
      <c r="U492" s="418" t="str">
        <f t="shared" si="570"/>
        <v/>
      </c>
      <c r="V492" s="418" t="str">
        <f t="shared" si="570"/>
        <v/>
      </c>
      <c r="W492" s="418" t="str">
        <f t="shared" si="570"/>
        <v/>
      </c>
      <c r="X492" s="418" t="str">
        <f t="shared" si="570"/>
        <v/>
      </c>
      <c r="Y492" s="418" t="str">
        <f t="shared" si="570"/>
        <v/>
      </c>
      <c r="Z492" s="418" t="str">
        <f t="shared" si="570"/>
        <v/>
      </c>
      <c r="AA492" s="418" t="str">
        <f t="shared" si="570"/>
        <v/>
      </c>
      <c r="AB492" s="418" t="str">
        <f t="shared" si="570"/>
        <v/>
      </c>
      <c r="AC492" s="418" t="str">
        <f t="shared" si="570"/>
        <v/>
      </c>
      <c r="AD492" s="418" t="str">
        <f t="shared" si="570"/>
        <v/>
      </c>
      <c r="AE492" s="418">
        <f t="shared" si="570"/>
        <v>1800</v>
      </c>
      <c r="AF492" s="418" t="str">
        <f t="shared" si="570"/>
        <v/>
      </c>
      <c r="AG492" s="418" t="str">
        <f t="shared" si="570"/>
        <v/>
      </c>
      <c r="AH492" s="418" t="str">
        <f t="shared" si="570"/>
        <v/>
      </c>
      <c r="AI492" s="418" t="str">
        <f t="shared" si="570"/>
        <v/>
      </c>
      <c r="AJ492" s="418" t="str">
        <f t="shared" si="570"/>
        <v/>
      </c>
      <c r="AK492" s="418" t="str">
        <f t="shared" si="570"/>
        <v/>
      </c>
      <c r="AL492" s="418" t="str">
        <f t="shared" si="570"/>
        <v/>
      </c>
      <c r="AM492" s="418" t="str">
        <f t="shared" si="570"/>
        <v/>
      </c>
      <c r="AN492" s="418" t="str">
        <f t="shared" si="570"/>
        <v/>
      </c>
      <c r="AO492" s="418" t="str">
        <f t="shared" si="570"/>
        <v/>
      </c>
      <c r="AP492" s="418" t="str">
        <f t="shared" si="570"/>
        <v/>
      </c>
      <c r="AQ492" s="418" t="str">
        <f t="shared" si="570"/>
        <v/>
      </c>
      <c r="AR492" s="418" t="str">
        <f t="shared" si="570"/>
        <v/>
      </c>
      <c r="AS492" s="418" t="str">
        <f t="shared" si="570"/>
        <v/>
      </c>
      <c r="AT492" s="418" t="str">
        <f t="shared" si="570"/>
        <v/>
      </c>
      <c r="AU492" s="418" t="str">
        <f t="shared" si="570"/>
        <v/>
      </c>
      <c r="AV492" s="418" t="str">
        <f t="shared" si="570"/>
        <v/>
      </c>
      <c r="AW492" s="418" t="str">
        <f t="shared" si="570"/>
        <v/>
      </c>
      <c r="AX492" s="418" t="str">
        <f t="shared" si="570"/>
        <v/>
      </c>
      <c r="AY492" s="418" t="str">
        <f t="shared" si="570"/>
        <v/>
      </c>
      <c r="AZ492" s="418" t="str">
        <f t="shared" si="570"/>
        <v/>
      </c>
      <c r="BA492" s="418" t="str">
        <f t="shared" si="570"/>
        <v/>
      </c>
      <c r="BB492" s="418" t="str">
        <f t="shared" si="570"/>
        <v/>
      </c>
      <c r="BC492" s="418" t="str">
        <f t="shared" si="570"/>
        <v/>
      </c>
      <c r="BD492" s="418" t="str">
        <f t="shared" si="570"/>
        <v/>
      </c>
      <c r="BE492" s="418" t="str">
        <f t="shared" si="570"/>
        <v/>
      </c>
      <c r="BF492" s="418" t="str">
        <f t="shared" si="570"/>
        <v/>
      </c>
      <c r="BG492" s="418" t="str">
        <f t="shared" si="570"/>
        <v/>
      </c>
      <c r="BH492" s="418" t="str">
        <f t="shared" si="570"/>
        <v/>
      </c>
      <c r="BI492" s="418" t="str">
        <f t="shared" si="570"/>
        <v/>
      </c>
      <c r="BJ492" s="418" t="str">
        <f t="shared" si="570"/>
        <v/>
      </c>
      <c r="BK492" s="418" t="str">
        <f t="shared" si="570"/>
        <v/>
      </c>
      <c r="BL492" s="418" t="str">
        <f t="shared" si="570"/>
        <v/>
      </c>
      <c r="BM492" s="418" t="str">
        <f t="shared" si="570"/>
        <v/>
      </c>
      <c r="BN492" s="418" t="str">
        <f t="shared" si="570"/>
        <v/>
      </c>
      <c r="BO492" s="418" t="str">
        <f t="shared" si="570"/>
        <v/>
      </c>
      <c r="BP492" s="418" t="str">
        <f t="shared" si="570"/>
        <v/>
      </c>
      <c r="BQ492" s="418" t="str">
        <f t="shared" si="570"/>
        <v/>
      </c>
      <c r="BR492" s="418" t="str">
        <f t="shared" si="570"/>
        <v/>
      </c>
      <c r="BS492" s="418" t="str">
        <f t="shared" si="570"/>
        <v/>
      </c>
      <c r="BT492" s="418" t="str">
        <f t="shared" si="570"/>
        <v/>
      </c>
      <c r="BU492" s="418" t="str">
        <f t="shared" si="526"/>
        <v/>
      </c>
      <c r="BV492" s="544">
        <v>0.61</v>
      </c>
      <c r="BW492" s="723">
        <f t="shared" si="537"/>
        <v>1098</v>
      </c>
      <c r="BX492" s="724">
        <f t="shared" si="538"/>
        <v>8509.5</v>
      </c>
      <c r="BY492" s="725" t="str">
        <f t="shared" si="539"/>
        <v>SR</v>
      </c>
    </row>
    <row r="493" s="697" customFormat="1" customHeight="1" spans="1:77">
      <c r="A493" s="116">
        <v>46119</v>
      </c>
      <c r="B493" s="116">
        <v>46288</v>
      </c>
      <c r="C493" s="118" t="s">
        <v>669</v>
      </c>
      <c r="D493" s="118" t="s">
        <v>670</v>
      </c>
      <c r="E493" s="118" t="s">
        <v>60</v>
      </c>
      <c r="F493" s="726">
        <v>1800</v>
      </c>
      <c r="G493" s="118" t="s">
        <v>253</v>
      </c>
      <c r="H493" s="118" t="str">
        <f>IFERROR(VLOOKUP(E493,名称!A:E,4,0),"")</f>
        <v>三代</v>
      </c>
      <c r="I493" s="418" t="str">
        <f t="shared" ref="I493:BT493" si="571">IF(OR($E493="",I$1=""),"",IF(TRIM(LEFT($E493,MIN(IFERROR(FIND("CDU",UPPER($E493)),999),IFERROR(FIND("BULK",UPPER($E493)),999),IFERROR(FIND("-",$E493),999),IFERROR(FIND("（",$E493),999))-1))=I$1,$F493,""))</f>
        <v/>
      </c>
      <c r="J493" s="418" t="str">
        <f t="shared" si="571"/>
        <v/>
      </c>
      <c r="K493" s="418" t="str">
        <f t="shared" si="571"/>
        <v/>
      </c>
      <c r="L493" s="418" t="str">
        <f t="shared" si="571"/>
        <v/>
      </c>
      <c r="M493" s="418" t="str">
        <f t="shared" si="571"/>
        <v/>
      </c>
      <c r="N493" s="418" t="str">
        <f t="shared" si="571"/>
        <v/>
      </c>
      <c r="O493" s="418" t="str">
        <f t="shared" si="571"/>
        <v/>
      </c>
      <c r="P493" s="418" t="str">
        <f t="shared" si="571"/>
        <v/>
      </c>
      <c r="Q493" s="418" t="str">
        <f t="shared" si="571"/>
        <v/>
      </c>
      <c r="R493" s="418" t="str">
        <f t="shared" si="571"/>
        <v/>
      </c>
      <c r="S493" s="418" t="str">
        <f t="shared" si="571"/>
        <v/>
      </c>
      <c r="T493" s="418" t="str">
        <f t="shared" si="571"/>
        <v/>
      </c>
      <c r="U493" s="418" t="str">
        <f t="shared" si="571"/>
        <v/>
      </c>
      <c r="V493" s="418" t="str">
        <f t="shared" si="571"/>
        <v/>
      </c>
      <c r="W493" s="418" t="str">
        <f t="shared" si="571"/>
        <v/>
      </c>
      <c r="X493" s="418" t="str">
        <f t="shared" si="571"/>
        <v/>
      </c>
      <c r="Y493" s="418" t="str">
        <f t="shared" si="571"/>
        <v/>
      </c>
      <c r="Z493" s="418" t="str">
        <f t="shared" si="571"/>
        <v/>
      </c>
      <c r="AA493" s="418" t="str">
        <f t="shared" si="571"/>
        <v/>
      </c>
      <c r="AB493" s="418" t="str">
        <f t="shared" si="571"/>
        <v/>
      </c>
      <c r="AC493" s="418" t="str">
        <f t="shared" si="571"/>
        <v/>
      </c>
      <c r="AD493" s="418" t="str">
        <f t="shared" si="571"/>
        <v/>
      </c>
      <c r="AE493" s="418">
        <f t="shared" si="571"/>
        <v>1800</v>
      </c>
      <c r="AF493" s="418" t="str">
        <f t="shared" si="571"/>
        <v/>
      </c>
      <c r="AG493" s="418" t="str">
        <f t="shared" si="571"/>
        <v/>
      </c>
      <c r="AH493" s="418" t="str">
        <f t="shared" si="571"/>
        <v/>
      </c>
      <c r="AI493" s="418" t="str">
        <f t="shared" si="571"/>
        <v/>
      </c>
      <c r="AJ493" s="418" t="str">
        <f t="shared" si="571"/>
        <v/>
      </c>
      <c r="AK493" s="418" t="str">
        <f t="shared" si="571"/>
        <v/>
      </c>
      <c r="AL493" s="418" t="str">
        <f t="shared" si="571"/>
        <v/>
      </c>
      <c r="AM493" s="418" t="str">
        <f t="shared" si="571"/>
        <v/>
      </c>
      <c r="AN493" s="418" t="str">
        <f t="shared" si="571"/>
        <v/>
      </c>
      <c r="AO493" s="418" t="str">
        <f t="shared" si="571"/>
        <v/>
      </c>
      <c r="AP493" s="418" t="str">
        <f t="shared" si="571"/>
        <v/>
      </c>
      <c r="AQ493" s="418" t="str">
        <f t="shared" si="571"/>
        <v/>
      </c>
      <c r="AR493" s="418" t="str">
        <f t="shared" si="571"/>
        <v/>
      </c>
      <c r="AS493" s="418" t="str">
        <f t="shared" si="571"/>
        <v/>
      </c>
      <c r="AT493" s="418" t="str">
        <f t="shared" si="571"/>
        <v/>
      </c>
      <c r="AU493" s="418" t="str">
        <f t="shared" si="571"/>
        <v/>
      </c>
      <c r="AV493" s="418" t="str">
        <f t="shared" si="571"/>
        <v/>
      </c>
      <c r="AW493" s="418" t="str">
        <f t="shared" si="571"/>
        <v/>
      </c>
      <c r="AX493" s="418" t="str">
        <f t="shared" si="571"/>
        <v/>
      </c>
      <c r="AY493" s="418" t="str">
        <f t="shared" si="571"/>
        <v/>
      </c>
      <c r="AZ493" s="418" t="str">
        <f t="shared" si="571"/>
        <v/>
      </c>
      <c r="BA493" s="418" t="str">
        <f t="shared" si="571"/>
        <v/>
      </c>
      <c r="BB493" s="418" t="str">
        <f t="shared" si="571"/>
        <v/>
      </c>
      <c r="BC493" s="418" t="str">
        <f t="shared" si="571"/>
        <v/>
      </c>
      <c r="BD493" s="418" t="str">
        <f t="shared" si="571"/>
        <v/>
      </c>
      <c r="BE493" s="418" t="str">
        <f t="shared" si="571"/>
        <v/>
      </c>
      <c r="BF493" s="418" t="str">
        <f t="shared" si="571"/>
        <v/>
      </c>
      <c r="BG493" s="418" t="str">
        <f t="shared" si="571"/>
        <v/>
      </c>
      <c r="BH493" s="418" t="str">
        <f t="shared" si="571"/>
        <v/>
      </c>
      <c r="BI493" s="418" t="str">
        <f t="shared" si="571"/>
        <v/>
      </c>
      <c r="BJ493" s="418" t="str">
        <f t="shared" si="571"/>
        <v/>
      </c>
      <c r="BK493" s="418" t="str">
        <f t="shared" si="571"/>
        <v/>
      </c>
      <c r="BL493" s="418" t="str">
        <f t="shared" si="571"/>
        <v/>
      </c>
      <c r="BM493" s="418" t="str">
        <f t="shared" si="571"/>
        <v/>
      </c>
      <c r="BN493" s="418" t="str">
        <f t="shared" si="571"/>
        <v/>
      </c>
      <c r="BO493" s="418" t="str">
        <f t="shared" si="571"/>
        <v/>
      </c>
      <c r="BP493" s="418" t="str">
        <f t="shared" si="571"/>
        <v/>
      </c>
      <c r="BQ493" s="418" t="str">
        <f t="shared" si="571"/>
        <v/>
      </c>
      <c r="BR493" s="418" t="str">
        <f t="shared" si="571"/>
        <v/>
      </c>
      <c r="BS493" s="418" t="str">
        <f t="shared" si="571"/>
        <v/>
      </c>
      <c r="BT493" s="418" t="str">
        <f t="shared" si="571"/>
        <v/>
      </c>
      <c r="BU493" s="418" t="str">
        <f t="shared" si="526"/>
        <v/>
      </c>
      <c r="BV493" s="544">
        <v>0.61</v>
      </c>
      <c r="BW493" s="723">
        <f t="shared" si="537"/>
        <v>1098</v>
      </c>
      <c r="BX493" s="724">
        <f t="shared" si="538"/>
        <v>8509.5</v>
      </c>
      <c r="BY493" s="725" t="str">
        <f t="shared" si="539"/>
        <v>SR</v>
      </c>
    </row>
    <row r="494" s="697" customFormat="1" customHeight="1" spans="1:77">
      <c r="A494" s="116">
        <v>46119</v>
      </c>
      <c r="B494" s="116">
        <v>46302</v>
      </c>
      <c r="C494" s="118" t="s">
        <v>671</v>
      </c>
      <c r="D494" s="118" t="s">
        <v>672</v>
      </c>
      <c r="E494" s="118" t="s">
        <v>60</v>
      </c>
      <c r="F494" s="726">
        <v>372</v>
      </c>
      <c r="G494" s="118" t="s">
        <v>253</v>
      </c>
      <c r="H494" s="118" t="str">
        <f>IFERROR(VLOOKUP(E494,名称!A:E,4,0),"")</f>
        <v>三代</v>
      </c>
      <c r="I494" s="418" t="str">
        <f t="shared" ref="I494:BT494" si="572">IF(OR($E494="",I$1=""),"",IF(TRIM(LEFT($E494,MIN(IFERROR(FIND("CDU",UPPER($E494)),999),IFERROR(FIND("BULK",UPPER($E494)),999),IFERROR(FIND("-",$E494),999),IFERROR(FIND("（",$E494),999))-1))=I$1,$F494,""))</f>
        <v/>
      </c>
      <c r="J494" s="418" t="str">
        <f t="shared" si="572"/>
        <v/>
      </c>
      <c r="K494" s="418" t="str">
        <f t="shared" si="572"/>
        <v/>
      </c>
      <c r="L494" s="418" t="str">
        <f t="shared" si="572"/>
        <v/>
      </c>
      <c r="M494" s="418" t="str">
        <f t="shared" si="572"/>
        <v/>
      </c>
      <c r="N494" s="418" t="str">
        <f t="shared" si="572"/>
        <v/>
      </c>
      <c r="O494" s="418" t="str">
        <f t="shared" si="572"/>
        <v/>
      </c>
      <c r="P494" s="418" t="str">
        <f t="shared" si="572"/>
        <v/>
      </c>
      <c r="Q494" s="418" t="str">
        <f t="shared" si="572"/>
        <v/>
      </c>
      <c r="R494" s="418" t="str">
        <f t="shared" si="572"/>
        <v/>
      </c>
      <c r="S494" s="418" t="str">
        <f t="shared" si="572"/>
        <v/>
      </c>
      <c r="T494" s="418" t="str">
        <f t="shared" si="572"/>
        <v/>
      </c>
      <c r="U494" s="418" t="str">
        <f t="shared" si="572"/>
        <v/>
      </c>
      <c r="V494" s="418" t="str">
        <f t="shared" si="572"/>
        <v/>
      </c>
      <c r="W494" s="418" t="str">
        <f t="shared" si="572"/>
        <v/>
      </c>
      <c r="X494" s="418" t="str">
        <f t="shared" si="572"/>
        <v/>
      </c>
      <c r="Y494" s="418" t="str">
        <f t="shared" si="572"/>
        <v/>
      </c>
      <c r="Z494" s="418" t="str">
        <f t="shared" si="572"/>
        <v/>
      </c>
      <c r="AA494" s="418" t="str">
        <f t="shared" si="572"/>
        <v/>
      </c>
      <c r="AB494" s="418" t="str">
        <f t="shared" si="572"/>
        <v/>
      </c>
      <c r="AC494" s="418" t="str">
        <f t="shared" si="572"/>
        <v/>
      </c>
      <c r="AD494" s="418" t="str">
        <f t="shared" si="572"/>
        <v/>
      </c>
      <c r="AE494" s="418">
        <f t="shared" si="572"/>
        <v>372</v>
      </c>
      <c r="AF494" s="418" t="str">
        <f t="shared" si="572"/>
        <v/>
      </c>
      <c r="AG494" s="418" t="str">
        <f t="shared" si="572"/>
        <v/>
      </c>
      <c r="AH494" s="418" t="str">
        <f t="shared" si="572"/>
        <v/>
      </c>
      <c r="AI494" s="418" t="str">
        <f t="shared" si="572"/>
        <v/>
      </c>
      <c r="AJ494" s="418" t="str">
        <f t="shared" si="572"/>
        <v/>
      </c>
      <c r="AK494" s="418" t="str">
        <f t="shared" si="572"/>
        <v/>
      </c>
      <c r="AL494" s="418" t="str">
        <f t="shared" si="572"/>
        <v/>
      </c>
      <c r="AM494" s="418" t="str">
        <f t="shared" si="572"/>
        <v/>
      </c>
      <c r="AN494" s="418" t="str">
        <f t="shared" si="572"/>
        <v/>
      </c>
      <c r="AO494" s="418" t="str">
        <f t="shared" si="572"/>
        <v/>
      </c>
      <c r="AP494" s="418" t="str">
        <f t="shared" si="572"/>
        <v/>
      </c>
      <c r="AQ494" s="418" t="str">
        <f t="shared" si="572"/>
        <v/>
      </c>
      <c r="AR494" s="418" t="str">
        <f t="shared" si="572"/>
        <v/>
      </c>
      <c r="AS494" s="418" t="str">
        <f t="shared" si="572"/>
        <v/>
      </c>
      <c r="AT494" s="418" t="str">
        <f t="shared" si="572"/>
        <v/>
      </c>
      <c r="AU494" s="418" t="str">
        <f t="shared" si="572"/>
        <v/>
      </c>
      <c r="AV494" s="418" t="str">
        <f t="shared" si="572"/>
        <v/>
      </c>
      <c r="AW494" s="418" t="str">
        <f t="shared" si="572"/>
        <v/>
      </c>
      <c r="AX494" s="418" t="str">
        <f t="shared" si="572"/>
        <v/>
      </c>
      <c r="AY494" s="418" t="str">
        <f t="shared" si="572"/>
        <v/>
      </c>
      <c r="AZ494" s="418" t="str">
        <f t="shared" si="572"/>
        <v/>
      </c>
      <c r="BA494" s="418" t="str">
        <f t="shared" si="572"/>
        <v/>
      </c>
      <c r="BB494" s="418" t="str">
        <f t="shared" si="572"/>
        <v/>
      </c>
      <c r="BC494" s="418" t="str">
        <f t="shared" si="572"/>
        <v/>
      </c>
      <c r="BD494" s="418" t="str">
        <f t="shared" si="572"/>
        <v/>
      </c>
      <c r="BE494" s="418" t="str">
        <f t="shared" si="572"/>
        <v/>
      </c>
      <c r="BF494" s="418" t="str">
        <f t="shared" si="572"/>
        <v/>
      </c>
      <c r="BG494" s="418" t="str">
        <f t="shared" si="572"/>
        <v/>
      </c>
      <c r="BH494" s="418" t="str">
        <f t="shared" si="572"/>
        <v/>
      </c>
      <c r="BI494" s="418" t="str">
        <f t="shared" si="572"/>
        <v/>
      </c>
      <c r="BJ494" s="418" t="str">
        <f t="shared" si="572"/>
        <v/>
      </c>
      <c r="BK494" s="418" t="str">
        <f t="shared" si="572"/>
        <v/>
      </c>
      <c r="BL494" s="418" t="str">
        <f t="shared" si="572"/>
        <v/>
      </c>
      <c r="BM494" s="418" t="str">
        <f t="shared" si="572"/>
        <v/>
      </c>
      <c r="BN494" s="418" t="str">
        <f t="shared" si="572"/>
        <v/>
      </c>
      <c r="BO494" s="418" t="str">
        <f t="shared" si="572"/>
        <v/>
      </c>
      <c r="BP494" s="418" t="str">
        <f t="shared" si="572"/>
        <v/>
      </c>
      <c r="BQ494" s="418" t="str">
        <f t="shared" si="572"/>
        <v/>
      </c>
      <c r="BR494" s="418" t="str">
        <f t="shared" si="572"/>
        <v/>
      </c>
      <c r="BS494" s="418" t="str">
        <f t="shared" si="572"/>
        <v/>
      </c>
      <c r="BT494" s="418" t="str">
        <f t="shared" si="572"/>
        <v/>
      </c>
      <c r="BU494" s="418" t="str">
        <f t="shared" si="526"/>
        <v/>
      </c>
      <c r="BV494" s="544">
        <v>0.61</v>
      </c>
      <c r="BW494" s="723">
        <f t="shared" si="537"/>
        <v>226.92</v>
      </c>
      <c r="BX494" s="724">
        <f t="shared" si="538"/>
        <v>1758.63</v>
      </c>
      <c r="BY494" s="725" t="str">
        <f t="shared" si="539"/>
        <v>SR</v>
      </c>
    </row>
    <row r="495" s="697" customFormat="1" customHeight="1" spans="1:77">
      <c r="A495" s="116">
        <v>46119</v>
      </c>
      <c r="B495" s="116">
        <v>46316</v>
      </c>
      <c r="C495" s="118" t="s">
        <v>673</v>
      </c>
      <c r="D495" s="118" t="s">
        <v>674</v>
      </c>
      <c r="E495" s="118" t="s">
        <v>60</v>
      </c>
      <c r="F495" s="726">
        <v>300</v>
      </c>
      <c r="G495" s="118" t="s">
        <v>253</v>
      </c>
      <c r="H495" s="118" t="str">
        <f>IFERROR(VLOOKUP(E495,名称!A:E,4,0),"")</f>
        <v>三代</v>
      </c>
      <c r="I495" s="418" t="str">
        <f t="shared" ref="I495:BT495" si="573">IF(OR($E495="",I$1=""),"",IF(TRIM(LEFT($E495,MIN(IFERROR(FIND("CDU",UPPER($E495)),999),IFERROR(FIND("BULK",UPPER($E495)),999),IFERROR(FIND("-",$E495),999),IFERROR(FIND("（",$E495),999))-1))=I$1,$F495,""))</f>
        <v/>
      </c>
      <c r="J495" s="418" t="str">
        <f t="shared" si="573"/>
        <v/>
      </c>
      <c r="K495" s="418" t="str">
        <f t="shared" si="573"/>
        <v/>
      </c>
      <c r="L495" s="418" t="str">
        <f t="shared" si="573"/>
        <v/>
      </c>
      <c r="M495" s="418" t="str">
        <f t="shared" si="573"/>
        <v/>
      </c>
      <c r="N495" s="418" t="str">
        <f t="shared" si="573"/>
        <v/>
      </c>
      <c r="O495" s="418" t="str">
        <f t="shared" si="573"/>
        <v/>
      </c>
      <c r="P495" s="418" t="str">
        <f t="shared" si="573"/>
        <v/>
      </c>
      <c r="Q495" s="418" t="str">
        <f t="shared" si="573"/>
        <v/>
      </c>
      <c r="R495" s="418" t="str">
        <f t="shared" si="573"/>
        <v/>
      </c>
      <c r="S495" s="418" t="str">
        <f t="shared" si="573"/>
        <v/>
      </c>
      <c r="T495" s="418" t="str">
        <f t="shared" si="573"/>
        <v/>
      </c>
      <c r="U495" s="418" t="str">
        <f t="shared" si="573"/>
        <v/>
      </c>
      <c r="V495" s="418" t="str">
        <f t="shared" si="573"/>
        <v/>
      </c>
      <c r="W495" s="418" t="str">
        <f t="shared" si="573"/>
        <v/>
      </c>
      <c r="X495" s="418" t="str">
        <f t="shared" si="573"/>
        <v/>
      </c>
      <c r="Y495" s="418" t="str">
        <f t="shared" si="573"/>
        <v/>
      </c>
      <c r="Z495" s="418" t="str">
        <f t="shared" si="573"/>
        <v/>
      </c>
      <c r="AA495" s="418" t="str">
        <f t="shared" si="573"/>
        <v/>
      </c>
      <c r="AB495" s="418" t="str">
        <f t="shared" si="573"/>
        <v/>
      </c>
      <c r="AC495" s="418" t="str">
        <f t="shared" si="573"/>
        <v/>
      </c>
      <c r="AD495" s="418" t="str">
        <f t="shared" si="573"/>
        <v/>
      </c>
      <c r="AE495" s="418">
        <f t="shared" si="573"/>
        <v>300</v>
      </c>
      <c r="AF495" s="418" t="str">
        <f t="shared" si="573"/>
        <v/>
      </c>
      <c r="AG495" s="418" t="str">
        <f t="shared" si="573"/>
        <v/>
      </c>
      <c r="AH495" s="418" t="str">
        <f t="shared" si="573"/>
        <v/>
      </c>
      <c r="AI495" s="418" t="str">
        <f t="shared" si="573"/>
        <v/>
      </c>
      <c r="AJ495" s="418" t="str">
        <f t="shared" si="573"/>
        <v/>
      </c>
      <c r="AK495" s="418" t="str">
        <f t="shared" si="573"/>
        <v/>
      </c>
      <c r="AL495" s="418" t="str">
        <f t="shared" si="573"/>
        <v/>
      </c>
      <c r="AM495" s="418" t="str">
        <f t="shared" si="573"/>
        <v/>
      </c>
      <c r="AN495" s="418" t="str">
        <f t="shared" si="573"/>
        <v/>
      </c>
      <c r="AO495" s="418" t="str">
        <f t="shared" si="573"/>
        <v/>
      </c>
      <c r="AP495" s="418" t="str">
        <f t="shared" si="573"/>
        <v/>
      </c>
      <c r="AQ495" s="418" t="str">
        <f t="shared" si="573"/>
        <v/>
      </c>
      <c r="AR495" s="418" t="str">
        <f t="shared" si="573"/>
        <v/>
      </c>
      <c r="AS495" s="418" t="str">
        <f t="shared" si="573"/>
        <v/>
      </c>
      <c r="AT495" s="418" t="str">
        <f t="shared" si="573"/>
        <v/>
      </c>
      <c r="AU495" s="418" t="str">
        <f t="shared" si="573"/>
        <v/>
      </c>
      <c r="AV495" s="418" t="str">
        <f t="shared" si="573"/>
        <v/>
      </c>
      <c r="AW495" s="418" t="str">
        <f t="shared" si="573"/>
        <v/>
      </c>
      <c r="AX495" s="418" t="str">
        <f t="shared" si="573"/>
        <v/>
      </c>
      <c r="AY495" s="418" t="str">
        <f t="shared" si="573"/>
        <v/>
      </c>
      <c r="AZ495" s="418" t="str">
        <f t="shared" si="573"/>
        <v/>
      </c>
      <c r="BA495" s="418" t="str">
        <f t="shared" si="573"/>
        <v/>
      </c>
      <c r="BB495" s="418" t="str">
        <f t="shared" si="573"/>
        <v/>
      </c>
      <c r="BC495" s="418" t="str">
        <f t="shared" si="573"/>
        <v/>
      </c>
      <c r="BD495" s="418" t="str">
        <f t="shared" si="573"/>
        <v/>
      </c>
      <c r="BE495" s="418" t="str">
        <f t="shared" si="573"/>
        <v/>
      </c>
      <c r="BF495" s="418" t="str">
        <f t="shared" si="573"/>
        <v/>
      </c>
      <c r="BG495" s="418" t="str">
        <f t="shared" si="573"/>
        <v/>
      </c>
      <c r="BH495" s="418" t="str">
        <f t="shared" si="573"/>
        <v/>
      </c>
      <c r="BI495" s="418" t="str">
        <f t="shared" si="573"/>
        <v/>
      </c>
      <c r="BJ495" s="418" t="str">
        <f t="shared" si="573"/>
        <v/>
      </c>
      <c r="BK495" s="418" t="str">
        <f t="shared" si="573"/>
        <v/>
      </c>
      <c r="BL495" s="418" t="str">
        <f t="shared" si="573"/>
        <v/>
      </c>
      <c r="BM495" s="418" t="str">
        <f t="shared" si="573"/>
        <v/>
      </c>
      <c r="BN495" s="418" t="str">
        <f t="shared" si="573"/>
        <v/>
      </c>
      <c r="BO495" s="418" t="str">
        <f t="shared" si="573"/>
        <v/>
      </c>
      <c r="BP495" s="418" t="str">
        <f t="shared" si="573"/>
        <v/>
      </c>
      <c r="BQ495" s="418" t="str">
        <f t="shared" si="573"/>
        <v/>
      </c>
      <c r="BR495" s="418" t="str">
        <f t="shared" si="573"/>
        <v/>
      </c>
      <c r="BS495" s="418" t="str">
        <f t="shared" si="573"/>
        <v/>
      </c>
      <c r="BT495" s="418" t="str">
        <f t="shared" si="573"/>
        <v/>
      </c>
      <c r="BU495" s="418" t="str">
        <f t="shared" si="526"/>
        <v/>
      </c>
      <c r="BV495" s="544">
        <v>0.61</v>
      </c>
      <c r="BW495" s="723">
        <f t="shared" si="537"/>
        <v>183</v>
      </c>
      <c r="BX495" s="724">
        <f t="shared" si="538"/>
        <v>1418.25</v>
      </c>
      <c r="BY495" s="725" t="str">
        <f t="shared" si="539"/>
        <v>SR</v>
      </c>
    </row>
    <row r="496" s="698" customFormat="1" customHeight="1" spans="1:77">
      <c r="A496" s="208">
        <v>46120</v>
      </c>
      <c r="B496" s="208">
        <v>46150</v>
      </c>
      <c r="C496" s="211" t="s">
        <v>675</v>
      </c>
      <c r="D496" s="211" t="s">
        <v>676</v>
      </c>
      <c r="E496" s="211" t="s">
        <v>102</v>
      </c>
      <c r="F496" s="732">
        <v>4908</v>
      </c>
      <c r="G496" s="211" t="s">
        <v>253</v>
      </c>
      <c r="H496" s="211" t="str">
        <f>IFERROR(VLOOKUP(E496,名称!A:E,4,0),"")</f>
        <v>三代</v>
      </c>
      <c r="I496" s="268" t="str">
        <f t="shared" ref="I496:BT496" si="574">IF(OR($E496="",I$1=""),"",IF(TRIM(LEFT($E496,MIN(IFERROR(FIND("CDU",UPPER($E496)),999),IFERROR(FIND("BULK",UPPER($E496)),999),IFERROR(FIND("-",$E496),999),IFERROR(FIND("（",$E496),999))-1))=I$1,$F496,""))</f>
        <v/>
      </c>
      <c r="J496" s="268" t="str">
        <f t="shared" si="574"/>
        <v/>
      </c>
      <c r="K496" s="268" t="str">
        <f t="shared" si="574"/>
        <v/>
      </c>
      <c r="L496" s="268" t="str">
        <f t="shared" si="574"/>
        <v/>
      </c>
      <c r="M496" s="268" t="str">
        <f t="shared" si="574"/>
        <v/>
      </c>
      <c r="N496" s="268" t="str">
        <f t="shared" si="574"/>
        <v/>
      </c>
      <c r="O496" s="268" t="str">
        <f t="shared" si="574"/>
        <v/>
      </c>
      <c r="P496" s="268" t="str">
        <f t="shared" si="574"/>
        <v/>
      </c>
      <c r="Q496" s="268" t="str">
        <f t="shared" si="574"/>
        <v/>
      </c>
      <c r="R496" s="268" t="str">
        <f t="shared" si="574"/>
        <v/>
      </c>
      <c r="S496" s="268" t="str">
        <f t="shared" si="574"/>
        <v/>
      </c>
      <c r="T496" s="268" t="str">
        <f t="shared" si="574"/>
        <v/>
      </c>
      <c r="U496" s="268" t="str">
        <f t="shared" si="574"/>
        <v/>
      </c>
      <c r="V496" s="268" t="str">
        <f t="shared" si="574"/>
        <v/>
      </c>
      <c r="W496" s="268" t="str">
        <f t="shared" si="574"/>
        <v/>
      </c>
      <c r="X496" s="268" t="str">
        <f t="shared" si="574"/>
        <v/>
      </c>
      <c r="Y496" s="268" t="str">
        <f t="shared" si="574"/>
        <v/>
      </c>
      <c r="Z496" s="268" t="str">
        <f t="shared" si="574"/>
        <v/>
      </c>
      <c r="AA496" s="268" t="str">
        <f t="shared" si="574"/>
        <v/>
      </c>
      <c r="AB496" s="268" t="str">
        <f t="shared" si="574"/>
        <v/>
      </c>
      <c r="AC496" s="268" t="str">
        <f t="shared" si="574"/>
        <v/>
      </c>
      <c r="AD496" s="268">
        <f t="shared" si="574"/>
        <v>4908</v>
      </c>
      <c r="AE496" s="268" t="str">
        <f t="shared" si="574"/>
        <v/>
      </c>
      <c r="AF496" s="268" t="str">
        <f t="shared" si="574"/>
        <v/>
      </c>
      <c r="AG496" s="268" t="str">
        <f t="shared" si="574"/>
        <v/>
      </c>
      <c r="AH496" s="268" t="str">
        <f t="shared" si="574"/>
        <v/>
      </c>
      <c r="AI496" s="268" t="str">
        <f t="shared" si="574"/>
        <v/>
      </c>
      <c r="AJ496" s="268" t="str">
        <f t="shared" si="574"/>
        <v/>
      </c>
      <c r="AK496" s="268" t="str">
        <f t="shared" si="574"/>
        <v/>
      </c>
      <c r="AL496" s="268" t="str">
        <f t="shared" si="574"/>
        <v/>
      </c>
      <c r="AM496" s="268" t="str">
        <f t="shared" si="574"/>
        <v/>
      </c>
      <c r="AN496" s="268" t="str">
        <f t="shared" si="574"/>
        <v/>
      </c>
      <c r="AO496" s="268" t="str">
        <f t="shared" si="574"/>
        <v/>
      </c>
      <c r="AP496" s="268" t="str">
        <f t="shared" si="574"/>
        <v/>
      </c>
      <c r="AQ496" s="268" t="str">
        <f t="shared" si="574"/>
        <v/>
      </c>
      <c r="AR496" s="268" t="str">
        <f t="shared" si="574"/>
        <v/>
      </c>
      <c r="AS496" s="268" t="str">
        <f t="shared" si="574"/>
        <v/>
      </c>
      <c r="AT496" s="268" t="str">
        <f t="shared" si="574"/>
        <v/>
      </c>
      <c r="AU496" s="268" t="str">
        <f t="shared" si="574"/>
        <v/>
      </c>
      <c r="AV496" s="268" t="str">
        <f t="shared" si="574"/>
        <v/>
      </c>
      <c r="AW496" s="268" t="str">
        <f t="shared" si="574"/>
        <v/>
      </c>
      <c r="AX496" s="268" t="str">
        <f t="shared" si="574"/>
        <v/>
      </c>
      <c r="AY496" s="268" t="str">
        <f t="shared" si="574"/>
        <v/>
      </c>
      <c r="AZ496" s="268" t="str">
        <f t="shared" si="574"/>
        <v/>
      </c>
      <c r="BA496" s="268" t="str">
        <f t="shared" si="574"/>
        <v/>
      </c>
      <c r="BB496" s="268" t="str">
        <f t="shared" si="574"/>
        <v/>
      </c>
      <c r="BC496" s="268" t="str">
        <f t="shared" si="574"/>
        <v/>
      </c>
      <c r="BD496" s="268" t="str">
        <f t="shared" si="574"/>
        <v/>
      </c>
      <c r="BE496" s="268" t="str">
        <f t="shared" si="574"/>
        <v/>
      </c>
      <c r="BF496" s="268" t="str">
        <f t="shared" si="574"/>
        <v/>
      </c>
      <c r="BG496" s="268" t="str">
        <f t="shared" si="574"/>
        <v/>
      </c>
      <c r="BH496" s="268" t="str">
        <f t="shared" si="574"/>
        <v/>
      </c>
      <c r="BI496" s="268" t="str">
        <f t="shared" si="574"/>
        <v/>
      </c>
      <c r="BJ496" s="268" t="str">
        <f t="shared" si="574"/>
        <v/>
      </c>
      <c r="BK496" s="268" t="str">
        <f t="shared" si="574"/>
        <v/>
      </c>
      <c r="BL496" s="268" t="str">
        <f t="shared" si="574"/>
        <v/>
      </c>
      <c r="BM496" s="268" t="str">
        <f t="shared" si="574"/>
        <v/>
      </c>
      <c r="BN496" s="268" t="str">
        <f t="shared" si="574"/>
        <v/>
      </c>
      <c r="BO496" s="268" t="str">
        <f t="shared" si="574"/>
        <v/>
      </c>
      <c r="BP496" s="268" t="str">
        <f t="shared" si="574"/>
        <v/>
      </c>
      <c r="BQ496" s="268" t="str">
        <f t="shared" si="574"/>
        <v/>
      </c>
      <c r="BR496" s="268" t="str">
        <f t="shared" si="574"/>
        <v/>
      </c>
      <c r="BS496" s="268" t="str">
        <f t="shared" si="574"/>
        <v/>
      </c>
      <c r="BT496" s="268" t="str">
        <f t="shared" si="574"/>
        <v/>
      </c>
      <c r="BU496" s="268" t="str">
        <f t="shared" si="526"/>
        <v/>
      </c>
      <c r="BV496" s="247">
        <v>0.61</v>
      </c>
      <c r="BW496" s="729">
        <f t="shared" si="537"/>
        <v>2993.88</v>
      </c>
      <c r="BX496" s="730">
        <f t="shared" si="538"/>
        <v>23202.57</v>
      </c>
      <c r="BY496" s="731" t="str">
        <f t="shared" si="539"/>
        <v>SR</v>
      </c>
    </row>
    <row r="497" s="698" customFormat="1" customHeight="1" spans="1:77">
      <c r="A497" s="208">
        <v>46120</v>
      </c>
      <c r="B497" s="208">
        <v>46162</v>
      </c>
      <c r="C497" s="211" t="s">
        <v>677</v>
      </c>
      <c r="D497" s="211" t="s">
        <v>678</v>
      </c>
      <c r="E497" s="211" t="s">
        <v>102</v>
      </c>
      <c r="F497" s="732">
        <v>4872</v>
      </c>
      <c r="G497" s="211" t="s">
        <v>253</v>
      </c>
      <c r="H497" s="211" t="str">
        <f>IFERROR(VLOOKUP(E497,名称!A:E,4,0),"")</f>
        <v>三代</v>
      </c>
      <c r="I497" s="268" t="str">
        <f t="shared" ref="I497:BT497" si="575">IF(OR($E497="",I$1=""),"",IF(TRIM(LEFT($E497,MIN(IFERROR(FIND("CDU",UPPER($E497)),999),IFERROR(FIND("BULK",UPPER($E497)),999),IFERROR(FIND("-",$E497),999),IFERROR(FIND("（",$E497),999))-1))=I$1,$F497,""))</f>
        <v/>
      </c>
      <c r="J497" s="268" t="str">
        <f t="shared" si="575"/>
        <v/>
      </c>
      <c r="K497" s="268" t="str">
        <f t="shared" si="575"/>
        <v/>
      </c>
      <c r="L497" s="268" t="str">
        <f t="shared" si="575"/>
        <v/>
      </c>
      <c r="M497" s="268" t="str">
        <f t="shared" si="575"/>
        <v/>
      </c>
      <c r="N497" s="268" t="str">
        <f t="shared" si="575"/>
        <v/>
      </c>
      <c r="O497" s="268" t="str">
        <f t="shared" si="575"/>
        <v/>
      </c>
      <c r="P497" s="268" t="str">
        <f t="shared" si="575"/>
        <v/>
      </c>
      <c r="Q497" s="268" t="str">
        <f t="shared" si="575"/>
        <v/>
      </c>
      <c r="R497" s="268" t="str">
        <f t="shared" si="575"/>
        <v/>
      </c>
      <c r="S497" s="268" t="str">
        <f t="shared" si="575"/>
        <v/>
      </c>
      <c r="T497" s="268" t="str">
        <f t="shared" si="575"/>
        <v/>
      </c>
      <c r="U497" s="268" t="str">
        <f t="shared" si="575"/>
        <v/>
      </c>
      <c r="V497" s="268" t="str">
        <f t="shared" si="575"/>
        <v/>
      </c>
      <c r="W497" s="268" t="str">
        <f t="shared" si="575"/>
        <v/>
      </c>
      <c r="X497" s="268" t="str">
        <f t="shared" si="575"/>
        <v/>
      </c>
      <c r="Y497" s="268" t="str">
        <f t="shared" si="575"/>
        <v/>
      </c>
      <c r="Z497" s="268" t="str">
        <f t="shared" si="575"/>
        <v/>
      </c>
      <c r="AA497" s="268" t="str">
        <f t="shared" si="575"/>
        <v/>
      </c>
      <c r="AB497" s="268" t="str">
        <f t="shared" si="575"/>
        <v/>
      </c>
      <c r="AC497" s="268" t="str">
        <f t="shared" si="575"/>
        <v/>
      </c>
      <c r="AD497" s="268">
        <f t="shared" si="575"/>
        <v>4872</v>
      </c>
      <c r="AE497" s="268" t="str">
        <f t="shared" si="575"/>
        <v/>
      </c>
      <c r="AF497" s="268" t="str">
        <f t="shared" si="575"/>
        <v/>
      </c>
      <c r="AG497" s="268" t="str">
        <f t="shared" si="575"/>
        <v/>
      </c>
      <c r="AH497" s="268" t="str">
        <f t="shared" si="575"/>
        <v/>
      </c>
      <c r="AI497" s="268" t="str">
        <f t="shared" si="575"/>
        <v/>
      </c>
      <c r="AJ497" s="268" t="str">
        <f t="shared" si="575"/>
        <v/>
      </c>
      <c r="AK497" s="268" t="str">
        <f t="shared" si="575"/>
        <v/>
      </c>
      <c r="AL497" s="268" t="str">
        <f t="shared" si="575"/>
        <v/>
      </c>
      <c r="AM497" s="268" t="str">
        <f t="shared" si="575"/>
        <v/>
      </c>
      <c r="AN497" s="268" t="str">
        <f t="shared" si="575"/>
        <v/>
      </c>
      <c r="AO497" s="268" t="str">
        <f t="shared" si="575"/>
        <v/>
      </c>
      <c r="AP497" s="268" t="str">
        <f t="shared" si="575"/>
        <v/>
      </c>
      <c r="AQ497" s="268" t="str">
        <f t="shared" si="575"/>
        <v/>
      </c>
      <c r="AR497" s="268" t="str">
        <f t="shared" si="575"/>
        <v/>
      </c>
      <c r="AS497" s="268" t="str">
        <f t="shared" si="575"/>
        <v/>
      </c>
      <c r="AT497" s="268" t="str">
        <f t="shared" si="575"/>
        <v/>
      </c>
      <c r="AU497" s="268" t="str">
        <f t="shared" si="575"/>
        <v/>
      </c>
      <c r="AV497" s="268" t="str">
        <f t="shared" si="575"/>
        <v/>
      </c>
      <c r="AW497" s="268" t="str">
        <f t="shared" si="575"/>
        <v/>
      </c>
      <c r="AX497" s="268" t="str">
        <f t="shared" si="575"/>
        <v/>
      </c>
      <c r="AY497" s="268" t="str">
        <f t="shared" si="575"/>
        <v/>
      </c>
      <c r="AZ497" s="268" t="str">
        <f t="shared" si="575"/>
        <v/>
      </c>
      <c r="BA497" s="268" t="str">
        <f t="shared" si="575"/>
        <v/>
      </c>
      <c r="BB497" s="268" t="str">
        <f t="shared" si="575"/>
        <v/>
      </c>
      <c r="BC497" s="268" t="str">
        <f t="shared" si="575"/>
        <v/>
      </c>
      <c r="BD497" s="268" t="str">
        <f t="shared" si="575"/>
        <v/>
      </c>
      <c r="BE497" s="268" t="str">
        <f t="shared" si="575"/>
        <v/>
      </c>
      <c r="BF497" s="268" t="str">
        <f t="shared" si="575"/>
        <v/>
      </c>
      <c r="BG497" s="268" t="str">
        <f t="shared" si="575"/>
        <v/>
      </c>
      <c r="BH497" s="268" t="str">
        <f t="shared" si="575"/>
        <v/>
      </c>
      <c r="BI497" s="268" t="str">
        <f t="shared" si="575"/>
        <v/>
      </c>
      <c r="BJ497" s="268" t="str">
        <f t="shared" si="575"/>
        <v/>
      </c>
      <c r="BK497" s="268" t="str">
        <f t="shared" si="575"/>
        <v/>
      </c>
      <c r="BL497" s="268" t="str">
        <f t="shared" si="575"/>
        <v/>
      </c>
      <c r="BM497" s="268" t="str">
        <f t="shared" si="575"/>
        <v/>
      </c>
      <c r="BN497" s="268" t="str">
        <f t="shared" si="575"/>
        <v/>
      </c>
      <c r="BO497" s="268" t="str">
        <f t="shared" si="575"/>
        <v/>
      </c>
      <c r="BP497" s="268" t="str">
        <f t="shared" si="575"/>
        <v/>
      </c>
      <c r="BQ497" s="268" t="str">
        <f t="shared" si="575"/>
        <v/>
      </c>
      <c r="BR497" s="268" t="str">
        <f t="shared" si="575"/>
        <v/>
      </c>
      <c r="BS497" s="268" t="str">
        <f t="shared" si="575"/>
        <v/>
      </c>
      <c r="BT497" s="268" t="str">
        <f t="shared" si="575"/>
        <v/>
      </c>
      <c r="BU497" s="268" t="str">
        <f t="shared" si="526"/>
        <v/>
      </c>
      <c r="BV497" s="247">
        <v>0.64</v>
      </c>
      <c r="BW497" s="729">
        <f t="shared" si="537"/>
        <v>3118.08</v>
      </c>
      <c r="BX497" s="730">
        <f t="shared" si="538"/>
        <v>24165.12</v>
      </c>
      <c r="BY497" s="731" t="str">
        <f t="shared" si="539"/>
        <v>SR</v>
      </c>
    </row>
    <row r="498" s="698" customFormat="1" customHeight="1" spans="1:77">
      <c r="A498" s="208">
        <v>46120</v>
      </c>
      <c r="B498" s="208">
        <v>46176</v>
      </c>
      <c r="C498" s="211" t="s">
        <v>679</v>
      </c>
      <c r="D498" s="211" t="s">
        <v>680</v>
      </c>
      <c r="E498" s="211" t="s">
        <v>102</v>
      </c>
      <c r="F498" s="732">
        <v>600</v>
      </c>
      <c r="G498" s="211" t="s">
        <v>253</v>
      </c>
      <c r="H498" s="211" t="str">
        <f>IFERROR(VLOOKUP(E498,名称!A:E,4,0),"")</f>
        <v>三代</v>
      </c>
      <c r="I498" s="268" t="str">
        <f t="shared" ref="I498:BT498" si="576">IF(OR($E498="",I$1=""),"",IF(TRIM(LEFT($E498,MIN(IFERROR(FIND("CDU",UPPER($E498)),999),IFERROR(FIND("BULK",UPPER($E498)),999),IFERROR(FIND("-",$E498),999),IFERROR(FIND("（",$E498),999))-1))=I$1,$F498,""))</f>
        <v/>
      </c>
      <c r="J498" s="268" t="str">
        <f t="shared" si="576"/>
        <v/>
      </c>
      <c r="K498" s="268" t="str">
        <f t="shared" si="576"/>
        <v/>
      </c>
      <c r="L498" s="268" t="str">
        <f t="shared" si="576"/>
        <v/>
      </c>
      <c r="M498" s="268" t="str">
        <f t="shared" si="576"/>
        <v/>
      </c>
      <c r="N498" s="268" t="str">
        <f t="shared" si="576"/>
        <v/>
      </c>
      <c r="O498" s="268" t="str">
        <f t="shared" si="576"/>
        <v/>
      </c>
      <c r="P498" s="268" t="str">
        <f t="shared" si="576"/>
        <v/>
      </c>
      <c r="Q498" s="268" t="str">
        <f t="shared" si="576"/>
        <v/>
      </c>
      <c r="R498" s="268" t="str">
        <f t="shared" si="576"/>
        <v/>
      </c>
      <c r="S498" s="268" t="str">
        <f t="shared" si="576"/>
        <v/>
      </c>
      <c r="T498" s="268" t="str">
        <f t="shared" si="576"/>
        <v/>
      </c>
      <c r="U498" s="268" t="str">
        <f t="shared" si="576"/>
        <v/>
      </c>
      <c r="V498" s="268" t="str">
        <f t="shared" si="576"/>
        <v/>
      </c>
      <c r="W498" s="268" t="str">
        <f t="shared" si="576"/>
        <v/>
      </c>
      <c r="X498" s="268" t="str">
        <f t="shared" si="576"/>
        <v/>
      </c>
      <c r="Y498" s="268" t="str">
        <f t="shared" si="576"/>
        <v/>
      </c>
      <c r="Z498" s="268" t="str">
        <f t="shared" si="576"/>
        <v/>
      </c>
      <c r="AA498" s="268" t="str">
        <f t="shared" si="576"/>
        <v/>
      </c>
      <c r="AB498" s="268" t="str">
        <f t="shared" si="576"/>
        <v/>
      </c>
      <c r="AC498" s="268" t="str">
        <f t="shared" si="576"/>
        <v/>
      </c>
      <c r="AD498" s="268">
        <f t="shared" si="576"/>
        <v>600</v>
      </c>
      <c r="AE498" s="268" t="str">
        <f t="shared" si="576"/>
        <v/>
      </c>
      <c r="AF498" s="268" t="str">
        <f t="shared" si="576"/>
        <v/>
      </c>
      <c r="AG498" s="268" t="str">
        <f t="shared" si="576"/>
        <v/>
      </c>
      <c r="AH498" s="268" t="str">
        <f t="shared" si="576"/>
        <v/>
      </c>
      <c r="AI498" s="268" t="str">
        <f t="shared" si="576"/>
        <v/>
      </c>
      <c r="AJ498" s="268" t="str">
        <f t="shared" si="576"/>
        <v/>
      </c>
      <c r="AK498" s="268" t="str">
        <f t="shared" si="576"/>
        <v/>
      </c>
      <c r="AL498" s="268" t="str">
        <f t="shared" si="576"/>
        <v/>
      </c>
      <c r="AM498" s="268" t="str">
        <f t="shared" si="576"/>
        <v/>
      </c>
      <c r="AN498" s="268" t="str">
        <f t="shared" si="576"/>
        <v/>
      </c>
      <c r="AO498" s="268" t="str">
        <f t="shared" si="576"/>
        <v/>
      </c>
      <c r="AP498" s="268" t="str">
        <f t="shared" si="576"/>
        <v/>
      </c>
      <c r="AQ498" s="268" t="str">
        <f t="shared" si="576"/>
        <v/>
      </c>
      <c r="AR498" s="268" t="str">
        <f t="shared" si="576"/>
        <v/>
      </c>
      <c r="AS498" s="268" t="str">
        <f t="shared" si="576"/>
        <v/>
      </c>
      <c r="AT498" s="268" t="str">
        <f t="shared" si="576"/>
        <v/>
      </c>
      <c r="AU498" s="268" t="str">
        <f t="shared" si="576"/>
        <v/>
      </c>
      <c r="AV498" s="268" t="str">
        <f t="shared" si="576"/>
        <v/>
      </c>
      <c r="AW498" s="268" t="str">
        <f t="shared" si="576"/>
        <v/>
      </c>
      <c r="AX498" s="268" t="str">
        <f t="shared" si="576"/>
        <v/>
      </c>
      <c r="AY498" s="268" t="str">
        <f t="shared" si="576"/>
        <v/>
      </c>
      <c r="AZ498" s="268" t="str">
        <f t="shared" si="576"/>
        <v/>
      </c>
      <c r="BA498" s="268" t="str">
        <f t="shared" si="576"/>
        <v/>
      </c>
      <c r="BB498" s="268" t="str">
        <f t="shared" si="576"/>
        <v/>
      </c>
      <c r="BC498" s="268" t="str">
        <f t="shared" si="576"/>
        <v/>
      </c>
      <c r="BD498" s="268" t="str">
        <f t="shared" si="576"/>
        <v/>
      </c>
      <c r="BE498" s="268" t="str">
        <f t="shared" si="576"/>
        <v/>
      </c>
      <c r="BF498" s="268" t="str">
        <f t="shared" si="576"/>
        <v/>
      </c>
      <c r="BG498" s="268" t="str">
        <f t="shared" si="576"/>
        <v/>
      </c>
      <c r="BH498" s="268" t="str">
        <f t="shared" si="576"/>
        <v/>
      </c>
      <c r="BI498" s="268" t="str">
        <f t="shared" si="576"/>
        <v/>
      </c>
      <c r="BJ498" s="268" t="str">
        <f t="shared" si="576"/>
        <v/>
      </c>
      <c r="BK498" s="268" t="str">
        <f t="shared" si="576"/>
        <v/>
      </c>
      <c r="BL498" s="268" t="str">
        <f t="shared" si="576"/>
        <v/>
      </c>
      <c r="BM498" s="268" t="str">
        <f t="shared" si="576"/>
        <v/>
      </c>
      <c r="BN498" s="268" t="str">
        <f t="shared" si="576"/>
        <v/>
      </c>
      <c r="BO498" s="268" t="str">
        <f t="shared" si="576"/>
        <v/>
      </c>
      <c r="BP498" s="268" t="str">
        <f t="shared" si="576"/>
        <v/>
      </c>
      <c r="BQ498" s="268" t="str">
        <f t="shared" si="576"/>
        <v/>
      </c>
      <c r="BR498" s="268" t="str">
        <f t="shared" si="576"/>
        <v/>
      </c>
      <c r="BS498" s="268" t="str">
        <f t="shared" si="576"/>
        <v/>
      </c>
      <c r="BT498" s="268" t="str">
        <f t="shared" si="576"/>
        <v/>
      </c>
      <c r="BU498" s="268" t="str">
        <f t="shared" si="526"/>
        <v/>
      </c>
      <c r="BV498" s="247">
        <v>0.64</v>
      </c>
      <c r="BW498" s="729">
        <f t="shared" si="537"/>
        <v>384</v>
      </c>
      <c r="BX498" s="730">
        <f t="shared" si="538"/>
        <v>2976</v>
      </c>
      <c r="BY498" s="731" t="str">
        <f t="shared" si="539"/>
        <v>SR</v>
      </c>
    </row>
    <row r="499" s="698" customFormat="1" customHeight="1" spans="1:77">
      <c r="A499" s="208">
        <v>46120</v>
      </c>
      <c r="B499" s="208">
        <v>46190</v>
      </c>
      <c r="C499" s="211" t="s">
        <v>681</v>
      </c>
      <c r="D499" s="211" t="s">
        <v>682</v>
      </c>
      <c r="E499" s="211" t="s">
        <v>102</v>
      </c>
      <c r="F499" s="732">
        <v>600</v>
      </c>
      <c r="G499" s="211" t="s">
        <v>253</v>
      </c>
      <c r="H499" s="211" t="str">
        <f>IFERROR(VLOOKUP(E499,名称!A:E,4,0),"")</f>
        <v>三代</v>
      </c>
      <c r="I499" s="268" t="str">
        <f t="shared" ref="I499:BT499" si="577">IF(OR($E499="",I$1=""),"",IF(TRIM(LEFT($E499,MIN(IFERROR(FIND("CDU",UPPER($E499)),999),IFERROR(FIND("BULK",UPPER($E499)),999),IFERROR(FIND("-",$E499),999),IFERROR(FIND("（",$E499),999))-1))=I$1,$F499,""))</f>
        <v/>
      </c>
      <c r="J499" s="268" t="str">
        <f t="shared" si="577"/>
        <v/>
      </c>
      <c r="K499" s="268" t="str">
        <f t="shared" si="577"/>
        <v/>
      </c>
      <c r="L499" s="268" t="str">
        <f t="shared" si="577"/>
        <v/>
      </c>
      <c r="M499" s="268" t="str">
        <f t="shared" si="577"/>
        <v/>
      </c>
      <c r="N499" s="268" t="str">
        <f t="shared" si="577"/>
        <v/>
      </c>
      <c r="O499" s="268" t="str">
        <f t="shared" si="577"/>
        <v/>
      </c>
      <c r="P499" s="268" t="str">
        <f t="shared" si="577"/>
        <v/>
      </c>
      <c r="Q499" s="268" t="str">
        <f t="shared" si="577"/>
        <v/>
      </c>
      <c r="R499" s="268" t="str">
        <f t="shared" si="577"/>
        <v/>
      </c>
      <c r="S499" s="268" t="str">
        <f t="shared" si="577"/>
        <v/>
      </c>
      <c r="T499" s="268" t="str">
        <f t="shared" si="577"/>
        <v/>
      </c>
      <c r="U499" s="268" t="str">
        <f t="shared" si="577"/>
        <v/>
      </c>
      <c r="V499" s="268" t="str">
        <f t="shared" si="577"/>
        <v/>
      </c>
      <c r="W499" s="268" t="str">
        <f t="shared" si="577"/>
        <v/>
      </c>
      <c r="X499" s="268" t="str">
        <f t="shared" si="577"/>
        <v/>
      </c>
      <c r="Y499" s="268" t="str">
        <f t="shared" si="577"/>
        <v/>
      </c>
      <c r="Z499" s="268" t="str">
        <f t="shared" si="577"/>
        <v/>
      </c>
      <c r="AA499" s="268" t="str">
        <f t="shared" si="577"/>
        <v/>
      </c>
      <c r="AB499" s="268" t="str">
        <f t="shared" si="577"/>
        <v/>
      </c>
      <c r="AC499" s="268" t="str">
        <f t="shared" si="577"/>
        <v/>
      </c>
      <c r="AD499" s="268">
        <f t="shared" si="577"/>
        <v>600</v>
      </c>
      <c r="AE499" s="268" t="str">
        <f t="shared" si="577"/>
        <v/>
      </c>
      <c r="AF499" s="268" t="str">
        <f t="shared" si="577"/>
        <v/>
      </c>
      <c r="AG499" s="268" t="str">
        <f t="shared" si="577"/>
        <v/>
      </c>
      <c r="AH499" s="268" t="str">
        <f t="shared" si="577"/>
        <v/>
      </c>
      <c r="AI499" s="268" t="str">
        <f t="shared" si="577"/>
        <v/>
      </c>
      <c r="AJ499" s="268" t="str">
        <f t="shared" si="577"/>
        <v/>
      </c>
      <c r="AK499" s="268" t="str">
        <f t="shared" si="577"/>
        <v/>
      </c>
      <c r="AL499" s="268" t="str">
        <f t="shared" si="577"/>
        <v/>
      </c>
      <c r="AM499" s="268" t="str">
        <f t="shared" si="577"/>
        <v/>
      </c>
      <c r="AN499" s="268" t="str">
        <f t="shared" si="577"/>
        <v/>
      </c>
      <c r="AO499" s="268" t="str">
        <f t="shared" si="577"/>
        <v/>
      </c>
      <c r="AP499" s="268" t="str">
        <f t="shared" si="577"/>
        <v/>
      </c>
      <c r="AQ499" s="268" t="str">
        <f t="shared" si="577"/>
        <v/>
      </c>
      <c r="AR499" s="268" t="str">
        <f t="shared" si="577"/>
        <v/>
      </c>
      <c r="AS499" s="268" t="str">
        <f t="shared" si="577"/>
        <v/>
      </c>
      <c r="AT499" s="268" t="str">
        <f t="shared" si="577"/>
        <v/>
      </c>
      <c r="AU499" s="268" t="str">
        <f t="shared" si="577"/>
        <v/>
      </c>
      <c r="AV499" s="268" t="str">
        <f t="shared" si="577"/>
        <v/>
      </c>
      <c r="AW499" s="268" t="str">
        <f t="shared" si="577"/>
        <v/>
      </c>
      <c r="AX499" s="268" t="str">
        <f t="shared" si="577"/>
        <v/>
      </c>
      <c r="AY499" s="268" t="str">
        <f t="shared" si="577"/>
        <v/>
      </c>
      <c r="AZ499" s="268" t="str">
        <f t="shared" si="577"/>
        <v/>
      </c>
      <c r="BA499" s="268" t="str">
        <f t="shared" si="577"/>
        <v/>
      </c>
      <c r="BB499" s="268" t="str">
        <f t="shared" si="577"/>
        <v/>
      </c>
      <c r="BC499" s="268" t="str">
        <f t="shared" si="577"/>
        <v/>
      </c>
      <c r="BD499" s="268" t="str">
        <f t="shared" si="577"/>
        <v/>
      </c>
      <c r="BE499" s="268" t="str">
        <f t="shared" si="577"/>
        <v/>
      </c>
      <c r="BF499" s="268" t="str">
        <f t="shared" si="577"/>
        <v/>
      </c>
      <c r="BG499" s="268" t="str">
        <f t="shared" si="577"/>
        <v/>
      </c>
      <c r="BH499" s="268" t="str">
        <f t="shared" si="577"/>
        <v/>
      </c>
      <c r="BI499" s="268" t="str">
        <f t="shared" si="577"/>
        <v/>
      </c>
      <c r="BJ499" s="268" t="str">
        <f t="shared" si="577"/>
        <v/>
      </c>
      <c r="BK499" s="268" t="str">
        <f t="shared" si="577"/>
        <v/>
      </c>
      <c r="BL499" s="268" t="str">
        <f t="shared" si="577"/>
        <v/>
      </c>
      <c r="BM499" s="268" t="str">
        <f t="shared" si="577"/>
        <v/>
      </c>
      <c r="BN499" s="268" t="str">
        <f t="shared" si="577"/>
        <v/>
      </c>
      <c r="BO499" s="268" t="str">
        <f t="shared" si="577"/>
        <v/>
      </c>
      <c r="BP499" s="268" t="str">
        <f t="shared" si="577"/>
        <v/>
      </c>
      <c r="BQ499" s="268" t="str">
        <f t="shared" si="577"/>
        <v/>
      </c>
      <c r="BR499" s="268" t="str">
        <f t="shared" si="577"/>
        <v/>
      </c>
      <c r="BS499" s="268" t="str">
        <f t="shared" si="577"/>
        <v/>
      </c>
      <c r="BT499" s="268" t="str">
        <f t="shared" si="577"/>
        <v/>
      </c>
      <c r="BU499" s="268" t="str">
        <f t="shared" si="526"/>
        <v/>
      </c>
      <c r="BV499" s="247">
        <v>0.64</v>
      </c>
      <c r="BW499" s="729">
        <f t="shared" si="537"/>
        <v>384</v>
      </c>
      <c r="BX499" s="730">
        <f t="shared" si="538"/>
        <v>2976</v>
      </c>
      <c r="BY499" s="731" t="str">
        <f t="shared" si="539"/>
        <v>SR</v>
      </c>
    </row>
    <row r="500" s="698" customFormat="1" customHeight="1" spans="1:77">
      <c r="A500" s="208">
        <v>46120</v>
      </c>
      <c r="B500" s="208">
        <v>46204</v>
      </c>
      <c r="C500" s="211" t="s">
        <v>683</v>
      </c>
      <c r="D500" s="211" t="s">
        <v>684</v>
      </c>
      <c r="E500" s="211" t="s">
        <v>102</v>
      </c>
      <c r="F500" s="732">
        <v>1008</v>
      </c>
      <c r="G500" s="211" t="s">
        <v>253</v>
      </c>
      <c r="H500" s="211" t="str">
        <f>IFERROR(VLOOKUP(E500,名称!A:E,4,0),"")</f>
        <v>三代</v>
      </c>
      <c r="I500" s="268" t="str">
        <f t="shared" ref="I500:BT500" si="578">IF(OR($E500="",I$1=""),"",IF(TRIM(LEFT($E500,MIN(IFERROR(FIND("CDU",UPPER($E500)),999),IFERROR(FIND("BULK",UPPER($E500)),999),IFERROR(FIND("-",$E500),999),IFERROR(FIND("（",$E500),999))-1))=I$1,$F500,""))</f>
        <v/>
      </c>
      <c r="J500" s="268" t="str">
        <f t="shared" si="578"/>
        <v/>
      </c>
      <c r="K500" s="268" t="str">
        <f t="shared" si="578"/>
        <v/>
      </c>
      <c r="L500" s="268" t="str">
        <f t="shared" si="578"/>
        <v/>
      </c>
      <c r="M500" s="268" t="str">
        <f t="shared" si="578"/>
        <v/>
      </c>
      <c r="N500" s="268" t="str">
        <f t="shared" si="578"/>
        <v/>
      </c>
      <c r="O500" s="268" t="str">
        <f t="shared" si="578"/>
        <v/>
      </c>
      <c r="P500" s="268" t="str">
        <f t="shared" si="578"/>
        <v/>
      </c>
      <c r="Q500" s="268" t="str">
        <f t="shared" si="578"/>
        <v/>
      </c>
      <c r="R500" s="268" t="str">
        <f t="shared" si="578"/>
        <v/>
      </c>
      <c r="S500" s="268" t="str">
        <f t="shared" si="578"/>
        <v/>
      </c>
      <c r="T500" s="268" t="str">
        <f t="shared" si="578"/>
        <v/>
      </c>
      <c r="U500" s="268" t="str">
        <f t="shared" si="578"/>
        <v/>
      </c>
      <c r="V500" s="268" t="str">
        <f t="shared" si="578"/>
        <v/>
      </c>
      <c r="W500" s="268" t="str">
        <f t="shared" si="578"/>
        <v/>
      </c>
      <c r="X500" s="268" t="str">
        <f t="shared" si="578"/>
        <v/>
      </c>
      <c r="Y500" s="268" t="str">
        <f t="shared" si="578"/>
        <v/>
      </c>
      <c r="Z500" s="268" t="str">
        <f t="shared" si="578"/>
        <v/>
      </c>
      <c r="AA500" s="268" t="str">
        <f t="shared" si="578"/>
        <v/>
      </c>
      <c r="AB500" s="268" t="str">
        <f t="shared" si="578"/>
        <v/>
      </c>
      <c r="AC500" s="268" t="str">
        <f t="shared" si="578"/>
        <v/>
      </c>
      <c r="AD500" s="268">
        <f t="shared" si="578"/>
        <v>1008</v>
      </c>
      <c r="AE500" s="268" t="str">
        <f t="shared" si="578"/>
        <v/>
      </c>
      <c r="AF500" s="268" t="str">
        <f t="shared" si="578"/>
        <v/>
      </c>
      <c r="AG500" s="268" t="str">
        <f t="shared" si="578"/>
        <v/>
      </c>
      <c r="AH500" s="268" t="str">
        <f t="shared" si="578"/>
        <v/>
      </c>
      <c r="AI500" s="268" t="str">
        <f t="shared" si="578"/>
        <v/>
      </c>
      <c r="AJ500" s="268" t="str">
        <f t="shared" si="578"/>
        <v/>
      </c>
      <c r="AK500" s="268" t="str">
        <f t="shared" si="578"/>
        <v/>
      </c>
      <c r="AL500" s="268" t="str">
        <f t="shared" si="578"/>
        <v/>
      </c>
      <c r="AM500" s="268" t="str">
        <f t="shared" si="578"/>
        <v/>
      </c>
      <c r="AN500" s="268" t="str">
        <f t="shared" si="578"/>
        <v/>
      </c>
      <c r="AO500" s="268" t="str">
        <f t="shared" si="578"/>
        <v/>
      </c>
      <c r="AP500" s="268" t="str">
        <f t="shared" si="578"/>
        <v/>
      </c>
      <c r="AQ500" s="268" t="str">
        <f t="shared" si="578"/>
        <v/>
      </c>
      <c r="AR500" s="268" t="str">
        <f t="shared" si="578"/>
        <v/>
      </c>
      <c r="AS500" s="268" t="str">
        <f t="shared" si="578"/>
        <v/>
      </c>
      <c r="AT500" s="268" t="str">
        <f t="shared" si="578"/>
        <v/>
      </c>
      <c r="AU500" s="268" t="str">
        <f t="shared" si="578"/>
        <v/>
      </c>
      <c r="AV500" s="268" t="str">
        <f t="shared" si="578"/>
        <v/>
      </c>
      <c r="AW500" s="268" t="str">
        <f t="shared" si="578"/>
        <v/>
      </c>
      <c r="AX500" s="268" t="str">
        <f t="shared" si="578"/>
        <v/>
      </c>
      <c r="AY500" s="268" t="str">
        <f t="shared" si="578"/>
        <v/>
      </c>
      <c r="AZ500" s="268" t="str">
        <f t="shared" si="578"/>
        <v/>
      </c>
      <c r="BA500" s="268" t="str">
        <f t="shared" si="578"/>
        <v/>
      </c>
      <c r="BB500" s="268" t="str">
        <f t="shared" si="578"/>
        <v/>
      </c>
      <c r="BC500" s="268" t="str">
        <f t="shared" si="578"/>
        <v/>
      </c>
      <c r="BD500" s="268" t="str">
        <f t="shared" si="578"/>
        <v/>
      </c>
      <c r="BE500" s="268" t="str">
        <f t="shared" si="578"/>
        <v/>
      </c>
      <c r="BF500" s="268" t="str">
        <f t="shared" si="578"/>
        <v/>
      </c>
      <c r="BG500" s="268" t="str">
        <f t="shared" si="578"/>
        <v/>
      </c>
      <c r="BH500" s="268" t="str">
        <f t="shared" si="578"/>
        <v/>
      </c>
      <c r="BI500" s="268" t="str">
        <f t="shared" si="578"/>
        <v/>
      </c>
      <c r="BJ500" s="268" t="str">
        <f t="shared" si="578"/>
        <v/>
      </c>
      <c r="BK500" s="268" t="str">
        <f t="shared" si="578"/>
        <v/>
      </c>
      <c r="BL500" s="268" t="str">
        <f t="shared" si="578"/>
        <v/>
      </c>
      <c r="BM500" s="268" t="str">
        <f t="shared" si="578"/>
        <v/>
      </c>
      <c r="BN500" s="268" t="str">
        <f t="shared" si="578"/>
        <v/>
      </c>
      <c r="BO500" s="268" t="str">
        <f t="shared" si="578"/>
        <v/>
      </c>
      <c r="BP500" s="268" t="str">
        <f t="shared" si="578"/>
        <v/>
      </c>
      <c r="BQ500" s="268" t="str">
        <f t="shared" si="578"/>
        <v/>
      </c>
      <c r="BR500" s="268" t="str">
        <f t="shared" si="578"/>
        <v/>
      </c>
      <c r="BS500" s="268" t="str">
        <f t="shared" si="578"/>
        <v/>
      </c>
      <c r="BT500" s="268" t="str">
        <f t="shared" si="578"/>
        <v/>
      </c>
      <c r="BU500" s="268" t="str">
        <f t="shared" si="526"/>
        <v/>
      </c>
      <c r="BV500" s="247">
        <v>0.64</v>
      </c>
      <c r="BW500" s="729">
        <f t="shared" si="537"/>
        <v>645.12</v>
      </c>
      <c r="BX500" s="730">
        <f t="shared" si="538"/>
        <v>4999.68</v>
      </c>
      <c r="BY500" s="731" t="str">
        <f t="shared" si="539"/>
        <v>SR</v>
      </c>
    </row>
    <row r="501" s="698" customFormat="1" customHeight="1" spans="1:77">
      <c r="A501" s="208">
        <v>46120</v>
      </c>
      <c r="B501" s="208">
        <v>46218</v>
      </c>
      <c r="C501" s="211" t="s">
        <v>685</v>
      </c>
      <c r="D501" s="211" t="s">
        <v>686</v>
      </c>
      <c r="E501" s="211" t="s">
        <v>102</v>
      </c>
      <c r="F501" s="732">
        <v>2004</v>
      </c>
      <c r="G501" s="211" t="s">
        <v>253</v>
      </c>
      <c r="H501" s="211" t="str">
        <f>IFERROR(VLOOKUP(E501,名称!A:E,4,0),"")</f>
        <v>三代</v>
      </c>
      <c r="I501" s="268" t="str">
        <f t="shared" ref="I501:BT501" si="579">IF(OR($E501="",I$1=""),"",IF(TRIM(LEFT($E501,MIN(IFERROR(FIND("CDU",UPPER($E501)),999),IFERROR(FIND("BULK",UPPER($E501)),999),IFERROR(FIND("-",$E501),999),IFERROR(FIND("（",$E501),999))-1))=I$1,$F501,""))</f>
        <v/>
      </c>
      <c r="J501" s="268" t="str">
        <f t="shared" si="579"/>
        <v/>
      </c>
      <c r="K501" s="268" t="str">
        <f t="shared" si="579"/>
        <v/>
      </c>
      <c r="L501" s="268" t="str">
        <f t="shared" si="579"/>
        <v/>
      </c>
      <c r="M501" s="268" t="str">
        <f t="shared" si="579"/>
        <v/>
      </c>
      <c r="N501" s="268" t="str">
        <f t="shared" si="579"/>
        <v/>
      </c>
      <c r="O501" s="268" t="str">
        <f t="shared" si="579"/>
        <v/>
      </c>
      <c r="P501" s="268" t="str">
        <f t="shared" si="579"/>
        <v/>
      </c>
      <c r="Q501" s="268" t="str">
        <f t="shared" si="579"/>
        <v/>
      </c>
      <c r="R501" s="268" t="str">
        <f t="shared" si="579"/>
        <v/>
      </c>
      <c r="S501" s="268" t="str">
        <f t="shared" si="579"/>
        <v/>
      </c>
      <c r="T501" s="268" t="str">
        <f t="shared" si="579"/>
        <v/>
      </c>
      <c r="U501" s="268" t="str">
        <f t="shared" si="579"/>
        <v/>
      </c>
      <c r="V501" s="268" t="str">
        <f t="shared" si="579"/>
        <v/>
      </c>
      <c r="W501" s="268" t="str">
        <f t="shared" si="579"/>
        <v/>
      </c>
      <c r="X501" s="268" t="str">
        <f t="shared" si="579"/>
        <v/>
      </c>
      <c r="Y501" s="268" t="str">
        <f t="shared" si="579"/>
        <v/>
      </c>
      <c r="Z501" s="268" t="str">
        <f t="shared" si="579"/>
        <v/>
      </c>
      <c r="AA501" s="268" t="str">
        <f t="shared" si="579"/>
        <v/>
      </c>
      <c r="AB501" s="268" t="str">
        <f t="shared" si="579"/>
        <v/>
      </c>
      <c r="AC501" s="268" t="str">
        <f t="shared" si="579"/>
        <v/>
      </c>
      <c r="AD501" s="268">
        <f t="shared" si="579"/>
        <v>2004</v>
      </c>
      <c r="AE501" s="268" t="str">
        <f t="shared" si="579"/>
        <v/>
      </c>
      <c r="AF501" s="268" t="str">
        <f t="shared" si="579"/>
        <v/>
      </c>
      <c r="AG501" s="268" t="str">
        <f t="shared" si="579"/>
        <v/>
      </c>
      <c r="AH501" s="268" t="str">
        <f t="shared" si="579"/>
        <v/>
      </c>
      <c r="AI501" s="268" t="str">
        <f t="shared" si="579"/>
        <v/>
      </c>
      <c r="AJ501" s="268" t="str">
        <f t="shared" si="579"/>
        <v/>
      </c>
      <c r="AK501" s="268" t="str">
        <f t="shared" si="579"/>
        <v/>
      </c>
      <c r="AL501" s="268" t="str">
        <f t="shared" si="579"/>
        <v/>
      </c>
      <c r="AM501" s="268" t="str">
        <f t="shared" si="579"/>
        <v/>
      </c>
      <c r="AN501" s="268" t="str">
        <f t="shared" si="579"/>
        <v/>
      </c>
      <c r="AO501" s="268" t="str">
        <f t="shared" si="579"/>
        <v/>
      </c>
      <c r="AP501" s="268" t="str">
        <f t="shared" si="579"/>
        <v/>
      </c>
      <c r="AQ501" s="268" t="str">
        <f t="shared" si="579"/>
        <v/>
      </c>
      <c r="AR501" s="268" t="str">
        <f t="shared" si="579"/>
        <v/>
      </c>
      <c r="AS501" s="268" t="str">
        <f t="shared" si="579"/>
        <v/>
      </c>
      <c r="AT501" s="268" t="str">
        <f t="shared" si="579"/>
        <v/>
      </c>
      <c r="AU501" s="268" t="str">
        <f t="shared" si="579"/>
        <v/>
      </c>
      <c r="AV501" s="268" t="str">
        <f t="shared" si="579"/>
        <v/>
      </c>
      <c r="AW501" s="268" t="str">
        <f t="shared" si="579"/>
        <v/>
      </c>
      <c r="AX501" s="268" t="str">
        <f t="shared" si="579"/>
        <v/>
      </c>
      <c r="AY501" s="268" t="str">
        <f t="shared" si="579"/>
        <v/>
      </c>
      <c r="AZ501" s="268" t="str">
        <f t="shared" si="579"/>
        <v/>
      </c>
      <c r="BA501" s="268" t="str">
        <f t="shared" si="579"/>
        <v/>
      </c>
      <c r="BB501" s="268" t="str">
        <f t="shared" si="579"/>
        <v/>
      </c>
      <c r="BC501" s="268" t="str">
        <f t="shared" si="579"/>
        <v/>
      </c>
      <c r="BD501" s="268" t="str">
        <f t="shared" si="579"/>
        <v/>
      </c>
      <c r="BE501" s="268" t="str">
        <f t="shared" si="579"/>
        <v/>
      </c>
      <c r="BF501" s="268" t="str">
        <f t="shared" si="579"/>
        <v/>
      </c>
      <c r="BG501" s="268" t="str">
        <f t="shared" si="579"/>
        <v/>
      </c>
      <c r="BH501" s="268" t="str">
        <f t="shared" si="579"/>
        <v/>
      </c>
      <c r="BI501" s="268" t="str">
        <f t="shared" si="579"/>
        <v/>
      </c>
      <c r="BJ501" s="268" t="str">
        <f t="shared" si="579"/>
        <v/>
      </c>
      <c r="BK501" s="268" t="str">
        <f t="shared" si="579"/>
        <v/>
      </c>
      <c r="BL501" s="268" t="str">
        <f t="shared" si="579"/>
        <v/>
      </c>
      <c r="BM501" s="268" t="str">
        <f t="shared" si="579"/>
        <v/>
      </c>
      <c r="BN501" s="268" t="str">
        <f t="shared" si="579"/>
        <v/>
      </c>
      <c r="BO501" s="268" t="str">
        <f t="shared" si="579"/>
        <v/>
      </c>
      <c r="BP501" s="268" t="str">
        <f t="shared" si="579"/>
        <v/>
      </c>
      <c r="BQ501" s="268" t="str">
        <f t="shared" si="579"/>
        <v/>
      </c>
      <c r="BR501" s="268" t="str">
        <f t="shared" si="579"/>
        <v/>
      </c>
      <c r="BS501" s="268" t="str">
        <f t="shared" si="579"/>
        <v/>
      </c>
      <c r="BT501" s="268" t="str">
        <f t="shared" si="579"/>
        <v/>
      </c>
      <c r="BU501" s="268" t="str">
        <f t="shared" si="526"/>
        <v/>
      </c>
      <c r="BV501" s="247">
        <v>0.64</v>
      </c>
      <c r="BW501" s="729">
        <f t="shared" si="537"/>
        <v>1282.56</v>
      </c>
      <c r="BX501" s="730">
        <f t="shared" si="538"/>
        <v>9939.84</v>
      </c>
      <c r="BY501" s="731" t="str">
        <f t="shared" si="539"/>
        <v>SR</v>
      </c>
    </row>
    <row r="502" s="697" customFormat="1" customHeight="1" spans="1:77">
      <c r="A502" s="116">
        <v>46120</v>
      </c>
      <c r="B502" s="116">
        <v>46232</v>
      </c>
      <c r="C502" s="118" t="s">
        <v>687</v>
      </c>
      <c r="D502" s="118" t="s">
        <v>688</v>
      </c>
      <c r="E502" s="118" t="s">
        <v>102</v>
      </c>
      <c r="F502" s="726">
        <v>2412</v>
      </c>
      <c r="G502" s="118" t="s">
        <v>253</v>
      </c>
      <c r="H502" s="118" t="str">
        <f>IFERROR(VLOOKUP(E502,名称!A:E,4,0),"")</f>
        <v>三代</v>
      </c>
      <c r="I502" s="418" t="str">
        <f t="shared" ref="I502:BT502" si="580">IF(OR($E502="",I$1=""),"",IF(TRIM(LEFT($E502,MIN(IFERROR(FIND("CDU",UPPER($E502)),999),IFERROR(FIND("BULK",UPPER($E502)),999),IFERROR(FIND("-",$E502),999),IFERROR(FIND("（",$E502),999))-1))=I$1,$F502,""))</f>
        <v/>
      </c>
      <c r="J502" s="418" t="str">
        <f t="shared" si="580"/>
        <v/>
      </c>
      <c r="K502" s="418" t="str">
        <f t="shared" si="580"/>
        <v/>
      </c>
      <c r="L502" s="418" t="str">
        <f t="shared" si="580"/>
        <v/>
      </c>
      <c r="M502" s="418" t="str">
        <f t="shared" si="580"/>
        <v/>
      </c>
      <c r="N502" s="418" t="str">
        <f t="shared" si="580"/>
        <v/>
      </c>
      <c r="O502" s="418" t="str">
        <f t="shared" si="580"/>
        <v/>
      </c>
      <c r="P502" s="418" t="str">
        <f t="shared" si="580"/>
        <v/>
      </c>
      <c r="Q502" s="418" t="str">
        <f t="shared" si="580"/>
        <v/>
      </c>
      <c r="R502" s="418" t="str">
        <f t="shared" si="580"/>
        <v/>
      </c>
      <c r="S502" s="418" t="str">
        <f t="shared" si="580"/>
        <v/>
      </c>
      <c r="T502" s="418" t="str">
        <f t="shared" si="580"/>
        <v/>
      </c>
      <c r="U502" s="418" t="str">
        <f t="shared" si="580"/>
        <v/>
      </c>
      <c r="V502" s="418" t="str">
        <f t="shared" si="580"/>
        <v/>
      </c>
      <c r="W502" s="418" t="str">
        <f t="shared" si="580"/>
        <v/>
      </c>
      <c r="X502" s="418" t="str">
        <f t="shared" si="580"/>
        <v/>
      </c>
      <c r="Y502" s="418" t="str">
        <f t="shared" si="580"/>
        <v/>
      </c>
      <c r="Z502" s="418" t="str">
        <f t="shared" si="580"/>
        <v/>
      </c>
      <c r="AA502" s="418" t="str">
        <f t="shared" si="580"/>
        <v/>
      </c>
      <c r="AB502" s="418" t="str">
        <f t="shared" si="580"/>
        <v/>
      </c>
      <c r="AC502" s="418" t="str">
        <f t="shared" si="580"/>
        <v/>
      </c>
      <c r="AD502" s="418">
        <f t="shared" si="580"/>
        <v>2412</v>
      </c>
      <c r="AE502" s="418" t="str">
        <f t="shared" si="580"/>
        <v/>
      </c>
      <c r="AF502" s="418" t="str">
        <f t="shared" si="580"/>
        <v/>
      </c>
      <c r="AG502" s="418" t="str">
        <f t="shared" si="580"/>
        <v/>
      </c>
      <c r="AH502" s="418" t="str">
        <f t="shared" si="580"/>
        <v/>
      </c>
      <c r="AI502" s="418" t="str">
        <f t="shared" si="580"/>
        <v/>
      </c>
      <c r="AJ502" s="418" t="str">
        <f t="shared" si="580"/>
        <v/>
      </c>
      <c r="AK502" s="418" t="str">
        <f t="shared" si="580"/>
        <v/>
      </c>
      <c r="AL502" s="418" t="str">
        <f t="shared" si="580"/>
        <v/>
      </c>
      <c r="AM502" s="418" t="str">
        <f t="shared" si="580"/>
        <v/>
      </c>
      <c r="AN502" s="418" t="str">
        <f t="shared" si="580"/>
        <v/>
      </c>
      <c r="AO502" s="418" t="str">
        <f t="shared" si="580"/>
        <v/>
      </c>
      <c r="AP502" s="418" t="str">
        <f t="shared" si="580"/>
        <v/>
      </c>
      <c r="AQ502" s="418" t="str">
        <f t="shared" si="580"/>
        <v/>
      </c>
      <c r="AR502" s="418" t="str">
        <f t="shared" si="580"/>
        <v/>
      </c>
      <c r="AS502" s="418" t="str">
        <f t="shared" si="580"/>
        <v/>
      </c>
      <c r="AT502" s="418" t="str">
        <f t="shared" si="580"/>
        <v/>
      </c>
      <c r="AU502" s="418" t="str">
        <f t="shared" si="580"/>
        <v/>
      </c>
      <c r="AV502" s="418" t="str">
        <f t="shared" si="580"/>
        <v/>
      </c>
      <c r="AW502" s="418" t="str">
        <f t="shared" si="580"/>
        <v/>
      </c>
      <c r="AX502" s="418" t="str">
        <f t="shared" si="580"/>
        <v/>
      </c>
      <c r="AY502" s="418" t="str">
        <f t="shared" si="580"/>
        <v/>
      </c>
      <c r="AZ502" s="418" t="str">
        <f t="shared" si="580"/>
        <v/>
      </c>
      <c r="BA502" s="418" t="str">
        <f t="shared" si="580"/>
        <v/>
      </c>
      <c r="BB502" s="418" t="str">
        <f t="shared" si="580"/>
        <v/>
      </c>
      <c r="BC502" s="418" t="str">
        <f t="shared" si="580"/>
        <v/>
      </c>
      <c r="BD502" s="418" t="str">
        <f t="shared" si="580"/>
        <v/>
      </c>
      <c r="BE502" s="418" t="str">
        <f t="shared" si="580"/>
        <v/>
      </c>
      <c r="BF502" s="418" t="str">
        <f t="shared" si="580"/>
        <v/>
      </c>
      <c r="BG502" s="418" t="str">
        <f t="shared" si="580"/>
        <v/>
      </c>
      <c r="BH502" s="418" t="str">
        <f t="shared" si="580"/>
        <v/>
      </c>
      <c r="BI502" s="418" t="str">
        <f t="shared" si="580"/>
        <v/>
      </c>
      <c r="BJ502" s="418" t="str">
        <f t="shared" si="580"/>
        <v/>
      </c>
      <c r="BK502" s="418" t="str">
        <f t="shared" si="580"/>
        <v/>
      </c>
      <c r="BL502" s="418" t="str">
        <f t="shared" si="580"/>
        <v/>
      </c>
      <c r="BM502" s="418" t="str">
        <f t="shared" si="580"/>
        <v/>
      </c>
      <c r="BN502" s="418" t="str">
        <f t="shared" si="580"/>
        <v/>
      </c>
      <c r="BO502" s="418" t="str">
        <f t="shared" si="580"/>
        <v/>
      </c>
      <c r="BP502" s="418" t="str">
        <f t="shared" si="580"/>
        <v/>
      </c>
      <c r="BQ502" s="418" t="str">
        <f t="shared" si="580"/>
        <v/>
      </c>
      <c r="BR502" s="418" t="str">
        <f t="shared" si="580"/>
        <v/>
      </c>
      <c r="BS502" s="418" t="str">
        <f t="shared" si="580"/>
        <v/>
      </c>
      <c r="BT502" s="418" t="str">
        <f t="shared" si="580"/>
        <v/>
      </c>
      <c r="BU502" s="418" t="str">
        <f t="shared" si="526"/>
        <v/>
      </c>
      <c r="BV502" s="544">
        <v>0.63</v>
      </c>
      <c r="BW502" s="723">
        <f t="shared" si="537"/>
        <v>1519.56</v>
      </c>
      <c r="BX502" s="724">
        <f t="shared" si="538"/>
        <v>11776.59</v>
      </c>
      <c r="BY502" s="725" t="str">
        <f t="shared" si="539"/>
        <v>SR</v>
      </c>
    </row>
    <row r="503" s="697" customFormat="1" customHeight="1" spans="1:77">
      <c r="A503" s="116">
        <v>46120</v>
      </c>
      <c r="B503" s="116">
        <v>46246</v>
      </c>
      <c r="C503" s="118" t="s">
        <v>689</v>
      </c>
      <c r="D503" s="118" t="s">
        <v>690</v>
      </c>
      <c r="E503" s="118" t="s">
        <v>102</v>
      </c>
      <c r="F503" s="726">
        <v>3012</v>
      </c>
      <c r="G503" s="118" t="s">
        <v>253</v>
      </c>
      <c r="H503" s="118" t="str">
        <f>IFERROR(VLOOKUP(E503,名称!A:E,4,0),"")</f>
        <v>三代</v>
      </c>
      <c r="I503" s="418" t="str">
        <f t="shared" ref="I503:BT503" si="581">IF(OR($E503="",I$1=""),"",IF(TRIM(LEFT($E503,MIN(IFERROR(FIND("CDU",UPPER($E503)),999),IFERROR(FIND("BULK",UPPER($E503)),999),IFERROR(FIND("-",$E503),999),IFERROR(FIND("（",$E503),999))-1))=I$1,$F503,""))</f>
        <v/>
      </c>
      <c r="J503" s="418" t="str">
        <f t="shared" si="581"/>
        <v/>
      </c>
      <c r="K503" s="418" t="str">
        <f t="shared" si="581"/>
        <v/>
      </c>
      <c r="L503" s="418" t="str">
        <f t="shared" si="581"/>
        <v/>
      </c>
      <c r="M503" s="418" t="str">
        <f t="shared" si="581"/>
        <v/>
      </c>
      <c r="N503" s="418" t="str">
        <f t="shared" si="581"/>
        <v/>
      </c>
      <c r="O503" s="418" t="str">
        <f t="shared" si="581"/>
        <v/>
      </c>
      <c r="P503" s="418" t="str">
        <f t="shared" si="581"/>
        <v/>
      </c>
      <c r="Q503" s="418" t="str">
        <f t="shared" si="581"/>
        <v/>
      </c>
      <c r="R503" s="418" t="str">
        <f t="shared" si="581"/>
        <v/>
      </c>
      <c r="S503" s="418" t="str">
        <f t="shared" si="581"/>
        <v/>
      </c>
      <c r="T503" s="418" t="str">
        <f t="shared" si="581"/>
        <v/>
      </c>
      <c r="U503" s="418" t="str">
        <f t="shared" si="581"/>
        <v/>
      </c>
      <c r="V503" s="418" t="str">
        <f t="shared" si="581"/>
        <v/>
      </c>
      <c r="W503" s="418" t="str">
        <f t="shared" si="581"/>
        <v/>
      </c>
      <c r="X503" s="418" t="str">
        <f t="shared" si="581"/>
        <v/>
      </c>
      <c r="Y503" s="418" t="str">
        <f t="shared" si="581"/>
        <v/>
      </c>
      <c r="Z503" s="418" t="str">
        <f t="shared" si="581"/>
        <v/>
      </c>
      <c r="AA503" s="418" t="str">
        <f t="shared" si="581"/>
        <v/>
      </c>
      <c r="AB503" s="418" t="str">
        <f t="shared" si="581"/>
        <v/>
      </c>
      <c r="AC503" s="418" t="str">
        <f t="shared" si="581"/>
        <v/>
      </c>
      <c r="AD503" s="418">
        <f t="shared" si="581"/>
        <v>3012</v>
      </c>
      <c r="AE503" s="418" t="str">
        <f t="shared" si="581"/>
        <v/>
      </c>
      <c r="AF503" s="418" t="str">
        <f t="shared" si="581"/>
        <v/>
      </c>
      <c r="AG503" s="418" t="str">
        <f t="shared" si="581"/>
        <v/>
      </c>
      <c r="AH503" s="418" t="str">
        <f t="shared" si="581"/>
        <v/>
      </c>
      <c r="AI503" s="418" t="str">
        <f t="shared" si="581"/>
        <v/>
      </c>
      <c r="AJ503" s="418" t="str">
        <f t="shared" si="581"/>
        <v/>
      </c>
      <c r="AK503" s="418" t="str">
        <f t="shared" si="581"/>
        <v/>
      </c>
      <c r="AL503" s="418" t="str">
        <f t="shared" si="581"/>
        <v/>
      </c>
      <c r="AM503" s="418" t="str">
        <f t="shared" si="581"/>
        <v/>
      </c>
      <c r="AN503" s="418" t="str">
        <f t="shared" si="581"/>
        <v/>
      </c>
      <c r="AO503" s="418" t="str">
        <f t="shared" si="581"/>
        <v/>
      </c>
      <c r="AP503" s="418" t="str">
        <f t="shared" si="581"/>
        <v/>
      </c>
      <c r="AQ503" s="418" t="str">
        <f t="shared" si="581"/>
        <v/>
      </c>
      <c r="AR503" s="418" t="str">
        <f t="shared" si="581"/>
        <v/>
      </c>
      <c r="AS503" s="418" t="str">
        <f t="shared" si="581"/>
        <v/>
      </c>
      <c r="AT503" s="418" t="str">
        <f t="shared" si="581"/>
        <v/>
      </c>
      <c r="AU503" s="418" t="str">
        <f t="shared" si="581"/>
        <v/>
      </c>
      <c r="AV503" s="418" t="str">
        <f t="shared" si="581"/>
        <v/>
      </c>
      <c r="AW503" s="418" t="str">
        <f t="shared" si="581"/>
        <v/>
      </c>
      <c r="AX503" s="418" t="str">
        <f t="shared" si="581"/>
        <v/>
      </c>
      <c r="AY503" s="418" t="str">
        <f t="shared" si="581"/>
        <v/>
      </c>
      <c r="AZ503" s="418" t="str">
        <f t="shared" si="581"/>
        <v/>
      </c>
      <c r="BA503" s="418" t="str">
        <f t="shared" si="581"/>
        <v/>
      </c>
      <c r="BB503" s="418" t="str">
        <f t="shared" si="581"/>
        <v/>
      </c>
      <c r="BC503" s="418" t="str">
        <f t="shared" si="581"/>
        <v/>
      </c>
      <c r="BD503" s="418" t="str">
        <f t="shared" si="581"/>
        <v/>
      </c>
      <c r="BE503" s="418" t="str">
        <f t="shared" si="581"/>
        <v/>
      </c>
      <c r="BF503" s="418" t="str">
        <f t="shared" si="581"/>
        <v/>
      </c>
      <c r="BG503" s="418" t="str">
        <f t="shared" si="581"/>
        <v/>
      </c>
      <c r="BH503" s="418" t="str">
        <f t="shared" si="581"/>
        <v/>
      </c>
      <c r="BI503" s="418" t="str">
        <f t="shared" si="581"/>
        <v/>
      </c>
      <c r="BJ503" s="418" t="str">
        <f t="shared" si="581"/>
        <v/>
      </c>
      <c r="BK503" s="418" t="str">
        <f t="shared" si="581"/>
        <v/>
      </c>
      <c r="BL503" s="418" t="str">
        <f t="shared" si="581"/>
        <v/>
      </c>
      <c r="BM503" s="418" t="str">
        <f t="shared" si="581"/>
        <v/>
      </c>
      <c r="BN503" s="418" t="str">
        <f t="shared" si="581"/>
        <v/>
      </c>
      <c r="BO503" s="418" t="str">
        <f t="shared" si="581"/>
        <v/>
      </c>
      <c r="BP503" s="418" t="str">
        <f t="shared" si="581"/>
        <v/>
      </c>
      <c r="BQ503" s="418" t="str">
        <f t="shared" si="581"/>
        <v/>
      </c>
      <c r="BR503" s="418" t="str">
        <f t="shared" si="581"/>
        <v/>
      </c>
      <c r="BS503" s="418" t="str">
        <f t="shared" si="581"/>
        <v/>
      </c>
      <c r="BT503" s="418" t="str">
        <f t="shared" si="581"/>
        <v/>
      </c>
      <c r="BU503" s="418" t="str">
        <f t="shared" si="526"/>
        <v/>
      </c>
      <c r="BV503" s="544">
        <v>0.63</v>
      </c>
      <c r="BW503" s="723">
        <f t="shared" si="537"/>
        <v>1897.56</v>
      </c>
      <c r="BX503" s="724">
        <f t="shared" si="538"/>
        <v>14706.09</v>
      </c>
      <c r="BY503" s="725" t="str">
        <f t="shared" si="539"/>
        <v>SR</v>
      </c>
    </row>
    <row r="504" s="697" customFormat="1" customHeight="1" spans="1:77">
      <c r="A504" s="116">
        <v>46120</v>
      </c>
      <c r="B504" s="116">
        <v>46260</v>
      </c>
      <c r="C504" s="118" t="s">
        <v>691</v>
      </c>
      <c r="D504" s="118" t="s">
        <v>692</v>
      </c>
      <c r="E504" s="118" t="s">
        <v>102</v>
      </c>
      <c r="F504" s="726">
        <v>3012</v>
      </c>
      <c r="G504" s="118" t="s">
        <v>253</v>
      </c>
      <c r="H504" s="118" t="str">
        <f>IFERROR(VLOOKUP(E504,名称!A:E,4,0),"")</f>
        <v>三代</v>
      </c>
      <c r="I504" s="418" t="str">
        <f t="shared" ref="I504:BT504" si="582">IF(OR($E504="",I$1=""),"",IF(TRIM(LEFT($E504,MIN(IFERROR(FIND("CDU",UPPER($E504)),999),IFERROR(FIND("BULK",UPPER($E504)),999),IFERROR(FIND("-",$E504),999),IFERROR(FIND("（",$E504),999))-1))=I$1,$F504,""))</f>
        <v/>
      </c>
      <c r="J504" s="418" t="str">
        <f t="shared" si="582"/>
        <v/>
      </c>
      <c r="K504" s="418" t="str">
        <f t="shared" si="582"/>
        <v/>
      </c>
      <c r="L504" s="418" t="str">
        <f t="shared" si="582"/>
        <v/>
      </c>
      <c r="M504" s="418" t="str">
        <f t="shared" si="582"/>
        <v/>
      </c>
      <c r="N504" s="418" t="str">
        <f t="shared" si="582"/>
        <v/>
      </c>
      <c r="O504" s="418" t="str">
        <f t="shared" si="582"/>
        <v/>
      </c>
      <c r="P504" s="418" t="str">
        <f t="shared" si="582"/>
        <v/>
      </c>
      <c r="Q504" s="418" t="str">
        <f t="shared" si="582"/>
        <v/>
      </c>
      <c r="R504" s="418" t="str">
        <f t="shared" si="582"/>
        <v/>
      </c>
      <c r="S504" s="418" t="str">
        <f t="shared" si="582"/>
        <v/>
      </c>
      <c r="T504" s="418" t="str">
        <f t="shared" si="582"/>
        <v/>
      </c>
      <c r="U504" s="418" t="str">
        <f t="shared" si="582"/>
        <v/>
      </c>
      <c r="V504" s="418" t="str">
        <f t="shared" si="582"/>
        <v/>
      </c>
      <c r="W504" s="418" t="str">
        <f t="shared" si="582"/>
        <v/>
      </c>
      <c r="X504" s="418" t="str">
        <f t="shared" si="582"/>
        <v/>
      </c>
      <c r="Y504" s="418" t="str">
        <f t="shared" si="582"/>
        <v/>
      </c>
      <c r="Z504" s="418" t="str">
        <f t="shared" si="582"/>
        <v/>
      </c>
      <c r="AA504" s="418" t="str">
        <f t="shared" si="582"/>
        <v/>
      </c>
      <c r="AB504" s="418" t="str">
        <f t="shared" si="582"/>
        <v/>
      </c>
      <c r="AC504" s="418" t="str">
        <f t="shared" si="582"/>
        <v/>
      </c>
      <c r="AD504" s="418">
        <f t="shared" si="582"/>
        <v>3012</v>
      </c>
      <c r="AE504" s="418" t="str">
        <f t="shared" si="582"/>
        <v/>
      </c>
      <c r="AF504" s="418" t="str">
        <f t="shared" si="582"/>
        <v/>
      </c>
      <c r="AG504" s="418" t="str">
        <f t="shared" si="582"/>
        <v/>
      </c>
      <c r="AH504" s="418" t="str">
        <f t="shared" si="582"/>
        <v/>
      </c>
      <c r="AI504" s="418" t="str">
        <f t="shared" si="582"/>
        <v/>
      </c>
      <c r="AJ504" s="418" t="str">
        <f t="shared" si="582"/>
        <v/>
      </c>
      <c r="AK504" s="418" t="str">
        <f t="shared" si="582"/>
        <v/>
      </c>
      <c r="AL504" s="418" t="str">
        <f t="shared" si="582"/>
        <v/>
      </c>
      <c r="AM504" s="418" t="str">
        <f t="shared" si="582"/>
        <v/>
      </c>
      <c r="AN504" s="418" t="str">
        <f t="shared" si="582"/>
        <v/>
      </c>
      <c r="AO504" s="418" t="str">
        <f t="shared" si="582"/>
        <v/>
      </c>
      <c r="AP504" s="418" t="str">
        <f t="shared" si="582"/>
        <v/>
      </c>
      <c r="AQ504" s="418" t="str">
        <f t="shared" si="582"/>
        <v/>
      </c>
      <c r="AR504" s="418" t="str">
        <f t="shared" si="582"/>
        <v/>
      </c>
      <c r="AS504" s="418" t="str">
        <f t="shared" si="582"/>
        <v/>
      </c>
      <c r="AT504" s="418" t="str">
        <f t="shared" si="582"/>
        <v/>
      </c>
      <c r="AU504" s="418" t="str">
        <f t="shared" si="582"/>
        <v/>
      </c>
      <c r="AV504" s="418" t="str">
        <f t="shared" si="582"/>
        <v/>
      </c>
      <c r="AW504" s="418" t="str">
        <f t="shared" si="582"/>
        <v/>
      </c>
      <c r="AX504" s="418" t="str">
        <f t="shared" si="582"/>
        <v/>
      </c>
      <c r="AY504" s="418" t="str">
        <f t="shared" si="582"/>
        <v/>
      </c>
      <c r="AZ504" s="418" t="str">
        <f t="shared" si="582"/>
        <v/>
      </c>
      <c r="BA504" s="418" t="str">
        <f t="shared" si="582"/>
        <v/>
      </c>
      <c r="BB504" s="418" t="str">
        <f t="shared" si="582"/>
        <v/>
      </c>
      <c r="BC504" s="418" t="str">
        <f t="shared" si="582"/>
        <v/>
      </c>
      <c r="BD504" s="418" t="str">
        <f t="shared" si="582"/>
        <v/>
      </c>
      <c r="BE504" s="418" t="str">
        <f t="shared" si="582"/>
        <v/>
      </c>
      <c r="BF504" s="418" t="str">
        <f t="shared" si="582"/>
        <v/>
      </c>
      <c r="BG504" s="418" t="str">
        <f t="shared" si="582"/>
        <v/>
      </c>
      <c r="BH504" s="418" t="str">
        <f t="shared" si="582"/>
        <v/>
      </c>
      <c r="BI504" s="418" t="str">
        <f t="shared" si="582"/>
        <v/>
      </c>
      <c r="BJ504" s="418" t="str">
        <f t="shared" si="582"/>
        <v/>
      </c>
      <c r="BK504" s="418" t="str">
        <f t="shared" si="582"/>
        <v/>
      </c>
      <c r="BL504" s="418" t="str">
        <f t="shared" si="582"/>
        <v/>
      </c>
      <c r="BM504" s="418" t="str">
        <f t="shared" si="582"/>
        <v/>
      </c>
      <c r="BN504" s="418" t="str">
        <f t="shared" si="582"/>
        <v/>
      </c>
      <c r="BO504" s="418" t="str">
        <f t="shared" si="582"/>
        <v/>
      </c>
      <c r="BP504" s="418" t="str">
        <f t="shared" si="582"/>
        <v/>
      </c>
      <c r="BQ504" s="418" t="str">
        <f t="shared" si="582"/>
        <v/>
      </c>
      <c r="BR504" s="418" t="str">
        <f t="shared" si="582"/>
        <v/>
      </c>
      <c r="BS504" s="418" t="str">
        <f t="shared" si="582"/>
        <v/>
      </c>
      <c r="BT504" s="418" t="str">
        <f t="shared" si="582"/>
        <v/>
      </c>
      <c r="BU504" s="418" t="str">
        <f t="shared" si="526"/>
        <v/>
      </c>
      <c r="BV504" s="544">
        <v>0.63</v>
      </c>
      <c r="BW504" s="723">
        <f t="shared" si="537"/>
        <v>1897.56</v>
      </c>
      <c r="BX504" s="724">
        <f t="shared" si="538"/>
        <v>14706.09</v>
      </c>
      <c r="BY504" s="725" t="str">
        <f t="shared" si="539"/>
        <v>SR</v>
      </c>
    </row>
    <row r="505" s="697" customFormat="1" customHeight="1" spans="1:77">
      <c r="A505" s="116">
        <v>46120</v>
      </c>
      <c r="B505" s="116">
        <v>46274</v>
      </c>
      <c r="C505" s="118" t="s">
        <v>693</v>
      </c>
      <c r="D505" s="118" t="s">
        <v>694</v>
      </c>
      <c r="E505" s="118" t="s">
        <v>102</v>
      </c>
      <c r="F505" s="726">
        <v>1008</v>
      </c>
      <c r="G505" s="118" t="s">
        <v>253</v>
      </c>
      <c r="H505" s="118" t="str">
        <f>IFERROR(VLOOKUP(E505,名称!A:E,4,0),"")</f>
        <v>三代</v>
      </c>
      <c r="I505" s="418" t="str">
        <f t="shared" ref="I505:BT505" si="583">IF(OR($E505="",I$1=""),"",IF(TRIM(LEFT($E505,MIN(IFERROR(FIND("CDU",UPPER($E505)),999),IFERROR(FIND("BULK",UPPER($E505)),999),IFERROR(FIND("-",$E505),999),IFERROR(FIND("（",$E505),999))-1))=I$1,$F505,""))</f>
        <v/>
      </c>
      <c r="J505" s="418" t="str">
        <f t="shared" si="583"/>
        <v/>
      </c>
      <c r="K505" s="418" t="str">
        <f t="shared" si="583"/>
        <v/>
      </c>
      <c r="L505" s="418" t="str">
        <f t="shared" si="583"/>
        <v/>
      </c>
      <c r="M505" s="418" t="str">
        <f t="shared" si="583"/>
        <v/>
      </c>
      <c r="N505" s="418" t="str">
        <f t="shared" si="583"/>
        <v/>
      </c>
      <c r="O505" s="418" t="str">
        <f t="shared" si="583"/>
        <v/>
      </c>
      <c r="P505" s="418" t="str">
        <f t="shared" si="583"/>
        <v/>
      </c>
      <c r="Q505" s="418" t="str">
        <f t="shared" si="583"/>
        <v/>
      </c>
      <c r="R505" s="418" t="str">
        <f t="shared" si="583"/>
        <v/>
      </c>
      <c r="S505" s="418" t="str">
        <f t="shared" si="583"/>
        <v/>
      </c>
      <c r="T505" s="418" t="str">
        <f t="shared" si="583"/>
        <v/>
      </c>
      <c r="U505" s="418" t="str">
        <f t="shared" si="583"/>
        <v/>
      </c>
      <c r="V505" s="418" t="str">
        <f t="shared" si="583"/>
        <v/>
      </c>
      <c r="W505" s="418" t="str">
        <f t="shared" si="583"/>
        <v/>
      </c>
      <c r="X505" s="418" t="str">
        <f t="shared" si="583"/>
        <v/>
      </c>
      <c r="Y505" s="418" t="str">
        <f t="shared" si="583"/>
        <v/>
      </c>
      <c r="Z505" s="418" t="str">
        <f t="shared" si="583"/>
        <v/>
      </c>
      <c r="AA505" s="418" t="str">
        <f t="shared" si="583"/>
        <v/>
      </c>
      <c r="AB505" s="418" t="str">
        <f t="shared" si="583"/>
        <v/>
      </c>
      <c r="AC505" s="418" t="str">
        <f t="shared" si="583"/>
        <v/>
      </c>
      <c r="AD505" s="418">
        <f t="shared" si="583"/>
        <v>1008</v>
      </c>
      <c r="AE505" s="418" t="str">
        <f t="shared" si="583"/>
        <v/>
      </c>
      <c r="AF505" s="418" t="str">
        <f t="shared" si="583"/>
        <v/>
      </c>
      <c r="AG505" s="418" t="str">
        <f t="shared" si="583"/>
        <v/>
      </c>
      <c r="AH505" s="418" t="str">
        <f t="shared" si="583"/>
        <v/>
      </c>
      <c r="AI505" s="418" t="str">
        <f t="shared" si="583"/>
        <v/>
      </c>
      <c r="AJ505" s="418" t="str">
        <f t="shared" si="583"/>
        <v/>
      </c>
      <c r="AK505" s="418" t="str">
        <f t="shared" si="583"/>
        <v/>
      </c>
      <c r="AL505" s="418" t="str">
        <f t="shared" si="583"/>
        <v/>
      </c>
      <c r="AM505" s="418" t="str">
        <f t="shared" si="583"/>
        <v/>
      </c>
      <c r="AN505" s="418" t="str">
        <f t="shared" si="583"/>
        <v/>
      </c>
      <c r="AO505" s="418" t="str">
        <f t="shared" si="583"/>
        <v/>
      </c>
      <c r="AP505" s="418" t="str">
        <f t="shared" si="583"/>
        <v/>
      </c>
      <c r="AQ505" s="418" t="str">
        <f t="shared" si="583"/>
        <v/>
      </c>
      <c r="AR505" s="418" t="str">
        <f t="shared" si="583"/>
        <v/>
      </c>
      <c r="AS505" s="418" t="str">
        <f t="shared" si="583"/>
        <v/>
      </c>
      <c r="AT505" s="418" t="str">
        <f t="shared" si="583"/>
        <v/>
      </c>
      <c r="AU505" s="418" t="str">
        <f t="shared" si="583"/>
        <v/>
      </c>
      <c r="AV505" s="418" t="str">
        <f t="shared" si="583"/>
        <v/>
      </c>
      <c r="AW505" s="418" t="str">
        <f t="shared" si="583"/>
        <v/>
      </c>
      <c r="AX505" s="418" t="str">
        <f t="shared" si="583"/>
        <v/>
      </c>
      <c r="AY505" s="418" t="str">
        <f t="shared" si="583"/>
        <v/>
      </c>
      <c r="AZ505" s="418" t="str">
        <f t="shared" si="583"/>
        <v/>
      </c>
      <c r="BA505" s="418" t="str">
        <f t="shared" si="583"/>
        <v/>
      </c>
      <c r="BB505" s="418" t="str">
        <f t="shared" si="583"/>
        <v/>
      </c>
      <c r="BC505" s="418" t="str">
        <f t="shared" si="583"/>
        <v/>
      </c>
      <c r="BD505" s="418" t="str">
        <f t="shared" si="583"/>
        <v/>
      </c>
      <c r="BE505" s="418" t="str">
        <f t="shared" si="583"/>
        <v/>
      </c>
      <c r="BF505" s="418" t="str">
        <f t="shared" si="583"/>
        <v/>
      </c>
      <c r="BG505" s="418" t="str">
        <f t="shared" si="583"/>
        <v/>
      </c>
      <c r="BH505" s="418" t="str">
        <f t="shared" si="583"/>
        <v/>
      </c>
      <c r="BI505" s="418" t="str">
        <f t="shared" si="583"/>
        <v/>
      </c>
      <c r="BJ505" s="418" t="str">
        <f t="shared" si="583"/>
        <v/>
      </c>
      <c r="BK505" s="418" t="str">
        <f t="shared" si="583"/>
        <v/>
      </c>
      <c r="BL505" s="418" t="str">
        <f t="shared" si="583"/>
        <v/>
      </c>
      <c r="BM505" s="418" t="str">
        <f t="shared" si="583"/>
        <v/>
      </c>
      <c r="BN505" s="418" t="str">
        <f t="shared" si="583"/>
        <v/>
      </c>
      <c r="BO505" s="418" t="str">
        <f t="shared" si="583"/>
        <v/>
      </c>
      <c r="BP505" s="418" t="str">
        <f t="shared" si="583"/>
        <v/>
      </c>
      <c r="BQ505" s="418" t="str">
        <f t="shared" si="583"/>
        <v/>
      </c>
      <c r="BR505" s="418" t="str">
        <f t="shared" si="583"/>
        <v/>
      </c>
      <c r="BS505" s="418" t="str">
        <f t="shared" si="583"/>
        <v/>
      </c>
      <c r="BT505" s="418" t="str">
        <f t="shared" si="583"/>
        <v/>
      </c>
      <c r="BU505" s="418" t="str">
        <f t="shared" si="526"/>
        <v/>
      </c>
      <c r="BV505" s="544">
        <v>0.63</v>
      </c>
      <c r="BW505" s="723">
        <f t="shared" si="537"/>
        <v>635.04</v>
      </c>
      <c r="BX505" s="724">
        <f t="shared" si="538"/>
        <v>4921.56</v>
      </c>
      <c r="BY505" s="725" t="str">
        <f t="shared" si="539"/>
        <v>SR</v>
      </c>
    </row>
    <row r="506" s="697" customFormat="1" customHeight="1" spans="1:77">
      <c r="A506" s="116">
        <v>46120</v>
      </c>
      <c r="B506" s="116">
        <v>46288</v>
      </c>
      <c r="C506" s="118" t="s">
        <v>695</v>
      </c>
      <c r="D506" s="118" t="s">
        <v>696</v>
      </c>
      <c r="E506" s="118" t="s">
        <v>102</v>
      </c>
      <c r="F506" s="726">
        <v>1008</v>
      </c>
      <c r="G506" s="118" t="s">
        <v>253</v>
      </c>
      <c r="H506" s="118" t="str">
        <f>IFERROR(VLOOKUP(E506,名称!A:E,4,0),"")</f>
        <v>三代</v>
      </c>
      <c r="I506" s="418" t="str">
        <f t="shared" ref="I506:BT506" si="584">IF(OR($E506="",I$1=""),"",IF(TRIM(LEFT($E506,MIN(IFERROR(FIND("CDU",UPPER($E506)),999),IFERROR(FIND("BULK",UPPER($E506)),999),IFERROR(FIND("-",$E506),999),IFERROR(FIND("（",$E506),999))-1))=I$1,$F506,""))</f>
        <v/>
      </c>
      <c r="J506" s="418" t="str">
        <f t="shared" si="584"/>
        <v/>
      </c>
      <c r="K506" s="418" t="str">
        <f t="shared" si="584"/>
        <v/>
      </c>
      <c r="L506" s="418" t="str">
        <f t="shared" si="584"/>
        <v/>
      </c>
      <c r="M506" s="418" t="str">
        <f t="shared" si="584"/>
        <v/>
      </c>
      <c r="N506" s="418" t="str">
        <f t="shared" si="584"/>
        <v/>
      </c>
      <c r="O506" s="418" t="str">
        <f t="shared" si="584"/>
        <v/>
      </c>
      <c r="P506" s="418" t="str">
        <f t="shared" si="584"/>
        <v/>
      </c>
      <c r="Q506" s="418" t="str">
        <f t="shared" si="584"/>
        <v/>
      </c>
      <c r="R506" s="418" t="str">
        <f t="shared" si="584"/>
        <v/>
      </c>
      <c r="S506" s="418" t="str">
        <f t="shared" si="584"/>
        <v/>
      </c>
      <c r="T506" s="418" t="str">
        <f t="shared" si="584"/>
        <v/>
      </c>
      <c r="U506" s="418" t="str">
        <f t="shared" si="584"/>
        <v/>
      </c>
      <c r="V506" s="418" t="str">
        <f t="shared" si="584"/>
        <v/>
      </c>
      <c r="W506" s="418" t="str">
        <f t="shared" si="584"/>
        <v/>
      </c>
      <c r="X506" s="418" t="str">
        <f t="shared" si="584"/>
        <v/>
      </c>
      <c r="Y506" s="418" t="str">
        <f t="shared" si="584"/>
        <v/>
      </c>
      <c r="Z506" s="418" t="str">
        <f t="shared" si="584"/>
        <v/>
      </c>
      <c r="AA506" s="418" t="str">
        <f t="shared" si="584"/>
        <v/>
      </c>
      <c r="AB506" s="418" t="str">
        <f t="shared" si="584"/>
        <v/>
      </c>
      <c r="AC506" s="418" t="str">
        <f t="shared" si="584"/>
        <v/>
      </c>
      <c r="AD506" s="418">
        <f t="shared" si="584"/>
        <v>1008</v>
      </c>
      <c r="AE506" s="418" t="str">
        <f t="shared" si="584"/>
        <v/>
      </c>
      <c r="AF506" s="418" t="str">
        <f t="shared" si="584"/>
        <v/>
      </c>
      <c r="AG506" s="418" t="str">
        <f t="shared" si="584"/>
        <v/>
      </c>
      <c r="AH506" s="418" t="str">
        <f t="shared" si="584"/>
        <v/>
      </c>
      <c r="AI506" s="418" t="str">
        <f t="shared" si="584"/>
        <v/>
      </c>
      <c r="AJ506" s="418" t="str">
        <f t="shared" si="584"/>
        <v/>
      </c>
      <c r="AK506" s="418" t="str">
        <f t="shared" si="584"/>
        <v/>
      </c>
      <c r="AL506" s="418" t="str">
        <f t="shared" si="584"/>
        <v/>
      </c>
      <c r="AM506" s="418" t="str">
        <f t="shared" si="584"/>
        <v/>
      </c>
      <c r="AN506" s="418" t="str">
        <f t="shared" si="584"/>
        <v/>
      </c>
      <c r="AO506" s="418" t="str">
        <f t="shared" si="584"/>
        <v/>
      </c>
      <c r="AP506" s="418" t="str">
        <f t="shared" si="584"/>
        <v/>
      </c>
      <c r="AQ506" s="418" t="str">
        <f t="shared" si="584"/>
        <v/>
      </c>
      <c r="AR506" s="418" t="str">
        <f t="shared" si="584"/>
        <v/>
      </c>
      <c r="AS506" s="418" t="str">
        <f t="shared" si="584"/>
        <v/>
      </c>
      <c r="AT506" s="418" t="str">
        <f t="shared" si="584"/>
        <v/>
      </c>
      <c r="AU506" s="418" t="str">
        <f t="shared" si="584"/>
        <v/>
      </c>
      <c r="AV506" s="418" t="str">
        <f t="shared" si="584"/>
        <v/>
      </c>
      <c r="AW506" s="418" t="str">
        <f t="shared" si="584"/>
        <v/>
      </c>
      <c r="AX506" s="418" t="str">
        <f t="shared" si="584"/>
        <v/>
      </c>
      <c r="AY506" s="418" t="str">
        <f t="shared" si="584"/>
        <v/>
      </c>
      <c r="AZ506" s="418" t="str">
        <f t="shared" si="584"/>
        <v/>
      </c>
      <c r="BA506" s="418" t="str">
        <f t="shared" si="584"/>
        <v/>
      </c>
      <c r="BB506" s="418" t="str">
        <f t="shared" si="584"/>
        <v/>
      </c>
      <c r="BC506" s="418" t="str">
        <f t="shared" si="584"/>
        <v/>
      </c>
      <c r="BD506" s="418" t="str">
        <f t="shared" si="584"/>
        <v/>
      </c>
      <c r="BE506" s="418" t="str">
        <f t="shared" si="584"/>
        <v/>
      </c>
      <c r="BF506" s="418" t="str">
        <f t="shared" si="584"/>
        <v/>
      </c>
      <c r="BG506" s="418" t="str">
        <f t="shared" si="584"/>
        <v/>
      </c>
      <c r="BH506" s="418" t="str">
        <f t="shared" si="584"/>
        <v/>
      </c>
      <c r="BI506" s="418" t="str">
        <f t="shared" si="584"/>
        <v/>
      </c>
      <c r="BJ506" s="418" t="str">
        <f t="shared" si="584"/>
        <v/>
      </c>
      <c r="BK506" s="418" t="str">
        <f t="shared" si="584"/>
        <v/>
      </c>
      <c r="BL506" s="418" t="str">
        <f t="shared" si="584"/>
        <v/>
      </c>
      <c r="BM506" s="418" t="str">
        <f t="shared" si="584"/>
        <v/>
      </c>
      <c r="BN506" s="418" t="str">
        <f t="shared" si="584"/>
        <v/>
      </c>
      <c r="BO506" s="418" t="str">
        <f t="shared" si="584"/>
        <v/>
      </c>
      <c r="BP506" s="418" t="str">
        <f t="shared" si="584"/>
        <v/>
      </c>
      <c r="BQ506" s="418" t="str">
        <f t="shared" si="584"/>
        <v/>
      </c>
      <c r="BR506" s="418" t="str">
        <f t="shared" si="584"/>
        <v/>
      </c>
      <c r="BS506" s="418" t="str">
        <f t="shared" si="584"/>
        <v/>
      </c>
      <c r="BT506" s="418" t="str">
        <f t="shared" si="584"/>
        <v/>
      </c>
      <c r="BU506" s="418" t="str">
        <f t="shared" si="526"/>
        <v/>
      </c>
      <c r="BV506" s="544">
        <v>0.63</v>
      </c>
      <c r="BW506" s="723">
        <f t="shared" si="537"/>
        <v>635.04</v>
      </c>
      <c r="BX506" s="724">
        <f t="shared" si="538"/>
        <v>4921.56</v>
      </c>
      <c r="BY506" s="725" t="str">
        <f t="shared" si="539"/>
        <v>SR</v>
      </c>
    </row>
    <row r="507" s="697" customFormat="1" customHeight="1" spans="1:77">
      <c r="A507" s="116">
        <v>46120</v>
      </c>
      <c r="B507" s="116">
        <v>46302</v>
      </c>
      <c r="C507" s="118" t="s">
        <v>697</v>
      </c>
      <c r="D507" s="118" t="s">
        <v>698</v>
      </c>
      <c r="E507" s="118" t="s">
        <v>102</v>
      </c>
      <c r="F507" s="726">
        <v>564</v>
      </c>
      <c r="G507" s="118" t="s">
        <v>253</v>
      </c>
      <c r="H507" s="118" t="str">
        <f>IFERROR(VLOOKUP(E507,名称!A:E,4,0),"")</f>
        <v>三代</v>
      </c>
      <c r="I507" s="418" t="str">
        <f t="shared" ref="I507:BT507" si="585">IF(OR($E507="",I$1=""),"",IF(TRIM(LEFT($E507,MIN(IFERROR(FIND("CDU",UPPER($E507)),999),IFERROR(FIND("BULK",UPPER($E507)),999),IFERROR(FIND("-",$E507),999),IFERROR(FIND("（",$E507),999))-1))=I$1,$F507,""))</f>
        <v/>
      </c>
      <c r="J507" s="418" t="str">
        <f t="shared" si="585"/>
        <v/>
      </c>
      <c r="K507" s="418" t="str">
        <f t="shared" si="585"/>
        <v/>
      </c>
      <c r="L507" s="418" t="str">
        <f t="shared" si="585"/>
        <v/>
      </c>
      <c r="M507" s="418" t="str">
        <f t="shared" si="585"/>
        <v/>
      </c>
      <c r="N507" s="418" t="str">
        <f t="shared" si="585"/>
        <v/>
      </c>
      <c r="O507" s="418" t="str">
        <f t="shared" si="585"/>
        <v/>
      </c>
      <c r="P507" s="418" t="str">
        <f t="shared" si="585"/>
        <v/>
      </c>
      <c r="Q507" s="418" t="str">
        <f t="shared" si="585"/>
        <v/>
      </c>
      <c r="R507" s="418" t="str">
        <f t="shared" si="585"/>
        <v/>
      </c>
      <c r="S507" s="418" t="str">
        <f t="shared" si="585"/>
        <v/>
      </c>
      <c r="T507" s="418" t="str">
        <f t="shared" si="585"/>
        <v/>
      </c>
      <c r="U507" s="418" t="str">
        <f t="shared" si="585"/>
        <v/>
      </c>
      <c r="V507" s="418" t="str">
        <f t="shared" si="585"/>
        <v/>
      </c>
      <c r="W507" s="418" t="str">
        <f t="shared" si="585"/>
        <v/>
      </c>
      <c r="X507" s="418" t="str">
        <f t="shared" si="585"/>
        <v/>
      </c>
      <c r="Y507" s="418" t="str">
        <f t="shared" si="585"/>
        <v/>
      </c>
      <c r="Z507" s="418" t="str">
        <f t="shared" si="585"/>
        <v/>
      </c>
      <c r="AA507" s="418" t="str">
        <f t="shared" si="585"/>
        <v/>
      </c>
      <c r="AB507" s="418" t="str">
        <f t="shared" si="585"/>
        <v/>
      </c>
      <c r="AC507" s="418" t="str">
        <f t="shared" si="585"/>
        <v/>
      </c>
      <c r="AD507" s="418">
        <f t="shared" si="585"/>
        <v>564</v>
      </c>
      <c r="AE507" s="418" t="str">
        <f t="shared" si="585"/>
        <v/>
      </c>
      <c r="AF507" s="418" t="str">
        <f t="shared" si="585"/>
        <v/>
      </c>
      <c r="AG507" s="418" t="str">
        <f t="shared" si="585"/>
        <v/>
      </c>
      <c r="AH507" s="418" t="str">
        <f t="shared" si="585"/>
        <v/>
      </c>
      <c r="AI507" s="418" t="str">
        <f t="shared" si="585"/>
        <v/>
      </c>
      <c r="AJ507" s="418" t="str">
        <f t="shared" si="585"/>
        <v/>
      </c>
      <c r="AK507" s="418" t="str">
        <f t="shared" si="585"/>
        <v/>
      </c>
      <c r="AL507" s="418" t="str">
        <f t="shared" si="585"/>
        <v/>
      </c>
      <c r="AM507" s="418" t="str">
        <f t="shared" si="585"/>
        <v/>
      </c>
      <c r="AN507" s="418" t="str">
        <f t="shared" si="585"/>
        <v/>
      </c>
      <c r="AO507" s="418" t="str">
        <f t="shared" si="585"/>
        <v/>
      </c>
      <c r="AP507" s="418" t="str">
        <f t="shared" si="585"/>
        <v/>
      </c>
      <c r="AQ507" s="418" t="str">
        <f t="shared" si="585"/>
        <v/>
      </c>
      <c r="AR507" s="418" t="str">
        <f t="shared" si="585"/>
        <v/>
      </c>
      <c r="AS507" s="418" t="str">
        <f t="shared" si="585"/>
        <v/>
      </c>
      <c r="AT507" s="418" t="str">
        <f t="shared" si="585"/>
        <v/>
      </c>
      <c r="AU507" s="418" t="str">
        <f t="shared" si="585"/>
        <v/>
      </c>
      <c r="AV507" s="418" t="str">
        <f t="shared" si="585"/>
        <v/>
      </c>
      <c r="AW507" s="418" t="str">
        <f t="shared" si="585"/>
        <v/>
      </c>
      <c r="AX507" s="418" t="str">
        <f t="shared" si="585"/>
        <v/>
      </c>
      <c r="AY507" s="418" t="str">
        <f t="shared" si="585"/>
        <v/>
      </c>
      <c r="AZ507" s="418" t="str">
        <f t="shared" si="585"/>
        <v/>
      </c>
      <c r="BA507" s="418" t="str">
        <f t="shared" si="585"/>
        <v/>
      </c>
      <c r="BB507" s="418" t="str">
        <f t="shared" si="585"/>
        <v/>
      </c>
      <c r="BC507" s="418" t="str">
        <f t="shared" si="585"/>
        <v/>
      </c>
      <c r="BD507" s="418" t="str">
        <f t="shared" si="585"/>
        <v/>
      </c>
      <c r="BE507" s="418" t="str">
        <f t="shared" si="585"/>
        <v/>
      </c>
      <c r="BF507" s="418" t="str">
        <f t="shared" si="585"/>
        <v/>
      </c>
      <c r="BG507" s="418" t="str">
        <f t="shared" si="585"/>
        <v/>
      </c>
      <c r="BH507" s="418" t="str">
        <f t="shared" si="585"/>
        <v/>
      </c>
      <c r="BI507" s="418" t="str">
        <f t="shared" si="585"/>
        <v/>
      </c>
      <c r="BJ507" s="418" t="str">
        <f t="shared" si="585"/>
        <v/>
      </c>
      <c r="BK507" s="418" t="str">
        <f t="shared" si="585"/>
        <v/>
      </c>
      <c r="BL507" s="418" t="str">
        <f t="shared" si="585"/>
        <v/>
      </c>
      <c r="BM507" s="418" t="str">
        <f t="shared" si="585"/>
        <v/>
      </c>
      <c r="BN507" s="418" t="str">
        <f t="shared" si="585"/>
        <v/>
      </c>
      <c r="BO507" s="418" t="str">
        <f t="shared" si="585"/>
        <v/>
      </c>
      <c r="BP507" s="418" t="str">
        <f t="shared" si="585"/>
        <v/>
      </c>
      <c r="BQ507" s="418" t="str">
        <f t="shared" si="585"/>
        <v/>
      </c>
      <c r="BR507" s="418" t="str">
        <f t="shared" si="585"/>
        <v/>
      </c>
      <c r="BS507" s="418" t="str">
        <f t="shared" si="585"/>
        <v/>
      </c>
      <c r="BT507" s="418" t="str">
        <f t="shared" si="585"/>
        <v/>
      </c>
      <c r="BU507" s="418" t="str">
        <f t="shared" si="526"/>
        <v/>
      </c>
      <c r="BV507" s="544">
        <v>0.63</v>
      </c>
      <c r="BW507" s="723">
        <f t="shared" si="537"/>
        <v>355.32</v>
      </c>
      <c r="BX507" s="724">
        <f t="shared" si="538"/>
        <v>2753.73</v>
      </c>
      <c r="BY507" s="725" t="str">
        <f t="shared" si="539"/>
        <v>SR</v>
      </c>
    </row>
    <row r="508" s="698" customFormat="1" customHeight="1" spans="1:77">
      <c r="A508" s="208">
        <v>46121</v>
      </c>
      <c r="B508" s="208">
        <v>46157</v>
      </c>
      <c r="C508" s="211" t="s">
        <v>699</v>
      </c>
      <c r="D508" s="211" t="s">
        <v>700</v>
      </c>
      <c r="E508" s="211" t="s">
        <v>99</v>
      </c>
      <c r="F508" s="732">
        <v>12000</v>
      </c>
      <c r="G508" s="211" t="s">
        <v>510</v>
      </c>
      <c r="H508" s="211" t="str">
        <f>IFERROR(VLOOKUP(E508,名称!A:E,4,0),"")</f>
        <v>三代</v>
      </c>
      <c r="I508" s="268" t="str">
        <f t="shared" ref="I508:BT508" si="586">IF(OR($E508="",I$1=""),"",IF(TRIM(LEFT($E508,MIN(IFERROR(FIND("CDU",UPPER($E508)),999),IFERROR(FIND("BULK",UPPER($E508)),999),IFERROR(FIND("-",$E508),999),IFERROR(FIND("（",$E508),999))-1))=I$1,$F508,""))</f>
        <v/>
      </c>
      <c r="J508" s="268" t="str">
        <f t="shared" si="586"/>
        <v/>
      </c>
      <c r="K508" s="268" t="str">
        <f t="shared" si="586"/>
        <v/>
      </c>
      <c r="L508" s="268" t="str">
        <f t="shared" si="586"/>
        <v/>
      </c>
      <c r="M508" s="268" t="str">
        <f t="shared" si="586"/>
        <v/>
      </c>
      <c r="N508" s="268" t="str">
        <f t="shared" si="586"/>
        <v/>
      </c>
      <c r="O508" s="268" t="str">
        <f t="shared" si="586"/>
        <v/>
      </c>
      <c r="P508" s="268" t="str">
        <f t="shared" si="586"/>
        <v/>
      </c>
      <c r="Q508" s="268" t="str">
        <f t="shared" si="586"/>
        <v/>
      </c>
      <c r="R508" s="268" t="str">
        <f t="shared" si="586"/>
        <v/>
      </c>
      <c r="S508" s="268" t="str">
        <f t="shared" si="586"/>
        <v/>
      </c>
      <c r="T508" s="268" t="str">
        <f t="shared" si="586"/>
        <v/>
      </c>
      <c r="U508" s="268" t="str">
        <f t="shared" si="586"/>
        <v/>
      </c>
      <c r="V508" s="268" t="str">
        <f t="shared" si="586"/>
        <v/>
      </c>
      <c r="W508" s="268" t="str">
        <f t="shared" si="586"/>
        <v/>
      </c>
      <c r="X508" s="268" t="str">
        <f t="shared" si="586"/>
        <v/>
      </c>
      <c r="Y508" s="268" t="str">
        <f t="shared" si="586"/>
        <v/>
      </c>
      <c r="Z508" s="268" t="str">
        <f t="shared" si="586"/>
        <v/>
      </c>
      <c r="AA508" s="268" t="str">
        <f t="shared" si="586"/>
        <v/>
      </c>
      <c r="AB508" s="268" t="str">
        <f t="shared" si="586"/>
        <v/>
      </c>
      <c r="AC508" s="268">
        <f t="shared" si="586"/>
        <v>12000</v>
      </c>
      <c r="AD508" s="268" t="str">
        <f t="shared" si="586"/>
        <v/>
      </c>
      <c r="AE508" s="268" t="str">
        <f t="shared" si="586"/>
        <v/>
      </c>
      <c r="AF508" s="268" t="str">
        <f t="shared" si="586"/>
        <v/>
      </c>
      <c r="AG508" s="268" t="str">
        <f t="shared" si="586"/>
        <v/>
      </c>
      <c r="AH508" s="268" t="str">
        <f t="shared" si="586"/>
        <v/>
      </c>
      <c r="AI508" s="268" t="str">
        <f t="shared" si="586"/>
        <v/>
      </c>
      <c r="AJ508" s="268" t="str">
        <f t="shared" si="586"/>
        <v/>
      </c>
      <c r="AK508" s="268" t="str">
        <f t="shared" si="586"/>
        <v/>
      </c>
      <c r="AL508" s="268" t="str">
        <f t="shared" si="586"/>
        <v/>
      </c>
      <c r="AM508" s="268" t="str">
        <f t="shared" si="586"/>
        <v/>
      </c>
      <c r="AN508" s="268" t="str">
        <f t="shared" si="586"/>
        <v/>
      </c>
      <c r="AO508" s="268" t="str">
        <f t="shared" si="586"/>
        <v/>
      </c>
      <c r="AP508" s="268" t="str">
        <f t="shared" si="586"/>
        <v/>
      </c>
      <c r="AQ508" s="268" t="str">
        <f t="shared" si="586"/>
        <v/>
      </c>
      <c r="AR508" s="268" t="str">
        <f t="shared" si="586"/>
        <v/>
      </c>
      <c r="AS508" s="268" t="str">
        <f t="shared" si="586"/>
        <v/>
      </c>
      <c r="AT508" s="268" t="str">
        <f t="shared" si="586"/>
        <v/>
      </c>
      <c r="AU508" s="268" t="str">
        <f t="shared" si="586"/>
        <v/>
      </c>
      <c r="AV508" s="268" t="str">
        <f t="shared" si="586"/>
        <v/>
      </c>
      <c r="AW508" s="268" t="str">
        <f t="shared" si="586"/>
        <v/>
      </c>
      <c r="AX508" s="268" t="str">
        <f t="shared" si="586"/>
        <v/>
      </c>
      <c r="AY508" s="268" t="str">
        <f t="shared" si="586"/>
        <v/>
      </c>
      <c r="AZ508" s="268" t="str">
        <f t="shared" si="586"/>
        <v/>
      </c>
      <c r="BA508" s="268" t="str">
        <f t="shared" si="586"/>
        <v/>
      </c>
      <c r="BB508" s="268" t="str">
        <f t="shared" si="586"/>
        <v/>
      </c>
      <c r="BC508" s="268" t="str">
        <f t="shared" si="586"/>
        <v/>
      </c>
      <c r="BD508" s="268" t="str">
        <f t="shared" si="586"/>
        <v/>
      </c>
      <c r="BE508" s="268" t="str">
        <f t="shared" si="586"/>
        <v/>
      </c>
      <c r="BF508" s="268" t="str">
        <f t="shared" si="586"/>
        <v/>
      </c>
      <c r="BG508" s="268" t="str">
        <f t="shared" si="586"/>
        <v/>
      </c>
      <c r="BH508" s="268" t="str">
        <f t="shared" si="586"/>
        <v/>
      </c>
      <c r="BI508" s="268" t="str">
        <f t="shared" si="586"/>
        <v/>
      </c>
      <c r="BJ508" s="268" t="str">
        <f t="shared" si="586"/>
        <v/>
      </c>
      <c r="BK508" s="268" t="str">
        <f t="shared" si="586"/>
        <v/>
      </c>
      <c r="BL508" s="268" t="str">
        <f t="shared" si="586"/>
        <v/>
      </c>
      <c r="BM508" s="268" t="str">
        <f t="shared" si="586"/>
        <v/>
      </c>
      <c r="BN508" s="268" t="str">
        <f t="shared" si="586"/>
        <v/>
      </c>
      <c r="BO508" s="268" t="str">
        <f t="shared" si="586"/>
        <v/>
      </c>
      <c r="BP508" s="268" t="str">
        <f t="shared" si="586"/>
        <v/>
      </c>
      <c r="BQ508" s="268" t="str">
        <f t="shared" si="586"/>
        <v/>
      </c>
      <c r="BR508" s="268" t="str">
        <f t="shared" si="586"/>
        <v/>
      </c>
      <c r="BS508" s="268" t="str">
        <f t="shared" si="586"/>
        <v/>
      </c>
      <c r="BT508" s="268" t="str">
        <f t="shared" si="586"/>
        <v/>
      </c>
      <c r="BU508" s="268" t="str">
        <f t="shared" si="526"/>
        <v/>
      </c>
      <c r="BV508" s="247">
        <v>0.87</v>
      </c>
      <c r="BW508" s="729">
        <f t="shared" si="537"/>
        <v>10440</v>
      </c>
      <c r="BX508" s="730">
        <f t="shared" si="538"/>
        <v>80910</v>
      </c>
      <c r="BY508" s="731" t="str">
        <f t="shared" si="539"/>
        <v>SR</v>
      </c>
    </row>
    <row r="509" s="698" customFormat="1" customHeight="1" spans="1:77">
      <c r="A509" s="208">
        <v>46121</v>
      </c>
      <c r="B509" s="208">
        <v>46157</v>
      </c>
      <c r="C509" s="211" t="s">
        <v>699</v>
      </c>
      <c r="D509" s="211" t="s">
        <v>700</v>
      </c>
      <c r="E509" s="211" t="s">
        <v>99</v>
      </c>
      <c r="F509" s="732">
        <v>12000</v>
      </c>
      <c r="G509" s="211" t="s">
        <v>510</v>
      </c>
      <c r="H509" s="211" t="str">
        <f>IFERROR(VLOOKUP(E509,名称!A:E,4,0),"")</f>
        <v>三代</v>
      </c>
      <c r="I509" s="268" t="str">
        <f t="shared" ref="I509:BT509" si="587">IF(OR($E509="",I$1=""),"",IF(TRIM(LEFT($E509,MIN(IFERROR(FIND("CDU",UPPER($E509)),999),IFERROR(FIND("BULK",UPPER($E509)),999),IFERROR(FIND("-",$E509),999),IFERROR(FIND("（",$E509),999))-1))=I$1,$F509,""))</f>
        <v/>
      </c>
      <c r="J509" s="268" t="str">
        <f t="shared" si="587"/>
        <v/>
      </c>
      <c r="K509" s="268" t="str">
        <f t="shared" si="587"/>
        <v/>
      </c>
      <c r="L509" s="268" t="str">
        <f t="shared" si="587"/>
        <v/>
      </c>
      <c r="M509" s="268" t="str">
        <f t="shared" si="587"/>
        <v/>
      </c>
      <c r="N509" s="268" t="str">
        <f t="shared" si="587"/>
        <v/>
      </c>
      <c r="O509" s="268" t="str">
        <f t="shared" si="587"/>
        <v/>
      </c>
      <c r="P509" s="268" t="str">
        <f t="shared" si="587"/>
        <v/>
      </c>
      <c r="Q509" s="268" t="str">
        <f t="shared" si="587"/>
        <v/>
      </c>
      <c r="R509" s="268" t="str">
        <f t="shared" si="587"/>
        <v/>
      </c>
      <c r="S509" s="268" t="str">
        <f t="shared" si="587"/>
        <v/>
      </c>
      <c r="T509" s="268" t="str">
        <f t="shared" si="587"/>
        <v/>
      </c>
      <c r="U509" s="268" t="str">
        <f t="shared" si="587"/>
        <v/>
      </c>
      <c r="V509" s="268" t="str">
        <f t="shared" si="587"/>
        <v/>
      </c>
      <c r="W509" s="268" t="str">
        <f t="shared" si="587"/>
        <v/>
      </c>
      <c r="X509" s="268" t="str">
        <f t="shared" si="587"/>
        <v/>
      </c>
      <c r="Y509" s="268" t="str">
        <f t="shared" si="587"/>
        <v/>
      </c>
      <c r="Z509" s="268" t="str">
        <f t="shared" si="587"/>
        <v/>
      </c>
      <c r="AA509" s="268" t="str">
        <f t="shared" si="587"/>
        <v/>
      </c>
      <c r="AB509" s="268" t="str">
        <f t="shared" si="587"/>
        <v/>
      </c>
      <c r="AC509" s="268">
        <f t="shared" si="587"/>
        <v>12000</v>
      </c>
      <c r="AD509" s="268" t="str">
        <f t="shared" si="587"/>
        <v/>
      </c>
      <c r="AE509" s="268" t="str">
        <f t="shared" si="587"/>
        <v/>
      </c>
      <c r="AF509" s="268" t="str">
        <f t="shared" si="587"/>
        <v/>
      </c>
      <c r="AG509" s="268" t="str">
        <f t="shared" si="587"/>
        <v/>
      </c>
      <c r="AH509" s="268" t="str">
        <f t="shared" si="587"/>
        <v/>
      </c>
      <c r="AI509" s="268" t="str">
        <f t="shared" si="587"/>
        <v/>
      </c>
      <c r="AJ509" s="268" t="str">
        <f t="shared" si="587"/>
        <v/>
      </c>
      <c r="AK509" s="268" t="str">
        <f t="shared" si="587"/>
        <v/>
      </c>
      <c r="AL509" s="268" t="str">
        <f t="shared" si="587"/>
        <v/>
      </c>
      <c r="AM509" s="268" t="str">
        <f t="shared" si="587"/>
        <v/>
      </c>
      <c r="AN509" s="268" t="str">
        <f t="shared" si="587"/>
        <v/>
      </c>
      <c r="AO509" s="268" t="str">
        <f t="shared" si="587"/>
        <v/>
      </c>
      <c r="AP509" s="268" t="str">
        <f t="shared" si="587"/>
        <v/>
      </c>
      <c r="AQ509" s="268" t="str">
        <f t="shared" si="587"/>
        <v/>
      </c>
      <c r="AR509" s="268" t="str">
        <f t="shared" si="587"/>
        <v/>
      </c>
      <c r="AS509" s="268" t="str">
        <f t="shared" si="587"/>
        <v/>
      </c>
      <c r="AT509" s="268" t="str">
        <f t="shared" si="587"/>
        <v/>
      </c>
      <c r="AU509" s="268" t="str">
        <f t="shared" si="587"/>
        <v/>
      </c>
      <c r="AV509" s="268" t="str">
        <f t="shared" si="587"/>
        <v/>
      </c>
      <c r="AW509" s="268" t="str">
        <f t="shared" si="587"/>
        <v/>
      </c>
      <c r="AX509" s="268" t="str">
        <f t="shared" si="587"/>
        <v/>
      </c>
      <c r="AY509" s="268" t="str">
        <f t="shared" si="587"/>
        <v/>
      </c>
      <c r="AZ509" s="268" t="str">
        <f t="shared" si="587"/>
        <v/>
      </c>
      <c r="BA509" s="268" t="str">
        <f t="shared" si="587"/>
        <v/>
      </c>
      <c r="BB509" s="268" t="str">
        <f t="shared" si="587"/>
        <v/>
      </c>
      <c r="BC509" s="268" t="str">
        <f t="shared" si="587"/>
        <v/>
      </c>
      <c r="BD509" s="268" t="str">
        <f t="shared" si="587"/>
        <v/>
      </c>
      <c r="BE509" s="268" t="str">
        <f t="shared" si="587"/>
        <v/>
      </c>
      <c r="BF509" s="268" t="str">
        <f t="shared" si="587"/>
        <v/>
      </c>
      <c r="BG509" s="268" t="str">
        <f t="shared" si="587"/>
        <v/>
      </c>
      <c r="BH509" s="268" t="str">
        <f t="shared" si="587"/>
        <v/>
      </c>
      <c r="BI509" s="268" t="str">
        <f t="shared" si="587"/>
        <v/>
      </c>
      <c r="BJ509" s="268" t="str">
        <f t="shared" si="587"/>
        <v/>
      </c>
      <c r="BK509" s="268" t="str">
        <f t="shared" si="587"/>
        <v/>
      </c>
      <c r="BL509" s="268" t="str">
        <f t="shared" si="587"/>
        <v/>
      </c>
      <c r="BM509" s="268" t="str">
        <f t="shared" si="587"/>
        <v/>
      </c>
      <c r="BN509" s="268" t="str">
        <f t="shared" si="587"/>
        <v/>
      </c>
      <c r="BO509" s="268" t="str">
        <f t="shared" si="587"/>
        <v/>
      </c>
      <c r="BP509" s="268" t="str">
        <f t="shared" si="587"/>
        <v/>
      </c>
      <c r="BQ509" s="268" t="str">
        <f t="shared" si="587"/>
        <v/>
      </c>
      <c r="BR509" s="268" t="str">
        <f t="shared" si="587"/>
        <v/>
      </c>
      <c r="BS509" s="268" t="str">
        <f t="shared" si="587"/>
        <v/>
      </c>
      <c r="BT509" s="268" t="str">
        <f t="shared" si="587"/>
        <v/>
      </c>
      <c r="BU509" s="268" t="str">
        <f t="shared" si="526"/>
        <v/>
      </c>
      <c r="BV509" s="247">
        <v>0.87</v>
      </c>
      <c r="BW509" s="729">
        <f t="shared" si="537"/>
        <v>10440</v>
      </c>
      <c r="BX509" s="730">
        <f t="shared" si="538"/>
        <v>80910</v>
      </c>
      <c r="BY509" s="731" t="str">
        <f t="shared" si="539"/>
        <v>SR</v>
      </c>
    </row>
    <row r="510" s="698" customFormat="1" customHeight="1" spans="1:77">
      <c r="A510" s="208">
        <v>46121</v>
      </c>
      <c r="B510" s="208">
        <v>46157</v>
      </c>
      <c r="C510" s="211" t="s">
        <v>699</v>
      </c>
      <c r="D510" s="211" t="s">
        <v>700</v>
      </c>
      <c r="E510" s="211" t="s">
        <v>66</v>
      </c>
      <c r="F510" s="732">
        <v>12000</v>
      </c>
      <c r="G510" s="211" t="s">
        <v>334</v>
      </c>
      <c r="H510" s="211" t="str">
        <f>IFERROR(VLOOKUP(E510,名称!A:E,4,0),"")</f>
        <v>三代</v>
      </c>
      <c r="I510" s="268" t="str">
        <f t="shared" ref="I510:BT510" si="588">IF(OR($E510="",I$1=""),"",IF(TRIM(LEFT($E510,MIN(IFERROR(FIND("CDU",UPPER($E510)),999),IFERROR(FIND("BULK",UPPER($E510)),999),IFERROR(FIND("-",$E510),999),IFERROR(FIND("（",$E510),999))-1))=I$1,$F510,""))</f>
        <v/>
      </c>
      <c r="J510" s="268" t="str">
        <f t="shared" si="588"/>
        <v/>
      </c>
      <c r="K510" s="268" t="str">
        <f t="shared" si="588"/>
        <v/>
      </c>
      <c r="L510" s="268" t="str">
        <f t="shared" si="588"/>
        <v/>
      </c>
      <c r="M510" s="268" t="str">
        <f t="shared" si="588"/>
        <v/>
      </c>
      <c r="N510" s="268" t="str">
        <f t="shared" si="588"/>
        <v/>
      </c>
      <c r="O510" s="268" t="str">
        <f t="shared" si="588"/>
        <v/>
      </c>
      <c r="P510" s="268" t="str">
        <f t="shared" si="588"/>
        <v/>
      </c>
      <c r="Q510" s="268" t="str">
        <f t="shared" si="588"/>
        <v/>
      </c>
      <c r="R510" s="268" t="str">
        <f t="shared" si="588"/>
        <v/>
      </c>
      <c r="S510" s="268" t="str">
        <f t="shared" si="588"/>
        <v/>
      </c>
      <c r="T510" s="268" t="str">
        <f t="shared" si="588"/>
        <v/>
      </c>
      <c r="U510" s="268" t="str">
        <f t="shared" si="588"/>
        <v/>
      </c>
      <c r="V510" s="268" t="str">
        <f t="shared" si="588"/>
        <v/>
      </c>
      <c r="W510" s="268" t="str">
        <f t="shared" si="588"/>
        <v/>
      </c>
      <c r="X510" s="268" t="str">
        <f t="shared" si="588"/>
        <v/>
      </c>
      <c r="Y510" s="268" t="str">
        <f t="shared" si="588"/>
        <v/>
      </c>
      <c r="Z510" s="268" t="str">
        <f t="shared" si="588"/>
        <v/>
      </c>
      <c r="AA510" s="268" t="str">
        <f t="shared" si="588"/>
        <v/>
      </c>
      <c r="AB510" s="268" t="str">
        <f t="shared" si="588"/>
        <v/>
      </c>
      <c r="AC510" s="268" t="str">
        <f t="shared" si="588"/>
        <v/>
      </c>
      <c r="AD510" s="268" t="str">
        <f t="shared" si="588"/>
        <v/>
      </c>
      <c r="AE510" s="268" t="str">
        <f t="shared" si="588"/>
        <v/>
      </c>
      <c r="AF510" s="268" t="str">
        <f t="shared" si="588"/>
        <v/>
      </c>
      <c r="AG510" s="268">
        <f t="shared" si="588"/>
        <v>12000</v>
      </c>
      <c r="AH510" s="268" t="str">
        <f t="shared" si="588"/>
        <v/>
      </c>
      <c r="AI510" s="268" t="str">
        <f t="shared" si="588"/>
        <v/>
      </c>
      <c r="AJ510" s="268" t="str">
        <f t="shared" si="588"/>
        <v/>
      </c>
      <c r="AK510" s="268" t="str">
        <f t="shared" si="588"/>
        <v/>
      </c>
      <c r="AL510" s="268" t="str">
        <f t="shared" si="588"/>
        <v/>
      </c>
      <c r="AM510" s="268" t="str">
        <f t="shared" si="588"/>
        <v/>
      </c>
      <c r="AN510" s="268" t="str">
        <f t="shared" si="588"/>
        <v/>
      </c>
      <c r="AO510" s="268" t="str">
        <f t="shared" si="588"/>
        <v/>
      </c>
      <c r="AP510" s="268" t="str">
        <f t="shared" si="588"/>
        <v/>
      </c>
      <c r="AQ510" s="268" t="str">
        <f t="shared" si="588"/>
        <v/>
      </c>
      <c r="AR510" s="268" t="str">
        <f t="shared" si="588"/>
        <v/>
      </c>
      <c r="AS510" s="268" t="str">
        <f t="shared" si="588"/>
        <v/>
      </c>
      <c r="AT510" s="268" t="str">
        <f t="shared" si="588"/>
        <v/>
      </c>
      <c r="AU510" s="268" t="str">
        <f t="shared" si="588"/>
        <v/>
      </c>
      <c r="AV510" s="268" t="str">
        <f t="shared" si="588"/>
        <v/>
      </c>
      <c r="AW510" s="268" t="str">
        <f t="shared" si="588"/>
        <v/>
      </c>
      <c r="AX510" s="268" t="str">
        <f t="shared" si="588"/>
        <v/>
      </c>
      <c r="AY510" s="268" t="str">
        <f t="shared" si="588"/>
        <v/>
      </c>
      <c r="AZ510" s="268" t="str">
        <f t="shared" si="588"/>
        <v/>
      </c>
      <c r="BA510" s="268" t="str">
        <f t="shared" si="588"/>
        <v/>
      </c>
      <c r="BB510" s="268" t="str">
        <f t="shared" si="588"/>
        <v/>
      </c>
      <c r="BC510" s="268" t="str">
        <f t="shared" si="588"/>
        <v/>
      </c>
      <c r="BD510" s="268" t="str">
        <f t="shared" si="588"/>
        <v/>
      </c>
      <c r="BE510" s="268" t="str">
        <f t="shared" si="588"/>
        <v/>
      </c>
      <c r="BF510" s="268" t="str">
        <f t="shared" si="588"/>
        <v/>
      </c>
      <c r="BG510" s="268" t="str">
        <f t="shared" si="588"/>
        <v/>
      </c>
      <c r="BH510" s="268" t="str">
        <f t="shared" si="588"/>
        <v/>
      </c>
      <c r="BI510" s="268" t="str">
        <f t="shared" si="588"/>
        <v/>
      </c>
      <c r="BJ510" s="268" t="str">
        <f t="shared" si="588"/>
        <v/>
      </c>
      <c r="BK510" s="268" t="str">
        <f t="shared" si="588"/>
        <v/>
      </c>
      <c r="BL510" s="268" t="str">
        <f t="shared" si="588"/>
        <v/>
      </c>
      <c r="BM510" s="268" t="str">
        <f t="shared" si="588"/>
        <v/>
      </c>
      <c r="BN510" s="268" t="str">
        <f t="shared" si="588"/>
        <v/>
      </c>
      <c r="BO510" s="268" t="str">
        <f t="shared" si="588"/>
        <v/>
      </c>
      <c r="BP510" s="268" t="str">
        <f t="shared" si="588"/>
        <v/>
      </c>
      <c r="BQ510" s="268" t="str">
        <f t="shared" si="588"/>
        <v/>
      </c>
      <c r="BR510" s="268" t="str">
        <f t="shared" si="588"/>
        <v/>
      </c>
      <c r="BS510" s="268" t="str">
        <f t="shared" si="588"/>
        <v/>
      </c>
      <c r="BT510" s="268" t="str">
        <f t="shared" si="588"/>
        <v/>
      </c>
      <c r="BU510" s="268" t="str">
        <f t="shared" si="526"/>
        <v/>
      </c>
      <c r="BV510" s="247">
        <v>2.02</v>
      </c>
      <c r="BW510" s="729">
        <f t="shared" si="537"/>
        <v>24240</v>
      </c>
      <c r="BX510" s="730">
        <f t="shared" si="538"/>
        <v>187860</v>
      </c>
      <c r="BY510" s="731" t="str">
        <f t="shared" si="539"/>
        <v>SR</v>
      </c>
    </row>
    <row r="511" s="698" customFormat="1" customHeight="1" spans="1:77">
      <c r="A511" s="208">
        <v>46121</v>
      </c>
      <c r="B511" s="208">
        <v>46157</v>
      </c>
      <c r="C511" s="211" t="s">
        <v>699</v>
      </c>
      <c r="D511" s="211" t="s">
        <v>700</v>
      </c>
      <c r="E511" s="211" t="s">
        <v>66</v>
      </c>
      <c r="F511" s="732">
        <v>24000</v>
      </c>
      <c r="G511" s="211" t="s">
        <v>334</v>
      </c>
      <c r="H511" s="211" t="str">
        <f>IFERROR(VLOOKUP(E511,名称!A:E,4,0),"")</f>
        <v>三代</v>
      </c>
      <c r="I511" s="268" t="str">
        <f t="shared" ref="I511:BT511" si="589">IF(OR($E511="",I$1=""),"",IF(TRIM(LEFT($E511,MIN(IFERROR(FIND("CDU",UPPER($E511)),999),IFERROR(FIND("BULK",UPPER($E511)),999),IFERROR(FIND("-",$E511),999),IFERROR(FIND("（",$E511),999))-1))=I$1,$F511,""))</f>
        <v/>
      </c>
      <c r="J511" s="268" t="str">
        <f t="shared" si="589"/>
        <v/>
      </c>
      <c r="K511" s="268" t="str">
        <f t="shared" si="589"/>
        <v/>
      </c>
      <c r="L511" s="268" t="str">
        <f t="shared" si="589"/>
        <v/>
      </c>
      <c r="M511" s="268" t="str">
        <f t="shared" si="589"/>
        <v/>
      </c>
      <c r="N511" s="268" t="str">
        <f t="shared" si="589"/>
        <v/>
      </c>
      <c r="O511" s="268" t="str">
        <f t="shared" si="589"/>
        <v/>
      </c>
      <c r="P511" s="268" t="str">
        <f t="shared" si="589"/>
        <v/>
      </c>
      <c r="Q511" s="268" t="str">
        <f t="shared" si="589"/>
        <v/>
      </c>
      <c r="R511" s="268" t="str">
        <f t="shared" si="589"/>
        <v/>
      </c>
      <c r="S511" s="268" t="str">
        <f t="shared" si="589"/>
        <v/>
      </c>
      <c r="T511" s="268" t="str">
        <f t="shared" si="589"/>
        <v/>
      </c>
      <c r="U511" s="268" t="str">
        <f t="shared" si="589"/>
        <v/>
      </c>
      <c r="V511" s="268" t="str">
        <f t="shared" si="589"/>
        <v/>
      </c>
      <c r="W511" s="268" t="str">
        <f t="shared" si="589"/>
        <v/>
      </c>
      <c r="X511" s="268" t="str">
        <f t="shared" si="589"/>
        <v/>
      </c>
      <c r="Y511" s="268" t="str">
        <f t="shared" si="589"/>
        <v/>
      </c>
      <c r="Z511" s="268" t="str">
        <f t="shared" si="589"/>
        <v/>
      </c>
      <c r="AA511" s="268" t="str">
        <f t="shared" si="589"/>
        <v/>
      </c>
      <c r="AB511" s="268" t="str">
        <f t="shared" si="589"/>
        <v/>
      </c>
      <c r="AC511" s="268" t="str">
        <f t="shared" si="589"/>
        <v/>
      </c>
      <c r="AD511" s="268" t="str">
        <f t="shared" si="589"/>
        <v/>
      </c>
      <c r="AE511" s="268" t="str">
        <f t="shared" si="589"/>
        <v/>
      </c>
      <c r="AF511" s="268" t="str">
        <f t="shared" si="589"/>
        <v/>
      </c>
      <c r="AG511" s="268">
        <f t="shared" si="589"/>
        <v>24000</v>
      </c>
      <c r="AH511" s="268" t="str">
        <f t="shared" si="589"/>
        <v/>
      </c>
      <c r="AI511" s="268" t="str">
        <f t="shared" si="589"/>
        <v/>
      </c>
      <c r="AJ511" s="268" t="str">
        <f t="shared" si="589"/>
        <v/>
      </c>
      <c r="AK511" s="268" t="str">
        <f t="shared" si="589"/>
        <v/>
      </c>
      <c r="AL511" s="268" t="str">
        <f t="shared" si="589"/>
        <v/>
      </c>
      <c r="AM511" s="268" t="str">
        <f t="shared" si="589"/>
        <v/>
      </c>
      <c r="AN511" s="268" t="str">
        <f t="shared" si="589"/>
        <v/>
      </c>
      <c r="AO511" s="268" t="str">
        <f t="shared" si="589"/>
        <v/>
      </c>
      <c r="AP511" s="268" t="str">
        <f t="shared" si="589"/>
        <v/>
      </c>
      <c r="AQ511" s="268" t="str">
        <f t="shared" si="589"/>
        <v/>
      </c>
      <c r="AR511" s="268" t="str">
        <f t="shared" si="589"/>
        <v/>
      </c>
      <c r="AS511" s="268" t="str">
        <f t="shared" si="589"/>
        <v/>
      </c>
      <c r="AT511" s="268" t="str">
        <f t="shared" si="589"/>
        <v/>
      </c>
      <c r="AU511" s="268" t="str">
        <f t="shared" si="589"/>
        <v/>
      </c>
      <c r="AV511" s="268" t="str">
        <f t="shared" si="589"/>
        <v/>
      </c>
      <c r="AW511" s="268" t="str">
        <f t="shared" si="589"/>
        <v/>
      </c>
      <c r="AX511" s="268" t="str">
        <f t="shared" si="589"/>
        <v/>
      </c>
      <c r="AY511" s="268" t="str">
        <f t="shared" si="589"/>
        <v/>
      </c>
      <c r="AZ511" s="268" t="str">
        <f t="shared" si="589"/>
        <v/>
      </c>
      <c r="BA511" s="268" t="str">
        <f t="shared" si="589"/>
        <v/>
      </c>
      <c r="BB511" s="268" t="str">
        <f t="shared" si="589"/>
        <v/>
      </c>
      <c r="BC511" s="268" t="str">
        <f t="shared" si="589"/>
        <v/>
      </c>
      <c r="BD511" s="268" t="str">
        <f t="shared" si="589"/>
        <v/>
      </c>
      <c r="BE511" s="268" t="str">
        <f t="shared" si="589"/>
        <v/>
      </c>
      <c r="BF511" s="268" t="str">
        <f t="shared" si="589"/>
        <v/>
      </c>
      <c r="BG511" s="268" t="str">
        <f t="shared" si="589"/>
        <v/>
      </c>
      <c r="BH511" s="268" t="str">
        <f t="shared" si="589"/>
        <v/>
      </c>
      <c r="BI511" s="268" t="str">
        <f t="shared" si="589"/>
        <v/>
      </c>
      <c r="BJ511" s="268" t="str">
        <f t="shared" si="589"/>
        <v/>
      </c>
      <c r="BK511" s="268" t="str">
        <f t="shared" si="589"/>
        <v/>
      </c>
      <c r="BL511" s="268" t="str">
        <f t="shared" si="589"/>
        <v/>
      </c>
      <c r="BM511" s="268" t="str">
        <f t="shared" si="589"/>
        <v/>
      </c>
      <c r="BN511" s="268" t="str">
        <f t="shared" si="589"/>
        <v/>
      </c>
      <c r="BO511" s="268" t="str">
        <f t="shared" si="589"/>
        <v/>
      </c>
      <c r="BP511" s="268" t="str">
        <f t="shared" si="589"/>
        <v/>
      </c>
      <c r="BQ511" s="268" t="str">
        <f t="shared" si="589"/>
        <v/>
      </c>
      <c r="BR511" s="268" t="str">
        <f t="shared" si="589"/>
        <v/>
      </c>
      <c r="BS511" s="268" t="str">
        <f t="shared" si="589"/>
        <v/>
      </c>
      <c r="BT511" s="268" t="str">
        <f t="shared" si="589"/>
        <v/>
      </c>
      <c r="BU511" s="268" t="str">
        <f t="shared" si="526"/>
        <v/>
      </c>
      <c r="BV511" s="247">
        <v>2.02</v>
      </c>
      <c r="BW511" s="729">
        <f t="shared" ref="BW511:BW518" si="590">SUM(I511:BU511)*BV511</f>
        <v>48480</v>
      </c>
      <c r="BX511" s="730">
        <f t="shared" ref="BX511:BX518" si="591">BW511*7.75</f>
        <v>375720</v>
      </c>
      <c r="BY511" s="731" t="str">
        <f t="shared" ref="BY511:BY518" si="592">MID(E511,1,2)</f>
        <v>SR</v>
      </c>
    </row>
    <row r="512" s="698" customFormat="1" customHeight="1" spans="1:77">
      <c r="A512" s="208">
        <v>46121</v>
      </c>
      <c r="B512" s="208">
        <v>46157</v>
      </c>
      <c r="C512" s="211" t="s">
        <v>699</v>
      </c>
      <c r="D512" s="211" t="s">
        <v>700</v>
      </c>
      <c r="E512" s="211" t="s">
        <v>65</v>
      </c>
      <c r="F512" s="732">
        <v>12000</v>
      </c>
      <c r="G512" s="211" t="s">
        <v>334</v>
      </c>
      <c r="H512" s="211" t="str">
        <f>IFERROR(VLOOKUP(E512,名称!A:E,4,0),"")</f>
        <v>二代</v>
      </c>
      <c r="I512" s="268" t="str">
        <f t="shared" ref="I512:BT512" si="593">IF(OR($E512="",I$1=""),"",IF(TRIM(LEFT($E512,MIN(IFERROR(FIND("CDU",UPPER($E512)),999),IFERROR(FIND("BULK",UPPER($E512)),999),IFERROR(FIND("-",$E512),999),IFERROR(FIND("（",$E512),999))-1))=I$1,$F512,""))</f>
        <v/>
      </c>
      <c r="J512" s="268" t="str">
        <f t="shared" si="593"/>
        <v/>
      </c>
      <c r="K512" s="268" t="str">
        <f t="shared" si="593"/>
        <v/>
      </c>
      <c r="L512" s="268" t="str">
        <f t="shared" si="593"/>
        <v/>
      </c>
      <c r="M512" s="268" t="str">
        <f t="shared" si="593"/>
        <v/>
      </c>
      <c r="N512" s="268" t="str">
        <f t="shared" si="593"/>
        <v/>
      </c>
      <c r="O512" s="268" t="str">
        <f t="shared" si="593"/>
        <v/>
      </c>
      <c r="P512" s="268" t="str">
        <f t="shared" si="593"/>
        <v/>
      </c>
      <c r="Q512" s="268">
        <f t="shared" si="593"/>
        <v>12000</v>
      </c>
      <c r="R512" s="268" t="str">
        <f t="shared" si="593"/>
        <v/>
      </c>
      <c r="S512" s="268" t="str">
        <f t="shared" si="593"/>
        <v/>
      </c>
      <c r="T512" s="268" t="str">
        <f t="shared" si="593"/>
        <v/>
      </c>
      <c r="U512" s="268" t="str">
        <f t="shared" si="593"/>
        <v/>
      </c>
      <c r="V512" s="268" t="str">
        <f t="shared" si="593"/>
        <v/>
      </c>
      <c r="W512" s="268" t="str">
        <f t="shared" si="593"/>
        <v/>
      </c>
      <c r="X512" s="268" t="str">
        <f t="shared" si="593"/>
        <v/>
      </c>
      <c r="Y512" s="268" t="str">
        <f t="shared" si="593"/>
        <v/>
      </c>
      <c r="Z512" s="268" t="str">
        <f t="shared" si="593"/>
        <v/>
      </c>
      <c r="AA512" s="268" t="str">
        <f t="shared" si="593"/>
        <v/>
      </c>
      <c r="AB512" s="268" t="str">
        <f t="shared" si="593"/>
        <v/>
      </c>
      <c r="AC512" s="268" t="str">
        <f t="shared" si="593"/>
        <v/>
      </c>
      <c r="AD512" s="268" t="str">
        <f t="shared" si="593"/>
        <v/>
      </c>
      <c r="AE512" s="268" t="str">
        <f t="shared" si="593"/>
        <v/>
      </c>
      <c r="AF512" s="268" t="str">
        <f t="shared" si="593"/>
        <v/>
      </c>
      <c r="AG512" s="268" t="str">
        <f t="shared" si="593"/>
        <v/>
      </c>
      <c r="AH512" s="268" t="str">
        <f t="shared" si="593"/>
        <v/>
      </c>
      <c r="AI512" s="268" t="str">
        <f t="shared" si="593"/>
        <v/>
      </c>
      <c r="AJ512" s="268" t="str">
        <f t="shared" si="593"/>
        <v/>
      </c>
      <c r="AK512" s="268" t="str">
        <f t="shared" si="593"/>
        <v/>
      </c>
      <c r="AL512" s="268" t="str">
        <f t="shared" si="593"/>
        <v/>
      </c>
      <c r="AM512" s="268" t="str">
        <f t="shared" si="593"/>
        <v/>
      </c>
      <c r="AN512" s="268" t="str">
        <f t="shared" si="593"/>
        <v/>
      </c>
      <c r="AO512" s="268" t="str">
        <f t="shared" si="593"/>
        <v/>
      </c>
      <c r="AP512" s="268" t="str">
        <f t="shared" si="593"/>
        <v/>
      </c>
      <c r="AQ512" s="268" t="str">
        <f t="shared" si="593"/>
        <v/>
      </c>
      <c r="AR512" s="268" t="str">
        <f t="shared" si="593"/>
        <v/>
      </c>
      <c r="AS512" s="268" t="str">
        <f t="shared" si="593"/>
        <v/>
      </c>
      <c r="AT512" s="268" t="str">
        <f t="shared" si="593"/>
        <v/>
      </c>
      <c r="AU512" s="268" t="str">
        <f t="shared" si="593"/>
        <v/>
      </c>
      <c r="AV512" s="268" t="str">
        <f t="shared" si="593"/>
        <v/>
      </c>
      <c r="AW512" s="268" t="str">
        <f t="shared" si="593"/>
        <v/>
      </c>
      <c r="AX512" s="268" t="str">
        <f t="shared" si="593"/>
        <v/>
      </c>
      <c r="AY512" s="268" t="str">
        <f t="shared" si="593"/>
        <v/>
      </c>
      <c r="AZ512" s="268" t="str">
        <f t="shared" si="593"/>
        <v/>
      </c>
      <c r="BA512" s="268" t="str">
        <f t="shared" si="593"/>
        <v/>
      </c>
      <c r="BB512" s="268" t="str">
        <f t="shared" si="593"/>
        <v/>
      </c>
      <c r="BC512" s="268" t="str">
        <f t="shared" si="593"/>
        <v/>
      </c>
      <c r="BD512" s="268" t="str">
        <f t="shared" si="593"/>
        <v/>
      </c>
      <c r="BE512" s="268" t="str">
        <f t="shared" si="593"/>
        <v/>
      </c>
      <c r="BF512" s="268" t="str">
        <f t="shared" si="593"/>
        <v/>
      </c>
      <c r="BG512" s="268" t="str">
        <f t="shared" si="593"/>
        <v/>
      </c>
      <c r="BH512" s="268" t="str">
        <f t="shared" si="593"/>
        <v/>
      </c>
      <c r="BI512" s="268" t="str">
        <f t="shared" si="593"/>
        <v/>
      </c>
      <c r="BJ512" s="268" t="str">
        <f t="shared" si="593"/>
        <v/>
      </c>
      <c r="BK512" s="268" t="str">
        <f t="shared" si="593"/>
        <v/>
      </c>
      <c r="BL512" s="268" t="str">
        <f t="shared" si="593"/>
        <v/>
      </c>
      <c r="BM512" s="268" t="str">
        <f t="shared" si="593"/>
        <v/>
      </c>
      <c r="BN512" s="268" t="str">
        <f t="shared" si="593"/>
        <v/>
      </c>
      <c r="BO512" s="268" t="str">
        <f t="shared" si="593"/>
        <v/>
      </c>
      <c r="BP512" s="268" t="str">
        <f t="shared" si="593"/>
        <v/>
      </c>
      <c r="BQ512" s="268" t="str">
        <f t="shared" si="593"/>
        <v/>
      </c>
      <c r="BR512" s="268" t="str">
        <f t="shared" si="593"/>
        <v/>
      </c>
      <c r="BS512" s="268" t="str">
        <f t="shared" si="593"/>
        <v/>
      </c>
      <c r="BT512" s="268" t="str">
        <f t="shared" si="593"/>
        <v/>
      </c>
      <c r="BU512" s="268" t="str">
        <f t="shared" si="526"/>
        <v/>
      </c>
      <c r="BV512" s="247">
        <v>0.6</v>
      </c>
      <c r="BW512" s="729">
        <f t="shared" si="590"/>
        <v>7200</v>
      </c>
      <c r="BX512" s="730">
        <f t="shared" si="591"/>
        <v>55800</v>
      </c>
      <c r="BY512" s="731" t="str">
        <f t="shared" si="592"/>
        <v>SR</v>
      </c>
    </row>
    <row r="513" s="698" customFormat="1" customHeight="1" spans="1:77">
      <c r="A513" s="208">
        <v>46121</v>
      </c>
      <c r="B513" s="208">
        <v>46157</v>
      </c>
      <c r="C513" s="211" t="s">
        <v>699</v>
      </c>
      <c r="D513" s="211" t="s">
        <v>700</v>
      </c>
      <c r="E513" s="211" t="s">
        <v>114</v>
      </c>
      <c r="F513" s="732">
        <v>12006</v>
      </c>
      <c r="G513" s="211" t="s">
        <v>334</v>
      </c>
      <c r="H513" s="211" t="str">
        <f>IFERROR(VLOOKUP(E513,名称!A:E,4,0),"")</f>
        <v>三代</v>
      </c>
      <c r="I513" s="268" t="str">
        <f t="shared" ref="I513:BT513" si="594">IF(OR($E513="",I$1=""),"",IF(TRIM(LEFT($E513,MIN(IFERROR(FIND("CDU",UPPER($E513)),999),IFERROR(FIND("BULK",UPPER($E513)),999),IFERROR(FIND("-",$E513),999),IFERROR(FIND("（",$E513),999))-1))=I$1,$F513,""))</f>
        <v/>
      </c>
      <c r="J513" s="268" t="str">
        <f t="shared" si="594"/>
        <v/>
      </c>
      <c r="K513" s="268" t="str">
        <f t="shared" si="594"/>
        <v/>
      </c>
      <c r="L513" s="268" t="str">
        <f t="shared" si="594"/>
        <v/>
      </c>
      <c r="M513" s="268" t="str">
        <f t="shared" si="594"/>
        <v/>
      </c>
      <c r="N513" s="268" t="str">
        <f t="shared" si="594"/>
        <v/>
      </c>
      <c r="O513" s="268" t="str">
        <f t="shared" si="594"/>
        <v/>
      </c>
      <c r="P513" s="268" t="str">
        <f t="shared" si="594"/>
        <v/>
      </c>
      <c r="Q513" s="268" t="str">
        <f t="shared" si="594"/>
        <v/>
      </c>
      <c r="R513" s="268" t="str">
        <f t="shared" si="594"/>
        <v/>
      </c>
      <c r="S513" s="268" t="str">
        <f t="shared" si="594"/>
        <v/>
      </c>
      <c r="T513" s="268" t="str">
        <f t="shared" si="594"/>
        <v/>
      </c>
      <c r="U513" s="268" t="str">
        <f t="shared" si="594"/>
        <v/>
      </c>
      <c r="V513" s="268" t="str">
        <f t="shared" si="594"/>
        <v/>
      </c>
      <c r="W513" s="268" t="str">
        <f t="shared" si="594"/>
        <v/>
      </c>
      <c r="X513" s="268" t="str">
        <f t="shared" si="594"/>
        <v/>
      </c>
      <c r="Y513" s="268" t="str">
        <f t="shared" si="594"/>
        <v/>
      </c>
      <c r="Z513" s="268" t="str">
        <f t="shared" si="594"/>
        <v/>
      </c>
      <c r="AA513" s="268" t="str">
        <f t="shared" si="594"/>
        <v/>
      </c>
      <c r="AB513" s="268" t="str">
        <f t="shared" si="594"/>
        <v/>
      </c>
      <c r="AC513" s="268" t="str">
        <f t="shared" si="594"/>
        <v/>
      </c>
      <c r="AD513" s="268" t="str">
        <f t="shared" si="594"/>
        <v/>
      </c>
      <c r="AE513" s="268" t="str">
        <f t="shared" si="594"/>
        <v/>
      </c>
      <c r="AF513" s="268" t="str">
        <f t="shared" si="594"/>
        <v/>
      </c>
      <c r="AG513" s="268" t="str">
        <f t="shared" si="594"/>
        <v/>
      </c>
      <c r="AH513" s="268" t="str">
        <f t="shared" si="594"/>
        <v/>
      </c>
      <c r="AI513" s="268" t="str">
        <f t="shared" si="594"/>
        <v/>
      </c>
      <c r="AJ513" s="268" t="str">
        <f t="shared" si="594"/>
        <v/>
      </c>
      <c r="AK513" s="268" t="str">
        <f t="shared" si="594"/>
        <v/>
      </c>
      <c r="AL513" s="268" t="str">
        <f t="shared" si="594"/>
        <v/>
      </c>
      <c r="AM513" s="268" t="str">
        <f t="shared" si="594"/>
        <v/>
      </c>
      <c r="AN513" s="268" t="str">
        <f t="shared" si="594"/>
        <v/>
      </c>
      <c r="AO513" s="268" t="str">
        <f t="shared" si="594"/>
        <v/>
      </c>
      <c r="AP513" s="268" t="str">
        <f t="shared" si="594"/>
        <v/>
      </c>
      <c r="AQ513" s="268" t="str">
        <f t="shared" si="594"/>
        <v/>
      </c>
      <c r="AR513" s="268" t="str">
        <f t="shared" si="594"/>
        <v/>
      </c>
      <c r="AS513" s="268" t="str">
        <f t="shared" si="594"/>
        <v/>
      </c>
      <c r="AT513" s="268" t="str">
        <f t="shared" si="594"/>
        <v/>
      </c>
      <c r="AU513" s="268" t="str">
        <f t="shared" si="594"/>
        <v/>
      </c>
      <c r="AV513" s="268" t="str">
        <f t="shared" si="594"/>
        <v/>
      </c>
      <c r="AW513" s="268" t="str">
        <f t="shared" si="594"/>
        <v/>
      </c>
      <c r="AX513" s="268" t="str">
        <f t="shared" si="594"/>
        <v/>
      </c>
      <c r="AY513" s="268" t="str">
        <f t="shared" si="594"/>
        <v/>
      </c>
      <c r="AZ513" s="268" t="str">
        <f t="shared" si="594"/>
        <v/>
      </c>
      <c r="BA513" s="268" t="str">
        <f t="shared" si="594"/>
        <v/>
      </c>
      <c r="BB513" s="268" t="str">
        <f t="shared" si="594"/>
        <v/>
      </c>
      <c r="BC513" s="268">
        <f t="shared" si="594"/>
        <v>12006</v>
      </c>
      <c r="BD513" s="268" t="str">
        <f t="shared" si="594"/>
        <v/>
      </c>
      <c r="BE513" s="268" t="str">
        <f t="shared" si="594"/>
        <v/>
      </c>
      <c r="BF513" s="268" t="str">
        <f t="shared" si="594"/>
        <v/>
      </c>
      <c r="BG513" s="268" t="str">
        <f t="shared" si="594"/>
        <v/>
      </c>
      <c r="BH513" s="268" t="str">
        <f t="shared" si="594"/>
        <v/>
      </c>
      <c r="BI513" s="268" t="str">
        <f t="shared" si="594"/>
        <v/>
      </c>
      <c r="BJ513" s="268" t="str">
        <f t="shared" si="594"/>
        <v/>
      </c>
      <c r="BK513" s="268" t="str">
        <f t="shared" si="594"/>
        <v/>
      </c>
      <c r="BL513" s="268" t="str">
        <f t="shared" si="594"/>
        <v/>
      </c>
      <c r="BM513" s="268" t="str">
        <f t="shared" si="594"/>
        <v/>
      </c>
      <c r="BN513" s="268" t="str">
        <f t="shared" si="594"/>
        <v/>
      </c>
      <c r="BO513" s="268" t="str">
        <f t="shared" si="594"/>
        <v/>
      </c>
      <c r="BP513" s="268" t="str">
        <f t="shared" si="594"/>
        <v/>
      </c>
      <c r="BQ513" s="268" t="str">
        <f t="shared" si="594"/>
        <v/>
      </c>
      <c r="BR513" s="268" t="str">
        <f t="shared" si="594"/>
        <v/>
      </c>
      <c r="BS513" s="268" t="str">
        <f t="shared" si="594"/>
        <v/>
      </c>
      <c r="BT513" s="268" t="str">
        <f t="shared" si="594"/>
        <v/>
      </c>
      <c r="BU513" s="268" t="str">
        <f t="shared" si="526"/>
        <v/>
      </c>
      <c r="BV513" s="247">
        <v>0.59</v>
      </c>
      <c r="BW513" s="729">
        <f t="shared" si="590"/>
        <v>7083.54</v>
      </c>
      <c r="BX513" s="730">
        <f t="shared" si="591"/>
        <v>54897.44</v>
      </c>
      <c r="BY513" s="731" t="str">
        <f t="shared" si="592"/>
        <v>JS</v>
      </c>
    </row>
    <row r="514" s="698" customFormat="1" customHeight="1" spans="1:77">
      <c r="A514" s="208">
        <v>46121</v>
      </c>
      <c r="B514" s="208">
        <v>46157</v>
      </c>
      <c r="C514" s="211" t="s">
        <v>699</v>
      </c>
      <c r="D514" s="211" t="s">
        <v>700</v>
      </c>
      <c r="E514" s="211" t="s">
        <v>89</v>
      </c>
      <c r="F514" s="732">
        <v>12000</v>
      </c>
      <c r="G514" s="211" t="s">
        <v>334</v>
      </c>
      <c r="H514" s="211" t="str">
        <f>IFERROR(VLOOKUP(E514,名称!A:E,4,0),"")</f>
        <v>三代</v>
      </c>
      <c r="I514" s="268" t="str">
        <f t="shared" ref="I514:BT514" si="595">IF(OR($E514="",I$1=""),"",IF(TRIM(LEFT($E514,MIN(IFERROR(FIND("CDU",UPPER($E514)),999),IFERROR(FIND("BULK",UPPER($E514)),999),IFERROR(FIND("-",$E514),999),IFERROR(FIND("（",$E514),999))-1))=I$1,$F514,""))</f>
        <v/>
      </c>
      <c r="J514" s="268" t="str">
        <f t="shared" si="595"/>
        <v/>
      </c>
      <c r="K514" s="268" t="str">
        <f t="shared" si="595"/>
        <v/>
      </c>
      <c r="L514" s="268" t="str">
        <f t="shared" si="595"/>
        <v/>
      </c>
      <c r="M514" s="268" t="str">
        <f t="shared" si="595"/>
        <v/>
      </c>
      <c r="N514" s="268" t="str">
        <f t="shared" si="595"/>
        <v/>
      </c>
      <c r="O514" s="268" t="str">
        <f t="shared" si="595"/>
        <v/>
      </c>
      <c r="P514" s="268" t="str">
        <f t="shared" si="595"/>
        <v/>
      </c>
      <c r="Q514" s="268" t="str">
        <f t="shared" si="595"/>
        <v/>
      </c>
      <c r="R514" s="268" t="str">
        <f t="shared" si="595"/>
        <v/>
      </c>
      <c r="S514" s="268" t="str">
        <f t="shared" si="595"/>
        <v/>
      </c>
      <c r="T514" s="268" t="str">
        <f t="shared" si="595"/>
        <v/>
      </c>
      <c r="U514" s="268" t="str">
        <f t="shared" si="595"/>
        <v/>
      </c>
      <c r="V514" s="268" t="str">
        <f t="shared" si="595"/>
        <v/>
      </c>
      <c r="W514" s="268" t="str">
        <f t="shared" si="595"/>
        <v/>
      </c>
      <c r="X514" s="268" t="str">
        <f t="shared" si="595"/>
        <v/>
      </c>
      <c r="Y514" s="268" t="str">
        <f t="shared" si="595"/>
        <v/>
      </c>
      <c r="Z514" s="268" t="str">
        <f t="shared" si="595"/>
        <v/>
      </c>
      <c r="AA514" s="268" t="str">
        <f t="shared" si="595"/>
        <v/>
      </c>
      <c r="AB514" s="268" t="str">
        <f t="shared" si="595"/>
        <v/>
      </c>
      <c r="AC514" s="268" t="str">
        <f t="shared" si="595"/>
        <v/>
      </c>
      <c r="AD514" s="268" t="str">
        <f t="shared" si="595"/>
        <v/>
      </c>
      <c r="AE514" s="268" t="str">
        <f t="shared" si="595"/>
        <v/>
      </c>
      <c r="AF514" s="268" t="str">
        <f t="shared" si="595"/>
        <v/>
      </c>
      <c r="AG514" s="268" t="str">
        <f t="shared" si="595"/>
        <v/>
      </c>
      <c r="AH514" s="268" t="str">
        <f t="shared" si="595"/>
        <v/>
      </c>
      <c r="AI514" s="268" t="str">
        <f t="shared" si="595"/>
        <v/>
      </c>
      <c r="AJ514" s="268" t="str">
        <f t="shared" si="595"/>
        <v/>
      </c>
      <c r="AK514" s="268" t="str">
        <f t="shared" si="595"/>
        <v/>
      </c>
      <c r="AL514" s="268" t="str">
        <f t="shared" si="595"/>
        <v/>
      </c>
      <c r="AM514" s="268" t="str">
        <f t="shared" si="595"/>
        <v/>
      </c>
      <c r="AN514" s="268" t="str">
        <f t="shared" si="595"/>
        <v/>
      </c>
      <c r="AO514" s="268" t="str">
        <f t="shared" si="595"/>
        <v/>
      </c>
      <c r="AP514" s="268" t="str">
        <f t="shared" si="595"/>
        <v/>
      </c>
      <c r="AQ514" s="268" t="str">
        <f t="shared" si="595"/>
        <v/>
      </c>
      <c r="AR514" s="268" t="str">
        <f t="shared" si="595"/>
        <v/>
      </c>
      <c r="AS514" s="268" t="str">
        <f t="shared" si="595"/>
        <v/>
      </c>
      <c r="AT514" s="268" t="str">
        <f t="shared" si="595"/>
        <v/>
      </c>
      <c r="AU514" s="268">
        <f t="shared" si="595"/>
        <v>12000</v>
      </c>
      <c r="AV514" s="268" t="str">
        <f t="shared" si="595"/>
        <v/>
      </c>
      <c r="AW514" s="268" t="str">
        <f t="shared" si="595"/>
        <v/>
      </c>
      <c r="AX514" s="268" t="str">
        <f t="shared" si="595"/>
        <v/>
      </c>
      <c r="AY514" s="268" t="str">
        <f t="shared" si="595"/>
        <v/>
      </c>
      <c r="AZ514" s="268" t="str">
        <f t="shared" si="595"/>
        <v/>
      </c>
      <c r="BA514" s="268" t="str">
        <f t="shared" si="595"/>
        <v/>
      </c>
      <c r="BB514" s="268" t="str">
        <f t="shared" si="595"/>
        <v/>
      </c>
      <c r="BC514" s="268" t="str">
        <f t="shared" si="595"/>
        <v/>
      </c>
      <c r="BD514" s="268" t="str">
        <f t="shared" si="595"/>
        <v/>
      </c>
      <c r="BE514" s="268" t="str">
        <f t="shared" si="595"/>
        <v/>
      </c>
      <c r="BF514" s="268" t="str">
        <f t="shared" si="595"/>
        <v/>
      </c>
      <c r="BG514" s="268" t="str">
        <f t="shared" si="595"/>
        <v/>
      </c>
      <c r="BH514" s="268" t="str">
        <f t="shared" si="595"/>
        <v/>
      </c>
      <c r="BI514" s="268" t="str">
        <f t="shared" si="595"/>
        <v/>
      </c>
      <c r="BJ514" s="268" t="str">
        <f t="shared" si="595"/>
        <v/>
      </c>
      <c r="BK514" s="268" t="str">
        <f t="shared" si="595"/>
        <v/>
      </c>
      <c r="BL514" s="268" t="str">
        <f t="shared" si="595"/>
        <v/>
      </c>
      <c r="BM514" s="268" t="str">
        <f t="shared" si="595"/>
        <v/>
      </c>
      <c r="BN514" s="268" t="str">
        <f t="shared" si="595"/>
        <v/>
      </c>
      <c r="BO514" s="268" t="str">
        <f t="shared" si="595"/>
        <v/>
      </c>
      <c r="BP514" s="268" t="str">
        <f t="shared" si="595"/>
        <v/>
      </c>
      <c r="BQ514" s="268" t="str">
        <f t="shared" si="595"/>
        <v/>
      </c>
      <c r="BR514" s="268" t="str">
        <f t="shared" si="595"/>
        <v/>
      </c>
      <c r="BS514" s="268" t="str">
        <f t="shared" si="595"/>
        <v/>
      </c>
      <c r="BT514" s="268" t="str">
        <f t="shared" si="595"/>
        <v/>
      </c>
      <c r="BU514" s="268" t="str">
        <f t="shared" si="526"/>
        <v/>
      </c>
      <c r="BV514" s="247">
        <v>1.83</v>
      </c>
      <c r="BW514" s="729">
        <f t="shared" si="590"/>
        <v>21960</v>
      </c>
      <c r="BX514" s="730">
        <f t="shared" si="591"/>
        <v>170190</v>
      </c>
      <c r="BY514" s="731" t="str">
        <f t="shared" si="592"/>
        <v>SR</v>
      </c>
    </row>
    <row r="515" s="698" customFormat="1" customHeight="1" spans="1:77">
      <c r="A515" s="208">
        <v>46121</v>
      </c>
      <c r="B515" s="208">
        <v>46157</v>
      </c>
      <c r="C515" s="211" t="s">
        <v>699</v>
      </c>
      <c r="D515" s="211" t="s">
        <v>700</v>
      </c>
      <c r="E515" s="211" t="s">
        <v>90</v>
      </c>
      <c r="F515" s="732">
        <v>12000</v>
      </c>
      <c r="G515" s="211" t="s">
        <v>334</v>
      </c>
      <c r="H515" s="211" t="str">
        <f>IFERROR(VLOOKUP(E515,名称!A:E,4,0),"")</f>
        <v>三代</v>
      </c>
      <c r="I515" s="268" t="str">
        <f t="shared" ref="I515:BT515" si="596">IF(OR($E515="",I$1=""),"",IF(TRIM(LEFT($E515,MIN(IFERROR(FIND("CDU",UPPER($E515)),999),IFERROR(FIND("BULK",UPPER($E515)),999),IFERROR(FIND("-",$E515),999),IFERROR(FIND("（",$E515),999))-1))=I$1,$F515,""))</f>
        <v/>
      </c>
      <c r="J515" s="268" t="str">
        <f t="shared" si="596"/>
        <v/>
      </c>
      <c r="K515" s="268" t="str">
        <f t="shared" si="596"/>
        <v/>
      </c>
      <c r="L515" s="268" t="str">
        <f t="shared" si="596"/>
        <v/>
      </c>
      <c r="M515" s="268" t="str">
        <f t="shared" si="596"/>
        <v/>
      </c>
      <c r="N515" s="268" t="str">
        <f t="shared" si="596"/>
        <v/>
      </c>
      <c r="O515" s="268" t="str">
        <f t="shared" si="596"/>
        <v/>
      </c>
      <c r="P515" s="268" t="str">
        <f t="shared" si="596"/>
        <v/>
      </c>
      <c r="Q515" s="268" t="str">
        <f t="shared" si="596"/>
        <v/>
      </c>
      <c r="R515" s="268" t="str">
        <f t="shared" si="596"/>
        <v/>
      </c>
      <c r="S515" s="268" t="str">
        <f t="shared" si="596"/>
        <v/>
      </c>
      <c r="T515" s="268" t="str">
        <f t="shared" si="596"/>
        <v/>
      </c>
      <c r="U515" s="268" t="str">
        <f t="shared" si="596"/>
        <v/>
      </c>
      <c r="V515" s="268" t="str">
        <f t="shared" si="596"/>
        <v/>
      </c>
      <c r="W515" s="268" t="str">
        <f t="shared" si="596"/>
        <v/>
      </c>
      <c r="X515" s="268" t="str">
        <f t="shared" si="596"/>
        <v/>
      </c>
      <c r="Y515" s="268" t="str">
        <f t="shared" si="596"/>
        <v/>
      </c>
      <c r="Z515" s="268" t="str">
        <f t="shared" si="596"/>
        <v/>
      </c>
      <c r="AA515" s="268" t="str">
        <f t="shared" si="596"/>
        <v/>
      </c>
      <c r="AB515" s="268" t="str">
        <f t="shared" si="596"/>
        <v/>
      </c>
      <c r="AC515" s="268" t="str">
        <f t="shared" si="596"/>
        <v/>
      </c>
      <c r="AD515" s="268" t="str">
        <f t="shared" si="596"/>
        <v/>
      </c>
      <c r="AE515" s="268" t="str">
        <f t="shared" si="596"/>
        <v/>
      </c>
      <c r="AF515" s="268" t="str">
        <f t="shared" si="596"/>
        <v/>
      </c>
      <c r="AG515" s="268" t="str">
        <f t="shared" si="596"/>
        <v/>
      </c>
      <c r="AH515" s="268" t="str">
        <f t="shared" si="596"/>
        <v/>
      </c>
      <c r="AI515" s="268" t="str">
        <f t="shared" si="596"/>
        <v/>
      </c>
      <c r="AJ515" s="268" t="str">
        <f t="shared" si="596"/>
        <v/>
      </c>
      <c r="AK515" s="268" t="str">
        <f t="shared" si="596"/>
        <v/>
      </c>
      <c r="AL515" s="268" t="str">
        <f t="shared" si="596"/>
        <v/>
      </c>
      <c r="AM515" s="268" t="str">
        <f t="shared" si="596"/>
        <v/>
      </c>
      <c r="AN515" s="268" t="str">
        <f t="shared" si="596"/>
        <v/>
      </c>
      <c r="AO515" s="268" t="str">
        <f t="shared" si="596"/>
        <v/>
      </c>
      <c r="AP515" s="268" t="str">
        <f t="shared" si="596"/>
        <v/>
      </c>
      <c r="AQ515" s="268" t="str">
        <f t="shared" si="596"/>
        <v/>
      </c>
      <c r="AR515" s="268" t="str">
        <f t="shared" si="596"/>
        <v/>
      </c>
      <c r="AS515" s="268" t="str">
        <f t="shared" si="596"/>
        <v/>
      </c>
      <c r="AT515" s="268" t="str">
        <f t="shared" si="596"/>
        <v/>
      </c>
      <c r="AU515" s="268" t="str">
        <f t="shared" si="596"/>
        <v/>
      </c>
      <c r="AV515" s="268" t="str">
        <f t="shared" si="596"/>
        <v/>
      </c>
      <c r="AW515" s="268">
        <f t="shared" si="596"/>
        <v>12000</v>
      </c>
      <c r="AX515" s="268" t="str">
        <f t="shared" si="596"/>
        <v/>
      </c>
      <c r="AY515" s="268" t="str">
        <f t="shared" si="596"/>
        <v/>
      </c>
      <c r="AZ515" s="268" t="str">
        <f t="shared" si="596"/>
        <v/>
      </c>
      <c r="BA515" s="268" t="str">
        <f t="shared" si="596"/>
        <v/>
      </c>
      <c r="BB515" s="268" t="str">
        <f t="shared" si="596"/>
        <v/>
      </c>
      <c r="BC515" s="268" t="str">
        <f t="shared" si="596"/>
        <v/>
      </c>
      <c r="BD515" s="268" t="str">
        <f t="shared" si="596"/>
        <v/>
      </c>
      <c r="BE515" s="268" t="str">
        <f t="shared" si="596"/>
        <v/>
      </c>
      <c r="BF515" s="268" t="str">
        <f t="shared" si="596"/>
        <v/>
      </c>
      <c r="BG515" s="268" t="str">
        <f t="shared" si="596"/>
        <v/>
      </c>
      <c r="BH515" s="268" t="str">
        <f t="shared" si="596"/>
        <v/>
      </c>
      <c r="BI515" s="268" t="str">
        <f t="shared" si="596"/>
        <v/>
      </c>
      <c r="BJ515" s="268" t="str">
        <f t="shared" si="596"/>
        <v/>
      </c>
      <c r="BK515" s="268" t="str">
        <f t="shared" si="596"/>
        <v/>
      </c>
      <c r="BL515" s="268" t="str">
        <f t="shared" si="596"/>
        <v/>
      </c>
      <c r="BM515" s="268" t="str">
        <f t="shared" si="596"/>
        <v/>
      </c>
      <c r="BN515" s="268" t="str">
        <f t="shared" si="596"/>
        <v/>
      </c>
      <c r="BO515" s="268" t="str">
        <f t="shared" si="596"/>
        <v/>
      </c>
      <c r="BP515" s="268" t="str">
        <f t="shared" si="596"/>
        <v/>
      </c>
      <c r="BQ515" s="268" t="str">
        <f t="shared" si="596"/>
        <v/>
      </c>
      <c r="BR515" s="268" t="str">
        <f t="shared" si="596"/>
        <v/>
      </c>
      <c r="BS515" s="268" t="str">
        <f t="shared" si="596"/>
        <v/>
      </c>
      <c r="BT515" s="268" t="str">
        <f t="shared" si="596"/>
        <v/>
      </c>
      <c r="BU515" s="268" t="str">
        <f t="shared" ref="BU515:BU530" si="597">IF(OR($E515="",BU$1=""),"",IF(TRIM(LEFT($E515,MIN(IFERROR(FIND("CDU",UPPER($E515)),999),IFERROR(FIND("BULK",UPPER($E515)),999),IFERROR(FIND("-",$E515),999),IFERROR(FIND("（",$E515),999))-1))=BU$1,$F515,""))</f>
        <v/>
      </c>
      <c r="BV515" s="247">
        <v>1.56</v>
      </c>
      <c r="BW515" s="729">
        <f t="shared" si="590"/>
        <v>18720</v>
      </c>
      <c r="BX515" s="730">
        <f t="shared" si="591"/>
        <v>145080</v>
      </c>
      <c r="BY515" s="731" t="str">
        <f t="shared" si="592"/>
        <v>SR</v>
      </c>
    </row>
    <row r="516" s="698" customFormat="1" customHeight="1" spans="1:77">
      <c r="A516" s="208">
        <v>46121</v>
      </c>
      <c r="B516" s="208">
        <v>46157</v>
      </c>
      <c r="C516" s="211" t="s">
        <v>699</v>
      </c>
      <c r="D516" s="211" t="s">
        <v>700</v>
      </c>
      <c r="E516" s="211" t="s">
        <v>103</v>
      </c>
      <c r="F516" s="732">
        <v>14103</v>
      </c>
      <c r="G516" s="211" t="s">
        <v>334</v>
      </c>
      <c r="H516" s="211" t="str">
        <f>IFERROR(VLOOKUP(E516,名称!A:E,4,0),"")</f>
        <v>三代</v>
      </c>
      <c r="I516" s="268" t="str">
        <f t="shared" ref="I516:BT516" si="598">IF(OR($E516="",I$1=""),"",IF(TRIM(LEFT($E516,MIN(IFERROR(FIND("CDU",UPPER($E516)),999),IFERROR(FIND("BULK",UPPER($E516)),999),IFERROR(FIND("-",$E516),999),IFERROR(FIND("（",$E516),999))-1))=I$1,$F516,""))</f>
        <v/>
      </c>
      <c r="J516" s="268" t="str">
        <f t="shared" si="598"/>
        <v/>
      </c>
      <c r="K516" s="268" t="str">
        <f t="shared" si="598"/>
        <v/>
      </c>
      <c r="L516" s="268" t="str">
        <f t="shared" si="598"/>
        <v/>
      </c>
      <c r="M516" s="268" t="str">
        <f t="shared" si="598"/>
        <v/>
      </c>
      <c r="N516" s="268" t="str">
        <f t="shared" si="598"/>
        <v/>
      </c>
      <c r="O516" s="268" t="str">
        <f t="shared" si="598"/>
        <v/>
      </c>
      <c r="P516" s="268" t="str">
        <f t="shared" si="598"/>
        <v/>
      </c>
      <c r="Q516" s="268" t="str">
        <f t="shared" si="598"/>
        <v/>
      </c>
      <c r="R516" s="268" t="str">
        <f t="shared" si="598"/>
        <v/>
      </c>
      <c r="S516" s="268" t="str">
        <f t="shared" si="598"/>
        <v/>
      </c>
      <c r="T516" s="268" t="str">
        <f t="shared" si="598"/>
        <v/>
      </c>
      <c r="U516" s="268" t="str">
        <f t="shared" si="598"/>
        <v/>
      </c>
      <c r="V516" s="268" t="str">
        <f t="shared" si="598"/>
        <v/>
      </c>
      <c r="W516" s="268" t="str">
        <f t="shared" si="598"/>
        <v/>
      </c>
      <c r="X516" s="268" t="str">
        <f t="shared" si="598"/>
        <v/>
      </c>
      <c r="Y516" s="268" t="str">
        <f t="shared" si="598"/>
        <v/>
      </c>
      <c r="Z516" s="268" t="str">
        <f t="shared" si="598"/>
        <v/>
      </c>
      <c r="AA516" s="268" t="str">
        <f t="shared" si="598"/>
        <v/>
      </c>
      <c r="AB516" s="268" t="str">
        <f t="shared" si="598"/>
        <v/>
      </c>
      <c r="AC516" s="268">
        <f t="shared" si="598"/>
        <v>14103</v>
      </c>
      <c r="AD516" s="268" t="str">
        <f t="shared" si="598"/>
        <v/>
      </c>
      <c r="AE516" s="268" t="str">
        <f t="shared" si="598"/>
        <v/>
      </c>
      <c r="AF516" s="268" t="str">
        <f t="shared" si="598"/>
        <v/>
      </c>
      <c r="AG516" s="268" t="str">
        <f t="shared" si="598"/>
        <v/>
      </c>
      <c r="AH516" s="268" t="str">
        <f t="shared" si="598"/>
        <v/>
      </c>
      <c r="AI516" s="268" t="str">
        <f t="shared" si="598"/>
        <v/>
      </c>
      <c r="AJ516" s="268" t="str">
        <f t="shared" si="598"/>
        <v/>
      </c>
      <c r="AK516" s="268" t="str">
        <f t="shared" si="598"/>
        <v/>
      </c>
      <c r="AL516" s="268" t="str">
        <f t="shared" si="598"/>
        <v/>
      </c>
      <c r="AM516" s="268" t="str">
        <f t="shared" si="598"/>
        <v/>
      </c>
      <c r="AN516" s="268" t="str">
        <f t="shared" si="598"/>
        <v/>
      </c>
      <c r="AO516" s="268" t="str">
        <f t="shared" si="598"/>
        <v/>
      </c>
      <c r="AP516" s="268" t="str">
        <f t="shared" si="598"/>
        <v/>
      </c>
      <c r="AQ516" s="268" t="str">
        <f t="shared" si="598"/>
        <v/>
      </c>
      <c r="AR516" s="268" t="str">
        <f t="shared" si="598"/>
        <v/>
      </c>
      <c r="AS516" s="268" t="str">
        <f t="shared" si="598"/>
        <v/>
      </c>
      <c r="AT516" s="268" t="str">
        <f t="shared" si="598"/>
        <v/>
      </c>
      <c r="AU516" s="268" t="str">
        <f t="shared" si="598"/>
        <v/>
      </c>
      <c r="AV516" s="268" t="str">
        <f t="shared" si="598"/>
        <v/>
      </c>
      <c r="AW516" s="268" t="str">
        <f t="shared" si="598"/>
        <v/>
      </c>
      <c r="AX516" s="268" t="str">
        <f t="shared" si="598"/>
        <v/>
      </c>
      <c r="AY516" s="268" t="str">
        <f t="shared" si="598"/>
        <v/>
      </c>
      <c r="AZ516" s="268" t="str">
        <f t="shared" si="598"/>
        <v/>
      </c>
      <c r="BA516" s="268" t="str">
        <f t="shared" si="598"/>
        <v/>
      </c>
      <c r="BB516" s="268" t="str">
        <f t="shared" si="598"/>
        <v/>
      </c>
      <c r="BC516" s="268" t="str">
        <f t="shared" si="598"/>
        <v/>
      </c>
      <c r="BD516" s="268" t="str">
        <f t="shared" si="598"/>
        <v/>
      </c>
      <c r="BE516" s="268" t="str">
        <f t="shared" si="598"/>
        <v/>
      </c>
      <c r="BF516" s="268" t="str">
        <f t="shared" si="598"/>
        <v/>
      </c>
      <c r="BG516" s="268" t="str">
        <f t="shared" si="598"/>
        <v/>
      </c>
      <c r="BH516" s="268" t="str">
        <f t="shared" si="598"/>
        <v/>
      </c>
      <c r="BI516" s="268" t="str">
        <f t="shared" si="598"/>
        <v/>
      </c>
      <c r="BJ516" s="268" t="str">
        <f t="shared" si="598"/>
        <v/>
      </c>
      <c r="BK516" s="268" t="str">
        <f t="shared" si="598"/>
        <v/>
      </c>
      <c r="BL516" s="268" t="str">
        <f t="shared" si="598"/>
        <v/>
      </c>
      <c r="BM516" s="268" t="str">
        <f t="shared" si="598"/>
        <v/>
      </c>
      <c r="BN516" s="268" t="str">
        <f t="shared" si="598"/>
        <v/>
      </c>
      <c r="BO516" s="268" t="str">
        <f t="shared" si="598"/>
        <v/>
      </c>
      <c r="BP516" s="268" t="str">
        <f t="shared" si="598"/>
        <v/>
      </c>
      <c r="BQ516" s="268" t="str">
        <f t="shared" si="598"/>
        <v/>
      </c>
      <c r="BR516" s="268" t="str">
        <f t="shared" si="598"/>
        <v/>
      </c>
      <c r="BS516" s="268" t="str">
        <f t="shared" si="598"/>
        <v/>
      </c>
      <c r="BT516" s="268" t="str">
        <f t="shared" si="598"/>
        <v/>
      </c>
      <c r="BU516" s="268" t="str">
        <f t="shared" si="597"/>
        <v/>
      </c>
      <c r="BV516" s="353">
        <v>0.9</v>
      </c>
      <c r="BW516" s="729">
        <f t="shared" si="590"/>
        <v>12692.7</v>
      </c>
      <c r="BX516" s="730">
        <f t="shared" si="591"/>
        <v>98368.43</v>
      </c>
      <c r="BY516" s="731" t="str">
        <f t="shared" si="592"/>
        <v>SR</v>
      </c>
    </row>
    <row r="517" s="698" customFormat="1" customHeight="1" spans="1:77">
      <c r="A517" s="208">
        <v>46121</v>
      </c>
      <c r="B517" s="208">
        <v>46157</v>
      </c>
      <c r="C517" s="211" t="s">
        <v>699</v>
      </c>
      <c r="D517" s="211" t="s">
        <v>700</v>
      </c>
      <c r="E517" s="211" t="s">
        <v>103</v>
      </c>
      <c r="F517" s="732">
        <f>24003-14103</f>
        <v>9900</v>
      </c>
      <c r="G517" s="211" t="s">
        <v>334</v>
      </c>
      <c r="H517" s="211" t="str">
        <f>IFERROR(VLOOKUP(E517,名称!A:E,4,0),"")</f>
        <v>三代</v>
      </c>
      <c r="I517" s="268" t="str">
        <f t="shared" ref="I517:BT517" si="599">IF(OR($E517="",I$1=""),"",IF(TRIM(LEFT($E517,MIN(IFERROR(FIND("CDU",UPPER($E517)),999),IFERROR(FIND("BULK",UPPER($E517)),999),IFERROR(FIND("-",$E517),999),IFERROR(FIND("（",$E517),999))-1))=I$1,$F517,""))</f>
        <v/>
      </c>
      <c r="J517" s="268" t="str">
        <f t="shared" si="599"/>
        <v/>
      </c>
      <c r="K517" s="268" t="str">
        <f t="shared" si="599"/>
        <v/>
      </c>
      <c r="L517" s="268" t="str">
        <f t="shared" si="599"/>
        <v/>
      </c>
      <c r="M517" s="268" t="str">
        <f t="shared" si="599"/>
        <v/>
      </c>
      <c r="N517" s="268" t="str">
        <f t="shared" si="599"/>
        <v/>
      </c>
      <c r="O517" s="268" t="str">
        <f t="shared" si="599"/>
        <v/>
      </c>
      <c r="P517" s="268" t="str">
        <f t="shared" si="599"/>
        <v/>
      </c>
      <c r="Q517" s="268" t="str">
        <f t="shared" si="599"/>
        <v/>
      </c>
      <c r="R517" s="268" t="str">
        <f t="shared" si="599"/>
        <v/>
      </c>
      <c r="S517" s="268" t="str">
        <f t="shared" si="599"/>
        <v/>
      </c>
      <c r="T517" s="268" t="str">
        <f t="shared" si="599"/>
        <v/>
      </c>
      <c r="U517" s="268" t="str">
        <f t="shared" si="599"/>
        <v/>
      </c>
      <c r="V517" s="268" t="str">
        <f t="shared" si="599"/>
        <v/>
      </c>
      <c r="W517" s="268" t="str">
        <f t="shared" si="599"/>
        <v/>
      </c>
      <c r="X517" s="268" t="str">
        <f t="shared" si="599"/>
        <v/>
      </c>
      <c r="Y517" s="268" t="str">
        <f t="shared" si="599"/>
        <v/>
      </c>
      <c r="Z517" s="268" t="str">
        <f t="shared" si="599"/>
        <v/>
      </c>
      <c r="AA517" s="268" t="str">
        <f t="shared" si="599"/>
        <v/>
      </c>
      <c r="AB517" s="268" t="str">
        <f t="shared" si="599"/>
        <v/>
      </c>
      <c r="AC517" s="268">
        <f t="shared" si="599"/>
        <v>9900</v>
      </c>
      <c r="AD517" s="268" t="str">
        <f t="shared" si="599"/>
        <v/>
      </c>
      <c r="AE517" s="268" t="str">
        <f t="shared" si="599"/>
        <v/>
      </c>
      <c r="AF517" s="268" t="str">
        <f t="shared" si="599"/>
        <v/>
      </c>
      <c r="AG517" s="268" t="str">
        <f t="shared" si="599"/>
        <v/>
      </c>
      <c r="AH517" s="268" t="str">
        <f t="shared" si="599"/>
        <v/>
      </c>
      <c r="AI517" s="268" t="str">
        <f t="shared" si="599"/>
        <v/>
      </c>
      <c r="AJ517" s="268" t="str">
        <f t="shared" si="599"/>
        <v/>
      </c>
      <c r="AK517" s="268" t="str">
        <f t="shared" si="599"/>
        <v/>
      </c>
      <c r="AL517" s="268" t="str">
        <f t="shared" si="599"/>
        <v/>
      </c>
      <c r="AM517" s="268" t="str">
        <f t="shared" si="599"/>
        <v/>
      </c>
      <c r="AN517" s="268" t="str">
        <f t="shared" si="599"/>
        <v/>
      </c>
      <c r="AO517" s="268" t="str">
        <f t="shared" si="599"/>
        <v/>
      </c>
      <c r="AP517" s="268" t="str">
        <f t="shared" si="599"/>
        <v/>
      </c>
      <c r="AQ517" s="268" t="str">
        <f t="shared" si="599"/>
        <v/>
      </c>
      <c r="AR517" s="268" t="str">
        <f t="shared" si="599"/>
        <v/>
      </c>
      <c r="AS517" s="268" t="str">
        <f t="shared" si="599"/>
        <v/>
      </c>
      <c r="AT517" s="268" t="str">
        <f t="shared" si="599"/>
        <v/>
      </c>
      <c r="AU517" s="268" t="str">
        <f t="shared" si="599"/>
        <v/>
      </c>
      <c r="AV517" s="268" t="str">
        <f t="shared" si="599"/>
        <v/>
      </c>
      <c r="AW517" s="268" t="str">
        <f t="shared" si="599"/>
        <v/>
      </c>
      <c r="AX517" s="268" t="str">
        <f t="shared" si="599"/>
        <v/>
      </c>
      <c r="AY517" s="268" t="str">
        <f t="shared" si="599"/>
        <v/>
      </c>
      <c r="AZ517" s="268" t="str">
        <f t="shared" si="599"/>
        <v/>
      </c>
      <c r="BA517" s="268" t="str">
        <f t="shared" si="599"/>
        <v/>
      </c>
      <c r="BB517" s="268" t="str">
        <f t="shared" si="599"/>
        <v/>
      </c>
      <c r="BC517" s="268" t="str">
        <f t="shared" si="599"/>
        <v/>
      </c>
      <c r="BD517" s="268" t="str">
        <f t="shared" si="599"/>
        <v/>
      </c>
      <c r="BE517" s="268" t="str">
        <f t="shared" si="599"/>
        <v/>
      </c>
      <c r="BF517" s="268" t="str">
        <f t="shared" si="599"/>
        <v/>
      </c>
      <c r="BG517" s="268" t="str">
        <f t="shared" si="599"/>
        <v/>
      </c>
      <c r="BH517" s="268" t="str">
        <f t="shared" si="599"/>
        <v/>
      </c>
      <c r="BI517" s="268" t="str">
        <f t="shared" si="599"/>
        <v/>
      </c>
      <c r="BJ517" s="268" t="str">
        <f t="shared" si="599"/>
        <v/>
      </c>
      <c r="BK517" s="268" t="str">
        <f t="shared" si="599"/>
        <v/>
      </c>
      <c r="BL517" s="268" t="str">
        <f t="shared" si="599"/>
        <v/>
      </c>
      <c r="BM517" s="268" t="str">
        <f t="shared" si="599"/>
        <v/>
      </c>
      <c r="BN517" s="268" t="str">
        <f t="shared" si="599"/>
        <v/>
      </c>
      <c r="BO517" s="268" t="str">
        <f t="shared" si="599"/>
        <v/>
      </c>
      <c r="BP517" s="268" t="str">
        <f t="shared" si="599"/>
        <v/>
      </c>
      <c r="BQ517" s="268" t="str">
        <f t="shared" si="599"/>
        <v/>
      </c>
      <c r="BR517" s="268" t="str">
        <f t="shared" si="599"/>
        <v/>
      </c>
      <c r="BS517" s="268" t="str">
        <f t="shared" si="599"/>
        <v/>
      </c>
      <c r="BT517" s="268" t="str">
        <f t="shared" si="599"/>
        <v/>
      </c>
      <c r="BU517" s="268" t="str">
        <f t="shared" si="597"/>
        <v/>
      </c>
      <c r="BV517" s="247">
        <v>0.85</v>
      </c>
      <c r="BW517" s="729">
        <f t="shared" si="590"/>
        <v>8415</v>
      </c>
      <c r="BX517" s="730">
        <f t="shared" si="591"/>
        <v>65216.25</v>
      </c>
      <c r="BY517" s="731" t="str">
        <f t="shared" si="592"/>
        <v>SR</v>
      </c>
    </row>
    <row r="518" s="698" customFormat="1" customHeight="1" spans="1:77">
      <c r="A518" s="208">
        <v>46121</v>
      </c>
      <c r="B518" s="208">
        <v>46157</v>
      </c>
      <c r="C518" s="211" t="s">
        <v>699</v>
      </c>
      <c r="D518" s="211" t="s">
        <v>700</v>
      </c>
      <c r="E518" s="211" t="s">
        <v>68</v>
      </c>
      <c r="F518" s="732">
        <v>5000</v>
      </c>
      <c r="G518" s="211" t="s">
        <v>334</v>
      </c>
      <c r="H518" s="211" t="str">
        <f>IFERROR(VLOOKUP(E518,名称!A:E,4,0),"")</f>
        <v>三代</v>
      </c>
      <c r="I518" s="268" t="str">
        <f t="shared" ref="I518:BT518" si="600">IF(OR($E518="",I$1=""),"",IF(TRIM(LEFT($E518,MIN(IFERROR(FIND("CDU",UPPER($E518)),999),IFERROR(FIND("BULK",UPPER($E518)),999),IFERROR(FIND("-",$E518),999),IFERROR(FIND("（",$E518),999))-1))=I$1,$F518,""))</f>
        <v/>
      </c>
      <c r="J518" s="268" t="str">
        <f t="shared" si="600"/>
        <v/>
      </c>
      <c r="K518" s="268" t="str">
        <f t="shared" si="600"/>
        <v/>
      </c>
      <c r="L518" s="268" t="str">
        <f t="shared" si="600"/>
        <v/>
      </c>
      <c r="M518" s="268" t="str">
        <f t="shared" si="600"/>
        <v/>
      </c>
      <c r="N518" s="268" t="str">
        <f t="shared" si="600"/>
        <v/>
      </c>
      <c r="O518" s="268" t="str">
        <f t="shared" si="600"/>
        <v/>
      </c>
      <c r="P518" s="268" t="str">
        <f t="shared" si="600"/>
        <v/>
      </c>
      <c r="Q518" s="268" t="str">
        <f t="shared" si="600"/>
        <v/>
      </c>
      <c r="R518" s="268" t="str">
        <f t="shared" si="600"/>
        <v/>
      </c>
      <c r="S518" s="268" t="str">
        <f t="shared" si="600"/>
        <v/>
      </c>
      <c r="T518" s="268" t="str">
        <f t="shared" si="600"/>
        <v/>
      </c>
      <c r="U518" s="268" t="str">
        <f t="shared" si="600"/>
        <v/>
      </c>
      <c r="V518" s="268" t="str">
        <f t="shared" si="600"/>
        <v/>
      </c>
      <c r="W518" s="268" t="str">
        <f t="shared" si="600"/>
        <v/>
      </c>
      <c r="X518" s="268" t="str">
        <f t="shared" si="600"/>
        <v/>
      </c>
      <c r="Y518" s="268" t="str">
        <f t="shared" si="600"/>
        <v/>
      </c>
      <c r="Z518" s="268" t="str">
        <f t="shared" si="600"/>
        <v/>
      </c>
      <c r="AA518" s="268" t="str">
        <f t="shared" si="600"/>
        <v/>
      </c>
      <c r="AB518" s="268" t="str">
        <f t="shared" si="600"/>
        <v/>
      </c>
      <c r="AC518" s="268" t="str">
        <f t="shared" si="600"/>
        <v/>
      </c>
      <c r="AD518" s="268" t="str">
        <f t="shared" si="600"/>
        <v/>
      </c>
      <c r="AE518" s="268" t="str">
        <f t="shared" si="600"/>
        <v/>
      </c>
      <c r="AF518" s="268" t="str">
        <f t="shared" si="600"/>
        <v/>
      </c>
      <c r="AG518" s="268" t="str">
        <f t="shared" si="600"/>
        <v/>
      </c>
      <c r="AH518" s="268">
        <f t="shared" si="600"/>
        <v>5000</v>
      </c>
      <c r="AI518" s="268" t="str">
        <f t="shared" si="600"/>
        <v/>
      </c>
      <c r="AJ518" s="268" t="str">
        <f t="shared" si="600"/>
        <v/>
      </c>
      <c r="AK518" s="268" t="str">
        <f t="shared" si="600"/>
        <v/>
      </c>
      <c r="AL518" s="268" t="str">
        <f t="shared" si="600"/>
        <v/>
      </c>
      <c r="AM518" s="268" t="str">
        <f t="shared" si="600"/>
        <v/>
      </c>
      <c r="AN518" s="268" t="str">
        <f t="shared" si="600"/>
        <v/>
      </c>
      <c r="AO518" s="268" t="str">
        <f t="shared" si="600"/>
        <v/>
      </c>
      <c r="AP518" s="268" t="str">
        <f t="shared" si="600"/>
        <v/>
      </c>
      <c r="AQ518" s="268" t="str">
        <f t="shared" si="600"/>
        <v/>
      </c>
      <c r="AR518" s="268" t="str">
        <f t="shared" si="600"/>
        <v/>
      </c>
      <c r="AS518" s="268" t="str">
        <f t="shared" si="600"/>
        <v/>
      </c>
      <c r="AT518" s="268" t="str">
        <f t="shared" si="600"/>
        <v/>
      </c>
      <c r="AU518" s="268" t="str">
        <f t="shared" si="600"/>
        <v/>
      </c>
      <c r="AV518" s="268" t="str">
        <f t="shared" si="600"/>
        <v/>
      </c>
      <c r="AW518" s="268" t="str">
        <f t="shared" si="600"/>
        <v/>
      </c>
      <c r="AX518" s="268" t="str">
        <f t="shared" si="600"/>
        <v/>
      </c>
      <c r="AY518" s="268" t="str">
        <f t="shared" si="600"/>
        <v/>
      </c>
      <c r="AZ518" s="268" t="str">
        <f t="shared" si="600"/>
        <v/>
      </c>
      <c r="BA518" s="268" t="str">
        <f t="shared" si="600"/>
        <v/>
      </c>
      <c r="BB518" s="268" t="str">
        <f t="shared" si="600"/>
        <v/>
      </c>
      <c r="BC518" s="268" t="str">
        <f t="shared" si="600"/>
        <v/>
      </c>
      <c r="BD518" s="268" t="str">
        <f t="shared" si="600"/>
        <v/>
      </c>
      <c r="BE518" s="268" t="str">
        <f t="shared" si="600"/>
        <v/>
      </c>
      <c r="BF518" s="268" t="str">
        <f t="shared" si="600"/>
        <v/>
      </c>
      <c r="BG518" s="268" t="str">
        <f t="shared" si="600"/>
        <v/>
      </c>
      <c r="BH518" s="268" t="str">
        <f t="shared" si="600"/>
        <v/>
      </c>
      <c r="BI518" s="268" t="str">
        <f t="shared" si="600"/>
        <v/>
      </c>
      <c r="BJ518" s="268" t="str">
        <f t="shared" si="600"/>
        <v/>
      </c>
      <c r="BK518" s="268" t="str">
        <f t="shared" si="600"/>
        <v/>
      </c>
      <c r="BL518" s="268" t="str">
        <f t="shared" si="600"/>
        <v/>
      </c>
      <c r="BM518" s="268" t="str">
        <f t="shared" si="600"/>
        <v/>
      </c>
      <c r="BN518" s="268" t="str">
        <f t="shared" si="600"/>
        <v/>
      </c>
      <c r="BO518" s="268" t="str">
        <f t="shared" si="600"/>
        <v/>
      </c>
      <c r="BP518" s="268" t="str">
        <f t="shared" si="600"/>
        <v/>
      </c>
      <c r="BQ518" s="268" t="str">
        <f t="shared" si="600"/>
        <v/>
      </c>
      <c r="BR518" s="268" t="str">
        <f t="shared" si="600"/>
        <v/>
      </c>
      <c r="BS518" s="268" t="str">
        <f t="shared" si="600"/>
        <v/>
      </c>
      <c r="BT518" s="268" t="str">
        <f t="shared" si="600"/>
        <v/>
      </c>
      <c r="BU518" s="268" t="str">
        <f t="shared" si="597"/>
        <v/>
      </c>
      <c r="BV518" s="247">
        <v>3.09</v>
      </c>
      <c r="BW518" s="729">
        <f t="shared" si="590"/>
        <v>15450</v>
      </c>
      <c r="BX518" s="730">
        <f t="shared" si="591"/>
        <v>119737.5</v>
      </c>
      <c r="BY518" s="731" t="str">
        <f t="shared" si="592"/>
        <v>SR</v>
      </c>
    </row>
    <row r="519" s="698" customFormat="1" customHeight="1" spans="1:77">
      <c r="A519" s="208">
        <v>46121</v>
      </c>
      <c r="B519" s="208">
        <v>46157</v>
      </c>
      <c r="C519" s="211" t="s">
        <v>699</v>
      </c>
      <c r="D519" s="211" t="s">
        <v>700</v>
      </c>
      <c r="E519" s="211" t="s">
        <v>82</v>
      </c>
      <c r="F519" s="732">
        <v>9000</v>
      </c>
      <c r="G519" s="211" t="s">
        <v>334</v>
      </c>
      <c r="H519" s="211" t="str">
        <f>IFERROR(VLOOKUP(E519,名称!A:E,4,0),"")</f>
        <v>二代</v>
      </c>
      <c r="I519" s="268" t="str">
        <f t="shared" ref="I519:BT519" si="601">IF(OR($E519="",I$1=""),"",IF(TRIM(LEFT($E519,MIN(IFERROR(FIND("CDU",UPPER($E519)),999),IFERROR(FIND("BULK",UPPER($E519)),999),IFERROR(FIND("-",$E519),999),IFERROR(FIND("（",$E519),999))-1))=I$1,$F519,""))</f>
        <v/>
      </c>
      <c r="J519" s="268" t="str">
        <f t="shared" si="601"/>
        <v/>
      </c>
      <c r="K519" s="268" t="str">
        <f t="shared" si="601"/>
        <v/>
      </c>
      <c r="L519" s="268" t="str">
        <f t="shared" si="601"/>
        <v/>
      </c>
      <c r="M519" s="268" t="str">
        <f t="shared" si="601"/>
        <v/>
      </c>
      <c r="N519" s="268" t="str">
        <f t="shared" si="601"/>
        <v/>
      </c>
      <c r="O519" s="268" t="str">
        <f t="shared" si="601"/>
        <v/>
      </c>
      <c r="P519" s="268" t="str">
        <f t="shared" si="601"/>
        <v/>
      </c>
      <c r="Q519" s="268" t="str">
        <f t="shared" si="601"/>
        <v/>
      </c>
      <c r="R519" s="268" t="str">
        <f t="shared" si="601"/>
        <v/>
      </c>
      <c r="S519" s="268" t="str">
        <f t="shared" si="601"/>
        <v/>
      </c>
      <c r="T519" s="268" t="str">
        <f t="shared" si="601"/>
        <v/>
      </c>
      <c r="U519" s="268" t="str">
        <f t="shared" si="601"/>
        <v/>
      </c>
      <c r="V519" s="268" t="str">
        <f t="shared" si="601"/>
        <v/>
      </c>
      <c r="W519" s="268" t="str">
        <f t="shared" si="601"/>
        <v/>
      </c>
      <c r="X519" s="268" t="str">
        <f t="shared" si="601"/>
        <v/>
      </c>
      <c r="Y519" s="268" t="str">
        <f t="shared" si="601"/>
        <v/>
      </c>
      <c r="Z519" s="268">
        <f t="shared" si="601"/>
        <v>9000</v>
      </c>
      <c r="AA519" s="268" t="str">
        <f t="shared" si="601"/>
        <v/>
      </c>
      <c r="AB519" s="268" t="str">
        <f t="shared" si="601"/>
        <v/>
      </c>
      <c r="AC519" s="268" t="str">
        <f t="shared" si="601"/>
        <v/>
      </c>
      <c r="AD519" s="268" t="str">
        <f t="shared" si="601"/>
        <v/>
      </c>
      <c r="AE519" s="268" t="str">
        <f t="shared" si="601"/>
        <v/>
      </c>
      <c r="AF519" s="268" t="str">
        <f t="shared" si="601"/>
        <v/>
      </c>
      <c r="AG519" s="268" t="str">
        <f t="shared" si="601"/>
        <v/>
      </c>
      <c r="AH519" s="268" t="str">
        <f t="shared" si="601"/>
        <v/>
      </c>
      <c r="AI519" s="268" t="str">
        <f t="shared" si="601"/>
        <v/>
      </c>
      <c r="AJ519" s="268" t="str">
        <f t="shared" si="601"/>
        <v/>
      </c>
      <c r="AK519" s="268" t="str">
        <f t="shared" si="601"/>
        <v/>
      </c>
      <c r="AL519" s="268" t="str">
        <f t="shared" si="601"/>
        <v/>
      </c>
      <c r="AM519" s="268" t="str">
        <f t="shared" si="601"/>
        <v/>
      </c>
      <c r="AN519" s="268" t="str">
        <f t="shared" si="601"/>
        <v/>
      </c>
      <c r="AO519" s="268" t="str">
        <f t="shared" si="601"/>
        <v/>
      </c>
      <c r="AP519" s="268" t="str">
        <f t="shared" si="601"/>
        <v/>
      </c>
      <c r="AQ519" s="268" t="str">
        <f t="shared" si="601"/>
        <v/>
      </c>
      <c r="AR519" s="268" t="str">
        <f t="shared" si="601"/>
        <v/>
      </c>
      <c r="AS519" s="268" t="str">
        <f t="shared" si="601"/>
        <v/>
      </c>
      <c r="AT519" s="268" t="str">
        <f t="shared" si="601"/>
        <v/>
      </c>
      <c r="AU519" s="268" t="str">
        <f t="shared" si="601"/>
        <v/>
      </c>
      <c r="AV519" s="268" t="str">
        <f t="shared" si="601"/>
        <v/>
      </c>
      <c r="AW519" s="268" t="str">
        <f t="shared" si="601"/>
        <v/>
      </c>
      <c r="AX519" s="268" t="str">
        <f t="shared" si="601"/>
        <v/>
      </c>
      <c r="AY519" s="268" t="str">
        <f t="shared" si="601"/>
        <v/>
      </c>
      <c r="AZ519" s="268" t="str">
        <f t="shared" si="601"/>
        <v/>
      </c>
      <c r="BA519" s="268" t="str">
        <f t="shared" si="601"/>
        <v/>
      </c>
      <c r="BB519" s="268" t="str">
        <f t="shared" si="601"/>
        <v/>
      </c>
      <c r="BC519" s="268" t="str">
        <f t="shared" si="601"/>
        <v/>
      </c>
      <c r="BD519" s="268" t="str">
        <f t="shared" si="601"/>
        <v/>
      </c>
      <c r="BE519" s="268" t="str">
        <f t="shared" si="601"/>
        <v/>
      </c>
      <c r="BF519" s="268" t="str">
        <f t="shared" si="601"/>
        <v/>
      </c>
      <c r="BG519" s="268" t="str">
        <f t="shared" si="601"/>
        <v/>
      </c>
      <c r="BH519" s="268" t="str">
        <f t="shared" si="601"/>
        <v/>
      </c>
      <c r="BI519" s="268" t="str">
        <f t="shared" si="601"/>
        <v/>
      </c>
      <c r="BJ519" s="268" t="str">
        <f t="shared" si="601"/>
        <v/>
      </c>
      <c r="BK519" s="268" t="str">
        <f t="shared" si="601"/>
        <v/>
      </c>
      <c r="BL519" s="268" t="str">
        <f t="shared" si="601"/>
        <v/>
      </c>
      <c r="BM519" s="268" t="str">
        <f t="shared" si="601"/>
        <v/>
      </c>
      <c r="BN519" s="268" t="str">
        <f t="shared" si="601"/>
        <v/>
      </c>
      <c r="BO519" s="268" t="str">
        <f t="shared" si="601"/>
        <v/>
      </c>
      <c r="BP519" s="268" t="str">
        <f t="shared" si="601"/>
        <v/>
      </c>
      <c r="BQ519" s="268" t="str">
        <f t="shared" si="601"/>
        <v/>
      </c>
      <c r="BR519" s="268" t="str">
        <f t="shared" si="601"/>
        <v/>
      </c>
      <c r="BS519" s="268" t="str">
        <f t="shared" si="601"/>
        <v/>
      </c>
      <c r="BT519" s="268" t="str">
        <f t="shared" si="601"/>
        <v/>
      </c>
      <c r="BU519" s="268" t="str">
        <f t="shared" si="597"/>
        <v/>
      </c>
      <c r="BV519" s="247">
        <v>1.49</v>
      </c>
      <c r="BW519" s="729">
        <f t="shared" ref="BW519:BW530" si="602">SUM(I519:BU519)*BV519</f>
        <v>13410</v>
      </c>
      <c r="BX519" s="730">
        <f t="shared" ref="BX519:BX530" si="603">BW519*7.75</f>
        <v>103927.5</v>
      </c>
      <c r="BY519" s="731" t="str">
        <f t="shared" ref="BY519:BY530" si="604">MID(E519,1,2)</f>
        <v>SR</v>
      </c>
    </row>
    <row r="520" s="698" customFormat="1" customHeight="1" spans="1:77">
      <c r="A520" s="208">
        <v>46121</v>
      </c>
      <c r="B520" s="208">
        <v>46157</v>
      </c>
      <c r="C520" s="211" t="s">
        <v>699</v>
      </c>
      <c r="D520" s="211" t="s">
        <v>700</v>
      </c>
      <c r="E520" s="211" t="s">
        <v>84</v>
      </c>
      <c r="F520" s="732">
        <v>18000</v>
      </c>
      <c r="G520" s="211" t="s">
        <v>334</v>
      </c>
      <c r="H520" s="211" t="str">
        <f>IFERROR(VLOOKUP(E520,名称!A:E,4,0),"")</f>
        <v>三代</v>
      </c>
      <c r="I520" s="268" t="str">
        <f t="shared" ref="I520:BT520" si="605">IF(OR($E520="",I$1=""),"",IF(TRIM(LEFT($E520,MIN(IFERROR(FIND("CDU",UPPER($E520)),999),IFERROR(FIND("BULK",UPPER($E520)),999),IFERROR(FIND("-",$E520),999),IFERROR(FIND("（",$E520),999))-1))=I$1,$F520,""))</f>
        <v/>
      </c>
      <c r="J520" s="268" t="str">
        <f t="shared" si="605"/>
        <v/>
      </c>
      <c r="K520" s="268" t="str">
        <f t="shared" si="605"/>
        <v/>
      </c>
      <c r="L520" s="268" t="str">
        <f t="shared" si="605"/>
        <v/>
      </c>
      <c r="M520" s="268" t="str">
        <f t="shared" si="605"/>
        <v/>
      </c>
      <c r="N520" s="268" t="str">
        <f t="shared" si="605"/>
        <v/>
      </c>
      <c r="O520" s="268" t="str">
        <f t="shared" si="605"/>
        <v/>
      </c>
      <c r="P520" s="268" t="str">
        <f t="shared" si="605"/>
        <v/>
      </c>
      <c r="Q520" s="268" t="str">
        <f t="shared" si="605"/>
        <v/>
      </c>
      <c r="R520" s="268" t="str">
        <f t="shared" si="605"/>
        <v/>
      </c>
      <c r="S520" s="268" t="str">
        <f t="shared" si="605"/>
        <v/>
      </c>
      <c r="T520" s="268" t="str">
        <f t="shared" si="605"/>
        <v/>
      </c>
      <c r="U520" s="268" t="str">
        <f t="shared" si="605"/>
        <v/>
      </c>
      <c r="V520" s="268" t="str">
        <f t="shared" si="605"/>
        <v/>
      </c>
      <c r="W520" s="268" t="str">
        <f t="shared" si="605"/>
        <v/>
      </c>
      <c r="X520" s="268" t="str">
        <f t="shared" si="605"/>
        <v/>
      </c>
      <c r="Y520" s="268" t="str">
        <f t="shared" si="605"/>
        <v/>
      </c>
      <c r="Z520" s="268" t="str">
        <f t="shared" si="605"/>
        <v/>
      </c>
      <c r="AA520" s="268" t="str">
        <f t="shared" si="605"/>
        <v/>
      </c>
      <c r="AB520" s="268" t="str">
        <f t="shared" si="605"/>
        <v/>
      </c>
      <c r="AC520" s="268" t="str">
        <f t="shared" si="605"/>
        <v/>
      </c>
      <c r="AD520" s="268" t="str">
        <f t="shared" si="605"/>
        <v/>
      </c>
      <c r="AE520" s="268" t="str">
        <f t="shared" si="605"/>
        <v/>
      </c>
      <c r="AF520" s="268" t="str">
        <f t="shared" si="605"/>
        <v/>
      </c>
      <c r="AG520" s="268" t="str">
        <f t="shared" si="605"/>
        <v/>
      </c>
      <c r="AH520" s="268" t="str">
        <f t="shared" si="605"/>
        <v/>
      </c>
      <c r="AI520" s="268" t="str">
        <f t="shared" si="605"/>
        <v/>
      </c>
      <c r="AJ520" s="268" t="str">
        <f t="shared" si="605"/>
        <v/>
      </c>
      <c r="AK520" s="268" t="str">
        <f t="shared" si="605"/>
        <v/>
      </c>
      <c r="AL520" s="268" t="str">
        <f t="shared" si="605"/>
        <v/>
      </c>
      <c r="AM520" s="268" t="str">
        <f t="shared" si="605"/>
        <v/>
      </c>
      <c r="AN520" s="268">
        <f t="shared" si="605"/>
        <v>18000</v>
      </c>
      <c r="AO520" s="268" t="str">
        <f t="shared" si="605"/>
        <v/>
      </c>
      <c r="AP520" s="268" t="str">
        <f t="shared" si="605"/>
        <v/>
      </c>
      <c r="AQ520" s="268" t="str">
        <f t="shared" si="605"/>
        <v/>
      </c>
      <c r="AR520" s="268" t="str">
        <f t="shared" si="605"/>
        <v/>
      </c>
      <c r="AS520" s="268" t="str">
        <f t="shared" si="605"/>
        <v/>
      </c>
      <c r="AT520" s="268" t="str">
        <f t="shared" si="605"/>
        <v/>
      </c>
      <c r="AU520" s="268" t="str">
        <f t="shared" si="605"/>
        <v/>
      </c>
      <c r="AV520" s="268" t="str">
        <f t="shared" si="605"/>
        <v/>
      </c>
      <c r="AW520" s="268" t="str">
        <f t="shared" si="605"/>
        <v/>
      </c>
      <c r="AX520" s="268" t="str">
        <f t="shared" si="605"/>
        <v/>
      </c>
      <c r="AY520" s="268" t="str">
        <f t="shared" si="605"/>
        <v/>
      </c>
      <c r="AZ520" s="268" t="str">
        <f t="shared" si="605"/>
        <v/>
      </c>
      <c r="BA520" s="268" t="str">
        <f t="shared" si="605"/>
        <v/>
      </c>
      <c r="BB520" s="268" t="str">
        <f t="shared" si="605"/>
        <v/>
      </c>
      <c r="BC520" s="268" t="str">
        <f t="shared" si="605"/>
        <v/>
      </c>
      <c r="BD520" s="268" t="str">
        <f t="shared" si="605"/>
        <v/>
      </c>
      <c r="BE520" s="268" t="str">
        <f t="shared" si="605"/>
        <v/>
      </c>
      <c r="BF520" s="268" t="str">
        <f t="shared" si="605"/>
        <v/>
      </c>
      <c r="BG520" s="268" t="str">
        <f t="shared" si="605"/>
        <v/>
      </c>
      <c r="BH520" s="268" t="str">
        <f t="shared" si="605"/>
        <v/>
      </c>
      <c r="BI520" s="268" t="str">
        <f t="shared" si="605"/>
        <v/>
      </c>
      <c r="BJ520" s="268" t="str">
        <f t="shared" si="605"/>
        <v/>
      </c>
      <c r="BK520" s="268" t="str">
        <f t="shared" si="605"/>
        <v/>
      </c>
      <c r="BL520" s="268" t="str">
        <f t="shared" si="605"/>
        <v/>
      </c>
      <c r="BM520" s="268" t="str">
        <f t="shared" si="605"/>
        <v/>
      </c>
      <c r="BN520" s="268" t="str">
        <f t="shared" si="605"/>
        <v/>
      </c>
      <c r="BO520" s="268" t="str">
        <f t="shared" si="605"/>
        <v/>
      </c>
      <c r="BP520" s="268" t="str">
        <f t="shared" si="605"/>
        <v/>
      </c>
      <c r="BQ520" s="268" t="str">
        <f t="shared" si="605"/>
        <v/>
      </c>
      <c r="BR520" s="268" t="str">
        <f t="shared" si="605"/>
        <v/>
      </c>
      <c r="BS520" s="268" t="str">
        <f t="shared" si="605"/>
        <v/>
      </c>
      <c r="BT520" s="268" t="str">
        <f t="shared" si="605"/>
        <v/>
      </c>
      <c r="BU520" s="268" t="str">
        <f t="shared" si="597"/>
        <v/>
      </c>
      <c r="BV520" s="247">
        <v>0.88</v>
      </c>
      <c r="BW520" s="729">
        <f t="shared" si="602"/>
        <v>15840</v>
      </c>
      <c r="BX520" s="730">
        <f t="shared" si="603"/>
        <v>122760</v>
      </c>
      <c r="BY520" s="731" t="str">
        <f t="shared" si="604"/>
        <v>SR</v>
      </c>
    </row>
    <row r="521" s="698" customFormat="1" customHeight="1" spans="1:77">
      <c r="A521" s="208">
        <v>46121</v>
      </c>
      <c r="B521" s="208">
        <v>46157</v>
      </c>
      <c r="C521" s="211" t="s">
        <v>699</v>
      </c>
      <c r="D521" s="211" t="s">
        <v>700</v>
      </c>
      <c r="E521" s="211" t="s">
        <v>119</v>
      </c>
      <c r="F521" s="732">
        <v>12000</v>
      </c>
      <c r="G521" s="211" t="s">
        <v>334</v>
      </c>
      <c r="H521" s="211" t="str">
        <f>IFERROR(VLOOKUP(E521,名称!A:E,4,0),"")</f>
        <v>三代</v>
      </c>
      <c r="I521" s="268" t="str">
        <f t="shared" ref="I521:BT521" si="606">IF(OR($E521="",I$1=""),"",IF(TRIM(LEFT($E521,MIN(IFERROR(FIND("CDU",UPPER($E521)),999),IFERROR(FIND("BULK",UPPER($E521)),999),IFERROR(FIND("-",$E521),999),IFERROR(FIND("（",$E521),999))-1))=I$1,$F521,""))</f>
        <v/>
      </c>
      <c r="J521" s="268" t="str">
        <f t="shared" si="606"/>
        <v/>
      </c>
      <c r="K521" s="268" t="str">
        <f t="shared" si="606"/>
        <v/>
      </c>
      <c r="L521" s="268" t="str">
        <f t="shared" si="606"/>
        <v/>
      </c>
      <c r="M521" s="268" t="str">
        <f t="shared" si="606"/>
        <v/>
      </c>
      <c r="N521" s="268" t="str">
        <f t="shared" si="606"/>
        <v/>
      </c>
      <c r="O521" s="268" t="str">
        <f t="shared" si="606"/>
        <v/>
      </c>
      <c r="P521" s="268" t="str">
        <f t="shared" si="606"/>
        <v/>
      </c>
      <c r="Q521" s="268" t="str">
        <f t="shared" si="606"/>
        <v/>
      </c>
      <c r="R521" s="268" t="str">
        <f t="shared" si="606"/>
        <v/>
      </c>
      <c r="S521" s="268" t="str">
        <f t="shared" si="606"/>
        <v/>
      </c>
      <c r="T521" s="268" t="str">
        <f t="shared" si="606"/>
        <v/>
      </c>
      <c r="U521" s="268" t="str">
        <f t="shared" si="606"/>
        <v/>
      </c>
      <c r="V521" s="268" t="str">
        <f t="shared" si="606"/>
        <v/>
      </c>
      <c r="W521" s="268" t="str">
        <f t="shared" si="606"/>
        <v/>
      </c>
      <c r="X521" s="268" t="str">
        <f t="shared" si="606"/>
        <v/>
      </c>
      <c r="Y521" s="268" t="str">
        <f t="shared" si="606"/>
        <v/>
      </c>
      <c r="Z521" s="268" t="str">
        <f t="shared" si="606"/>
        <v/>
      </c>
      <c r="AA521" s="268" t="str">
        <f t="shared" si="606"/>
        <v/>
      </c>
      <c r="AB521" s="268" t="str">
        <f t="shared" si="606"/>
        <v/>
      </c>
      <c r="AC521" s="268" t="str">
        <f t="shared" si="606"/>
        <v/>
      </c>
      <c r="AD521" s="268" t="str">
        <f t="shared" si="606"/>
        <v/>
      </c>
      <c r="AE521" s="268" t="str">
        <f t="shared" si="606"/>
        <v/>
      </c>
      <c r="AF521" s="268" t="str">
        <f t="shared" si="606"/>
        <v/>
      </c>
      <c r="AG521" s="268" t="str">
        <f t="shared" si="606"/>
        <v/>
      </c>
      <c r="AH521" s="268" t="str">
        <f t="shared" si="606"/>
        <v/>
      </c>
      <c r="AI521" s="268" t="str">
        <f t="shared" si="606"/>
        <v/>
      </c>
      <c r="AJ521" s="268" t="str">
        <f t="shared" si="606"/>
        <v/>
      </c>
      <c r="AK521" s="268" t="str">
        <f t="shared" si="606"/>
        <v/>
      </c>
      <c r="AL521" s="268" t="str">
        <f t="shared" si="606"/>
        <v/>
      </c>
      <c r="AM521" s="268" t="str">
        <f t="shared" si="606"/>
        <v/>
      </c>
      <c r="AN521" s="268" t="str">
        <f t="shared" si="606"/>
        <v/>
      </c>
      <c r="AO521" s="268" t="str">
        <f t="shared" si="606"/>
        <v/>
      </c>
      <c r="AP521" s="268">
        <f t="shared" si="606"/>
        <v>12000</v>
      </c>
      <c r="AQ521" s="268" t="str">
        <f t="shared" si="606"/>
        <v/>
      </c>
      <c r="AR521" s="268" t="str">
        <f t="shared" si="606"/>
        <v/>
      </c>
      <c r="AS521" s="268" t="str">
        <f t="shared" si="606"/>
        <v/>
      </c>
      <c r="AT521" s="268" t="str">
        <f t="shared" si="606"/>
        <v/>
      </c>
      <c r="AU521" s="268" t="str">
        <f t="shared" si="606"/>
        <v/>
      </c>
      <c r="AV521" s="268" t="str">
        <f t="shared" si="606"/>
        <v/>
      </c>
      <c r="AW521" s="268" t="str">
        <f t="shared" si="606"/>
        <v/>
      </c>
      <c r="AX521" s="268" t="str">
        <f t="shared" si="606"/>
        <v/>
      </c>
      <c r="AY521" s="268" t="str">
        <f t="shared" si="606"/>
        <v/>
      </c>
      <c r="AZ521" s="268" t="str">
        <f t="shared" si="606"/>
        <v/>
      </c>
      <c r="BA521" s="268" t="str">
        <f t="shared" si="606"/>
        <v/>
      </c>
      <c r="BB521" s="268" t="str">
        <f t="shared" si="606"/>
        <v/>
      </c>
      <c r="BC521" s="268" t="str">
        <f t="shared" si="606"/>
        <v/>
      </c>
      <c r="BD521" s="268" t="str">
        <f t="shared" si="606"/>
        <v/>
      </c>
      <c r="BE521" s="268" t="str">
        <f t="shared" si="606"/>
        <v/>
      </c>
      <c r="BF521" s="268" t="str">
        <f t="shared" si="606"/>
        <v/>
      </c>
      <c r="BG521" s="268" t="str">
        <f t="shared" si="606"/>
        <v/>
      </c>
      <c r="BH521" s="268" t="str">
        <f t="shared" si="606"/>
        <v/>
      </c>
      <c r="BI521" s="268" t="str">
        <f t="shared" si="606"/>
        <v/>
      </c>
      <c r="BJ521" s="268" t="str">
        <f t="shared" si="606"/>
        <v/>
      </c>
      <c r="BK521" s="268" t="str">
        <f t="shared" si="606"/>
        <v/>
      </c>
      <c r="BL521" s="268" t="str">
        <f t="shared" si="606"/>
        <v/>
      </c>
      <c r="BM521" s="268" t="str">
        <f t="shared" si="606"/>
        <v/>
      </c>
      <c r="BN521" s="268" t="str">
        <f t="shared" si="606"/>
        <v/>
      </c>
      <c r="BO521" s="268" t="str">
        <f t="shared" si="606"/>
        <v/>
      </c>
      <c r="BP521" s="268" t="str">
        <f t="shared" si="606"/>
        <v/>
      </c>
      <c r="BQ521" s="268" t="str">
        <f t="shared" si="606"/>
        <v/>
      </c>
      <c r="BR521" s="268" t="str">
        <f t="shared" si="606"/>
        <v/>
      </c>
      <c r="BS521" s="268" t="str">
        <f t="shared" si="606"/>
        <v/>
      </c>
      <c r="BT521" s="268" t="str">
        <f t="shared" si="606"/>
        <v/>
      </c>
      <c r="BU521" s="268" t="str">
        <f t="shared" si="597"/>
        <v/>
      </c>
      <c r="BV521" s="215">
        <v>0.62</v>
      </c>
      <c r="BW521" s="729">
        <f t="shared" si="602"/>
        <v>7440</v>
      </c>
      <c r="BX521" s="730">
        <f t="shared" si="603"/>
        <v>57660</v>
      </c>
      <c r="BY521" s="731" t="str">
        <f t="shared" si="604"/>
        <v>SR</v>
      </c>
    </row>
    <row r="522" s="698" customFormat="1" customHeight="1" spans="1:77">
      <c r="A522" s="208">
        <v>46121</v>
      </c>
      <c r="B522" s="208">
        <v>46157</v>
      </c>
      <c r="C522" s="211" t="s">
        <v>699</v>
      </c>
      <c r="D522" s="211" t="s">
        <v>700</v>
      </c>
      <c r="E522" s="211" t="s">
        <v>104</v>
      </c>
      <c r="F522" s="732">
        <v>8004</v>
      </c>
      <c r="G522" s="211" t="s">
        <v>334</v>
      </c>
      <c r="H522" s="211" t="str">
        <f>IFERROR(VLOOKUP(E522,名称!A:E,4,0),"")</f>
        <v>三代</v>
      </c>
      <c r="I522" s="268" t="str">
        <f t="shared" ref="I522:BT522" si="607">IF(OR($E522="",I$1=""),"",IF(TRIM(LEFT($E522,MIN(IFERROR(FIND("CDU",UPPER($E522)),999),IFERROR(FIND("BULK",UPPER($E522)),999),IFERROR(FIND("-",$E522),999),IFERROR(FIND("（",$E522),999))-1))=I$1,$F522,""))</f>
        <v/>
      </c>
      <c r="J522" s="268" t="str">
        <f t="shared" si="607"/>
        <v/>
      </c>
      <c r="K522" s="268" t="str">
        <f t="shared" si="607"/>
        <v/>
      </c>
      <c r="L522" s="268" t="str">
        <f t="shared" si="607"/>
        <v/>
      </c>
      <c r="M522" s="268" t="str">
        <f t="shared" si="607"/>
        <v/>
      </c>
      <c r="N522" s="268" t="str">
        <f t="shared" si="607"/>
        <v/>
      </c>
      <c r="O522" s="268" t="str">
        <f t="shared" si="607"/>
        <v/>
      </c>
      <c r="P522" s="268" t="str">
        <f t="shared" si="607"/>
        <v/>
      </c>
      <c r="Q522" s="268" t="str">
        <f t="shared" si="607"/>
        <v/>
      </c>
      <c r="R522" s="268" t="str">
        <f t="shared" si="607"/>
        <v/>
      </c>
      <c r="S522" s="268" t="str">
        <f t="shared" si="607"/>
        <v/>
      </c>
      <c r="T522" s="268" t="str">
        <f t="shared" si="607"/>
        <v/>
      </c>
      <c r="U522" s="268" t="str">
        <f t="shared" si="607"/>
        <v/>
      </c>
      <c r="V522" s="268" t="str">
        <f t="shared" si="607"/>
        <v/>
      </c>
      <c r="W522" s="268" t="str">
        <f t="shared" si="607"/>
        <v/>
      </c>
      <c r="X522" s="268" t="str">
        <f t="shared" si="607"/>
        <v/>
      </c>
      <c r="Y522" s="268" t="str">
        <f t="shared" si="607"/>
        <v/>
      </c>
      <c r="Z522" s="268" t="str">
        <f t="shared" si="607"/>
        <v/>
      </c>
      <c r="AA522" s="268" t="str">
        <f t="shared" si="607"/>
        <v/>
      </c>
      <c r="AB522" s="268" t="str">
        <f t="shared" si="607"/>
        <v/>
      </c>
      <c r="AC522" s="268" t="str">
        <f t="shared" si="607"/>
        <v/>
      </c>
      <c r="AD522" s="268" t="str">
        <f t="shared" si="607"/>
        <v/>
      </c>
      <c r="AE522" s="268" t="str">
        <f t="shared" si="607"/>
        <v/>
      </c>
      <c r="AF522" s="268" t="str">
        <f t="shared" si="607"/>
        <v/>
      </c>
      <c r="AG522" s="268" t="str">
        <f t="shared" si="607"/>
        <v/>
      </c>
      <c r="AH522" s="268" t="str">
        <f t="shared" si="607"/>
        <v/>
      </c>
      <c r="AI522" s="268" t="str">
        <f t="shared" si="607"/>
        <v/>
      </c>
      <c r="AJ522" s="268" t="str">
        <f t="shared" si="607"/>
        <v/>
      </c>
      <c r="AK522" s="268" t="str">
        <f t="shared" si="607"/>
        <v/>
      </c>
      <c r="AL522" s="268" t="str">
        <f t="shared" si="607"/>
        <v/>
      </c>
      <c r="AM522" s="268" t="str">
        <f t="shared" si="607"/>
        <v/>
      </c>
      <c r="AN522" s="268" t="str">
        <f t="shared" si="607"/>
        <v/>
      </c>
      <c r="AO522" s="268" t="str">
        <f t="shared" si="607"/>
        <v/>
      </c>
      <c r="AP522" s="268" t="str">
        <f t="shared" si="607"/>
        <v/>
      </c>
      <c r="AQ522" s="268" t="str">
        <f t="shared" si="607"/>
        <v/>
      </c>
      <c r="AR522" s="268">
        <f t="shared" si="607"/>
        <v>8004</v>
      </c>
      <c r="AS522" s="268" t="str">
        <f t="shared" si="607"/>
        <v/>
      </c>
      <c r="AT522" s="268" t="str">
        <f t="shared" si="607"/>
        <v/>
      </c>
      <c r="AU522" s="268" t="str">
        <f t="shared" si="607"/>
        <v/>
      </c>
      <c r="AV522" s="268" t="str">
        <f t="shared" si="607"/>
        <v/>
      </c>
      <c r="AW522" s="268" t="str">
        <f t="shared" si="607"/>
        <v/>
      </c>
      <c r="AX522" s="268" t="str">
        <f t="shared" si="607"/>
        <v/>
      </c>
      <c r="AY522" s="268" t="str">
        <f t="shared" si="607"/>
        <v/>
      </c>
      <c r="AZ522" s="268" t="str">
        <f t="shared" si="607"/>
        <v/>
      </c>
      <c r="BA522" s="268" t="str">
        <f t="shared" si="607"/>
        <v/>
      </c>
      <c r="BB522" s="268" t="str">
        <f t="shared" si="607"/>
        <v/>
      </c>
      <c r="BC522" s="268" t="str">
        <f t="shared" si="607"/>
        <v/>
      </c>
      <c r="BD522" s="268" t="str">
        <f t="shared" si="607"/>
        <v/>
      </c>
      <c r="BE522" s="268" t="str">
        <f t="shared" si="607"/>
        <v/>
      </c>
      <c r="BF522" s="268" t="str">
        <f t="shared" si="607"/>
        <v/>
      </c>
      <c r="BG522" s="268" t="str">
        <f t="shared" si="607"/>
        <v/>
      </c>
      <c r="BH522" s="268" t="str">
        <f t="shared" si="607"/>
        <v/>
      </c>
      <c r="BI522" s="268" t="str">
        <f t="shared" si="607"/>
        <v/>
      </c>
      <c r="BJ522" s="268" t="str">
        <f t="shared" si="607"/>
        <v/>
      </c>
      <c r="BK522" s="268" t="str">
        <f t="shared" si="607"/>
        <v/>
      </c>
      <c r="BL522" s="268" t="str">
        <f t="shared" si="607"/>
        <v/>
      </c>
      <c r="BM522" s="268" t="str">
        <f t="shared" si="607"/>
        <v/>
      </c>
      <c r="BN522" s="268" t="str">
        <f t="shared" si="607"/>
        <v/>
      </c>
      <c r="BO522" s="268" t="str">
        <f t="shared" si="607"/>
        <v/>
      </c>
      <c r="BP522" s="268" t="str">
        <f t="shared" si="607"/>
        <v/>
      </c>
      <c r="BQ522" s="268" t="str">
        <f t="shared" si="607"/>
        <v/>
      </c>
      <c r="BR522" s="268" t="str">
        <f t="shared" si="607"/>
        <v/>
      </c>
      <c r="BS522" s="268" t="str">
        <f t="shared" si="607"/>
        <v/>
      </c>
      <c r="BT522" s="268" t="str">
        <f t="shared" si="607"/>
        <v/>
      </c>
      <c r="BU522" s="268" t="str">
        <f t="shared" si="597"/>
        <v/>
      </c>
      <c r="BV522" s="247">
        <v>1.56</v>
      </c>
      <c r="BW522" s="729">
        <f t="shared" si="602"/>
        <v>12486.24</v>
      </c>
      <c r="BX522" s="730">
        <f t="shared" si="603"/>
        <v>96768.36</v>
      </c>
      <c r="BY522" s="731" t="str">
        <f t="shared" si="604"/>
        <v>SR</v>
      </c>
    </row>
    <row r="523" s="698" customFormat="1" customHeight="1" spans="1:77">
      <c r="A523" s="208">
        <v>46121</v>
      </c>
      <c r="B523" s="208">
        <v>46157</v>
      </c>
      <c r="C523" s="211" t="s">
        <v>699</v>
      </c>
      <c r="D523" s="211" t="s">
        <v>700</v>
      </c>
      <c r="E523" s="211" t="s">
        <v>115</v>
      </c>
      <c r="F523" s="732">
        <v>6003</v>
      </c>
      <c r="G523" s="211" t="s">
        <v>334</v>
      </c>
      <c r="H523" s="211" t="str">
        <f>IFERROR(VLOOKUP(E523,名称!A:E,4,0),"")</f>
        <v>三代</v>
      </c>
      <c r="I523" s="268" t="str">
        <f t="shared" ref="I523:BT523" si="608">IF(OR($E523="",I$1=""),"",IF(TRIM(LEFT($E523,MIN(IFERROR(FIND("CDU",UPPER($E523)),999),IFERROR(FIND("BULK",UPPER($E523)),999),IFERROR(FIND("-",$E523),999),IFERROR(FIND("（",$E523),999))-1))=I$1,$F523,""))</f>
        <v/>
      </c>
      <c r="J523" s="268" t="str">
        <f t="shared" si="608"/>
        <v/>
      </c>
      <c r="K523" s="268" t="str">
        <f t="shared" si="608"/>
        <v/>
      </c>
      <c r="L523" s="268" t="str">
        <f t="shared" si="608"/>
        <v/>
      </c>
      <c r="M523" s="268" t="str">
        <f t="shared" si="608"/>
        <v/>
      </c>
      <c r="N523" s="268" t="str">
        <f t="shared" si="608"/>
        <v/>
      </c>
      <c r="O523" s="268" t="str">
        <f t="shared" si="608"/>
        <v/>
      </c>
      <c r="P523" s="268" t="str">
        <f t="shared" si="608"/>
        <v/>
      </c>
      <c r="Q523" s="268" t="str">
        <f t="shared" si="608"/>
        <v/>
      </c>
      <c r="R523" s="268" t="str">
        <f t="shared" si="608"/>
        <v/>
      </c>
      <c r="S523" s="268" t="str">
        <f t="shared" si="608"/>
        <v/>
      </c>
      <c r="T523" s="268" t="str">
        <f t="shared" si="608"/>
        <v/>
      </c>
      <c r="U523" s="268" t="str">
        <f t="shared" si="608"/>
        <v/>
      </c>
      <c r="V523" s="268" t="str">
        <f t="shared" si="608"/>
        <v/>
      </c>
      <c r="W523" s="268" t="str">
        <f t="shared" si="608"/>
        <v/>
      </c>
      <c r="X523" s="268" t="str">
        <f t="shared" si="608"/>
        <v/>
      </c>
      <c r="Y523" s="268" t="str">
        <f t="shared" si="608"/>
        <v/>
      </c>
      <c r="Z523" s="268" t="str">
        <f t="shared" si="608"/>
        <v/>
      </c>
      <c r="AA523" s="268" t="str">
        <f t="shared" si="608"/>
        <v/>
      </c>
      <c r="AB523" s="268" t="str">
        <f t="shared" si="608"/>
        <v/>
      </c>
      <c r="AC523" s="268" t="str">
        <f t="shared" si="608"/>
        <v/>
      </c>
      <c r="AD523" s="268" t="str">
        <f t="shared" si="608"/>
        <v/>
      </c>
      <c r="AE523" s="268" t="str">
        <f t="shared" si="608"/>
        <v/>
      </c>
      <c r="AF523" s="268" t="str">
        <f t="shared" si="608"/>
        <v/>
      </c>
      <c r="AG523" s="268" t="str">
        <f t="shared" si="608"/>
        <v/>
      </c>
      <c r="AH523" s="268" t="str">
        <f t="shared" si="608"/>
        <v/>
      </c>
      <c r="AI523" s="268" t="str">
        <f t="shared" si="608"/>
        <v/>
      </c>
      <c r="AJ523" s="268" t="str">
        <f t="shared" si="608"/>
        <v/>
      </c>
      <c r="AK523" s="268" t="str">
        <f t="shared" si="608"/>
        <v/>
      </c>
      <c r="AL523" s="268" t="str">
        <f t="shared" si="608"/>
        <v/>
      </c>
      <c r="AM523" s="268" t="str">
        <f t="shared" si="608"/>
        <v/>
      </c>
      <c r="AN523" s="268" t="str">
        <f t="shared" si="608"/>
        <v/>
      </c>
      <c r="AO523" s="268" t="str">
        <f t="shared" si="608"/>
        <v/>
      </c>
      <c r="AP523" s="268" t="str">
        <f t="shared" si="608"/>
        <v/>
      </c>
      <c r="AQ523" s="268" t="str">
        <f t="shared" si="608"/>
        <v/>
      </c>
      <c r="AR523" s="268" t="str">
        <f t="shared" si="608"/>
        <v/>
      </c>
      <c r="AS523" s="268" t="str">
        <f t="shared" si="608"/>
        <v/>
      </c>
      <c r="AT523" s="268" t="str">
        <f t="shared" si="608"/>
        <v/>
      </c>
      <c r="AU523" s="268" t="str">
        <f t="shared" si="608"/>
        <v/>
      </c>
      <c r="AV523" s="268" t="str">
        <f t="shared" si="608"/>
        <v/>
      </c>
      <c r="AW523" s="268" t="str">
        <f t="shared" si="608"/>
        <v/>
      </c>
      <c r="AX523" s="268">
        <f t="shared" si="608"/>
        <v>6003</v>
      </c>
      <c r="AY523" s="268" t="str">
        <f t="shared" si="608"/>
        <v/>
      </c>
      <c r="AZ523" s="268" t="str">
        <f t="shared" si="608"/>
        <v/>
      </c>
      <c r="BA523" s="268" t="str">
        <f t="shared" si="608"/>
        <v/>
      </c>
      <c r="BB523" s="268" t="str">
        <f t="shared" si="608"/>
        <v/>
      </c>
      <c r="BC523" s="268" t="str">
        <f t="shared" si="608"/>
        <v/>
      </c>
      <c r="BD523" s="268" t="str">
        <f t="shared" si="608"/>
        <v/>
      </c>
      <c r="BE523" s="268" t="str">
        <f t="shared" si="608"/>
        <v/>
      </c>
      <c r="BF523" s="268" t="str">
        <f t="shared" si="608"/>
        <v/>
      </c>
      <c r="BG523" s="268" t="str">
        <f t="shared" si="608"/>
        <v/>
      </c>
      <c r="BH523" s="268" t="str">
        <f t="shared" si="608"/>
        <v/>
      </c>
      <c r="BI523" s="268" t="str">
        <f t="shared" si="608"/>
        <v/>
      </c>
      <c r="BJ523" s="268" t="str">
        <f t="shared" si="608"/>
        <v/>
      </c>
      <c r="BK523" s="268" t="str">
        <f t="shared" si="608"/>
        <v/>
      </c>
      <c r="BL523" s="268" t="str">
        <f t="shared" si="608"/>
        <v/>
      </c>
      <c r="BM523" s="268" t="str">
        <f t="shared" si="608"/>
        <v/>
      </c>
      <c r="BN523" s="268" t="str">
        <f t="shared" si="608"/>
        <v/>
      </c>
      <c r="BO523" s="268" t="str">
        <f t="shared" si="608"/>
        <v/>
      </c>
      <c r="BP523" s="268" t="str">
        <f t="shared" si="608"/>
        <v/>
      </c>
      <c r="BQ523" s="268" t="str">
        <f t="shared" si="608"/>
        <v/>
      </c>
      <c r="BR523" s="268" t="str">
        <f t="shared" si="608"/>
        <v/>
      </c>
      <c r="BS523" s="268" t="str">
        <f t="shared" si="608"/>
        <v/>
      </c>
      <c r="BT523" s="268" t="str">
        <f t="shared" si="608"/>
        <v/>
      </c>
      <c r="BU523" s="268" t="str">
        <f t="shared" si="597"/>
        <v/>
      </c>
      <c r="BV523" s="215">
        <v>0.85</v>
      </c>
      <c r="BW523" s="729">
        <f t="shared" si="602"/>
        <v>5102.55</v>
      </c>
      <c r="BX523" s="730">
        <f t="shared" si="603"/>
        <v>39544.76</v>
      </c>
      <c r="BY523" s="731" t="str">
        <f t="shared" si="604"/>
        <v>SR</v>
      </c>
    </row>
    <row r="524" s="698" customFormat="1" customHeight="1" spans="1:77">
      <c r="A524" s="208">
        <v>46121</v>
      </c>
      <c r="B524" s="208">
        <v>46197</v>
      </c>
      <c r="C524" s="211" t="s">
        <v>701</v>
      </c>
      <c r="D524" s="211" t="s">
        <v>702</v>
      </c>
      <c r="E524" s="211" t="s">
        <v>114</v>
      </c>
      <c r="F524" s="732">
        <f>6003-1296</f>
        <v>4707</v>
      </c>
      <c r="G524" s="211" t="s">
        <v>334</v>
      </c>
      <c r="H524" s="211" t="str">
        <f>IFERROR(VLOOKUP(E524,名称!A:E,4,0),"")</f>
        <v>三代</v>
      </c>
      <c r="I524" s="268" t="str">
        <f t="shared" ref="I524:BT524" si="609">IF(OR($E524="",I$1=""),"",IF(TRIM(LEFT($E524,MIN(IFERROR(FIND("CDU",UPPER($E524)),999),IFERROR(FIND("BULK",UPPER($E524)),999),IFERROR(FIND("-",$E524),999),IFERROR(FIND("（",$E524),999))-1))=I$1,$F524,""))</f>
        <v/>
      </c>
      <c r="J524" s="268" t="str">
        <f t="shared" si="609"/>
        <v/>
      </c>
      <c r="K524" s="268" t="str">
        <f t="shared" si="609"/>
        <v/>
      </c>
      <c r="L524" s="268" t="str">
        <f t="shared" si="609"/>
        <v/>
      </c>
      <c r="M524" s="268" t="str">
        <f t="shared" si="609"/>
        <v/>
      </c>
      <c r="N524" s="268" t="str">
        <f t="shared" si="609"/>
        <v/>
      </c>
      <c r="O524" s="268" t="str">
        <f t="shared" si="609"/>
        <v/>
      </c>
      <c r="P524" s="268" t="str">
        <f t="shared" si="609"/>
        <v/>
      </c>
      <c r="Q524" s="268" t="str">
        <f t="shared" si="609"/>
        <v/>
      </c>
      <c r="R524" s="268" t="str">
        <f t="shared" si="609"/>
        <v/>
      </c>
      <c r="S524" s="268" t="str">
        <f t="shared" si="609"/>
        <v/>
      </c>
      <c r="T524" s="268" t="str">
        <f t="shared" si="609"/>
        <v/>
      </c>
      <c r="U524" s="268" t="str">
        <f t="shared" si="609"/>
        <v/>
      </c>
      <c r="V524" s="268" t="str">
        <f t="shared" si="609"/>
        <v/>
      </c>
      <c r="W524" s="268" t="str">
        <f t="shared" si="609"/>
        <v/>
      </c>
      <c r="X524" s="268" t="str">
        <f t="shared" si="609"/>
        <v/>
      </c>
      <c r="Y524" s="268" t="str">
        <f t="shared" si="609"/>
        <v/>
      </c>
      <c r="Z524" s="268" t="str">
        <f t="shared" si="609"/>
        <v/>
      </c>
      <c r="AA524" s="268" t="str">
        <f t="shared" si="609"/>
        <v/>
      </c>
      <c r="AB524" s="268" t="str">
        <f t="shared" si="609"/>
        <v/>
      </c>
      <c r="AC524" s="268" t="str">
        <f t="shared" si="609"/>
        <v/>
      </c>
      <c r="AD524" s="268" t="str">
        <f t="shared" si="609"/>
        <v/>
      </c>
      <c r="AE524" s="268" t="str">
        <f t="shared" si="609"/>
        <v/>
      </c>
      <c r="AF524" s="268" t="str">
        <f t="shared" si="609"/>
        <v/>
      </c>
      <c r="AG524" s="268" t="str">
        <f t="shared" si="609"/>
        <v/>
      </c>
      <c r="AH524" s="268" t="str">
        <f t="shared" si="609"/>
        <v/>
      </c>
      <c r="AI524" s="268" t="str">
        <f t="shared" si="609"/>
        <v/>
      </c>
      <c r="AJ524" s="268" t="str">
        <f t="shared" si="609"/>
        <v/>
      </c>
      <c r="AK524" s="268" t="str">
        <f t="shared" si="609"/>
        <v/>
      </c>
      <c r="AL524" s="268" t="str">
        <f t="shared" si="609"/>
        <v/>
      </c>
      <c r="AM524" s="268" t="str">
        <f t="shared" si="609"/>
        <v/>
      </c>
      <c r="AN524" s="268" t="str">
        <f t="shared" si="609"/>
        <v/>
      </c>
      <c r="AO524" s="268" t="str">
        <f t="shared" si="609"/>
        <v/>
      </c>
      <c r="AP524" s="268" t="str">
        <f t="shared" si="609"/>
        <v/>
      </c>
      <c r="AQ524" s="268" t="str">
        <f t="shared" si="609"/>
        <v/>
      </c>
      <c r="AR524" s="268" t="str">
        <f t="shared" si="609"/>
        <v/>
      </c>
      <c r="AS524" s="268" t="str">
        <f t="shared" si="609"/>
        <v/>
      </c>
      <c r="AT524" s="268" t="str">
        <f t="shared" si="609"/>
        <v/>
      </c>
      <c r="AU524" s="268" t="str">
        <f t="shared" si="609"/>
        <v/>
      </c>
      <c r="AV524" s="268" t="str">
        <f t="shared" si="609"/>
        <v/>
      </c>
      <c r="AW524" s="268" t="str">
        <f t="shared" si="609"/>
        <v/>
      </c>
      <c r="AX524" s="268" t="str">
        <f t="shared" si="609"/>
        <v/>
      </c>
      <c r="AY524" s="268" t="str">
        <f t="shared" si="609"/>
        <v/>
      </c>
      <c r="AZ524" s="268" t="str">
        <f t="shared" si="609"/>
        <v/>
      </c>
      <c r="BA524" s="268" t="str">
        <f t="shared" si="609"/>
        <v/>
      </c>
      <c r="BB524" s="268" t="str">
        <f t="shared" si="609"/>
        <v/>
      </c>
      <c r="BC524" s="268">
        <f t="shared" si="609"/>
        <v>4707</v>
      </c>
      <c r="BD524" s="268" t="str">
        <f t="shared" si="609"/>
        <v/>
      </c>
      <c r="BE524" s="268" t="str">
        <f t="shared" si="609"/>
        <v/>
      </c>
      <c r="BF524" s="268" t="str">
        <f t="shared" si="609"/>
        <v/>
      </c>
      <c r="BG524" s="268" t="str">
        <f t="shared" si="609"/>
        <v/>
      </c>
      <c r="BH524" s="268" t="str">
        <f t="shared" si="609"/>
        <v/>
      </c>
      <c r="BI524" s="268" t="str">
        <f t="shared" si="609"/>
        <v/>
      </c>
      <c r="BJ524" s="268" t="str">
        <f t="shared" si="609"/>
        <v/>
      </c>
      <c r="BK524" s="268" t="str">
        <f t="shared" si="609"/>
        <v/>
      </c>
      <c r="BL524" s="268" t="str">
        <f t="shared" si="609"/>
        <v/>
      </c>
      <c r="BM524" s="268" t="str">
        <f t="shared" si="609"/>
        <v/>
      </c>
      <c r="BN524" s="268" t="str">
        <f t="shared" si="609"/>
        <v/>
      </c>
      <c r="BO524" s="268" t="str">
        <f t="shared" si="609"/>
        <v/>
      </c>
      <c r="BP524" s="268" t="str">
        <f t="shared" si="609"/>
        <v/>
      </c>
      <c r="BQ524" s="268" t="str">
        <f t="shared" si="609"/>
        <v/>
      </c>
      <c r="BR524" s="268" t="str">
        <f t="shared" si="609"/>
        <v/>
      </c>
      <c r="BS524" s="268" t="str">
        <f t="shared" si="609"/>
        <v/>
      </c>
      <c r="BT524" s="268" t="str">
        <f t="shared" si="609"/>
        <v/>
      </c>
      <c r="BU524" s="268" t="str">
        <f t="shared" si="597"/>
        <v/>
      </c>
      <c r="BV524" s="247">
        <v>0.59</v>
      </c>
      <c r="BW524" s="729">
        <f t="shared" si="602"/>
        <v>2777.13</v>
      </c>
      <c r="BX524" s="730">
        <f t="shared" si="603"/>
        <v>21522.76</v>
      </c>
      <c r="BY524" s="731" t="str">
        <f t="shared" si="604"/>
        <v>JS</v>
      </c>
    </row>
    <row r="525" s="698" customFormat="1" customHeight="1" spans="1:77">
      <c r="A525" s="208">
        <v>46121</v>
      </c>
      <c r="B525" s="208">
        <v>46197</v>
      </c>
      <c r="C525" s="211" t="s">
        <v>701</v>
      </c>
      <c r="D525" s="211" t="s">
        <v>702</v>
      </c>
      <c r="E525" s="211" t="s">
        <v>114</v>
      </c>
      <c r="F525" s="732">
        <v>1296</v>
      </c>
      <c r="G525" s="211" t="s">
        <v>334</v>
      </c>
      <c r="H525" s="211" t="str">
        <f>IFERROR(VLOOKUP(E525,名称!A:E,4,0),"")</f>
        <v>三代</v>
      </c>
      <c r="I525" s="268" t="str">
        <f t="shared" ref="I525:BT525" si="610">IF(OR($E525="",I$1=""),"",IF(TRIM(LEFT($E525,MIN(IFERROR(FIND("CDU",UPPER($E525)),999),IFERROR(FIND("BULK",UPPER($E525)),999),IFERROR(FIND("-",$E525),999),IFERROR(FIND("（",$E525),999))-1))=I$1,$F525,""))</f>
        <v/>
      </c>
      <c r="J525" s="268" t="str">
        <f t="shared" si="610"/>
        <v/>
      </c>
      <c r="K525" s="268" t="str">
        <f t="shared" si="610"/>
        <v/>
      </c>
      <c r="L525" s="268" t="str">
        <f t="shared" si="610"/>
        <v/>
      </c>
      <c r="M525" s="268" t="str">
        <f t="shared" si="610"/>
        <v/>
      </c>
      <c r="N525" s="268" t="str">
        <f t="shared" si="610"/>
        <v/>
      </c>
      <c r="O525" s="268" t="str">
        <f t="shared" si="610"/>
        <v/>
      </c>
      <c r="P525" s="268" t="str">
        <f t="shared" si="610"/>
        <v/>
      </c>
      <c r="Q525" s="268" t="str">
        <f t="shared" si="610"/>
        <v/>
      </c>
      <c r="R525" s="268" t="str">
        <f t="shared" si="610"/>
        <v/>
      </c>
      <c r="S525" s="268" t="str">
        <f t="shared" si="610"/>
        <v/>
      </c>
      <c r="T525" s="268" t="str">
        <f t="shared" si="610"/>
        <v/>
      </c>
      <c r="U525" s="268" t="str">
        <f t="shared" si="610"/>
        <v/>
      </c>
      <c r="V525" s="268" t="str">
        <f t="shared" si="610"/>
        <v/>
      </c>
      <c r="W525" s="268" t="str">
        <f t="shared" si="610"/>
        <v/>
      </c>
      <c r="X525" s="268" t="str">
        <f t="shared" si="610"/>
        <v/>
      </c>
      <c r="Y525" s="268" t="str">
        <f t="shared" si="610"/>
        <v/>
      </c>
      <c r="Z525" s="268" t="str">
        <f t="shared" si="610"/>
        <v/>
      </c>
      <c r="AA525" s="268" t="str">
        <f t="shared" si="610"/>
        <v/>
      </c>
      <c r="AB525" s="268" t="str">
        <f t="shared" si="610"/>
        <v/>
      </c>
      <c r="AC525" s="268" t="str">
        <f t="shared" si="610"/>
        <v/>
      </c>
      <c r="AD525" s="268" t="str">
        <f t="shared" si="610"/>
        <v/>
      </c>
      <c r="AE525" s="268" t="str">
        <f t="shared" si="610"/>
        <v/>
      </c>
      <c r="AF525" s="268" t="str">
        <f t="shared" si="610"/>
        <v/>
      </c>
      <c r="AG525" s="268" t="str">
        <f t="shared" si="610"/>
        <v/>
      </c>
      <c r="AH525" s="268" t="str">
        <f t="shared" si="610"/>
        <v/>
      </c>
      <c r="AI525" s="268" t="str">
        <f t="shared" si="610"/>
        <v/>
      </c>
      <c r="AJ525" s="268" t="str">
        <f t="shared" si="610"/>
        <v/>
      </c>
      <c r="AK525" s="268" t="str">
        <f t="shared" si="610"/>
        <v/>
      </c>
      <c r="AL525" s="268" t="str">
        <f t="shared" si="610"/>
        <v/>
      </c>
      <c r="AM525" s="268" t="str">
        <f t="shared" si="610"/>
        <v/>
      </c>
      <c r="AN525" s="268" t="str">
        <f t="shared" si="610"/>
        <v/>
      </c>
      <c r="AO525" s="268" t="str">
        <f t="shared" si="610"/>
        <v/>
      </c>
      <c r="AP525" s="268" t="str">
        <f t="shared" si="610"/>
        <v/>
      </c>
      <c r="AQ525" s="268" t="str">
        <f t="shared" si="610"/>
        <v/>
      </c>
      <c r="AR525" s="268" t="str">
        <f t="shared" si="610"/>
        <v/>
      </c>
      <c r="AS525" s="268" t="str">
        <f t="shared" si="610"/>
        <v/>
      </c>
      <c r="AT525" s="268" t="str">
        <f t="shared" si="610"/>
        <v/>
      </c>
      <c r="AU525" s="268" t="str">
        <f t="shared" si="610"/>
        <v/>
      </c>
      <c r="AV525" s="268" t="str">
        <f t="shared" si="610"/>
        <v/>
      </c>
      <c r="AW525" s="268" t="str">
        <f t="shared" si="610"/>
        <v/>
      </c>
      <c r="AX525" s="268" t="str">
        <f t="shared" si="610"/>
        <v/>
      </c>
      <c r="AY525" s="268" t="str">
        <f t="shared" si="610"/>
        <v/>
      </c>
      <c r="AZ525" s="268" t="str">
        <f t="shared" si="610"/>
        <v/>
      </c>
      <c r="BA525" s="268" t="str">
        <f t="shared" si="610"/>
        <v/>
      </c>
      <c r="BB525" s="268" t="str">
        <f t="shared" si="610"/>
        <v/>
      </c>
      <c r="BC525" s="268">
        <f t="shared" si="610"/>
        <v>1296</v>
      </c>
      <c r="BD525" s="268" t="str">
        <f t="shared" si="610"/>
        <v/>
      </c>
      <c r="BE525" s="268" t="str">
        <f t="shared" si="610"/>
        <v/>
      </c>
      <c r="BF525" s="268" t="str">
        <f t="shared" si="610"/>
        <v/>
      </c>
      <c r="BG525" s="268" t="str">
        <f t="shared" si="610"/>
        <v/>
      </c>
      <c r="BH525" s="268" t="str">
        <f t="shared" si="610"/>
        <v/>
      </c>
      <c r="BI525" s="268" t="str">
        <f t="shared" si="610"/>
        <v/>
      </c>
      <c r="BJ525" s="268" t="str">
        <f t="shared" si="610"/>
        <v/>
      </c>
      <c r="BK525" s="268" t="str">
        <f t="shared" si="610"/>
        <v/>
      </c>
      <c r="BL525" s="268" t="str">
        <f t="shared" si="610"/>
        <v/>
      </c>
      <c r="BM525" s="268" t="str">
        <f t="shared" si="610"/>
        <v/>
      </c>
      <c r="BN525" s="268" t="str">
        <f t="shared" si="610"/>
        <v/>
      </c>
      <c r="BO525" s="268" t="str">
        <f t="shared" si="610"/>
        <v/>
      </c>
      <c r="BP525" s="268" t="str">
        <f t="shared" si="610"/>
        <v/>
      </c>
      <c r="BQ525" s="268" t="str">
        <f t="shared" si="610"/>
        <v/>
      </c>
      <c r="BR525" s="268" t="str">
        <f t="shared" si="610"/>
        <v/>
      </c>
      <c r="BS525" s="268" t="str">
        <f t="shared" si="610"/>
        <v/>
      </c>
      <c r="BT525" s="268" t="str">
        <f t="shared" si="610"/>
        <v/>
      </c>
      <c r="BU525" s="268" t="str">
        <f t="shared" si="597"/>
        <v/>
      </c>
      <c r="BV525" s="247">
        <v>0.59</v>
      </c>
      <c r="BW525" s="729">
        <f t="shared" si="602"/>
        <v>764.64</v>
      </c>
      <c r="BX525" s="730">
        <f t="shared" si="603"/>
        <v>5925.96</v>
      </c>
      <c r="BY525" s="731" t="str">
        <f t="shared" si="604"/>
        <v>JS</v>
      </c>
    </row>
    <row r="526" s="698" customFormat="1" customHeight="1" spans="1:77">
      <c r="A526" s="208">
        <v>46121</v>
      </c>
      <c r="B526" s="208">
        <v>46197</v>
      </c>
      <c r="C526" s="211" t="s">
        <v>701</v>
      </c>
      <c r="D526" s="211" t="s">
        <v>702</v>
      </c>
      <c r="E526" s="211" t="s">
        <v>89</v>
      </c>
      <c r="F526" s="732">
        <v>12000</v>
      </c>
      <c r="G526" s="211" t="s">
        <v>334</v>
      </c>
      <c r="H526" s="211" t="str">
        <f>IFERROR(VLOOKUP(E526,名称!A:E,4,0),"")</f>
        <v>三代</v>
      </c>
      <c r="I526" s="268" t="str">
        <f t="shared" ref="I526:BT526" si="611">IF(OR($E526="",I$1=""),"",IF(TRIM(LEFT($E526,MIN(IFERROR(FIND("CDU",UPPER($E526)),999),IFERROR(FIND("BULK",UPPER($E526)),999),IFERROR(FIND("-",$E526),999),IFERROR(FIND("（",$E526),999))-1))=I$1,$F526,""))</f>
        <v/>
      </c>
      <c r="J526" s="268" t="str">
        <f t="shared" si="611"/>
        <v/>
      </c>
      <c r="K526" s="268" t="str">
        <f t="shared" si="611"/>
        <v/>
      </c>
      <c r="L526" s="268" t="str">
        <f t="shared" si="611"/>
        <v/>
      </c>
      <c r="M526" s="268" t="str">
        <f t="shared" si="611"/>
        <v/>
      </c>
      <c r="N526" s="268" t="str">
        <f t="shared" si="611"/>
        <v/>
      </c>
      <c r="O526" s="268" t="str">
        <f t="shared" si="611"/>
        <v/>
      </c>
      <c r="P526" s="268" t="str">
        <f t="shared" si="611"/>
        <v/>
      </c>
      <c r="Q526" s="268" t="str">
        <f t="shared" si="611"/>
        <v/>
      </c>
      <c r="R526" s="268" t="str">
        <f t="shared" si="611"/>
        <v/>
      </c>
      <c r="S526" s="268" t="str">
        <f t="shared" si="611"/>
        <v/>
      </c>
      <c r="T526" s="268" t="str">
        <f t="shared" si="611"/>
        <v/>
      </c>
      <c r="U526" s="268" t="str">
        <f t="shared" si="611"/>
        <v/>
      </c>
      <c r="V526" s="268" t="str">
        <f t="shared" si="611"/>
        <v/>
      </c>
      <c r="W526" s="268" t="str">
        <f t="shared" si="611"/>
        <v/>
      </c>
      <c r="X526" s="268" t="str">
        <f t="shared" si="611"/>
        <v/>
      </c>
      <c r="Y526" s="268" t="str">
        <f t="shared" si="611"/>
        <v/>
      </c>
      <c r="Z526" s="268" t="str">
        <f t="shared" si="611"/>
        <v/>
      </c>
      <c r="AA526" s="268" t="str">
        <f t="shared" si="611"/>
        <v/>
      </c>
      <c r="AB526" s="268" t="str">
        <f t="shared" si="611"/>
        <v/>
      </c>
      <c r="AC526" s="268" t="str">
        <f t="shared" si="611"/>
        <v/>
      </c>
      <c r="AD526" s="268" t="str">
        <f t="shared" si="611"/>
        <v/>
      </c>
      <c r="AE526" s="268" t="str">
        <f t="shared" si="611"/>
        <v/>
      </c>
      <c r="AF526" s="268" t="str">
        <f t="shared" si="611"/>
        <v/>
      </c>
      <c r="AG526" s="268" t="str">
        <f t="shared" si="611"/>
        <v/>
      </c>
      <c r="AH526" s="268" t="str">
        <f t="shared" si="611"/>
        <v/>
      </c>
      <c r="AI526" s="268" t="str">
        <f t="shared" si="611"/>
        <v/>
      </c>
      <c r="AJ526" s="268" t="str">
        <f t="shared" si="611"/>
        <v/>
      </c>
      <c r="AK526" s="268" t="str">
        <f t="shared" si="611"/>
        <v/>
      </c>
      <c r="AL526" s="268" t="str">
        <f t="shared" si="611"/>
        <v/>
      </c>
      <c r="AM526" s="268" t="str">
        <f t="shared" si="611"/>
        <v/>
      </c>
      <c r="AN526" s="268" t="str">
        <f t="shared" si="611"/>
        <v/>
      </c>
      <c r="AO526" s="268" t="str">
        <f t="shared" si="611"/>
        <v/>
      </c>
      <c r="AP526" s="268" t="str">
        <f t="shared" si="611"/>
        <v/>
      </c>
      <c r="AQ526" s="268" t="str">
        <f t="shared" si="611"/>
        <v/>
      </c>
      <c r="AR526" s="268" t="str">
        <f t="shared" si="611"/>
        <v/>
      </c>
      <c r="AS526" s="268" t="str">
        <f t="shared" si="611"/>
        <v/>
      </c>
      <c r="AT526" s="268" t="str">
        <f t="shared" si="611"/>
        <v/>
      </c>
      <c r="AU526" s="268">
        <f t="shared" si="611"/>
        <v>12000</v>
      </c>
      <c r="AV526" s="268" t="str">
        <f t="shared" si="611"/>
        <v/>
      </c>
      <c r="AW526" s="268" t="str">
        <f t="shared" si="611"/>
        <v/>
      </c>
      <c r="AX526" s="268" t="str">
        <f t="shared" si="611"/>
        <v/>
      </c>
      <c r="AY526" s="268" t="str">
        <f t="shared" si="611"/>
        <v/>
      </c>
      <c r="AZ526" s="268" t="str">
        <f t="shared" si="611"/>
        <v/>
      </c>
      <c r="BA526" s="268" t="str">
        <f t="shared" si="611"/>
        <v/>
      </c>
      <c r="BB526" s="268" t="str">
        <f t="shared" si="611"/>
        <v/>
      </c>
      <c r="BC526" s="268" t="str">
        <f t="shared" si="611"/>
        <v/>
      </c>
      <c r="BD526" s="268" t="str">
        <f t="shared" si="611"/>
        <v/>
      </c>
      <c r="BE526" s="268" t="str">
        <f t="shared" si="611"/>
        <v/>
      </c>
      <c r="BF526" s="268" t="str">
        <f t="shared" si="611"/>
        <v/>
      </c>
      <c r="BG526" s="268" t="str">
        <f t="shared" si="611"/>
        <v/>
      </c>
      <c r="BH526" s="268" t="str">
        <f t="shared" si="611"/>
        <v/>
      </c>
      <c r="BI526" s="268" t="str">
        <f t="shared" si="611"/>
        <v/>
      </c>
      <c r="BJ526" s="268" t="str">
        <f t="shared" si="611"/>
        <v/>
      </c>
      <c r="BK526" s="268" t="str">
        <f t="shared" si="611"/>
        <v/>
      </c>
      <c r="BL526" s="268" t="str">
        <f t="shared" si="611"/>
        <v/>
      </c>
      <c r="BM526" s="268" t="str">
        <f t="shared" si="611"/>
        <v/>
      </c>
      <c r="BN526" s="268" t="str">
        <f t="shared" si="611"/>
        <v/>
      </c>
      <c r="BO526" s="268" t="str">
        <f t="shared" si="611"/>
        <v/>
      </c>
      <c r="BP526" s="268" t="str">
        <f t="shared" si="611"/>
        <v/>
      </c>
      <c r="BQ526" s="268" t="str">
        <f t="shared" si="611"/>
        <v/>
      </c>
      <c r="BR526" s="268" t="str">
        <f t="shared" si="611"/>
        <v/>
      </c>
      <c r="BS526" s="268" t="str">
        <f t="shared" si="611"/>
        <v/>
      </c>
      <c r="BT526" s="268" t="str">
        <f t="shared" si="611"/>
        <v/>
      </c>
      <c r="BU526" s="268" t="str">
        <f t="shared" si="597"/>
        <v/>
      </c>
      <c r="BV526" s="247">
        <v>1.83</v>
      </c>
      <c r="BW526" s="729">
        <f t="shared" si="602"/>
        <v>21960</v>
      </c>
      <c r="BX526" s="730">
        <f t="shared" si="603"/>
        <v>170190</v>
      </c>
      <c r="BY526" s="731" t="str">
        <f t="shared" si="604"/>
        <v>SR</v>
      </c>
    </row>
    <row r="527" s="698" customFormat="1" customHeight="1" spans="1:77">
      <c r="A527" s="208">
        <v>46121</v>
      </c>
      <c r="B527" s="208">
        <v>46197</v>
      </c>
      <c r="C527" s="211" t="s">
        <v>701</v>
      </c>
      <c r="D527" s="211" t="s">
        <v>702</v>
      </c>
      <c r="E527" s="211" t="s">
        <v>99</v>
      </c>
      <c r="F527" s="732">
        <v>12000</v>
      </c>
      <c r="G527" s="211" t="s">
        <v>510</v>
      </c>
      <c r="H527" s="211" t="str">
        <f>IFERROR(VLOOKUP(E527,名称!A:E,4,0),"")</f>
        <v>三代</v>
      </c>
      <c r="I527" s="268" t="str">
        <f t="shared" ref="I527:BT527" si="612">IF(OR($E527="",I$1=""),"",IF(TRIM(LEFT($E527,MIN(IFERROR(FIND("CDU",UPPER($E527)),999),IFERROR(FIND("BULK",UPPER($E527)),999),IFERROR(FIND("-",$E527),999),IFERROR(FIND("（",$E527),999))-1))=I$1,$F527,""))</f>
        <v/>
      </c>
      <c r="J527" s="268" t="str">
        <f t="shared" si="612"/>
        <v/>
      </c>
      <c r="K527" s="268" t="str">
        <f t="shared" si="612"/>
        <v/>
      </c>
      <c r="L527" s="268" t="str">
        <f t="shared" si="612"/>
        <v/>
      </c>
      <c r="M527" s="268" t="str">
        <f t="shared" si="612"/>
        <v/>
      </c>
      <c r="N527" s="268" t="str">
        <f t="shared" si="612"/>
        <v/>
      </c>
      <c r="O527" s="268" t="str">
        <f t="shared" si="612"/>
        <v/>
      </c>
      <c r="P527" s="268" t="str">
        <f t="shared" si="612"/>
        <v/>
      </c>
      <c r="Q527" s="268" t="str">
        <f t="shared" si="612"/>
        <v/>
      </c>
      <c r="R527" s="268" t="str">
        <f t="shared" si="612"/>
        <v/>
      </c>
      <c r="S527" s="268" t="str">
        <f t="shared" si="612"/>
        <v/>
      </c>
      <c r="T527" s="268" t="str">
        <f t="shared" si="612"/>
        <v/>
      </c>
      <c r="U527" s="268" t="str">
        <f t="shared" si="612"/>
        <v/>
      </c>
      <c r="V527" s="268" t="str">
        <f t="shared" si="612"/>
        <v/>
      </c>
      <c r="W527" s="268" t="str">
        <f t="shared" si="612"/>
        <v/>
      </c>
      <c r="X527" s="268" t="str">
        <f t="shared" si="612"/>
        <v/>
      </c>
      <c r="Y527" s="268" t="str">
        <f t="shared" si="612"/>
        <v/>
      </c>
      <c r="Z527" s="268" t="str">
        <f t="shared" si="612"/>
        <v/>
      </c>
      <c r="AA527" s="268" t="str">
        <f t="shared" si="612"/>
        <v/>
      </c>
      <c r="AB527" s="268" t="str">
        <f t="shared" si="612"/>
        <v/>
      </c>
      <c r="AC527" s="268">
        <f t="shared" si="612"/>
        <v>12000</v>
      </c>
      <c r="AD527" s="268" t="str">
        <f t="shared" si="612"/>
        <v/>
      </c>
      <c r="AE527" s="268" t="str">
        <f t="shared" si="612"/>
        <v/>
      </c>
      <c r="AF527" s="268" t="str">
        <f t="shared" si="612"/>
        <v/>
      </c>
      <c r="AG527" s="268" t="str">
        <f t="shared" si="612"/>
        <v/>
      </c>
      <c r="AH527" s="268" t="str">
        <f t="shared" si="612"/>
        <v/>
      </c>
      <c r="AI527" s="268" t="str">
        <f t="shared" si="612"/>
        <v/>
      </c>
      <c r="AJ527" s="268" t="str">
        <f t="shared" si="612"/>
        <v/>
      </c>
      <c r="AK527" s="268" t="str">
        <f t="shared" si="612"/>
        <v/>
      </c>
      <c r="AL527" s="268" t="str">
        <f t="shared" si="612"/>
        <v/>
      </c>
      <c r="AM527" s="268" t="str">
        <f t="shared" si="612"/>
        <v/>
      </c>
      <c r="AN527" s="268" t="str">
        <f t="shared" si="612"/>
        <v/>
      </c>
      <c r="AO527" s="268" t="str">
        <f t="shared" si="612"/>
        <v/>
      </c>
      <c r="AP527" s="268" t="str">
        <f t="shared" si="612"/>
        <v/>
      </c>
      <c r="AQ527" s="268" t="str">
        <f t="shared" si="612"/>
        <v/>
      </c>
      <c r="AR527" s="268" t="str">
        <f t="shared" si="612"/>
        <v/>
      </c>
      <c r="AS527" s="268" t="str">
        <f t="shared" si="612"/>
        <v/>
      </c>
      <c r="AT527" s="268" t="str">
        <f t="shared" si="612"/>
        <v/>
      </c>
      <c r="AU527" s="268" t="str">
        <f t="shared" si="612"/>
        <v/>
      </c>
      <c r="AV527" s="268" t="str">
        <f t="shared" si="612"/>
        <v/>
      </c>
      <c r="AW527" s="268" t="str">
        <f t="shared" si="612"/>
        <v/>
      </c>
      <c r="AX527" s="268" t="str">
        <f t="shared" si="612"/>
        <v/>
      </c>
      <c r="AY527" s="268" t="str">
        <f t="shared" si="612"/>
        <v/>
      </c>
      <c r="AZ527" s="268" t="str">
        <f t="shared" si="612"/>
        <v/>
      </c>
      <c r="BA527" s="268" t="str">
        <f t="shared" si="612"/>
        <v/>
      </c>
      <c r="BB527" s="268" t="str">
        <f t="shared" si="612"/>
        <v/>
      </c>
      <c r="BC527" s="268" t="str">
        <f t="shared" si="612"/>
        <v/>
      </c>
      <c r="BD527" s="268" t="str">
        <f t="shared" si="612"/>
        <v/>
      </c>
      <c r="BE527" s="268" t="str">
        <f t="shared" si="612"/>
        <v/>
      </c>
      <c r="BF527" s="268" t="str">
        <f t="shared" si="612"/>
        <v/>
      </c>
      <c r="BG527" s="268" t="str">
        <f t="shared" si="612"/>
        <v/>
      </c>
      <c r="BH527" s="268" t="str">
        <f t="shared" si="612"/>
        <v/>
      </c>
      <c r="BI527" s="268" t="str">
        <f t="shared" si="612"/>
        <v/>
      </c>
      <c r="BJ527" s="268" t="str">
        <f t="shared" si="612"/>
        <v/>
      </c>
      <c r="BK527" s="268" t="str">
        <f t="shared" si="612"/>
        <v/>
      </c>
      <c r="BL527" s="268" t="str">
        <f t="shared" si="612"/>
        <v/>
      </c>
      <c r="BM527" s="268" t="str">
        <f t="shared" si="612"/>
        <v/>
      </c>
      <c r="BN527" s="268" t="str">
        <f t="shared" si="612"/>
        <v/>
      </c>
      <c r="BO527" s="268" t="str">
        <f t="shared" si="612"/>
        <v/>
      </c>
      <c r="BP527" s="268" t="str">
        <f t="shared" si="612"/>
        <v/>
      </c>
      <c r="BQ527" s="268" t="str">
        <f t="shared" si="612"/>
        <v/>
      </c>
      <c r="BR527" s="268" t="str">
        <f t="shared" si="612"/>
        <v/>
      </c>
      <c r="BS527" s="268" t="str">
        <f t="shared" si="612"/>
        <v/>
      </c>
      <c r="BT527" s="268" t="str">
        <f t="shared" si="612"/>
        <v/>
      </c>
      <c r="BU527" s="268" t="str">
        <f t="shared" si="597"/>
        <v/>
      </c>
      <c r="BV527" s="247">
        <v>0.87</v>
      </c>
      <c r="BW527" s="729">
        <f t="shared" si="602"/>
        <v>10440</v>
      </c>
      <c r="BX527" s="730">
        <f t="shared" si="603"/>
        <v>80910</v>
      </c>
      <c r="BY527" s="731" t="str">
        <f t="shared" si="604"/>
        <v>SR</v>
      </c>
    </row>
    <row r="528" s="698" customFormat="1" customHeight="1" spans="1:77">
      <c r="A528" s="208">
        <v>46121</v>
      </c>
      <c r="B528" s="208">
        <v>46197</v>
      </c>
      <c r="C528" s="211" t="s">
        <v>701</v>
      </c>
      <c r="D528" s="211" t="s">
        <v>702</v>
      </c>
      <c r="E528" s="211" t="s">
        <v>103</v>
      </c>
      <c r="F528" s="732">
        <v>24003</v>
      </c>
      <c r="G528" s="211" t="s">
        <v>334</v>
      </c>
      <c r="H528" s="211" t="str">
        <f>IFERROR(VLOOKUP(E528,名称!A:E,4,0),"")</f>
        <v>三代</v>
      </c>
      <c r="I528" s="268" t="str">
        <f t="shared" ref="I528:BT528" si="613">IF(OR($E528="",I$1=""),"",IF(TRIM(LEFT($E528,MIN(IFERROR(FIND("CDU",UPPER($E528)),999),IFERROR(FIND("BULK",UPPER($E528)),999),IFERROR(FIND("-",$E528),999),IFERROR(FIND("（",$E528),999))-1))=I$1,$F528,""))</f>
        <v/>
      </c>
      <c r="J528" s="268" t="str">
        <f t="shared" si="613"/>
        <v/>
      </c>
      <c r="K528" s="268" t="str">
        <f t="shared" si="613"/>
        <v/>
      </c>
      <c r="L528" s="268" t="str">
        <f t="shared" si="613"/>
        <v/>
      </c>
      <c r="M528" s="268" t="str">
        <f t="shared" si="613"/>
        <v/>
      </c>
      <c r="N528" s="268" t="str">
        <f t="shared" si="613"/>
        <v/>
      </c>
      <c r="O528" s="268" t="str">
        <f t="shared" si="613"/>
        <v/>
      </c>
      <c r="P528" s="268" t="str">
        <f t="shared" si="613"/>
        <v/>
      </c>
      <c r="Q528" s="268" t="str">
        <f t="shared" si="613"/>
        <v/>
      </c>
      <c r="R528" s="268" t="str">
        <f t="shared" si="613"/>
        <v/>
      </c>
      <c r="S528" s="268" t="str">
        <f t="shared" si="613"/>
        <v/>
      </c>
      <c r="T528" s="268" t="str">
        <f t="shared" si="613"/>
        <v/>
      </c>
      <c r="U528" s="268" t="str">
        <f t="shared" si="613"/>
        <v/>
      </c>
      <c r="V528" s="268" t="str">
        <f t="shared" si="613"/>
        <v/>
      </c>
      <c r="W528" s="268" t="str">
        <f t="shared" si="613"/>
        <v/>
      </c>
      <c r="X528" s="268" t="str">
        <f t="shared" si="613"/>
        <v/>
      </c>
      <c r="Y528" s="268" t="str">
        <f t="shared" si="613"/>
        <v/>
      </c>
      <c r="Z528" s="268" t="str">
        <f t="shared" si="613"/>
        <v/>
      </c>
      <c r="AA528" s="268" t="str">
        <f t="shared" si="613"/>
        <v/>
      </c>
      <c r="AB528" s="268" t="str">
        <f t="shared" si="613"/>
        <v/>
      </c>
      <c r="AC528" s="268">
        <f t="shared" si="613"/>
        <v>24003</v>
      </c>
      <c r="AD528" s="268" t="str">
        <f t="shared" si="613"/>
        <v/>
      </c>
      <c r="AE528" s="268" t="str">
        <f t="shared" si="613"/>
        <v/>
      </c>
      <c r="AF528" s="268" t="str">
        <f t="shared" si="613"/>
        <v/>
      </c>
      <c r="AG528" s="268" t="str">
        <f t="shared" si="613"/>
        <v/>
      </c>
      <c r="AH528" s="268" t="str">
        <f t="shared" si="613"/>
        <v/>
      </c>
      <c r="AI528" s="268" t="str">
        <f t="shared" si="613"/>
        <v/>
      </c>
      <c r="AJ528" s="268" t="str">
        <f t="shared" si="613"/>
        <v/>
      </c>
      <c r="AK528" s="268" t="str">
        <f t="shared" si="613"/>
        <v/>
      </c>
      <c r="AL528" s="268" t="str">
        <f t="shared" si="613"/>
        <v/>
      </c>
      <c r="AM528" s="268" t="str">
        <f t="shared" si="613"/>
        <v/>
      </c>
      <c r="AN528" s="268" t="str">
        <f t="shared" si="613"/>
        <v/>
      </c>
      <c r="AO528" s="268" t="str">
        <f t="shared" si="613"/>
        <v/>
      </c>
      <c r="AP528" s="268" t="str">
        <f t="shared" si="613"/>
        <v/>
      </c>
      <c r="AQ528" s="268" t="str">
        <f t="shared" si="613"/>
        <v/>
      </c>
      <c r="AR528" s="268" t="str">
        <f t="shared" si="613"/>
        <v/>
      </c>
      <c r="AS528" s="268" t="str">
        <f t="shared" si="613"/>
        <v/>
      </c>
      <c r="AT528" s="268" t="str">
        <f t="shared" si="613"/>
        <v/>
      </c>
      <c r="AU528" s="268" t="str">
        <f t="shared" si="613"/>
        <v/>
      </c>
      <c r="AV528" s="268" t="str">
        <f t="shared" si="613"/>
        <v/>
      </c>
      <c r="AW528" s="268" t="str">
        <f t="shared" si="613"/>
        <v/>
      </c>
      <c r="AX528" s="268" t="str">
        <f t="shared" si="613"/>
        <v/>
      </c>
      <c r="AY528" s="268" t="str">
        <f t="shared" si="613"/>
        <v/>
      </c>
      <c r="AZ528" s="268" t="str">
        <f t="shared" si="613"/>
        <v/>
      </c>
      <c r="BA528" s="268" t="str">
        <f t="shared" si="613"/>
        <v/>
      </c>
      <c r="BB528" s="268" t="str">
        <f t="shared" si="613"/>
        <v/>
      </c>
      <c r="BC528" s="268" t="str">
        <f t="shared" si="613"/>
        <v/>
      </c>
      <c r="BD528" s="268" t="str">
        <f t="shared" si="613"/>
        <v/>
      </c>
      <c r="BE528" s="268" t="str">
        <f t="shared" si="613"/>
        <v/>
      </c>
      <c r="BF528" s="268" t="str">
        <f t="shared" si="613"/>
        <v/>
      </c>
      <c r="BG528" s="268" t="str">
        <f t="shared" si="613"/>
        <v/>
      </c>
      <c r="BH528" s="268" t="str">
        <f t="shared" si="613"/>
        <v/>
      </c>
      <c r="BI528" s="268" t="str">
        <f t="shared" si="613"/>
        <v/>
      </c>
      <c r="BJ528" s="268" t="str">
        <f t="shared" si="613"/>
        <v/>
      </c>
      <c r="BK528" s="268" t="str">
        <f t="shared" si="613"/>
        <v/>
      </c>
      <c r="BL528" s="268" t="str">
        <f t="shared" si="613"/>
        <v/>
      </c>
      <c r="BM528" s="268" t="str">
        <f t="shared" si="613"/>
        <v/>
      </c>
      <c r="BN528" s="268" t="str">
        <f t="shared" si="613"/>
        <v/>
      </c>
      <c r="BO528" s="268" t="str">
        <f t="shared" si="613"/>
        <v/>
      </c>
      <c r="BP528" s="268" t="str">
        <f t="shared" si="613"/>
        <v/>
      </c>
      <c r="BQ528" s="268" t="str">
        <f t="shared" si="613"/>
        <v/>
      </c>
      <c r="BR528" s="268" t="str">
        <f t="shared" si="613"/>
        <v/>
      </c>
      <c r="BS528" s="268" t="str">
        <f t="shared" si="613"/>
        <v/>
      </c>
      <c r="BT528" s="268" t="str">
        <f t="shared" si="613"/>
        <v/>
      </c>
      <c r="BU528" s="268" t="str">
        <f t="shared" si="597"/>
        <v/>
      </c>
      <c r="BV528" s="247">
        <v>0.85</v>
      </c>
      <c r="BW528" s="729">
        <f t="shared" si="602"/>
        <v>20402.55</v>
      </c>
      <c r="BX528" s="730">
        <f t="shared" si="603"/>
        <v>158119.76</v>
      </c>
      <c r="BY528" s="731" t="str">
        <f t="shared" si="604"/>
        <v>SR</v>
      </c>
    </row>
    <row r="529" s="698" customFormat="1" customHeight="1" spans="1:77">
      <c r="A529" s="208">
        <v>46121</v>
      </c>
      <c r="B529" s="208">
        <v>46197</v>
      </c>
      <c r="C529" s="211" t="s">
        <v>701</v>
      </c>
      <c r="D529" s="211" t="s">
        <v>702</v>
      </c>
      <c r="E529" s="211" t="s">
        <v>66</v>
      </c>
      <c r="F529" s="732">
        <v>18000</v>
      </c>
      <c r="G529" s="211" t="s">
        <v>334</v>
      </c>
      <c r="H529" s="211" t="str">
        <f>IFERROR(VLOOKUP(E529,名称!A:E,4,0),"")</f>
        <v>三代</v>
      </c>
      <c r="I529" s="268" t="str">
        <f t="shared" ref="I529:BT529" si="614">IF(OR($E529="",I$1=""),"",IF(TRIM(LEFT($E529,MIN(IFERROR(FIND("CDU",UPPER($E529)),999),IFERROR(FIND("BULK",UPPER($E529)),999),IFERROR(FIND("-",$E529),999),IFERROR(FIND("（",$E529),999))-1))=I$1,$F529,""))</f>
        <v/>
      </c>
      <c r="J529" s="268" t="str">
        <f t="shared" si="614"/>
        <v/>
      </c>
      <c r="K529" s="268" t="str">
        <f t="shared" si="614"/>
        <v/>
      </c>
      <c r="L529" s="268" t="str">
        <f t="shared" si="614"/>
        <v/>
      </c>
      <c r="M529" s="268" t="str">
        <f t="shared" si="614"/>
        <v/>
      </c>
      <c r="N529" s="268" t="str">
        <f t="shared" si="614"/>
        <v/>
      </c>
      <c r="O529" s="268" t="str">
        <f t="shared" si="614"/>
        <v/>
      </c>
      <c r="P529" s="268" t="str">
        <f t="shared" si="614"/>
        <v/>
      </c>
      <c r="Q529" s="268" t="str">
        <f t="shared" si="614"/>
        <v/>
      </c>
      <c r="R529" s="268" t="str">
        <f t="shared" si="614"/>
        <v/>
      </c>
      <c r="S529" s="268" t="str">
        <f t="shared" si="614"/>
        <v/>
      </c>
      <c r="T529" s="268" t="str">
        <f t="shared" si="614"/>
        <v/>
      </c>
      <c r="U529" s="268" t="str">
        <f t="shared" si="614"/>
        <v/>
      </c>
      <c r="V529" s="268" t="str">
        <f t="shared" si="614"/>
        <v/>
      </c>
      <c r="W529" s="268" t="str">
        <f t="shared" si="614"/>
        <v/>
      </c>
      <c r="X529" s="268" t="str">
        <f t="shared" si="614"/>
        <v/>
      </c>
      <c r="Y529" s="268" t="str">
        <f t="shared" si="614"/>
        <v/>
      </c>
      <c r="Z529" s="268" t="str">
        <f t="shared" si="614"/>
        <v/>
      </c>
      <c r="AA529" s="268" t="str">
        <f t="shared" si="614"/>
        <v/>
      </c>
      <c r="AB529" s="268" t="str">
        <f t="shared" si="614"/>
        <v/>
      </c>
      <c r="AC529" s="268" t="str">
        <f t="shared" si="614"/>
        <v/>
      </c>
      <c r="AD529" s="268" t="str">
        <f t="shared" si="614"/>
        <v/>
      </c>
      <c r="AE529" s="268" t="str">
        <f t="shared" si="614"/>
        <v/>
      </c>
      <c r="AF529" s="268" t="str">
        <f t="shared" si="614"/>
        <v/>
      </c>
      <c r="AG529" s="268">
        <f t="shared" si="614"/>
        <v>18000</v>
      </c>
      <c r="AH529" s="268" t="str">
        <f t="shared" si="614"/>
        <v/>
      </c>
      <c r="AI529" s="268" t="str">
        <f t="shared" si="614"/>
        <v/>
      </c>
      <c r="AJ529" s="268" t="str">
        <f t="shared" si="614"/>
        <v/>
      </c>
      <c r="AK529" s="268" t="str">
        <f t="shared" si="614"/>
        <v/>
      </c>
      <c r="AL529" s="268" t="str">
        <f t="shared" si="614"/>
        <v/>
      </c>
      <c r="AM529" s="268" t="str">
        <f t="shared" si="614"/>
        <v/>
      </c>
      <c r="AN529" s="268" t="str">
        <f t="shared" si="614"/>
        <v/>
      </c>
      <c r="AO529" s="268" t="str">
        <f t="shared" si="614"/>
        <v/>
      </c>
      <c r="AP529" s="268" t="str">
        <f t="shared" si="614"/>
        <v/>
      </c>
      <c r="AQ529" s="268" t="str">
        <f t="shared" si="614"/>
        <v/>
      </c>
      <c r="AR529" s="268" t="str">
        <f t="shared" si="614"/>
        <v/>
      </c>
      <c r="AS529" s="268" t="str">
        <f t="shared" si="614"/>
        <v/>
      </c>
      <c r="AT529" s="268" t="str">
        <f t="shared" si="614"/>
        <v/>
      </c>
      <c r="AU529" s="268" t="str">
        <f t="shared" si="614"/>
        <v/>
      </c>
      <c r="AV529" s="268" t="str">
        <f t="shared" si="614"/>
        <v/>
      </c>
      <c r="AW529" s="268" t="str">
        <f t="shared" si="614"/>
        <v/>
      </c>
      <c r="AX529" s="268" t="str">
        <f t="shared" si="614"/>
        <v/>
      </c>
      <c r="AY529" s="268" t="str">
        <f t="shared" si="614"/>
        <v/>
      </c>
      <c r="AZ529" s="268" t="str">
        <f t="shared" si="614"/>
        <v/>
      </c>
      <c r="BA529" s="268" t="str">
        <f t="shared" si="614"/>
        <v/>
      </c>
      <c r="BB529" s="268" t="str">
        <f t="shared" si="614"/>
        <v/>
      </c>
      <c r="BC529" s="268" t="str">
        <f t="shared" si="614"/>
        <v/>
      </c>
      <c r="BD529" s="268" t="str">
        <f t="shared" si="614"/>
        <v/>
      </c>
      <c r="BE529" s="268" t="str">
        <f t="shared" si="614"/>
        <v/>
      </c>
      <c r="BF529" s="268" t="str">
        <f t="shared" si="614"/>
        <v/>
      </c>
      <c r="BG529" s="268" t="str">
        <f t="shared" si="614"/>
        <v/>
      </c>
      <c r="BH529" s="268" t="str">
        <f t="shared" si="614"/>
        <v/>
      </c>
      <c r="BI529" s="268" t="str">
        <f t="shared" si="614"/>
        <v/>
      </c>
      <c r="BJ529" s="268" t="str">
        <f t="shared" si="614"/>
        <v/>
      </c>
      <c r="BK529" s="268" t="str">
        <f t="shared" si="614"/>
        <v/>
      </c>
      <c r="BL529" s="268" t="str">
        <f t="shared" si="614"/>
        <v/>
      </c>
      <c r="BM529" s="268" t="str">
        <f t="shared" si="614"/>
        <v/>
      </c>
      <c r="BN529" s="268" t="str">
        <f t="shared" si="614"/>
        <v/>
      </c>
      <c r="BO529" s="268" t="str">
        <f t="shared" si="614"/>
        <v/>
      </c>
      <c r="BP529" s="268" t="str">
        <f t="shared" si="614"/>
        <v/>
      </c>
      <c r="BQ529" s="268" t="str">
        <f t="shared" si="614"/>
        <v/>
      </c>
      <c r="BR529" s="268" t="str">
        <f t="shared" si="614"/>
        <v/>
      </c>
      <c r="BS529" s="268" t="str">
        <f t="shared" si="614"/>
        <v/>
      </c>
      <c r="BT529" s="268" t="str">
        <f t="shared" si="614"/>
        <v/>
      </c>
      <c r="BU529" s="268" t="str">
        <f t="shared" si="597"/>
        <v/>
      </c>
      <c r="BV529" s="247">
        <v>2.02</v>
      </c>
      <c r="BW529" s="729">
        <f t="shared" si="602"/>
        <v>36360</v>
      </c>
      <c r="BX529" s="730">
        <f t="shared" si="603"/>
        <v>281790</v>
      </c>
      <c r="BY529" s="731" t="str">
        <f t="shared" si="604"/>
        <v>SR</v>
      </c>
    </row>
    <row r="530" s="697" customFormat="1" customHeight="1" spans="1:77">
      <c r="A530" s="116">
        <v>46121</v>
      </c>
      <c r="B530" s="116">
        <v>46316</v>
      </c>
      <c r="C530" s="118" t="s">
        <v>642</v>
      </c>
      <c r="D530" s="118" t="s">
        <v>643</v>
      </c>
      <c r="E530" s="118" t="s">
        <v>83</v>
      </c>
      <c r="F530" s="726">
        <v>168</v>
      </c>
      <c r="G530" s="118" t="s">
        <v>253</v>
      </c>
      <c r="H530" s="118" t="str">
        <f>IFERROR(VLOOKUP(E530,名称!A:E,4,0),"")</f>
        <v>三代</v>
      </c>
      <c r="I530" s="418" t="str">
        <f t="shared" ref="I530:BT530" si="615">IF(OR($E530="",I$1=""),"",IF(TRIM(LEFT($E530,MIN(IFERROR(FIND("CDU",UPPER($E530)),999),IFERROR(FIND("BULK",UPPER($E530)),999),IFERROR(FIND("-",$E530),999),IFERROR(FIND("（",$E530),999))-1))=I$1,$F530,""))</f>
        <v/>
      </c>
      <c r="J530" s="418" t="str">
        <f t="shared" si="615"/>
        <v/>
      </c>
      <c r="K530" s="418" t="str">
        <f t="shared" si="615"/>
        <v/>
      </c>
      <c r="L530" s="418" t="str">
        <f t="shared" si="615"/>
        <v/>
      </c>
      <c r="M530" s="418" t="str">
        <f t="shared" si="615"/>
        <v/>
      </c>
      <c r="N530" s="418" t="str">
        <f t="shared" si="615"/>
        <v/>
      </c>
      <c r="O530" s="418" t="str">
        <f t="shared" si="615"/>
        <v/>
      </c>
      <c r="P530" s="418" t="str">
        <f t="shared" si="615"/>
        <v/>
      </c>
      <c r="Q530" s="418" t="str">
        <f t="shared" si="615"/>
        <v/>
      </c>
      <c r="R530" s="418" t="str">
        <f t="shared" si="615"/>
        <v/>
      </c>
      <c r="S530" s="418" t="str">
        <f t="shared" si="615"/>
        <v/>
      </c>
      <c r="T530" s="418" t="str">
        <f t="shared" si="615"/>
        <v/>
      </c>
      <c r="U530" s="418" t="str">
        <f t="shared" si="615"/>
        <v/>
      </c>
      <c r="V530" s="418" t="str">
        <f t="shared" si="615"/>
        <v/>
      </c>
      <c r="W530" s="418" t="str">
        <f t="shared" si="615"/>
        <v/>
      </c>
      <c r="X530" s="418" t="str">
        <f t="shared" si="615"/>
        <v/>
      </c>
      <c r="Y530" s="418" t="str">
        <f t="shared" si="615"/>
        <v/>
      </c>
      <c r="Z530" s="418" t="str">
        <f t="shared" si="615"/>
        <v/>
      </c>
      <c r="AA530" s="418" t="str">
        <f t="shared" si="615"/>
        <v/>
      </c>
      <c r="AB530" s="418" t="str">
        <f t="shared" si="615"/>
        <v/>
      </c>
      <c r="AC530" s="418" t="str">
        <f t="shared" si="615"/>
        <v/>
      </c>
      <c r="AD530" s="418" t="str">
        <f t="shared" si="615"/>
        <v/>
      </c>
      <c r="AE530" s="418" t="str">
        <f t="shared" si="615"/>
        <v/>
      </c>
      <c r="AF530" s="418" t="str">
        <f t="shared" si="615"/>
        <v/>
      </c>
      <c r="AG530" s="418" t="str">
        <f t="shared" si="615"/>
        <v/>
      </c>
      <c r="AH530" s="418" t="str">
        <f t="shared" si="615"/>
        <v/>
      </c>
      <c r="AI530" s="418" t="str">
        <f t="shared" si="615"/>
        <v/>
      </c>
      <c r="AJ530" s="418" t="str">
        <f t="shared" si="615"/>
        <v/>
      </c>
      <c r="AK530" s="418" t="str">
        <f t="shared" si="615"/>
        <v/>
      </c>
      <c r="AL530" s="418" t="str">
        <f t="shared" si="615"/>
        <v/>
      </c>
      <c r="AM530" s="418" t="str">
        <f t="shared" si="615"/>
        <v/>
      </c>
      <c r="AN530" s="418">
        <f t="shared" si="615"/>
        <v>168</v>
      </c>
      <c r="AO530" s="418" t="str">
        <f t="shared" si="615"/>
        <v/>
      </c>
      <c r="AP530" s="418" t="str">
        <f t="shared" si="615"/>
        <v/>
      </c>
      <c r="AQ530" s="418" t="str">
        <f t="shared" si="615"/>
        <v/>
      </c>
      <c r="AR530" s="418" t="str">
        <f t="shared" si="615"/>
        <v/>
      </c>
      <c r="AS530" s="418" t="str">
        <f t="shared" si="615"/>
        <v/>
      </c>
      <c r="AT530" s="418" t="str">
        <f t="shared" si="615"/>
        <v/>
      </c>
      <c r="AU530" s="418" t="str">
        <f t="shared" si="615"/>
        <v/>
      </c>
      <c r="AV530" s="418" t="str">
        <f t="shared" si="615"/>
        <v/>
      </c>
      <c r="AW530" s="418" t="str">
        <f t="shared" si="615"/>
        <v/>
      </c>
      <c r="AX530" s="418" t="str">
        <f t="shared" si="615"/>
        <v/>
      </c>
      <c r="AY530" s="418" t="str">
        <f t="shared" si="615"/>
        <v/>
      </c>
      <c r="AZ530" s="418" t="str">
        <f t="shared" si="615"/>
        <v/>
      </c>
      <c r="BA530" s="418" t="str">
        <f t="shared" si="615"/>
        <v/>
      </c>
      <c r="BB530" s="418" t="str">
        <f t="shared" si="615"/>
        <v/>
      </c>
      <c r="BC530" s="418" t="str">
        <f t="shared" si="615"/>
        <v/>
      </c>
      <c r="BD530" s="418" t="str">
        <f t="shared" si="615"/>
        <v/>
      </c>
      <c r="BE530" s="418" t="str">
        <f t="shared" si="615"/>
        <v/>
      </c>
      <c r="BF530" s="418" t="str">
        <f t="shared" si="615"/>
        <v/>
      </c>
      <c r="BG530" s="418" t="str">
        <f t="shared" si="615"/>
        <v/>
      </c>
      <c r="BH530" s="418" t="str">
        <f t="shared" si="615"/>
        <v/>
      </c>
      <c r="BI530" s="418" t="str">
        <f t="shared" si="615"/>
        <v/>
      </c>
      <c r="BJ530" s="418" t="str">
        <f t="shared" si="615"/>
        <v/>
      </c>
      <c r="BK530" s="418" t="str">
        <f t="shared" si="615"/>
        <v/>
      </c>
      <c r="BL530" s="418" t="str">
        <f t="shared" si="615"/>
        <v/>
      </c>
      <c r="BM530" s="418" t="str">
        <f t="shared" si="615"/>
        <v/>
      </c>
      <c r="BN530" s="418" t="str">
        <f t="shared" si="615"/>
        <v/>
      </c>
      <c r="BO530" s="418" t="str">
        <f t="shared" si="615"/>
        <v/>
      </c>
      <c r="BP530" s="418" t="str">
        <f t="shared" si="615"/>
        <v/>
      </c>
      <c r="BQ530" s="418" t="str">
        <f t="shared" si="615"/>
        <v/>
      </c>
      <c r="BR530" s="418" t="str">
        <f t="shared" si="615"/>
        <v/>
      </c>
      <c r="BS530" s="418" t="str">
        <f t="shared" si="615"/>
        <v/>
      </c>
      <c r="BT530" s="418" t="str">
        <f t="shared" si="615"/>
        <v/>
      </c>
      <c r="BU530" s="418" t="str">
        <f t="shared" si="597"/>
        <v/>
      </c>
      <c r="BV530" s="544">
        <v>0.83</v>
      </c>
      <c r="BW530" s="723">
        <f t="shared" si="602"/>
        <v>139.44</v>
      </c>
      <c r="BX530" s="724">
        <f t="shared" si="603"/>
        <v>1080.66</v>
      </c>
      <c r="BY530" s="725" t="str">
        <f t="shared" si="604"/>
        <v>SR</v>
      </c>
    </row>
    <row r="531" s="697" customFormat="1" customHeight="1" spans="1:77">
      <c r="A531" s="116">
        <v>46122</v>
      </c>
      <c r="B531" s="116">
        <v>46161</v>
      </c>
      <c r="C531" s="118" t="s">
        <v>703</v>
      </c>
      <c r="D531" s="118" t="s">
        <v>704</v>
      </c>
      <c r="E531" s="118" t="s">
        <v>59</v>
      </c>
      <c r="F531" s="726">
        <v>3600</v>
      </c>
      <c r="G531" s="118" t="s">
        <v>510</v>
      </c>
      <c r="H531" s="118" t="str">
        <f>IFERROR(VLOOKUP(E531,[1]名称!A:E,4,0),"")</f>
        <v>三代</v>
      </c>
      <c r="I531" s="418" t="str">
        <f t="shared" ref="I531:BT531" si="616">IF(OR($E531="",I$1=""),"",IF(TRIM(LEFT($E531,MIN(IFERROR(FIND("CDU",UPPER($E531)),999),IFERROR(FIND("BULK",UPPER($E531)),999),IFERROR(FIND("-",$E531),999),IFERROR(FIND("（",$E531),999))-1))=I$1,$F531,""))</f>
        <v/>
      </c>
      <c r="J531" s="418" t="str">
        <f t="shared" si="616"/>
        <v/>
      </c>
      <c r="K531" s="418" t="str">
        <f t="shared" si="616"/>
        <v/>
      </c>
      <c r="L531" s="418" t="str">
        <f t="shared" si="616"/>
        <v/>
      </c>
      <c r="M531" s="418" t="str">
        <f t="shared" si="616"/>
        <v/>
      </c>
      <c r="N531" s="418" t="str">
        <f t="shared" si="616"/>
        <v/>
      </c>
      <c r="O531" s="418" t="str">
        <f t="shared" si="616"/>
        <v/>
      </c>
      <c r="P531" s="418" t="str">
        <f t="shared" si="616"/>
        <v/>
      </c>
      <c r="Q531" s="418" t="str">
        <f t="shared" si="616"/>
        <v/>
      </c>
      <c r="R531" s="418" t="str">
        <f t="shared" si="616"/>
        <v/>
      </c>
      <c r="S531" s="418" t="str">
        <f t="shared" si="616"/>
        <v/>
      </c>
      <c r="T531" s="418" t="str">
        <f t="shared" si="616"/>
        <v/>
      </c>
      <c r="U531" s="418" t="str">
        <f t="shared" si="616"/>
        <v/>
      </c>
      <c r="V531" s="418" t="str">
        <f t="shared" si="616"/>
        <v/>
      </c>
      <c r="W531" s="418" t="str">
        <f t="shared" si="616"/>
        <v/>
      </c>
      <c r="X531" s="418" t="str">
        <f t="shared" si="616"/>
        <v/>
      </c>
      <c r="Y531" s="418" t="str">
        <f t="shared" si="616"/>
        <v/>
      </c>
      <c r="Z531" s="418" t="str">
        <f t="shared" si="616"/>
        <v/>
      </c>
      <c r="AA531" s="418" t="str">
        <f t="shared" si="616"/>
        <v/>
      </c>
      <c r="AB531" s="418" t="str">
        <f t="shared" si="616"/>
        <v/>
      </c>
      <c r="AC531" s="418" t="str">
        <f t="shared" si="616"/>
        <v/>
      </c>
      <c r="AD531" s="418">
        <f t="shared" si="616"/>
        <v>3600</v>
      </c>
      <c r="AE531" s="418" t="str">
        <f t="shared" si="616"/>
        <v/>
      </c>
      <c r="AF531" s="418" t="str">
        <f t="shared" si="616"/>
        <v/>
      </c>
      <c r="AG531" s="418" t="str">
        <f t="shared" si="616"/>
        <v/>
      </c>
      <c r="AH531" s="418" t="str">
        <f t="shared" si="616"/>
        <v/>
      </c>
      <c r="AI531" s="418" t="str">
        <f t="shared" si="616"/>
        <v/>
      </c>
      <c r="AJ531" s="418" t="str">
        <f t="shared" si="616"/>
        <v/>
      </c>
      <c r="AK531" s="418" t="str">
        <f t="shared" si="616"/>
        <v/>
      </c>
      <c r="AL531" s="418" t="str">
        <f t="shared" si="616"/>
        <v/>
      </c>
      <c r="AM531" s="418" t="str">
        <f t="shared" si="616"/>
        <v/>
      </c>
      <c r="AN531" s="418" t="str">
        <f t="shared" si="616"/>
        <v/>
      </c>
      <c r="AO531" s="418" t="str">
        <f t="shared" si="616"/>
        <v/>
      </c>
      <c r="AP531" s="418" t="str">
        <f t="shared" si="616"/>
        <v/>
      </c>
      <c r="AQ531" s="418" t="str">
        <f t="shared" si="616"/>
        <v/>
      </c>
      <c r="AR531" s="418" t="str">
        <f t="shared" si="616"/>
        <v/>
      </c>
      <c r="AS531" s="418" t="str">
        <f t="shared" si="616"/>
        <v/>
      </c>
      <c r="AT531" s="418" t="str">
        <f t="shared" si="616"/>
        <v/>
      </c>
      <c r="AU531" s="418" t="str">
        <f t="shared" si="616"/>
        <v/>
      </c>
      <c r="AV531" s="418" t="str">
        <f t="shared" si="616"/>
        <v/>
      </c>
      <c r="AW531" s="418" t="str">
        <f t="shared" si="616"/>
        <v/>
      </c>
      <c r="AX531" s="418" t="str">
        <f t="shared" si="616"/>
        <v/>
      </c>
      <c r="AY531" s="418" t="str">
        <f t="shared" si="616"/>
        <v/>
      </c>
      <c r="AZ531" s="418" t="str">
        <f t="shared" si="616"/>
        <v/>
      </c>
      <c r="BA531" s="418" t="str">
        <f t="shared" si="616"/>
        <v/>
      </c>
      <c r="BB531" s="418" t="str">
        <f t="shared" si="616"/>
        <v/>
      </c>
      <c r="BC531" s="418" t="str">
        <f t="shared" si="616"/>
        <v/>
      </c>
      <c r="BD531" s="418" t="str">
        <f t="shared" si="616"/>
        <v/>
      </c>
      <c r="BE531" s="418" t="str">
        <f t="shared" si="616"/>
        <v/>
      </c>
      <c r="BF531" s="418" t="str">
        <f t="shared" si="616"/>
        <v/>
      </c>
      <c r="BG531" s="418" t="str">
        <f t="shared" si="616"/>
        <v/>
      </c>
      <c r="BH531" s="418" t="str">
        <f t="shared" si="616"/>
        <v/>
      </c>
      <c r="BI531" s="418" t="str">
        <f t="shared" si="616"/>
        <v/>
      </c>
      <c r="BJ531" s="418" t="str">
        <f t="shared" si="616"/>
        <v/>
      </c>
      <c r="BK531" s="418" t="str">
        <f t="shared" si="616"/>
        <v/>
      </c>
      <c r="BL531" s="418" t="str">
        <f t="shared" si="616"/>
        <v/>
      </c>
      <c r="BM531" s="418" t="str">
        <f t="shared" si="616"/>
        <v/>
      </c>
      <c r="BN531" s="418" t="str">
        <f t="shared" si="616"/>
        <v/>
      </c>
      <c r="BO531" s="418" t="str">
        <f t="shared" si="616"/>
        <v/>
      </c>
      <c r="BP531" s="418" t="str">
        <f t="shared" si="616"/>
        <v/>
      </c>
      <c r="BQ531" s="418" t="str">
        <f t="shared" si="616"/>
        <v/>
      </c>
      <c r="BR531" s="418" t="str">
        <f t="shared" si="616"/>
        <v/>
      </c>
      <c r="BS531" s="418" t="str">
        <f t="shared" si="616"/>
        <v/>
      </c>
      <c r="BT531" s="418" t="str">
        <f t="shared" si="616"/>
        <v/>
      </c>
      <c r="BU531" s="418" t="str">
        <f t="shared" ref="BU531:BU578" si="617">IF(OR($E531="",BU$1=""),"",IF(TRIM(LEFT($E531,MIN(IFERROR(FIND("CDU",UPPER($E531)),999),IFERROR(FIND("BULK",UPPER($E531)),999),IFERROR(FIND("-",$E531),999),IFERROR(FIND("（",$E531),999))-1))=BU$1,$F531,""))</f>
        <v/>
      </c>
      <c r="BV531" s="544">
        <v>0.63</v>
      </c>
      <c r="BW531" s="723">
        <f t="shared" ref="BW531:BW593" si="618">SUM(I531:BU531)*BV531</f>
        <v>2268</v>
      </c>
      <c r="BX531" s="724">
        <f t="shared" ref="BX531:BX561" si="619">BW531*7.75</f>
        <v>17577</v>
      </c>
      <c r="BY531" s="725" t="str">
        <f t="shared" ref="BY531:BY561" si="620">MID(E531,1,2)</f>
        <v>SR</v>
      </c>
    </row>
    <row r="532" s="697" customFormat="1" customHeight="1" spans="1:77">
      <c r="A532" s="116">
        <v>46122</v>
      </c>
      <c r="B532" s="116">
        <v>46161</v>
      </c>
      <c r="C532" s="118" t="s">
        <v>703</v>
      </c>
      <c r="D532" s="118" t="s">
        <v>704</v>
      </c>
      <c r="E532" s="118" t="s">
        <v>55</v>
      </c>
      <c r="F532" s="726">
        <v>2400</v>
      </c>
      <c r="G532" s="118" t="s">
        <v>510</v>
      </c>
      <c r="H532" s="118" t="str">
        <f>IFERROR(VLOOKUP(E532,[1]名称!A:E,4,0),"")</f>
        <v>三代</v>
      </c>
      <c r="I532" s="418" t="str">
        <f t="shared" ref="I532:BT532" si="621">IF(OR($E532="",I$1=""),"",IF(TRIM(LEFT($E532,MIN(IFERROR(FIND("CDU",UPPER($E532)),999),IFERROR(FIND("BULK",UPPER($E532)),999),IFERROR(FIND("-",$E532),999),IFERROR(FIND("（",$E532),999))-1))=I$1,$F532,""))</f>
        <v/>
      </c>
      <c r="J532" s="418" t="str">
        <f t="shared" si="621"/>
        <v/>
      </c>
      <c r="K532" s="418" t="str">
        <f t="shared" si="621"/>
        <v/>
      </c>
      <c r="L532" s="418" t="str">
        <f t="shared" si="621"/>
        <v/>
      </c>
      <c r="M532" s="418" t="str">
        <f t="shared" si="621"/>
        <v/>
      </c>
      <c r="N532" s="418" t="str">
        <f t="shared" si="621"/>
        <v/>
      </c>
      <c r="O532" s="418" t="str">
        <f t="shared" si="621"/>
        <v/>
      </c>
      <c r="P532" s="418" t="str">
        <f t="shared" si="621"/>
        <v/>
      </c>
      <c r="Q532" s="418" t="str">
        <f t="shared" si="621"/>
        <v/>
      </c>
      <c r="R532" s="418" t="str">
        <f t="shared" si="621"/>
        <v/>
      </c>
      <c r="S532" s="418" t="str">
        <f t="shared" si="621"/>
        <v/>
      </c>
      <c r="T532" s="418" t="str">
        <f t="shared" si="621"/>
        <v/>
      </c>
      <c r="U532" s="418" t="str">
        <f t="shared" si="621"/>
        <v/>
      </c>
      <c r="V532" s="418" t="str">
        <f t="shared" si="621"/>
        <v/>
      </c>
      <c r="W532" s="418" t="str">
        <f t="shared" si="621"/>
        <v/>
      </c>
      <c r="X532" s="418" t="str">
        <f t="shared" si="621"/>
        <v/>
      </c>
      <c r="Y532" s="418" t="str">
        <f t="shared" si="621"/>
        <v/>
      </c>
      <c r="Z532" s="418" t="str">
        <f t="shared" si="621"/>
        <v/>
      </c>
      <c r="AA532" s="418" t="str">
        <f t="shared" si="621"/>
        <v/>
      </c>
      <c r="AB532" s="418" t="str">
        <f t="shared" si="621"/>
        <v/>
      </c>
      <c r="AC532" s="418">
        <f t="shared" si="621"/>
        <v>2400</v>
      </c>
      <c r="AD532" s="418" t="str">
        <f t="shared" si="621"/>
        <v/>
      </c>
      <c r="AE532" s="418" t="str">
        <f t="shared" si="621"/>
        <v/>
      </c>
      <c r="AF532" s="418" t="str">
        <f t="shared" si="621"/>
        <v/>
      </c>
      <c r="AG532" s="418" t="str">
        <f t="shared" si="621"/>
        <v/>
      </c>
      <c r="AH532" s="418" t="str">
        <f t="shared" si="621"/>
        <v/>
      </c>
      <c r="AI532" s="418" t="str">
        <f t="shared" si="621"/>
        <v/>
      </c>
      <c r="AJ532" s="418" t="str">
        <f t="shared" si="621"/>
        <v/>
      </c>
      <c r="AK532" s="418" t="str">
        <f t="shared" si="621"/>
        <v/>
      </c>
      <c r="AL532" s="418" t="str">
        <f t="shared" si="621"/>
        <v/>
      </c>
      <c r="AM532" s="418" t="str">
        <f t="shared" si="621"/>
        <v/>
      </c>
      <c r="AN532" s="418" t="str">
        <f t="shared" si="621"/>
        <v/>
      </c>
      <c r="AO532" s="418" t="str">
        <f t="shared" si="621"/>
        <v/>
      </c>
      <c r="AP532" s="418" t="str">
        <f t="shared" si="621"/>
        <v/>
      </c>
      <c r="AQ532" s="418" t="str">
        <f t="shared" si="621"/>
        <v/>
      </c>
      <c r="AR532" s="418" t="str">
        <f t="shared" si="621"/>
        <v/>
      </c>
      <c r="AS532" s="418" t="str">
        <f t="shared" si="621"/>
        <v/>
      </c>
      <c r="AT532" s="418" t="str">
        <f t="shared" si="621"/>
        <v/>
      </c>
      <c r="AU532" s="418" t="str">
        <f t="shared" si="621"/>
        <v/>
      </c>
      <c r="AV532" s="418" t="str">
        <f t="shared" si="621"/>
        <v/>
      </c>
      <c r="AW532" s="418" t="str">
        <f t="shared" si="621"/>
        <v/>
      </c>
      <c r="AX532" s="418" t="str">
        <f t="shared" si="621"/>
        <v/>
      </c>
      <c r="AY532" s="418" t="str">
        <f t="shared" si="621"/>
        <v/>
      </c>
      <c r="AZ532" s="418" t="str">
        <f t="shared" si="621"/>
        <v/>
      </c>
      <c r="BA532" s="418" t="str">
        <f t="shared" si="621"/>
        <v/>
      </c>
      <c r="BB532" s="418" t="str">
        <f t="shared" si="621"/>
        <v/>
      </c>
      <c r="BC532" s="418" t="str">
        <f t="shared" si="621"/>
        <v/>
      </c>
      <c r="BD532" s="418" t="str">
        <f t="shared" si="621"/>
        <v/>
      </c>
      <c r="BE532" s="418" t="str">
        <f t="shared" si="621"/>
        <v/>
      </c>
      <c r="BF532" s="418" t="str">
        <f t="shared" si="621"/>
        <v/>
      </c>
      <c r="BG532" s="418" t="str">
        <f t="shared" si="621"/>
        <v/>
      </c>
      <c r="BH532" s="418" t="str">
        <f t="shared" si="621"/>
        <v/>
      </c>
      <c r="BI532" s="418" t="str">
        <f t="shared" si="621"/>
        <v/>
      </c>
      <c r="BJ532" s="418" t="str">
        <f t="shared" si="621"/>
        <v/>
      </c>
      <c r="BK532" s="418" t="str">
        <f t="shared" si="621"/>
        <v/>
      </c>
      <c r="BL532" s="418" t="str">
        <f t="shared" si="621"/>
        <v/>
      </c>
      <c r="BM532" s="418" t="str">
        <f t="shared" si="621"/>
        <v/>
      </c>
      <c r="BN532" s="418" t="str">
        <f t="shared" si="621"/>
        <v/>
      </c>
      <c r="BO532" s="418" t="str">
        <f t="shared" si="621"/>
        <v/>
      </c>
      <c r="BP532" s="418" t="str">
        <f t="shared" si="621"/>
        <v/>
      </c>
      <c r="BQ532" s="418" t="str">
        <f t="shared" si="621"/>
        <v/>
      </c>
      <c r="BR532" s="418" t="str">
        <f t="shared" si="621"/>
        <v/>
      </c>
      <c r="BS532" s="418" t="str">
        <f t="shared" si="621"/>
        <v/>
      </c>
      <c r="BT532" s="418" t="str">
        <f t="shared" si="621"/>
        <v/>
      </c>
      <c r="BU532" s="418" t="str">
        <f t="shared" si="617"/>
        <v/>
      </c>
      <c r="BV532" s="544">
        <v>0.88</v>
      </c>
      <c r="BW532" s="723">
        <f t="shared" si="618"/>
        <v>2112</v>
      </c>
      <c r="BX532" s="724">
        <f t="shared" si="619"/>
        <v>16368</v>
      </c>
      <c r="BY532" s="725" t="str">
        <f t="shared" si="620"/>
        <v>SR</v>
      </c>
    </row>
    <row r="533" s="697" customFormat="1" customHeight="1" spans="1:77">
      <c r="A533" s="116">
        <v>46122</v>
      </c>
      <c r="B533" s="116">
        <v>46161</v>
      </c>
      <c r="C533" s="118" t="s">
        <v>703</v>
      </c>
      <c r="D533" s="118" t="s">
        <v>704</v>
      </c>
      <c r="E533" s="118" t="s">
        <v>66</v>
      </c>
      <c r="F533" s="726">
        <v>1404</v>
      </c>
      <c r="G533" s="118" t="s">
        <v>510</v>
      </c>
      <c r="H533" s="118" t="str">
        <f>IFERROR(VLOOKUP(E533,[1]名称!A:E,4,0),"")</f>
        <v>三代</v>
      </c>
      <c r="I533" s="418" t="str">
        <f t="shared" ref="I533:BT533" si="622">IF(OR($E533="",I$1=""),"",IF(TRIM(LEFT($E533,MIN(IFERROR(FIND("CDU",UPPER($E533)),999),IFERROR(FIND("BULK",UPPER($E533)),999),IFERROR(FIND("-",$E533),999),IFERROR(FIND("（",$E533),999))-1))=I$1,$F533,""))</f>
        <v/>
      </c>
      <c r="J533" s="418" t="str">
        <f t="shared" si="622"/>
        <v/>
      </c>
      <c r="K533" s="418" t="str">
        <f t="shared" si="622"/>
        <v/>
      </c>
      <c r="L533" s="418" t="str">
        <f t="shared" si="622"/>
        <v/>
      </c>
      <c r="M533" s="418" t="str">
        <f t="shared" si="622"/>
        <v/>
      </c>
      <c r="N533" s="418" t="str">
        <f t="shared" si="622"/>
        <v/>
      </c>
      <c r="O533" s="418" t="str">
        <f t="shared" si="622"/>
        <v/>
      </c>
      <c r="P533" s="418" t="str">
        <f t="shared" si="622"/>
        <v/>
      </c>
      <c r="Q533" s="418" t="str">
        <f t="shared" si="622"/>
        <v/>
      </c>
      <c r="R533" s="418" t="str">
        <f t="shared" si="622"/>
        <v/>
      </c>
      <c r="S533" s="418" t="str">
        <f t="shared" si="622"/>
        <v/>
      </c>
      <c r="T533" s="418" t="str">
        <f t="shared" si="622"/>
        <v/>
      </c>
      <c r="U533" s="418" t="str">
        <f t="shared" si="622"/>
        <v/>
      </c>
      <c r="V533" s="418" t="str">
        <f t="shared" si="622"/>
        <v/>
      </c>
      <c r="W533" s="418" t="str">
        <f t="shared" si="622"/>
        <v/>
      </c>
      <c r="X533" s="418" t="str">
        <f t="shared" si="622"/>
        <v/>
      </c>
      <c r="Y533" s="418" t="str">
        <f t="shared" si="622"/>
        <v/>
      </c>
      <c r="Z533" s="418" t="str">
        <f t="shared" si="622"/>
        <v/>
      </c>
      <c r="AA533" s="418" t="str">
        <f t="shared" si="622"/>
        <v/>
      </c>
      <c r="AB533" s="418" t="str">
        <f t="shared" si="622"/>
        <v/>
      </c>
      <c r="AC533" s="418" t="str">
        <f t="shared" si="622"/>
        <v/>
      </c>
      <c r="AD533" s="418" t="str">
        <f t="shared" si="622"/>
        <v/>
      </c>
      <c r="AE533" s="418" t="str">
        <f t="shared" si="622"/>
        <v/>
      </c>
      <c r="AF533" s="418" t="str">
        <f t="shared" si="622"/>
        <v/>
      </c>
      <c r="AG533" s="418">
        <f t="shared" si="622"/>
        <v>1404</v>
      </c>
      <c r="AH533" s="418" t="str">
        <f t="shared" si="622"/>
        <v/>
      </c>
      <c r="AI533" s="418" t="str">
        <f t="shared" si="622"/>
        <v/>
      </c>
      <c r="AJ533" s="418" t="str">
        <f t="shared" si="622"/>
        <v/>
      </c>
      <c r="AK533" s="418" t="str">
        <f t="shared" si="622"/>
        <v/>
      </c>
      <c r="AL533" s="418" t="str">
        <f t="shared" si="622"/>
        <v/>
      </c>
      <c r="AM533" s="418" t="str">
        <f t="shared" si="622"/>
        <v/>
      </c>
      <c r="AN533" s="418" t="str">
        <f t="shared" si="622"/>
        <v/>
      </c>
      <c r="AO533" s="418" t="str">
        <f t="shared" si="622"/>
        <v/>
      </c>
      <c r="AP533" s="418" t="str">
        <f t="shared" si="622"/>
        <v/>
      </c>
      <c r="AQ533" s="418" t="str">
        <f t="shared" si="622"/>
        <v/>
      </c>
      <c r="AR533" s="418" t="str">
        <f t="shared" si="622"/>
        <v/>
      </c>
      <c r="AS533" s="418" t="str">
        <f t="shared" si="622"/>
        <v/>
      </c>
      <c r="AT533" s="418" t="str">
        <f t="shared" si="622"/>
        <v/>
      </c>
      <c r="AU533" s="418" t="str">
        <f t="shared" si="622"/>
        <v/>
      </c>
      <c r="AV533" s="418" t="str">
        <f t="shared" si="622"/>
        <v/>
      </c>
      <c r="AW533" s="418" t="str">
        <f t="shared" si="622"/>
        <v/>
      </c>
      <c r="AX533" s="418" t="str">
        <f t="shared" si="622"/>
        <v/>
      </c>
      <c r="AY533" s="418" t="str">
        <f t="shared" si="622"/>
        <v/>
      </c>
      <c r="AZ533" s="418" t="str">
        <f t="shared" si="622"/>
        <v/>
      </c>
      <c r="BA533" s="418" t="str">
        <f t="shared" si="622"/>
        <v/>
      </c>
      <c r="BB533" s="418" t="str">
        <f t="shared" si="622"/>
        <v/>
      </c>
      <c r="BC533" s="418" t="str">
        <f t="shared" si="622"/>
        <v/>
      </c>
      <c r="BD533" s="418" t="str">
        <f t="shared" si="622"/>
        <v/>
      </c>
      <c r="BE533" s="418" t="str">
        <f t="shared" si="622"/>
        <v/>
      </c>
      <c r="BF533" s="418" t="str">
        <f t="shared" si="622"/>
        <v/>
      </c>
      <c r="BG533" s="418" t="str">
        <f t="shared" si="622"/>
        <v/>
      </c>
      <c r="BH533" s="418" t="str">
        <f t="shared" si="622"/>
        <v/>
      </c>
      <c r="BI533" s="418" t="str">
        <f t="shared" si="622"/>
        <v/>
      </c>
      <c r="BJ533" s="418" t="str">
        <f t="shared" si="622"/>
        <v/>
      </c>
      <c r="BK533" s="418" t="str">
        <f t="shared" si="622"/>
        <v/>
      </c>
      <c r="BL533" s="418" t="str">
        <f t="shared" si="622"/>
        <v/>
      </c>
      <c r="BM533" s="418" t="str">
        <f t="shared" si="622"/>
        <v/>
      </c>
      <c r="BN533" s="418" t="str">
        <f t="shared" si="622"/>
        <v/>
      </c>
      <c r="BO533" s="418" t="str">
        <f t="shared" si="622"/>
        <v/>
      </c>
      <c r="BP533" s="418" t="str">
        <f t="shared" si="622"/>
        <v/>
      </c>
      <c r="BQ533" s="418" t="str">
        <f t="shared" si="622"/>
        <v/>
      </c>
      <c r="BR533" s="418" t="str">
        <f t="shared" si="622"/>
        <v/>
      </c>
      <c r="BS533" s="418" t="str">
        <f t="shared" si="622"/>
        <v/>
      </c>
      <c r="BT533" s="418" t="str">
        <f t="shared" si="622"/>
        <v/>
      </c>
      <c r="BU533" s="418" t="str">
        <f t="shared" si="617"/>
        <v/>
      </c>
      <c r="BV533" s="544">
        <v>2.04</v>
      </c>
      <c r="BW533" s="723">
        <f t="shared" si="618"/>
        <v>2864.16</v>
      </c>
      <c r="BX533" s="724">
        <f t="shared" si="619"/>
        <v>22197.24</v>
      </c>
      <c r="BY533" s="725" t="str">
        <f t="shared" si="620"/>
        <v>SR</v>
      </c>
    </row>
    <row r="534" s="697" customFormat="1" customHeight="1" spans="1:77">
      <c r="A534" s="116">
        <v>46122</v>
      </c>
      <c r="B534" s="116">
        <v>46161</v>
      </c>
      <c r="C534" s="118" t="s">
        <v>703</v>
      </c>
      <c r="D534" s="118" t="s">
        <v>704</v>
      </c>
      <c r="E534" s="118" t="s">
        <v>68</v>
      </c>
      <c r="F534" s="726">
        <v>480</v>
      </c>
      <c r="G534" s="118" t="s">
        <v>510</v>
      </c>
      <c r="H534" s="118" t="str">
        <f>IFERROR(VLOOKUP(E534,[1]名称!A:E,4,0),"")</f>
        <v>三代</v>
      </c>
      <c r="I534" s="418" t="str">
        <f t="shared" ref="I534:BT534" si="623">IF(OR($E534="",I$1=""),"",IF(TRIM(LEFT($E534,MIN(IFERROR(FIND("CDU",UPPER($E534)),999),IFERROR(FIND("BULK",UPPER($E534)),999),IFERROR(FIND("-",$E534),999),IFERROR(FIND("（",$E534),999))-1))=I$1,$F534,""))</f>
        <v/>
      </c>
      <c r="J534" s="418" t="str">
        <f t="shared" si="623"/>
        <v/>
      </c>
      <c r="K534" s="418" t="str">
        <f t="shared" si="623"/>
        <v/>
      </c>
      <c r="L534" s="418" t="str">
        <f t="shared" si="623"/>
        <v/>
      </c>
      <c r="M534" s="418" t="str">
        <f t="shared" si="623"/>
        <v/>
      </c>
      <c r="N534" s="418" t="str">
        <f t="shared" si="623"/>
        <v/>
      </c>
      <c r="O534" s="418" t="str">
        <f t="shared" si="623"/>
        <v/>
      </c>
      <c r="P534" s="418" t="str">
        <f t="shared" si="623"/>
        <v/>
      </c>
      <c r="Q534" s="418" t="str">
        <f t="shared" si="623"/>
        <v/>
      </c>
      <c r="R534" s="418" t="str">
        <f t="shared" si="623"/>
        <v/>
      </c>
      <c r="S534" s="418" t="str">
        <f t="shared" si="623"/>
        <v/>
      </c>
      <c r="T534" s="418" t="str">
        <f t="shared" si="623"/>
        <v/>
      </c>
      <c r="U534" s="418" t="str">
        <f t="shared" si="623"/>
        <v/>
      </c>
      <c r="V534" s="418" t="str">
        <f t="shared" si="623"/>
        <v/>
      </c>
      <c r="W534" s="418" t="str">
        <f t="shared" si="623"/>
        <v/>
      </c>
      <c r="X534" s="418" t="str">
        <f t="shared" si="623"/>
        <v/>
      </c>
      <c r="Y534" s="418" t="str">
        <f t="shared" si="623"/>
        <v/>
      </c>
      <c r="Z534" s="418" t="str">
        <f t="shared" si="623"/>
        <v/>
      </c>
      <c r="AA534" s="418" t="str">
        <f t="shared" si="623"/>
        <v/>
      </c>
      <c r="AB534" s="418" t="str">
        <f t="shared" si="623"/>
        <v/>
      </c>
      <c r="AC534" s="418" t="str">
        <f t="shared" si="623"/>
        <v/>
      </c>
      <c r="AD534" s="418" t="str">
        <f t="shared" si="623"/>
        <v/>
      </c>
      <c r="AE534" s="418" t="str">
        <f t="shared" si="623"/>
        <v/>
      </c>
      <c r="AF534" s="418" t="str">
        <f t="shared" si="623"/>
        <v/>
      </c>
      <c r="AG534" s="418" t="str">
        <f t="shared" si="623"/>
        <v/>
      </c>
      <c r="AH534" s="418">
        <f t="shared" si="623"/>
        <v>480</v>
      </c>
      <c r="AI534" s="418" t="str">
        <f t="shared" si="623"/>
        <v/>
      </c>
      <c r="AJ534" s="418" t="str">
        <f t="shared" si="623"/>
        <v/>
      </c>
      <c r="AK534" s="418" t="str">
        <f t="shared" si="623"/>
        <v/>
      </c>
      <c r="AL534" s="418" t="str">
        <f t="shared" si="623"/>
        <v/>
      </c>
      <c r="AM534" s="418" t="str">
        <f t="shared" si="623"/>
        <v/>
      </c>
      <c r="AN534" s="418" t="str">
        <f t="shared" si="623"/>
        <v/>
      </c>
      <c r="AO534" s="418" t="str">
        <f t="shared" si="623"/>
        <v/>
      </c>
      <c r="AP534" s="418" t="str">
        <f t="shared" si="623"/>
        <v/>
      </c>
      <c r="AQ534" s="418" t="str">
        <f t="shared" si="623"/>
        <v/>
      </c>
      <c r="AR534" s="418" t="str">
        <f t="shared" si="623"/>
        <v/>
      </c>
      <c r="AS534" s="418" t="str">
        <f t="shared" si="623"/>
        <v/>
      </c>
      <c r="AT534" s="418" t="str">
        <f t="shared" si="623"/>
        <v/>
      </c>
      <c r="AU534" s="418" t="str">
        <f t="shared" si="623"/>
        <v/>
      </c>
      <c r="AV534" s="418" t="str">
        <f t="shared" si="623"/>
        <v/>
      </c>
      <c r="AW534" s="418" t="str">
        <f t="shared" si="623"/>
        <v/>
      </c>
      <c r="AX534" s="418" t="str">
        <f t="shared" si="623"/>
        <v/>
      </c>
      <c r="AY534" s="418" t="str">
        <f t="shared" si="623"/>
        <v/>
      </c>
      <c r="AZ534" s="418" t="str">
        <f t="shared" si="623"/>
        <v/>
      </c>
      <c r="BA534" s="418" t="str">
        <f t="shared" si="623"/>
        <v/>
      </c>
      <c r="BB534" s="418" t="str">
        <f t="shared" si="623"/>
        <v/>
      </c>
      <c r="BC534" s="418" t="str">
        <f t="shared" si="623"/>
        <v/>
      </c>
      <c r="BD534" s="418" t="str">
        <f t="shared" si="623"/>
        <v/>
      </c>
      <c r="BE534" s="418" t="str">
        <f t="shared" si="623"/>
        <v/>
      </c>
      <c r="BF534" s="418" t="str">
        <f t="shared" si="623"/>
        <v/>
      </c>
      <c r="BG534" s="418" t="str">
        <f t="shared" si="623"/>
        <v/>
      </c>
      <c r="BH534" s="418" t="str">
        <f t="shared" si="623"/>
        <v/>
      </c>
      <c r="BI534" s="418" t="str">
        <f t="shared" si="623"/>
        <v/>
      </c>
      <c r="BJ534" s="418" t="str">
        <f t="shared" si="623"/>
        <v/>
      </c>
      <c r="BK534" s="418" t="str">
        <f t="shared" si="623"/>
        <v/>
      </c>
      <c r="BL534" s="418" t="str">
        <f t="shared" si="623"/>
        <v/>
      </c>
      <c r="BM534" s="418" t="str">
        <f t="shared" si="623"/>
        <v/>
      </c>
      <c r="BN534" s="418" t="str">
        <f t="shared" si="623"/>
        <v/>
      </c>
      <c r="BO534" s="418" t="str">
        <f t="shared" si="623"/>
        <v/>
      </c>
      <c r="BP534" s="418" t="str">
        <f t="shared" si="623"/>
        <v/>
      </c>
      <c r="BQ534" s="418" t="str">
        <f t="shared" si="623"/>
        <v/>
      </c>
      <c r="BR534" s="418" t="str">
        <f t="shared" si="623"/>
        <v/>
      </c>
      <c r="BS534" s="418" t="str">
        <f t="shared" si="623"/>
        <v/>
      </c>
      <c r="BT534" s="418" t="str">
        <f t="shared" si="623"/>
        <v/>
      </c>
      <c r="BU534" s="418" t="str">
        <f t="shared" si="617"/>
        <v/>
      </c>
      <c r="BV534" s="544">
        <v>3.12</v>
      </c>
      <c r="BW534" s="723">
        <f t="shared" si="618"/>
        <v>1497.6</v>
      </c>
      <c r="BX534" s="724">
        <f t="shared" si="619"/>
        <v>11606.4</v>
      </c>
      <c r="BY534" s="725" t="str">
        <f t="shared" si="620"/>
        <v>SR</v>
      </c>
    </row>
    <row r="535" s="697" customFormat="1" customHeight="1" spans="1:77">
      <c r="A535" s="116">
        <v>46122</v>
      </c>
      <c r="B535" s="116">
        <v>46161</v>
      </c>
      <c r="C535" s="118" t="s">
        <v>703</v>
      </c>
      <c r="D535" s="118" t="s">
        <v>704</v>
      </c>
      <c r="E535" s="118" t="s">
        <v>72</v>
      </c>
      <c r="F535" s="726">
        <v>1200</v>
      </c>
      <c r="G535" s="118" t="s">
        <v>510</v>
      </c>
      <c r="H535" s="118" t="str">
        <f>IFERROR(VLOOKUP(E535,[1]名称!A:E,4,0),"")</f>
        <v>三代</v>
      </c>
      <c r="I535" s="418" t="str">
        <f t="shared" ref="I535:BT535" si="624">IF(OR($E535="",I$1=""),"",IF(TRIM(LEFT($E535,MIN(IFERROR(FIND("CDU",UPPER($E535)),999),IFERROR(FIND("BULK",UPPER($E535)),999),IFERROR(FIND("-",$E535),999),IFERROR(FIND("（",$E535),999))-1))=I$1,$F535,""))</f>
        <v/>
      </c>
      <c r="J535" s="418" t="str">
        <f t="shared" si="624"/>
        <v/>
      </c>
      <c r="K535" s="418" t="str">
        <f t="shared" si="624"/>
        <v/>
      </c>
      <c r="L535" s="418" t="str">
        <f t="shared" si="624"/>
        <v/>
      </c>
      <c r="M535" s="418" t="str">
        <f t="shared" si="624"/>
        <v/>
      </c>
      <c r="N535" s="418" t="str">
        <f t="shared" si="624"/>
        <v/>
      </c>
      <c r="O535" s="418" t="str">
        <f t="shared" si="624"/>
        <v/>
      </c>
      <c r="P535" s="418" t="str">
        <f t="shared" si="624"/>
        <v/>
      </c>
      <c r="Q535" s="418" t="str">
        <f t="shared" si="624"/>
        <v/>
      </c>
      <c r="R535" s="418" t="str">
        <f t="shared" si="624"/>
        <v/>
      </c>
      <c r="S535" s="418" t="str">
        <f t="shared" si="624"/>
        <v/>
      </c>
      <c r="T535" s="418" t="str">
        <f t="shared" si="624"/>
        <v/>
      </c>
      <c r="U535" s="418" t="str">
        <f t="shared" si="624"/>
        <v/>
      </c>
      <c r="V535" s="418" t="str">
        <f t="shared" si="624"/>
        <v/>
      </c>
      <c r="W535" s="418" t="str">
        <f t="shared" si="624"/>
        <v/>
      </c>
      <c r="X535" s="418" t="str">
        <f t="shared" si="624"/>
        <v/>
      </c>
      <c r="Y535" s="418" t="str">
        <f t="shared" si="624"/>
        <v/>
      </c>
      <c r="Z535" s="418" t="str">
        <f t="shared" si="624"/>
        <v/>
      </c>
      <c r="AA535" s="418" t="str">
        <f t="shared" si="624"/>
        <v/>
      </c>
      <c r="AB535" s="418" t="str">
        <f t="shared" si="624"/>
        <v/>
      </c>
      <c r="AC535" s="418" t="str">
        <f t="shared" si="624"/>
        <v/>
      </c>
      <c r="AD535" s="418" t="str">
        <f t="shared" si="624"/>
        <v/>
      </c>
      <c r="AE535" s="418" t="str">
        <f t="shared" si="624"/>
        <v/>
      </c>
      <c r="AF535" s="418" t="str">
        <f t="shared" si="624"/>
        <v/>
      </c>
      <c r="AG535" s="418" t="str">
        <f t="shared" si="624"/>
        <v/>
      </c>
      <c r="AH535" s="418" t="str">
        <f t="shared" si="624"/>
        <v/>
      </c>
      <c r="AI535" s="418" t="str">
        <f t="shared" si="624"/>
        <v/>
      </c>
      <c r="AJ535" s="418" t="str">
        <f t="shared" si="624"/>
        <v/>
      </c>
      <c r="AK535" s="418" t="str">
        <f t="shared" si="624"/>
        <v/>
      </c>
      <c r="AL535" s="418">
        <f t="shared" si="624"/>
        <v>1200</v>
      </c>
      <c r="AM535" s="418" t="str">
        <f t="shared" si="624"/>
        <v/>
      </c>
      <c r="AN535" s="418" t="str">
        <f t="shared" si="624"/>
        <v/>
      </c>
      <c r="AO535" s="418" t="str">
        <f t="shared" si="624"/>
        <v/>
      </c>
      <c r="AP535" s="418" t="str">
        <f t="shared" si="624"/>
        <v/>
      </c>
      <c r="AQ535" s="418" t="str">
        <f t="shared" si="624"/>
        <v/>
      </c>
      <c r="AR535" s="418" t="str">
        <f t="shared" si="624"/>
        <v/>
      </c>
      <c r="AS535" s="418" t="str">
        <f t="shared" si="624"/>
        <v/>
      </c>
      <c r="AT535" s="418" t="str">
        <f t="shared" si="624"/>
        <v/>
      </c>
      <c r="AU535" s="418" t="str">
        <f t="shared" si="624"/>
        <v/>
      </c>
      <c r="AV535" s="418" t="str">
        <f t="shared" si="624"/>
        <v/>
      </c>
      <c r="AW535" s="418" t="str">
        <f t="shared" si="624"/>
        <v/>
      </c>
      <c r="AX535" s="418" t="str">
        <f t="shared" si="624"/>
        <v/>
      </c>
      <c r="AY535" s="418" t="str">
        <f t="shared" si="624"/>
        <v/>
      </c>
      <c r="AZ535" s="418" t="str">
        <f t="shared" si="624"/>
        <v/>
      </c>
      <c r="BA535" s="418" t="str">
        <f t="shared" si="624"/>
        <v/>
      </c>
      <c r="BB535" s="418" t="str">
        <f t="shared" si="624"/>
        <v/>
      </c>
      <c r="BC535" s="418" t="str">
        <f t="shared" si="624"/>
        <v/>
      </c>
      <c r="BD535" s="418" t="str">
        <f t="shared" si="624"/>
        <v/>
      </c>
      <c r="BE535" s="418" t="str">
        <f t="shared" si="624"/>
        <v/>
      </c>
      <c r="BF535" s="418" t="str">
        <f t="shared" si="624"/>
        <v/>
      </c>
      <c r="BG535" s="418" t="str">
        <f t="shared" si="624"/>
        <v/>
      </c>
      <c r="BH535" s="418" t="str">
        <f t="shared" si="624"/>
        <v/>
      </c>
      <c r="BI535" s="418" t="str">
        <f t="shared" si="624"/>
        <v/>
      </c>
      <c r="BJ535" s="418" t="str">
        <f t="shared" si="624"/>
        <v/>
      </c>
      <c r="BK535" s="418" t="str">
        <f t="shared" si="624"/>
        <v/>
      </c>
      <c r="BL535" s="418" t="str">
        <f t="shared" si="624"/>
        <v/>
      </c>
      <c r="BM535" s="418" t="str">
        <f t="shared" si="624"/>
        <v/>
      </c>
      <c r="BN535" s="418" t="str">
        <f t="shared" si="624"/>
        <v/>
      </c>
      <c r="BO535" s="418" t="str">
        <f t="shared" si="624"/>
        <v/>
      </c>
      <c r="BP535" s="418" t="str">
        <f t="shared" si="624"/>
        <v/>
      </c>
      <c r="BQ535" s="418" t="str">
        <f t="shared" si="624"/>
        <v/>
      </c>
      <c r="BR535" s="418" t="str">
        <f t="shared" si="624"/>
        <v/>
      </c>
      <c r="BS535" s="418" t="str">
        <f t="shared" si="624"/>
        <v/>
      </c>
      <c r="BT535" s="418" t="str">
        <f t="shared" si="624"/>
        <v/>
      </c>
      <c r="BU535" s="418" t="str">
        <f t="shared" si="617"/>
        <v/>
      </c>
      <c r="BV535" s="544">
        <v>1.6</v>
      </c>
      <c r="BW535" s="723">
        <f t="shared" si="618"/>
        <v>1920</v>
      </c>
      <c r="BX535" s="724">
        <f t="shared" si="619"/>
        <v>14880</v>
      </c>
      <c r="BY535" s="725" t="str">
        <f t="shared" si="620"/>
        <v>SR</v>
      </c>
    </row>
    <row r="536" s="697" customFormat="1" customHeight="1" spans="1:77">
      <c r="A536" s="116">
        <v>46122</v>
      </c>
      <c r="B536" s="116">
        <v>46161</v>
      </c>
      <c r="C536" s="118" t="s">
        <v>703</v>
      </c>
      <c r="D536" s="118" t="s">
        <v>704</v>
      </c>
      <c r="E536" s="118" t="s">
        <v>61</v>
      </c>
      <c r="F536" s="726">
        <v>1800</v>
      </c>
      <c r="G536" s="118" t="s">
        <v>510</v>
      </c>
      <c r="H536" s="118" t="str">
        <f>IFERROR(VLOOKUP(E536,[1]名称!A:E,4,0),"")</f>
        <v>三代</v>
      </c>
      <c r="I536" s="418" t="str">
        <f t="shared" ref="I536:BT536" si="625">IF(OR($E536="",I$1=""),"",IF(TRIM(LEFT($E536,MIN(IFERROR(FIND("CDU",UPPER($E536)),999),IFERROR(FIND("BULK",UPPER($E536)),999),IFERROR(FIND("-",$E536),999),IFERROR(FIND("（",$E536),999))-1))=I$1,$F536,""))</f>
        <v/>
      </c>
      <c r="J536" s="418" t="str">
        <f t="shared" si="625"/>
        <v/>
      </c>
      <c r="K536" s="418" t="str">
        <f t="shared" si="625"/>
        <v/>
      </c>
      <c r="L536" s="418" t="str">
        <f t="shared" si="625"/>
        <v/>
      </c>
      <c r="M536" s="418" t="str">
        <f t="shared" si="625"/>
        <v/>
      </c>
      <c r="N536" s="418" t="str">
        <f t="shared" si="625"/>
        <v/>
      </c>
      <c r="O536" s="418" t="str">
        <f t="shared" si="625"/>
        <v/>
      </c>
      <c r="P536" s="418" t="str">
        <f t="shared" si="625"/>
        <v/>
      </c>
      <c r="Q536" s="418" t="str">
        <f t="shared" si="625"/>
        <v/>
      </c>
      <c r="R536" s="418" t="str">
        <f t="shared" si="625"/>
        <v/>
      </c>
      <c r="S536" s="418" t="str">
        <f t="shared" si="625"/>
        <v/>
      </c>
      <c r="T536" s="418" t="str">
        <f t="shared" si="625"/>
        <v/>
      </c>
      <c r="U536" s="418" t="str">
        <f t="shared" si="625"/>
        <v/>
      </c>
      <c r="V536" s="418" t="str">
        <f t="shared" si="625"/>
        <v/>
      </c>
      <c r="W536" s="418" t="str">
        <f t="shared" si="625"/>
        <v/>
      </c>
      <c r="X536" s="418" t="str">
        <f t="shared" si="625"/>
        <v/>
      </c>
      <c r="Y536" s="418" t="str">
        <f t="shared" si="625"/>
        <v/>
      </c>
      <c r="Z536" s="418" t="str">
        <f t="shared" si="625"/>
        <v/>
      </c>
      <c r="AA536" s="418" t="str">
        <f t="shared" si="625"/>
        <v/>
      </c>
      <c r="AB536" s="418" t="str">
        <f t="shared" si="625"/>
        <v/>
      </c>
      <c r="AC536" s="418" t="str">
        <f t="shared" si="625"/>
        <v/>
      </c>
      <c r="AD536" s="418" t="str">
        <f t="shared" si="625"/>
        <v/>
      </c>
      <c r="AE536" s="418">
        <f t="shared" si="625"/>
        <v>1800</v>
      </c>
      <c r="AF536" s="418" t="str">
        <f t="shared" si="625"/>
        <v/>
      </c>
      <c r="AG536" s="418" t="str">
        <f t="shared" si="625"/>
        <v/>
      </c>
      <c r="AH536" s="418" t="str">
        <f t="shared" si="625"/>
        <v/>
      </c>
      <c r="AI536" s="418" t="str">
        <f t="shared" si="625"/>
        <v/>
      </c>
      <c r="AJ536" s="418" t="str">
        <f t="shared" si="625"/>
        <v/>
      </c>
      <c r="AK536" s="418" t="str">
        <f t="shared" si="625"/>
        <v/>
      </c>
      <c r="AL536" s="418" t="str">
        <f t="shared" si="625"/>
        <v/>
      </c>
      <c r="AM536" s="418" t="str">
        <f t="shared" si="625"/>
        <v/>
      </c>
      <c r="AN536" s="418" t="str">
        <f t="shared" si="625"/>
        <v/>
      </c>
      <c r="AO536" s="418" t="str">
        <f t="shared" si="625"/>
        <v/>
      </c>
      <c r="AP536" s="418" t="str">
        <f t="shared" si="625"/>
        <v/>
      </c>
      <c r="AQ536" s="418" t="str">
        <f t="shared" si="625"/>
        <v/>
      </c>
      <c r="AR536" s="418" t="str">
        <f t="shared" si="625"/>
        <v/>
      </c>
      <c r="AS536" s="418" t="str">
        <f t="shared" si="625"/>
        <v/>
      </c>
      <c r="AT536" s="418" t="str">
        <f t="shared" si="625"/>
        <v/>
      </c>
      <c r="AU536" s="418" t="str">
        <f t="shared" si="625"/>
        <v/>
      </c>
      <c r="AV536" s="418" t="str">
        <f t="shared" si="625"/>
        <v/>
      </c>
      <c r="AW536" s="418" t="str">
        <f t="shared" si="625"/>
        <v/>
      </c>
      <c r="AX536" s="418" t="str">
        <f t="shared" si="625"/>
        <v/>
      </c>
      <c r="AY536" s="418" t="str">
        <f t="shared" si="625"/>
        <v/>
      </c>
      <c r="AZ536" s="418" t="str">
        <f t="shared" si="625"/>
        <v/>
      </c>
      <c r="BA536" s="418" t="str">
        <f t="shared" si="625"/>
        <v/>
      </c>
      <c r="BB536" s="418" t="str">
        <f t="shared" si="625"/>
        <v/>
      </c>
      <c r="BC536" s="418" t="str">
        <f t="shared" si="625"/>
        <v/>
      </c>
      <c r="BD536" s="418" t="str">
        <f t="shared" si="625"/>
        <v/>
      </c>
      <c r="BE536" s="418" t="str">
        <f t="shared" si="625"/>
        <v/>
      </c>
      <c r="BF536" s="418" t="str">
        <f t="shared" si="625"/>
        <v/>
      </c>
      <c r="BG536" s="418" t="str">
        <f t="shared" si="625"/>
        <v/>
      </c>
      <c r="BH536" s="418" t="str">
        <f t="shared" si="625"/>
        <v/>
      </c>
      <c r="BI536" s="418" t="str">
        <f t="shared" si="625"/>
        <v/>
      </c>
      <c r="BJ536" s="418" t="str">
        <f t="shared" si="625"/>
        <v/>
      </c>
      <c r="BK536" s="418" t="str">
        <f t="shared" si="625"/>
        <v/>
      </c>
      <c r="BL536" s="418" t="str">
        <f t="shared" si="625"/>
        <v/>
      </c>
      <c r="BM536" s="418" t="str">
        <f t="shared" si="625"/>
        <v/>
      </c>
      <c r="BN536" s="418" t="str">
        <f t="shared" si="625"/>
        <v/>
      </c>
      <c r="BO536" s="418" t="str">
        <f t="shared" si="625"/>
        <v/>
      </c>
      <c r="BP536" s="418" t="str">
        <f t="shared" si="625"/>
        <v/>
      </c>
      <c r="BQ536" s="418" t="str">
        <f t="shared" si="625"/>
        <v/>
      </c>
      <c r="BR536" s="418" t="str">
        <f t="shared" si="625"/>
        <v/>
      </c>
      <c r="BS536" s="418" t="str">
        <f t="shared" si="625"/>
        <v/>
      </c>
      <c r="BT536" s="418" t="str">
        <f t="shared" si="625"/>
        <v/>
      </c>
      <c r="BU536" s="418" t="str">
        <f t="shared" si="617"/>
        <v/>
      </c>
      <c r="BV536" s="544">
        <v>0.63</v>
      </c>
      <c r="BW536" s="723">
        <f t="shared" si="618"/>
        <v>1134</v>
      </c>
      <c r="BX536" s="724">
        <f t="shared" si="619"/>
        <v>8788.5</v>
      </c>
      <c r="BY536" s="725" t="str">
        <f t="shared" si="620"/>
        <v>SR</v>
      </c>
    </row>
    <row r="537" s="697" customFormat="1" customHeight="1" spans="1:77">
      <c r="A537" s="116">
        <v>46122</v>
      </c>
      <c r="B537" s="116">
        <v>46161</v>
      </c>
      <c r="C537" s="118" t="s">
        <v>703</v>
      </c>
      <c r="D537" s="118" t="s">
        <v>704</v>
      </c>
      <c r="E537" s="118" t="s">
        <v>50</v>
      </c>
      <c r="F537" s="726">
        <v>2412</v>
      </c>
      <c r="G537" s="118" t="s">
        <v>510</v>
      </c>
      <c r="H537" s="118" t="str">
        <f>IFERROR(VLOOKUP(E537,[1]名称!A:E,4,0),"")</f>
        <v>蛋糕</v>
      </c>
      <c r="I537" s="418" t="str">
        <f t="shared" ref="I537:BT537" si="626">IF(OR($E537="",I$1=""),"",IF(TRIM(LEFT($E537,MIN(IFERROR(FIND("CDU",UPPER($E537)),999),IFERROR(FIND("BULK",UPPER($E537)),999),IFERROR(FIND("-",$E537),999),IFERROR(FIND("（",$E537),999))-1))=I$1,$F537,""))</f>
        <v/>
      </c>
      <c r="J537" s="418" t="str">
        <f t="shared" si="626"/>
        <v/>
      </c>
      <c r="K537" s="418" t="str">
        <f t="shared" si="626"/>
        <v/>
      </c>
      <c r="L537" s="418" t="str">
        <f t="shared" si="626"/>
        <v/>
      </c>
      <c r="M537" s="418" t="str">
        <f t="shared" si="626"/>
        <v/>
      </c>
      <c r="N537" s="418" t="str">
        <f t="shared" si="626"/>
        <v/>
      </c>
      <c r="O537" s="418" t="str">
        <f t="shared" si="626"/>
        <v/>
      </c>
      <c r="P537" s="418" t="str">
        <f t="shared" si="626"/>
        <v/>
      </c>
      <c r="Q537" s="418" t="str">
        <f t="shared" si="626"/>
        <v/>
      </c>
      <c r="R537" s="418" t="str">
        <f t="shared" si="626"/>
        <v/>
      </c>
      <c r="S537" s="418" t="str">
        <f t="shared" si="626"/>
        <v/>
      </c>
      <c r="T537" s="418" t="str">
        <f t="shared" si="626"/>
        <v/>
      </c>
      <c r="U537" s="418" t="str">
        <f t="shared" si="626"/>
        <v/>
      </c>
      <c r="V537" s="418" t="str">
        <f t="shared" si="626"/>
        <v/>
      </c>
      <c r="W537" s="418" t="str">
        <f t="shared" si="626"/>
        <v/>
      </c>
      <c r="X537" s="418" t="str">
        <f t="shared" si="626"/>
        <v/>
      </c>
      <c r="Y537" s="418" t="str">
        <f t="shared" si="626"/>
        <v/>
      </c>
      <c r="Z537" s="418" t="str">
        <f t="shared" si="626"/>
        <v/>
      </c>
      <c r="AA537" s="418" t="str">
        <f t="shared" si="626"/>
        <v/>
      </c>
      <c r="AB537" s="418" t="str">
        <f t="shared" si="626"/>
        <v/>
      </c>
      <c r="AC537" s="418" t="str">
        <f t="shared" si="626"/>
        <v/>
      </c>
      <c r="AD537" s="418" t="str">
        <f t="shared" si="626"/>
        <v/>
      </c>
      <c r="AE537" s="418" t="str">
        <f t="shared" si="626"/>
        <v/>
      </c>
      <c r="AF537" s="418" t="str">
        <f t="shared" si="626"/>
        <v/>
      </c>
      <c r="AG537" s="418" t="str">
        <f t="shared" si="626"/>
        <v/>
      </c>
      <c r="AH537" s="418" t="str">
        <f t="shared" si="626"/>
        <v/>
      </c>
      <c r="AI537" s="418" t="str">
        <f t="shared" si="626"/>
        <v/>
      </c>
      <c r="AJ537" s="418" t="str">
        <f t="shared" si="626"/>
        <v/>
      </c>
      <c r="AK537" s="418" t="str">
        <f t="shared" si="626"/>
        <v/>
      </c>
      <c r="AL537" s="418" t="str">
        <f t="shared" si="626"/>
        <v/>
      </c>
      <c r="AM537" s="418" t="str">
        <f t="shared" si="626"/>
        <v/>
      </c>
      <c r="AN537" s="418" t="str">
        <f t="shared" si="626"/>
        <v/>
      </c>
      <c r="AO537" s="418" t="str">
        <f t="shared" si="626"/>
        <v/>
      </c>
      <c r="AP537" s="418" t="str">
        <f t="shared" si="626"/>
        <v/>
      </c>
      <c r="AQ537" s="418" t="str">
        <f t="shared" si="626"/>
        <v/>
      </c>
      <c r="AR537" s="418" t="str">
        <f t="shared" si="626"/>
        <v/>
      </c>
      <c r="AS537" s="418" t="str">
        <f t="shared" si="626"/>
        <v/>
      </c>
      <c r="AT537" s="418" t="str">
        <f t="shared" si="626"/>
        <v/>
      </c>
      <c r="AU537" s="418" t="str">
        <f t="shared" si="626"/>
        <v/>
      </c>
      <c r="AV537" s="418" t="str">
        <f t="shared" si="626"/>
        <v/>
      </c>
      <c r="AW537" s="418" t="str">
        <f t="shared" si="626"/>
        <v/>
      </c>
      <c r="AX537" s="418" t="str">
        <f t="shared" si="626"/>
        <v/>
      </c>
      <c r="AY537" s="418" t="str">
        <f t="shared" si="626"/>
        <v/>
      </c>
      <c r="AZ537" s="418" t="str">
        <f t="shared" si="626"/>
        <v/>
      </c>
      <c r="BA537" s="418" t="str">
        <f t="shared" si="626"/>
        <v/>
      </c>
      <c r="BB537" s="418" t="str">
        <f t="shared" si="626"/>
        <v/>
      </c>
      <c r="BC537" s="418" t="str">
        <f t="shared" si="626"/>
        <v/>
      </c>
      <c r="BD537" s="418" t="str">
        <f t="shared" si="626"/>
        <v/>
      </c>
      <c r="BE537" s="418" t="str">
        <f t="shared" si="626"/>
        <v/>
      </c>
      <c r="BF537" s="418" t="str">
        <f t="shared" si="626"/>
        <v/>
      </c>
      <c r="BG537" s="418">
        <f t="shared" si="626"/>
        <v>2412</v>
      </c>
      <c r="BH537" s="418" t="str">
        <f t="shared" si="626"/>
        <v/>
      </c>
      <c r="BI537" s="418" t="str">
        <f t="shared" si="626"/>
        <v/>
      </c>
      <c r="BJ537" s="418" t="str">
        <f t="shared" si="626"/>
        <v/>
      </c>
      <c r="BK537" s="418" t="str">
        <f t="shared" si="626"/>
        <v/>
      </c>
      <c r="BL537" s="418" t="str">
        <f t="shared" si="626"/>
        <v/>
      </c>
      <c r="BM537" s="418" t="str">
        <f t="shared" si="626"/>
        <v/>
      </c>
      <c r="BN537" s="418" t="str">
        <f t="shared" si="626"/>
        <v/>
      </c>
      <c r="BO537" s="418" t="str">
        <f t="shared" si="626"/>
        <v/>
      </c>
      <c r="BP537" s="418" t="str">
        <f t="shared" si="626"/>
        <v/>
      </c>
      <c r="BQ537" s="418" t="str">
        <f t="shared" si="626"/>
        <v/>
      </c>
      <c r="BR537" s="418" t="str">
        <f t="shared" si="626"/>
        <v/>
      </c>
      <c r="BS537" s="418" t="str">
        <f t="shared" si="626"/>
        <v/>
      </c>
      <c r="BT537" s="418" t="str">
        <f t="shared" si="626"/>
        <v/>
      </c>
      <c r="BU537" s="418" t="str">
        <f t="shared" si="617"/>
        <v/>
      </c>
      <c r="BV537" s="544">
        <v>1.09</v>
      </c>
      <c r="BW537" s="723">
        <f t="shared" si="618"/>
        <v>2629.08</v>
      </c>
      <c r="BX537" s="724">
        <f t="shared" si="619"/>
        <v>20375.37</v>
      </c>
      <c r="BY537" s="725" t="str">
        <f t="shared" si="620"/>
        <v>JC</v>
      </c>
    </row>
    <row r="538" s="697" customFormat="1" customHeight="1" spans="1:77">
      <c r="A538" s="179">
        <v>46127</v>
      </c>
      <c r="B538" s="179">
        <v>46268</v>
      </c>
      <c r="C538" s="418" t="s">
        <v>705</v>
      </c>
      <c r="D538" s="418" t="s">
        <v>706</v>
      </c>
      <c r="E538" s="418" t="s">
        <v>68</v>
      </c>
      <c r="F538" s="737">
        <v>11600</v>
      </c>
      <c r="G538" s="118" t="s">
        <v>270</v>
      </c>
      <c r="H538" s="118" t="str">
        <f>IFERROR(VLOOKUP(E538,[1]名称!A:E,4,0),"")</f>
        <v>三代</v>
      </c>
      <c r="I538" s="418" t="str">
        <f t="shared" ref="I538:BT538" si="627">IF(OR($E538="",I$1=""),"",IF(TRIM(LEFT($E538,MIN(IFERROR(FIND("CDU",UPPER($E538)),999),IFERROR(FIND("BULK",UPPER($E538)),999),IFERROR(FIND("-",$E538),999),IFERROR(FIND("（",$E538),999))-1))=I$1,$F538,""))</f>
        <v/>
      </c>
      <c r="J538" s="418" t="str">
        <f t="shared" si="627"/>
        <v/>
      </c>
      <c r="K538" s="418" t="str">
        <f t="shared" si="627"/>
        <v/>
      </c>
      <c r="L538" s="418" t="str">
        <f t="shared" si="627"/>
        <v/>
      </c>
      <c r="M538" s="418" t="str">
        <f t="shared" si="627"/>
        <v/>
      </c>
      <c r="N538" s="418" t="str">
        <f t="shared" si="627"/>
        <v/>
      </c>
      <c r="O538" s="418" t="str">
        <f t="shared" si="627"/>
        <v/>
      </c>
      <c r="P538" s="418" t="str">
        <f t="shared" si="627"/>
        <v/>
      </c>
      <c r="Q538" s="418" t="str">
        <f t="shared" si="627"/>
        <v/>
      </c>
      <c r="R538" s="418" t="str">
        <f t="shared" si="627"/>
        <v/>
      </c>
      <c r="S538" s="418" t="str">
        <f t="shared" si="627"/>
        <v/>
      </c>
      <c r="T538" s="418" t="str">
        <f t="shared" si="627"/>
        <v/>
      </c>
      <c r="U538" s="418" t="str">
        <f t="shared" si="627"/>
        <v/>
      </c>
      <c r="V538" s="418" t="str">
        <f t="shared" si="627"/>
        <v/>
      </c>
      <c r="W538" s="418" t="str">
        <f t="shared" si="627"/>
        <v/>
      </c>
      <c r="X538" s="418" t="str">
        <f t="shared" si="627"/>
        <v/>
      </c>
      <c r="Y538" s="418" t="str">
        <f t="shared" si="627"/>
        <v/>
      </c>
      <c r="Z538" s="418" t="str">
        <f t="shared" si="627"/>
        <v/>
      </c>
      <c r="AA538" s="418" t="str">
        <f t="shared" si="627"/>
        <v/>
      </c>
      <c r="AB538" s="418" t="str">
        <f t="shared" si="627"/>
        <v/>
      </c>
      <c r="AC538" s="418" t="str">
        <f t="shared" si="627"/>
        <v/>
      </c>
      <c r="AD538" s="418" t="str">
        <f t="shared" si="627"/>
        <v/>
      </c>
      <c r="AE538" s="418" t="str">
        <f t="shared" si="627"/>
        <v/>
      </c>
      <c r="AF538" s="418" t="str">
        <f t="shared" si="627"/>
        <v/>
      </c>
      <c r="AG538" s="418" t="str">
        <f t="shared" si="627"/>
        <v/>
      </c>
      <c r="AH538" s="418">
        <f t="shared" si="627"/>
        <v>11600</v>
      </c>
      <c r="AI538" s="418" t="str">
        <f t="shared" si="627"/>
        <v/>
      </c>
      <c r="AJ538" s="418" t="str">
        <f t="shared" si="627"/>
        <v/>
      </c>
      <c r="AK538" s="418" t="str">
        <f t="shared" si="627"/>
        <v/>
      </c>
      <c r="AL538" s="418" t="str">
        <f t="shared" si="627"/>
        <v/>
      </c>
      <c r="AM538" s="418" t="str">
        <f t="shared" si="627"/>
        <v/>
      </c>
      <c r="AN538" s="418" t="str">
        <f t="shared" si="627"/>
        <v/>
      </c>
      <c r="AO538" s="418" t="str">
        <f t="shared" si="627"/>
        <v/>
      </c>
      <c r="AP538" s="418" t="str">
        <f t="shared" si="627"/>
        <v/>
      </c>
      <c r="AQ538" s="418" t="str">
        <f t="shared" si="627"/>
        <v/>
      </c>
      <c r="AR538" s="418" t="str">
        <f t="shared" si="627"/>
        <v/>
      </c>
      <c r="AS538" s="418" t="str">
        <f t="shared" si="627"/>
        <v/>
      </c>
      <c r="AT538" s="418" t="str">
        <f t="shared" si="627"/>
        <v/>
      </c>
      <c r="AU538" s="418" t="str">
        <f t="shared" si="627"/>
        <v/>
      </c>
      <c r="AV538" s="418" t="str">
        <f t="shared" si="627"/>
        <v/>
      </c>
      <c r="AW538" s="418" t="str">
        <f t="shared" si="627"/>
        <v/>
      </c>
      <c r="AX538" s="418" t="str">
        <f t="shared" si="627"/>
        <v/>
      </c>
      <c r="AY538" s="418" t="str">
        <f t="shared" si="627"/>
        <v/>
      </c>
      <c r="AZ538" s="418" t="str">
        <f t="shared" si="627"/>
        <v/>
      </c>
      <c r="BA538" s="418" t="str">
        <f t="shared" si="627"/>
        <v/>
      </c>
      <c r="BB538" s="418" t="str">
        <f t="shared" si="627"/>
        <v/>
      </c>
      <c r="BC538" s="418" t="str">
        <f t="shared" si="627"/>
        <v/>
      </c>
      <c r="BD538" s="418" t="str">
        <f t="shared" si="627"/>
        <v/>
      </c>
      <c r="BE538" s="418" t="str">
        <f t="shared" si="627"/>
        <v/>
      </c>
      <c r="BF538" s="418" t="str">
        <f t="shared" si="627"/>
        <v/>
      </c>
      <c r="BG538" s="418" t="str">
        <f t="shared" si="627"/>
        <v/>
      </c>
      <c r="BH538" s="418" t="str">
        <f t="shared" si="627"/>
        <v/>
      </c>
      <c r="BI538" s="418" t="str">
        <f t="shared" si="627"/>
        <v/>
      </c>
      <c r="BJ538" s="418" t="str">
        <f t="shared" si="627"/>
        <v/>
      </c>
      <c r="BK538" s="418" t="str">
        <f t="shared" si="627"/>
        <v/>
      </c>
      <c r="BL538" s="418" t="str">
        <f t="shared" si="627"/>
        <v/>
      </c>
      <c r="BM538" s="418" t="str">
        <f t="shared" si="627"/>
        <v/>
      </c>
      <c r="BN538" s="418" t="str">
        <f t="shared" si="627"/>
        <v/>
      </c>
      <c r="BO538" s="418" t="str">
        <f t="shared" si="627"/>
        <v/>
      </c>
      <c r="BP538" s="418" t="str">
        <f t="shared" si="627"/>
        <v/>
      </c>
      <c r="BQ538" s="418" t="str">
        <f t="shared" si="627"/>
        <v/>
      </c>
      <c r="BR538" s="418" t="str">
        <f t="shared" si="627"/>
        <v/>
      </c>
      <c r="BS538" s="418" t="str">
        <f t="shared" si="627"/>
        <v/>
      </c>
      <c r="BT538" s="418" t="str">
        <f t="shared" si="627"/>
        <v/>
      </c>
      <c r="BU538" s="418" t="str">
        <f t="shared" si="617"/>
        <v/>
      </c>
      <c r="BV538" s="544">
        <v>3.09</v>
      </c>
      <c r="BW538" s="723">
        <f t="shared" si="618"/>
        <v>35844</v>
      </c>
      <c r="BX538" s="724">
        <f t="shared" si="619"/>
        <v>277791</v>
      </c>
      <c r="BY538" s="725" t="str">
        <f t="shared" si="620"/>
        <v>SR</v>
      </c>
    </row>
    <row r="539" s="697" customFormat="1" customHeight="1" spans="1:77">
      <c r="A539" s="179">
        <v>46127</v>
      </c>
      <c r="B539" s="179">
        <v>46268</v>
      </c>
      <c r="C539" s="418" t="s">
        <v>707</v>
      </c>
      <c r="D539" s="418" t="s">
        <v>708</v>
      </c>
      <c r="E539" s="418" t="s">
        <v>95</v>
      </c>
      <c r="F539" s="737">
        <v>11800</v>
      </c>
      <c r="G539" s="118" t="s">
        <v>270</v>
      </c>
      <c r="H539" s="118" t="str">
        <f>IFERROR(VLOOKUP(E539,[1]名称!A:E,4,0),"")</f>
        <v>三代</v>
      </c>
      <c r="I539" s="418" t="str">
        <f t="shared" ref="I539:BT539" si="628">IF(OR($E539="",I$1=""),"",IF(TRIM(LEFT($E539,MIN(IFERROR(FIND("CDU",UPPER($E539)),999),IFERROR(FIND("BULK",UPPER($E539)),999),IFERROR(FIND("-",$E539),999),IFERROR(FIND("（",$E539),999))-1))=I$1,$F539,""))</f>
        <v/>
      </c>
      <c r="J539" s="418" t="str">
        <f t="shared" si="628"/>
        <v/>
      </c>
      <c r="K539" s="418" t="str">
        <f t="shared" si="628"/>
        <v/>
      </c>
      <c r="L539" s="418" t="str">
        <f t="shared" si="628"/>
        <v/>
      </c>
      <c r="M539" s="418" t="str">
        <f t="shared" si="628"/>
        <v/>
      </c>
      <c r="N539" s="418" t="str">
        <f t="shared" si="628"/>
        <v/>
      </c>
      <c r="O539" s="418" t="str">
        <f t="shared" si="628"/>
        <v/>
      </c>
      <c r="P539" s="418" t="str">
        <f t="shared" si="628"/>
        <v/>
      </c>
      <c r="Q539" s="418" t="str">
        <f t="shared" si="628"/>
        <v/>
      </c>
      <c r="R539" s="418" t="str">
        <f t="shared" si="628"/>
        <v/>
      </c>
      <c r="S539" s="418" t="str">
        <f t="shared" si="628"/>
        <v/>
      </c>
      <c r="T539" s="418" t="str">
        <f t="shared" si="628"/>
        <v/>
      </c>
      <c r="U539" s="418" t="str">
        <f t="shared" si="628"/>
        <v/>
      </c>
      <c r="V539" s="418" t="str">
        <f t="shared" si="628"/>
        <v/>
      </c>
      <c r="W539" s="418" t="str">
        <f t="shared" si="628"/>
        <v/>
      </c>
      <c r="X539" s="418" t="str">
        <f t="shared" si="628"/>
        <v/>
      </c>
      <c r="Y539" s="418" t="str">
        <f t="shared" si="628"/>
        <v/>
      </c>
      <c r="Z539" s="418" t="str">
        <f t="shared" si="628"/>
        <v/>
      </c>
      <c r="AA539" s="418" t="str">
        <f t="shared" si="628"/>
        <v/>
      </c>
      <c r="AB539" s="418" t="str">
        <f t="shared" si="628"/>
        <v/>
      </c>
      <c r="AC539" s="418" t="str">
        <f t="shared" si="628"/>
        <v/>
      </c>
      <c r="AD539" s="418" t="str">
        <f t="shared" si="628"/>
        <v/>
      </c>
      <c r="AE539" s="418" t="str">
        <f t="shared" si="628"/>
        <v/>
      </c>
      <c r="AF539" s="418" t="str">
        <f t="shared" si="628"/>
        <v/>
      </c>
      <c r="AG539" s="418" t="str">
        <f t="shared" si="628"/>
        <v/>
      </c>
      <c r="AH539" s="418" t="str">
        <f t="shared" si="628"/>
        <v/>
      </c>
      <c r="AI539" s="418" t="str">
        <f t="shared" si="628"/>
        <v/>
      </c>
      <c r="AJ539" s="418" t="str">
        <f t="shared" si="628"/>
        <v/>
      </c>
      <c r="AK539" s="418" t="str">
        <f t="shared" si="628"/>
        <v/>
      </c>
      <c r="AL539" s="418" t="str">
        <f t="shared" si="628"/>
        <v/>
      </c>
      <c r="AM539" s="418" t="str">
        <f t="shared" si="628"/>
        <v/>
      </c>
      <c r="AN539" s="418" t="str">
        <f t="shared" si="628"/>
        <v/>
      </c>
      <c r="AO539" s="418" t="str">
        <f t="shared" si="628"/>
        <v/>
      </c>
      <c r="AP539" s="418" t="str">
        <f t="shared" si="628"/>
        <v/>
      </c>
      <c r="AQ539" s="418" t="str">
        <f t="shared" si="628"/>
        <v/>
      </c>
      <c r="AR539" s="418" t="str">
        <f t="shared" si="628"/>
        <v/>
      </c>
      <c r="AS539" s="418" t="str">
        <f t="shared" si="628"/>
        <v/>
      </c>
      <c r="AT539" s="418" t="str">
        <f t="shared" si="628"/>
        <v/>
      </c>
      <c r="AU539" s="418" t="str">
        <f t="shared" si="628"/>
        <v/>
      </c>
      <c r="AV539" s="418" t="str">
        <f t="shared" si="628"/>
        <v/>
      </c>
      <c r="AW539" s="418" t="str">
        <f t="shared" si="628"/>
        <v/>
      </c>
      <c r="AX539" s="418" t="str">
        <f t="shared" si="628"/>
        <v/>
      </c>
      <c r="AY539" s="418" t="str">
        <f t="shared" si="628"/>
        <v/>
      </c>
      <c r="AZ539" s="418">
        <f t="shared" si="628"/>
        <v>11800</v>
      </c>
      <c r="BA539" s="418" t="str">
        <f t="shared" si="628"/>
        <v/>
      </c>
      <c r="BB539" s="418" t="str">
        <f t="shared" si="628"/>
        <v/>
      </c>
      <c r="BC539" s="418" t="str">
        <f t="shared" si="628"/>
        <v/>
      </c>
      <c r="BD539" s="418" t="str">
        <f t="shared" si="628"/>
        <v/>
      </c>
      <c r="BE539" s="418" t="str">
        <f t="shared" si="628"/>
        <v/>
      </c>
      <c r="BF539" s="418" t="str">
        <f t="shared" si="628"/>
        <v/>
      </c>
      <c r="BG539" s="418" t="str">
        <f t="shared" si="628"/>
        <v/>
      </c>
      <c r="BH539" s="418" t="str">
        <f t="shared" si="628"/>
        <v/>
      </c>
      <c r="BI539" s="418" t="str">
        <f t="shared" si="628"/>
        <v/>
      </c>
      <c r="BJ539" s="418" t="str">
        <f t="shared" si="628"/>
        <v/>
      </c>
      <c r="BK539" s="418" t="str">
        <f t="shared" si="628"/>
        <v/>
      </c>
      <c r="BL539" s="418" t="str">
        <f t="shared" si="628"/>
        <v/>
      </c>
      <c r="BM539" s="418" t="str">
        <f t="shared" si="628"/>
        <v/>
      </c>
      <c r="BN539" s="418" t="str">
        <f t="shared" si="628"/>
        <v/>
      </c>
      <c r="BO539" s="418" t="str">
        <f t="shared" si="628"/>
        <v/>
      </c>
      <c r="BP539" s="418" t="str">
        <f t="shared" si="628"/>
        <v/>
      </c>
      <c r="BQ539" s="418" t="str">
        <f t="shared" si="628"/>
        <v/>
      </c>
      <c r="BR539" s="418" t="str">
        <f t="shared" si="628"/>
        <v/>
      </c>
      <c r="BS539" s="418" t="str">
        <f t="shared" si="628"/>
        <v/>
      </c>
      <c r="BT539" s="418" t="str">
        <f t="shared" si="628"/>
        <v/>
      </c>
      <c r="BU539" s="418" t="str">
        <f t="shared" si="617"/>
        <v/>
      </c>
      <c r="BV539" s="544">
        <v>3.09</v>
      </c>
      <c r="BW539" s="723">
        <f t="shared" si="618"/>
        <v>36462</v>
      </c>
      <c r="BX539" s="724">
        <f t="shared" si="619"/>
        <v>282580.5</v>
      </c>
      <c r="BY539" s="725" t="str">
        <f t="shared" si="620"/>
        <v>SR</v>
      </c>
    </row>
    <row r="540" s="698" customFormat="1" customHeight="1" spans="1:77">
      <c r="A540" s="248">
        <v>46127</v>
      </c>
      <c r="B540" s="248">
        <v>46178</v>
      </c>
      <c r="C540" s="268" t="s">
        <v>709</v>
      </c>
      <c r="D540" s="268" t="s">
        <v>710</v>
      </c>
      <c r="E540" s="268" t="s">
        <v>66</v>
      </c>
      <c r="F540" s="343">
        <v>20004</v>
      </c>
      <c r="G540" s="211" t="s">
        <v>270</v>
      </c>
      <c r="H540" s="211" t="str">
        <f>IFERROR(VLOOKUP(E540,[1]名称!A:E,4,0),"")</f>
        <v>三代</v>
      </c>
      <c r="I540" s="268" t="str">
        <f t="shared" ref="I540:BT540" si="629">IF(OR($E540="",I$1=""),"",IF(TRIM(LEFT($E540,MIN(IFERROR(FIND("CDU",UPPER($E540)),999),IFERROR(FIND("BULK",UPPER($E540)),999),IFERROR(FIND("-",$E540),999),IFERROR(FIND("（",$E540),999))-1))=I$1,$F540,""))</f>
        <v/>
      </c>
      <c r="J540" s="268" t="str">
        <f t="shared" si="629"/>
        <v/>
      </c>
      <c r="K540" s="268" t="str">
        <f t="shared" si="629"/>
        <v/>
      </c>
      <c r="L540" s="268" t="str">
        <f t="shared" si="629"/>
        <v/>
      </c>
      <c r="M540" s="268" t="str">
        <f t="shared" si="629"/>
        <v/>
      </c>
      <c r="N540" s="268" t="str">
        <f t="shared" si="629"/>
        <v/>
      </c>
      <c r="O540" s="268" t="str">
        <f t="shared" si="629"/>
        <v/>
      </c>
      <c r="P540" s="268" t="str">
        <f t="shared" si="629"/>
        <v/>
      </c>
      <c r="Q540" s="268" t="str">
        <f t="shared" si="629"/>
        <v/>
      </c>
      <c r="R540" s="268" t="str">
        <f t="shared" si="629"/>
        <v/>
      </c>
      <c r="S540" s="268" t="str">
        <f t="shared" si="629"/>
        <v/>
      </c>
      <c r="T540" s="268" t="str">
        <f t="shared" si="629"/>
        <v/>
      </c>
      <c r="U540" s="268" t="str">
        <f t="shared" si="629"/>
        <v/>
      </c>
      <c r="V540" s="268" t="str">
        <f t="shared" si="629"/>
        <v/>
      </c>
      <c r="W540" s="268" t="str">
        <f t="shared" si="629"/>
        <v/>
      </c>
      <c r="X540" s="268" t="str">
        <f t="shared" si="629"/>
        <v/>
      </c>
      <c r="Y540" s="268" t="str">
        <f t="shared" si="629"/>
        <v/>
      </c>
      <c r="Z540" s="268" t="str">
        <f t="shared" si="629"/>
        <v/>
      </c>
      <c r="AA540" s="268" t="str">
        <f t="shared" si="629"/>
        <v/>
      </c>
      <c r="AB540" s="268" t="str">
        <f t="shared" si="629"/>
        <v/>
      </c>
      <c r="AC540" s="268" t="str">
        <f t="shared" si="629"/>
        <v/>
      </c>
      <c r="AD540" s="268" t="str">
        <f t="shared" si="629"/>
        <v/>
      </c>
      <c r="AE540" s="268" t="str">
        <f t="shared" si="629"/>
        <v/>
      </c>
      <c r="AF540" s="268" t="str">
        <f t="shared" si="629"/>
        <v/>
      </c>
      <c r="AG540" s="268">
        <f t="shared" si="629"/>
        <v>20004</v>
      </c>
      <c r="AH540" s="268" t="str">
        <f t="shared" si="629"/>
        <v/>
      </c>
      <c r="AI540" s="268" t="str">
        <f t="shared" si="629"/>
        <v/>
      </c>
      <c r="AJ540" s="268" t="str">
        <f t="shared" si="629"/>
        <v/>
      </c>
      <c r="AK540" s="268" t="str">
        <f t="shared" si="629"/>
        <v/>
      </c>
      <c r="AL540" s="268" t="str">
        <f t="shared" si="629"/>
        <v/>
      </c>
      <c r="AM540" s="268" t="str">
        <f t="shared" si="629"/>
        <v/>
      </c>
      <c r="AN540" s="268" t="str">
        <f t="shared" si="629"/>
        <v/>
      </c>
      <c r="AO540" s="268" t="str">
        <f t="shared" si="629"/>
        <v/>
      </c>
      <c r="AP540" s="268" t="str">
        <f t="shared" si="629"/>
        <v/>
      </c>
      <c r="AQ540" s="268" t="str">
        <f t="shared" si="629"/>
        <v/>
      </c>
      <c r="AR540" s="268" t="str">
        <f t="shared" si="629"/>
        <v/>
      </c>
      <c r="AS540" s="268" t="str">
        <f t="shared" si="629"/>
        <v/>
      </c>
      <c r="AT540" s="268" t="str">
        <f t="shared" si="629"/>
        <v/>
      </c>
      <c r="AU540" s="268" t="str">
        <f t="shared" si="629"/>
        <v/>
      </c>
      <c r="AV540" s="268" t="str">
        <f t="shared" si="629"/>
        <v/>
      </c>
      <c r="AW540" s="268" t="str">
        <f t="shared" si="629"/>
        <v/>
      </c>
      <c r="AX540" s="268" t="str">
        <f t="shared" si="629"/>
        <v/>
      </c>
      <c r="AY540" s="268" t="str">
        <f t="shared" si="629"/>
        <v/>
      </c>
      <c r="AZ540" s="268" t="str">
        <f t="shared" si="629"/>
        <v/>
      </c>
      <c r="BA540" s="268" t="str">
        <f t="shared" si="629"/>
        <v/>
      </c>
      <c r="BB540" s="268" t="str">
        <f t="shared" si="629"/>
        <v/>
      </c>
      <c r="BC540" s="268" t="str">
        <f t="shared" si="629"/>
        <v/>
      </c>
      <c r="BD540" s="268" t="str">
        <f t="shared" si="629"/>
        <v/>
      </c>
      <c r="BE540" s="268" t="str">
        <f t="shared" si="629"/>
        <v/>
      </c>
      <c r="BF540" s="268" t="str">
        <f t="shared" si="629"/>
        <v/>
      </c>
      <c r="BG540" s="268" t="str">
        <f t="shared" si="629"/>
        <v/>
      </c>
      <c r="BH540" s="268" t="str">
        <f t="shared" si="629"/>
        <v/>
      </c>
      <c r="BI540" s="268" t="str">
        <f t="shared" si="629"/>
        <v/>
      </c>
      <c r="BJ540" s="268" t="str">
        <f t="shared" si="629"/>
        <v/>
      </c>
      <c r="BK540" s="268" t="str">
        <f t="shared" si="629"/>
        <v/>
      </c>
      <c r="BL540" s="268" t="str">
        <f t="shared" si="629"/>
        <v/>
      </c>
      <c r="BM540" s="268" t="str">
        <f t="shared" si="629"/>
        <v/>
      </c>
      <c r="BN540" s="268" t="str">
        <f t="shared" si="629"/>
        <v/>
      </c>
      <c r="BO540" s="268" t="str">
        <f t="shared" si="629"/>
        <v/>
      </c>
      <c r="BP540" s="268" t="str">
        <f t="shared" si="629"/>
        <v/>
      </c>
      <c r="BQ540" s="268" t="str">
        <f t="shared" si="629"/>
        <v/>
      </c>
      <c r="BR540" s="268" t="str">
        <f t="shared" si="629"/>
        <v/>
      </c>
      <c r="BS540" s="268" t="str">
        <f t="shared" si="629"/>
        <v/>
      </c>
      <c r="BT540" s="268" t="str">
        <f t="shared" si="629"/>
        <v/>
      </c>
      <c r="BU540" s="268" t="str">
        <f t="shared" si="617"/>
        <v/>
      </c>
      <c r="BV540" s="247">
        <v>2.02</v>
      </c>
      <c r="BW540" s="729">
        <f t="shared" si="618"/>
        <v>40408.08</v>
      </c>
      <c r="BX540" s="730">
        <f t="shared" si="619"/>
        <v>313162.62</v>
      </c>
      <c r="BY540" s="731" t="str">
        <f t="shared" si="620"/>
        <v>SR</v>
      </c>
    </row>
    <row r="541" s="697" customFormat="1" customHeight="1" spans="1:77">
      <c r="A541" s="179">
        <v>46127</v>
      </c>
      <c r="B541" s="179">
        <v>46228</v>
      </c>
      <c r="C541" s="418" t="s">
        <v>711</v>
      </c>
      <c r="D541" s="418" t="s">
        <v>712</v>
      </c>
      <c r="E541" s="418" t="s">
        <v>66</v>
      </c>
      <c r="F541" s="737">
        <v>20004</v>
      </c>
      <c r="G541" s="118" t="s">
        <v>270</v>
      </c>
      <c r="H541" s="118" t="str">
        <f>IFERROR(VLOOKUP(E541,[1]名称!A:E,4,0),"")</f>
        <v>三代</v>
      </c>
      <c r="I541" s="418" t="str">
        <f t="shared" ref="I541:BT541" si="630">IF(OR($E541="",I$1=""),"",IF(TRIM(LEFT($E541,MIN(IFERROR(FIND("CDU",UPPER($E541)),999),IFERROR(FIND("BULK",UPPER($E541)),999),IFERROR(FIND("-",$E541),999),IFERROR(FIND("（",$E541),999))-1))=I$1,$F541,""))</f>
        <v/>
      </c>
      <c r="J541" s="418" t="str">
        <f t="shared" si="630"/>
        <v/>
      </c>
      <c r="K541" s="418" t="str">
        <f t="shared" si="630"/>
        <v/>
      </c>
      <c r="L541" s="418" t="str">
        <f t="shared" si="630"/>
        <v/>
      </c>
      <c r="M541" s="418" t="str">
        <f t="shared" si="630"/>
        <v/>
      </c>
      <c r="N541" s="418" t="str">
        <f t="shared" si="630"/>
        <v/>
      </c>
      <c r="O541" s="418" t="str">
        <f t="shared" si="630"/>
        <v/>
      </c>
      <c r="P541" s="418" t="str">
        <f t="shared" si="630"/>
        <v/>
      </c>
      <c r="Q541" s="418" t="str">
        <f t="shared" si="630"/>
        <v/>
      </c>
      <c r="R541" s="418" t="str">
        <f t="shared" si="630"/>
        <v/>
      </c>
      <c r="S541" s="418" t="str">
        <f t="shared" si="630"/>
        <v/>
      </c>
      <c r="T541" s="418" t="str">
        <f t="shared" si="630"/>
        <v/>
      </c>
      <c r="U541" s="418" t="str">
        <f t="shared" si="630"/>
        <v/>
      </c>
      <c r="V541" s="418" t="str">
        <f t="shared" si="630"/>
        <v/>
      </c>
      <c r="W541" s="418" t="str">
        <f t="shared" si="630"/>
        <v/>
      </c>
      <c r="X541" s="418" t="str">
        <f t="shared" si="630"/>
        <v/>
      </c>
      <c r="Y541" s="418" t="str">
        <f t="shared" si="630"/>
        <v/>
      </c>
      <c r="Z541" s="418" t="str">
        <f t="shared" si="630"/>
        <v/>
      </c>
      <c r="AA541" s="418" t="str">
        <f t="shared" si="630"/>
        <v/>
      </c>
      <c r="AB541" s="418" t="str">
        <f t="shared" si="630"/>
        <v/>
      </c>
      <c r="AC541" s="418" t="str">
        <f t="shared" si="630"/>
        <v/>
      </c>
      <c r="AD541" s="418" t="str">
        <f t="shared" si="630"/>
        <v/>
      </c>
      <c r="AE541" s="418" t="str">
        <f t="shared" si="630"/>
        <v/>
      </c>
      <c r="AF541" s="418" t="str">
        <f t="shared" si="630"/>
        <v/>
      </c>
      <c r="AG541" s="418">
        <f t="shared" si="630"/>
        <v>20004</v>
      </c>
      <c r="AH541" s="418" t="str">
        <f t="shared" si="630"/>
        <v/>
      </c>
      <c r="AI541" s="418" t="str">
        <f t="shared" si="630"/>
        <v/>
      </c>
      <c r="AJ541" s="418" t="str">
        <f t="shared" si="630"/>
        <v/>
      </c>
      <c r="AK541" s="418" t="str">
        <f t="shared" si="630"/>
        <v/>
      </c>
      <c r="AL541" s="418" t="str">
        <f t="shared" si="630"/>
        <v/>
      </c>
      <c r="AM541" s="418" t="str">
        <f t="shared" si="630"/>
        <v/>
      </c>
      <c r="AN541" s="418" t="str">
        <f t="shared" si="630"/>
        <v/>
      </c>
      <c r="AO541" s="418" t="str">
        <f t="shared" si="630"/>
        <v/>
      </c>
      <c r="AP541" s="418" t="str">
        <f t="shared" si="630"/>
        <v/>
      </c>
      <c r="AQ541" s="418" t="str">
        <f t="shared" si="630"/>
        <v/>
      </c>
      <c r="AR541" s="418" t="str">
        <f t="shared" si="630"/>
        <v/>
      </c>
      <c r="AS541" s="418" t="str">
        <f t="shared" si="630"/>
        <v/>
      </c>
      <c r="AT541" s="418" t="str">
        <f t="shared" si="630"/>
        <v/>
      </c>
      <c r="AU541" s="418" t="str">
        <f t="shared" si="630"/>
        <v/>
      </c>
      <c r="AV541" s="418" t="str">
        <f t="shared" si="630"/>
        <v/>
      </c>
      <c r="AW541" s="418" t="str">
        <f t="shared" si="630"/>
        <v/>
      </c>
      <c r="AX541" s="418" t="str">
        <f t="shared" si="630"/>
        <v/>
      </c>
      <c r="AY541" s="418" t="str">
        <f t="shared" si="630"/>
        <v/>
      </c>
      <c r="AZ541" s="418" t="str">
        <f t="shared" si="630"/>
        <v/>
      </c>
      <c r="BA541" s="418" t="str">
        <f t="shared" si="630"/>
        <v/>
      </c>
      <c r="BB541" s="418" t="str">
        <f t="shared" si="630"/>
        <v/>
      </c>
      <c r="BC541" s="418" t="str">
        <f t="shared" si="630"/>
        <v/>
      </c>
      <c r="BD541" s="418" t="str">
        <f t="shared" si="630"/>
        <v/>
      </c>
      <c r="BE541" s="418" t="str">
        <f t="shared" si="630"/>
        <v/>
      </c>
      <c r="BF541" s="418" t="str">
        <f t="shared" si="630"/>
        <v/>
      </c>
      <c r="BG541" s="418" t="str">
        <f t="shared" si="630"/>
        <v/>
      </c>
      <c r="BH541" s="418" t="str">
        <f t="shared" si="630"/>
        <v/>
      </c>
      <c r="BI541" s="418" t="str">
        <f t="shared" si="630"/>
        <v/>
      </c>
      <c r="BJ541" s="418" t="str">
        <f t="shared" si="630"/>
        <v/>
      </c>
      <c r="BK541" s="418" t="str">
        <f t="shared" si="630"/>
        <v/>
      </c>
      <c r="BL541" s="418" t="str">
        <f t="shared" si="630"/>
        <v/>
      </c>
      <c r="BM541" s="418" t="str">
        <f t="shared" si="630"/>
        <v/>
      </c>
      <c r="BN541" s="418" t="str">
        <f t="shared" si="630"/>
        <v/>
      </c>
      <c r="BO541" s="418" t="str">
        <f t="shared" si="630"/>
        <v/>
      </c>
      <c r="BP541" s="418" t="str">
        <f t="shared" si="630"/>
        <v/>
      </c>
      <c r="BQ541" s="418" t="str">
        <f t="shared" si="630"/>
        <v/>
      </c>
      <c r="BR541" s="418" t="str">
        <f t="shared" si="630"/>
        <v/>
      </c>
      <c r="BS541" s="418" t="str">
        <f t="shared" si="630"/>
        <v/>
      </c>
      <c r="BT541" s="418" t="str">
        <f t="shared" si="630"/>
        <v/>
      </c>
      <c r="BU541" s="418" t="str">
        <f t="shared" si="617"/>
        <v/>
      </c>
      <c r="BV541" s="544">
        <v>2.02</v>
      </c>
      <c r="BW541" s="723">
        <f t="shared" si="618"/>
        <v>40408.08</v>
      </c>
      <c r="BX541" s="724">
        <f t="shared" si="619"/>
        <v>313162.62</v>
      </c>
      <c r="BY541" s="725" t="str">
        <f t="shared" si="620"/>
        <v>SR</v>
      </c>
    </row>
    <row r="542" s="698" customFormat="1" customHeight="1" spans="1:77">
      <c r="A542" s="248">
        <v>46127</v>
      </c>
      <c r="B542" s="248">
        <v>46197</v>
      </c>
      <c r="C542" s="268" t="s">
        <v>713</v>
      </c>
      <c r="D542" s="268" t="s">
        <v>714</v>
      </c>
      <c r="E542" s="268" t="s">
        <v>66</v>
      </c>
      <c r="F542" s="343">
        <v>20004</v>
      </c>
      <c r="G542" s="211" t="s">
        <v>270</v>
      </c>
      <c r="H542" s="211" t="str">
        <f>IFERROR(VLOOKUP(E542,[1]名称!A:E,4,0),"")</f>
        <v>三代</v>
      </c>
      <c r="I542" s="268" t="str">
        <f t="shared" ref="I542:BT542" si="631">IF(OR($E542="",I$1=""),"",IF(TRIM(LEFT($E542,MIN(IFERROR(FIND("CDU",UPPER($E542)),999),IFERROR(FIND("BULK",UPPER($E542)),999),IFERROR(FIND("-",$E542),999),IFERROR(FIND("（",$E542),999))-1))=I$1,$F542,""))</f>
        <v/>
      </c>
      <c r="J542" s="268" t="str">
        <f t="shared" si="631"/>
        <v/>
      </c>
      <c r="K542" s="268" t="str">
        <f t="shared" si="631"/>
        <v/>
      </c>
      <c r="L542" s="268" t="str">
        <f t="shared" si="631"/>
        <v/>
      </c>
      <c r="M542" s="268" t="str">
        <f t="shared" si="631"/>
        <v/>
      </c>
      <c r="N542" s="268" t="str">
        <f t="shared" si="631"/>
        <v/>
      </c>
      <c r="O542" s="268" t="str">
        <f t="shared" si="631"/>
        <v/>
      </c>
      <c r="P542" s="268" t="str">
        <f t="shared" si="631"/>
        <v/>
      </c>
      <c r="Q542" s="268" t="str">
        <f t="shared" si="631"/>
        <v/>
      </c>
      <c r="R542" s="268" t="str">
        <f t="shared" si="631"/>
        <v/>
      </c>
      <c r="S542" s="268" t="str">
        <f t="shared" si="631"/>
        <v/>
      </c>
      <c r="T542" s="268" t="str">
        <f t="shared" si="631"/>
        <v/>
      </c>
      <c r="U542" s="268" t="str">
        <f t="shared" si="631"/>
        <v/>
      </c>
      <c r="V542" s="268" t="str">
        <f t="shared" si="631"/>
        <v/>
      </c>
      <c r="W542" s="268" t="str">
        <f t="shared" si="631"/>
        <v/>
      </c>
      <c r="X542" s="268" t="str">
        <f t="shared" si="631"/>
        <v/>
      </c>
      <c r="Y542" s="268" t="str">
        <f t="shared" si="631"/>
        <v/>
      </c>
      <c r="Z542" s="268" t="str">
        <f t="shared" si="631"/>
        <v/>
      </c>
      <c r="AA542" s="268" t="str">
        <f t="shared" si="631"/>
        <v/>
      </c>
      <c r="AB542" s="268" t="str">
        <f t="shared" si="631"/>
        <v/>
      </c>
      <c r="AC542" s="268" t="str">
        <f t="shared" si="631"/>
        <v/>
      </c>
      <c r="AD542" s="268" t="str">
        <f t="shared" si="631"/>
        <v/>
      </c>
      <c r="AE542" s="268" t="str">
        <f t="shared" si="631"/>
        <v/>
      </c>
      <c r="AF542" s="268" t="str">
        <f t="shared" si="631"/>
        <v/>
      </c>
      <c r="AG542" s="268">
        <f t="shared" si="631"/>
        <v>20004</v>
      </c>
      <c r="AH542" s="268" t="str">
        <f t="shared" si="631"/>
        <v/>
      </c>
      <c r="AI542" s="268" t="str">
        <f t="shared" si="631"/>
        <v/>
      </c>
      <c r="AJ542" s="268" t="str">
        <f t="shared" si="631"/>
        <v/>
      </c>
      <c r="AK542" s="268" t="str">
        <f t="shared" si="631"/>
        <v/>
      </c>
      <c r="AL542" s="268" t="str">
        <f t="shared" si="631"/>
        <v/>
      </c>
      <c r="AM542" s="268" t="str">
        <f t="shared" si="631"/>
        <v/>
      </c>
      <c r="AN542" s="268" t="str">
        <f t="shared" si="631"/>
        <v/>
      </c>
      <c r="AO542" s="268" t="str">
        <f t="shared" si="631"/>
        <v/>
      </c>
      <c r="AP542" s="268" t="str">
        <f t="shared" si="631"/>
        <v/>
      </c>
      <c r="AQ542" s="268" t="str">
        <f t="shared" si="631"/>
        <v/>
      </c>
      <c r="AR542" s="268" t="str">
        <f t="shared" si="631"/>
        <v/>
      </c>
      <c r="AS542" s="268" t="str">
        <f t="shared" si="631"/>
        <v/>
      </c>
      <c r="AT542" s="268" t="str">
        <f t="shared" si="631"/>
        <v/>
      </c>
      <c r="AU542" s="268" t="str">
        <f t="shared" si="631"/>
        <v/>
      </c>
      <c r="AV542" s="268" t="str">
        <f t="shared" si="631"/>
        <v/>
      </c>
      <c r="AW542" s="268" t="str">
        <f t="shared" si="631"/>
        <v/>
      </c>
      <c r="AX542" s="268" t="str">
        <f t="shared" si="631"/>
        <v/>
      </c>
      <c r="AY542" s="268" t="str">
        <f t="shared" si="631"/>
        <v/>
      </c>
      <c r="AZ542" s="268" t="str">
        <f t="shared" si="631"/>
        <v/>
      </c>
      <c r="BA542" s="268" t="str">
        <f t="shared" si="631"/>
        <v/>
      </c>
      <c r="BB542" s="268" t="str">
        <f t="shared" si="631"/>
        <v/>
      </c>
      <c r="BC542" s="268" t="str">
        <f t="shared" si="631"/>
        <v/>
      </c>
      <c r="BD542" s="268" t="str">
        <f t="shared" si="631"/>
        <v/>
      </c>
      <c r="BE542" s="268" t="str">
        <f t="shared" si="631"/>
        <v/>
      </c>
      <c r="BF542" s="268" t="str">
        <f t="shared" si="631"/>
        <v/>
      </c>
      <c r="BG542" s="268" t="str">
        <f t="shared" si="631"/>
        <v/>
      </c>
      <c r="BH542" s="268" t="str">
        <f t="shared" si="631"/>
        <v/>
      </c>
      <c r="BI542" s="268" t="str">
        <f t="shared" si="631"/>
        <v/>
      </c>
      <c r="BJ542" s="268" t="str">
        <f t="shared" si="631"/>
        <v/>
      </c>
      <c r="BK542" s="268" t="str">
        <f t="shared" si="631"/>
        <v/>
      </c>
      <c r="BL542" s="268" t="str">
        <f t="shared" si="631"/>
        <v/>
      </c>
      <c r="BM542" s="268" t="str">
        <f t="shared" si="631"/>
        <v/>
      </c>
      <c r="BN542" s="268" t="str">
        <f t="shared" si="631"/>
        <v/>
      </c>
      <c r="BO542" s="268" t="str">
        <f t="shared" si="631"/>
        <v/>
      </c>
      <c r="BP542" s="268" t="str">
        <f t="shared" si="631"/>
        <v/>
      </c>
      <c r="BQ542" s="268" t="str">
        <f t="shared" si="631"/>
        <v/>
      </c>
      <c r="BR542" s="268" t="str">
        <f t="shared" si="631"/>
        <v/>
      </c>
      <c r="BS542" s="268" t="str">
        <f t="shared" si="631"/>
        <v/>
      </c>
      <c r="BT542" s="268" t="str">
        <f t="shared" si="631"/>
        <v/>
      </c>
      <c r="BU542" s="268" t="str">
        <f t="shared" si="617"/>
        <v/>
      </c>
      <c r="BV542" s="247">
        <v>2.02</v>
      </c>
      <c r="BW542" s="729">
        <f t="shared" si="618"/>
        <v>40408.08</v>
      </c>
      <c r="BX542" s="730">
        <f t="shared" si="619"/>
        <v>313162.62</v>
      </c>
      <c r="BY542" s="731" t="str">
        <f t="shared" si="620"/>
        <v>SR</v>
      </c>
    </row>
    <row r="543" s="698" customFormat="1" customHeight="1" spans="1:77">
      <c r="A543" s="248">
        <v>46127</v>
      </c>
      <c r="B543" s="208">
        <v>46178</v>
      </c>
      <c r="C543" s="268" t="s">
        <v>715</v>
      </c>
      <c r="D543" s="268" t="s">
        <v>716</v>
      </c>
      <c r="E543" s="268" t="s">
        <v>107</v>
      </c>
      <c r="F543" s="343">
        <v>8000</v>
      </c>
      <c r="G543" s="268" t="s">
        <v>270</v>
      </c>
      <c r="H543" s="211" t="str">
        <f>IFERROR(VLOOKUP(E543,名称!A:E,4,0),"")</f>
        <v>三代</v>
      </c>
      <c r="I543" s="268" t="str">
        <f t="shared" ref="I543:BT543" si="632">IF(OR($E543="",I$1=""),"",IF(TRIM(LEFT($E543,MIN(IFERROR(FIND("CDU",UPPER($E543)),999),IFERROR(FIND("BULK",UPPER($E543)),999),IFERROR(FIND("-",$E543),999),IFERROR(FIND("（",$E543),999))-1))=I$1,$F543,""))</f>
        <v/>
      </c>
      <c r="J543" s="268" t="str">
        <f t="shared" si="632"/>
        <v/>
      </c>
      <c r="K543" s="268" t="str">
        <f t="shared" si="632"/>
        <v/>
      </c>
      <c r="L543" s="268" t="str">
        <f t="shared" si="632"/>
        <v/>
      </c>
      <c r="M543" s="268" t="str">
        <f t="shared" si="632"/>
        <v/>
      </c>
      <c r="N543" s="268" t="str">
        <f t="shared" si="632"/>
        <v/>
      </c>
      <c r="O543" s="268" t="str">
        <f t="shared" si="632"/>
        <v/>
      </c>
      <c r="P543" s="268" t="str">
        <f t="shared" si="632"/>
        <v/>
      </c>
      <c r="Q543" s="268" t="str">
        <f t="shared" si="632"/>
        <v/>
      </c>
      <c r="R543" s="268" t="str">
        <f t="shared" si="632"/>
        <v/>
      </c>
      <c r="S543" s="268" t="str">
        <f t="shared" si="632"/>
        <v/>
      </c>
      <c r="T543" s="268" t="str">
        <f t="shared" si="632"/>
        <v/>
      </c>
      <c r="U543" s="268" t="str">
        <f t="shared" si="632"/>
        <v/>
      </c>
      <c r="V543" s="268" t="str">
        <f t="shared" si="632"/>
        <v/>
      </c>
      <c r="W543" s="268" t="str">
        <f t="shared" si="632"/>
        <v/>
      </c>
      <c r="X543" s="268" t="str">
        <f t="shared" si="632"/>
        <v/>
      </c>
      <c r="Y543" s="268" t="str">
        <f t="shared" si="632"/>
        <v/>
      </c>
      <c r="Z543" s="268" t="str">
        <f t="shared" si="632"/>
        <v/>
      </c>
      <c r="AA543" s="268" t="str">
        <f t="shared" si="632"/>
        <v/>
      </c>
      <c r="AB543" s="268" t="str">
        <f t="shared" si="632"/>
        <v/>
      </c>
      <c r="AC543" s="268" t="str">
        <f t="shared" si="632"/>
        <v/>
      </c>
      <c r="AD543" s="268" t="str">
        <f t="shared" si="632"/>
        <v/>
      </c>
      <c r="AE543" s="268" t="str">
        <f t="shared" si="632"/>
        <v/>
      </c>
      <c r="AF543" s="268" t="str">
        <f t="shared" si="632"/>
        <v/>
      </c>
      <c r="AG543" s="268">
        <f t="shared" si="632"/>
        <v>8000</v>
      </c>
      <c r="AH543" s="268" t="str">
        <f t="shared" si="632"/>
        <v/>
      </c>
      <c r="AI543" s="268" t="str">
        <f t="shared" si="632"/>
        <v/>
      </c>
      <c r="AJ543" s="268" t="str">
        <f t="shared" si="632"/>
        <v/>
      </c>
      <c r="AK543" s="268" t="str">
        <f t="shared" si="632"/>
        <v/>
      </c>
      <c r="AL543" s="268" t="str">
        <f t="shared" si="632"/>
        <v/>
      </c>
      <c r="AM543" s="268" t="str">
        <f t="shared" si="632"/>
        <v/>
      </c>
      <c r="AN543" s="268" t="str">
        <f t="shared" si="632"/>
        <v/>
      </c>
      <c r="AO543" s="268" t="str">
        <f t="shared" si="632"/>
        <v/>
      </c>
      <c r="AP543" s="268" t="str">
        <f t="shared" si="632"/>
        <v/>
      </c>
      <c r="AQ543" s="268" t="str">
        <f t="shared" si="632"/>
        <v/>
      </c>
      <c r="AR543" s="268" t="str">
        <f t="shared" si="632"/>
        <v/>
      </c>
      <c r="AS543" s="268" t="str">
        <f t="shared" si="632"/>
        <v/>
      </c>
      <c r="AT543" s="268" t="str">
        <f t="shared" si="632"/>
        <v/>
      </c>
      <c r="AU543" s="268" t="str">
        <f t="shared" si="632"/>
        <v/>
      </c>
      <c r="AV543" s="268" t="str">
        <f t="shared" si="632"/>
        <v/>
      </c>
      <c r="AW543" s="268" t="str">
        <f t="shared" si="632"/>
        <v/>
      </c>
      <c r="AX543" s="268" t="str">
        <f t="shared" si="632"/>
        <v/>
      </c>
      <c r="AY543" s="268" t="str">
        <f t="shared" si="632"/>
        <v/>
      </c>
      <c r="AZ543" s="268" t="str">
        <f t="shared" si="632"/>
        <v/>
      </c>
      <c r="BA543" s="268" t="str">
        <f t="shared" si="632"/>
        <v/>
      </c>
      <c r="BB543" s="268" t="str">
        <f t="shared" si="632"/>
        <v/>
      </c>
      <c r="BC543" s="268" t="str">
        <f t="shared" si="632"/>
        <v/>
      </c>
      <c r="BD543" s="268" t="str">
        <f t="shared" si="632"/>
        <v/>
      </c>
      <c r="BE543" s="268" t="str">
        <f t="shared" si="632"/>
        <v/>
      </c>
      <c r="BF543" s="268" t="str">
        <f t="shared" si="632"/>
        <v/>
      </c>
      <c r="BG543" s="268" t="str">
        <f t="shared" si="632"/>
        <v/>
      </c>
      <c r="BH543" s="268" t="str">
        <f t="shared" si="632"/>
        <v/>
      </c>
      <c r="BI543" s="268" t="str">
        <f t="shared" si="632"/>
        <v/>
      </c>
      <c r="BJ543" s="268" t="str">
        <f t="shared" si="632"/>
        <v/>
      </c>
      <c r="BK543" s="268" t="str">
        <f t="shared" si="632"/>
        <v/>
      </c>
      <c r="BL543" s="268" t="str">
        <f t="shared" si="632"/>
        <v/>
      </c>
      <c r="BM543" s="268" t="str">
        <f t="shared" si="632"/>
        <v/>
      </c>
      <c r="BN543" s="268" t="str">
        <f t="shared" si="632"/>
        <v/>
      </c>
      <c r="BO543" s="268" t="str">
        <f t="shared" si="632"/>
        <v/>
      </c>
      <c r="BP543" s="268" t="str">
        <f t="shared" si="632"/>
        <v/>
      </c>
      <c r="BQ543" s="268" t="str">
        <f t="shared" si="632"/>
        <v/>
      </c>
      <c r="BR543" s="268" t="str">
        <f t="shared" si="632"/>
        <v/>
      </c>
      <c r="BS543" s="268" t="str">
        <f t="shared" si="632"/>
        <v/>
      </c>
      <c r="BT543" s="268" t="str">
        <f t="shared" si="632"/>
        <v/>
      </c>
      <c r="BU543" s="268" t="str">
        <f t="shared" si="617"/>
        <v/>
      </c>
      <c r="BV543" s="247">
        <v>2.12</v>
      </c>
      <c r="BW543" s="729">
        <f t="shared" si="618"/>
        <v>16960</v>
      </c>
      <c r="BX543" s="730">
        <f t="shared" si="619"/>
        <v>131440</v>
      </c>
      <c r="BY543" s="731" t="str">
        <f t="shared" si="620"/>
        <v>SR</v>
      </c>
    </row>
    <row r="544" s="698" customFormat="1" customHeight="1" spans="1:77">
      <c r="A544" s="248">
        <v>46127</v>
      </c>
      <c r="B544" s="208">
        <v>46178</v>
      </c>
      <c r="C544" s="268" t="s">
        <v>717</v>
      </c>
      <c r="D544" s="268" t="s">
        <v>718</v>
      </c>
      <c r="E544" s="268" t="s">
        <v>83</v>
      </c>
      <c r="F544" s="343">
        <v>3000</v>
      </c>
      <c r="G544" s="268" t="s">
        <v>270</v>
      </c>
      <c r="H544" s="211" t="str">
        <f>IFERROR(VLOOKUP(E544,名称!A:E,4,0),"")</f>
        <v>三代</v>
      </c>
      <c r="I544" s="268" t="str">
        <f t="shared" ref="I544:BT544" si="633">IF(OR($E544="",I$1=""),"",IF(TRIM(LEFT($E544,MIN(IFERROR(FIND("CDU",UPPER($E544)),999),IFERROR(FIND("BULK",UPPER($E544)),999),IFERROR(FIND("-",$E544),999),IFERROR(FIND("（",$E544),999))-1))=I$1,$F544,""))</f>
        <v/>
      </c>
      <c r="J544" s="268" t="str">
        <f t="shared" si="633"/>
        <v/>
      </c>
      <c r="K544" s="268" t="str">
        <f t="shared" si="633"/>
        <v/>
      </c>
      <c r="L544" s="268" t="str">
        <f t="shared" si="633"/>
        <v/>
      </c>
      <c r="M544" s="268" t="str">
        <f t="shared" si="633"/>
        <v/>
      </c>
      <c r="N544" s="268" t="str">
        <f t="shared" si="633"/>
        <v/>
      </c>
      <c r="O544" s="268" t="str">
        <f t="shared" si="633"/>
        <v/>
      </c>
      <c r="P544" s="268" t="str">
        <f t="shared" si="633"/>
        <v/>
      </c>
      <c r="Q544" s="268" t="str">
        <f t="shared" si="633"/>
        <v/>
      </c>
      <c r="R544" s="268" t="str">
        <f t="shared" si="633"/>
        <v/>
      </c>
      <c r="S544" s="268" t="str">
        <f t="shared" si="633"/>
        <v/>
      </c>
      <c r="T544" s="268" t="str">
        <f t="shared" si="633"/>
        <v/>
      </c>
      <c r="U544" s="268" t="str">
        <f t="shared" si="633"/>
        <v/>
      </c>
      <c r="V544" s="268" t="str">
        <f t="shared" si="633"/>
        <v/>
      </c>
      <c r="W544" s="268" t="str">
        <f t="shared" si="633"/>
        <v/>
      </c>
      <c r="X544" s="268" t="str">
        <f t="shared" si="633"/>
        <v/>
      </c>
      <c r="Y544" s="268" t="str">
        <f t="shared" si="633"/>
        <v/>
      </c>
      <c r="Z544" s="268" t="str">
        <f t="shared" si="633"/>
        <v/>
      </c>
      <c r="AA544" s="268" t="str">
        <f t="shared" si="633"/>
        <v/>
      </c>
      <c r="AB544" s="268" t="str">
        <f t="shared" si="633"/>
        <v/>
      </c>
      <c r="AC544" s="268" t="str">
        <f t="shared" si="633"/>
        <v/>
      </c>
      <c r="AD544" s="268" t="str">
        <f t="shared" si="633"/>
        <v/>
      </c>
      <c r="AE544" s="268" t="str">
        <f t="shared" si="633"/>
        <v/>
      </c>
      <c r="AF544" s="268" t="str">
        <f t="shared" si="633"/>
        <v/>
      </c>
      <c r="AG544" s="268" t="str">
        <f t="shared" si="633"/>
        <v/>
      </c>
      <c r="AH544" s="268" t="str">
        <f t="shared" si="633"/>
        <v/>
      </c>
      <c r="AI544" s="268" t="str">
        <f t="shared" si="633"/>
        <v/>
      </c>
      <c r="AJ544" s="268" t="str">
        <f t="shared" si="633"/>
        <v/>
      </c>
      <c r="AK544" s="268" t="str">
        <f t="shared" si="633"/>
        <v/>
      </c>
      <c r="AL544" s="268" t="str">
        <f t="shared" si="633"/>
        <v/>
      </c>
      <c r="AM544" s="268" t="str">
        <f t="shared" si="633"/>
        <v/>
      </c>
      <c r="AN544" s="268">
        <f t="shared" si="633"/>
        <v>3000</v>
      </c>
      <c r="AO544" s="268" t="str">
        <f t="shared" si="633"/>
        <v/>
      </c>
      <c r="AP544" s="268" t="str">
        <f t="shared" si="633"/>
        <v/>
      </c>
      <c r="AQ544" s="268" t="str">
        <f t="shared" si="633"/>
        <v/>
      </c>
      <c r="AR544" s="268" t="str">
        <f t="shared" si="633"/>
        <v/>
      </c>
      <c r="AS544" s="268" t="str">
        <f t="shared" si="633"/>
        <v/>
      </c>
      <c r="AT544" s="268" t="str">
        <f t="shared" si="633"/>
        <v/>
      </c>
      <c r="AU544" s="268" t="str">
        <f t="shared" si="633"/>
        <v/>
      </c>
      <c r="AV544" s="268" t="str">
        <f t="shared" si="633"/>
        <v/>
      </c>
      <c r="AW544" s="268" t="str">
        <f t="shared" si="633"/>
        <v/>
      </c>
      <c r="AX544" s="268" t="str">
        <f t="shared" si="633"/>
        <v/>
      </c>
      <c r="AY544" s="268" t="str">
        <f t="shared" si="633"/>
        <v/>
      </c>
      <c r="AZ544" s="268" t="str">
        <f t="shared" si="633"/>
        <v/>
      </c>
      <c r="BA544" s="268" t="str">
        <f t="shared" si="633"/>
        <v/>
      </c>
      <c r="BB544" s="268" t="str">
        <f t="shared" si="633"/>
        <v/>
      </c>
      <c r="BC544" s="268" t="str">
        <f t="shared" si="633"/>
        <v/>
      </c>
      <c r="BD544" s="268" t="str">
        <f t="shared" si="633"/>
        <v/>
      </c>
      <c r="BE544" s="268" t="str">
        <f t="shared" si="633"/>
        <v/>
      </c>
      <c r="BF544" s="268" t="str">
        <f t="shared" si="633"/>
        <v/>
      </c>
      <c r="BG544" s="268" t="str">
        <f t="shared" si="633"/>
        <v/>
      </c>
      <c r="BH544" s="268" t="str">
        <f t="shared" si="633"/>
        <v/>
      </c>
      <c r="BI544" s="268" t="str">
        <f t="shared" si="633"/>
        <v/>
      </c>
      <c r="BJ544" s="268" t="str">
        <f t="shared" si="633"/>
        <v/>
      </c>
      <c r="BK544" s="268" t="str">
        <f t="shared" si="633"/>
        <v/>
      </c>
      <c r="BL544" s="268" t="str">
        <f t="shared" si="633"/>
        <v/>
      </c>
      <c r="BM544" s="268" t="str">
        <f t="shared" si="633"/>
        <v/>
      </c>
      <c r="BN544" s="268" t="str">
        <f t="shared" si="633"/>
        <v/>
      </c>
      <c r="BO544" s="268" t="str">
        <f t="shared" si="633"/>
        <v/>
      </c>
      <c r="BP544" s="268" t="str">
        <f t="shared" si="633"/>
        <v/>
      </c>
      <c r="BQ544" s="268" t="str">
        <f t="shared" si="633"/>
        <v/>
      </c>
      <c r="BR544" s="268" t="str">
        <f t="shared" si="633"/>
        <v/>
      </c>
      <c r="BS544" s="268" t="str">
        <f t="shared" si="633"/>
        <v/>
      </c>
      <c r="BT544" s="268" t="str">
        <f t="shared" si="633"/>
        <v/>
      </c>
      <c r="BU544" s="268" t="str">
        <f t="shared" si="617"/>
        <v/>
      </c>
      <c r="BV544" s="247">
        <v>0.91</v>
      </c>
      <c r="BW544" s="729">
        <f t="shared" si="618"/>
        <v>2730</v>
      </c>
      <c r="BX544" s="730">
        <f t="shared" si="619"/>
        <v>21157.5</v>
      </c>
      <c r="BY544" s="731" t="str">
        <f t="shared" si="620"/>
        <v>SR</v>
      </c>
    </row>
    <row r="545" s="698" customFormat="1" customHeight="1" spans="1:77">
      <c r="A545" s="248">
        <v>46127</v>
      </c>
      <c r="B545" s="208">
        <v>46178</v>
      </c>
      <c r="C545" s="268" t="s">
        <v>719</v>
      </c>
      <c r="D545" s="268" t="s">
        <v>720</v>
      </c>
      <c r="E545" s="268" t="s">
        <v>60</v>
      </c>
      <c r="F545" s="343">
        <v>9996</v>
      </c>
      <c r="G545" s="268" t="s">
        <v>270</v>
      </c>
      <c r="H545" s="211" t="str">
        <f>IFERROR(VLOOKUP(E545,名称!A:E,4,0),"")</f>
        <v>三代</v>
      </c>
      <c r="I545" s="268" t="str">
        <f t="shared" ref="I545:BT545" si="634">IF(OR($E545="",I$1=""),"",IF(TRIM(LEFT($E545,MIN(IFERROR(FIND("CDU",UPPER($E545)),999),IFERROR(FIND("BULK",UPPER($E545)),999),IFERROR(FIND("-",$E545),999),IFERROR(FIND("（",$E545),999))-1))=I$1,$F545,""))</f>
        <v/>
      </c>
      <c r="J545" s="268" t="str">
        <f t="shared" si="634"/>
        <v/>
      </c>
      <c r="K545" s="268" t="str">
        <f t="shared" si="634"/>
        <v/>
      </c>
      <c r="L545" s="268" t="str">
        <f t="shared" si="634"/>
        <v/>
      </c>
      <c r="M545" s="268" t="str">
        <f t="shared" si="634"/>
        <v/>
      </c>
      <c r="N545" s="268" t="str">
        <f t="shared" si="634"/>
        <v/>
      </c>
      <c r="O545" s="268" t="str">
        <f t="shared" si="634"/>
        <v/>
      </c>
      <c r="P545" s="268" t="str">
        <f t="shared" si="634"/>
        <v/>
      </c>
      <c r="Q545" s="268" t="str">
        <f t="shared" si="634"/>
        <v/>
      </c>
      <c r="R545" s="268" t="str">
        <f t="shared" si="634"/>
        <v/>
      </c>
      <c r="S545" s="268" t="str">
        <f t="shared" si="634"/>
        <v/>
      </c>
      <c r="T545" s="268" t="str">
        <f t="shared" si="634"/>
        <v/>
      </c>
      <c r="U545" s="268" t="str">
        <f t="shared" si="634"/>
        <v/>
      </c>
      <c r="V545" s="268" t="str">
        <f t="shared" si="634"/>
        <v/>
      </c>
      <c r="W545" s="268" t="str">
        <f t="shared" si="634"/>
        <v/>
      </c>
      <c r="X545" s="268" t="str">
        <f t="shared" si="634"/>
        <v/>
      </c>
      <c r="Y545" s="268" t="str">
        <f t="shared" si="634"/>
        <v/>
      </c>
      <c r="Z545" s="268" t="str">
        <f t="shared" si="634"/>
        <v/>
      </c>
      <c r="AA545" s="268" t="str">
        <f t="shared" si="634"/>
        <v/>
      </c>
      <c r="AB545" s="268" t="str">
        <f t="shared" si="634"/>
        <v/>
      </c>
      <c r="AC545" s="268" t="str">
        <f t="shared" si="634"/>
        <v/>
      </c>
      <c r="AD545" s="268" t="str">
        <f t="shared" si="634"/>
        <v/>
      </c>
      <c r="AE545" s="268">
        <f t="shared" si="634"/>
        <v>9996</v>
      </c>
      <c r="AF545" s="268" t="str">
        <f t="shared" si="634"/>
        <v/>
      </c>
      <c r="AG545" s="268" t="str">
        <f t="shared" si="634"/>
        <v/>
      </c>
      <c r="AH545" s="268" t="str">
        <f t="shared" si="634"/>
        <v/>
      </c>
      <c r="AI545" s="268" t="str">
        <f t="shared" si="634"/>
        <v/>
      </c>
      <c r="AJ545" s="268" t="str">
        <f t="shared" si="634"/>
        <v/>
      </c>
      <c r="AK545" s="268" t="str">
        <f t="shared" si="634"/>
        <v/>
      </c>
      <c r="AL545" s="268" t="str">
        <f t="shared" si="634"/>
        <v/>
      </c>
      <c r="AM545" s="268" t="str">
        <f t="shared" si="634"/>
        <v/>
      </c>
      <c r="AN545" s="268" t="str">
        <f t="shared" si="634"/>
        <v/>
      </c>
      <c r="AO545" s="268" t="str">
        <f t="shared" si="634"/>
        <v/>
      </c>
      <c r="AP545" s="268" t="str">
        <f t="shared" si="634"/>
        <v/>
      </c>
      <c r="AQ545" s="268" t="str">
        <f t="shared" si="634"/>
        <v/>
      </c>
      <c r="AR545" s="268" t="str">
        <f t="shared" si="634"/>
        <v/>
      </c>
      <c r="AS545" s="268" t="str">
        <f t="shared" si="634"/>
        <v/>
      </c>
      <c r="AT545" s="268" t="str">
        <f t="shared" si="634"/>
        <v/>
      </c>
      <c r="AU545" s="268" t="str">
        <f t="shared" si="634"/>
        <v/>
      </c>
      <c r="AV545" s="268" t="str">
        <f t="shared" si="634"/>
        <v/>
      </c>
      <c r="AW545" s="268" t="str">
        <f t="shared" si="634"/>
        <v/>
      </c>
      <c r="AX545" s="268" t="str">
        <f t="shared" si="634"/>
        <v/>
      </c>
      <c r="AY545" s="268" t="str">
        <f t="shared" si="634"/>
        <v/>
      </c>
      <c r="AZ545" s="268" t="str">
        <f t="shared" si="634"/>
        <v/>
      </c>
      <c r="BA545" s="268" t="str">
        <f t="shared" si="634"/>
        <v/>
      </c>
      <c r="BB545" s="268" t="str">
        <f t="shared" si="634"/>
        <v/>
      </c>
      <c r="BC545" s="268" t="str">
        <f t="shared" si="634"/>
        <v/>
      </c>
      <c r="BD545" s="268" t="str">
        <f t="shared" si="634"/>
        <v/>
      </c>
      <c r="BE545" s="268" t="str">
        <f t="shared" si="634"/>
        <v/>
      </c>
      <c r="BF545" s="268" t="str">
        <f t="shared" si="634"/>
        <v/>
      </c>
      <c r="BG545" s="268" t="str">
        <f t="shared" si="634"/>
        <v/>
      </c>
      <c r="BH545" s="268" t="str">
        <f t="shared" si="634"/>
        <v/>
      </c>
      <c r="BI545" s="268" t="str">
        <f t="shared" si="634"/>
        <v/>
      </c>
      <c r="BJ545" s="268" t="str">
        <f t="shared" si="634"/>
        <v/>
      </c>
      <c r="BK545" s="268" t="str">
        <f t="shared" si="634"/>
        <v/>
      </c>
      <c r="BL545" s="268" t="str">
        <f t="shared" si="634"/>
        <v/>
      </c>
      <c r="BM545" s="268" t="str">
        <f t="shared" si="634"/>
        <v/>
      </c>
      <c r="BN545" s="268" t="str">
        <f t="shared" si="634"/>
        <v/>
      </c>
      <c r="BO545" s="268" t="str">
        <f t="shared" si="634"/>
        <v/>
      </c>
      <c r="BP545" s="268" t="str">
        <f t="shared" si="634"/>
        <v/>
      </c>
      <c r="BQ545" s="268" t="str">
        <f t="shared" si="634"/>
        <v/>
      </c>
      <c r="BR545" s="268" t="str">
        <f t="shared" si="634"/>
        <v/>
      </c>
      <c r="BS545" s="268" t="str">
        <f t="shared" si="634"/>
        <v/>
      </c>
      <c r="BT545" s="268" t="str">
        <f t="shared" si="634"/>
        <v/>
      </c>
      <c r="BU545" s="268" t="str">
        <f t="shared" si="617"/>
        <v/>
      </c>
      <c r="BV545" s="247">
        <v>0.6</v>
      </c>
      <c r="BW545" s="729">
        <f t="shared" si="618"/>
        <v>5997.6</v>
      </c>
      <c r="BX545" s="730">
        <f t="shared" si="619"/>
        <v>46481.4</v>
      </c>
      <c r="BY545" s="731" t="str">
        <f t="shared" si="620"/>
        <v>SR</v>
      </c>
    </row>
    <row r="546" s="698" customFormat="1" customHeight="1" spans="1:77">
      <c r="A546" s="248">
        <v>46127</v>
      </c>
      <c r="B546" s="208">
        <v>46178</v>
      </c>
      <c r="C546" s="268" t="s">
        <v>721</v>
      </c>
      <c r="D546" s="268" t="s">
        <v>722</v>
      </c>
      <c r="E546" s="268" t="s">
        <v>93</v>
      </c>
      <c r="F546" s="343">
        <v>3000</v>
      </c>
      <c r="G546" s="268" t="s">
        <v>270</v>
      </c>
      <c r="H546" s="211" t="str">
        <f>IFERROR(VLOOKUP(E546,名称!A:E,4,0),"")</f>
        <v>三代</v>
      </c>
      <c r="I546" s="268" t="str">
        <f t="shared" ref="I546:BT546" si="635">IF(OR($E546="",I$1=""),"",IF(TRIM(LEFT($E546,MIN(IFERROR(FIND("CDU",UPPER($E546)),999),IFERROR(FIND("BULK",UPPER($E546)),999),IFERROR(FIND("-",$E546),999),IFERROR(FIND("（",$E546),999))-1))=I$1,$F546,""))</f>
        <v/>
      </c>
      <c r="J546" s="268" t="str">
        <f t="shared" si="635"/>
        <v/>
      </c>
      <c r="K546" s="268" t="str">
        <f t="shared" si="635"/>
        <v/>
      </c>
      <c r="L546" s="268" t="str">
        <f t="shared" si="635"/>
        <v/>
      </c>
      <c r="M546" s="268" t="str">
        <f t="shared" si="635"/>
        <v/>
      </c>
      <c r="N546" s="268" t="str">
        <f t="shared" si="635"/>
        <v/>
      </c>
      <c r="O546" s="268" t="str">
        <f t="shared" si="635"/>
        <v/>
      </c>
      <c r="P546" s="268" t="str">
        <f t="shared" si="635"/>
        <v/>
      </c>
      <c r="Q546" s="268" t="str">
        <f t="shared" si="635"/>
        <v/>
      </c>
      <c r="R546" s="268" t="str">
        <f t="shared" si="635"/>
        <v/>
      </c>
      <c r="S546" s="268" t="str">
        <f t="shared" si="635"/>
        <v/>
      </c>
      <c r="T546" s="268" t="str">
        <f t="shared" si="635"/>
        <v/>
      </c>
      <c r="U546" s="268" t="str">
        <f t="shared" si="635"/>
        <v/>
      </c>
      <c r="V546" s="268" t="str">
        <f t="shared" si="635"/>
        <v/>
      </c>
      <c r="W546" s="268" t="str">
        <f t="shared" si="635"/>
        <v/>
      </c>
      <c r="X546" s="268" t="str">
        <f t="shared" si="635"/>
        <v/>
      </c>
      <c r="Y546" s="268" t="str">
        <f t="shared" si="635"/>
        <v/>
      </c>
      <c r="Z546" s="268" t="str">
        <f t="shared" si="635"/>
        <v/>
      </c>
      <c r="AA546" s="268" t="str">
        <f t="shared" si="635"/>
        <v/>
      </c>
      <c r="AB546" s="268" t="str">
        <f t="shared" si="635"/>
        <v/>
      </c>
      <c r="AC546" s="268" t="str">
        <f t="shared" si="635"/>
        <v/>
      </c>
      <c r="AD546" s="268" t="str">
        <f t="shared" si="635"/>
        <v/>
      </c>
      <c r="AE546" s="268" t="str">
        <f t="shared" si="635"/>
        <v/>
      </c>
      <c r="AF546" s="268" t="str">
        <f t="shared" si="635"/>
        <v/>
      </c>
      <c r="AG546" s="268" t="str">
        <f t="shared" si="635"/>
        <v/>
      </c>
      <c r="AH546" s="268" t="str">
        <f t="shared" si="635"/>
        <v/>
      </c>
      <c r="AI546" s="268" t="str">
        <f t="shared" si="635"/>
        <v/>
      </c>
      <c r="AJ546" s="268" t="str">
        <f t="shared" si="635"/>
        <v/>
      </c>
      <c r="AK546" s="268" t="str">
        <f t="shared" si="635"/>
        <v/>
      </c>
      <c r="AL546" s="268" t="str">
        <f t="shared" si="635"/>
        <v/>
      </c>
      <c r="AM546" s="268" t="str">
        <f t="shared" si="635"/>
        <v/>
      </c>
      <c r="AN546" s="268" t="str">
        <f t="shared" si="635"/>
        <v/>
      </c>
      <c r="AO546" s="268" t="str">
        <f t="shared" si="635"/>
        <v/>
      </c>
      <c r="AP546" s="268" t="str">
        <f t="shared" si="635"/>
        <v/>
      </c>
      <c r="AQ546" s="268" t="str">
        <f t="shared" si="635"/>
        <v/>
      </c>
      <c r="AR546" s="268" t="str">
        <f t="shared" si="635"/>
        <v/>
      </c>
      <c r="AS546" s="268" t="str">
        <f t="shared" si="635"/>
        <v/>
      </c>
      <c r="AT546" s="268" t="str">
        <f t="shared" si="635"/>
        <v/>
      </c>
      <c r="AU546" s="268" t="str">
        <f t="shared" si="635"/>
        <v/>
      </c>
      <c r="AV546" s="268" t="str">
        <f t="shared" si="635"/>
        <v/>
      </c>
      <c r="AW546" s="268" t="str">
        <f t="shared" si="635"/>
        <v/>
      </c>
      <c r="AX546" s="268" t="str">
        <f t="shared" si="635"/>
        <v/>
      </c>
      <c r="AY546" s="268">
        <f t="shared" si="635"/>
        <v>3000</v>
      </c>
      <c r="AZ546" s="268" t="str">
        <f t="shared" si="635"/>
        <v/>
      </c>
      <c r="BA546" s="268" t="str">
        <f t="shared" si="635"/>
        <v/>
      </c>
      <c r="BB546" s="268" t="str">
        <f t="shared" si="635"/>
        <v/>
      </c>
      <c r="BC546" s="268" t="str">
        <f t="shared" si="635"/>
        <v/>
      </c>
      <c r="BD546" s="268" t="str">
        <f t="shared" si="635"/>
        <v/>
      </c>
      <c r="BE546" s="268" t="str">
        <f t="shared" si="635"/>
        <v/>
      </c>
      <c r="BF546" s="268" t="str">
        <f t="shared" si="635"/>
        <v/>
      </c>
      <c r="BG546" s="268" t="str">
        <f t="shared" si="635"/>
        <v/>
      </c>
      <c r="BH546" s="268" t="str">
        <f t="shared" si="635"/>
        <v/>
      </c>
      <c r="BI546" s="268" t="str">
        <f t="shared" si="635"/>
        <v/>
      </c>
      <c r="BJ546" s="268" t="str">
        <f t="shared" si="635"/>
        <v/>
      </c>
      <c r="BK546" s="268" t="str">
        <f t="shared" si="635"/>
        <v/>
      </c>
      <c r="BL546" s="268" t="str">
        <f t="shared" si="635"/>
        <v/>
      </c>
      <c r="BM546" s="268" t="str">
        <f t="shared" si="635"/>
        <v/>
      </c>
      <c r="BN546" s="268" t="str">
        <f t="shared" si="635"/>
        <v/>
      </c>
      <c r="BO546" s="268" t="str">
        <f t="shared" si="635"/>
        <v/>
      </c>
      <c r="BP546" s="268" t="str">
        <f t="shared" si="635"/>
        <v/>
      </c>
      <c r="BQ546" s="268" t="str">
        <f t="shared" si="635"/>
        <v/>
      </c>
      <c r="BR546" s="268" t="str">
        <f t="shared" si="635"/>
        <v/>
      </c>
      <c r="BS546" s="268" t="str">
        <f t="shared" si="635"/>
        <v/>
      </c>
      <c r="BT546" s="268" t="str">
        <f t="shared" si="635"/>
        <v/>
      </c>
      <c r="BU546" s="268" t="str">
        <f t="shared" si="617"/>
        <v/>
      </c>
      <c r="BV546" s="247">
        <v>0.61</v>
      </c>
      <c r="BW546" s="729">
        <f t="shared" si="618"/>
        <v>1830</v>
      </c>
      <c r="BX546" s="730">
        <f t="shared" si="619"/>
        <v>14182.5</v>
      </c>
      <c r="BY546" s="731" t="str">
        <f t="shared" si="620"/>
        <v>SR</v>
      </c>
    </row>
    <row r="547" s="698" customFormat="1" customHeight="1" spans="1:77">
      <c r="A547" s="248">
        <v>46127</v>
      </c>
      <c r="B547" s="208">
        <v>46178</v>
      </c>
      <c r="C547" s="268" t="s">
        <v>723</v>
      </c>
      <c r="D547" s="268" t="s">
        <v>724</v>
      </c>
      <c r="E547" s="268" t="s">
        <v>96</v>
      </c>
      <c r="F547" s="343">
        <v>3000</v>
      </c>
      <c r="G547" s="268" t="s">
        <v>270</v>
      </c>
      <c r="H547" s="211" t="str">
        <f>IFERROR(VLOOKUP(E547,名称!A:E,4,0),"")</f>
        <v>三代</v>
      </c>
      <c r="I547" s="268" t="str">
        <f t="shared" ref="I547:BT547" si="636">IF(OR($E547="",I$1=""),"",IF(TRIM(LEFT($E547,MIN(IFERROR(FIND("CDU",UPPER($E547)),999),IFERROR(FIND("BULK",UPPER($E547)),999),IFERROR(FIND("-",$E547),999),IFERROR(FIND("（",$E547),999))-1))=I$1,$F547,""))</f>
        <v/>
      </c>
      <c r="J547" s="268" t="str">
        <f t="shared" si="636"/>
        <v/>
      </c>
      <c r="K547" s="268" t="str">
        <f t="shared" si="636"/>
        <v/>
      </c>
      <c r="L547" s="268" t="str">
        <f t="shared" si="636"/>
        <v/>
      </c>
      <c r="M547" s="268" t="str">
        <f t="shared" si="636"/>
        <v/>
      </c>
      <c r="N547" s="268" t="str">
        <f t="shared" si="636"/>
        <v/>
      </c>
      <c r="O547" s="268" t="str">
        <f t="shared" si="636"/>
        <v/>
      </c>
      <c r="P547" s="268" t="str">
        <f t="shared" si="636"/>
        <v/>
      </c>
      <c r="Q547" s="268" t="str">
        <f t="shared" si="636"/>
        <v/>
      </c>
      <c r="R547" s="268" t="str">
        <f t="shared" si="636"/>
        <v/>
      </c>
      <c r="S547" s="268" t="str">
        <f t="shared" si="636"/>
        <v/>
      </c>
      <c r="T547" s="268" t="str">
        <f t="shared" si="636"/>
        <v/>
      </c>
      <c r="U547" s="268" t="str">
        <f t="shared" si="636"/>
        <v/>
      </c>
      <c r="V547" s="268" t="str">
        <f t="shared" si="636"/>
        <v/>
      </c>
      <c r="W547" s="268" t="str">
        <f t="shared" si="636"/>
        <v/>
      </c>
      <c r="X547" s="268" t="str">
        <f t="shared" si="636"/>
        <v/>
      </c>
      <c r="Y547" s="268" t="str">
        <f t="shared" si="636"/>
        <v/>
      </c>
      <c r="Z547" s="268" t="str">
        <f t="shared" si="636"/>
        <v/>
      </c>
      <c r="AA547" s="268" t="str">
        <f t="shared" si="636"/>
        <v/>
      </c>
      <c r="AB547" s="268" t="str">
        <f t="shared" si="636"/>
        <v/>
      </c>
      <c r="AC547" s="268" t="str">
        <f t="shared" si="636"/>
        <v/>
      </c>
      <c r="AD547" s="268" t="str">
        <f t="shared" si="636"/>
        <v/>
      </c>
      <c r="AE547" s="268" t="str">
        <f t="shared" si="636"/>
        <v/>
      </c>
      <c r="AF547" s="268" t="str">
        <f t="shared" si="636"/>
        <v/>
      </c>
      <c r="AG547" s="268" t="str">
        <f t="shared" si="636"/>
        <v/>
      </c>
      <c r="AH547" s="268" t="str">
        <f t="shared" si="636"/>
        <v/>
      </c>
      <c r="AI547" s="268" t="str">
        <f t="shared" si="636"/>
        <v/>
      </c>
      <c r="AJ547" s="268" t="str">
        <f t="shared" si="636"/>
        <v/>
      </c>
      <c r="AK547" s="268" t="str">
        <f t="shared" si="636"/>
        <v/>
      </c>
      <c r="AL547" s="268" t="str">
        <f t="shared" si="636"/>
        <v/>
      </c>
      <c r="AM547" s="268" t="str">
        <f t="shared" si="636"/>
        <v/>
      </c>
      <c r="AN547" s="268" t="str">
        <f t="shared" si="636"/>
        <v/>
      </c>
      <c r="AO547" s="268" t="str">
        <f t="shared" si="636"/>
        <v/>
      </c>
      <c r="AP547" s="268" t="str">
        <f t="shared" si="636"/>
        <v/>
      </c>
      <c r="AQ547" s="268" t="str">
        <f t="shared" si="636"/>
        <v/>
      </c>
      <c r="AR547" s="268" t="str">
        <f t="shared" si="636"/>
        <v/>
      </c>
      <c r="AS547" s="268" t="str">
        <f t="shared" si="636"/>
        <v/>
      </c>
      <c r="AT547" s="268" t="str">
        <f t="shared" si="636"/>
        <v/>
      </c>
      <c r="AU547" s="268" t="str">
        <f t="shared" si="636"/>
        <v/>
      </c>
      <c r="AV547" s="268" t="str">
        <f t="shared" si="636"/>
        <v/>
      </c>
      <c r="AW547" s="268" t="str">
        <f t="shared" si="636"/>
        <v/>
      </c>
      <c r="AX547" s="268" t="str">
        <f t="shared" si="636"/>
        <v/>
      </c>
      <c r="AY547" s="268" t="str">
        <f t="shared" si="636"/>
        <v/>
      </c>
      <c r="AZ547" s="268" t="str">
        <f t="shared" si="636"/>
        <v/>
      </c>
      <c r="BA547" s="268">
        <f t="shared" si="636"/>
        <v>3000</v>
      </c>
      <c r="BB547" s="268" t="str">
        <f t="shared" si="636"/>
        <v/>
      </c>
      <c r="BC547" s="268" t="str">
        <f t="shared" si="636"/>
        <v/>
      </c>
      <c r="BD547" s="268" t="str">
        <f t="shared" si="636"/>
        <v/>
      </c>
      <c r="BE547" s="268" t="str">
        <f t="shared" si="636"/>
        <v/>
      </c>
      <c r="BF547" s="268" t="str">
        <f t="shared" si="636"/>
        <v/>
      </c>
      <c r="BG547" s="268" t="str">
        <f t="shared" si="636"/>
        <v/>
      </c>
      <c r="BH547" s="268" t="str">
        <f t="shared" si="636"/>
        <v/>
      </c>
      <c r="BI547" s="268" t="str">
        <f t="shared" si="636"/>
        <v/>
      </c>
      <c r="BJ547" s="268" t="str">
        <f t="shared" si="636"/>
        <v/>
      </c>
      <c r="BK547" s="268" t="str">
        <f t="shared" si="636"/>
        <v/>
      </c>
      <c r="BL547" s="268" t="str">
        <f t="shared" si="636"/>
        <v/>
      </c>
      <c r="BM547" s="268" t="str">
        <f t="shared" si="636"/>
        <v/>
      </c>
      <c r="BN547" s="268" t="str">
        <f t="shared" si="636"/>
        <v/>
      </c>
      <c r="BO547" s="268" t="str">
        <f t="shared" si="636"/>
        <v/>
      </c>
      <c r="BP547" s="268" t="str">
        <f t="shared" si="636"/>
        <v/>
      </c>
      <c r="BQ547" s="268" t="str">
        <f t="shared" si="636"/>
        <v/>
      </c>
      <c r="BR547" s="268" t="str">
        <f t="shared" si="636"/>
        <v/>
      </c>
      <c r="BS547" s="268" t="str">
        <f t="shared" si="636"/>
        <v/>
      </c>
      <c r="BT547" s="268" t="str">
        <f t="shared" si="636"/>
        <v/>
      </c>
      <c r="BU547" s="268" t="str">
        <f t="shared" si="617"/>
        <v/>
      </c>
      <c r="BV547" s="247">
        <v>0.61</v>
      </c>
      <c r="BW547" s="729">
        <f t="shared" si="618"/>
        <v>1830</v>
      </c>
      <c r="BX547" s="730">
        <f t="shared" si="619"/>
        <v>14182.5</v>
      </c>
      <c r="BY547" s="731" t="str">
        <f t="shared" si="620"/>
        <v>SR</v>
      </c>
    </row>
    <row r="548" s="698" customFormat="1" customHeight="1" spans="1:77">
      <c r="A548" s="248">
        <v>46127</v>
      </c>
      <c r="B548" s="208">
        <v>46198</v>
      </c>
      <c r="C548" s="268" t="s">
        <v>725</v>
      </c>
      <c r="D548" s="268" t="s">
        <v>726</v>
      </c>
      <c r="E548" s="268" t="s">
        <v>102</v>
      </c>
      <c r="F548" s="343">
        <v>15000</v>
      </c>
      <c r="G548" s="268" t="s">
        <v>270</v>
      </c>
      <c r="H548" s="211" t="str">
        <f>IFERROR(VLOOKUP(E548,名称!A:E,4,0),"")</f>
        <v>三代</v>
      </c>
      <c r="I548" s="268" t="str">
        <f t="shared" ref="I548:BT548" si="637">IF(OR($E548="",I$1=""),"",IF(TRIM(LEFT($E548,MIN(IFERROR(FIND("CDU",UPPER($E548)),999),IFERROR(FIND("BULK",UPPER($E548)),999),IFERROR(FIND("-",$E548),999),IFERROR(FIND("（",$E548),999))-1))=I$1,$F548,""))</f>
        <v/>
      </c>
      <c r="J548" s="268" t="str">
        <f t="shared" si="637"/>
        <v/>
      </c>
      <c r="K548" s="268" t="str">
        <f t="shared" si="637"/>
        <v/>
      </c>
      <c r="L548" s="268" t="str">
        <f t="shared" si="637"/>
        <v/>
      </c>
      <c r="M548" s="268" t="str">
        <f t="shared" si="637"/>
        <v/>
      </c>
      <c r="N548" s="268" t="str">
        <f t="shared" si="637"/>
        <v/>
      </c>
      <c r="O548" s="268" t="str">
        <f t="shared" si="637"/>
        <v/>
      </c>
      <c r="P548" s="268" t="str">
        <f t="shared" si="637"/>
        <v/>
      </c>
      <c r="Q548" s="268" t="str">
        <f t="shared" si="637"/>
        <v/>
      </c>
      <c r="R548" s="268" t="str">
        <f t="shared" si="637"/>
        <v/>
      </c>
      <c r="S548" s="268" t="str">
        <f t="shared" si="637"/>
        <v/>
      </c>
      <c r="T548" s="268" t="str">
        <f t="shared" si="637"/>
        <v/>
      </c>
      <c r="U548" s="268" t="str">
        <f t="shared" si="637"/>
        <v/>
      </c>
      <c r="V548" s="268" t="str">
        <f t="shared" si="637"/>
        <v/>
      </c>
      <c r="W548" s="268" t="str">
        <f t="shared" si="637"/>
        <v/>
      </c>
      <c r="X548" s="268" t="str">
        <f t="shared" si="637"/>
        <v/>
      </c>
      <c r="Y548" s="268" t="str">
        <f t="shared" si="637"/>
        <v/>
      </c>
      <c r="Z548" s="268" t="str">
        <f t="shared" si="637"/>
        <v/>
      </c>
      <c r="AA548" s="268" t="str">
        <f t="shared" si="637"/>
        <v/>
      </c>
      <c r="AB548" s="268" t="str">
        <f t="shared" si="637"/>
        <v/>
      </c>
      <c r="AC548" s="268" t="str">
        <f t="shared" si="637"/>
        <v/>
      </c>
      <c r="AD548" s="268">
        <f t="shared" si="637"/>
        <v>15000</v>
      </c>
      <c r="AE548" s="268" t="str">
        <f t="shared" si="637"/>
        <v/>
      </c>
      <c r="AF548" s="268" t="str">
        <f t="shared" si="637"/>
        <v/>
      </c>
      <c r="AG548" s="268" t="str">
        <f t="shared" si="637"/>
        <v/>
      </c>
      <c r="AH548" s="268" t="str">
        <f t="shared" si="637"/>
        <v/>
      </c>
      <c r="AI548" s="268" t="str">
        <f t="shared" si="637"/>
        <v/>
      </c>
      <c r="AJ548" s="268" t="str">
        <f t="shared" si="637"/>
        <v/>
      </c>
      <c r="AK548" s="268" t="str">
        <f t="shared" si="637"/>
        <v/>
      </c>
      <c r="AL548" s="268" t="str">
        <f t="shared" si="637"/>
        <v/>
      </c>
      <c r="AM548" s="268" t="str">
        <f t="shared" si="637"/>
        <v/>
      </c>
      <c r="AN548" s="268" t="str">
        <f t="shared" si="637"/>
        <v/>
      </c>
      <c r="AO548" s="268" t="str">
        <f t="shared" si="637"/>
        <v/>
      </c>
      <c r="AP548" s="268" t="str">
        <f t="shared" si="637"/>
        <v/>
      </c>
      <c r="AQ548" s="268" t="str">
        <f t="shared" si="637"/>
        <v/>
      </c>
      <c r="AR548" s="268" t="str">
        <f t="shared" si="637"/>
        <v/>
      </c>
      <c r="AS548" s="268" t="str">
        <f t="shared" si="637"/>
        <v/>
      </c>
      <c r="AT548" s="268" t="str">
        <f t="shared" si="637"/>
        <v/>
      </c>
      <c r="AU548" s="268" t="str">
        <f t="shared" si="637"/>
        <v/>
      </c>
      <c r="AV548" s="268" t="str">
        <f t="shared" si="637"/>
        <v/>
      </c>
      <c r="AW548" s="268" t="str">
        <f t="shared" si="637"/>
        <v/>
      </c>
      <c r="AX548" s="268" t="str">
        <f t="shared" si="637"/>
        <v/>
      </c>
      <c r="AY548" s="268" t="str">
        <f t="shared" si="637"/>
        <v/>
      </c>
      <c r="AZ548" s="268" t="str">
        <f t="shared" si="637"/>
        <v/>
      </c>
      <c r="BA548" s="268" t="str">
        <f t="shared" si="637"/>
        <v/>
      </c>
      <c r="BB548" s="268" t="str">
        <f t="shared" si="637"/>
        <v/>
      </c>
      <c r="BC548" s="268" t="str">
        <f t="shared" si="637"/>
        <v/>
      </c>
      <c r="BD548" s="268" t="str">
        <f t="shared" si="637"/>
        <v/>
      </c>
      <c r="BE548" s="268" t="str">
        <f t="shared" si="637"/>
        <v/>
      </c>
      <c r="BF548" s="268" t="str">
        <f t="shared" si="637"/>
        <v/>
      </c>
      <c r="BG548" s="268" t="str">
        <f t="shared" si="637"/>
        <v/>
      </c>
      <c r="BH548" s="268" t="str">
        <f t="shared" si="637"/>
        <v/>
      </c>
      <c r="BI548" s="268" t="str">
        <f t="shared" si="637"/>
        <v/>
      </c>
      <c r="BJ548" s="268" t="str">
        <f t="shared" si="637"/>
        <v/>
      </c>
      <c r="BK548" s="268" t="str">
        <f t="shared" si="637"/>
        <v/>
      </c>
      <c r="BL548" s="268" t="str">
        <f t="shared" si="637"/>
        <v/>
      </c>
      <c r="BM548" s="268" t="str">
        <f t="shared" si="637"/>
        <v/>
      </c>
      <c r="BN548" s="268" t="str">
        <f t="shared" si="637"/>
        <v/>
      </c>
      <c r="BO548" s="268" t="str">
        <f t="shared" si="637"/>
        <v/>
      </c>
      <c r="BP548" s="268" t="str">
        <f t="shared" si="637"/>
        <v/>
      </c>
      <c r="BQ548" s="268" t="str">
        <f t="shared" si="637"/>
        <v/>
      </c>
      <c r="BR548" s="268" t="str">
        <f t="shared" si="637"/>
        <v/>
      </c>
      <c r="BS548" s="268" t="str">
        <f t="shared" si="637"/>
        <v/>
      </c>
      <c r="BT548" s="268" t="str">
        <f t="shared" si="637"/>
        <v/>
      </c>
      <c r="BU548" s="268" t="str">
        <f t="shared" si="617"/>
        <v/>
      </c>
      <c r="BV548" s="247">
        <v>0.61</v>
      </c>
      <c r="BW548" s="729">
        <f t="shared" si="618"/>
        <v>9150</v>
      </c>
      <c r="BX548" s="730">
        <f t="shared" si="619"/>
        <v>70912.5</v>
      </c>
      <c r="BY548" s="731" t="str">
        <f t="shared" si="620"/>
        <v>SR</v>
      </c>
    </row>
    <row r="549" s="698" customFormat="1" customHeight="1" spans="1:77">
      <c r="A549" s="248">
        <v>46127</v>
      </c>
      <c r="B549" s="208">
        <v>46198</v>
      </c>
      <c r="C549" s="268" t="s">
        <v>727</v>
      </c>
      <c r="D549" s="268" t="s">
        <v>728</v>
      </c>
      <c r="E549" s="268" t="s">
        <v>60</v>
      </c>
      <c r="F549" s="343">
        <v>15000</v>
      </c>
      <c r="G549" s="268" t="s">
        <v>270</v>
      </c>
      <c r="H549" s="211" t="str">
        <f>IFERROR(VLOOKUP(E549,名称!A:E,4,0),"")</f>
        <v>三代</v>
      </c>
      <c r="I549" s="268" t="str">
        <f t="shared" ref="I549:BT549" si="638">IF(OR($E549="",I$1=""),"",IF(TRIM(LEFT($E549,MIN(IFERROR(FIND("CDU",UPPER($E549)),999),IFERROR(FIND("BULK",UPPER($E549)),999),IFERROR(FIND("-",$E549),999),IFERROR(FIND("（",$E549),999))-1))=I$1,$F549,""))</f>
        <v/>
      </c>
      <c r="J549" s="268" t="str">
        <f t="shared" si="638"/>
        <v/>
      </c>
      <c r="K549" s="268" t="str">
        <f t="shared" si="638"/>
        <v/>
      </c>
      <c r="L549" s="268" t="str">
        <f t="shared" si="638"/>
        <v/>
      </c>
      <c r="M549" s="268" t="str">
        <f t="shared" si="638"/>
        <v/>
      </c>
      <c r="N549" s="268" t="str">
        <f t="shared" si="638"/>
        <v/>
      </c>
      <c r="O549" s="268" t="str">
        <f t="shared" si="638"/>
        <v/>
      </c>
      <c r="P549" s="268" t="str">
        <f t="shared" si="638"/>
        <v/>
      </c>
      <c r="Q549" s="268" t="str">
        <f t="shared" si="638"/>
        <v/>
      </c>
      <c r="R549" s="268" t="str">
        <f t="shared" si="638"/>
        <v/>
      </c>
      <c r="S549" s="268" t="str">
        <f t="shared" si="638"/>
        <v/>
      </c>
      <c r="T549" s="268" t="str">
        <f t="shared" si="638"/>
        <v/>
      </c>
      <c r="U549" s="268" t="str">
        <f t="shared" si="638"/>
        <v/>
      </c>
      <c r="V549" s="268" t="str">
        <f t="shared" si="638"/>
        <v/>
      </c>
      <c r="W549" s="268" t="str">
        <f t="shared" si="638"/>
        <v/>
      </c>
      <c r="X549" s="268" t="str">
        <f t="shared" si="638"/>
        <v/>
      </c>
      <c r="Y549" s="268" t="str">
        <f t="shared" si="638"/>
        <v/>
      </c>
      <c r="Z549" s="268" t="str">
        <f t="shared" si="638"/>
        <v/>
      </c>
      <c r="AA549" s="268" t="str">
        <f t="shared" si="638"/>
        <v/>
      </c>
      <c r="AB549" s="268" t="str">
        <f t="shared" si="638"/>
        <v/>
      </c>
      <c r="AC549" s="268" t="str">
        <f t="shared" si="638"/>
        <v/>
      </c>
      <c r="AD549" s="268" t="str">
        <f t="shared" si="638"/>
        <v/>
      </c>
      <c r="AE549" s="268">
        <f t="shared" si="638"/>
        <v>15000</v>
      </c>
      <c r="AF549" s="268" t="str">
        <f t="shared" si="638"/>
        <v/>
      </c>
      <c r="AG549" s="268" t="str">
        <f t="shared" si="638"/>
        <v/>
      </c>
      <c r="AH549" s="268" t="str">
        <f t="shared" si="638"/>
        <v/>
      </c>
      <c r="AI549" s="268" t="str">
        <f t="shared" si="638"/>
        <v/>
      </c>
      <c r="AJ549" s="268" t="str">
        <f t="shared" si="638"/>
        <v/>
      </c>
      <c r="AK549" s="268" t="str">
        <f t="shared" si="638"/>
        <v/>
      </c>
      <c r="AL549" s="268" t="str">
        <f t="shared" si="638"/>
        <v/>
      </c>
      <c r="AM549" s="268" t="str">
        <f t="shared" si="638"/>
        <v/>
      </c>
      <c r="AN549" s="268" t="str">
        <f t="shared" si="638"/>
        <v/>
      </c>
      <c r="AO549" s="268" t="str">
        <f t="shared" si="638"/>
        <v/>
      </c>
      <c r="AP549" s="268" t="str">
        <f t="shared" si="638"/>
        <v/>
      </c>
      <c r="AQ549" s="268" t="str">
        <f t="shared" si="638"/>
        <v/>
      </c>
      <c r="AR549" s="268" t="str">
        <f t="shared" si="638"/>
        <v/>
      </c>
      <c r="AS549" s="268" t="str">
        <f t="shared" si="638"/>
        <v/>
      </c>
      <c r="AT549" s="268" t="str">
        <f t="shared" si="638"/>
        <v/>
      </c>
      <c r="AU549" s="268" t="str">
        <f t="shared" si="638"/>
        <v/>
      </c>
      <c r="AV549" s="268" t="str">
        <f t="shared" si="638"/>
        <v/>
      </c>
      <c r="AW549" s="268" t="str">
        <f t="shared" si="638"/>
        <v/>
      </c>
      <c r="AX549" s="268" t="str">
        <f t="shared" si="638"/>
        <v/>
      </c>
      <c r="AY549" s="268" t="str">
        <f t="shared" si="638"/>
        <v/>
      </c>
      <c r="AZ549" s="268" t="str">
        <f t="shared" si="638"/>
        <v/>
      </c>
      <c r="BA549" s="268" t="str">
        <f t="shared" si="638"/>
        <v/>
      </c>
      <c r="BB549" s="268" t="str">
        <f t="shared" si="638"/>
        <v/>
      </c>
      <c r="BC549" s="268" t="str">
        <f t="shared" si="638"/>
        <v/>
      </c>
      <c r="BD549" s="268" t="str">
        <f t="shared" si="638"/>
        <v/>
      </c>
      <c r="BE549" s="268" t="str">
        <f t="shared" si="638"/>
        <v/>
      </c>
      <c r="BF549" s="268" t="str">
        <f t="shared" si="638"/>
        <v/>
      </c>
      <c r="BG549" s="268" t="str">
        <f t="shared" si="638"/>
        <v/>
      </c>
      <c r="BH549" s="268" t="str">
        <f t="shared" si="638"/>
        <v/>
      </c>
      <c r="BI549" s="268" t="str">
        <f t="shared" si="638"/>
        <v/>
      </c>
      <c r="BJ549" s="268" t="str">
        <f t="shared" si="638"/>
        <v/>
      </c>
      <c r="BK549" s="268" t="str">
        <f t="shared" si="638"/>
        <v/>
      </c>
      <c r="BL549" s="268" t="str">
        <f t="shared" si="638"/>
        <v/>
      </c>
      <c r="BM549" s="268" t="str">
        <f t="shared" si="638"/>
        <v/>
      </c>
      <c r="BN549" s="268" t="str">
        <f t="shared" si="638"/>
        <v/>
      </c>
      <c r="BO549" s="268" t="str">
        <f t="shared" si="638"/>
        <v/>
      </c>
      <c r="BP549" s="268" t="str">
        <f t="shared" si="638"/>
        <v/>
      </c>
      <c r="BQ549" s="268" t="str">
        <f t="shared" si="638"/>
        <v/>
      </c>
      <c r="BR549" s="268" t="str">
        <f t="shared" si="638"/>
        <v/>
      </c>
      <c r="BS549" s="268" t="str">
        <f t="shared" si="638"/>
        <v/>
      </c>
      <c r="BT549" s="268" t="str">
        <f t="shared" si="638"/>
        <v/>
      </c>
      <c r="BU549" s="268" t="str">
        <f t="shared" si="617"/>
        <v/>
      </c>
      <c r="BV549" s="247">
        <v>0.6</v>
      </c>
      <c r="BW549" s="729">
        <f t="shared" si="618"/>
        <v>9000</v>
      </c>
      <c r="BX549" s="730">
        <f t="shared" si="619"/>
        <v>69750</v>
      </c>
      <c r="BY549" s="731" t="str">
        <f t="shared" si="620"/>
        <v>SR</v>
      </c>
    </row>
    <row r="550" s="698" customFormat="1" customHeight="1" spans="1:77">
      <c r="A550" s="248">
        <v>46127</v>
      </c>
      <c r="B550" s="208">
        <v>46191</v>
      </c>
      <c r="C550" s="268" t="s">
        <v>729</v>
      </c>
      <c r="D550" s="268" t="s">
        <v>730</v>
      </c>
      <c r="E550" s="268" t="s">
        <v>88</v>
      </c>
      <c r="F550" s="343">
        <v>10008</v>
      </c>
      <c r="G550" s="268" t="s">
        <v>510</v>
      </c>
      <c r="H550" s="211" t="str">
        <f>IFERROR(VLOOKUP(E550,名称!A:E,4,0),"")</f>
        <v>三代</v>
      </c>
      <c r="I550" s="268" t="str">
        <f t="shared" ref="I550:BT550" si="639">IF(OR($E550="",I$1=""),"",IF(TRIM(LEFT($E550,MIN(IFERROR(FIND("CDU",UPPER($E550)),999),IFERROR(FIND("BULK",UPPER($E550)),999),IFERROR(FIND("-",$E550),999),IFERROR(FIND("（",$E550),999))-1))=I$1,$F550,""))</f>
        <v/>
      </c>
      <c r="J550" s="268" t="str">
        <f t="shared" si="639"/>
        <v/>
      </c>
      <c r="K550" s="268" t="str">
        <f t="shared" si="639"/>
        <v/>
      </c>
      <c r="L550" s="268" t="str">
        <f t="shared" si="639"/>
        <v/>
      </c>
      <c r="M550" s="268" t="str">
        <f t="shared" si="639"/>
        <v/>
      </c>
      <c r="N550" s="268" t="str">
        <f t="shared" si="639"/>
        <v/>
      </c>
      <c r="O550" s="268" t="str">
        <f t="shared" si="639"/>
        <v/>
      </c>
      <c r="P550" s="268" t="str">
        <f t="shared" si="639"/>
        <v/>
      </c>
      <c r="Q550" s="268" t="str">
        <f t="shared" si="639"/>
        <v/>
      </c>
      <c r="R550" s="268" t="str">
        <f t="shared" si="639"/>
        <v/>
      </c>
      <c r="S550" s="268" t="str">
        <f t="shared" si="639"/>
        <v/>
      </c>
      <c r="T550" s="268" t="str">
        <f t="shared" si="639"/>
        <v/>
      </c>
      <c r="U550" s="268" t="str">
        <f t="shared" si="639"/>
        <v/>
      </c>
      <c r="V550" s="268" t="str">
        <f t="shared" si="639"/>
        <v/>
      </c>
      <c r="W550" s="268" t="str">
        <f t="shared" si="639"/>
        <v/>
      </c>
      <c r="X550" s="268" t="str">
        <f t="shared" si="639"/>
        <v/>
      </c>
      <c r="Y550" s="268" t="str">
        <f t="shared" si="639"/>
        <v/>
      </c>
      <c r="Z550" s="268" t="str">
        <f t="shared" si="639"/>
        <v/>
      </c>
      <c r="AA550" s="268" t="str">
        <f t="shared" si="639"/>
        <v/>
      </c>
      <c r="AB550" s="268" t="str">
        <f t="shared" si="639"/>
        <v/>
      </c>
      <c r="AC550" s="268" t="str">
        <f t="shared" si="639"/>
        <v/>
      </c>
      <c r="AD550" s="268" t="str">
        <f t="shared" si="639"/>
        <v/>
      </c>
      <c r="AE550" s="268" t="str">
        <f t="shared" si="639"/>
        <v/>
      </c>
      <c r="AF550" s="268" t="str">
        <f t="shared" si="639"/>
        <v/>
      </c>
      <c r="AG550" s="268" t="str">
        <f t="shared" si="639"/>
        <v/>
      </c>
      <c r="AH550" s="268" t="str">
        <f t="shared" si="639"/>
        <v/>
      </c>
      <c r="AI550" s="268" t="str">
        <f t="shared" si="639"/>
        <v/>
      </c>
      <c r="AJ550" s="268" t="str">
        <f t="shared" si="639"/>
        <v/>
      </c>
      <c r="AK550" s="268" t="str">
        <f t="shared" si="639"/>
        <v/>
      </c>
      <c r="AL550" s="268" t="str">
        <f t="shared" si="639"/>
        <v/>
      </c>
      <c r="AM550" s="268" t="str">
        <f t="shared" si="639"/>
        <v/>
      </c>
      <c r="AN550" s="268" t="str">
        <f t="shared" si="639"/>
        <v/>
      </c>
      <c r="AO550" s="268" t="str">
        <f t="shared" si="639"/>
        <v/>
      </c>
      <c r="AP550" s="268" t="str">
        <f t="shared" si="639"/>
        <v/>
      </c>
      <c r="AQ550" s="268" t="str">
        <f t="shared" si="639"/>
        <v/>
      </c>
      <c r="AR550" s="268" t="str">
        <f t="shared" si="639"/>
        <v/>
      </c>
      <c r="AS550" s="268" t="str">
        <f t="shared" si="639"/>
        <v/>
      </c>
      <c r="AT550" s="268">
        <f t="shared" si="639"/>
        <v>10008</v>
      </c>
      <c r="AU550" s="268" t="str">
        <f t="shared" si="639"/>
        <v/>
      </c>
      <c r="AV550" s="268" t="str">
        <f t="shared" si="639"/>
        <v/>
      </c>
      <c r="AW550" s="268" t="str">
        <f t="shared" si="639"/>
        <v/>
      </c>
      <c r="AX550" s="268" t="str">
        <f t="shared" si="639"/>
        <v/>
      </c>
      <c r="AY550" s="268" t="str">
        <f t="shared" si="639"/>
        <v/>
      </c>
      <c r="AZ550" s="268" t="str">
        <f t="shared" si="639"/>
        <v/>
      </c>
      <c r="BA550" s="268" t="str">
        <f t="shared" si="639"/>
        <v/>
      </c>
      <c r="BB550" s="268" t="str">
        <f t="shared" si="639"/>
        <v/>
      </c>
      <c r="BC550" s="268" t="str">
        <f t="shared" si="639"/>
        <v/>
      </c>
      <c r="BD550" s="268" t="str">
        <f t="shared" si="639"/>
        <v/>
      </c>
      <c r="BE550" s="268" t="str">
        <f t="shared" si="639"/>
        <v/>
      </c>
      <c r="BF550" s="268" t="str">
        <f t="shared" si="639"/>
        <v/>
      </c>
      <c r="BG550" s="268" t="str">
        <f t="shared" si="639"/>
        <v/>
      </c>
      <c r="BH550" s="268" t="str">
        <f t="shared" si="639"/>
        <v/>
      </c>
      <c r="BI550" s="268" t="str">
        <f t="shared" si="639"/>
        <v/>
      </c>
      <c r="BJ550" s="268" t="str">
        <f t="shared" si="639"/>
        <v/>
      </c>
      <c r="BK550" s="268" t="str">
        <f t="shared" si="639"/>
        <v/>
      </c>
      <c r="BL550" s="268" t="str">
        <f t="shared" si="639"/>
        <v/>
      </c>
      <c r="BM550" s="268" t="str">
        <f t="shared" si="639"/>
        <v/>
      </c>
      <c r="BN550" s="268" t="str">
        <f t="shared" si="639"/>
        <v/>
      </c>
      <c r="BO550" s="268" t="str">
        <f t="shared" si="639"/>
        <v/>
      </c>
      <c r="BP550" s="268" t="str">
        <f t="shared" si="639"/>
        <v/>
      </c>
      <c r="BQ550" s="268" t="str">
        <f t="shared" si="639"/>
        <v/>
      </c>
      <c r="BR550" s="268" t="str">
        <f t="shared" si="639"/>
        <v/>
      </c>
      <c r="BS550" s="268" t="str">
        <f t="shared" si="639"/>
        <v/>
      </c>
      <c r="BT550" s="268" t="str">
        <f t="shared" si="639"/>
        <v/>
      </c>
      <c r="BU550" s="268" t="str">
        <f t="shared" si="617"/>
        <v/>
      </c>
      <c r="BV550" s="247">
        <v>0.83</v>
      </c>
      <c r="BW550" s="729">
        <f t="shared" si="618"/>
        <v>8306.64</v>
      </c>
      <c r="BX550" s="730">
        <f t="shared" si="619"/>
        <v>64376.46</v>
      </c>
      <c r="BY550" s="731" t="str">
        <f t="shared" si="620"/>
        <v>SR</v>
      </c>
    </row>
    <row r="551" s="698" customFormat="1" customHeight="1" spans="1:77">
      <c r="A551" s="248">
        <v>46127</v>
      </c>
      <c r="B551" s="208">
        <v>46191</v>
      </c>
      <c r="C551" s="268" t="s">
        <v>729</v>
      </c>
      <c r="D551" s="268" t="s">
        <v>730</v>
      </c>
      <c r="E551" s="268" t="s">
        <v>122</v>
      </c>
      <c r="F551" s="343">
        <v>3000</v>
      </c>
      <c r="G551" s="268" t="s">
        <v>510</v>
      </c>
      <c r="H551" s="211" t="str">
        <f>IFERROR(VLOOKUP(E551,名称!A:E,4,0),"")</f>
        <v>三代</v>
      </c>
      <c r="I551" s="268" t="str">
        <f t="shared" ref="I551:BT551" si="640">IF(OR($E551="",I$1=""),"",IF(TRIM(LEFT($E551,MIN(IFERROR(FIND("CDU",UPPER($E551)),999),IFERROR(FIND("BULK",UPPER($E551)),999),IFERROR(FIND("-",$E551),999),IFERROR(FIND("（",$E551),999))-1))=I$1,$F551,""))</f>
        <v/>
      </c>
      <c r="J551" s="268" t="str">
        <f t="shared" si="640"/>
        <v/>
      </c>
      <c r="K551" s="268" t="str">
        <f t="shared" si="640"/>
        <v/>
      </c>
      <c r="L551" s="268" t="str">
        <f t="shared" si="640"/>
        <v/>
      </c>
      <c r="M551" s="268" t="str">
        <f t="shared" si="640"/>
        <v/>
      </c>
      <c r="N551" s="268" t="str">
        <f t="shared" si="640"/>
        <v/>
      </c>
      <c r="O551" s="268" t="str">
        <f t="shared" si="640"/>
        <v/>
      </c>
      <c r="P551" s="268" t="str">
        <f t="shared" si="640"/>
        <v/>
      </c>
      <c r="Q551" s="268" t="str">
        <f t="shared" si="640"/>
        <v/>
      </c>
      <c r="R551" s="268" t="str">
        <f t="shared" si="640"/>
        <v/>
      </c>
      <c r="S551" s="268" t="str">
        <f t="shared" si="640"/>
        <v/>
      </c>
      <c r="T551" s="268" t="str">
        <f t="shared" si="640"/>
        <v/>
      </c>
      <c r="U551" s="268" t="str">
        <f t="shared" si="640"/>
        <v/>
      </c>
      <c r="V551" s="268" t="str">
        <f t="shared" si="640"/>
        <v/>
      </c>
      <c r="W551" s="268" t="str">
        <f t="shared" si="640"/>
        <v/>
      </c>
      <c r="X551" s="268" t="str">
        <f t="shared" si="640"/>
        <v/>
      </c>
      <c r="Y551" s="268" t="str">
        <f t="shared" si="640"/>
        <v/>
      </c>
      <c r="Z551" s="268" t="str">
        <f t="shared" si="640"/>
        <v/>
      </c>
      <c r="AA551" s="268" t="str">
        <f t="shared" si="640"/>
        <v/>
      </c>
      <c r="AB551" s="268" t="str">
        <f t="shared" si="640"/>
        <v/>
      </c>
      <c r="AC551" s="268" t="str">
        <f t="shared" si="640"/>
        <v/>
      </c>
      <c r="AD551" s="268" t="str">
        <f t="shared" si="640"/>
        <v/>
      </c>
      <c r="AE551" s="268" t="str">
        <f t="shared" si="640"/>
        <v/>
      </c>
      <c r="AF551" s="268" t="str">
        <f t="shared" si="640"/>
        <v/>
      </c>
      <c r="AG551" s="268" t="str">
        <f t="shared" si="640"/>
        <v/>
      </c>
      <c r="AH551" s="268" t="str">
        <f t="shared" si="640"/>
        <v/>
      </c>
      <c r="AI551" s="268" t="str">
        <f t="shared" si="640"/>
        <v/>
      </c>
      <c r="AJ551" s="268" t="str">
        <f t="shared" si="640"/>
        <v/>
      </c>
      <c r="AK551" s="268" t="str">
        <f t="shared" si="640"/>
        <v/>
      </c>
      <c r="AL551" s="268" t="str">
        <f t="shared" si="640"/>
        <v/>
      </c>
      <c r="AM551" s="268" t="str">
        <f t="shared" si="640"/>
        <v/>
      </c>
      <c r="AN551" s="268" t="str">
        <f t="shared" si="640"/>
        <v/>
      </c>
      <c r="AO551" s="268" t="str">
        <f t="shared" si="640"/>
        <v/>
      </c>
      <c r="AP551" s="268" t="str">
        <f t="shared" si="640"/>
        <v/>
      </c>
      <c r="AQ551" s="268" t="str">
        <f t="shared" si="640"/>
        <v/>
      </c>
      <c r="AR551" s="268" t="str">
        <f t="shared" si="640"/>
        <v/>
      </c>
      <c r="AS551" s="268" t="str">
        <f t="shared" si="640"/>
        <v/>
      </c>
      <c r="AT551" s="268" t="str">
        <f t="shared" si="640"/>
        <v/>
      </c>
      <c r="AU551" s="268" t="str">
        <f t="shared" si="640"/>
        <v/>
      </c>
      <c r="AV551" s="268" t="str">
        <f t="shared" si="640"/>
        <v/>
      </c>
      <c r="AW551" s="268">
        <f t="shared" si="640"/>
        <v>3000</v>
      </c>
      <c r="AX551" s="268" t="str">
        <f t="shared" si="640"/>
        <v/>
      </c>
      <c r="AY551" s="268" t="str">
        <f t="shared" si="640"/>
        <v/>
      </c>
      <c r="AZ551" s="268" t="str">
        <f t="shared" si="640"/>
        <v/>
      </c>
      <c r="BA551" s="268" t="str">
        <f t="shared" si="640"/>
        <v/>
      </c>
      <c r="BB551" s="268" t="str">
        <f t="shared" si="640"/>
        <v/>
      </c>
      <c r="BC551" s="268" t="str">
        <f t="shared" si="640"/>
        <v/>
      </c>
      <c r="BD551" s="268" t="str">
        <f t="shared" si="640"/>
        <v/>
      </c>
      <c r="BE551" s="268" t="str">
        <f t="shared" si="640"/>
        <v/>
      </c>
      <c r="BF551" s="268" t="str">
        <f t="shared" si="640"/>
        <v/>
      </c>
      <c r="BG551" s="268" t="str">
        <f t="shared" si="640"/>
        <v/>
      </c>
      <c r="BH551" s="268" t="str">
        <f t="shared" si="640"/>
        <v/>
      </c>
      <c r="BI551" s="268" t="str">
        <f t="shared" si="640"/>
        <v/>
      </c>
      <c r="BJ551" s="268" t="str">
        <f t="shared" si="640"/>
        <v/>
      </c>
      <c r="BK551" s="268" t="str">
        <f t="shared" si="640"/>
        <v/>
      </c>
      <c r="BL551" s="268" t="str">
        <f t="shared" si="640"/>
        <v/>
      </c>
      <c r="BM551" s="268" t="str">
        <f t="shared" si="640"/>
        <v/>
      </c>
      <c r="BN551" s="268" t="str">
        <f t="shared" si="640"/>
        <v/>
      </c>
      <c r="BO551" s="268" t="str">
        <f t="shared" si="640"/>
        <v/>
      </c>
      <c r="BP551" s="268" t="str">
        <f t="shared" si="640"/>
        <v/>
      </c>
      <c r="BQ551" s="268" t="str">
        <f t="shared" si="640"/>
        <v/>
      </c>
      <c r="BR551" s="268" t="str">
        <f t="shared" si="640"/>
        <v/>
      </c>
      <c r="BS551" s="268" t="str">
        <f t="shared" si="640"/>
        <v/>
      </c>
      <c r="BT551" s="268" t="str">
        <f t="shared" si="640"/>
        <v/>
      </c>
      <c r="BU551" s="268" t="str">
        <f t="shared" si="617"/>
        <v/>
      </c>
      <c r="BV551" s="247">
        <v>1.59</v>
      </c>
      <c r="BW551" s="729">
        <f t="shared" si="618"/>
        <v>4770</v>
      </c>
      <c r="BX551" s="730">
        <f t="shared" si="619"/>
        <v>36967.5</v>
      </c>
      <c r="BY551" s="731" t="str">
        <f t="shared" si="620"/>
        <v>SR</v>
      </c>
    </row>
    <row r="552" s="698" customFormat="1" customHeight="1" spans="1:77">
      <c r="A552" s="248">
        <v>46127</v>
      </c>
      <c r="B552" s="208">
        <v>46191</v>
      </c>
      <c r="C552" s="268" t="s">
        <v>729</v>
      </c>
      <c r="D552" s="268" t="s">
        <v>730</v>
      </c>
      <c r="E552" s="268" t="s">
        <v>89</v>
      </c>
      <c r="F552" s="343">
        <v>5004</v>
      </c>
      <c r="G552" s="268" t="s">
        <v>510</v>
      </c>
      <c r="H552" s="211" t="str">
        <f>IFERROR(VLOOKUP(E552,名称!A:E,4,0),"")</f>
        <v>三代</v>
      </c>
      <c r="I552" s="268" t="str">
        <f t="shared" ref="I552:BT552" si="641">IF(OR($E552="",I$1=""),"",IF(TRIM(LEFT($E552,MIN(IFERROR(FIND("CDU",UPPER($E552)),999),IFERROR(FIND("BULK",UPPER($E552)),999),IFERROR(FIND("-",$E552),999),IFERROR(FIND("（",$E552),999))-1))=I$1,$F552,""))</f>
        <v/>
      </c>
      <c r="J552" s="268" t="str">
        <f t="shared" si="641"/>
        <v/>
      </c>
      <c r="K552" s="268" t="str">
        <f t="shared" si="641"/>
        <v/>
      </c>
      <c r="L552" s="268" t="str">
        <f t="shared" si="641"/>
        <v/>
      </c>
      <c r="M552" s="268" t="str">
        <f t="shared" si="641"/>
        <v/>
      </c>
      <c r="N552" s="268" t="str">
        <f t="shared" si="641"/>
        <v/>
      </c>
      <c r="O552" s="268" t="str">
        <f t="shared" si="641"/>
        <v/>
      </c>
      <c r="P552" s="268" t="str">
        <f t="shared" si="641"/>
        <v/>
      </c>
      <c r="Q552" s="268" t="str">
        <f t="shared" si="641"/>
        <v/>
      </c>
      <c r="R552" s="268" t="str">
        <f t="shared" si="641"/>
        <v/>
      </c>
      <c r="S552" s="268" t="str">
        <f t="shared" si="641"/>
        <v/>
      </c>
      <c r="T552" s="268" t="str">
        <f t="shared" si="641"/>
        <v/>
      </c>
      <c r="U552" s="268" t="str">
        <f t="shared" si="641"/>
        <v/>
      </c>
      <c r="V552" s="268" t="str">
        <f t="shared" si="641"/>
        <v/>
      </c>
      <c r="W552" s="268" t="str">
        <f t="shared" si="641"/>
        <v/>
      </c>
      <c r="X552" s="268" t="str">
        <f t="shared" si="641"/>
        <v/>
      </c>
      <c r="Y552" s="268" t="str">
        <f t="shared" si="641"/>
        <v/>
      </c>
      <c r="Z552" s="268" t="str">
        <f t="shared" si="641"/>
        <v/>
      </c>
      <c r="AA552" s="268" t="str">
        <f t="shared" si="641"/>
        <v/>
      </c>
      <c r="AB552" s="268" t="str">
        <f t="shared" si="641"/>
        <v/>
      </c>
      <c r="AC552" s="268" t="str">
        <f t="shared" si="641"/>
        <v/>
      </c>
      <c r="AD552" s="268" t="str">
        <f t="shared" si="641"/>
        <v/>
      </c>
      <c r="AE552" s="268" t="str">
        <f t="shared" si="641"/>
        <v/>
      </c>
      <c r="AF552" s="268" t="str">
        <f t="shared" si="641"/>
        <v/>
      </c>
      <c r="AG552" s="268" t="str">
        <f t="shared" si="641"/>
        <v/>
      </c>
      <c r="AH552" s="268" t="str">
        <f t="shared" si="641"/>
        <v/>
      </c>
      <c r="AI552" s="268" t="str">
        <f t="shared" si="641"/>
        <v/>
      </c>
      <c r="AJ552" s="268" t="str">
        <f t="shared" si="641"/>
        <v/>
      </c>
      <c r="AK552" s="268" t="str">
        <f t="shared" si="641"/>
        <v/>
      </c>
      <c r="AL552" s="268" t="str">
        <f t="shared" si="641"/>
        <v/>
      </c>
      <c r="AM552" s="268" t="str">
        <f t="shared" si="641"/>
        <v/>
      </c>
      <c r="AN552" s="268" t="str">
        <f t="shared" si="641"/>
        <v/>
      </c>
      <c r="AO552" s="268" t="str">
        <f t="shared" si="641"/>
        <v/>
      </c>
      <c r="AP552" s="268" t="str">
        <f t="shared" si="641"/>
        <v/>
      </c>
      <c r="AQ552" s="268" t="str">
        <f t="shared" si="641"/>
        <v/>
      </c>
      <c r="AR552" s="268" t="str">
        <f t="shared" si="641"/>
        <v/>
      </c>
      <c r="AS552" s="268" t="str">
        <f t="shared" si="641"/>
        <v/>
      </c>
      <c r="AT552" s="268" t="str">
        <f t="shared" si="641"/>
        <v/>
      </c>
      <c r="AU552" s="268">
        <f t="shared" si="641"/>
        <v>5004</v>
      </c>
      <c r="AV552" s="268" t="str">
        <f t="shared" si="641"/>
        <v/>
      </c>
      <c r="AW552" s="268" t="str">
        <f t="shared" si="641"/>
        <v/>
      </c>
      <c r="AX552" s="268" t="str">
        <f t="shared" si="641"/>
        <v/>
      </c>
      <c r="AY552" s="268" t="str">
        <f t="shared" si="641"/>
        <v/>
      </c>
      <c r="AZ552" s="268" t="str">
        <f t="shared" si="641"/>
        <v/>
      </c>
      <c r="BA552" s="268" t="str">
        <f t="shared" si="641"/>
        <v/>
      </c>
      <c r="BB552" s="268" t="str">
        <f t="shared" si="641"/>
        <v/>
      </c>
      <c r="BC552" s="268" t="str">
        <f t="shared" si="641"/>
        <v/>
      </c>
      <c r="BD552" s="268" t="str">
        <f t="shared" si="641"/>
        <v/>
      </c>
      <c r="BE552" s="268" t="str">
        <f t="shared" si="641"/>
        <v/>
      </c>
      <c r="BF552" s="268" t="str">
        <f t="shared" si="641"/>
        <v/>
      </c>
      <c r="BG552" s="268" t="str">
        <f t="shared" si="641"/>
        <v/>
      </c>
      <c r="BH552" s="268" t="str">
        <f t="shared" si="641"/>
        <v/>
      </c>
      <c r="BI552" s="268" t="str">
        <f t="shared" si="641"/>
        <v/>
      </c>
      <c r="BJ552" s="268" t="str">
        <f t="shared" si="641"/>
        <v/>
      </c>
      <c r="BK552" s="268" t="str">
        <f t="shared" si="641"/>
        <v/>
      </c>
      <c r="BL552" s="268" t="str">
        <f t="shared" si="641"/>
        <v/>
      </c>
      <c r="BM552" s="268" t="str">
        <f t="shared" si="641"/>
        <v/>
      </c>
      <c r="BN552" s="268" t="str">
        <f t="shared" si="641"/>
        <v/>
      </c>
      <c r="BO552" s="268" t="str">
        <f t="shared" si="641"/>
        <v/>
      </c>
      <c r="BP552" s="268" t="str">
        <f t="shared" si="641"/>
        <v/>
      </c>
      <c r="BQ552" s="268" t="str">
        <f t="shared" si="641"/>
        <v/>
      </c>
      <c r="BR552" s="268" t="str">
        <f t="shared" si="641"/>
        <v/>
      </c>
      <c r="BS552" s="268" t="str">
        <f t="shared" si="641"/>
        <v/>
      </c>
      <c r="BT552" s="268" t="str">
        <f t="shared" si="641"/>
        <v/>
      </c>
      <c r="BU552" s="268" t="str">
        <f t="shared" si="617"/>
        <v/>
      </c>
      <c r="BV552" s="247">
        <v>1.9</v>
      </c>
      <c r="BW552" s="729">
        <f t="shared" si="618"/>
        <v>9507.6</v>
      </c>
      <c r="BX552" s="730">
        <f t="shared" si="619"/>
        <v>73683.9</v>
      </c>
      <c r="BY552" s="731" t="str">
        <f t="shared" si="620"/>
        <v>SR</v>
      </c>
    </row>
    <row r="553" s="698" customFormat="1" customHeight="1" spans="1:77">
      <c r="A553" s="248">
        <v>46127</v>
      </c>
      <c r="B553" s="208">
        <v>46191</v>
      </c>
      <c r="C553" s="268" t="s">
        <v>729</v>
      </c>
      <c r="D553" s="268" t="s">
        <v>730</v>
      </c>
      <c r="E553" s="268" t="s">
        <v>123</v>
      </c>
      <c r="F553" s="343">
        <v>3000</v>
      </c>
      <c r="G553" s="268" t="s">
        <v>510</v>
      </c>
      <c r="H553" s="211" t="str">
        <f>IFERROR(VLOOKUP(E553,名称!A:E,4,0),"")</f>
        <v>蛋糕</v>
      </c>
      <c r="I553" s="268" t="str">
        <f t="shared" ref="I553:BT553" si="642">IF(OR($E553="",I$1=""),"",IF(TRIM(LEFT($E553,MIN(IFERROR(FIND("CDU",UPPER($E553)),999),IFERROR(FIND("BULK",UPPER($E553)),999),IFERROR(FIND("-",$E553),999),IFERROR(FIND("（",$E553),999))-1))=I$1,$F553,""))</f>
        <v/>
      </c>
      <c r="J553" s="268" t="str">
        <f t="shared" si="642"/>
        <v/>
      </c>
      <c r="K553" s="268" t="str">
        <f t="shared" si="642"/>
        <v/>
      </c>
      <c r="L553" s="268" t="str">
        <f t="shared" si="642"/>
        <v/>
      </c>
      <c r="M553" s="268" t="str">
        <f t="shared" si="642"/>
        <v/>
      </c>
      <c r="N553" s="268" t="str">
        <f t="shared" si="642"/>
        <v/>
      </c>
      <c r="O553" s="268" t="str">
        <f t="shared" si="642"/>
        <v/>
      </c>
      <c r="P553" s="268" t="str">
        <f t="shared" si="642"/>
        <v/>
      </c>
      <c r="Q553" s="268" t="str">
        <f t="shared" si="642"/>
        <v/>
      </c>
      <c r="R553" s="268" t="str">
        <f t="shared" si="642"/>
        <v/>
      </c>
      <c r="S553" s="268" t="str">
        <f t="shared" si="642"/>
        <v/>
      </c>
      <c r="T553" s="268" t="str">
        <f t="shared" si="642"/>
        <v/>
      </c>
      <c r="U553" s="268" t="str">
        <f t="shared" si="642"/>
        <v/>
      </c>
      <c r="V553" s="268" t="str">
        <f t="shared" si="642"/>
        <v/>
      </c>
      <c r="W553" s="268" t="str">
        <f t="shared" si="642"/>
        <v/>
      </c>
      <c r="X553" s="268" t="str">
        <f t="shared" si="642"/>
        <v/>
      </c>
      <c r="Y553" s="268" t="str">
        <f t="shared" si="642"/>
        <v/>
      </c>
      <c r="Z553" s="268" t="str">
        <f t="shared" si="642"/>
        <v/>
      </c>
      <c r="AA553" s="268" t="str">
        <f t="shared" si="642"/>
        <v/>
      </c>
      <c r="AB553" s="268" t="str">
        <f t="shared" si="642"/>
        <v/>
      </c>
      <c r="AC553" s="268" t="str">
        <f t="shared" si="642"/>
        <v/>
      </c>
      <c r="AD553" s="268" t="str">
        <f t="shared" si="642"/>
        <v/>
      </c>
      <c r="AE553" s="268" t="str">
        <f t="shared" si="642"/>
        <v/>
      </c>
      <c r="AF553" s="268" t="str">
        <f t="shared" si="642"/>
        <v/>
      </c>
      <c r="AG553" s="268" t="str">
        <f t="shared" si="642"/>
        <v/>
      </c>
      <c r="AH553" s="268" t="str">
        <f t="shared" si="642"/>
        <v/>
      </c>
      <c r="AI553" s="268" t="str">
        <f t="shared" si="642"/>
        <v/>
      </c>
      <c r="AJ553" s="268" t="str">
        <f t="shared" si="642"/>
        <v/>
      </c>
      <c r="AK553" s="268" t="str">
        <f t="shared" si="642"/>
        <v/>
      </c>
      <c r="AL553" s="268" t="str">
        <f t="shared" si="642"/>
        <v/>
      </c>
      <c r="AM553" s="268" t="str">
        <f t="shared" si="642"/>
        <v/>
      </c>
      <c r="AN553" s="268" t="str">
        <f t="shared" si="642"/>
        <v/>
      </c>
      <c r="AO553" s="268" t="str">
        <f t="shared" si="642"/>
        <v/>
      </c>
      <c r="AP553" s="268" t="str">
        <f t="shared" si="642"/>
        <v/>
      </c>
      <c r="AQ553" s="268" t="str">
        <f t="shared" si="642"/>
        <v/>
      </c>
      <c r="AR553" s="268" t="str">
        <f t="shared" si="642"/>
        <v/>
      </c>
      <c r="AS553" s="268" t="str">
        <f t="shared" si="642"/>
        <v/>
      </c>
      <c r="AT553" s="268" t="str">
        <f t="shared" si="642"/>
        <v/>
      </c>
      <c r="AU553" s="268" t="str">
        <f t="shared" si="642"/>
        <v/>
      </c>
      <c r="AV553" s="268" t="str">
        <f t="shared" si="642"/>
        <v/>
      </c>
      <c r="AW553" s="268" t="str">
        <f t="shared" si="642"/>
        <v/>
      </c>
      <c r="AX553" s="268" t="str">
        <f t="shared" si="642"/>
        <v/>
      </c>
      <c r="AY553" s="268" t="str">
        <f t="shared" si="642"/>
        <v/>
      </c>
      <c r="AZ553" s="268" t="str">
        <f t="shared" si="642"/>
        <v/>
      </c>
      <c r="BA553" s="268" t="str">
        <f t="shared" si="642"/>
        <v/>
      </c>
      <c r="BB553" s="268" t="str">
        <f t="shared" si="642"/>
        <v/>
      </c>
      <c r="BC553" s="268" t="str">
        <f t="shared" si="642"/>
        <v/>
      </c>
      <c r="BD553" s="268" t="str">
        <f t="shared" si="642"/>
        <v/>
      </c>
      <c r="BE553" s="268" t="str">
        <f t="shared" si="642"/>
        <v/>
      </c>
      <c r="BF553" s="268">
        <f t="shared" si="642"/>
        <v>3000</v>
      </c>
      <c r="BG553" s="268" t="str">
        <f t="shared" si="642"/>
        <v/>
      </c>
      <c r="BH553" s="268" t="str">
        <f t="shared" si="642"/>
        <v/>
      </c>
      <c r="BI553" s="268" t="str">
        <f t="shared" si="642"/>
        <v/>
      </c>
      <c r="BJ553" s="268" t="str">
        <f t="shared" si="642"/>
        <v/>
      </c>
      <c r="BK553" s="268" t="str">
        <f t="shared" si="642"/>
        <v/>
      </c>
      <c r="BL553" s="268" t="str">
        <f t="shared" si="642"/>
        <v/>
      </c>
      <c r="BM553" s="268" t="str">
        <f t="shared" si="642"/>
        <v/>
      </c>
      <c r="BN553" s="268" t="str">
        <f t="shared" si="642"/>
        <v/>
      </c>
      <c r="BO553" s="268" t="str">
        <f t="shared" si="642"/>
        <v/>
      </c>
      <c r="BP553" s="268" t="str">
        <f t="shared" si="642"/>
        <v/>
      </c>
      <c r="BQ553" s="268" t="str">
        <f t="shared" si="642"/>
        <v/>
      </c>
      <c r="BR553" s="268" t="str">
        <f t="shared" si="642"/>
        <v/>
      </c>
      <c r="BS553" s="268" t="str">
        <f t="shared" si="642"/>
        <v/>
      </c>
      <c r="BT553" s="268" t="str">
        <f t="shared" si="642"/>
        <v/>
      </c>
      <c r="BU553" s="268" t="str">
        <f t="shared" si="617"/>
        <v/>
      </c>
      <c r="BV553" s="247">
        <v>0.81</v>
      </c>
      <c r="BW553" s="729">
        <f t="shared" si="618"/>
        <v>2430</v>
      </c>
      <c r="BX553" s="730">
        <f t="shared" si="619"/>
        <v>18832.5</v>
      </c>
      <c r="BY553" s="731" t="str">
        <f t="shared" si="620"/>
        <v>JC</v>
      </c>
    </row>
    <row r="554" s="698" customFormat="1" customHeight="1" spans="1:77">
      <c r="A554" s="248">
        <v>46127</v>
      </c>
      <c r="B554" s="208">
        <v>46191</v>
      </c>
      <c r="C554" s="268" t="s">
        <v>729</v>
      </c>
      <c r="D554" s="268" t="s">
        <v>730</v>
      </c>
      <c r="E554" s="268" t="s">
        <v>88</v>
      </c>
      <c r="F554" s="343">
        <v>278</v>
      </c>
      <c r="G554" s="268" t="s">
        <v>510</v>
      </c>
      <c r="H554" s="211" t="str">
        <f>IFERROR(VLOOKUP(E554,名称!A:E,4,0),"")</f>
        <v>三代</v>
      </c>
      <c r="I554" s="268" t="str">
        <f t="shared" ref="I554:BT554" si="643">IF(OR($E554="",I$1=""),"",IF(TRIM(LEFT($E554,MIN(IFERROR(FIND("CDU",UPPER($E554)),999),IFERROR(FIND("BULK",UPPER($E554)),999),IFERROR(FIND("-",$E554),999),IFERROR(FIND("（",$E554),999))-1))=I$1,$F554,""))</f>
        <v/>
      </c>
      <c r="J554" s="268" t="str">
        <f t="shared" si="643"/>
        <v/>
      </c>
      <c r="K554" s="268" t="str">
        <f t="shared" si="643"/>
        <v/>
      </c>
      <c r="L554" s="268" t="str">
        <f t="shared" si="643"/>
        <v/>
      </c>
      <c r="M554" s="268" t="str">
        <f t="shared" si="643"/>
        <v/>
      </c>
      <c r="N554" s="268" t="str">
        <f t="shared" si="643"/>
        <v/>
      </c>
      <c r="O554" s="268" t="str">
        <f t="shared" si="643"/>
        <v/>
      </c>
      <c r="P554" s="268" t="str">
        <f t="shared" si="643"/>
        <v/>
      </c>
      <c r="Q554" s="268" t="str">
        <f t="shared" si="643"/>
        <v/>
      </c>
      <c r="R554" s="268" t="str">
        <f t="shared" si="643"/>
        <v/>
      </c>
      <c r="S554" s="268" t="str">
        <f t="shared" si="643"/>
        <v/>
      </c>
      <c r="T554" s="268" t="str">
        <f t="shared" si="643"/>
        <v/>
      </c>
      <c r="U554" s="268" t="str">
        <f t="shared" si="643"/>
        <v/>
      </c>
      <c r="V554" s="268" t="str">
        <f t="shared" si="643"/>
        <v/>
      </c>
      <c r="W554" s="268" t="str">
        <f t="shared" si="643"/>
        <v/>
      </c>
      <c r="X554" s="268" t="str">
        <f t="shared" si="643"/>
        <v/>
      </c>
      <c r="Y554" s="268" t="str">
        <f t="shared" si="643"/>
        <v/>
      </c>
      <c r="Z554" s="268" t="str">
        <f t="shared" si="643"/>
        <v/>
      </c>
      <c r="AA554" s="268" t="str">
        <f t="shared" si="643"/>
        <v/>
      </c>
      <c r="AB554" s="268" t="str">
        <f t="shared" si="643"/>
        <v/>
      </c>
      <c r="AC554" s="268" t="str">
        <f t="shared" si="643"/>
        <v/>
      </c>
      <c r="AD554" s="268" t="str">
        <f t="shared" si="643"/>
        <v/>
      </c>
      <c r="AE554" s="268" t="str">
        <f t="shared" si="643"/>
        <v/>
      </c>
      <c r="AF554" s="268" t="str">
        <f t="shared" si="643"/>
        <v/>
      </c>
      <c r="AG554" s="268" t="str">
        <f t="shared" si="643"/>
        <v/>
      </c>
      <c r="AH554" s="268" t="str">
        <f t="shared" si="643"/>
        <v/>
      </c>
      <c r="AI554" s="268" t="str">
        <f t="shared" si="643"/>
        <v/>
      </c>
      <c r="AJ554" s="268" t="str">
        <f t="shared" si="643"/>
        <v/>
      </c>
      <c r="AK554" s="268" t="str">
        <f t="shared" si="643"/>
        <v/>
      </c>
      <c r="AL554" s="268" t="str">
        <f t="shared" si="643"/>
        <v/>
      </c>
      <c r="AM554" s="268" t="str">
        <f t="shared" si="643"/>
        <v/>
      </c>
      <c r="AN554" s="268" t="str">
        <f t="shared" si="643"/>
        <v/>
      </c>
      <c r="AO554" s="268" t="str">
        <f t="shared" si="643"/>
        <v/>
      </c>
      <c r="AP554" s="268" t="str">
        <f t="shared" si="643"/>
        <v/>
      </c>
      <c r="AQ554" s="268" t="str">
        <f t="shared" si="643"/>
        <v/>
      </c>
      <c r="AR554" s="268" t="str">
        <f t="shared" si="643"/>
        <v/>
      </c>
      <c r="AS554" s="268" t="str">
        <f t="shared" si="643"/>
        <v/>
      </c>
      <c r="AT554" s="268">
        <f t="shared" si="643"/>
        <v>278</v>
      </c>
      <c r="AU554" s="268" t="str">
        <f t="shared" si="643"/>
        <v/>
      </c>
      <c r="AV554" s="268" t="str">
        <f t="shared" si="643"/>
        <v/>
      </c>
      <c r="AW554" s="268" t="str">
        <f t="shared" si="643"/>
        <v/>
      </c>
      <c r="AX554" s="268" t="str">
        <f t="shared" si="643"/>
        <v/>
      </c>
      <c r="AY554" s="268" t="str">
        <f t="shared" si="643"/>
        <v/>
      </c>
      <c r="AZ554" s="268" t="str">
        <f t="shared" si="643"/>
        <v/>
      </c>
      <c r="BA554" s="268" t="str">
        <f t="shared" si="643"/>
        <v/>
      </c>
      <c r="BB554" s="268" t="str">
        <f t="shared" si="643"/>
        <v/>
      </c>
      <c r="BC554" s="268" t="str">
        <f t="shared" si="643"/>
        <v/>
      </c>
      <c r="BD554" s="268" t="str">
        <f t="shared" si="643"/>
        <v/>
      </c>
      <c r="BE554" s="268" t="str">
        <f t="shared" si="643"/>
        <v/>
      </c>
      <c r="BF554" s="268" t="str">
        <f t="shared" si="643"/>
        <v/>
      </c>
      <c r="BG554" s="268" t="str">
        <f t="shared" si="643"/>
        <v/>
      </c>
      <c r="BH554" s="268" t="str">
        <f t="shared" si="643"/>
        <v/>
      </c>
      <c r="BI554" s="268" t="str">
        <f t="shared" si="643"/>
        <v/>
      </c>
      <c r="BJ554" s="268" t="str">
        <f t="shared" si="643"/>
        <v/>
      </c>
      <c r="BK554" s="268" t="str">
        <f t="shared" si="643"/>
        <v/>
      </c>
      <c r="BL554" s="268" t="str">
        <f t="shared" si="643"/>
        <v/>
      </c>
      <c r="BM554" s="268" t="str">
        <f t="shared" si="643"/>
        <v/>
      </c>
      <c r="BN554" s="268" t="str">
        <f t="shared" si="643"/>
        <v/>
      </c>
      <c r="BO554" s="268" t="str">
        <f t="shared" si="643"/>
        <v/>
      </c>
      <c r="BP554" s="268" t="str">
        <f t="shared" si="643"/>
        <v/>
      </c>
      <c r="BQ554" s="268" t="str">
        <f t="shared" si="643"/>
        <v/>
      </c>
      <c r="BR554" s="268" t="str">
        <f t="shared" si="643"/>
        <v/>
      </c>
      <c r="BS554" s="268" t="str">
        <f t="shared" si="643"/>
        <v/>
      </c>
      <c r="BT554" s="268" t="str">
        <f t="shared" si="643"/>
        <v/>
      </c>
      <c r="BU554" s="268" t="str">
        <f t="shared" si="617"/>
        <v/>
      </c>
      <c r="BV554" s="247">
        <v>0.83</v>
      </c>
      <c r="BW554" s="729">
        <f t="shared" si="618"/>
        <v>230.74</v>
      </c>
      <c r="BX554" s="730">
        <f t="shared" si="619"/>
        <v>1788.24</v>
      </c>
      <c r="BY554" s="731" t="str">
        <f t="shared" si="620"/>
        <v>SR</v>
      </c>
    </row>
    <row r="555" s="698" customFormat="1" customHeight="1" spans="1:77">
      <c r="A555" s="248">
        <v>46127</v>
      </c>
      <c r="B555" s="208">
        <v>46191</v>
      </c>
      <c r="C555" s="268" t="s">
        <v>729</v>
      </c>
      <c r="D555" s="268" t="s">
        <v>730</v>
      </c>
      <c r="E555" s="268" t="s">
        <v>122</v>
      </c>
      <c r="F555" s="343">
        <v>120</v>
      </c>
      <c r="G555" s="268" t="s">
        <v>510</v>
      </c>
      <c r="H555" s="211" t="str">
        <f>IFERROR(VLOOKUP(E555,名称!A:E,4,0),"")</f>
        <v>三代</v>
      </c>
      <c r="I555" s="268" t="str">
        <f t="shared" ref="I555:BT555" si="644">IF(OR($E555="",I$1=""),"",IF(TRIM(LEFT($E555,MIN(IFERROR(FIND("CDU",UPPER($E555)),999),IFERROR(FIND("BULK",UPPER($E555)),999),IFERROR(FIND("-",$E555),999),IFERROR(FIND("（",$E555),999))-1))=I$1,$F555,""))</f>
        <v/>
      </c>
      <c r="J555" s="268" t="str">
        <f t="shared" si="644"/>
        <v/>
      </c>
      <c r="K555" s="268" t="str">
        <f t="shared" si="644"/>
        <v/>
      </c>
      <c r="L555" s="268" t="str">
        <f t="shared" si="644"/>
        <v/>
      </c>
      <c r="M555" s="268" t="str">
        <f t="shared" si="644"/>
        <v/>
      </c>
      <c r="N555" s="268" t="str">
        <f t="shared" si="644"/>
        <v/>
      </c>
      <c r="O555" s="268" t="str">
        <f t="shared" si="644"/>
        <v/>
      </c>
      <c r="P555" s="268" t="str">
        <f t="shared" si="644"/>
        <v/>
      </c>
      <c r="Q555" s="268" t="str">
        <f t="shared" si="644"/>
        <v/>
      </c>
      <c r="R555" s="268" t="str">
        <f t="shared" si="644"/>
        <v/>
      </c>
      <c r="S555" s="268" t="str">
        <f t="shared" si="644"/>
        <v/>
      </c>
      <c r="T555" s="268" t="str">
        <f t="shared" si="644"/>
        <v/>
      </c>
      <c r="U555" s="268" t="str">
        <f t="shared" si="644"/>
        <v/>
      </c>
      <c r="V555" s="268" t="str">
        <f t="shared" si="644"/>
        <v/>
      </c>
      <c r="W555" s="268" t="str">
        <f t="shared" si="644"/>
        <v/>
      </c>
      <c r="X555" s="268" t="str">
        <f t="shared" si="644"/>
        <v/>
      </c>
      <c r="Y555" s="268" t="str">
        <f t="shared" si="644"/>
        <v/>
      </c>
      <c r="Z555" s="268" t="str">
        <f t="shared" si="644"/>
        <v/>
      </c>
      <c r="AA555" s="268" t="str">
        <f t="shared" si="644"/>
        <v/>
      </c>
      <c r="AB555" s="268" t="str">
        <f t="shared" si="644"/>
        <v/>
      </c>
      <c r="AC555" s="268" t="str">
        <f t="shared" si="644"/>
        <v/>
      </c>
      <c r="AD555" s="268" t="str">
        <f t="shared" si="644"/>
        <v/>
      </c>
      <c r="AE555" s="268" t="str">
        <f t="shared" si="644"/>
        <v/>
      </c>
      <c r="AF555" s="268" t="str">
        <f t="shared" si="644"/>
        <v/>
      </c>
      <c r="AG555" s="268" t="str">
        <f t="shared" si="644"/>
        <v/>
      </c>
      <c r="AH555" s="268" t="str">
        <f t="shared" si="644"/>
        <v/>
      </c>
      <c r="AI555" s="268" t="str">
        <f t="shared" si="644"/>
        <v/>
      </c>
      <c r="AJ555" s="268" t="str">
        <f t="shared" si="644"/>
        <v/>
      </c>
      <c r="AK555" s="268" t="str">
        <f t="shared" si="644"/>
        <v/>
      </c>
      <c r="AL555" s="268" t="str">
        <f t="shared" si="644"/>
        <v/>
      </c>
      <c r="AM555" s="268" t="str">
        <f t="shared" si="644"/>
        <v/>
      </c>
      <c r="AN555" s="268" t="str">
        <f t="shared" si="644"/>
        <v/>
      </c>
      <c r="AO555" s="268" t="str">
        <f t="shared" si="644"/>
        <v/>
      </c>
      <c r="AP555" s="268" t="str">
        <f t="shared" si="644"/>
        <v/>
      </c>
      <c r="AQ555" s="268" t="str">
        <f t="shared" si="644"/>
        <v/>
      </c>
      <c r="AR555" s="268" t="str">
        <f t="shared" si="644"/>
        <v/>
      </c>
      <c r="AS555" s="268" t="str">
        <f t="shared" si="644"/>
        <v/>
      </c>
      <c r="AT555" s="268" t="str">
        <f t="shared" si="644"/>
        <v/>
      </c>
      <c r="AU555" s="268" t="str">
        <f t="shared" si="644"/>
        <v/>
      </c>
      <c r="AV555" s="268" t="str">
        <f t="shared" si="644"/>
        <v/>
      </c>
      <c r="AW555" s="268">
        <f t="shared" si="644"/>
        <v>120</v>
      </c>
      <c r="AX555" s="268" t="str">
        <f t="shared" si="644"/>
        <v/>
      </c>
      <c r="AY555" s="268" t="str">
        <f t="shared" si="644"/>
        <v/>
      </c>
      <c r="AZ555" s="268" t="str">
        <f t="shared" si="644"/>
        <v/>
      </c>
      <c r="BA555" s="268" t="str">
        <f t="shared" si="644"/>
        <v/>
      </c>
      <c r="BB555" s="268" t="str">
        <f t="shared" si="644"/>
        <v/>
      </c>
      <c r="BC555" s="268" t="str">
        <f t="shared" si="644"/>
        <v/>
      </c>
      <c r="BD555" s="268" t="str">
        <f t="shared" si="644"/>
        <v/>
      </c>
      <c r="BE555" s="268" t="str">
        <f t="shared" si="644"/>
        <v/>
      </c>
      <c r="BF555" s="268" t="str">
        <f t="shared" si="644"/>
        <v/>
      </c>
      <c r="BG555" s="268" t="str">
        <f t="shared" si="644"/>
        <v/>
      </c>
      <c r="BH555" s="268" t="str">
        <f t="shared" si="644"/>
        <v/>
      </c>
      <c r="BI555" s="268" t="str">
        <f t="shared" si="644"/>
        <v/>
      </c>
      <c r="BJ555" s="268" t="str">
        <f t="shared" si="644"/>
        <v/>
      </c>
      <c r="BK555" s="268" t="str">
        <f t="shared" si="644"/>
        <v/>
      </c>
      <c r="BL555" s="268" t="str">
        <f t="shared" si="644"/>
        <v/>
      </c>
      <c r="BM555" s="268" t="str">
        <f t="shared" si="644"/>
        <v/>
      </c>
      <c r="BN555" s="268" t="str">
        <f t="shared" si="644"/>
        <v/>
      </c>
      <c r="BO555" s="268" t="str">
        <f t="shared" si="644"/>
        <v/>
      </c>
      <c r="BP555" s="268" t="str">
        <f t="shared" si="644"/>
        <v/>
      </c>
      <c r="BQ555" s="268" t="str">
        <f t="shared" si="644"/>
        <v/>
      </c>
      <c r="BR555" s="268" t="str">
        <f t="shared" si="644"/>
        <v/>
      </c>
      <c r="BS555" s="268" t="str">
        <f t="shared" si="644"/>
        <v/>
      </c>
      <c r="BT555" s="268" t="str">
        <f t="shared" si="644"/>
        <v/>
      </c>
      <c r="BU555" s="268" t="str">
        <f t="shared" si="617"/>
        <v/>
      </c>
      <c r="BV555" s="247">
        <v>1.59</v>
      </c>
      <c r="BW555" s="729">
        <f t="shared" si="618"/>
        <v>190.8</v>
      </c>
      <c r="BX555" s="730">
        <f t="shared" si="619"/>
        <v>1478.7</v>
      </c>
      <c r="BY555" s="731" t="str">
        <f t="shared" si="620"/>
        <v>SR</v>
      </c>
    </row>
    <row r="556" s="698" customFormat="1" customHeight="1" spans="1:77">
      <c r="A556" s="248">
        <v>46127</v>
      </c>
      <c r="B556" s="208">
        <v>46191</v>
      </c>
      <c r="C556" s="268" t="s">
        <v>729</v>
      </c>
      <c r="D556" s="268" t="s">
        <v>730</v>
      </c>
      <c r="E556" s="268" t="s">
        <v>89</v>
      </c>
      <c r="F556" s="343">
        <v>120</v>
      </c>
      <c r="G556" s="268" t="s">
        <v>510</v>
      </c>
      <c r="H556" s="211" t="str">
        <f>IFERROR(VLOOKUP(E556,名称!A:E,4,0),"")</f>
        <v>三代</v>
      </c>
      <c r="I556" s="268" t="str">
        <f t="shared" ref="I556:BT556" si="645">IF(OR($E556="",I$1=""),"",IF(TRIM(LEFT($E556,MIN(IFERROR(FIND("CDU",UPPER($E556)),999),IFERROR(FIND("BULK",UPPER($E556)),999),IFERROR(FIND("-",$E556),999),IFERROR(FIND("（",$E556),999))-1))=I$1,$F556,""))</f>
        <v/>
      </c>
      <c r="J556" s="268" t="str">
        <f t="shared" si="645"/>
        <v/>
      </c>
      <c r="K556" s="268" t="str">
        <f t="shared" si="645"/>
        <v/>
      </c>
      <c r="L556" s="268" t="str">
        <f t="shared" si="645"/>
        <v/>
      </c>
      <c r="M556" s="268" t="str">
        <f t="shared" si="645"/>
        <v/>
      </c>
      <c r="N556" s="268" t="str">
        <f t="shared" si="645"/>
        <v/>
      </c>
      <c r="O556" s="268" t="str">
        <f t="shared" si="645"/>
        <v/>
      </c>
      <c r="P556" s="268" t="str">
        <f t="shared" si="645"/>
        <v/>
      </c>
      <c r="Q556" s="268" t="str">
        <f t="shared" si="645"/>
        <v/>
      </c>
      <c r="R556" s="268" t="str">
        <f t="shared" si="645"/>
        <v/>
      </c>
      <c r="S556" s="268" t="str">
        <f t="shared" si="645"/>
        <v/>
      </c>
      <c r="T556" s="268" t="str">
        <f t="shared" si="645"/>
        <v/>
      </c>
      <c r="U556" s="268" t="str">
        <f t="shared" si="645"/>
        <v/>
      </c>
      <c r="V556" s="268" t="str">
        <f t="shared" si="645"/>
        <v/>
      </c>
      <c r="W556" s="268" t="str">
        <f t="shared" si="645"/>
        <v/>
      </c>
      <c r="X556" s="268" t="str">
        <f t="shared" si="645"/>
        <v/>
      </c>
      <c r="Y556" s="268" t="str">
        <f t="shared" si="645"/>
        <v/>
      </c>
      <c r="Z556" s="268" t="str">
        <f t="shared" si="645"/>
        <v/>
      </c>
      <c r="AA556" s="268" t="str">
        <f t="shared" si="645"/>
        <v/>
      </c>
      <c r="AB556" s="268" t="str">
        <f t="shared" si="645"/>
        <v/>
      </c>
      <c r="AC556" s="268" t="str">
        <f t="shared" si="645"/>
        <v/>
      </c>
      <c r="AD556" s="268" t="str">
        <f t="shared" si="645"/>
        <v/>
      </c>
      <c r="AE556" s="268" t="str">
        <f t="shared" si="645"/>
        <v/>
      </c>
      <c r="AF556" s="268" t="str">
        <f t="shared" si="645"/>
        <v/>
      </c>
      <c r="AG556" s="268" t="str">
        <f t="shared" si="645"/>
        <v/>
      </c>
      <c r="AH556" s="268" t="str">
        <f t="shared" si="645"/>
        <v/>
      </c>
      <c r="AI556" s="268" t="str">
        <f t="shared" si="645"/>
        <v/>
      </c>
      <c r="AJ556" s="268" t="str">
        <f t="shared" si="645"/>
        <v/>
      </c>
      <c r="AK556" s="268" t="str">
        <f t="shared" si="645"/>
        <v/>
      </c>
      <c r="AL556" s="268" t="str">
        <f t="shared" si="645"/>
        <v/>
      </c>
      <c r="AM556" s="268" t="str">
        <f t="shared" si="645"/>
        <v/>
      </c>
      <c r="AN556" s="268" t="str">
        <f t="shared" si="645"/>
        <v/>
      </c>
      <c r="AO556" s="268" t="str">
        <f t="shared" si="645"/>
        <v/>
      </c>
      <c r="AP556" s="268" t="str">
        <f t="shared" si="645"/>
        <v/>
      </c>
      <c r="AQ556" s="268" t="str">
        <f t="shared" si="645"/>
        <v/>
      </c>
      <c r="AR556" s="268" t="str">
        <f t="shared" si="645"/>
        <v/>
      </c>
      <c r="AS556" s="268" t="str">
        <f t="shared" si="645"/>
        <v/>
      </c>
      <c r="AT556" s="268" t="str">
        <f t="shared" si="645"/>
        <v/>
      </c>
      <c r="AU556" s="268">
        <f t="shared" si="645"/>
        <v>120</v>
      </c>
      <c r="AV556" s="268" t="str">
        <f t="shared" si="645"/>
        <v/>
      </c>
      <c r="AW556" s="268" t="str">
        <f t="shared" si="645"/>
        <v/>
      </c>
      <c r="AX556" s="268" t="str">
        <f t="shared" si="645"/>
        <v/>
      </c>
      <c r="AY556" s="268" t="str">
        <f t="shared" si="645"/>
        <v/>
      </c>
      <c r="AZ556" s="268" t="str">
        <f t="shared" si="645"/>
        <v/>
      </c>
      <c r="BA556" s="268" t="str">
        <f t="shared" si="645"/>
        <v/>
      </c>
      <c r="BB556" s="268" t="str">
        <f t="shared" si="645"/>
        <v/>
      </c>
      <c r="BC556" s="268" t="str">
        <f t="shared" si="645"/>
        <v/>
      </c>
      <c r="BD556" s="268" t="str">
        <f t="shared" si="645"/>
        <v/>
      </c>
      <c r="BE556" s="268" t="str">
        <f t="shared" si="645"/>
        <v/>
      </c>
      <c r="BF556" s="268" t="str">
        <f t="shared" si="645"/>
        <v/>
      </c>
      <c r="BG556" s="268" t="str">
        <f t="shared" si="645"/>
        <v/>
      </c>
      <c r="BH556" s="268" t="str">
        <f t="shared" si="645"/>
        <v/>
      </c>
      <c r="BI556" s="268" t="str">
        <f t="shared" si="645"/>
        <v/>
      </c>
      <c r="BJ556" s="268" t="str">
        <f t="shared" si="645"/>
        <v/>
      </c>
      <c r="BK556" s="268" t="str">
        <f t="shared" si="645"/>
        <v/>
      </c>
      <c r="BL556" s="268" t="str">
        <f t="shared" si="645"/>
        <v/>
      </c>
      <c r="BM556" s="268" t="str">
        <f t="shared" si="645"/>
        <v/>
      </c>
      <c r="BN556" s="268" t="str">
        <f t="shared" si="645"/>
        <v/>
      </c>
      <c r="BO556" s="268" t="str">
        <f t="shared" si="645"/>
        <v/>
      </c>
      <c r="BP556" s="268" t="str">
        <f t="shared" si="645"/>
        <v/>
      </c>
      <c r="BQ556" s="268" t="str">
        <f t="shared" si="645"/>
        <v/>
      </c>
      <c r="BR556" s="268" t="str">
        <f t="shared" si="645"/>
        <v/>
      </c>
      <c r="BS556" s="268" t="str">
        <f t="shared" si="645"/>
        <v/>
      </c>
      <c r="BT556" s="268" t="str">
        <f t="shared" si="645"/>
        <v/>
      </c>
      <c r="BU556" s="268" t="str">
        <f t="shared" si="617"/>
        <v/>
      </c>
      <c r="BV556" s="247">
        <v>1.9</v>
      </c>
      <c r="BW556" s="729">
        <f t="shared" si="618"/>
        <v>228</v>
      </c>
      <c r="BX556" s="730">
        <f t="shared" si="619"/>
        <v>1767</v>
      </c>
      <c r="BY556" s="731" t="str">
        <f t="shared" si="620"/>
        <v>SR</v>
      </c>
    </row>
    <row r="557" s="698" customFormat="1" customHeight="1" spans="1:77">
      <c r="A557" s="248">
        <v>46127</v>
      </c>
      <c r="B557" s="208">
        <v>46191</v>
      </c>
      <c r="C557" s="268" t="s">
        <v>729</v>
      </c>
      <c r="D557" s="268" t="s">
        <v>730</v>
      </c>
      <c r="E557" s="268" t="s">
        <v>123</v>
      </c>
      <c r="F557" s="343">
        <v>278</v>
      </c>
      <c r="G557" s="268" t="s">
        <v>510</v>
      </c>
      <c r="H557" s="211" t="str">
        <f>IFERROR(VLOOKUP(E557,名称!A:E,4,0),"")</f>
        <v>蛋糕</v>
      </c>
      <c r="I557" s="268" t="str">
        <f t="shared" ref="I557:BT557" si="646">IF(OR($E557="",I$1=""),"",IF(TRIM(LEFT($E557,MIN(IFERROR(FIND("CDU",UPPER($E557)),999),IFERROR(FIND("BULK",UPPER($E557)),999),IFERROR(FIND("-",$E557),999),IFERROR(FIND("（",$E557),999))-1))=I$1,$F557,""))</f>
        <v/>
      </c>
      <c r="J557" s="268" t="str">
        <f t="shared" si="646"/>
        <v/>
      </c>
      <c r="K557" s="268" t="str">
        <f t="shared" si="646"/>
        <v/>
      </c>
      <c r="L557" s="268" t="str">
        <f t="shared" si="646"/>
        <v/>
      </c>
      <c r="M557" s="268" t="str">
        <f t="shared" si="646"/>
        <v/>
      </c>
      <c r="N557" s="268" t="str">
        <f t="shared" si="646"/>
        <v/>
      </c>
      <c r="O557" s="268" t="str">
        <f t="shared" si="646"/>
        <v/>
      </c>
      <c r="P557" s="268" t="str">
        <f t="shared" si="646"/>
        <v/>
      </c>
      <c r="Q557" s="268" t="str">
        <f t="shared" si="646"/>
        <v/>
      </c>
      <c r="R557" s="268" t="str">
        <f t="shared" si="646"/>
        <v/>
      </c>
      <c r="S557" s="268" t="str">
        <f t="shared" si="646"/>
        <v/>
      </c>
      <c r="T557" s="268" t="str">
        <f t="shared" si="646"/>
        <v/>
      </c>
      <c r="U557" s="268" t="str">
        <f t="shared" si="646"/>
        <v/>
      </c>
      <c r="V557" s="268" t="str">
        <f t="shared" si="646"/>
        <v/>
      </c>
      <c r="W557" s="268" t="str">
        <f t="shared" si="646"/>
        <v/>
      </c>
      <c r="X557" s="268" t="str">
        <f t="shared" si="646"/>
        <v/>
      </c>
      <c r="Y557" s="268" t="str">
        <f t="shared" si="646"/>
        <v/>
      </c>
      <c r="Z557" s="268" t="str">
        <f t="shared" si="646"/>
        <v/>
      </c>
      <c r="AA557" s="268" t="str">
        <f t="shared" si="646"/>
        <v/>
      </c>
      <c r="AB557" s="268" t="str">
        <f t="shared" si="646"/>
        <v/>
      </c>
      <c r="AC557" s="268" t="str">
        <f t="shared" si="646"/>
        <v/>
      </c>
      <c r="AD557" s="268" t="str">
        <f t="shared" si="646"/>
        <v/>
      </c>
      <c r="AE557" s="268" t="str">
        <f t="shared" si="646"/>
        <v/>
      </c>
      <c r="AF557" s="268" t="str">
        <f t="shared" si="646"/>
        <v/>
      </c>
      <c r="AG557" s="268" t="str">
        <f t="shared" si="646"/>
        <v/>
      </c>
      <c r="AH557" s="268" t="str">
        <f t="shared" si="646"/>
        <v/>
      </c>
      <c r="AI557" s="268" t="str">
        <f t="shared" si="646"/>
        <v/>
      </c>
      <c r="AJ557" s="268" t="str">
        <f t="shared" si="646"/>
        <v/>
      </c>
      <c r="AK557" s="268" t="str">
        <f t="shared" si="646"/>
        <v/>
      </c>
      <c r="AL557" s="268" t="str">
        <f t="shared" si="646"/>
        <v/>
      </c>
      <c r="AM557" s="268" t="str">
        <f t="shared" si="646"/>
        <v/>
      </c>
      <c r="AN557" s="268" t="str">
        <f t="shared" si="646"/>
        <v/>
      </c>
      <c r="AO557" s="268" t="str">
        <f t="shared" si="646"/>
        <v/>
      </c>
      <c r="AP557" s="268" t="str">
        <f t="shared" si="646"/>
        <v/>
      </c>
      <c r="AQ557" s="268" t="str">
        <f t="shared" si="646"/>
        <v/>
      </c>
      <c r="AR557" s="268" t="str">
        <f t="shared" si="646"/>
        <v/>
      </c>
      <c r="AS557" s="268" t="str">
        <f t="shared" si="646"/>
        <v/>
      </c>
      <c r="AT557" s="268" t="str">
        <f t="shared" si="646"/>
        <v/>
      </c>
      <c r="AU557" s="268" t="str">
        <f t="shared" si="646"/>
        <v/>
      </c>
      <c r="AV557" s="268" t="str">
        <f t="shared" si="646"/>
        <v/>
      </c>
      <c r="AW557" s="268" t="str">
        <f t="shared" si="646"/>
        <v/>
      </c>
      <c r="AX557" s="268" t="str">
        <f t="shared" si="646"/>
        <v/>
      </c>
      <c r="AY557" s="268" t="str">
        <f t="shared" si="646"/>
        <v/>
      </c>
      <c r="AZ557" s="268" t="str">
        <f t="shared" si="646"/>
        <v/>
      </c>
      <c r="BA557" s="268" t="str">
        <f t="shared" si="646"/>
        <v/>
      </c>
      <c r="BB557" s="268" t="str">
        <f t="shared" si="646"/>
        <v/>
      </c>
      <c r="BC557" s="268" t="str">
        <f t="shared" si="646"/>
        <v/>
      </c>
      <c r="BD557" s="268" t="str">
        <f t="shared" si="646"/>
        <v/>
      </c>
      <c r="BE557" s="268" t="str">
        <f t="shared" si="646"/>
        <v/>
      </c>
      <c r="BF557" s="268">
        <f t="shared" si="646"/>
        <v>278</v>
      </c>
      <c r="BG557" s="268" t="str">
        <f t="shared" si="646"/>
        <v/>
      </c>
      <c r="BH557" s="268" t="str">
        <f t="shared" si="646"/>
        <v/>
      </c>
      <c r="BI557" s="268" t="str">
        <f t="shared" si="646"/>
        <v/>
      </c>
      <c r="BJ557" s="268" t="str">
        <f t="shared" si="646"/>
        <v/>
      </c>
      <c r="BK557" s="268" t="str">
        <f t="shared" si="646"/>
        <v/>
      </c>
      <c r="BL557" s="268" t="str">
        <f t="shared" si="646"/>
        <v/>
      </c>
      <c r="BM557" s="268" t="str">
        <f t="shared" si="646"/>
        <v/>
      </c>
      <c r="BN557" s="268" t="str">
        <f t="shared" si="646"/>
        <v/>
      </c>
      <c r="BO557" s="268" t="str">
        <f t="shared" si="646"/>
        <v/>
      </c>
      <c r="BP557" s="268" t="str">
        <f t="shared" si="646"/>
        <v/>
      </c>
      <c r="BQ557" s="268" t="str">
        <f t="shared" si="646"/>
        <v/>
      </c>
      <c r="BR557" s="268" t="str">
        <f t="shared" si="646"/>
        <v/>
      </c>
      <c r="BS557" s="268" t="str">
        <f t="shared" si="646"/>
        <v/>
      </c>
      <c r="BT557" s="268" t="str">
        <f t="shared" si="646"/>
        <v/>
      </c>
      <c r="BU557" s="268" t="str">
        <f t="shared" si="617"/>
        <v/>
      </c>
      <c r="BV557" s="247">
        <v>0.81</v>
      </c>
      <c r="BW557" s="729">
        <f t="shared" si="618"/>
        <v>225.18</v>
      </c>
      <c r="BX557" s="730">
        <f t="shared" si="619"/>
        <v>1745.15</v>
      </c>
      <c r="BY557" s="731" t="str">
        <f t="shared" si="620"/>
        <v>JC</v>
      </c>
    </row>
    <row r="558" s="698" customFormat="1" customHeight="1" spans="1:77">
      <c r="A558" s="248">
        <v>46127</v>
      </c>
      <c r="B558" s="208">
        <v>46191</v>
      </c>
      <c r="C558" s="268" t="s">
        <v>729</v>
      </c>
      <c r="D558" s="268" t="s">
        <v>730</v>
      </c>
      <c r="E558" s="268" t="s">
        <v>125</v>
      </c>
      <c r="F558" s="343">
        <v>12</v>
      </c>
      <c r="G558" s="268" t="s">
        <v>510</v>
      </c>
      <c r="H558" s="211" t="str">
        <f>IFERROR(VLOOKUP(E558,名称!A:E,4,0),"")</f>
        <v>三代</v>
      </c>
      <c r="I558" s="268" t="str">
        <f t="shared" ref="I558:BT558" si="647">IF(OR($E558="",I$1=""),"",IF(TRIM(LEFT($E558,MIN(IFERROR(FIND("CDU",UPPER($E558)),999),IFERROR(FIND("BULK",UPPER($E558)),999),IFERROR(FIND("-",$E558),999),IFERROR(FIND("（",$E558),999))-1))=I$1,$F558,""))</f>
        <v/>
      </c>
      <c r="J558" s="268" t="str">
        <f t="shared" si="647"/>
        <v/>
      </c>
      <c r="K558" s="268" t="str">
        <f t="shared" si="647"/>
        <v/>
      </c>
      <c r="L558" s="268" t="str">
        <f t="shared" si="647"/>
        <v/>
      </c>
      <c r="M558" s="268" t="str">
        <f t="shared" si="647"/>
        <v/>
      </c>
      <c r="N558" s="268" t="str">
        <f t="shared" si="647"/>
        <v/>
      </c>
      <c r="O558" s="268" t="str">
        <f t="shared" si="647"/>
        <v/>
      </c>
      <c r="P558" s="268" t="str">
        <f t="shared" si="647"/>
        <v/>
      </c>
      <c r="Q558" s="268" t="str">
        <f t="shared" si="647"/>
        <v/>
      </c>
      <c r="R558" s="268" t="str">
        <f t="shared" si="647"/>
        <v/>
      </c>
      <c r="S558" s="268" t="str">
        <f t="shared" si="647"/>
        <v/>
      </c>
      <c r="T558" s="268" t="str">
        <f t="shared" si="647"/>
        <v/>
      </c>
      <c r="U558" s="268" t="str">
        <f t="shared" si="647"/>
        <v/>
      </c>
      <c r="V558" s="268" t="str">
        <f t="shared" si="647"/>
        <v/>
      </c>
      <c r="W558" s="268" t="str">
        <f t="shared" si="647"/>
        <v/>
      </c>
      <c r="X558" s="268" t="str">
        <f t="shared" si="647"/>
        <v/>
      </c>
      <c r="Y558" s="268" t="str">
        <f t="shared" si="647"/>
        <v/>
      </c>
      <c r="Z558" s="268" t="str">
        <f t="shared" si="647"/>
        <v/>
      </c>
      <c r="AA558" s="268" t="str">
        <f t="shared" si="647"/>
        <v/>
      </c>
      <c r="AB558" s="268" t="str">
        <f t="shared" si="647"/>
        <v/>
      </c>
      <c r="AC558" s="268" t="str">
        <f t="shared" si="647"/>
        <v/>
      </c>
      <c r="AD558" s="268" t="str">
        <f t="shared" si="647"/>
        <v/>
      </c>
      <c r="AE558" s="268" t="str">
        <f t="shared" si="647"/>
        <v/>
      </c>
      <c r="AF558" s="268" t="str">
        <f t="shared" si="647"/>
        <v/>
      </c>
      <c r="AG558" s="268" t="str">
        <f t="shared" si="647"/>
        <v/>
      </c>
      <c r="AH558" s="268" t="str">
        <f t="shared" si="647"/>
        <v/>
      </c>
      <c r="AI558" s="268" t="str">
        <f t="shared" si="647"/>
        <v/>
      </c>
      <c r="AJ558" s="268" t="str">
        <f t="shared" si="647"/>
        <v/>
      </c>
      <c r="AK558" s="268" t="str">
        <f t="shared" si="647"/>
        <v/>
      </c>
      <c r="AL558" s="268" t="str">
        <f t="shared" si="647"/>
        <v/>
      </c>
      <c r="AM558" s="268" t="str">
        <f t="shared" si="647"/>
        <v/>
      </c>
      <c r="AN558" s="268" t="str">
        <f t="shared" si="647"/>
        <v/>
      </c>
      <c r="AO558" s="268" t="str">
        <f t="shared" si="647"/>
        <v/>
      </c>
      <c r="AP558" s="268" t="str">
        <f t="shared" si="647"/>
        <v/>
      </c>
      <c r="AQ558" s="268" t="str">
        <f t="shared" si="647"/>
        <v/>
      </c>
      <c r="AR558" s="268">
        <f t="shared" si="647"/>
        <v>12</v>
      </c>
      <c r="AS558" s="268" t="str">
        <f t="shared" si="647"/>
        <v/>
      </c>
      <c r="AT558" s="268" t="str">
        <f t="shared" si="647"/>
        <v/>
      </c>
      <c r="AU558" s="268" t="str">
        <f t="shared" si="647"/>
        <v/>
      </c>
      <c r="AV558" s="268" t="str">
        <f t="shared" si="647"/>
        <v/>
      </c>
      <c r="AW558" s="268" t="str">
        <f t="shared" si="647"/>
        <v/>
      </c>
      <c r="AX558" s="268" t="str">
        <f t="shared" si="647"/>
        <v/>
      </c>
      <c r="AY558" s="268" t="str">
        <f t="shared" si="647"/>
        <v/>
      </c>
      <c r="AZ558" s="268" t="str">
        <f t="shared" si="647"/>
        <v/>
      </c>
      <c r="BA558" s="268" t="str">
        <f t="shared" si="647"/>
        <v/>
      </c>
      <c r="BB558" s="268" t="str">
        <f t="shared" si="647"/>
        <v/>
      </c>
      <c r="BC558" s="268" t="str">
        <f t="shared" si="647"/>
        <v/>
      </c>
      <c r="BD558" s="268" t="str">
        <f t="shared" si="647"/>
        <v/>
      </c>
      <c r="BE558" s="268" t="str">
        <f t="shared" si="647"/>
        <v/>
      </c>
      <c r="BF558" s="268" t="str">
        <f t="shared" si="647"/>
        <v/>
      </c>
      <c r="BG558" s="268" t="str">
        <f t="shared" si="647"/>
        <v/>
      </c>
      <c r="BH558" s="268" t="str">
        <f t="shared" si="647"/>
        <v/>
      </c>
      <c r="BI558" s="268" t="str">
        <f t="shared" si="647"/>
        <v/>
      </c>
      <c r="BJ558" s="268" t="str">
        <f t="shared" si="647"/>
        <v/>
      </c>
      <c r="BK558" s="268" t="str">
        <f t="shared" si="647"/>
        <v/>
      </c>
      <c r="BL558" s="268" t="str">
        <f t="shared" si="647"/>
        <v/>
      </c>
      <c r="BM558" s="268" t="str">
        <f t="shared" si="647"/>
        <v/>
      </c>
      <c r="BN558" s="268" t="str">
        <f t="shared" si="647"/>
        <v/>
      </c>
      <c r="BO558" s="268" t="str">
        <f t="shared" si="647"/>
        <v/>
      </c>
      <c r="BP558" s="268" t="str">
        <f t="shared" si="647"/>
        <v/>
      </c>
      <c r="BQ558" s="268" t="str">
        <f t="shared" si="647"/>
        <v/>
      </c>
      <c r="BR558" s="268" t="str">
        <f t="shared" si="647"/>
        <v/>
      </c>
      <c r="BS558" s="268" t="str">
        <f t="shared" si="647"/>
        <v/>
      </c>
      <c r="BT558" s="268" t="str">
        <f t="shared" si="647"/>
        <v/>
      </c>
      <c r="BU558" s="268" t="str">
        <f t="shared" si="617"/>
        <v/>
      </c>
      <c r="BV558" s="247">
        <v>1.65</v>
      </c>
      <c r="BW558" s="729">
        <f t="shared" si="618"/>
        <v>19.8</v>
      </c>
      <c r="BX558" s="730">
        <f t="shared" si="619"/>
        <v>153.45</v>
      </c>
      <c r="BY558" s="731" t="str">
        <f t="shared" si="620"/>
        <v>SR</v>
      </c>
    </row>
    <row r="559" s="698" customFormat="1" customHeight="1" spans="1:77">
      <c r="A559" s="248">
        <v>46127</v>
      </c>
      <c r="B559" s="208">
        <v>46178</v>
      </c>
      <c r="C559" s="268" t="s">
        <v>731</v>
      </c>
      <c r="D559" s="268" t="s">
        <v>732</v>
      </c>
      <c r="E559" s="268" t="s">
        <v>60</v>
      </c>
      <c r="F559" s="343">
        <v>69492</v>
      </c>
      <c r="G559" s="268" t="s">
        <v>270</v>
      </c>
      <c r="H559" s="211" t="str">
        <f>IFERROR(VLOOKUP(E559,名称!A:E,4,0),"")</f>
        <v>三代</v>
      </c>
      <c r="I559" s="268" t="str">
        <f t="shared" ref="I559:BT559" si="648">IF(OR($E559="",I$1=""),"",IF(TRIM(LEFT($E559,MIN(IFERROR(FIND("CDU",UPPER($E559)),999),IFERROR(FIND("BULK",UPPER($E559)),999),IFERROR(FIND("-",$E559),999),IFERROR(FIND("（",$E559),999))-1))=I$1,$F559,""))</f>
        <v/>
      </c>
      <c r="J559" s="268" t="str">
        <f t="shared" si="648"/>
        <v/>
      </c>
      <c r="K559" s="268" t="str">
        <f t="shared" si="648"/>
        <v/>
      </c>
      <c r="L559" s="268" t="str">
        <f t="shared" si="648"/>
        <v/>
      </c>
      <c r="M559" s="268" t="str">
        <f t="shared" si="648"/>
        <v/>
      </c>
      <c r="N559" s="268" t="str">
        <f t="shared" si="648"/>
        <v/>
      </c>
      <c r="O559" s="268" t="str">
        <f t="shared" si="648"/>
        <v/>
      </c>
      <c r="P559" s="268" t="str">
        <f t="shared" si="648"/>
        <v/>
      </c>
      <c r="Q559" s="268" t="str">
        <f t="shared" si="648"/>
        <v/>
      </c>
      <c r="R559" s="268" t="str">
        <f t="shared" si="648"/>
        <v/>
      </c>
      <c r="S559" s="268" t="str">
        <f t="shared" si="648"/>
        <v/>
      </c>
      <c r="T559" s="268" t="str">
        <f t="shared" si="648"/>
        <v/>
      </c>
      <c r="U559" s="268" t="str">
        <f t="shared" si="648"/>
        <v/>
      </c>
      <c r="V559" s="268" t="str">
        <f t="shared" si="648"/>
        <v/>
      </c>
      <c r="W559" s="268" t="str">
        <f t="shared" si="648"/>
        <v/>
      </c>
      <c r="X559" s="268" t="str">
        <f t="shared" si="648"/>
        <v/>
      </c>
      <c r="Y559" s="268" t="str">
        <f t="shared" si="648"/>
        <v/>
      </c>
      <c r="Z559" s="268" t="str">
        <f t="shared" si="648"/>
        <v/>
      </c>
      <c r="AA559" s="268" t="str">
        <f t="shared" si="648"/>
        <v/>
      </c>
      <c r="AB559" s="268" t="str">
        <f t="shared" si="648"/>
        <v/>
      </c>
      <c r="AC559" s="268" t="str">
        <f t="shared" si="648"/>
        <v/>
      </c>
      <c r="AD559" s="268" t="str">
        <f t="shared" si="648"/>
        <v/>
      </c>
      <c r="AE559" s="268">
        <f t="shared" si="648"/>
        <v>69492</v>
      </c>
      <c r="AF559" s="268" t="str">
        <f t="shared" si="648"/>
        <v/>
      </c>
      <c r="AG559" s="268" t="str">
        <f t="shared" si="648"/>
        <v/>
      </c>
      <c r="AH559" s="268" t="str">
        <f t="shared" si="648"/>
        <v/>
      </c>
      <c r="AI559" s="268" t="str">
        <f t="shared" si="648"/>
        <v/>
      </c>
      <c r="AJ559" s="268" t="str">
        <f t="shared" si="648"/>
        <v/>
      </c>
      <c r="AK559" s="268" t="str">
        <f t="shared" si="648"/>
        <v/>
      </c>
      <c r="AL559" s="268" t="str">
        <f t="shared" si="648"/>
        <v/>
      </c>
      <c r="AM559" s="268" t="str">
        <f t="shared" si="648"/>
        <v/>
      </c>
      <c r="AN559" s="268" t="str">
        <f t="shared" si="648"/>
        <v/>
      </c>
      <c r="AO559" s="268" t="str">
        <f t="shared" si="648"/>
        <v/>
      </c>
      <c r="AP559" s="268" t="str">
        <f t="shared" si="648"/>
        <v/>
      </c>
      <c r="AQ559" s="268" t="str">
        <f t="shared" si="648"/>
        <v/>
      </c>
      <c r="AR559" s="268" t="str">
        <f t="shared" si="648"/>
        <v/>
      </c>
      <c r="AS559" s="268" t="str">
        <f t="shared" si="648"/>
        <v/>
      </c>
      <c r="AT559" s="268" t="str">
        <f t="shared" si="648"/>
        <v/>
      </c>
      <c r="AU559" s="268" t="str">
        <f t="shared" si="648"/>
        <v/>
      </c>
      <c r="AV559" s="268" t="str">
        <f t="shared" si="648"/>
        <v/>
      </c>
      <c r="AW559" s="268" t="str">
        <f t="shared" si="648"/>
        <v/>
      </c>
      <c r="AX559" s="268" t="str">
        <f t="shared" si="648"/>
        <v/>
      </c>
      <c r="AY559" s="268" t="str">
        <f t="shared" si="648"/>
        <v/>
      </c>
      <c r="AZ559" s="268" t="str">
        <f t="shared" si="648"/>
        <v/>
      </c>
      <c r="BA559" s="268" t="str">
        <f t="shared" si="648"/>
        <v/>
      </c>
      <c r="BB559" s="268" t="str">
        <f t="shared" si="648"/>
        <v/>
      </c>
      <c r="BC559" s="268" t="str">
        <f t="shared" si="648"/>
        <v/>
      </c>
      <c r="BD559" s="268" t="str">
        <f t="shared" si="648"/>
        <v/>
      </c>
      <c r="BE559" s="268" t="str">
        <f t="shared" si="648"/>
        <v/>
      </c>
      <c r="BF559" s="268" t="str">
        <f t="shared" si="648"/>
        <v/>
      </c>
      <c r="BG559" s="268" t="str">
        <f t="shared" si="648"/>
        <v/>
      </c>
      <c r="BH559" s="268" t="str">
        <f t="shared" si="648"/>
        <v/>
      </c>
      <c r="BI559" s="268" t="str">
        <f t="shared" si="648"/>
        <v/>
      </c>
      <c r="BJ559" s="268" t="str">
        <f t="shared" si="648"/>
        <v/>
      </c>
      <c r="BK559" s="268" t="str">
        <f t="shared" si="648"/>
        <v/>
      </c>
      <c r="BL559" s="268" t="str">
        <f t="shared" si="648"/>
        <v/>
      </c>
      <c r="BM559" s="268" t="str">
        <f t="shared" si="648"/>
        <v/>
      </c>
      <c r="BN559" s="268" t="str">
        <f t="shared" si="648"/>
        <v/>
      </c>
      <c r="BO559" s="268" t="str">
        <f t="shared" si="648"/>
        <v/>
      </c>
      <c r="BP559" s="268" t="str">
        <f t="shared" si="648"/>
        <v/>
      </c>
      <c r="BQ559" s="268" t="str">
        <f t="shared" si="648"/>
        <v/>
      </c>
      <c r="BR559" s="268" t="str">
        <f t="shared" si="648"/>
        <v/>
      </c>
      <c r="BS559" s="268" t="str">
        <f t="shared" si="648"/>
        <v/>
      </c>
      <c r="BT559" s="268" t="str">
        <f t="shared" si="648"/>
        <v/>
      </c>
      <c r="BU559" s="268" t="str">
        <f t="shared" si="617"/>
        <v/>
      </c>
      <c r="BV559" s="247">
        <v>0.6</v>
      </c>
      <c r="BW559" s="729">
        <f t="shared" si="618"/>
        <v>41695.2</v>
      </c>
      <c r="BX559" s="730">
        <f t="shared" si="619"/>
        <v>323137.8</v>
      </c>
      <c r="BY559" s="731" t="str">
        <f t="shared" si="620"/>
        <v>SR</v>
      </c>
    </row>
    <row r="560" s="698" customFormat="1" customHeight="1" spans="1:77">
      <c r="A560" s="248">
        <v>46127</v>
      </c>
      <c r="B560" s="208">
        <v>46228</v>
      </c>
      <c r="C560" s="268" t="s">
        <v>733</v>
      </c>
      <c r="D560" s="268" t="s">
        <v>734</v>
      </c>
      <c r="E560" s="268" t="s">
        <v>124</v>
      </c>
      <c r="F560" s="343">
        <v>24996</v>
      </c>
      <c r="G560" s="268" t="s">
        <v>270</v>
      </c>
      <c r="H560" s="211" t="str">
        <f>IFERROR(VLOOKUP(E560,名称!A:E,4,0),"")</f>
        <v>三代</v>
      </c>
      <c r="I560" s="268" t="str">
        <f t="shared" ref="I560:BT560" si="649">IF(OR($E560="",I$1=""),"",IF(TRIM(LEFT($E560,MIN(IFERROR(FIND("CDU",UPPER($E560)),999),IFERROR(FIND("BULK",UPPER($E560)),999),IFERROR(FIND("-",$E560),999),IFERROR(FIND("（",$E560),999))-1))=I$1,$F560,""))</f>
        <v/>
      </c>
      <c r="J560" s="268" t="str">
        <f t="shared" si="649"/>
        <v/>
      </c>
      <c r="K560" s="268" t="str">
        <f t="shared" si="649"/>
        <v/>
      </c>
      <c r="L560" s="268" t="str">
        <f t="shared" si="649"/>
        <v/>
      </c>
      <c r="M560" s="268" t="str">
        <f t="shared" si="649"/>
        <v/>
      </c>
      <c r="N560" s="268" t="str">
        <f t="shared" si="649"/>
        <v/>
      </c>
      <c r="O560" s="268" t="str">
        <f t="shared" si="649"/>
        <v/>
      </c>
      <c r="P560" s="268" t="str">
        <f t="shared" si="649"/>
        <v/>
      </c>
      <c r="Q560" s="268" t="str">
        <f t="shared" si="649"/>
        <v/>
      </c>
      <c r="R560" s="268" t="str">
        <f t="shared" si="649"/>
        <v/>
      </c>
      <c r="S560" s="268" t="str">
        <f t="shared" si="649"/>
        <v/>
      </c>
      <c r="T560" s="268" t="str">
        <f t="shared" si="649"/>
        <v/>
      </c>
      <c r="U560" s="268" t="str">
        <f t="shared" si="649"/>
        <v/>
      </c>
      <c r="V560" s="268" t="str">
        <f t="shared" si="649"/>
        <v/>
      </c>
      <c r="W560" s="268" t="str">
        <f t="shared" si="649"/>
        <v/>
      </c>
      <c r="X560" s="268" t="str">
        <f t="shared" si="649"/>
        <v/>
      </c>
      <c r="Y560" s="268" t="str">
        <f t="shared" si="649"/>
        <v/>
      </c>
      <c r="Z560" s="268" t="str">
        <f t="shared" si="649"/>
        <v/>
      </c>
      <c r="AA560" s="268" t="str">
        <f t="shared" si="649"/>
        <v/>
      </c>
      <c r="AB560" s="268" t="str">
        <f t="shared" si="649"/>
        <v/>
      </c>
      <c r="AC560" s="268" t="str">
        <f t="shared" si="649"/>
        <v/>
      </c>
      <c r="AD560" s="268" t="str">
        <f t="shared" si="649"/>
        <v/>
      </c>
      <c r="AE560" s="268" t="str">
        <f t="shared" si="649"/>
        <v/>
      </c>
      <c r="AF560" s="268" t="str">
        <f t="shared" si="649"/>
        <v/>
      </c>
      <c r="AG560" s="268" t="str">
        <f t="shared" si="649"/>
        <v/>
      </c>
      <c r="AH560" s="268" t="str">
        <f t="shared" si="649"/>
        <v/>
      </c>
      <c r="AI560" s="268" t="str">
        <f t="shared" si="649"/>
        <v/>
      </c>
      <c r="AJ560" s="268" t="str">
        <f t="shared" si="649"/>
        <v/>
      </c>
      <c r="AK560" s="268" t="str">
        <f t="shared" si="649"/>
        <v/>
      </c>
      <c r="AL560" s="268" t="str">
        <f t="shared" si="649"/>
        <v/>
      </c>
      <c r="AM560" s="268" t="str">
        <f t="shared" si="649"/>
        <v/>
      </c>
      <c r="AN560" s="268" t="str">
        <f t="shared" si="649"/>
        <v/>
      </c>
      <c r="AO560" s="268">
        <f t="shared" si="649"/>
        <v>24996</v>
      </c>
      <c r="AP560" s="268" t="str">
        <f t="shared" si="649"/>
        <v/>
      </c>
      <c r="AQ560" s="268" t="str">
        <f t="shared" si="649"/>
        <v/>
      </c>
      <c r="AR560" s="268" t="str">
        <f t="shared" si="649"/>
        <v/>
      </c>
      <c r="AS560" s="268" t="str">
        <f t="shared" si="649"/>
        <v/>
      </c>
      <c r="AT560" s="268" t="str">
        <f t="shared" si="649"/>
        <v/>
      </c>
      <c r="AU560" s="268" t="str">
        <f t="shared" si="649"/>
        <v/>
      </c>
      <c r="AV560" s="268" t="str">
        <f t="shared" si="649"/>
        <v/>
      </c>
      <c r="AW560" s="268" t="str">
        <f t="shared" si="649"/>
        <v/>
      </c>
      <c r="AX560" s="268" t="str">
        <f t="shared" si="649"/>
        <v/>
      </c>
      <c r="AY560" s="268" t="str">
        <f t="shared" si="649"/>
        <v/>
      </c>
      <c r="AZ560" s="268" t="str">
        <f t="shared" si="649"/>
        <v/>
      </c>
      <c r="BA560" s="268" t="str">
        <f t="shared" si="649"/>
        <v/>
      </c>
      <c r="BB560" s="268" t="str">
        <f t="shared" si="649"/>
        <v/>
      </c>
      <c r="BC560" s="268" t="str">
        <f t="shared" si="649"/>
        <v/>
      </c>
      <c r="BD560" s="268" t="str">
        <f t="shared" si="649"/>
        <v/>
      </c>
      <c r="BE560" s="268" t="str">
        <f t="shared" si="649"/>
        <v/>
      </c>
      <c r="BF560" s="268" t="str">
        <f t="shared" si="649"/>
        <v/>
      </c>
      <c r="BG560" s="268" t="str">
        <f t="shared" si="649"/>
        <v/>
      </c>
      <c r="BH560" s="268" t="str">
        <f t="shared" si="649"/>
        <v/>
      </c>
      <c r="BI560" s="268" t="str">
        <f t="shared" si="649"/>
        <v/>
      </c>
      <c r="BJ560" s="268" t="str">
        <f t="shared" si="649"/>
        <v/>
      </c>
      <c r="BK560" s="268" t="str">
        <f t="shared" si="649"/>
        <v/>
      </c>
      <c r="BL560" s="268" t="str">
        <f t="shared" si="649"/>
        <v/>
      </c>
      <c r="BM560" s="268" t="str">
        <f t="shared" si="649"/>
        <v/>
      </c>
      <c r="BN560" s="268" t="str">
        <f t="shared" si="649"/>
        <v/>
      </c>
      <c r="BO560" s="268" t="str">
        <f t="shared" si="649"/>
        <v/>
      </c>
      <c r="BP560" s="268" t="str">
        <f t="shared" si="649"/>
        <v/>
      </c>
      <c r="BQ560" s="268" t="str">
        <f t="shared" si="649"/>
        <v/>
      </c>
      <c r="BR560" s="268" t="str">
        <f t="shared" si="649"/>
        <v/>
      </c>
      <c r="BS560" s="268" t="str">
        <f t="shared" si="649"/>
        <v/>
      </c>
      <c r="BT560" s="268" t="str">
        <f t="shared" si="649"/>
        <v/>
      </c>
      <c r="BU560" s="268" t="str">
        <f t="shared" si="617"/>
        <v/>
      </c>
      <c r="BV560" s="247">
        <v>0.59</v>
      </c>
      <c r="BW560" s="729">
        <f t="shared" si="618"/>
        <v>14747.64</v>
      </c>
      <c r="BX560" s="730">
        <f t="shared" si="619"/>
        <v>114294.21</v>
      </c>
      <c r="BY560" s="731" t="str">
        <f t="shared" si="620"/>
        <v>SR</v>
      </c>
    </row>
    <row r="561" s="698" customFormat="1" customHeight="1" spans="1:77">
      <c r="A561" s="248">
        <v>46127</v>
      </c>
      <c r="B561" s="208">
        <v>46178</v>
      </c>
      <c r="C561" s="268" t="s">
        <v>735</v>
      </c>
      <c r="D561" s="268" t="s">
        <v>736</v>
      </c>
      <c r="E561" s="268" t="s">
        <v>102</v>
      </c>
      <c r="F561" s="343">
        <v>9996</v>
      </c>
      <c r="G561" s="268" t="s">
        <v>270</v>
      </c>
      <c r="H561" s="211" t="str">
        <f>IFERROR(VLOOKUP(E561,名称!A:E,4,0),"")</f>
        <v>三代</v>
      </c>
      <c r="I561" s="268" t="str">
        <f t="shared" ref="I561:BT561" si="650">IF(OR($E561="",I$1=""),"",IF(TRIM(LEFT($E561,MIN(IFERROR(FIND("CDU",UPPER($E561)),999),IFERROR(FIND("BULK",UPPER($E561)),999),IFERROR(FIND("-",$E561),999),IFERROR(FIND("（",$E561),999))-1))=I$1,$F561,""))</f>
        <v/>
      </c>
      <c r="J561" s="268" t="str">
        <f t="shared" si="650"/>
        <v/>
      </c>
      <c r="K561" s="268" t="str">
        <f t="shared" si="650"/>
        <v/>
      </c>
      <c r="L561" s="268" t="str">
        <f t="shared" si="650"/>
        <v/>
      </c>
      <c r="M561" s="268" t="str">
        <f t="shared" si="650"/>
        <v/>
      </c>
      <c r="N561" s="268" t="str">
        <f t="shared" si="650"/>
        <v/>
      </c>
      <c r="O561" s="268" t="str">
        <f t="shared" si="650"/>
        <v/>
      </c>
      <c r="P561" s="268" t="str">
        <f t="shared" si="650"/>
        <v/>
      </c>
      <c r="Q561" s="268" t="str">
        <f t="shared" si="650"/>
        <v/>
      </c>
      <c r="R561" s="268" t="str">
        <f t="shared" si="650"/>
        <v/>
      </c>
      <c r="S561" s="268" t="str">
        <f t="shared" si="650"/>
        <v/>
      </c>
      <c r="T561" s="268" t="str">
        <f t="shared" si="650"/>
        <v/>
      </c>
      <c r="U561" s="268" t="str">
        <f t="shared" si="650"/>
        <v/>
      </c>
      <c r="V561" s="268" t="str">
        <f t="shared" si="650"/>
        <v/>
      </c>
      <c r="W561" s="268" t="str">
        <f t="shared" si="650"/>
        <v/>
      </c>
      <c r="X561" s="268" t="str">
        <f t="shared" si="650"/>
        <v/>
      </c>
      <c r="Y561" s="268" t="str">
        <f t="shared" si="650"/>
        <v/>
      </c>
      <c r="Z561" s="268" t="str">
        <f t="shared" si="650"/>
        <v/>
      </c>
      <c r="AA561" s="268" t="str">
        <f t="shared" si="650"/>
        <v/>
      </c>
      <c r="AB561" s="268" t="str">
        <f t="shared" si="650"/>
        <v/>
      </c>
      <c r="AC561" s="268" t="str">
        <f t="shared" si="650"/>
        <v/>
      </c>
      <c r="AD561" s="268">
        <f t="shared" si="650"/>
        <v>9996</v>
      </c>
      <c r="AE561" s="268" t="str">
        <f t="shared" si="650"/>
        <v/>
      </c>
      <c r="AF561" s="268" t="str">
        <f t="shared" si="650"/>
        <v/>
      </c>
      <c r="AG561" s="268" t="str">
        <f t="shared" si="650"/>
        <v/>
      </c>
      <c r="AH561" s="268" t="str">
        <f t="shared" si="650"/>
        <v/>
      </c>
      <c r="AI561" s="268" t="str">
        <f t="shared" si="650"/>
        <v/>
      </c>
      <c r="AJ561" s="268" t="str">
        <f t="shared" si="650"/>
        <v/>
      </c>
      <c r="AK561" s="268" t="str">
        <f t="shared" si="650"/>
        <v/>
      </c>
      <c r="AL561" s="268" t="str">
        <f t="shared" si="650"/>
        <v/>
      </c>
      <c r="AM561" s="268" t="str">
        <f t="shared" si="650"/>
        <v/>
      </c>
      <c r="AN561" s="268" t="str">
        <f t="shared" si="650"/>
        <v/>
      </c>
      <c r="AO561" s="268" t="str">
        <f t="shared" si="650"/>
        <v/>
      </c>
      <c r="AP561" s="268" t="str">
        <f t="shared" si="650"/>
        <v/>
      </c>
      <c r="AQ561" s="268" t="str">
        <f t="shared" si="650"/>
        <v/>
      </c>
      <c r="AR561" s="268" t="str">
        <f t="shared" si="650"/>
        <v/>
      </c>
      <c r="AS561" s="268" t="str">
        <f t="shared" si="650"/>
        <v/>
      </c>
      <c r="AT561" s="268" t="str">
        <f t="shared" si="650"/>
        <v/>
      </c>
      <c r="AU561" s="268" t="str">
        <f t="shared" si="650"/>
        <v/>
      </c>
      <c r="AV561" s="268" t="str">
        <f t="shared" si="650"/>
        <v/>
      </c>
      <c r="AW561" s="268" t="str">
        <f t="shared" si="650"/>
        <v/>
      </c>
      <c r="AX561" s="268" t="str">
        <f t="shared" si="650"/>
        <v/>
      </c>
      <c r="AY561" s="268" t="str">
        <f t="shared" si="650"/>
        <v/>
      </c>
      <c r="AZ561" s="268" t="str">
        <f t="shared" si="650"/>
        <v/>
      </c>
      <c r="BA561" s="268" t="str">
        <f t="shared" si="650"/>
        <v/>
      </c>
      <c r="BB561" s="268" t="str">
        <f t="shared" si="650"/>
        <v/>
      </c>
      <c r="BC561" s="268" t="str">
        <f t="shared" si="650"/>
        <v/>
      </c>
      <c r="BD561" s="268" t="str">
        <f t="shared" si="650"/>
        <v/>
      </c>
      <c r="BE561" s="268" t="str">
        <f t="shared" si="650"/>
        <v/>
      </c>
      <c r="BF561" s="268" t="str">
        <f t="shared" si="650"/>
        <v/>
      </c>
      <c r="BG561" s="268" t="str">
        <f t="shared" si="650"/>
        <v/>
      </c>
      <c r="BH561" s="268" t="str">
        <f t="shared" si="650"/>
        <v/>
      </c>
      <c r="BI561" s="268" t="str">
        <f t="shared" si="650"/>
        <v/>
      </c>
      <c r="BJ561" s="268" t="str">
        <f t="shared" si="650"/>
        <v/>
      </c>
      <c r="BK561" s="268" t="str">
        <f t="shared" si="650"/>
        <v/>
      </c>
      <c r="BL561" s="268" t="str">
        <f t="shared" si="650"/>
        <v/>
      </c>
      <c r="BM561" s="268" t="str">
        <f t="shared" si="650"/>
        <v/>
      </c>
      <c r="BN561" s="268" t="str">
        <f t="shared" si="650"/>
        <v/>
      </c>
      <c r="BO561" s="268" t="str">
        <f t="shared" si="650"/>
        <v/>
      </c>
      <c r="BP561" s="268" t="str">
        <f t="shared" si="650"/>
        <v/>
      </c>
      <c r="BQ561" s="268" t="str">
        <f t="shared" si="650"/>
        <v/>
      </c>
      <c r="BR561" s="268" t="str">
        <f t="shared" si="650"/>
        <v/>
      </c>
      <c r="BS561" s="268" t="str">
        <f t="shared" si="650"/>
        <v/>
      </c>
      <c r="BT561" s="268" t="str">
        <f t="shared" si="650"/>
        <v/>
      </c>
      <c r="BU561" s="268" t="str">
        <f t="shared" si="617"/>
        <v/>
      </c>
      <c r="BV561" s="247">
        <v>0.61</v>
      </c>
      <c r="BW561" s="729">
        <f t="shared" si="618"/>
        <v>6097.56</v>
      </c>
      <c r="BX561" s="730">
        <f t="shared" si="619"/>
        <v>47256.09</v>
      </c>
      <c r="BY561" s="731" t="str">
        <f t="shared" si="620"/>
        <v>SR</v>
      </c>
    </row>
    <row r="562" s="697" customFormat="1" customHeight="1" spans="1:77">
      <c r="A562" s="179">
        <v>46128</v>
      </c>
      <c r="B562" s="116">
        <v>46228</v>
      </c>
      <c r="C562" s="418" t="s">
        <v>737</v>
      </c>
      <c r="D562" s="418" t="s">
        <v>738</v>
      </c>
      <c r="E562" s="418" t="s">
        <v>85</v>
      </c>
      <c r="F562" s="737">
        <v>47520</v>
      </c>
      <c r="G562" s="418" t="s">
        <v>270</v>
      </c>
      <c r="H562" s="118" t="str">
        <f>IFERROR(VLOOKUP(E562,名称!A:E,4,0),"")</f>
        <v>三代</v>
      </c>
      <c r="I562" s="418" t="str">
        <f t="shared" ref="I562:BT562" si="651">IF(OR($E562="",I$1=""),"",IF(TRIM(LEFT($E562,MIN(IFERROR(FIND("CDU",UPPER($E562)),999),IFERROR(FIND("BULK",UPPER($E562)),999),IFERROR(FIND("-",$E562),999),IFERROR(FIND("（",$E562),999))-1))=I$1,$F562,""))</f>
        <v/>
      </c>
      <c r="J562" s="418" t="str">
        <f t="shared" si="651"/>
        <v/>
      </c>
      <c r="K562" s="418" t="str">
        <f t="shared" si="651"/>
        <v/>
      </c>
      <c r="L562" s="418" t="str">
        <f t="shared" si="651"/>
        <v/>
      </c>
      <c r="M562" s="418" t="str">
        <f t="shared" si="651"/>
        <v/>
      </c>
      <c r="N562" s="418" t="str">
        <f t="shared" si="651"/>
        <v/>
      </c>
      <c r="O562" s="418" t="str">
        <f t="shared" si="651"/>
        <v/>
      </c>
      <c r="P562" s="418" t="str">
        <f t="shared" si="651"/>
        <v/>
      </c>
      <c r="Q562" s="418" t="str">
        <f t="shared" si="651"/>
        <v/>
      </c>
      <c r="R562" s="418" t="str">
        <f t="shared" si="651"/>
        <v/>
      </c>
      <c r="S562" s="418" t="str">
        <f t="shared" si="651"/>
        <v/>
      </c>
      <c r="T562" s="418" t="str">
        <f t="shared" si="651"/>
        <v/>
      </c>
      <c r="U562" s="418" t="str">
        <f t="shared" si="651"/>
        <v/>
      </c>
      <c r="V562" s="418" t="str">
        <f t="shared" si="651"/>
        <v/>
      </c>
      <c r="W562" s="418" t="str">
        <f t="shared" si="651"/>
        <v/>
      </c>
      <c r="X562" s="418" t="str">
        <f t="shared" si="651"/>
        <v/>
      </c>
      <c r="Y562" s="418" t="str">
        <f t="shared" si="651"/>
        <v/>
      </c>
      <c r="Z562" s="418" t="str">
        <f t="shared" si="651"/>
        <v/>
      </c>
      <c r="AA562" s="418" t="str">
        <f t="shared" si="651"/>
        <v/>
      </c>
      <c r="AB562" s="418" t="str">
        <f t="shared" si="651"/>
        <v/>
      </c>
      <c r="AC562" s="418" t="str">
        <f t="shared" si="651"/>
        <v/>
      </c>
      <c r="AD562" s="418" t="str">
        <f t="shared" si="651"/>
        <v/>
      </c>
      <c r="AE562" s="418" t="str">
        <f t="shared" si="651"/>
        <v/>
      </c>
      <c r="AF562" s="418" t="str">
        <f t="shared" si="651"/>
        <v/>
      </c>
      <c r="AG562" s="418" t="str">
        <f t="shared" si="651"/>
        <v/>
      </c>
      <c r="AH562" s="418" t="str">
        <f t="shared" si="651"/>
        <v/>
      </c>
      <c r="AI562" s="418" t="str">
        <f t="shared" si="651"/>
        <v/>
      </c>
      <c r="AJ562" s="418" t="str">
        <f t="shared" si="651"/>
        <v/>
      </c>
      <c r="AK562" s="418" t="str">
        <f t="shared" si="651"/>
        <v/>
      </c>
      <c r="AL562" s="418" t="str">
        <f t="shared" si="651"/>
        <v/>
      </c>
      <c r="AM562" s="418" t="str">
        <f t="shared" si="651"/>
        <v/>
      </c>
      <c r="AN562" s="418">
        <f t="shared" si="651"/>
        <v>47520</v>
      </c>
      <c r="AO562" s="418" t="str">
        <f t="shared" si="651"/>
        <v/>
      </c>
      <c r="AP562" s="418" t="str">
        <f t="shared" si="651"/>
        <v/>
      </c>
      <c r="AQ562" s="418" t="str">
        <f t="shared" si="651"/>
        <v/>
      </c>
      <c r="AR562" s="418" t="str">
        <f t="shared" si="651"/>
        <v/>
      </c>
      <c r="AS562" s="418" t="str">
        <f t="shared" si="651"/>
        <v/>
      </c>
      <c r="AT562" s="418" t="str">
        <f t="shared" si="651"/>
        <v/>
      </c>
      <c r="AU562" s="418" t="str">
        <f t="shared" si="651"/>
        <v/>
      </c>
      <c r="AV562" s="418" t="str">
        <f t="shared" si="651"/>
        <v/>
      </c>
      <c r="AW562" s="418" t="str">
        <f t="shared" si="651"/>
        <v/>
      </c>
      <c r="AX562" s="418" t="str">
        <f t="shared" si="651"/>
        <v/>
      </c>
      <c r="AY562" s="418" t="str">
        <f t="shared" si="651"/>
        <v/>
      </c>
      <c r="AZ562" s="418" t="str">
        <f t="shared" si="651"/>
        <v/>
      </c>
      <c r="BA562" s="418" t="str">
        <f t="shared" si="651"/>
        <v/>
      </c>
      <c r="BB562" s="418" t="str">
        <f t="shared" si="651"/>
        <v/>
      </c>
      <c r="BC562" s="418" t="str">
        <f t="shared" si="651"/>
        <v/>
      </c>
      <c r="BD562" s="418" t="str">
        <f t="shared" si="651"/>
        <v/>
      </c>
      <c r="BE562" s="418" t="str">
        <f t="shared" si="651"/>
        <v/>
      </c>
      <c r="BF562" s="418" t="str">
        <f t="shared" si="651"/>
        <v/>
      </c>
      <c r="BG562" s="418" t="str">
        <f t="shared" si="651"/>
        <v/>
      </c>
      <c r="BH562" s="418" t="str">
        <f t="shared" si="651"/>
        <v/>
      </c>
      <c r="BI562" s="418" t="str">
        <f t="shared" si="651"/>
        <v/>
      </c>
      <c r="BJ562" s="418" t="str">
        <f t="shared" si="651"/>
        <v/>
      </c>
      <c r="BK562" s="418" t="str">
        <f t="shared" si="651"/>
        <v/>
      </c>
      <c r="BL562" s="418" t="str">
        <f t="shared" si="651"/>
        <v/>
      </c>
      <c r="BM562" s="418" t="str">
        <f t="shared" si="651"/>
        <v/>
      </c>
      <c r="BN562" s="418" t="str">
        <f t="shared" si="651"/>
        <v/>
      </c>
      <c r="BO562" s="418" t="str">
        <f t="shared" si="651"/>
        <v/>
      </c>
      <c r="BP562" s="418" t="str">
        <f t="shared" si="651"/>
        <v/>
      </c>
      <c r="BQ562" s="418" t="str">
        <f t="shared" si="651"/>
        <v/>
      </c>
      <c r="BR562" s="418" t="str">
        <f t="shared" si="651"/>
        <v/>
      </c>
      <c r="BS562" s="418" t="str">
        <f t="shared" si="651"/>
        <v/>
      </c>
      <c r="BT562" s="418" t="str">
        <f t="shared" si="651"/>
        <v/>
      </c>
      <c r="BU562" s="418" t="str">
        <f t="shared" si="617"/>
        <v/>
      </c>
      <c r="BV562" s="544">
        <v>0.83</v>
      </c>
      <c r="BW562" s="723">
        <f t="shared" si="618"/>
        <v>39441.6</v>
      </c>
      <c r="BX562" s="724">
        <f t="shared" ref="BX562:BX567" si="652">BW562*7.75</f>
        <v>305672.4</v>
      </c>
      <c r="BY562" s="725" t="str">
        <f t="shared" ref="BY562:BY567" si="653">MID(E562,1,2)</f>
        <v>SR</v>
      </c>
    </row>
    <row r="563" s="697" customFormat="1" customHeight="1" spans="1:77">
      <c r="A563" s="179">
        <v>46128</v>
      </c>
      <c r="B563" s="116">
        <v>46217</v>
      </c>
      <c r="C563" s="418" t="s">
        <v>739</v>
      </c>
      <c r="D563" s="418" t="s">
        <v>740</v>
      </c>
      <c r="E563" s="418" t="s">
        <v>96</v>
      </c>
      <c r="F563" s="737">
        <v>960</v>
      </c>
      <c r="G563" s="418" t="s">
        <v>270</v>
      </c>
      <c r="H563" s="118" t="str">
        <f>IFERROR(VLOOKUP(E563,名称!A:E,4,0),"")</f>
        <v>三代</v>
      </c>
      <c r="I563" s="418" t="str">
        <f t="shared" ref="I563:BT563" si="654">IF(OR($E563="",I$1=""),"",IF(TRIM(LEFT($E563,MIN(IFERROR(FIND("CDU",UPPER($E563)),999),IFERROR(FIND("BULK",UPPER($E563)),999),IFERROR(FIND("-",$E563),999),IFERROR(FIND("（",$E563),999))-1))=I$1,$F563,""))</f>
        <v/>
      </c>
      <c r="J563" s="418" t="str">
        <f t="shared" si="654"/>
        <v/>
      </c>
      <c r="K563" s="418" t="str">
        <f t="shared" si="654"/>
        <v/>
      </c>
      <c r="L563" s="418" t="str">
        <f t="shared" si="654"/>
        <v/>
      </c>
      <c r="M563" s="418" t="str">
        <f t="shared" si="654"/>
        <v/>
      </c>
      <c r="N563" s="418" t="str">
        <f t="shared" si="654"/>
        <v/>
      </c>
      <c r="O563" s="418" t="str">
        <f t="shared" si="654"/>
        <v/>
      </c>
      <c r="P563" s="418" t="str">
        <f t="shared" si="654"/>
        <v/>
      </c>
      <c r="Q563" s="418" t="str">
        <f t="shared" si="654"/>
        <v/>
      </c>
      <c r="R563" s="418" t="str">
        <f t="shared" si="654"/>
        <v/>
      </c>
      <c r="S563" s="418" t="str">
        <f t="shared" si="654"/>
        <v/>
      </c>
      <c r="T563" s="418" t="str">
        <f t="shared" si="654"/>
        <v/>
      </c>
      <c r="U563" s="418" t="str">
        <f t="shared" si="654"/>
        <v/>
      </c>
      <c r="V563" s="418" t="str">
        <f t="shared" si="654"/>
        <v/>
      </c>
      <c r="W563" s="418" t="str">
        <f t="shared" si="654"/>
        <v/>
      </c>
      <c r="X563" s="418" t="str">
        <f t="shared" si="654"/>
        <v/>
      </c>
      <c r="Y563" s="418" t="str">
        <f t="shared" si="654"/>
        <v/>
      </c>
      <c r="Z563" s="418" t="str">
        <f t="shared" si="654"/>
        <v/>
      </c>
      <c r="AA563" s="418" t="str">
        <f t="shared" si="654"/>
        <v/>
      </c>
      <c r="AB563" s="418" t="str">
        <f t="shared" si="654"/>
        <v/>
      </c>
      <c r="AC563" s="418" t="str">
        <f t="shared" si="654"/>
        <v/>
      </c>
      <c r="AD563" s="418" t="str">
        <f t="shared" si="654"/>
        <v/>
      </c>
      <c r="AE563" s="418" t="str">
        <f t="shared" si="654"/>
        <v/>
      </c>
      <c r="AF563" s="418" t="str">
        <f t="shared" si="654"/>
        <v/>
      </c>
      <c r="AG563" s="418" t="str">
        <f t="shared" si="654"/>
        <v/>
      </c>
      <c r="AH563" s="418" t="str">
        <f t="shared" si="654"/>
        <v/>
      </c>
      <c r="AI563" s="418" t="str">
        <f t="shared" si="654"/>
        <v/>
      </c>
      <c r="AJ563" s="418" t="str">
        <f t="shared" si="654"/>
        <v/>
      </c>
      <c r="AK563" s="418" t="str">
        <f t="shared" si="654"/>
        <v/>
      </c>
      <c r="AL563" s="418" t="str">
        <f t="shared" si="654"/>
        <v/>
      </c>
      <c r="AM563" s="418" t="str">
        <f t="shared" si="654"/>
        <v/>
      </c>
      <c r="AN563" s="418" t="str">
        <f t="shared" si="654"/>
        <v/>
      </c>
      <c r="AO563" s="418" t="str">
        <f t="shared" si="654"/>
        <v/>
      </c>
      <c r="AP563" s="418" t="str">
        <f t="shared" si="654"/>
        <v/>
      </c>
      <c r="AQ563" s="418" t="str">
        <f t="shared" si="654"/>
        <v/>
      </c>
      <c r="AR563" s="418" t="str">
        <f t="shared" si="654"/>
        <v/>
      </c>
      <c r="AS563" s="418" t="str">
        <f t="shared" si="654"/>
        <v/>
      </c>
      <c r="AT563" s="418" t="str">
        <f t="shared" si="654"/>
        <v/>
      </c>
      <c r="AU563" s="418" t="str">
        <f t="shared" si="654"/>
        <v/>
      </c>
      <c r="AV563" s="418" t="str">
        <f t="shared" si="654"/>
        <v/>
      </c>
      <c r="AW563" s="418" t="str">
        <f t="shared" si="654"/>
        <v/>
      </c>
      <c r="AX563" s="418" t="str">
        <f t="shared" si="654"/>
        <v/>
      </c>
      <c r="AY563" s="418" t="str">
        <f t="shared" si="654"/>
        <v/>
      </c>
      <c r="AZ563" s="418" t="str">
        <f t="shared" si="654"/>
        <v/>
      </c>
      <c r="BA563" s="418">
        <f t="shared" si="654"/>
        <v>960</v>
      </c>
      <c r="BB563" s="418" t="str">
        <f t="shared" si="654"/>
        <v/>
      </c>
      <c r="BC563" s="418" t="str">
        <f t="shared" si="654"/>
        <v/>
      </c>
      <c r="BD563" s="418" t="str">
        <f t="shared" si="654"/>
        <v/>
      </c>
      <c r="BE563" s="418" t="str">
        <f t="shared" si="654"/>
        <v/>
      </c>
      <c r="BF563" s="418" t="str">
        <f t="shared" si="654"/>
        <v/>
      </c>
      <c r="BG563" s="418" t="str">
        <f t="shared" si="654"/>
        <v/>
      </c>
      <c r="BH563" s="418" t="str">
        <f t="shared" si="654"/>
        <v/>
      </c>
      <c r="BI563" s="418" t="str">
        <f t="shared" si="654"/>
        <v/>
      </c>
      <c r="BJ563" s="418" t="str">
        <f t="shared" si="654"/>
        <v/>
      </c>
      <c r="BK563" s="418" t="str">
        <f t="shared" si="654"/>
        <v/>
      </c>
      <c r="BL563" s="418" t="str">
        <f t="shared" si="654"/>
        <v/>
      </c>
      <c r="BM563" s="418" t="str">
        <f t="shared" si="654"/>
        <v/>
      </c>
      <c r="BN563" s="418" t="str">
        <f t="shared" si="654"/>
        <v/>
      </c>
      <c r="BO563" s="418" t="str">
        <f t="shared" si="654"/>
        <v/>
      </c>
      <c r="BP563" s="418" t="str">
        <f t="shared" si="654"/>
        <v/>
      </c>
      <c r="BQ563" s="418" t="str">
        <f t="shared" si="654"/>
        <v/>
      </c>
      <c r="BR563" s="418" t="str">
        <f t="shared" si="654"/>
        <v/>
      </c>
      <c r="BS563" s="418" t="str">
        <f t="shared" si="654"/>
        <v/>
      </c>
      <c r="BT563" s="418" t="str">
        <f t="shared" si="654"/>
        <v/>
      </c>
      <c r="BU563" s="418" t="str">
        <f t="shared" si="617"/>
        <v/>
      </c>
      <c r="BV563" s="544">
        <v>0.59</v>
      </c>
      <c r="BW563" s="723">
        <f t="shared" si="618"/>
        <v>566.4</v>
      </c>
      <c r="BX563" s="724">
        <f t="shared" si="652"/>
        <v>4389.6</v>
      </c>
      <c r="BY563" s="725" t="str">
        <f t="shared" si="653"/>
        <v>SR</v>
      </c>
    </row>
    <row r="564" s="698" customFormat="1" customHeight="1" spans="1:77">
      <c r="A564" s="248">
        <v>46128</v>
      </c>
      <c r="B564" s="208">
        <v>46157</v>
      </c>
      <c r="C564" s="211">
        <v>247400000</v>
      </c>
      <c r="D564" s="211" t="s">
        <v>741</v>
      </c>
      <c r="E564" s="211" t="s">
        <v>88</v>
      </c>
      <c r="F564" s="733">
        <v>53088</v>
      </c>
      <c r="G564" s="211" t="s">
        <v>742</v>
      </c>
      <c r="H564" s="211" t="str">
        <f>IFERROR(VLOOKUP(E564,名称!A:E,4,0),"")</f>
        <v>三代</v>
      </c>
      <c r="I564" s="268" t="str">
        <f t="shared" ref="I564:BT564" si="655">IF(OR($E564="",I$1=""),"",IF(TRIM(LEFT($E564,MIN(IFERROR(FIND("CDU",UPPER($E564)),999),IFERROR(FIND("BULK",UPPER($E564)),999),IFERROR(FIND("-",$E564),999),IFERROR(FIND("（",$E564),999))-1))=I$1,$F564,""))</f>
        <v/>
      </c>
      <c r="J564" s="268" t="str">
        <f t="shared" si="655"/>
        <v/>
      </c>
      <c r="K564" s="268" t="str">
        <f t="shared" si="655"/>
        <v/>
      </c>
      <c r="L564" s="268" t="str">
        <f t="shared" si="655"/>
        <v/>
      </c>
      <c r="M564" s="268" t="str">
        <f t="shared" si="655"/>
        <v/>
      </c>
      <c r="N564" s="268" t="str">
        <f t="shared" si="655"/>
        <v/>
      </c>
      <c r="O564" s="268" t="str">
        <f t="shared" si="655"/>
        <v/>
      </c>
      <c r="P564" s="268" t="str">
        <f t="shared" si="655"/>
        <v/>
      </c>
      <c r="Q564" s="268" t="str">
        <f t="shared" si="655"/>
        <v/>
      </c>
      <c r="R564" s="268" t="str">
        <f t="shared" si="655"/>
        <v/>
      </c>
      <c r="S564" s="268" t="str">
        <f t="shared" si="655"/>
        <v/>
      </c>
      <c r="T564" s="268" t="str">
        <f t="shared" si="655"/>
        <v/>
      </c>
      <c r="U564" s="268" t="str">
        <f t="shared" si="655"/>
        <v/>
      </c>
      <c r="V564" s="268" t="str">
        <f t="shared" si="655"/>
        <v/>
      </c>
      <c r="W564" s="268" t="str">
        <f t="shared" si="655"/>
        <v/>
      </c>
      <c r="X564" s="268" t="str">
        <f t="shared" si="655"/>
        <v/>
      </c>
      <c r="Y564" s="268" t="str">
        <f t="shared" si="655"/>
        <v/>
      </c>
      <c r="Z564" s="268" t="str">
        <f t="shared" si="655"/>
        <v/>
      </c>
      <c r="AA564" s="268" t="str">
        <f t="shared" si="655"/>
        <v/>
      </c>
      <c r="AB564" s="268" t="str">
        <f t="shared" si="655"/>
        <v/>
      </c>
      <c r="AC564" s="268" t="str">
        <f t="shared" si="655"/>
        <v/>
      </c>
      <c r="AD564" s="268" t="str">
        <f t="shared" si="655"/>
        <v/>
      </c>
      <c r="AE564" s="268" t="str">
        <f t="shared" si="655"/>
        <v/>
      </c>
      <c r="AF564" s="268" t="str">
        <f t="shared" si="655"/>
        <v/>
      </c>
      <c r="AG564" s="268" t="str">
        <f t="shared" si="655"/>
        <v/>
      </c>
      <c r="AH564" s="268" t="str">
        <f t="shared" si="655"/>
        <v/>
      </c>
      <c r="AI564" s="268" t="str">
        <f t="shared" si="655"/>
        <v/>
      </c>
      <c r="AJ564" s="268" t="str">
        <f t="shared" si="655"/>
        <v/>
      </c>
      <c r="AK564" s="268" t="str">
        <f t="shared" si="655"/>
        <v/>
      </c>
      <c r="AL564" s="268" t="str">
        <f t="shared" si="655"/>
        <v/>
      </c>
      <c r="AM564" s="268" t="str">
        <f t="shared" si="655"/>
        <v/>
      </c>
      <c r="AN564" s="268" t="str">
        <f t="shared" si="655"/>
        <v/>
      </c>
      <c r="AO564" s="268" t="str">
        <f t="shared" si="655"/>
        <v/>
      </c>
      <c r="AP564" s="268" t="str">
        <f t="shared" si="655"/>
        <v/>
      </c>
      <c r="AQ564" s="268" t="str">
        <f t="shared" si="655"/>
        <v/>
      </c>
      <c r="AR564" s="268" t="str">
        <f t="shared" si="655"/>
        <v/>
      </c>
      <c r="AS564" s="268" t="str">
        <f t="shared" si="655"/>
        <v/>
      </c>
      <c r="AT564" s="268">
        <f t="shared" si="655"/>
        <v>53088</v>
      </c>
      <c r="AU564" s="268" t="str">
        <f t="shared" si="655"/>
        <v/>
      </c>
      <c r="AV564" s="268" t="str">
        <f t="shared" si="655"/>
        <v/>
      </c>
      <c r="AW564" s="268" t="str">
        <f t="shared" si="655"/>
        <v/>
      </c>
      <c r="AX564" s="268" t="str">
        <f t="shared" si="655"/>
        <v/>
      </c>
      <c r="AY564" s="268" t="str">
        <f t="shared" si="655"/>
        <v/>
      </c>
      <c r="AZ564" s="268" t="str">
        <f t="shared" si="655"/>
        <v/>
      </c>
      <c r="BA564" s="268" t="str">
        <f t="shared" si="655"/>
        <v/>
      </c>
      <c r="BB564" s="268" t="str">
        <f t="shared" si="655"/>
        <v/>
      </c>
      <c r="BC564" s="268" t="str">
        <f t="shared" si="655"/>
        <v/>
      </c>
      <c r="BD564" s="268" t="str">
        <f t="shared" si="655"/>
        <v/>
      </c>
      <c r="BE564" s="268" t="str">
        <f t="shared" si="655"/>
        <v/>
      </c>
      <c r="BF564" s="268" t="str">
        <f t="shared" si="655"/>
        <v/>
      </c>
      <c r="BG564" s="268" t="str">
        <f t="shared" si="655"/>
        <v/>
      </c>
      <c r="BH564" s="268" t="str">
        <f t="shared" si="655"/>
        <v/>
      </c>
      <c r="BI564" s="268" t="str">
        <f t="shared" si="655"/>
        <v/>
      </c>
      <c r="BJ564" s="268" t="str">
        <f t="shared" si="655"/>
        <v/>
      </c>
      <c r="BK564" s="268" t="str">
        <f t="shared" si="655"/>
        <v/>
      </c>
      <c r="BL564" s="268" t="str">
        <f t="shared" si="655"/>
        <v/>
      </c>
      <c r="BM564" s="268" t="str">
        <f t="shared" si="655"/>
        <v/>
      </c>
      <c r="BN564" s="268" t="str">
        <f t="shared" si="655"/>
        <v/>
      </c>
      <c r="BO564" s="268" t="str">
        <f t="shared" si="655"/>
        <v/>
      </c>
      <c r="BP564" s="268" t="str">
        <f t="shared" si="655"/>
        <v/>
      </c>
      <c r="BQ564" s="268" t="str">
        <f t="shared" si="655"/>
        <v/>
      </c>
      <c r="BR564" s="268" t="str">
        <f t="shared" si="655"/>
        <v/>
      </c>
      <c r="BS564" s="268" t="str">
        <f t="shared" si="655"/>
        <v/>
      </c>
      <c r="BT564" s="268" t="str">
        <f t="shared" si="655"/>
        <v/>
      </c>
      <c r="BU564" s="268" t="str">
        <f t="shared" si="617"/>
        <v/>
      </c>
      <c r="BV564" s="353">
        <v>0.8</v>
      </c>
      <c r="BW564" s="729">
        <f t="shared" si="618"/>
        <v>42470.4</v>
      </c>
      <c r="BX564" s="730">
        <f t="shared" si="652"/>
        <v>329145.6</v>
      </c>
      <c r="BY564" s="731" t="str">
        <f t="shared" si="653"/>
        <v>SR</v>
      </c>
    </row>
    <row r="565" s="698" customFormat="1" customHeight="1" spans="1:77">
      <c r="A565" s="248">
        <v>46128</v>
      </c>
      <c r="B565" s="208">
        <v>46188</v>
      </c>
      <c r="C565" s="211">
        <v>247400000</v>
      </c>
      <c r="D565" s="211" t="s">
        <v>741</v>
      </c>
      <c r="E565" s="211" t="s">
        <v>88</v>
      </c>
      <c r="F565" s="733">
        <f>65280+12192+30000</f>
        <v>107472</v>
      </c>
      <c r="G565" s="211" t="s">
        <v>742</v>
      </c>
      <c r="H565" s="211" t="str">
        <f>IFERROR(VLOOKUP(E565,名称!A:E,4,0),"")</f>
        <v>三代</v>
      </c>
      <c r="I565" s="268" t="str">
        <f t="shared" ref="I565:BT565" si="656">IF(OR($E565="",I$1=""),"",IF(TRIM(LEFT($E565,MIN(IFERROR(FIND("CDU",UPPER($E565)),999),IFERROR(FIND("BULK",UPPER($E565)),999),IFERROR(FIND("-",$E565),999),IFERROR(FIND("（",$E565),999))-1))=I$1,$F565,""))</f>
        <v/>
      </c>
      <c r="J565" s="268" t="str">
        <f t="shared" si="656"/>
        <v/>
      </c>
      <c r="K565" s="268" t="str">
        <f t="shared" si="656"/>
        <v/>
      </c>
      <c r="L565" s="268" t="str">
        <f t="shared" si="656"/>
        <v/>
      </c>
      <c r="M565" s="268" t="str">
        <f t="shared" si="656"/>
        <v/>
      </c>
      <c r="N565" s="268" t="str">
        <f t="shared" si="656"/>
        <v/>
      </c>
      <c r="O565" s="268" t="str">
        <f t="shared" si="656"/>
        <v/>
      </c>
      <c r="P565" s="268" t="str">
        <f t="shared" si="656"/>
        <v/>
      </c>
      <c r="Q565" s="268" t="str">
        <f t="shared" si="656"/>
        <v/>
      </c>
      <c r="R565" s="268" t="str">
        <f t="shared" si="656"/>
        <v/>
      </c>
      <c r="S565" s="268" t="str">
        <f t="shared" si="656"/>
        <v/>
      </c>
      <c r="T565" s="268" t="str">
        <f t="shared" si="656"/>
        <v/>
      </c>
      <c r="U565" s="268" t="str">
        <f t="shared" si="656"/>
        <v/>
      </c>
      <c r="V565" s="268" t="str">
        <f t="shared" si="656"/>
        <v/>
      </c>
      <c r="W565" s="268" t="str">
        <f t="shared" si="656"/>
        <v/>
      </c>
      <c r="X565" s="268" t="str">
        <f t="shared" si="656"/>
        <v/>
      </c>
      <c r="Y565" s="268" t="str">
        <f t="shared" si="656"/>
        <v/>
      </c>
      <c r="Z565" s="268" t="str">
        <f t="shared" si="656"/>
        <v/>
      </c>
      <c r="AA565" s="268" t="str">
        <f t="shared" si="656"/>
        <v/>
      </c>
      <c r="AB565" s="268" t="str">
        <f t="shared" si="656"/>
        <v/>
      </c>
      <c r="AC565" s="268" t="str">
        <f t="shared" si="656"/>
        <v/>
      </c>
      <c r="AD565" s="268" t="str">
        <f t="shared" si="656"/>
        <v/>
      </c>
      <c r="AE565" s="268" t="str">
        <f t="shared" si="656"/>
        <v/>
      </c>
      <c r="AF565" s="268" t="str">
        <f t="shared" si="656"/>
        <v/>
      </c>
      <c r="AG565" s="268" t="str">
        <f t="shared" si="656"/>
        <v/>
      </c>
      <c r="AH565" s="268" t="str">
        <f t="shared" si="656"/>
        <v/>
      </c>
      <c r="AI565" s="268" t="str">
        <f t="shared" si="656"/>
        <v/>
      </c>
      <c r="AJ565" s="268" t="str">
        <f t="shared" si="656"/>
        <v/>
      </c>
      <c r="AK565" s="268" t="str">
        <f t="shared" si="656"/>
        <v/>
      </c>
      <c r="AL565" s="268" t="str">
        <f t="shared" si="656"/>
        <v/>
      </c>
      <c r="AM565" s="268" t="str">
        <f t="shared" si="656"/>
        <v/>
      </c>
      <c r="AN565" s="268" t="str">
        <f t="shared" si="656"/>
        <v/>
      </c>
      <c r="AO565" s="268" t="str">
        <f t="shared" si="656"/>
        <v/>
      </c>
      <c r="AP565" s="268" t="str">
        <f t="shared" si="656"/>
        <v/>
      </c>
      <c r="AQ565" s="268" t="str">
        <f t="shared" si="656"/>
        <v/>
      </c>
      <c r="AR565" s="268" t="str">
        <f t="shared" si="656"/>
        <v/>
      </c>
      <c r="AS565" s="268" t="str">
        <f t="shared" si="656"/>
        <v/>
      </c>
      <c r="AT565" s="268">
        <f t="shared" si="656"/>
        <v>107472</v>
      </c>
      <c r="AU565" s="268" t="str">
        <f t="shared" si="656"/>
        <v/>
      </c>
      <c r="AV565" s="268" t="str">
        <f t="shared" si="656"/>
        <v/>
      </c>
      <c r="AW565" s="268" t="str">
        <f t="shared" si="656"/>
        <v/>
      </c>
      <c r="AX565" s="268" t="str">
        <f t="shared" si="656"/>
        <v/>
      </c>
      <c r="AY565" s="268" t="str">
        <f t="shared" si="656"/>
        <v/>
      </c>
      <c r="AZ565" s="268" t="str">
        <f t="shared" si="656"/>
        <v/>
      </c>
      <c r="BA565" s="268" t="str">
        <f t="shared" si="656"/>
        <v/>
      </c>
      <c r="BB565" s="268" t="str">
        <f t="shared" si="656"/>
        <v/>
      </c>
      <c r="BC565" s="268" t="str">
        <f t="shared" si="656"/>
        <v/>
      </c>
      <c r="BD565" s="268" t="str">
        <f t="shared" si="656"/>
        <v/>
      </c>
      <c r="BE565" s="268" t="str">
        <f t="shared" si="656"/>
        <v/>
      </c>
      <c r="BF565" s="268" t="str">
        <f t="shared" si="656"/>
        <v/>
      </c>
      <c r="BG565" s="268" t="str">
        <f t="shared" si="656"/>
        <v/>
      </c>
      <c r="BH565" s="268" t="str">
        <f t="shared" si="656"/>
        <v/>
      </c>
      <c r="BI565" s="268" t="str">
        <f t="shared" si="656"/>
        <v/>
      </c>
      <c r="BJ565" s="268" t="str">
        <f t="shared" si="656"/>
        <v/>
      </c>
      <c r="BK565" s="268" t="str">
        <f t="shared" si="656"/>
        <v/>
      </c>
      <c r="BL565" s="268" t="str">
        <f t="shared" si="656"/>
        <v/>
      </c>
      <c r="BM565" s="268" t="str">
        <f t="shared" si="656"/>
        <v/>
      </c>
      <c r="BN565" s="268" t="str">
        <f t="shared" si="656"/>
        <v/>
      </c>
      <c r="BO565" s="268" t="str">
        <f t="shared" si="656"/>
        <v/>
      </c>
      <c r="BP565" s="268" t="str">
        <f t="shared" si="656"/>
        <v/>
      </c>
      <c r="BQ565" s="268" t="str">
        <f t="shared" si="656"/>
        <v/>
      </c>
      <c r="BR565" s="268" t="str">
        <f t="shared" si="656"/>
        <v/>
      </c>
      <c r="BS565" s="268" t="str">
        <f t="shared" si="656"/>
        <v/>
      </c>
      <c r="BT565" s="268" t="str">
        <f t="shared" si="656"/>
        <v/>
      </c>
      <c r="BU565" s="268" t="str">
        <f t="shared" si="617"/>
        <v/>
      </c>
      <c r="BV565" s="353">
        <v>0.8</v>
      </c>
      <c r="BW565" s="729">
        <f t="shared" si="618"/>
        <v>85977.6</v>
      </c>
      <c r="BX565" s="730">
        <f t="shared" si="652"/>
        <v>666326.4</v>
      </c>
      <c r="BY565" s="731" t="str">
        <f t="shared" si="653"/>
        <v>SR</v>
      </c>
    </row>
    <row r="566" s="698" customFormat="1" customHeight="1" spans="1:77">
      <c r="A566" s="248">
        <v>46128</v>
      </c>
      <c r="B566" s="208">
        <v>46204</v>
      </c>
      <c r="C566" s="211">
        <v>247400000</v>
      </c>
      <c r="D566" s="211" t="s">
        <v>741</v>
      </c>
      <c r="E566" s="211" t="s">
        <v>88</v>
      </c>
      <c r="F566" s="733">
        <f>65280-30000+72192</f>
        <v>107472</v>
      </c>
      <c r="G566" s="211" t="s">
        <v>742</v>
      </c>
      <c r="H566" s="211" t="str">
        <f>IFERROR(VLOOKUP(E566,名称!A:E,4,0),"")</f>
        <v>三代</v>
      </c>
      <c r="I566" s="268" t="str">
        <f t="shared" ref="I566:BT566" si="657">IF(OR($E566="",I$1=""),"",IF(TRIM(LEFT($E566,MIN(IFERROR(FIND("CDU",UPPER($E566)),999),IFERROR(FIND("BULK",UPPER($E566)),999),IFERROR(FIND("-",$E566),999),IFERROR(FIND("（",$E566),999))-1))=I$1,$F566,""))</f>
        <v/>
      </c>
      <c r="J566" s="268" t="str">
        <f t="shared" si="657"/>
        <v/>
      </c>
      <c r="K566" s="268" t="str">
        <f t="shared" si="657"/>
        <v/>
      </c>
      <c r="L566" s="268" t="str">
        <f t="shared" si="657"/>
        <v/>
      </c>
      <c r="M566" s="268" t="str">
        <f t="shared" si="657"/>
        <v/>
      </c>
      <c r="N566" s="268" t="str">
        <f t="shared" si="657"/>
        <v/>
      </c>
      <c r="O566" s="268" t="str">
        <f t="shared" si="657"/>
        <v/>
      </c>
      <c r="P566" s="268" t="str">
        <f t="shared" si="657"/>
        <v/>
      </c>
      <c r="Q566" s="268" t="str">
        <f t="shared" si="657"/>
        <v/>
      </c>
      <c r="R566" s="268" t="str">
        <f t="shared" si="657"/>
        <v/>
      </c>
      <c r="S566" s="268" t="str">
        <f t="shared" si="657"/>
        <v/>
      </c>
      <c r="T566" s="268" t="str">
        <f t="shared" si="657"/>
        <v/>
      </c>
      <c r="U566" s="268" t="str">
        <f t="shared" si="657"/>
        <v/>
      </c>
      <c r="V566" s="268" t="str">
        <f t="shared" si="657"/>
        <v/>
      </c>
      <c r="W566" s="268" t="str">
        <f t="shared" si="657"/>
        <v/>
      </c>
      <c r="X566" s="268" t="str">
        <f t="shared" si="657"/>
        <v/>
      </c>
      <c r="Y566" s="268" t="str">
        <f t="shared" si="657"/>
        <v/>
      </c>
      <c r="Z566" s="268" t="str">
        <f t="shared" si="657"/>
        <v/>
      </c>
      <c r="AA566" s="268" t="str">
        <f t="shared" si="657"/>
        <v/>
      </c>
      <c r="AB566" s="268" t="str">
        <f t="shared" si="657"/>
        <v/>
      </c>
      <c r="AC566" s="268" t="str">
        <f t="shared" si="657"/>
        <v/>
      </c>
      <c r="AD566" s="268" t="str">
        <f t="shared" si="657"/>
        <v/>
      </c>
      <c r="AE566" s="268" t="str">
        <f t="shared" si="657"/>
        <v/>
      </c>
      <c r="AF566" s="268" t="str">
        <f t="shared" si="657"/>
        <v/>
      </c>
      <c r="AG566" s="268" t="str">
        <f t="shared" si="657"/>
        <v/>
      </c>
      <c r="AH566" s="268" t="str">
        <f t="shared" si="657"/>
        <v/>
      </c>
      <c r="AI566" s="268" t="str">
        <f t="shared" si="657"/>
        <v/>
      </c>
      <c r="AJ566" s="268" t="str">
        <f t="shared" si="657"/>
        <v/>
      </c>
      <c r="AK566" s="268" t="str">
        <f t="shared" si="657"/>
        <v/>
      </c>
      <c r="AL566" s="268" t="str">
        <f t="shared" si="657"/>
        <v/>
      </c>
      <c r="AM566" s="268" t="str">
        <f t="shared" si="657"/>
        <v/>
      </c>
      <c r="AN566" s="268" t="str">
        <f t="shared" si="657"/>
        <v/>
      </c>
      <c r="AO566" s="268" t="str">
        <f t="shared" si="657"/>
        <v/>
      </c>
      <c r="AP566" s="268" t="str">
        <f t="shared" si="657"/>
        <v/>
      </c>
      <c r="AQ566" s="268" t="str">
        <f t="shared" si="657"/>
        <v/>
      </c>
      <c r="AR566" s="268" t="str">
        <f t="shared" si="657"/>
        <v/>
      </c>
      <c r="AS566" s="268" t="str">
        <f t="shared" si="657"/>
        <v/>
      </c>
      <c r="AT566" s="268">
        <f t="shared" si="657"/>
        <v>107472</v>
      </c>
      <c r="AU566" s="268" t="str">
        <f t="shared" si="657"/>
        <v/>
      </c>
      <c r="AV566" s="268" t="str">
        <f t="shared" si="657"/>
        <v/>
      </c>
      <c r="AW566" s="268" t="str">
        <f t="shared" si="657"/>
        <v/>
      </c>
      <c r="AX566" s="268" t="str">
        <f t="shared" si="657"/>
        <v/>
      </c>
      <c r="AY566" s="268" t="str">
        <f t="shared" si="657"/>
        <v/>
      </c>
      <c r="AZ566" s="268" t="str">
        <f t="shared" si="657"/>
        <v/>
      </c>
      <c r="BA566" s="268" t="str">
        <f t="shared" si="657"/>
        <v/>
      </c>
      <c r="BB566" s="268" t="str">
        <f t="shared" si="657"/>
        <v/>
      </c>
      <c r="BC566" s="268" t="str">
        <f t="shared" si="657"/>
        <v/>
      </c>
      <c r="BD566" s="268" t="str">
        <f t="shared" si="657"/>
        <v/>
      </c>
      <c r="BE566" s="268" t="str">
        <f t="shared" si="657"/>
        <v/>
      </c>
      <c r="BF566" s="268" t="str">
        <f t="shared" si="657"/>
        <v/>
      </c>
      <c r="BG566" s="268" t="str">
        <f t="shared" si="657"/>
        <v/>
      </c>
      <c r="BH566" s="268" t="str">
        <f t="shared" si="657"/>
        <v/>
      </c>
      <c r="BI566" s="268" t="str">
        <f t="shared" si="657"/>
        <v/>
      </c>
      <c r="BJ566" s="268" t="str">
        <f t="shared" si="657"/>
        <v/>
      </c>
      <c r="BK566" s="268" t="str">
        <f t="shared" si="657"/>
        <v/>
      </c>
      <c r="BL566" s="268" t="str">
        <f t="shared" si="657"/>
        <v/>
      </c>
      <c r="BM566" s="268" t="str">
        <f t="shared" si="657"/>
        <v/>
      </c>
      <c r="BN566" s="268" t="str">
        <f t="shared" si="657"/>
        <v/>
      </c>
      <c r="BO566" s="268" t="str">
        <f t="shared" si="657"/>
        <v/>
      </c>
      <c r="BP566" s="268" t="str">
        <f t="shared" si="657"/>
        <v/>
      </c>
      <c r="BQ566" s="268" t="str">
        <f t="shared" si="657"/>
        <v/>
      </c>
      <c r="BR566" s="268" t="str">
        <f t="shared" si="657"/>
        <v/>
      </c>
      <c r="BS566" s="268" t="str">
        <f t="shared" si="657"/>
        <v/>
      </c>
      <c r="BT566" s="268" t="str">
        <f t="shared" si="657"/>
        <v/>
      </c>
      <c r="BU566" s="268" t="str">
        <f t="shared" si="617"/>
        <v/>
      </c>
      <c r="BV566" s="247">
        <v>0.8</v>
      </c>
      <c r="BW566" s="729">
        <f t="shared" si="618"/>
        <v>85977.6</v>
      </c>
      <c r="BX566" s="730">
        <f t="shared" si="652"/>
        <v>666326.4</v>
      </c>
      <c r="BY566" s="731" t="str">
        <f t="shared" si="653"/>
        <v>SR</v>
      </c>
    </row>
    <row r="567" s="698" customFormat="1" customHeight="1" spans="1:77">
      <c r="A567" s="248">
        <v>46128</v>
      </c>
      <c r="B567" s="208">
        <v>46204</v>
      </c>
      <c r="C567" s="211">
        <v>247400000</v>
      </c>
      <c r="D567" s="211" t="s">
        <v>741</v>
      </c>
      <c r="E567" s="211" t="s">
        <v>88</v>
      </c>
      <c r="F567" s="733">
        <v>6696</v>
      </c>
      <c r="G567" s="211" t="s">
        <v>742</v>
      </c>
      <c r="H567" s="211" t="str">
        <f>IFERROR(VLOOKUP(E567,名称!A:E,4,0),"")</f>
        <v>三代</v>
      </c>
      <c r="I567" s="268" t="str">
        <f t="shared" ref="I567:BT567" si="658">IF(OR($E567="",I$1=""),"",IF(TRIM(LEFT($E567,MIN(IFERROR(FIND("CDU",UPPER($E567)),999),IFERROR(FIND("BULK",UPPER($E567)),999),IFERROR(FIND("-",$E567),999),IFERROR(FIND("（",$E567),999))-1))=I$1,$F567,""))</f>
        <v/>
      </c>
      <c r="J567" s="268" t="str">
        <f t="shared" si="658"/>
        <v/>
      </c>
      <c r="K567" s="268" t="str">
        <f t="shared" si="658"/>
        <v/>
      </c>
      <c r="L567" s="268" t="str">
        <f t="shared" si="658"/>
        <v/>
      </c>
      <c r="M567" s="268" t="str">
        <f t="shared" si="658"/>
        <v/>
      </c>
      <c r="N567" s="268" t="str">
        <f t="shared" si="658"/>
        <v/>
      </c>
      <c r="O567" s="268" t="str">
        <f t="shared" si="658"/>
        <v/>
      </c>
      <c r="P567" s="268" t="str">
        <f t="shared" si="658"/>
        <v/>
      </c>
      <c r="Q567" s="268" t="str">
        <f t="shared" si="658"/>
        <v/>
      </c>
      <c r="R567" s="268" t="str">
        <f t="shared" si="658"/>
        <v/>
      </c>
      <c r="S567" s="268" t="str">
        <f t="shared" si="658"/>
        <v/>
      </c>
      <c r="T567" s="268" t="str">
        <f t="shared" si="658"/>
        <v/>
      </c>
      <c r="U567" s="268" t="str">
        <f t="shared" si="658"/>
        <v/>
      </c>
      <c r="V567" s="268" t="str">
        <f t="shared" si="658"/>
        <v/>
      </c>
      <c r="W567" s="268" t="str">
        <f t="shared" si="658"/>
        <v/>
      </c>
      <c r="X567" s="268" t="str">
        <f t="shared" si="658"/>
        <v/>
      </c>
      <c r="Y567" s="268" t="str">
        <f t="shared" si="658"/>
        <v/>
      </c>
      <c r="Z567" s="268" t="str">
        <f t="shared" si="658"/>
        <v/>
      </c>
      <c r="AA567" s="268" t="str">
        <f t="shared" si="658"/>
        <v/>
      </c>
      <c r="AB567" s="268" t="str">
        <f t="shared" si="658"/>
        <v/>
      </c>
      <c r="AC567" s="268" t="str">
        <f t="shared" si="658"/>
        <v/>
      </c>
      <c r="AD567" s="268" t="str">
        <f t="shared" si="658"/>
        <v/>
      </c>
      <c r="AE567" s="268" t="str">
        <f t="shared" si="658"/>
        <v/>
      </c>
      <c r="AF567" s="268" t="str">
        <f t="shared" si="658"/>
        <v/>
      </c>
      <c r="AG567" s="268" t="str">
        <f t="shared" si="658"/>
        <v/>
      </c>
      <c r="AH567" s="268" t="str">
        <f t="shared" si="658"/>
        <v/>
      </c>
      <c r="AI567" s="268" t="str">
        <f t="shared" si="658"/>
        <v/>
      </c>
      <c r="AJ567" s="268" t="str">
        <f t="shared" si="658"/>
        <v/>
      </c>
      <c r="AK567" s="268" t="str">
        <f t="shared" si="658"/>
        <v/>
      </c>
      <c r="AL567" s="268" t="str">
        <f t="shared" si="658"/>
        <v/>
      </c>
      <c r="AM567" s="268" t="str">
        <f t="shared" si="658"/>
        <v/>
      </c>
      <c r="AN567" s="268" t="str">
        <f t="shared" si="658"/>
        <v/>
      </c>
      <c r="AO567" s="268" t="str">
        <f t="shared" si="658"/>
        <v/>
      </c>
      <c r="AP567" s="268" t="str">
        <f t="shared" si="658"/>
        <v/>
      </c>
      <c r="AQ567" s="268" t="str">
        <f t="shared" si="658"/>
        <v/>
      </c>
      <c r="AR567" s="268" t="str">
        <f t="shared" si="658"/>
        <v/>
      </c>
      <c r="AS567" s="268" t="str">
        <f t="shared" si="658"/>
        <v/>
      </c>
      <c r="AT567" s="268">
        <f t="shared" si="658"/>
        <v>6696</v>
      </c>
      <c r="AU567" s="268" t="str">
        <f t="shared" si="658"/>
        <v/>
      </c>
      <c r="AV567" s="268" t="str">
        <f t="shared" si="658"/>
        <v/>
      </c>
      <c r="AW567" s="268" t="str">
        <f t="shared" si="658"/>
        <v/>
      </c>
      <c r="AX567" s="268" t="str">
        <f t="shared" si="658"/>
        <v/>
      </c>
      <c r="AY567" s="268" t="str">
        <f t="shared" si="658"/>
        <v/>
      </c>
      <c r="AZ567" s="268" t="str">
        <f t="shared" si="658"/>
        <v/>
      </c>
      <c r="BA567" s="268" t="str">
        <f t="shared" si="658"/>
        <v/>
      </c>
      <c r="BB567" s="268" t="str">
        <f t="shared" si="658"/>
        <v/>
      </c>
      <c r="BC567" s="268" t="str">
        <f t="shared" si="658"/>
        <v/>
      </c>
      <c r="BD567" s="268" t="str">
        <f t="shared" si="658"/>
        <v/>
      </c>
      <c r="BE567" s="268" t="str">
        <f t="shared" si="658"/>
        <v/>
      </c>
      <c r="BF567" s="268" t="str">
        <f t="shared" si="658"/>
        <v/>
      </c>
      <c r="BG567" s="268" t="str">
        <f t="shared" si="658"/>
        <v/>
      </c>
      <c r="BH567" s="268" t="str">
        <f t="shared" si="658"/>
        <v/>
      </c>
      <c r="BI567" s="268" t="str">
        <f t="shared" si="658"/>
        <v/>
      </c>
      <c r="BJ567" s="268" t="str">
        <f t="shared" si="658"/>
        <v/>
      </c>
      <c r="BK567" s="268" t="str">
        <f t="shared" si="658"/>
        <v/>
      </c>
      <c r="BL567" s="268" t="str">
        <f t="shared" si="658"/>
        <v/>
      </c>
      <c r="BM567" s="268" t="str">
        <f t="shared" si="658"/>
        <v/>
      </c>
      <c r="BN567" s="268" t="str">
        <f t="shared" si="658"/>
        <v/>
      </c>
      <c r="BO567" s="268" t="str">
        <f t="shared" si="658"/>
        <v/>
      </c>
      <c r="BP567" s="268" t="str">
        <f t="shared" si="658"/>
        <v/>
      </c>
      <c r="BQ567" s="268" t="str">
        <f t="shared" si="658"/>
        <v/>
      </c>
      <c r="BR567" s="268" t="str">
        <f t="shared" si="658"/>
        <v/>
      </c>
      <c r="BS567" s="268" t="str">
        <f t="shared" si="658"/>
        <v/>
      </c>
      <c r="BT567" s="268" t="str">
        <f t="shared" si="658"/>
        <v/>
      </c>
      <c r="BU567" s="268" t="str">
        <f t="shared" si="617"/>
        <v/>
      </c>
      <c r="BV567" s="247">
        <v>0.8</v>
      </c>
      <c r="BW567" s="729">
        <f t="shared" si="618"/>
        <v>5356.8</v>
      </c>
      <c r="BX567" s="730">
        <f t="shared" si="652"/>
        <v>41515.2</v>
      </c>
      <c r="BY567" s="731" t="str">
        <f t="shared" si="653"/>
        <v>SR</v>
      </c>
    </row>
    <row r="568" s="697" customFormat="1" customHeight="1" spans="1:77">
      <c r="A568" s="179">
        <v>46128</v>
      </c>
      <c r="B568" s="116">
        <v>46204</v>
      </c>
      <c r="C568" s="118">
        <v>247400000</v>
      </c>
      <c r="D568" s="118" t="s">
        <v>741</v>
      </c>
      <c r="E568" s="118" t="s">
        <v>88</v>
      </c>
      <c r="F568" s="738">
        <f>78912-72192-6696</f>
        <v>24</v>
      </c>
      <c r="G568" s="118" t="s">
        <v>742</v>
      </c>
      <c r="H568" s="118" t="str">
        <f>IFERROR(VLOOKUP(E568,名称!A:E,4,0),"")</f>
        <v>三代</v>
      </c>
      <c r="I568" s="418" t="str">
        <f t="shared" ref="I568:BT568" si="659">IF(OR($E568="",I$1=""),"",IF(TRIM(LEFT($E568,MIN(IFERROR(FIND("CDU",UPPER($E568)),999),IFERROR(FIND("BULK",UPPER($E568)),999),IFERROR(FIND("-",$E568),999),IFERROR(FIND("（",$E568),999))-1))=I$1,$F568,""))</f>
        <v/>
      </c>
      <c r="J568" s="418" t="str">
        <f t="shared" si="659"/>
        <v/>
      </c>
      <c r="K568" s="418" t="str">
        <f t="shared" si="659"/>
        <v/>
      </c>
      <c r="L568" s="418" t="str">
        <f t="shared" si="659"/>
        <v/>
      </c>
      <c r="M568" s="418" t="str">
        <f t="shared" si="659"/>
        <v/>
      </c>
      <c r="N568" s="418" t="str">
        <f t="shared" si="659"/>
        <v/>
      </c>
      <c r="O568" s="418" t="str">
        <f t="shared" si="659"/>
        <v/>
      </c>
      <c r="P568" s="418" t="str">
        <f t="shared" si="659"/>
        <v/>
      </c>
      <c r="Q568" s="418" t="str">
        <f t="shared" si="659"/>
        <v/>
      </c>
      <c r="R568" s="418" t="str">
        <f t="shared" si="659"/>
        <v/>
      </c>
      <c r="S568" s="418" t="str">
        <f t="shared" si="659"/>
        <v/>
      </c>
      <c r="T568" s="418" t="str">
        <f t="shared" si="659"/>
        <v/>
      </c>
      <c r="U568" s="418" t="str">
        <f t="shared" si="659"/>
        <v/>
      </c>
      <c r="V568" s="418" t="str">
        <f t="shared" si="659"/>
        <v/>
      </c>
      <c r="W568" s="418" t="str">
        <f t="shared" si="659"/>
        <v/>
      </c>
      <c r="X568" s="418" t="str">
        <f t="shared" si="659"/>
        <v/>
      </c>
      <c r="Y568" s="418" t="str">
        <f t="shared" si="659"/>
        <v/>
      </c>
      <c r="Z568" s="418" t="str">
        <f t="shared" si="659"/>
        <v/>
      </c>
      <c r="AA568" s="418" t="str">
        <f t="shared" si="659"/>
        <v/>
      </c>
      <c r="AB568" s="418" t="str">
        <f t="shared" si="659"/>
        <v/>
      </c>
      <c r="AC568" s="418" t="str">
        <f t="shared" si="659"/>
        <v/>
      </c>
      <c r="AD568" s="418" t="str">
        <f t="shared" si="659"/>
        <v/>
      </c>
      <c r="AE568" s="418" t="str">
        <f t="shared" si="659"/>
        <v/>
      </c>
      <c r="AF568" s="418" t="str">
        <f t="shared" si="659"/>
        <v/>
      </c>
      <c r="AG568" s="418" t="str">
        <f t="shared" si="659"/>
        <v/>
      </c>
      <c r="AH568" s="418" t="str">
        <f t="shared" si="659"/>
        <v/>
      </c>
      <c r="AI568" s="418" t="str">
        <f t="shared" si="659"/>
        <v/>
      </c>
      <c r="AJ568" s="418" t="str">
        <f t="shared" si="659"/>
        <v/>
      </c>
      <c r="AK568" s="418" t="str">
        <f t="shared" si="659"/>
        <v/>
      </c>
      <c r="AL568" s="418" t="str">
        <f t="shared" si="659"/>
        <v/>
      </c>
      <c r="AM568" s="418" t="str">
        <f t="shared" si="659"/>
        <v/>
      </c>
      <c r="AN568" s="418" t="str">
        <f t="shared" si="659"/>
        <v/>
      </c>
      <c r="AO568" s="418" t="str">
        <f t="shared" si="659"/>
        <v/>
      </c>
      <c r="AP568" s="418" t="str">
        <f t="shared" si="659"/>
        <v/>
      </c>
      <c r="AQ568" s="418" t="str">
        <f t="shared" si="659"/>
        <v/>
      </c>
      <c r="AR568" s="418" t="str">
        <f t="shared" si="659"/>
        <v/>
      </c>
      <c r="AS568" s="418" t="str">
        <f t="shared" si="659"/>
        <v/>
      </c>
      <c r="AT568" s="418">
        <f t="shared" si="659"/>
        <v>24</v>
      </c>
      <c r="AU568" s="418" t="str">
        <f t="shared" si="659"/>
        <v/>
      </c>
      <c r="AV568" s="418" t="str">
        <f t="shared" si="659"/>
        <v/>
      </c>
      <c r="AW568" s="418" t="str">
        <f t="shared" si="659"/>
        <v/>
      </c>
      <c r="AX568" s="418" t="str">
        <f t="shared" si="659"/>
        <v/>
      </c>
      <c r="AY568" s="418" t="str">
        <f t="shared" si="659"/>
        <v/>
      </c>
      <c r="AZ568" s="418" t="str">
        <f t="shared" si="659"/>
        <v/>
      </c>
      <c r="BA568" s="418" t="str">
        <f t="shared" si="659"/>
        <v/>
      </c>
      <c r="BB568" s="418" t="str">
        <f t="shared" si="659"/>
        <v/>
      </c>
      <c r="BC568" s="418" t="str">
        <f t="shared" si="659"/>
        <v/>
      </c>
      <c r="BD568" s="418" t="str">
        <f t="shared" si="659"/>
        <v/>
      </c>
      <c r="BE568" s="418" t="str">
        <f t="shared" si="659"/>
        <v/>
      </c>
      <c r="BF568" s="418" t="str">
        <f t="shared" si="659"/>
        <v/>
      </c>
      <c r="BG568" s="418" t="str">
        <f t="shared" si="659"/>
        <v/>
      </c>
      <c r="BH568" s="418" t="str">
        <f t="shared" si="659"/>
        <v/>
      </c>
      <c r="BI568" s="418" t="str">
        <f t="shared" si="659"/>
        <v/>
      </c>
      <c r="BJ568" s="418" t="str">
        <f t="shared" si="659"/>
        <v/>
      </c>
      <c r="BK568" s="418" t="str">
        <f t="shared" si="659"/>
        <v/>
      </c>
      <c r="BL568" s="418" t="str">
        <f t="shared" si="659"/>
        <v/>
      </c>
      <c r="BM568" s="418" t="str">
        <f t="shared" si="659"/>
        <v/>
      </c>
      <c r="BN568" s="418" t="str">
        <f t="shared" si="659"/>
        <v/>
      </c>
      <c r="BO568" s="418" t="str">
        <f t="shared" si="659"/>
        <v/>
      </c>
      <c r="BP568" s="418" t="str">
        <f t="shared" si="659"/>
        <v/>
      </c>
      <c r="BQ568" s="418" t="str">
        <f t="shared" si="659"/>
        <v/>
      </c>
      <c r="BR568" s="418" t="str">
        <f t="shared" si="659"/>
        <v/>
      </c>
      <c r="BS568" s="418" t="str">
        <f t="shared" si="659"/>
        <v/>
      </c>
      <c r="BT568" s="418" t="str">
        <f t="shared" si="659"/>
        <v/>
      </c>
      <c r="BU568" s="418" t="str">
        <f t="shared" si="617"/>
        <v/>
      </c>
      <c r="BV568" s="544">
        <v>0.61</v>
      </c>
      <c r="BW568" s="723">
        <f t="shared" si="618"/>
        <v>14.64</v>
      </c>
      <c r="BX568" s="724">
        <f t="shared" ref="BX568:BX574" si="660">BW568*7.75</f>
        <v>113.46</v>
      </c>
      <c r="BY568" s="725" t="str">
        <f t="shared" ref="BY568:BY574" si="661">MID(E568,1,2)</f>
        <v>SR</v>
      </c>
    </row>
    <row r="569" s="698" customFormat="1" customHeight="1" spans="1:77">
      <c r="A569" s="208">
        <v>46129</v>
      </c>
      <c r="B569" s="208">
        <v>46185</v>
      </c>
      <c r="C569" s="272">
        <v>21011782</v>
      </c>
      <c r="D569" s="268" t="s">
        <v>743</v>
      </c>
      <c r="E569" s="268" t="s">
        <v>50</v>
      </c>
      <c r="F569" s="343">
        <f>10008-2808</f>
        <v>7200</v>
      </c>
      <c r="G569" s="268" t="s">
        <v>510</v>
      </c>
      <c r="H569" s="211" t="str">
        <f>IFERROR(VLOOKUP(E569,名称!A:E,4,0),"")</f>
        <v>蛋糕</v>
      </c>
      <c r="I569" s="268" t="str">
        <f t="shared" ref="I569:BT569" si="662">IF(OR($E569="",I$1=""),"",IF(TRIM(LEFT($E569,MIN(IFERROR(FIND("CDU",UPPER($E569)),999),IFERROR(FIND("BULK",UPPER($E569)),999),IFERROR(FIND("-",$E569),999),IFERROR(FIND("（",$E569),999))-1))=I$1,$F569,""))</f>
        <v/>
      </c>
      <c r="J569" s="268" t="str">
        <f t="shared" si="662"/>
        <v/>
      </c>
      <c r="K569" s="268" t="str">
        <f t="shared" si="662"/>
        <v/>
      </c>
      <c r="L569" s="268" t="str">
        <f t="shared" si="662"/>
        <v/>
      </c>
      <c r="M569" s="268" t="str">
        <f t="shared" si="662"/>
        <v/>
      </c>
      <c r="N569" s="268" t="str">
        <f t="shared" si="662"/>
        <v/>
      </c>
      <c r="O569" s="268" t="str">
        <f t="shared" si="662"/>
        <v/>
      </c>
      <c r="P569" s="268" t="str">
        <f t="shared" si="662"/>
        <v/>
      </c>
      <c r="Q569" s="268" t="str">
        <f t="shared" si="662"/>
        <v/>
      </c>
      <c r="R569" s="268" t="str">
        <f t="shared" si="662"/>
        <v/>
      </c>
      <c r="S569" s="268" t="str">
        <f t="shared" si="662"/>
        <v/>
      </c>
      <c r="T569" s="268" t="str">
        <f t="shared" si="662"/>
        <v/>
      </c>
      <c r="U569" s="268" t="str">
        <f t="shared" si="662"/>
        <v/>
      </c>
      <c r="V569" s="268" t="str">
        <f t="shared" si="662"/>
        <v/>
      </c>
      <c r="W569" s="268" t="str">
        <f t="shared" si="662"/>
        <v/>
      </c>
      <c r="X569" s="268" t="str">
        <f t="shared" si="662"/>
        <v/>
      </c>
      <c r="Y569" s="268" t="str">
        <f t="shared" si="662"/>
        <v/>
      </c>
      <c r="Z569" s="268" t="str">
        <f t="shared" si="662"/>
        <v/>
      </c>
      <c r="AA569" s="268" t="str">
        <f t="shared" si="662"/>
        <v/>
      </c>
      <c r="AB569" s="268" t="str">
        <f t="shared" si="662"/>
        <v/>
      </c>
      <c r="AC569" s="268" t="str">
        <f t="shared" si="662"/>
        <v/>
      </c>
      <c r="AD569" s="268" t="str">
        <f t="shared" si="662"/>
        <v/>
      </c>
      <c r="AE569" s="268" t="str">
        <f t="shared" si="662"/>
        <v/>
      </c>
      <c r="AF569" s="268" t="str">
        <f t="shared" si="662"/>
        <v/>
      </c>
      <c r="AG569" s="268" t="str">
        <f t="shared" si="662"/>
        <v/>
      </c>
      <c r="AH569" s="268" t="str">
        <f t="shared" si="662"/>
        <v/>
      </c>
      <c r="AI569" s="268" t="str">
        <f t="shared" si="662"/>
        <v/>
      </c>
      <c r="AJ569" s="268" t="str">
        <f t="shared" si="662"/>
        <v/>
      </c>
      <c r="AK569" s="268" t="str">
        <f t="shared" si="662"/>
        <v/>
      </c>
      <c r="AL569" s="268" t="str">
        <f t="shared" si="662"/>
        <v/>
      </c>
      <c r="AM569" s="268" t="str">
        <f t="shared" si="662"/>
        <v/>
      </c>
      <c r="AN569" s="268" t="str">
        <f t="shared" si="662"/>
        <v/>
      </c>
      <c r="AO569" s="268" t="str">
        <f t="shared" si="662"/>
        <v/>
      </c>
      <c r="AP569" s="268" t="str">
        <f t="shared" si="662"/>
        <v/>
      </c>
      <c r="AQ569" s="268" t="str">
        <f t="shared" si="662"/>
        <v/>
      </c>
      <c r="AR569" s="268" t="str">
        <f t="shared" si="662"/>
        <v/>
      </c>
      <c r="AS569" s="268" t="str">
        <f t="shared" si="662"/>
        <v/>
      </c>
      <c r="AT569" s="268" t="str">
        <f t="shared" si="662"/>
        <v/>
      </c>
      <c r="AU569" s="268" t="str">
        <f t="shared" si="662"/>
        <v/>
      </c>
      <c r="AV569" s="268" t="str">
        <f t="shared" si="662"/>
        <v/>
      </c>
      <c r="AW569" s="268" t="str">
        <f t="shared" si="662"/>
        <v/>
      </c>
      <c r="AX569" s="268" t="str">
        <f t="shared" si="662"/>
        <v/>
      </c>
      <c r="AY569" s="268" t="str">
        <f t="shared" si="662"/>
        <v/>
      </c>
      <c r="AZ569" s="268" t="str">
        <f t="shared" si="662"/>
        <v/>
      </c>
      <c r="BA569" s="268" t="str">
        <f t="shared" si="662"/>
        <v/>
      </c>
      <c r="BB569" s="268" t="str">
        <f t="shared" si="662"/>
        <v/>
      </c>
      <c r="BC569" s="268" t="str">
        <f t="shared" si="662"/>
        <v/>
      </c>
      <c r="BD569" s="268" t="str">
        <f t="shared" si="662"/>
        <v/>
      </c>
      <c r="BE569" s="268" t="str">
        <f t="shared" si="662"/>
        <v/>
      </c>
      <c r="BF569" s="268" t="str">
        <f t="shared" si="662"/>
        <v/>
      </c>
      <c r="BG569" s="268">
        <f t="shared" si="662"/>
        <v>7200</v>
      </c>
      <c r="BH569" s="268" t="str">
        <f t="shared" si="662"/>
        <v/>
      </c>
      <c r="BI569" s="268" t="str">
        <f t="shared" si="662"/>
        <v/>
      </c>
      <c r="BJ569" s="268" t="str">
        <f t="shared" si="662"/>
        <v/>
      </c>
      <c r="BK569" s="268" t="str">
        <f t="shared" si="662"/>
        <v/>
      </c>
      <c r="BL569" s="268" t="str">
        <f t="shared" si="662"/>
        <v/>
      </c>
      <c r="BM569" s="268" t="str">
        <f t="shared" si="662"/>
        <v/>
      </c>
      <c r="BN569" s="268" t="str">
        <f t="shared" si="662"/>
        <v/>
      </c>
      <c r="BO569" s="268" t="str">
        <f t="shared" si="662"/>
        <v/>
      </c>
      <c r="BP569" s="268" t="str">
        <f t="shared" si="662"/>
        <v/>
      </c>
      <c r="BQ569" s="268" t="str">
        <f t="shared" si="662"/>
        <v/>
      </c>
      <c r="BR569" s="268" t="str">
        <f t="shared" si="662"/>
        <v/>
      </c>
      <c r="BS569" s="268" t="str">
        <f t="shared" si="662"/>
        <v/>
      </c>
      <c r="BT569" s="268" t="str">
        <f t="shared" si="662"/>
        <v/>
      </c>
      <c r="BU569" s="268" t="str">
        <f t="shared" si="617"/>
        <v/>
      </c>
      <c r="BV569" s="247">
        <v>1.1</v>
      </c>
      <c r="BW569" s="729">
        <f t="shared" si="618"/>
        <v>7920</v>
      </c>
      <c r="BX569" s="730">
        <f t="shared" si="660"/>
        <v>61380</v>
      </c>
      <c r="BY569" s="731" t="str">
        <f t="shared" si="661"/>
        <v>JC</v>
      </c>
    </row>
    <row r="570" s="698" customFormat="1" customHeight="1" spans="1:77">
      <c r="A570" s="208">
        <v>46129</v>
      </c>
      <c r="B570" s="208">
        <v>46185</v>
      </c>
      <c r="C570" s="272">
        <v>21011782</v>
      </c>
      <c r="D570" s="268" t="s">
        <v>743</v>
      </c>
      <c r="E570" s="268" t="s">
        <v>123</v>
      </c>
      <c r="F570" s="343">
        <f>18000-3984</f>
        <v>14016</v>
      </c>
      <c r="G570" s="268" t="s">
        <v>510</v>
      </c>
      <c r="H570" s="211" t="str">
        <f>IFERROR(VLOOKUP(E570,名称!A:E,4,0),"")</f>
        <v>蛋糕</v>
      </c>
      <c r="I570" s="268" t="str">
        <f t="shared" ref="I570:BT570" si="663">IF(OR($E570="",I$1=""),"",IF(TRIM(LEFT($E570,MIN(IFERROR(FIND("CDU",UPPER($E570)),999),IFERROR(FIND("BULK",UPPER($E570)),999),IFERROR(FIND("-",$E570),999),IFERROR(FIND("（",$E570),999))-1))=I$1,$F570,""))</f>
        <v/>
      </c>
      <c r="J570" s="268" t="str">
        <f t="shared" si="663"/>
        <v/>
      </c>
      <c r="K570" s="268" t="str">
        <f t="shared" si="663"/>
        <v/>
      </c>
      <c r="L570" s="268" t="str">
        <f t="shared" si="663"/>
        <v/>
      </c>
      <c r="M570" s="268" t="str">
        <f t="shared" si="663"/>
        <v/>
      </c>
      <c r="N570" s="268" t="str">
        <f t="shared" si="663"/>
        <v/>
      </c>
      <c r="O570" s="268" t="str">
        <f t="shared" si="663"/>
        <v/>
      </c>
      <c r="P570" s="268" t="str">
        <f t="shared" si="663"/>
        <v/>
      </c>
      <c r="Q570" s="268" t="str">
        <f t="shared" si="663"/>
        <v/>
      </c>
      <c r="R570" s="268" t="str">
        <f t="shared" si="663"/>
        <v/>
      </c>
      <c r="S570" s="268" t="str">
        <f t="shared" si="663"/>
        <v/>
      </c>
      <c r="T570" s="268" t="str">
        <f t="shared" si="663"/>
        <v/>
      </c>
      <c r="U570" s="268" t="str">
        <f t="shared" si="663"/>
        <v/>
      </c>
      <c r="V570" s="268" t="str">
        <f t="shared" si="663"/>
        <v/>
      </c>
      <c r="W570" s="268" t="str">
        <f t="shared" si="663"/>
        <v/>
      </c>
      <c r="X570" s="268" t="str">
        <f t="shared" si="663"/>
        <v/>
      </c>
      <c r="Y570" s="268" t="str">
        <f t="shared" si="663"/>
        <v/>
      </c>
      <c r="Z570" s="268" t="str">
        <f t="shared" si="663"/>
        <v/>
      </c>
      <c r="AA570" s="268" t="str">
        <f t="shared" si="663"/>
        <v/>
      </c>
      <c r="AB570" s="268" t="str">
        <f t="shared" si="663"/>
        <v/>
      </c>
      <c r="AC570" s="268" t="str">
        <f t="shared" si="663"/>
        <v/>
      </c>
      <c r="AD570" s="268" t="str">
        <f t="shared" si="663"/>
        <v/>
      </c>
      <c r="AE570" s="268" t="str">
        <f t="shared" si="663"/>
        <v/>
      </c>
      <c r="AF570" s="268" t="str">
        <f t="shared" si="663"/>
        <v/>
      </c>
      <c r="AG570" s="268" t="str">
        <f t="shared" si="663"/>
        <v/>
      </c>
      <c r="AH570" s="268" t="str">
        <f t="shared" si="663"/>
        <v/>
      </c>
      <c r="AI570" s="268" t="str">
        <f t="shared" si="663"/>
        <v/>
      </c>
      <c r="AJ570" s="268" t="str">
        <f t="shared" si="663"/>
        <v/>
      </c>
      <c r="AK570" s="268" t="str">
        <f t="shared" si="663"/>
        <v/>
      </c>
      <c r="AL570" s="268" t="str">
        <f t="shared" si="663"/>
        <v/>
      </c>
      <c r="AM570" s="268" t="str">
        <f t="shared" si="663"/>
        <v/>
      </c>
      <c r="AN570" s="268" t="str">
        <f t="shared" si="663"/>
        <v/>
      </c>
      <c r="AO570" s="268" t="str">
        <f t="shared" si="663"/>
        <v/>
      </c>
      <c r="AP570" s="268" t="str">
        <f t="shared" si="663"/>
        <v/>
      </c>
      <c r="AQ570" s="268" t="str">
        <f t="shared" si="663"/>
        <v/>
      </c>
      <c r="AR570" s="268" t="str">
        <f t="shared" si="663"/>
        <v/>
      </c>
      <c r="AS570" s="268" t="str">
        <f t="shared" si="663"/>
        <v/>
      </c>
      <c r="AT570" s="268" t="str">
        <f t="shared" si="663"/>
        <v/>
      </c>
      <c r="AU570" s="268" t="str">
        <f t="shared" si="663"/>
        <v/>
      </c>
      <c r="AV570" s="268" t="str">
        <f t="shared" si="663"/>
        <v/>
      </c>
      <c r="AW570" s="268" t="str">
        <f t="shared" si="663"/>
        <v/>
      </c>
      <c r="AX570" s="268" t="str">
        <f t="shared" si="663"/>
        <v/>
      </c>
      <c r="AY570" s="268" t="str">
        <f t="shared" si="663"/>
        <v/>
      </c>
      <c r="AZ570" s="268" t="str">
        <f t="shared" si="663"/>
        <v/>
      </c>
      <c r="BA570" s="268" t="str">
        <f t="shared" si="663"/>
        <v/>
      </c>
      <c r="BB570" s="268" t="str">
        <f t="shared" si="663"/>
        <v/>
      </c>
      <c r="BC570" s="268" t="str">
        <f t="shared" si="663"/>
        <v/>
      </c>
      <c r="BD570" s="268" t="str">
        <f t="shared" si="663"/>
        <v/>
      </c>
      <c r="BE570" s="268" t="str">
        <f t="shared" si="663"/>
        <v/>
      </c>
      <c r="BF570" s="268">
        <f t="shared" si="663"/>
        <v>14016</v>
      </c>
      <c r="BG570" s="268" t="str">
        <f t="shared" si="663"/>
        <v/>
      </c>
      <c r="BH570" s="268" t="str">
        <f t="shared" si="663"/>
        <v/>
      </c>
      <c r="BI570" s="268" t="str">
        <f t="shared" si="663"/>
        <v/>
      </c>
      <c r="BJ570" s="268" t="str">
        <f t="shared" si="663"/>
        <v/>
      </c>
      <c r="BK570" s="268" t="str">
        <f t="shared" si="663"/>
        <v/>
      </c>
      <c r="BL570" s="268" t="str">
        <f t="shared" si="663"/>
        <v/>
      </c>
      <c r="BM570" s="268" t="str">
        <f t="shared" si="663"/>
        <v/>
      </c>
      <c r="BN570" s="268" t="str">
        <f t="shared" si="663"/>
        <v/>
      </c>
      <c r="BO570" s="268" t="str">
        <f t="shared" si="663"/>
        <v/>
      </c>
      <c r="BP570" s="268" t="str">
        <f t="shared" si="663"/>
        <v/>
      </c>
      <c r="BQ570" s="268" t="str">
        <f t="shared" si="663"/>
        <v/>
      </c>
      <c r="BR570" s="268" t="str">
        <f t="shared" si="663"/>
        <v/>
      </c>
      <c r="BS570" s="268" t="str">
        <f t="shared" si="663"/>
        <v/>
      </c>
      <c r="BT570" s="268" t="str">
        <f t="shared" si="663"/>
        <v/>
      </c>
      <c r="BU570" s="268" t="str">
        <f t="shared" si="617"/>
        <v/>
      </c>
      <c r="BV570" s="247">
        <v>0.78</v>
      </c>
      <c r="BW570" s="729">
        <f t="shared" si="618"/>
        <v>10932.48</v>
      </c>
      <c r="BX570" s="730">
        <f t="shared" si="660"/>
        <v>84726.72</v>
      </c>
      <c r="BY570" s="731" t="str">
        <f t="shared" si="661"/>
        <v>JC</v>
      </c>
    </row>
    <row r="571" s="697" customFormat="1" customHeight="1" spans="1:77">
      <c r="A571" s="538">
        <v>46130</v>
      </c>
      <c r="B571" s="590">
        <v>46223</v>
      </c>
      <c r="C571" s="591" t="s">
        <v>744</v>
      </c>
      <c r="D571" s="591" t="s">
        <v>745</v>
      </c>
      <c r="E571" s="591" t="s">
        <v>60</v>
      </c>
      <c r="F571" s="592">
        <v>5400</v>
      </c>
      <c r="G571" s="591" t="s">
        <v>253</v>
      </c>
      <c r="H571" s="118" t="str">
        <f>IFERROR(VLOOKUP(E571,名称!A:E,4,0),"")</f>
        <v>三代</v>
      </c>
      <c r="I571" s="418" t="str">
        <f t="shared" ref="I571:BT571" si="664">IF(OR($E571="",I$1=""),"",IF(TRIM(LEFT($E571,MIN(IFERROR(FIND("CDU",UPPER($E571)),999),IFERROR(FIND("BULK",UPPER($E571)),999),IFERROR(FIND("-",$E571),999),IFERROR(FIND("（",$E571),999))-1))=I$1,$F571,""))</f>
        <v/>
      </c>
      <c r="J571" s="418" t="str">
        <f t="shared" si="664"/>
        <v/>
      </c>
      <c r="K571" s="418" t="str">
        <f t="shared" si="664"/>
        <v/>
      </c>
      <c r="L571" s="418" t="str">
        <f t="shared" si="664"/>
        <v/>
      </c>
      <c r="M571" s="418" t="str">
        <f t="shared" si="664"/>
        <v/>
      </c>
      <c r="N571" s="418" t="str">
        <f t="shared" si="664"/>
        <v/>
      </c>
      <c r="O571" s="418" t="str">
        <f t="shared" si="664"/>
        <v/>
      </c>
      <c r="P571" s="418" t="str">
        <f t="shared" si="664"/>
        <v/>
      </c>
      <c r="Q571" s="418" t="str">
        <f t="shared" si="664"/>
        <v/>
      </c>
      <c r="R571" s="418" t="str">
        <f t="shared" si="664"/>
        <v/>
      </c>
      <c r="S571" s="418" t="str">
        <f t="shared" si="664"/>
        <v/>
      </c>
      <c r="T571" s="418" t="str">
        <f t="shared" si="664"/>
        <v/>
      </c>
      <c r="U571" s="418" t="str">
        <f t="shared" si="664"/>
        <v/>
      </c>
      <c r="V571" s="418" t="str">
        <f t="shared" si="664"/>
        <v/>
      </c>
      <c r="W571" s="418" t="str">
        <f t="shared" si="664"/>
        <v/>
      </c>
      <c r="X571" s="418" t="str">
        <f t="shared" si="664"/>
        <v/>
      </c>
      <c r="Y571" s="418" t="str">
        <f t="shared" si="664"/>
        <v/>
      </c>
      <c r="Z571" s="418" t="str">
        <f t="shared" si="664"/>
        <v/>
      </c>
      <c r="AA571" s="418" t="str">
        <f t="shared" si="664"/>
        <v/>
      </c>
      <c r="AB571" s="418" t="str">
        <f t="shared" si="664"/>
        <v/>
      </c>
      <c r="AC571" s="418" t="str">
        <f t="shared" si="664"/>
        <v/>
      </c>
      <c r="AD571" s="418" t="str">
        <f t="shared" si="664"/>
        <v/>
      </c>
      <c r="AE571" s="418">
        <f t="shared" si="664"/>
        <v>5400</v>
      </c>
      <c r="AF571" s="418" t="str">
        <f t="shared" si="664"/>
        <v/>
      </c>
      <c r="AG571" s="418" t="str">
        <f t="shared" si="664"/>
        <v/>
      </c>
      <c r="AH571" s="418" t="str">
        <f t="shared" si="664"/>
        <v/>
      </c>
      <c r="AI571" s="418" t="str">
        <f t="shared" si="664"/>
        <v/>
      </c>
      <c r="AJ571" s="418" t="str">
        <f t="shared" si="664"/>
        <v/>
      </c>
      <c r="AK571" s="418" t="str">
        <f t="shared" si="664"/>
        <v/>
      </c>
      <c r="AL571" s="418" t="str">
        <f t="shared" si="664"/>
        <v/>
      </c>
      <c r="AM571" s="418" t="str">
        <f t="shared" si="664"/>
        <v/>
      </c>
      <c r="AN571" s="418" t="str">
        <f t="shared" si="664"/>
        <v/>
      </c>
      <c r="AO571" s="418" t="str">
        <f t="shared" si="664"/>
        <v/>
      </c>
      <c r="AP571" s="418" t="str">
        <f t="shared" si="664"/>
        <v/>
      </c>
      <c r="AQ571" s="418" t="str">
        <f t="shared" si="664"/>
        <v/>
      </c>
      <c r="AR571" s="418" t="str">
        <f t="shared" si="664"/>
        <v/>
      </c>
      <c r="AS571" s="418" t="str">
        <f t="shared" si="664"/>
        <v/>
      </c>
      <c r="AT571" s="418" t="str">
        <f t="shared" si="664"/>
        <v/>
      </c>
      <c r="AU571" s="418" t="str">
        <f t="shared" si="664"/>
        <v/>
      </c>
      <c r="AV571" s="418" t="str">
        <f t="shared" si="664"/>
        <v/>
      </c>
      <c r="AW571" s="418" t="str">
        <f t="shared" si="664"/>
        <v/>
      </c>
      <c r="AX571" s="418" t="str">
        <f t="shared" si="664"/>
        <v/>
      </c>
      <c r="AY571" s="418" t="str">
        <f t="shared" si="664"/>
        <v/>
      </c>
      <c r="AZ571" s="418" t="str">
        <f t="shared" si="664"/>
        <v/>
      </c>
      <c r="BA571" s="418" t="str">
        <f t="shared" si="664"/>
        <v/>
      </c>
      <c r="BB571" s="418" t="str">
        <f t="shared" si="664"/>
        <v/>
      </c>
      <c r="BC571" s="418" t="str">
        <f t="shared" si="664"/>
        <v/>
      </c>
      <c r="BD571" s="418" t="str">
        <f t="shared" si="664"/>
        <v/>
      </c>
      <c r="BE571" s="418" t="str">
        <f t="shared" si="664"/>
        <v/>
      </c>
      <c r="BF571" s="418" t="str">
        <f t="shared" si="664"/>
        <v/>
      </c>
      <c r="BG571" s="418" t="str">
        <f t="shared" si="664"/>
        <v/>
      </c>
      <c r="BH571" s="418" t="str">
        <f t="shared" si="664"/>
        <v/>
      </c>
      <c r="BI571" s="418" t="str">
        <f t="shared" si="664"/>
        <v/>
      </c>
      <c r="BJ571" s="418" t="str">
        <f t="shared" si="664"/>
        <v/>
      </c>
      <c r="BK571" s="418" t="str">
        <f t="shared" si="664"/>
        <v/>
      </c>
      <c r="BL571" s="418" t="str">
        <f t="shared" si="664"/>
        <v/>
      </c>
      <c r="BM571" s="418" t="str">
        <f t="shared" si="664"/>
        <v/>
      </c>
      <c r="BN571" s="418" t="str">
        <f t="shared" si="664"/>
        <v/>
      </c>
      <c r="BO571" s="418" t="str">
        <f t="shared" si="664"/>
        <v/>
      </c>
      <c r="BP571" s="418" t="str">
        <f t="shared" si="664"/>
        <v/>
      </c>
      <c r="BQ571" s="418" t="str">
        <f t="shared" si="664"/>
        <v/>
      </c>
      <c r="BR571" s="418" t="str">
        <f t="shared" si="664"/>
        <v/>
      </c>
      <c r="BS571" s="418" t="str">
        <f t="shared" si="664"/>
        <v/>
      </c>
      <c r="BT571" s="418" t="str">
        <f t="shared" si="664"/>
        <v/>
      </c>
      <c r="BU571" s="418" t="str">
        <f t="shared" si="617"/>
        <v/>
      </c>
      <c r="BV571" s="544">
        <v>0.61</v>
      </c>
      <c r="BW571" s="723">
        <f t="shared" si="618"/>
        <v>3294</v>
      </c>
      <c r="BX571" s="724">
        <f t="shared" si="660"/>
        <v>25528.5</v>
      </c>
      <c r="BY571" s="725" t="str">
        <f t="shared" si="661"/>
        <v>SR</v>
      </c>
    </row>
    <row r="572" s="697" customFormat="1" customHeight="1" spans="1:77">
      <c r="A572" s="538">
        <v>46130</v>
      </c>
      <c r="B572" s="538">
        <v>46223</v>
      </c>
      <c r="C572" s="539" t="s">
        <v>744</v>
      </c>
      <c r="D572" s="539" t="s">
        <v>745</v>
      </c>
      <c r="E572" s="539" t="s">
        <v>60</v>
      </c>
      <c r="F572" s="585">
        <v>5400</v>
      </c>
      <c r="G572" s="539" t="s">
        <v>253</v>
      </c>
      <c r="H572" s="118" t="str">
        <f>IFERROR(VLOOKUP(E572,名称!A:E,4,0),"")</f>
        <v>三代</v>
      </c>
      <c r="I572" s="418" t="str">
        <f t="shared" ref="I572:BT572" si="665">IF(OR($E572="",I$1=""),"",IF(TRIM(LEFT($E572,MIN(IFERROR(FIND("CDU",UPPER($E572)),999),IFERROR(FIND("BULK",UPPER($E572)),999),IFERROR(FIND("-",$E572),999),IFERROR(FIND("（",$E572),999))-1))=I$1,$F572,""))</f>
        <v/>
      </c>
      <c r="J572" s="418" t="str">
        <f t="shared" si="665"/>
        <v/>
      </c>
      <c r="K572" s="418" t="str">
        <f t="shared" si="665"/>
        <v/>
      </c>
      <c r="L572" s="418" t="str">
        <f t="shared" si="665"/>
        <v/>
      </c>
      <c r="M572" s="418" t="str">
        <f t="shared" si="665"/>
        <v/>
      </c>
      <c r="N572" s="418" t="str">
        <f t="shared" si="665"/>
        <v/>
      </c>
      <c r="O572" s="418" t="str">
        <f t="shared" si="665"/>
        <v/>
      </c>
      <c r="P572" s="418" t="str">
        <f t="shared" si="665"/>
        <v/>
      </c>
      <c r="Q572" s="418" t="str">
        <f t="shared" si="665"/>
        <v/>
      </c>
      <c r="R572" s="418" t="str">
        <f t="shared" si="665"/>
        <v/>
      </c>
      <c r="S572" s="418" t="str">
        <f t="shared" si="665"/>
        <v/>
      </c>
      <c r="T572" s="418" t="str">
        <f t="shared" si="665"/>
        <v/>
      </c>
      <c r="U572" s="418" t="str">
        <f t="shared" si="665"/>
        <v/>
      </c>
      <c r="V572" s="418" t="str">
        <f t="shared" si="665"/>
        <v/>
      </c>
      <c r="W572" s="418" t="str">
        <f t="shared" si="665"/>
        <v/>
      </c>
      <c r="X572" s="418" t="str">
        <f t="shared" si="665"/>
        <v/>
      </c>
      <c r="Y572" s="418" t="str">
        <f t="shared" si="665"/>
        <v/>
      </c>
      <c r="Z572" s="418" t="str">
        <f t="shared" si="665"/>
        <v/>
      </c>
      <c r="AA572" s="418" t="str">
        <f t="shared" si="665"/>
        <v/>
      </c>
      <c r="AB572" s="418" t="str">
        <f t="shared" si="665"/>
        <v/>
      </c>
      <c r="AC572" s="418" t="str">
        <f t="shared" si="665"/>
        <v/>
      </c>
      <c r="AD572" s="418" t="str">
        <f t="shared" si="665"/>
        <v/>
      </c>
      <c r="AE572" s="418">
        <f t="shared" si="665"/>
        <v>5400</v>
      </c>
      <c r="AF572" s="418" t="str">
        <f t="shared" si="665"/>
        <v/>
      </c>
      <c r="AG572" s="418" t="str">
        <f t="shared" si="665"/>
        <v/>
      </c>
      <c r="AH572" s="418" t="str">
        <f t="shared" si="665"/>
        <v/>
      </c>
      <c r="AI572" s="418" t="str">
        <f t="shared" si="665"/>
        <v/>
      </c>
      <c r="AJ572" s="418" t="str">
        <f t="shared" si="665"/>
        <v/>
      </c>
      <c r="AK572" s="418" t="str">
        <f t="shared" si="665"/>
        <v/>
      </c>
      <c r="AL572" s="418" t="str">
        <f t="shared" si="665"/>
        <v/>
      </c>
      <c r="AM572" s="418" t="str">
        <f t="shared" si="665"/>
        <v/>
      </c>
      <c r="AN572" s="418" t="str">
        <f t="shared" si="665"/>
        <v/>
      </c>
      <c r="AO572" s="418" t="str">
        <f t="shared" si="665"/>
        <v/>
      </c>
      <c r="AP572" s="418" t="str">
        <f t="shared" si="665"/>
        <v/>
      </c>
      <c r="AQ572" s="418" t="str">
        <f t="shared" si="665"/>
        <v/>
      </c>
      <c r="AR572" s="418" t="str">
        <f t="shared" si="665"/>
        <v/>
      </c>
      <c r="AS572" s="418" t="str">
        <f t="shared" si="665"/>
        <v/>
      </c>
      <c r="AT572" s="418" t="str">
        <f t="shared" si="665"/>
        <v/>
      </c>
      <c r="AU572" s="418" t="str">
        <f t="shared" si="665"/>
        <v/>
      </c>
      <c r="AV572" s="418" t="str">
        <f t="shared" si="665"/>
        <v/>
      </c>
      <c r="AW572" s="418" t="str">
        <f t="shared" si="665"/>
        <v/>
      </c>
      <c r="AX572" s="418" t="str">
        <f t="shared" si="665"/>
        <v/>
      </c>
      <c r="AY572" s="418" t="str">
        <f t="shared" si="665"/>
        <v/>
      </c>
      <c r="AZ572" s="418" t="str">
        <f t="shared" si="665"/>
        <v/>
      </c>
      <c r="BA572" s="418" t="str">
        <f t="shared" si="665"/>
        <v/>
      </c>
      <c r="BB572" s="418" t="str">
        <f t="shared" si="665"/>
        <v/>
      </c>
      <c r="BC572" s="418" t="str">
        <f t="shared" si="665"/>
        <v/>
      </c>
      <c r="BD572" s="418" t="str">
        <f t="shared" si="665"/>
        <v/>
      </c>
      <c r="BE572" s="418" t="str">
        <f t="shared" si="665"/>
        <v/>
      </c>
      <c r="BF572" s="418" t="str">
        <f t="shared" si="665"/>
        <v/>
      </c>
      <c r="BG572" s="418" t="str">
        <f t="shared" si="665"/>
        <v/>
      </c>
      <c r="BH572" s="418" t="str">
        <f t="shared" si="665"/>
        <v/>
      </c>
      <c r="BI572" s="418" t="str">
        <f t="shared" si="665"/>
        <v/>
      </c>
      <c r="BJ572" s="418" t="str">
        <f t="shared" si="665"/>
        <v/>
      </c>
      <c r="BK572" s="418" t="str">
        <f t="shared" si="665"/>
        <v/>
      </c>
      <c r="BL572" s="418" t="str">
        <f t="shared" si="665"/>
        <v/>
      </c>
      <c r="BM572" s="418" t="str">
        <f t="shared" si="665"/>
        <v/>
      </c>
      <c r="BN572" s="418" t="str">
        <f t="shared" si="665"/>
        <v/>
      </c>
      <c r="BO572" s="418" t="str">
        <f t="shared" si="665"/>
        <v/>
      </c>
      <c r="BP572" s="418" t="str">
        <f t="shared" si="665"/>
        <v/>
      </c>
      <c r="BQ572" s="418" t="str">
        <f t="shared" si="665"/>
        <v/>
      </c>
      <c r="BR572" s="418" t="str">
        <f t="shared" si="665"/>
        <v/>
      </c>
      <c r="BS572" s="418" t="str">
        <f t="shared" si="665"/>
        <v/>
      </c>
      <c r="BT572" s="418" t="str">
        <f t="shared" si="665"/>
        <v/>
      </c>
      <c r="BU572" s="418" t="str">
        <f t="shared" si="617"/>
        <v/>
      </c>
      <c r="BV572" s="544">
        <v>0.61</v>
      </c>
      <c r="BW572" s="723">
        <f t="shared" si="618"/>
        <v>3294</v>
      </c>
      <c r="BX572" s="724">
        <f t="shared" si="660"/>
        <v>25528.5</v>
      </c>
      <c r="BY572" s="725" t="str">
        <f t="shared" si="661"/>
        <v>SR</v>
      </c>
    </row>
    <row r="573" s="697" customFormat="1" customHeight="1" spans="1:77">
      <c r="A573" s="116">
        <v>46130</v>
      </c>
      <c r="B573" s="116">
        <v>46223</v>
      </c>
      <c r="C573" s="418" t="s">
        <v>746</v>
      </c>
      <c r="D573" s="418" t="s">
        <v>747</v>
      </c>
      <c r="E573" s="418" t="s">
        <v>107</v>
      </c>
      <c r="F573" s="739">
        <f>12000-5000</f>
        <v>7000</v>
      </c>
      <c r="G573" s="418" t="s">
        <v>253</v>
      </c>
      <c r="H573" s="118" t="str">
        <f>IFERROR(VLOOKUP(E573,名称!A:E,4,0),"")</f>
        <v>三代</v>
      </c>
      <c r="I573" s="418" t="str">
        <f t="shared" ref="I573:BT573" si="666">IF(OR($E573="",I$1=""),"",IF(TRIM(LEFT($E573,MIN(IFERROR(FIND("CDU",UPPER($E573)),999),IFERROR(FIND("BULK",UPPER($E573)),999),IFERROR(FIND("-",$E573),999),IFERROR(FIND("（",$E573),999))-1))=I$1,$F573,""))</f>
        <v/>
      </c>
      <c r="J573" s="418" t="str">
        <f t="shared" si="666"/>
        <v/>
      </c>
      <c r="K573" s="418" t="str">
        <f t="shared" si="666"/>
        <v/>
      </c>
      <c r="L573" s="418" t="str">
        <f t="shared" si="666"/>
        <v/>
      </c>
      <c r="M573" s="418" t="str">
        <f t="shared" si="666"/>
        <v/>
      </c>
      <c r="N573" s="418" t="str">
        <f t="shared" si="666"/>
        <v/>
      </c>
      <c r="O573" s="418" t="str">
        <f t="shared" si="666"/>
        <v/>
      </c>
      <c r="P573" s="418" t="str">
        <f t="shared" si="666"/>
        <v/>
      </c>
      <c r="Q573" s="418" t="str">
        <f t="shared" si="666"/>
        <v/>
      </c>
      <c r="R573" s="418" t="str">
        <f t="shared" si="666"/>
        <v/>
      </c>
      <c r="S573" s="418" t="str">
        <f t="shared" si="666"/>
        <v/>
      </c>
      <c r="T573" s="418" t="str">
        <f t="shared" si="666"/>
        <v/>
      </c>
      <c r="U573" s="418" t="str">
        <f t="shared" si="666"/>
        <v/>
      </c>
      <c r="V573" s="418" t="str">
        <f t="shared" si="666"/>
        <v/>
      </c>
      <c r="W573" s="418" t="str">
        <f t="shared" si="666"/>
        <v/>
      </c>
      <c r="X573" s="418" t="str">
        <f t="shared" si="666"/>
        <v/>
      </c>
      <c r="Y573" s="418" t="str">
        <f t="shared" si="666"/>
        <v/>
      </c>
      <c r="Z573" s="418" t="str">
        <f t="shared" si="666"/>
        <v/>
      </c>
      <c r="AA573" s="418" t="str">
        <f t="shared" si="666"/>
        <v/>
      </c>
      <c r="AB573" s="418" t="str">
        <f t="shared" si="666"/>
        <v/>
      </c>
      <c r="AC573" s="418" t="str">
        <f t="shared" si="666"/>
        <v/>
      </c>
      <c r="AD573" s="418" t="str">
        <f t="shared" si="666"/>
        <v/>
      </c>
      <c r="AE573" s="418" t="str">
        <f t="shared" si="666"/>
        <v/>
      </c>
      <c r="AF573" s="418" t="str">
        <f t="shared" si="666"/>
        <v/>
      </c>
      <c r="AG573" s="418">
        <f t="shared" si="666"/>
        <v>7000</v>
      </c>
      <c r="AH573" s="418" t="str">
        <f t="shared" si="666"/>
        <v/>
      </c>
      <c r="AI573" s="418" t="str">
        <f t="shared" si="666"/>
        <v/>
      </c>
      <c r="AJ573" s="418" t="str">
        <f t="shared" si="666"/>
        <v/>
      </c>
      <c r="AK573" s="418" t="str">
        <f t="shared" si="666"/>
        <v/>
      </c>
      <c r="AL573" s="418" t="str">
        <f t="shared" si="666"/>
        <v/>
      </c>
      <c r="AM573" s="418" t="str">
        <f t="shared" si="666"/>
        <v/>
      </c>
      <c r="AN573" s="418" t="str">
        <f t="shared" si="666"/>
        <v/>
      </c>
      <c r="AO573" s="418" t="str">
        <f t="shared" si="666"/>
        <v/>
      </c>
      <c r="AP573" s="418" t="str">
        <f t="shared" si="666"/>
        <v/>
      </c>
      <c r="AQ573" s="418" t="str">
        <f t="shared" si="666"/>
        <v/>
      </c>
      <c r="AR573" s="418" t="str">
        <f t="shared" si="666"/>
        <v/>
      </c>
      <c r="AS573" s="418" t="str">
        <f t="shared" si="666"/>
        <v/>
      </c>
      <c r="AT573" s="418" t="str">
        <f t="shared" si="666"/>
        <v/>
      </c>
      <c r="AU573" s="418" t="str">
        <f t="shared" si="666"/>
        <v/>
      </c>
      <c r="AV573" s="418" t="str">
        <f t="shared" si="666"/>
        <v/>
      </c>
      <c r="AW573" s="418" t="str">
        <f t="shared" si="666"/>
        <v/>
      </c>
      <c r="AX573" s="418" t="str">
        <f t="shared" si="666"/>
        <v/>
      </c>
      <c r="AY573" s="418" t="str">
        <f t="shared" si="666"/>
        <v/>
      </c>
      <c r="AZ573" s="418" t="str">
        <f t="shared" si="666"/>
        <v/>
      </c>
      <c r="BA573" s="418" t="str">
        <f t="shared" si="666"/>
        <v/>
      </c>
      <c r="BB573" s="418" t="str">
        <f t="shared" si="666"/>
        <v/>
      </c>
      <c r="BC573" s="418" t="str">
        <f t="shared" si="666"/>
        <v/>
      </c>
      <c r="BD573" s="418" t="str">
        <f t="shared" si="666"/>
        <v/>
      </c>
      <c r="BE573" s="418" t="str">
        <f t="shared" si="666"/>
        <v/>
      </c>
      <c r="BF573" s="418" t="str">
        <f t="shared" si="666"/>
        <v/>
      </c>
      <c r="BG573" s="418" t="str">
        <f t="shared" si="666"/>
        <v/>
      </c>
      <c r="BH573" s="418" t="str">
        <f t="shared" si="666"/>
        <v/>
      </c>
      <c r="BI573" s="418" t="str">
        <f t="shared" si="666"/>
        <v/>
      </c>
      <c r="BJ573" s="418" t="str">
        <f t="shared" si="666"/>
        <v/>
      </c>
      <c r="BK573" s="418" t="str">
        <f t="shared" si="666"/>
        <v/>
      </c>
      <c r="BL573" s="418" t="str">
        <f t="shared" si="666"/>
        <v/>
      </c>
      <c r="BM573" s="418" t="str">
        <f t="shared" si="666"/>
        <v/>
      </c>
      <c r="BN573" s="418" t="str">
        <f t="shared" si="666"/>
        <v/>
      </c>
      <c r="BO573" s="418" t="str">
        <f t="shared" si="666"/>
        <v/>
      </c>
      <c r="BP573" s="418" t="str">
        <f t="shared" si="666"/>
        <v/>
      </c>
      <c r="BQ573" s="418" t="str">
        <f t="shared" si="666"/>
        <v/>
      </c>
      <c r="BR573" s="418" t="str">
        <f t="shared" si="666"/>
        <v/>
      </c>
      <c r="BS573" s="418" t="str">
        <f t="shared" si="666"/>
        <v/>
      </c>
      <c r="BT573" s="418" t="str">
        <f t="shared" si="666"/>
        <v/>
      </c>
      <c r="BU573" s="418" t="str">
        <f t="shared" si="617"/>
        <v/>
      </c>
      <c r="BV573" s="544">
        <v>2.12</v>
      </c>
      <c r="BW573" s="723">
        <f t="shared" si="618"/>
        <v>14840</v>
      </c>
      <c r="BX573" s="724">
        <f t="shared" si="660"/>
        <v>115010</v>
      </c>
      <c r="BY573" s="725" t="str">
        <f t="shared" si="661"/>
        <v>SR</v>
      </c>
    </row>
    <row r="574" s="697" customFormat="1" customHeight="1" spans="1:77">
      <c r="A574" s="116">
        <v>46130</v>
      </c>
      <c r="B574" s="116">
        <v>46223</v>
      </c>
      <c r="C574" s="418" t="s">
        <v>748</v>
      </c>
      <c r="D574" s="418" t="s">
        <v>749</v>
      </c>
      <c r="E574" s="418" t="s">
        <v>83</v>
      </c>
      <c r="F574" s="121">
        <f>10008-4008-2004-1992</f>
        <v>2004</v>
      </c>
      <c r="G574" s="418" t="s">
        <v>253</v>
      </c>
      <c r="H574" s="118" t="str">
        <f>IFERROR(VLOOKUP(E574,名称!A:E,4,0),"")</f>
        <v>三代</v>
      </c>
      <c r="I574" s="418" t="str">
        <f t="shared" ref="I574:BT574" si="667">IF(OR($E574="",I$1=""),"",IF(TRIM(LEFT($E574,MIN(IFERROR(FIND("CDU",UPPER($E574)),999),IFERROR(FIND("BULK",UPPER($E574)),999),IFERROR(FIND("-",$E574),999),IFERROR(FIND("（",$E574),999))-1))=I$1,$F574,""))</f>
        <v/>
      </c>
      <c r="J574" s="418" t="str">
        <f t="shared" si="667"/>
        <v/>
      </c>
      <c r="K574" s="418" t="str">
        <f t="shared" si="667"/>
        <v/>
      </c>
      <c r="L574" s="418" t="str">
        <f t="shared" si="667"/>
        <v/>
      </c>
      <c r="M574" s="418" t="str">
        <f t="shared" si="667"/>
        <v/>
      </c>
      <c r="N574" s="418" t="str">
        <f t="shared" si="667"/>
        <v/>
      </c>
      <c r="O574" s="418" t="str">
        <f t="shared" si="667"/>
        <v/>
      </c>
      <c r="P574" s="418" t="str">
        <f t="shared" si="667"/>
        <v/>
      </c>
      <c r="Q574" s="418" t="str">
        <f t="shared" si="667"/>
        <v/>
      </c>
      <c r="R574" s="418" t="str">
        <f t="shared" si="667"/>
        <v/>
      </c>
      <c r="S574" s="418" t="str">
        <f t="shared" si="667"/>
        <v/>
      </c>
      <c r="T574" s="418" t="str">
        <f t="shared" si="667"/>
        <v/>
      </c>
      <c r="U574" s="418" t="str">
        <f t="shared" si="667"/>
        <v/>
      </c>
      <c r="V574" s="418" t="str">
        <f t="shared" si="667"/>
        <v/>
      </c>
      <c r="W574" s="418" t="str">
        <f t="shared" si="667"/>
        <v/>
      </c>
      <c r="X574" s="418" t="str">
        <f t="shared" si="667"/>
        <v/>
      </c>
      <c r="Y574" s="418" t="str">
        <f t="shared" si="667"/>
        <v/>
      </c>
      <c r="Z574" s="418" t="str">
        <f t="shared" si="667"/>
        <v/>
      </c>
      <c r="AA574" s="418" t="str">
        <f t="shared" si="667"/>
        <v/>
      </c>
      <c r="AB574" s="418" t="str">
        <f t="shared" si="667"/>
        <v/>
      </c>
      <c r="AC574" s="418" t="str">
        <f t="shared" si="667"/>
        <v/>
      </c>
      <c r="AD574" s="418" t="str">
        <f t="shared" si="667"/>
        <v/>
      </c>
      <c r="AE574" s="418" t="str">
        <f t="shared" si="667"/>
        <v/>
      </c>
      <c r="AF574" s="418" t="str">
        <f t="shared" si="667"/>
        <v/>
      </c>
      <c r="AG574" s="418" t="str">
        <f t="shared" si="667"/>
        <v/>
      </c>
      <c r="AH574" s="418" t="str">
        <f t="shared" si="667"/>
        <v/>
      </c>
      <c r="AI574" s="418" t="str">
        <f t="shared" si="667"/>
        <v/>
      </c>
      <c r="AJ574" s="418" t="str">
        <f t="shared" si="667"/>
        <v/>
      </c>
      <c r="AK574" s="418" t="str">
        <f t="shared" si="667"/>
        <v/>
      </c>
      <c r="AL574" s="418" t="str">
        <f t="shared" si="667"/>
        <v/>
      </c>
      <c r="AM574" s="418" t="str">
        <f t="shared" si="667"/>
        <v/>
      </c>
      <c r="AN574" s="418">
        <f t="shared" si="667"/>
        <v>2004</v>
      </c>
      <c r="AO574" s="418" t="str">
        <f t="shared" si="667"/>
        <v/>
      </c>
      <c r="AP574" s="418" t="str">
        <f t="shared" si="667"/>
        <v/>
      </c>
      <c r="AQ574" s="418" t="str">
        <f t="shared" si="667"/>
        <v/>
      </c>
      <c r="AR574" s="418" t="str">
        <f t="shared" si="667"/>
        <v/>
      </c>
      <c r="AS574" s="418" t="str">
        <f t="shared" si="667"/>
        <v/>
      </c>
      <c r="AT574" s="418" t="str">
        <f t="shared" si="667"/>
        <v/>
      </c>
      <c r="AU574" s="418" t="str">
        <f t="shared" si="667"/>
        <v/>
      </c>
      <c r="AV574" s="418" t="str">
        <f t="shared" si="667"/>
        <v/>
      </c>
      <c r="AW574" s="418" t="str">
        <f t="shared" si="667"/>
        <v/>
      </c>
      <c r="AX574" s="418" t="str">
        <f t="shared" si="667"/>
        <v/>
      </c>
      <c r="AY574" s="418" t="str">
        <f t="shared" si="667"/>
        <v/>
      </c>
      <c r="AZ574" s="418" t="str">
        <f t="shared" si="667"/>
        <v/>
      </c>
      <c r="BA574" s="418" t="str">
        <f t="shared" si="667"/>
        <v/>
      </c>
      <c r="BB574" s="418" t="str">
        <f t="shared" si="667"/>
        <v/>
      </c>
      <c r="BC574" s="418" t="str">
        <f t="shared" si="667"/>
        <v/>
      </c>
      <c r="BD574" s="418" t="str">
        <f t="shared" si="667"/>
        <v/>
      </c>
      <c r="BE574" s="418" t="str">
        <f t="shared" si="667"/>
        <v/>
      </c>
      <c r="BF574" s="418" t="str">
        <f t="shared" si="667"/>
        <v/>
      </c>
      <c r="BG574" s="418" t="str">
        <f t="shared" si="667"/>
        <v/>
      </c>
      <c r="BH574" s="418" t="str">
        <f t="shared" si="667"/>
        <v/>
      </c>
      <c r="BI574" s="418" t="str">
        <f t="shared" si="667"/>
        <v/>
      </c>
      <c r="BJ574" s="418" t="str">
        <f t="shared" si="667"/>
        <v/>
      </c>
      <c r="BK574" s="418" t="str">
        <f t="shared" si="667"/>
        <v/>
      </c>
      <c r="BL574" s="418" t="str">
        <f t="shared" si="667"/>
        <v/>
      </c>
      <c r="BM574" s="418" t="str">
        <f t="shared" si="667"/>
        <v/>
      </c>
      <c r="BN574" s="418" t="str">
        <f t="shared" si="667"/>
        <v/>
      </c>
      <c r="BO574" s="418" t="str">
        <f t="shared" si="667"/>
        <v/>
      </c>
      <c r="BP574" s="418" t="str">
        <f t="shared" si="667"/>
        <v/>
      </c>
      <c r="BQ574" s="418" t="str">
        <f t="shared" si="667"/>
        <v/>
      </c>
      <c r="BR574" s="418" t="str">
        <f t="shared" si="667"/>
        <v/>
      </c>
      <c r="BS574" s="418" t="str">
        <f t="shared" si="667"/>
        <v/>
      </c>
      <c r="BT574" s="418" t="str">
        <f t="shared" si="667"/>
        <v/>
      </c>
      <c r="BU574" s="418" t="str">
        <f t="shared" si="617"/>
        <v/>
      </c>
      <c r="BV574" s="544">
        <v>0.83</v>
      </c>
      <c r="BW574" s="723">
        <f t="shared" si="618"/>
        <v>1663.32</v>
      </c>
      <c r="BX574" s="724">
        <f t="shared" si="660"/>
        <v>12890.73</v>
      </c>
      <c r="BY574" s="725" t="str">
        <f t="shared" si="661"/>
        <v>SR</v>
      </c>
    </row>
    <row r="575" s="698" customFormat="1" customHeight="1" spans="1:77">
      <c r="A575" s="208">
        <v>46130</v>
      </c>
      <c r="B575" s="208">
        <v>46183</v>
      </c>
      <c r="C575" s="268" t="s">
        <v>750</v>
      </c>
      <c r="D575" s="268" t="s">
        <v>751</v>
      </c>
      <c r="E575" s="268" t="s">
        <v>119</v>
      </c>
      <c r="F575" s="343">
        <v>2400</v>
      </c>
      <c r="G575" s="268" t="s">
        <v>510</v>
      </c>
      <c r="H575" s="211" t="str">
        <f>IFERROR(VLOOKUP(E575,名称!A:E,4,0),"")</f>
        <v>三代</v>
      </c>
      <c r="I575" s="268" t="str">
        <f t="shared" ref="I575:BT575" si="668">IF(OR($E575="",I$1=""),"",IF(TRIM(LEFT($E575,MIN(IFERROR(FIND("CDU",UPPER($E575)),999),IFERROR(FIND("BULK",UPPER($E575)),999),IFERROR(FIND("-",$E575),999),IFERROR(FIND("（",$E575),999))-1))=I$1,$F575,""))</f>
        <v/>
      </c>
      <c r="J575" s="268" t="str">
        <f t="shared" si="668"/>
        <v/>
      </c>
      <c r="K575" s="268" t="str">
        <f t="shared" si="668"/>
        <v/>
      </c>
      <c r="L575" s="268" t="str">
        <f t="shared" si="668"/>
        <v/>
      </c>
      <c r="M575" s="268" t="str">
        <f t="shared" si="668"/>
        <v/>
      </c>
      <c r="N575" s="268" t="str">
        <f t="shared" si="668"/>
        <v/>
      </c>
      <c r="O575" s="268" t="str">
        <f t="shared" si="668"/>
        <v/>
      </c>
      <c r="P575" s="268" t="str">
        <f t="shared" si="668"/>
        <v/>
      </c>
      <c r="Q575" s="268" t="str">
        <f t="shared" si="668"/>
        <v/>
      </c>
      <c r="R575" s="268" t="str">
        <f t="shared" si="668"/>
        <v/>
      </c>
      <c r="S575" s="268" t="str">
        <f t="shared" si="668"/>
        <v/>
      </c>
      <c r="T575" s="268" t="str">
        <f t="shared" si="668"/>
        <v/>
      </c>
      <c r="U575" s="268" t="str">
        <f t="shared" si="668"/>
        <v/>
      </c>
      <c r="V575" s="268" t="str">
        <f t="shared" si="668"/>
        <v/>
      </c>
      <c r="W575" s="268" t="str">
        <f t="shared" si="668"/>
        <v/>
      </c>
      <c r="X575" s="268" t="str">
        <f t="shared" si="668"/>
        <v/>
      </c>
      <c r="Y575" s="268" t="str">
        <f t="shared" si="668"/>
        <v/>
      </c>
      <c r="Z575" s="268" t="str">
        <f t="shared" si="668"/>
        <v/>
      </c>
      <c r="AA575" s="268" t="str">
        <f t="shared" si="668"/>
        <v/>
      </c>
      <c r="AB575" s="268" t="str">
        <f t="shared" si="668"/>
        <v/>
      </c>
      <c r="AC575" s="268" t="str">
        <f t="shared" si="668"/>
        <v/>
      </c>
      <c r="AD575" s="268" t="str">
        <f t="shared" si="668"/>
        <v/>
      </c>
      <c r="AE575" s="268" t="str">
        <f t="shared" si="668"/>
        <v/>
      </c>
      <c r="AF575" s="268" t="str">
        <f t="shared" si="668"/>
        <v/>
      </c>
      <c r="AG575" s="268" t="str">
        <f t="shared" si="668"/>
        <v/>
      </c>
      <c r="AH575" s="268" t="str">
        <f t="shared" si="668"/>
        <v/>
      </c>
      <c r="AI575" s="268" t="str">
        <f t="shared" si="668"/>
        <v/>
      </c>
      <c r="AJ575" s="268" t="str">
        <f t="shared" si="668"/>
        <v/>
      </c>
      <c r="AK575" s="268" t="str">
        <f t="shared" si="668"/>
        <v/>
      </c>
      <c r="AL575" s="268" t="str">
        <f t="shared" si="668"/>
        <v/>
      </c>
      <c r="AM575" s="268" t="str">
        <f t="shared" si="668"/>
        <v/>
      </c>
      <c r="AN575" s="268" t="str">
        <f t="shared" si="668"/>
        <v/>
      </c>
      <c r="AO575" s="268" t="str">
        <f t="shared" si="668"/>
        <v/>
      </c>
      <c r="AP575" s="268">
        <f t="shared" si="668"/>
        <v>2400</v>
      </c>
      <c r="AQ575" s="268" t="str">
        <f t="shared" si="668"/>
        <v/>
      </c>
      <c r="AR575" s="268" t="str">
        <f t="shared" si="668"/>
        <v/>
      </c>
      <c r="AS575" s="268" t="str">
        <f t="shared" si="668"/>
        <v/>
      </c>
      <c r="AT575" s="268" t="str">
        <f t="shared" si="668"/>
        <v/>
      </c>
      <c r="AU575" s="268" t="str">
        <f t="shared" si="668"/>
        <v/>
      </c>
      <c r="AV575" s="268" t="str">
        <f t="shared" si="668"/>
        <v/>
      </c>
      <c r="AW575" s="268" t="str">
        <f t="shared" si="668"/>
        <v/>
      </c>
      <c r="AX575" s="268" t="str">
        <f t="shared" si="668"/>
        <v/>
      </c>
      <c r="AY575" s="268" t="str">
        <f t="shared" si="668"/>
        <v/>
      </c>
      <c r="AZ575" s="268" t="str">
        <f t="shared" si="668"/>
        <v/>
      </c>
      <c r="BA575" s="268" t="str">
        <f t="shared" si="668"/>
        <v/>
      </c>
      <c r="BB575" s="268" t="str">
        <f t="shared" si="668"/>
        <v/>
      </c>
      <c r="BC575" s="268" t="str">
        <f t="shared" si="668"/>
        <v/>
      </c>
      <c r="BD575" s="268" t="str">
        <f t="shared" si="668"/>
        <v/>
      </c>
      <c r="BE575" s="268" t="str">
        <f t="shared" si="668"/>
        <v/>
      </c>
      <c r="BF575" s="268" t="str">
        <f t="shared" si="668"/>
        <v/>
      </c>
      <c r="BG575" s="268" t="str">
        <f t="shared" si="668"/>
        <v/>
      </c>
      <c r="BH575" s="268" t="str">
        <f t="shared" si="668"/>
        <v/>
      </c>
      <c r="BI575" s="268" t="str">
        <f t="shared" si="668"/>
        <v/>
      </c>
      <c r="BJ575" s="268" t="str">
        <f t="shared" si="668"/>
        <v/>
      </c>
      <c r="BK575" s="268" t="str">
        <f t="shared" si="668"/>
        <v/>
      </c>
      <c r="BL575" s="268" t="str">
        <f t="shared" si="668"/>
        <v/>
      </c>
      <c r="BM575" s="268" t="str">
        <f t="shared" si="668"/>
        <v/>
      </c>
      <c r="BN575" s="268" t="str">
        <f t="shared" si="668"/>
        <v/>
      </c>
      <c r="BO575" s="268" t="str">
        <f t="shared" si="668"/>
        <v/>
      </c>
      <c r="BP575" s="268" t="str">
        <f t="shared" si="668"/>
        <v/>
      </c>
      <c r="BQ575" s="268" t="str">
        <f t="shared" si="668"/>
        <v/>
      </c>
      <c r="BR575" s="268" t="str">
        <f t="shared" si="668"/>
        <v/>
      </c>
      <c r="BS575" s="268" t="str">
        <f t="shared" si="668"/>
        <v/>
      </c>
      <c r="BT575" s="268" t="str">
        <f t="shared" si="668"/>
        <v/>
      </c>
      <c r="BU575" s="268" t="str">
        <f t="shared" si="617"/>
        <v/>
      </c>
      <c r="BV575" s="247">
        <v>0.65</v>
      </c>
      <c r="BW575" s="729">
        <f t="shared" si="618"/>
        <v>1560</v>
      </c>
      <c r="BX575" s="730">
        <f t="shared" ref="BX575:BX607" si="669">BW575*7.75</f>
        <v>12090</v>
      </c>
      <c r="BY575" s="731" t="str">
        <f t="shared" ref="BY575:BY606" si="670">MID(E575,1,2)</f>
        <v>SR</v>
      </c>
    </row>
    <row r="576" s="698" customFormat="1" customHeight="1" spans="1:77">
      <c r="A576" s="208">
        <v>46130</v>
      </c>
      <c r="B576" s="208">
        <v>46183</v>
      </c>
      <c r="C576" s="268" t="s">
        <v>750</v>
      </c>
      <c r="D576" s="268" t="s">
        <v>751</v>
      </c>
      <c r="E576" s="268" t="s">
        <v>55</v>
      </c>
      <c r="F576" s="343">
        <v>1280</v>
      </c>
      <c r="G576" s="268" t="s">
        <v>510</v>
      </c>
      <c r="H576" s="211" t="str">
        <f>IFERROR(VLOOKUP(E576,名称!A:E,4,0),"")</f>
        <v>三代</v>
      </c>
      <c r="I576" s="268" t="str">
        <f t="shared" ref="I576:BT576" si="671">IF(OR($E576="",I$1=""),"",IF(TRIM(LEFT($E576,MIN(IFERROR(FIND("CDU",UPPER($E576)),999),IFERROR(FIND("BULK",UPPER($E576)),999),IFERROR(FIND("-",$E576),999),IFERROR(FIND("（",$E576),999))-1))=I$1,$F576,""))</f>
        <v/>
      </c>
      <c r="J576" s="268" t="str">
        <f t="shared" si="671"/>
        <v/>
      </c>
      <c r="K576" s="268" t="str">
        <f t="shared" si="671"/>
        <v/>
      </c>
      <c r="L576" s="268" t="str">
        <f t="shared" si="671"/>
        <v/>
      </c>
      <c r="M576" s="268" t="str">
        <f t="shared" si="671"/>
        <v/>
      </c>
      <c r="N576" s="268" t="str">
        <f t="shared" si="671"/>
        <v/>
      </c>
      <c r="O576" s="268" t="str">
        <f t="shared" si="671"/>
        <v/>
      </c>
      <c r="P576" s="268" t="str">
        <f t="shared" si="671"/>
        <v/>
      </c>
      <c r="Q576" s="268" t="str">
        <f t="shared" si="671"/>
        <v/>
      </c>
      <c r="R576" s="268" t="str">
        <f t="shared" si="671"/>
        <v/>
      </c>
      <c r="S576" s="268" t="str">
        <f t="shared" si="671"/>
        <v/>
      </c>
      <c r="T576" s="268" t="str">
        <f t="shared" si="671"/>
        <v/>
      </c>
      <c r="U576" s="268" t="str">
        <f t="shared" si="671"/>
        <v/>
      </c>
      <c r="V576" s="268" t="str">
        <f t="shared" si="671"/>
        <v/>
      </c>
      <c r="W576" s="268" t="str">
        <f t="shared" si="671"/>
        <v/>
      </c>
      <c r="X576" s="268" t="str">
        <f t="shared" si="671"/>
        <v/>
      </c>
      <c r="Y576" s="268" t="str">
        <f t="shared" si="671"/>
        <v/>
      </c>
      <c r="Z576" s="268" t="str">
        <f t="shared" si="671"/>
        <v/>
      </c>
      <c r="AA576" s="268" t="str">
        <f t="shared" si="671"/>
        <v/>
      </c>
      <c r="AB576" s="268" t="str">
        <f t="shared" si="671"/>
        <v/>
      </c>
      <c r="AC576" s="268">
        <f t="shared" si="671"/>
        <v>1280</v>
      </c>
      <c r="AD576" s="268" t="str">
        <f t="shared" si="671"/>
        <v/>
      </c>
      <c r="AE576" s="268" t="str">
        <f t="shared" si="671"/>
        <v/>
      </c>
      <c r="AF576" s="268" t="str">
        <f t="shared" si="671"/>
        <v/>
      </c>
      <c r="AG576" s="268" t="str">
        <f t="shared" si="671"/>
        <v/>
      </c>
      <c r="AH576" s="268" t="str">
        <f t="shared" si="671"/>
        <v/>
      </c>
      <c r="AI576" s="268" t="str">
        <f t="shared" si="671"/>
        <v/>
      </c>
      <c r="AJ576" s="268" t="str">
        <f t="shared" si="671"/>
        <v/>
      </c>
      <c r="AK576" s="268" t="str">
        <f t="shared" si="671"/>
        <v/>
      </c>
      <c r="AL576" s="268" t="str">
        <f t="shared" si="671"/>
        <v/>
      </c>
      <c r="AM576" s="268" t="str">
        <f t="shared" si="671"/>
        <v/>
      </c>
      <c r="AN576" s="268" t="str">
        <f t="shared" si="671"/>
        <v/>
      </c>
      <c r="AO576" s="268" t="str">
        <f t="shared" si="671"/>
        <v/>
      </c>
      <c r="AP576" s="268" t="str">
        <f t="shared" si="671"/>
        <v/>
      </c>
      <c r="AQ576" s="268" t="str">
        <f t="shared" si="671"/>
        <v/>
      </c>
      <c r="AR576" s="268" t="str">
        <f t="shared" si="671"/>
        <v/>
      </c>
      <c r="AS576" s="268" t="str">
        <f t="shared" si="671"/>
        <v/>
      </c>
      <c r="AT576" s="268" t="str">
        <f t="shared" si="671"/>
        <v/>
      </c>
      <c r="AU576" s="268" t="str">
        <f t="shared" si="671"/>
        <v/>
      </c>
      <c r="AV576" s="268" t="str">
        <f t="shared" si="671"/>
        <v/>
      </c>
      <c r="AW576" s="268" t="str">
        <f t="shared" si="671"/>
        <v/>
      </c>
      <c r="AX576" s="268" t="str">
        <f t="shared" si="671"/>
        <v/>
      </c>
      <c r="AY576" s="268" t="str">
        <f t="shared" si="671"/>
        <v/>
      </c>
      <c r="AZ576" s="268" t="str">
        <f t="shared" si="671"/>
        <v/>
      </c>
      <c r="BA576" s="268" t="str">
        <f t="shared" si="671"/>
        <v/>
      </c>
      <c r="BB576" s="268" t="str">
        <f t="shared" si="671"/>
        <v/>
      </c>
      <c r="BC576" s="268" t="str">
        <f t="shared" si="671"/>
        <v/>
      </c>
      <c r="BD576" s="268" t="str">
        <f t="shared" si="671"/>
        <v/>
      </c>
      <c r="BE576" s="268" t="str">
        <f t="shared" si="671"/>
        <v/>
      </c>
      <c r="BF576" s="268" t="str">
        <f t="shared" si="671"/>
        <v/>
      </c>
      <c r="BG576" s="268" t="str">
        <f t="shared" si="671"/>
        <v/>
      </c>
      <c r="BH576" s="268" t="str">
        <f t="shared" si="671"/>
        <v/>
      </c>
      <c r="BI576" s="268" t="str">
        <f t="shared" si="671"/>
        <v/>
      </c>
      <c r="BJ576" s="268" t="str">
        <f t="shared" si="671"/>
        <v/>
      </c>
      <c r="BK576" s="268" t="str">
        <f t="shared" si="671"/>
        <v/>
      </c>
      <c r="BL576" s="268" t="str">
        <f t="shared" si="671"/>
        <v/>
      </c>
      <c r="BM576" s="268" t="str">
        <f t="shared" si="671"/>
        <v/>
      </c>
      <c r="BN576" s="268" t="str">
        <f t="shared" si="671"/>
        <v/>
      </c>
      <c r="BO576" s="268" t="str">
        <f t="shared" si="671"/>
        <v/>
      </c>
      <c r="BP576" s="268" t="str">
        <f t="shared" si="671"/>
        <v/>
      </c>
      <c r="BQ576" s="268" t="str">
        <f t="shared" si="671"/>
        <v/>
      </c>
      <c r="BR576" s="268" t="str">
        <f t="shared" si="671"/>
        <v/>
      </c>
      <c r="BS576" s="268" t="str">
        <f t="shared" si="671"/>
        <v/>
      </c>
      <c r="BT576" s="268" t="str">
        <f t="shared" si="671"/>
        <v/>
      </c>
      <c r="BU576" s="268" t="str">
        <f t="shared" si="617"/>
        <v/>
      </c>
      <c r="BV576" s="247">
        <v>0.93</v>
      </c>
      <c r="BW576" s="729">
        <f t="shared" si="618"/>
        <v>1190.4</v>
      </c>
      <c r="BX576" s="730">
        <f t="shared" si="669"/>
        <v>9225.6</v>
      </c>
      <c r="BY576" s="731" t="str">
        <f t="shared" si="670"/>
        <v>SR</v>
      </c>
    </row>
    <row r="577" s="698" customFormat="1" customHeight="1" spans="1:77">
      <c r="A577" s="208">
        <v>46130</v>
      </c>
      <c r="B577" s="208">
        <v>46183</v>
      </c>
      <c r="C577" s="268" t="s">
        <v>750</v>
      </c>
      <c r="D577" s="268" t="s">
        <v>751</v>
      </c>
      <c r="E577" s="268" t="s">
        <v>59</v>
      </c>
      <c r="F577" s="343">
        <v>1200</v>
      </c>
      <c r="G577" s="268" t="s">
        <v>510</v>
      </c>
      <c r="H577" s="211" t="str">
        <f>IFERROR(VLOOKUP(E577,名称!A:E,4,0),"")</f>
        <v>三代</v>
      </c>
      <c r="I577" s="268" t="str">
        <f t="shared" ref="I577:BT577" si="672">IF(OR($E577="",I$1=""),"",IF(TRIM(LEFT($E577,MIN(IFERROR(FIND("CDU",UPPER($E577)),999),IFERROR(FIND("BULK",UPPER($E577)),999),IFERROR(FIND("-",$E577),999),IFERROR(FIND("（",$E577),999))-1))=I$1,$F577,""))</f>
        <v/>
      </c>
      <c r="J577" s="268" t="str">
        <f t="shared" si="672"/>
        <v/>
      </c>
      <c r="K577" s="268" t="str">
        <f t="shared" si="672"/>
        <v/>
      </c>
      <c r="L577" s="268" t="str">
        <f t="shared" si="672"/>
        <v/>
      </c>
      <c r="M577" s="268" t="str">
        <f t="shared" si="672"/>
        <v/>
      </c>
      <c r="N577" s="268" t="str">
        <f t="shared" si="672"/>
        <v/>
      </c>
      <c r="O577" s="268" t="str">
        <f t="shared" si="672"/>
        <v/>
      </c>
      <c r="P577" s="268" t="str">
        <f t="shared" si="672"/>
        <v/>
      </c>
      <c r="Q577" s="268" t="str">
        <f t="shared" si="672"/>
        <v/>
      </c>
      <c r="R577" s="268" t="str">
        <f t="shared" si="672"/>
        <v/>
      </c>
      <c r="S577" s="268" t="str">
        <f t="shared" si="672"/>
        <v/>
      </c>
      <c r="T577" s="268" t="str">
        <f t="shared" si="672"/>
        <v/>
      </c>
      <c r="U577" s="268" t="str">
        <f t="shared" si="672"/>
        <v/>
      </c>
      <c r="V577" s="268" t="str">
        <f t="shared" si="672"/>
        <v/>
      </c>
      <c r="W577" s="268" t="str">
        <f t="shared" si="672"/>
        <v/>
      </c>
      <c r="X577" s="268" t="str">
        <f t="shared" si="672"/>
        <v/>
      </c>
      <c r="Y577" s="268" t="str">
        <f t="shared" si="672"/>
        <v/>
      </c>
      <c r="Z577" s="268" t="str">
        <f t="shared" si="672"/>
        <v/>
      </c>
      <c r="AA577" s="268" t="str">
        <f t="shared" si="672"/>
        <v/>
      </c>
      <c r="AB577" s="268" t="str">
        <f t="shared" si="672"/>
        <v/>
      </c>
      <c r="AC577" s="268" t="str">
        <f t="shared" si="672"/>
        <v/>
      </c>
      <c r="AD577" s="268">
        <f t="shared" si="672"/>
        <v>1200</v>
      </c>
      <c r="AE577" s="268" t="str">
        <f t="shared" si="672"/>
        <v/>
      </c>
      <c r="AF577" s="268" t="str">
        <f t="shared" si="672"/>
        <v/>
      </c>
      <c r="AG577" s="268" t="str">
        <f t="shared" si="672"/>
        <v/>
      </c>
      <c r="AH577" s="268" t="str">
        <f t="shared" si="672"/>
        <v/>
      </c>
      <c r="AI577" s="268" t="str">
        <f t="shared" si="672"/>
        <v/>
      </c>
      <c r="AJ577" s="268" t="str">
        <f t="shared" si="672"/>
        <v/>
      </c>
      <c r="AK577" s="268" t="str">
        <f t="shared" si="672"/>
        <v/>
      </c>
      <c r="AL577" s="268" t="str">
        <f t="shared" si="672"/>
        <v/>
      </c>
      <c r="AM577" s="268" t="str">
        <f t="shared" si="672"/>
        <v/>
      </c>
      <c r="AN577" s="268" t="str">
        <f t="shared" si="672"/>
        <v/>
      </c>
      <c r="AO577" s="268" t="str">
        <f t="shared" si="672"/>
        <v/>
      </c>
      <c r="AP577" s="268" t="str">
        <f t="shared" si="672"/>
        <v/>
      </c>
      <c r="AQ577" s="268" t="str">
        <f t="shared" si="672"/>
        <v/>
      </c>
      <c r="AR577" s="268" t="str">
        <f t="shared" si="672"/>
        <v/>
      </c>
      <c r="AS577" s="268" t="str">
        <f t="shared" si="672"/>
        <v/>
      </c>
      <c r="AT577" s="268" t="str">
        <f t="shared" si="672"/>
        <v/>
      </c>
      <c r="AU577" s="268" t="str">
        <f t="shared" si="672"/>
        <v/>
      </c>
      <c r="AV577" s="268" t="str">
        <f t="shared" si="672"/>
        <v/>
      </c>
      <c r="AW577" s="268" t="str">
        <f t="shared" si="672"/>
        <v/>
      </c>
      <c r="AX577" s="268" t="str">
        <f t="shared" si="672"/>
        <v/>
      </c>
      <c r="AY577" s="268" t="str">
        <f t="shared" si="672"/>
        <v/>
      </c>
      <c r="AZ577" s="268" t="str">
        <f t="shared" si="672"/>
        <v/>
      </c>
      <c r="BA577" s="268" t="str">
        <f t="shared" si="672"/>
        <v/>
      </c>
      <c r="BB577" s="268" t="str">
        <f t="shared" si="672"/>
        <v/>
      </c>
      <c r="BC577" s="268" t="str">
        <f t="shared" si="672"/>
        <v/>
      </c>
      <c r="BD577" s="268" t="str">
        <f t="shared" si="672"/>
        <v/>
      </c>
      <c r="BE577" s="268" t="str">
        <f t="shared" si="672"/>
        <v/>
      </c>
      <c r="BF577" s="268" t="str">
        <f t="shared" si="672"/>
        <v/>
      </c>
      <c r="BG577" s="268" t="str">
        <f t="shared" si="672"/>
        <v/>
      </c>
      <c r="BH577" s="268" t="str">
        <f t="shared" si="672"/>
        <v/>
      </c>
      <c r="BI577" s="268" t="str">
        <f t="shared" si="672"/>
        <v/>
      </c>
      <c r="BJ577" s="268" t="str">
        <f t="shared" si="672"/>
        <v/>
      </c>
      <c r="BK577" s="268" t="str">
        <f t="shared" si="672"/>
        <v/>
      </c>
      <c r="BL577" s="268" t="str">
        <f t="shared" si="672"/>
        <v/>
      </c>
      <c r="BM577" s="268" t="str">
        <f t="shared" si="672"/>
        <v/>
      </c>
      <c r="BN577" s="268" t="str">
        <f t="shared" si="672"/>
        <v/>
      </c>
      <c r="BO577" s="268" t="str">
        <f t="shared" si="672"/>
        <v/>
      </c>
      <c r="BP577" s="268" t="str">
        <f t="shared" si="672"/>
        <v/>
      </c>
      <c r="BQ577" s="268" t="str">
        <f t="shared" si="672"/>
        <v/>
      </c>
      <c r="BR577" s="268" t="str">
        <f t="shared" si="672"/>
        <v/>
      </c>
      <c r="BS577" s="268" t="str">
        <f t="shared" si="672"/>
        <v/>
      </c>
      <c r="BT577" s="268" t="str">
        <f t="shared" si="672"/>
        <v/>
      </c>
      <c r="BU577" s="268" t="str">
        <f t="shared" si="617"/>
        <v/>
      </c>
      <c r="BV577" s="247">
        <v>0.66</v>
      </c>
      <c r="BW577" s="729">
        <f t="shared" si="618"/>
        <v>792</v>
      </c>
      <c r="BX577" s="730">
        <f t="shared" si="669"/>
        <v>6138</v>
      </c>
      <c r="BY577" s="731" t="str">
        <f t="shared" si="670"/>
        <v>SR</v>
      </c>
    </row>
    <row r="578" s="698" customFormat="1" customHeight="1" spans="1:77">
      <c r="A578" s="208">
        <v>46130</v>
      </c>
      <c r="B578" s="208">
        <v>46183</v>
      </c>
      <c r="C578" s="268" t="s">
        <v>750</v>
      </c>
      <c r="D578" s="268" t="s">
        <v>751</v>
      </c>
      <c r="E578" s="268" t="s">
        <v>66</v>
      </c>
      <c r="F578" s="343">
        <v>1704</v>
      </c>
      <c r="G578" s="268" t="s">
        <v>510</v>
      </c>
      <c r="H578" s="211" t="str">
        <f>IFERROR(VLOOKUP(E578,名称!A:E,4,0),"")</f>
        <v>三代</v>
      </c>
      <c r="I578" s="268" t="str">
        <f t="shared" ref="I578:BT578" si="673">IF(OR($E578="",I$1=""),"",IF(TRIM(LEFT($E578,MIN(IFERROR(FIND("CDU",UPPER($E578)),999),IFERROR(FIND("BULK",UPPER($E578)),999),IFERROR(FIND("-",$E578),999),IFERROR(FIND("（",$E578),999))-1))=I$1,$F578,""))</f>
        <v/>
      </c>
      <c r="J578" s="268" t="str">
        <f t="shared" si="673"/>
        <v/>
      </c>
      <c r="K578" s="268" t="str">
        <f t="shared" si="673"/>
        <v/>
      </c>
      <c r="L578" s="268" t="str">
        <f t="shared" si="673"/>
        <v/>
      </c>
      <c r="M578" s="268" t="str">
        <f t="shared" si="673"/>
        <v/>
      </c>
      <c r="N578" s="268" t="str">
        <f t="shared" si="673"/>
        <v/>
      </c>
      <c r="O578" s="268" t="str">
        <f t="shared" si="673"/>
        <v/>
      </c>
      <c r="P578" s="268" t="str">
        <f t="shared" si="673"/>
        <v/>
      </c>
      <c r="Q578" s="268" t="str">
        <f t="shared" si="673"/>
        <v/>
      </c>
      <c r="R578" s="268" t="str">
        <f t="shared" si="673"/>
        <v/>
      </c>
      <c r="S578" s="268" t="str">
        <f t="shared" si="673"/>
        <v/>
      </c>
      <c r="T578" s="268" t="str">
        <f t="shared" si="673"/>
        <v/>
      </c>
      <c r="U578" s="268" t="str">
        <f t="shared" si="673"/>
        <v/>
      </c>
      <c r="V578" s="268" t="str">
        <f t="shared" si="673"/>
        <v/>
      </c>
      <c r="W578" s="268" t="str">
        <f t="shared" si="673"/>
        <v/>
      </c>
      <c r="X578" s="268" t="str">
        <f t="shared" si="673"/>
        <v/>
      </c>
      <c r="Y578" s="268" t="str">
        <f t="shared" si="673"/>
        <v/>
      </c>
      <c r="Z578" s="268" t="str">
        <f t="shared" si="673"/>
        <v/>
      </c>
      <c r="AA578" s="268" t="str">
        <f t="shared" si="673"/>
        <v/>
      </c>
      <c r="AB578" s="268" t="str">
        <f t="shared" si="673"/>
        <v/>
      </c>
      <c r="AC578" s="268" t="str">
        <f t="shared" si="673"/>
        <v/>
      </c>
      <c r="AD578" s="268" t="str">
        <f t="shared" si="673"/>
        <v/>
      </c>
      <c r="AE578" s="268" t="str">
        <f t="shared" si="673"/>
        <v/>
      </c>
      <c r="AF578" s="268" t="str">
        <f t="shared" si="673"/>
        <v/>
      </c>
      <c r="AG578" s="268">
        <f t="shared" si="673"/>
        <v>1704</v>
      </c>
      <c r="AH578" s="268" t="str">
        <f t="shared" si="673"/>
        <v/>
      </c>
      <c r="AI578" s="268" t="str">
        <f t="shared" si="673"/>
        <v/>
      </c>
      <c r="AJ578" s="268" t="str">
        <f t="shared" si="673"/>
        <v/>
      </c>
      <c r="AK578" s="268" t="str">
        <f t="shared" si="673"/>
        <v/>
      </c>
      <c r="AL578" s="268" t="str">
        <f t="shared" si="673"/>
        <v/>
      </c>
      <c r="AM578" s="268" t="str">
        <f t="shared" si="673"/>
        <v/>
      </c>
      <c r="AN578" s="268" t="str">
        <f t="shared" si="673"/>
        <v/>
      </c>
      <c r="AO578" s="268" t="str">
        <f t="shared" si="673"/>
        <v/>
      </c>
      <c r="AP578" s="268" t="str">
        <f t="shared" si="673"/>
        <v/>
      </c>
      <c r="AQ578" s="268" t="str">
        <f t="shared" si="673"/>
        <v/>
      </c>
      <c r="AR578" s="268" t="str">
        <f t="shared" si="673"/>
        <v/>
      </c>
      <c r="AS578" s="268" t="str">
        <f t="shared" si="673"/>
        <v/>
      </c>
      <c r="AT578" s="268" t="str">
        <f t="shared" si="673"/>
        <v/>
      </c>
      <c r="AU578" s="268" t="str">
        <f t="shared" si="673"/>
        <v/>
      </c>
      <c r="AV578" s="268" t="str">
        <f t="shared" si="673"/>
        <v/>
      </c>
      <c r="AW578" s="268" t="str">
        <f t="shared" si="673"/>
        <v/>
      </c>
      <c r="AX578" s="268" t="str">
        <f t="shared" si="673"/>
        <v/>
      </c>
      <c r="AY578" s="268" t="str">
        <f t="shared" si="673"/>
        <v/>
      </c>
      <c r="AZ578" s="268" t="str">
        <f t="shared" si="673"/>
        <v/>
      </c>
      <c r="BA578" s="268" t="str">
        <f t="shared" si="673"/>
        <v/>
      </c>
      <c r="BB578" s="268" t="str">
        <f t="shared" si="673"/>
        <v/>
      </c>
      <c r="BC578" s="268" t="str">
        <f t="shared" si="673"/>
        <v/>
      </c>
      <c r="BD578" s="268" t="str">
        <f t="shared" si="673"/>
        <v/>
      </c>
      <c r="BE578" s="268" t="str">
        <f t="shared" si="673"/>
        <v/>
      </c>
      <c r="BF578" s="268" t="str">
        <f t="shared" si="673"/>
        <v/>
      </c>
      <c r="BG578" s="268" t="str">
        <f t="shared" si="673"/>
        <v/>
      </c>
      <c r="BH578" s="268" t="str">
        <f t="shared" si="673"/>
        <v/>
      </c>
      <c r="BI578" s="268" t="str">
        <f t="shared" si="673"/>
        <v/>
      </c>
      <c r="BJ578" s="268" t="str">
        <f t="shared" si="673"/>
        <v/>
      </c>
      <c r="BK578" s="268" t="str">
        <f t="shared" si="673"/>
        <v/>
      </c>
      <c r="BL578" s="268" t="str">
        <f t="shared" si="673"/>
        <v/>
      </c>
      <c r="BM578" s="268" t="str">
        <f t="shared" si="673"/>
        <v/>
      </c>
      <c r="BN578" s="268" t="str">
        <f t="shared" si="673"/>
        <v/>
      </c>
      <c r="BO578" s="268" t="str">
        <f t="shared" si="673"/>
        <v/>
      </c>
      <c r="BP578" s="268" t="str">
        <f t="shared" si="673"/>
        <v/>
      </c>
      <c r="BQ578" s="268" t="str">
        <f t="shared" si="673"/>
        <v/>
      </c>
      <c r="BR578" s="268" t="str">
        <f t="shared" si="673"/>
        <v/>
      </c>
      <c r="BS578" s="268" t="str">
        <f t="shared" si="673"/>
        <v/>
      </c>
      <c r="BT578" s="268" t="str">
        <f t="shared" si="673"/>
        <v/>
      </c>
      <c r="BU578" s="268" t="str">
        <f t="shared" si="617"/>
        <v/>
      </c>
      <c r="BV578" s="247">
        <v>2.09</v>
      </c>
      <c r="BW578" s="729">
        <f t="shared" si="618"/>
        <v>3561.36</v>
      </c>
      <c r="BX578" s="730">
        <f t="shared" si="669"/>
        <v>27600.54</v>
      </c>
      <c r="BY578" s="731" t="str">
        <f t="shared" si="670"/>
        <v>SR</v>
      </c>
    </row>
    <row r="579" s="698" customFormat="1" customHeight="1" spans="1:77">
      <c r="A579" s="208">
        <v>46130</v>
      </c>
      <c r="B579" s="208">
        <v>46183</v>
      </c>
      <c r="C579" s="268" t="s">
        <v>750</v>
      </c>
      <c r="D579" s="268" t="s">
        <v>751</v>
      </c>
      <c r="E579" s="268" t="s">
        <v>68</v>
      </c>
      <c r="F579" s="343">
        <v>600</v>
      </c>
      <c r="G579" s="268" t="s">
        <v>510</v>
      </c>
      <c r="H579" s="211" t="str">
        <f>IFERROR(VLOOKUP(E579,名称!A:E,4,0),"")</f>
        <v>三代</v>
      </c>
      <c r="I579" s="268" t="str">
        <f t="shared" ref="I579:BT579" si="674">IF(OR($E579="",I$1=""),"",IF(TRIM(LEFT($E579,MIN(IFERROR(FIND("CDU",UPPER($E579)),999),IFERROR(FIND("BULK",UPPER($E579)),999),IFERROR(FIND("-",$E579),999),IFERROR(FIND("（",$E579),999))-1))=I$1,$F579,""))</f>
        <v/>
      </c>
      <c r="J579" s="268" t="str">
        <f t="shared" si="674"/>
        <v/>
      </c>
      <c r="K579" s="268" t="str">
        <f t="shared" si="674"/>
        <v/>
      </c>
      <c r="L579" s="268" t="str">
        <f t="shared" si="674"/>
        <v/>
      </c>
      <c r="M579" s="268" t="str">
        <f t="shared" si="674"/>
        <v/>
      </c>
      <c r="N579" s="268" t="str">
        <f t="shared" si="674"/>
        <v/>
      </c>
      <c r="O579" s="268" t="str">
        <f t="shared" si="674"/>
        <v/>
      </c>
      <c r="P579" s="268" t="str">
        <f t="shared" si="674"/>
        <v/>
      </c>
      <c r="Q579" s="268" t="str">
        <f t="shared" si="674"/>
        <v/>
      </c>
      <c r="R579" s="268" t="str">
        <f t="shared" si="674"/>
        <v/>
      </c>
      <c r="S579" s="268" t="str">
        <f t="shared" si="674"/>
        <v/>
      </c>
      <c r="T579" s="268" t="str">
        <f t="shared" si="674"/>
        <v/>
      </c>
      <c r="U579" s="268" t="str">
        <f t="shared" si="674"/>
        <v/>
      </c>
      <c r="V579" s="268" t="str">
        <f t="shared" si="674"/>
        <v/>
      </c>
      <c r="W579" s="268" t="str">
        <f t="shared" si="674"/>
        <v/>
      </c>
      <c r="X579" s="268" t="str">
        <f t="shared" si="674"/>
        <v/>
      </c>
      <c r="Y579" s="268" t="str">
        <f t="shared" si="674"/>
        <v/>
      </c>
      <c r="Z579" s="268" t="str">
        <f t="shared" si="674"/>
        <v/>
      </c>
      <c r="AA579" s="268" t="str">
        <f t="shared" si="674"/>
        <v/>
      </c>
      <c r="AB579" s="268" t="str">
        <f t="shared" si="674"/>
        <v/>
      </c>
      <c r="AC579" s="268" t="str">
        <f t="shared" si="674"/>
        <v/>
      </c>
      <c r="AD579" s="268" t="str">
        <f t="shared" si="674"/>
        <v/>
      </c>
      <c r="AE579" s="268" t="str">
        <f t="shared" si="674"/>
        <v/>
      </c>
      <c r="AF579" s="268" t="str">
        <f t="shared" si="674"/>
        <v/>
      </c>
      <c r="AG579" s="268" t="str">
        <f t="shared" si="674"/>
        <v/>
      </c>
      <c r="AH579" s="268">
        <f t="shared" si="674"/>
        <v>600</v>
      </c>
      <c r="AI579" s="268" t="str">
        <f t="shared" si="674"/>
        <v/>
      </c>
      <c r="AJ579" s="268" t="str">
        <f t="shared" si="674"/>
        <v/>
      </c>
      <c r="AK579" s="268" t="str">
        <f t="shared" si="674"/>
        <v/>
      </c>
      <c r="AL579" s="268" t="str">
        <f t="shared" si="674"/>
        <v/>
      </c>
      <c r="AM579" s="268" t="str">
        <f t="shared" si="674"/>
        <v/>
      </c>
      <c r="AN579" s="268" t="str">
        <f t="shared" si="674"/>
        <v/>
      </c>
      <c r="AO579" s="268" t="str">
        <f t="shared" si="674"/>
        <v/>
      </c>
      <c r="AP579" s="268" t="str">
        <f t="shared" si="674"/>
        <v/>
      </c>
      <c r="AQ579" s="268" t="str">
        <f t="shared" si="674"/>
        <v/>
      </c>
      <c r="AR579" s="268" t="str">
        <f t="shared" si="674"/>
        <v/>
      </c>
      <c r="AS579" s="268" t="str">
        <f t="shared" si="674"/>
        <v/>
      </c>
      <c r="AT579" s="268" t="str">
        <f t="shared" si="674"/>
        <v/>
      </c>
      <c r="AU579" s="268" t="str">
        <f t="shared" si="674"/>
        <v/>
      </c>
      <c r="AV579" s="268" t="str">
        <f t="shared" si="674"/>
        <v/>
      </c>
      <c r="AW579" s="268" t="str">
        <f t="shared" si="674"/>
        <v/>
      </c>
      <c r="AX579" s="268" t="str">
        <f t="shared" si="674"/>
        <v/>
      </c>
      <c r="AY579" s="268" t="str">
        <f t="shared" si="674"/>
        <v/>
      </c>
      <c r="AZ579" s="268" t="str">
        <f t="shared" si="674"/>
        <v/>
      </c>
      <c r="BA579" s="268" t="str">
        <f t="shared" si="674"/>
        <v/>
      </c>
      <c r="BB579" s="268" t="str">
        <f t="shared" si="674"/>
        <v/>
      </c>
      <c r="BC579" s="268" t="str">
        <f t="shared" si="674"/>
        <v/>
      </c>
      <c r="BD579" s="268" t="str">
        <f t="shared" si="674"/>
        <v/>
      </c>
      <c r="BE579" s="268" t="str">
        <f t="shared" si="674"/>
        <v/>
      </c>
      <c r="BF579" s="268" t="str">
        <f t="shared" si="674"/>
        <v/>
      </c>
      <c r="BG579" s="268" t="str">
        <f t="shared" si="674"/>
        <v/>
      </c>
      <c r="BH579" s="268" t="str">
        <f t="shared" si="674"/>
        <v/>
      </c>
      <c r="BI579" s="268" t="str">
        <f t="shared" si="674"/>
        <v/>
      </c>
      <c r="BJ579" s="268" t="str">
        <f t="shared" si="674"/>
        <v/>
      </c>
      <c r="BK579" s="268" t="str">
        <f t="shared" si="674"/>
        <v/>
      </c>
      <c r="BL579" s="268" t="str">
        <f t="shared" si="674"/>
        <v/>
      </c>
      <c r="BM579" s="268" t="str">
        <f t="shared" si="674"/>
        <v/>
      </c>
      <c r="BN579" s="268" t="str">
        <f t="shared" si="674"/>
        <v/>
      </c>
      <c r="BO579" s="268" t="str">
        <f t="shared" si="674"/>
        <v/>
      </c>
      <c r="BP579" s="268" t="str">
        <f t="shared" si="674"/>
        <v/>
      </c>
      <c r="BQ579" s="268" t="str">
        <f t="shared" si="674"/>
        <v/>
      </c>
      <c r="BR579" s="268" t="str">
        <f t="shared" si="674"/>
        <v/>
      </c>
      <c r="BS579" s="268" t="str">
        <f t="shared" si="674"/>
        <v/>
      </c>
      <c r="BT579" s="268" t="str">
        <f t="shared" si="674"/>
        <v/>
      </c>
      <c r="BU579" s="268" t="str">
        <f t="shared" ref="BU579:BU606" si="675">IF(OR($E579="",BU$1=""),"",IF(TRIM(LEFT($E579,MIN(IFERROR(FIND("CDU",UPPER($E579)),999),IFERROR(FIND("BULK",UPPER($E579)),999),IFERROR(FIND("-",$E579),999),IFERROR(FIND("（",$E579),999))-1))=BU$1,$F579,""))</f>
        <v/>
      </c>
      <c r="BV579" s="247">
        <v>3.23</v>
      </c>
      <c r="BW579" s="729">
        <f t="shared" si="618"/>
        <v>1938</v>
      </c>
      <c r="BX579" s="730">
        <f t="shared" si="669"/>
        <v>15019.5</v>
      </c>
      <c r="BY579" s="731" t="str">
        <f t="shared" si="670"/>
        <v>SR</v>
      </c>
    </row>
    <row r="580" s="698" customFormat="1" customHeight="1" spans="1:77">
      <c r="A580" s="208">
        <v>46130</v>
      </c>
      <c r="B580" s="208">
        <v>46183</v>
      </c>
      <c r="C580" s="268" t="s">
        <v>750</v>
      </c>
      <c r="D580" s="268" t="s">
        <v>751</v>
      </c>
      <c r="E580" s="268" t="s">
        <v>72</v>
      </c>
      <c r="F580" s="343">
        <v>1140</v>
      </c>
      <c r="G580" s="268" t="s">
        <v>510</v>
      </c>
      <c r="H580" s="211" t="str">
        <f>IFERROR(VLOOKUP(E580,名称!A:E,4,0),"")</f>
        <v>三代</v>
      </c>
      <c r="I580" s="268" t="str">
        <f t="shared" ref="I580:BT580" si="676">IF(OR($E580="",I$1=""),"",IF(TRIM(LEFT($E580,MIN(IFERROR(FIND("CDU",UPPER($E580)),999),IFERROR(FIND("BULK",UPPER($E580)),999),IFERROR(FIND("-",$E580),999),IFERROR(FIND("（",$E580),999))-1))=I$1,$F580,""))</f>
        <v/>
      </c>
      <c r="J580" s="268" t="str">
        <f t="shared" si="676"/>
        <v/>
      </c>
      <c r="K580" s="268" t="str">
        <f t="shared" si="676"/>
        <v/>
      </c>
      <c r="L580" s="268" t="str">
        <f t="shared" si="676"/>
        <v/>
      </c>
      <c r="M580" s="268" t="str">
        <f t="shared" si="676"/>
        <v/>
      </c>
      <c r="N580" s="268" t="str">
        <f t="shared" si="676"/>
        <v/>
      </c>
      <c r="O580" s="268" t="str">
        <f t="shared" si="676"/>
        <v/>
      </c>
      <c r="P580" s="268" t="str">
        <f t="shared" si="676"/>
        <v/>
      </c>
      <c r="Q580" s="268" t="str">
        <f t="shared" si="676"/>
        <v/>
      </c>
      <c r="R580" s="268" t="str">
        <f t="shared" si="676"/>
        <v/>
      </c>
      <c r="S580" s="268" t="str">
        <f t="shared" si="676"/>
        <v/>
      </c>
      <c r="T580" s="268" t="str">
        <f t="shared" si="676"/>
        <v/>
      </c>
      <c r="U580" s="268" t="str">
        <f t="shared" si="676"/>
        <v/>
      </c>
      <c r="V580" s="268" t="str">
        <f t="shared" si="676"/>
        <v/>
      </c>
      <c r="W580" s="268" t="str">
        <f t="shared" si="676"/>
        <v/>
      </c>
      <c r="X580" s="268" t="str">
        <f t="shared" si="676"/>
        <v/>
      </c>
      <c r="Y580" s="268" t="str">
        <f t="shared" si="676"/>
        <v/>
      </c>
      <c r="Z580" s="268" t="str">
        <f t="shared" si="676"/>
        <v/>
      </c>
      <c r="AA580" s="268" t="str">
        <f t="shared" si="676"/>
        <v/>
      </c>
      <c r="AB580" s="268" t="str">
        <f t="shared" si="676"/>
        <v/>
      </c>
      <c r="AC580" s="268" t="str">
        <f t="shared" si="676"/>
        <v/>
      </c>
      <c r="AD580" s="268" t="str">
        <f t="shared" si="676"/>
        <v/>
      </c>
      <c r="AE580" s="268" t="str">
        <f t="shared" si="676"/>
        <v/>
      </c>
      <c r="AF580" s="268" t="str">
        <f t="shared" si="676"/>
        <v/>
      </c>
      <c r="AG580" s="268" t="str">
        <f t="shared" si="676"/>
        <v/>
      </c>
      <c r="AH580" s="268" t="str">
        <f t="shared" si="676"/>
        <v/>
      </c>
      <c r="AI580" s="268" t="str">
        <f t="shared" si="676"/>
        <v/>
      </c>
      <c r="AJ580" s="268" t="str">
        <f t="shared" si="676"/>
        <v/>
      </c>
      <c r="AK580" s="268" t="str">
        <f t="shared" si="676"/>
        <v/>
      </c>
      <c r="AL580" s="268">
        <f t="shared" si="676"/>
        <v>1140</v>
      </c>
      <c r="AM580" s="268" t="str">
        <f t="shared" si="676"/>
        <v/>
      </c>
      <c r="AN580" s="268" t="str">
        <f t="shared" si="676"/>
        <v/>
      </c>
      <c r="AO580" s="268" t="str">
        <f t="shared" si="676"/>
        <v/>
      </c>
      <c r="AP580" s="268" t="str">
        <f t="shared" si="676"/>
        <v/>
      </c>
      <c r="AQ580" s="268" t="str">
        <f t="shared" si="676"/>
        <v/>
      </c>
      <c r="AR580" s="268" t="str">
        <f t="shared" si="676"/>
        <v/>
      </c>
      <c r="AS580" s="268" t="str">
        <f t="shared" si="676"/>
        <v/>
      </c>
      <c r="AT580" s="268" t="str">
        <f t="shared" si="676"/>
        <v/>
      </c>
      <c r="AU580" s="268" t="str">
        <f t="shared" si="676"/>
        <v/>
      </c>
      <c r="AV580" s="268" t="str">
        <f t="shared" si="676"/>
        <v/>
      </c>
      <c r="AW580" s="268" t="str">
        <f t="shared" si="676"/>
        <v/>
      </c>
      <c r="AX580" s="268" t="str">
        <f t="shared" si="676"/>
        <v/>
      </c>
      <c r="AY580" s="268" t="str">
        <f t="shared" si="676"/>
        <v/>
      </c>
      <c r="AZ580" s="268" t="str">
        <f t="shared" si="676"/>
        <v/>
      </c>
      <c r="BA580" s="268" t="str">
        <f t="shared" si="676"/>
        <v/>
      </c>
      <c r="BB580" s="268" t="str">
        <f t="shared" si="676"/>
        <v/>
      </c>
      <c r="BC580" s="268" t="str">
        <f t="shared" si="676"/>
        <v/>
      </c>
      <c r="BD580" s="268" t="str">
        <f t="shared" si="676"/>
        <v/>
      </c>
      <c r="BE580" s="268" t="str">
        <f t="shared" si="676"/>
        <v/>
      </c>
      <c r="BF580" s="268" t="str">
        <f t="shared" si="676"/>
        <v/>
      </c>
      <c r="BG580" s="268" t="str">
        <f t="shared" si="676"/>
        <v/>
      </c>
      <c r="BH580" s="268" t="str">
        <f t="shared" si="676"/>
        <v/>
      </c>
      <c r="BI580" s="268" t="str">
        <f t="shared" si="676"/>
        <v/>
      </c>
      <c r="BJ580" s="268" t="str">
        <f t="shared" si="676"/>
        <v/>
      </c>
      <c r="BK580" s="268" t="str">
        <f t="shared" si="676"/>
        <v/>
      </c>
      <c r="BL580" s="268" t="str">
        <f t="shared" si="676"/>
        <v/>
      </c>
      <c r="BM580" s="268" t="str">
        <f t="shared" si="676"/>
        <v/>
      </c>
      <c r="BN580" s="268" t="str">
        <f t="shared" si="676"/>
        <v/>
      </c>
      <c r="BO580" s="268" t="str">
        <f t="shared" si="676"/>
        <v/>
      </c>
      <c r="BP580" s="268" t="str">
        <f t="shared" si="676"/>
        <v/>
      </c>
      <c r="BQ580" s="268" t="str">
        <f t="shared" si="676"/>
        <v/>
      </c>
      <c r="BR580" s="268" t="str">
        <f t="shared" si="676"/>
        <v/>
      </c>
      <c r="BS580" s="268" t="str">
        <f t="shared" si="676"/>
        <v/>
      </c>
      <c r="BT580" s="268" t="str">
        <f t="shared" si="676"/>
        <v/>
      </c>
      <c r="BU580" s="268" t="str">
        <f t="shared" si="675"/>
        <v/>
      </c>
      <c r="BV580" s="247">
        <v>1.65</v>
      </c>
      <c r="BW580" s="729">
        <f t="shared" si="618"/>
        <v>1881</v>
      </c>
      <c r="BX580" s="730">
        <f t="shared" si="669"/>
        <v>14577.75</v>
      </c>
      <c r="BY580" s="731" t="str">
        <f t="shared" si="670"/>
        <v>SR</v>
      </c>
    </row>
    <row r="581" s="698" customFormat="1" customHeight="1" spans="1:77">
      <c r="A581" s="208">
        <v>46130</v>
      </c>
      <c r="B581" s="208">
        <v>46183</v>
      </c>
      <c r="C581" s="268" t="s">
        <v>750</v>
      </c>
      <c r="D581" s="268" t="s">
        <v>751</v>
      </c>
      <c r="E581" s="211" t="s">
        <v>112</v>
      </c>
      <c r="F581" s="343">
        <v>480</v>
      </c>
      <c r="G581" s="268" t="s">
        <v>510</v>
      </c>
      <c r="H581" s="211" t="str">
        <f>IFERROR(VLOOKUP(E581,名称!A:E,4,0),"")</f>
        <v>三代</v>
      </c>
      <c r="I581" s="268" t="str">
        <f t="shared" ref="I581:BT581" si="677">IF(OR($E581="",I$1=""),"",IF(TRIM(LEFT($E581,MIN(IFERROR(FIND("CDU",UPPER($E581)),999),IFERROR(FIND("BULK",UPPER($E581)),999),IFERROR(FIND("-",$E581),999),IFERROR(FIND("（",$E581),999))-1))=I$1,$F581,""))</f>
        <v/>
      </c>
      <c r="J581" s="268" t="str">
        <f t="shared" si="677"/>
        <v/>
      </c>
      <c r="K581" s="268" t="str">
        <f t="shared" si="677"/>
        <v/>
      </c>
      <c r="L581" s="268" t="str">
        <f t="shared" si="677"/>
        <v/>
      </c>
      <c r="M581" s="268" t="str">
        <f t="shared" si="677"/>
        <v/>
      </c>
      <c r="N581" s="268" t="str">
        <f t="shared" si="677"/>
        <v/>
      </c>
      <c r="O581" s="268" t="str">
        <f t="shared" si="677"/>
        <v/>
      </c>
      <c r="P581" s="268" t="str">
        <f t="shared" si="677"/>
        <v/>
      </c>
      <c r="Q581" s="268" t="str">
        <f t="shared" si="677"/>
        <v/>
      </c>
      <c r="R581" s="268" t="str">
        <f t="shared" si="677"/>
        <v/>
      </c>
      <c r="S581" s="268" t="str">
        <f t="shared" si="677"/>
        <v/>
      </c>
      <c r="T581" s="268" t="str">
        <f t="shared" si="677"/>
        <v/>
      </c>
      <c r="U581" s="268" t="str">
        <f t="shared" si="677"/>
        <v/>
      </c>
      <c r="V581" s="268" t="str">
        <f t="shared" si="677"/>
        <v/>
      </c>
      <c r="W581" s="268" t="str">
        <f t="shared" si="677"/>
        <v/>
      </c>
      <c r="X581" s="268" t="str">
        <f t="shared" si="677"/>
        <v/>
      </c>
      <c r="Y581" s="268" t="str">
        <f t="shared" si="677"/>
        <v/>
      </c>
      <c r="Z581" s="268" t="str">
        <f t="shared" si="677"/>
        <v/>
      </c>
      <c r="AA581" s="268" t="str">
        <f t="shared" si="677"/>
        <v/>
      </c>
      <c r="AB581" s="268" t="str">
        <f t="shared" si="677"/>
        <v/>
      </c>
      <c r="AC581" s="268" t="str">
        <f t="shared" si="677"/>
        <v/>
      </c>
      <c r="AD581" s="268" t="str">
        <f t="shared" si="677"/>
        <v/>
      </c>
      <c r="AE581" s="268" t="str">
        <f t="shared" si="677"/>
        <v/>
      </c>
      <c r="AF581" s="268" t="str">
        <f t="shared" si="677"/>
        <v/>
      </c>
      <c r="AG581" s="268" t="str">
        <f t="shared" si="677"/>
        <v/>
      </c>
      <c r="AH581" s="268" t="str">
        <f t="shared" si="677"/>
        <v/>
      </c>
      <c r="AI581" s="268">
        <f t="shared" si="677"/>
        <v>480</v>
      </c>
      <c r="AJ581" s="268" t="str">
        <f t="shared" si="677"/>
        <v/>
      </c>
      <c r="AK581" s="268" t="str">
        <f t="shared" si="677"/>
        <v/>
      </c>
      <c r="AL581" s="268" t="str">
        <f t="shared" si="677"/>
        <v/>
      </c>
      <c r="AM581" s="268" t="str">
        <f t="shared" si="677"/>
        <v/>
      </c>
      <c r="AN581" s="268" t="str">
        <f t="shared" si="677"/>
        <v/>
      </c>
      <c r="AO581" s="268" t="str">
        <f t="shared" si="677"/>
        <v/>
      </c>
      <c r="AP581" s="268" t="str">
        <f t="shared" si="677"/>
        <v/>
      </c>
      <c r="AQ581" s="268" t="str">
        <f t="shared" si="677"/>
        <v/>
      </c>
      <c r="AR581" s="268" t="str">
        <f t="shared" si="677"/>
        <v/>
      </c>
      <c r="AS581" s="268" t="str">
        <f t="shared" si="677"/>
        <v/>
      </c>
      <c r="AT581" s="268" t="str">
        <f t="shared" si="677"/>
        <v/>
      </c>
      <c r="AU581" s="268" t="str">
        <f t="shared" si="677"/>
        <v/>
      </c>
      <c r="AV581" s="268" t="str">
        <f t="shared" si="677"/>
        <v/>
      </c>
      <c r="AW581" s="268" t="str">
        <f t="shared" si="677"/>
        <v/>
      </c>
      <c r="AX581" s="268" t="str">
        <f t="shared" si="677"/>
        <v/>
      </c>
      <c r="AY581" s="268" t="str">
        <f t="shared" si="677"/>
        <v/>
      </c>
      <c r="AZ581" s="268" t="str">
        <f t="shared" si="677"/>
        <v/>
      </c>
      <c r="BA581" s="268" t="str">
        <f t="shared" si="677"/>
        <v/>
      </c>
      <c r="BB581" s="268" t="str">
        <f t="shared" si="677"/>
        <v/>
      </c>
      <c r="BC581" s="268" t="str">
        <f t="shared" si="677"/>
        <v/>
      </c>
      <c r="BD581" s="268" t="str">
        <f t="shared" si="677"/>
        <v/>
      </c>
      <c r="BE581" s="268" t="str">
        <f t="shared" si="677"/>
        <v/>
      </c>
      <c r="BF581" s="268" t="str">
        <f t="shared" si="677"/>
        <v/>
      </c>
      <c r="BG581" s="268" t="str">
        <f t="shared" si="677"/>
        <v/>
      </c>
      <c r="BH581" s="268" t="str">
        <f t="shared" si="677"/>
        <v/>
      </c>
      <c r="BI581" s="268" t="str">
        <f t="shared" si="677"/>
        <v/>
      </c>
      <c r="BJ581" s="268" t="str">
        <f t="shared" si="677"/>
        <v/>
      </c>
      <c r="BK581" s="268" t="str">
        <f t="shared" si="677"/>
        <v/>
      </c>
      <c r="BL581" s="268" t="str">
        <f t="shared" si="677"/>
        <v/>
      </c>
      <c r="BM581" s="268" t="str">
        <f t="shared" si="677"/>
        <v/>
      </c>
      <c r="BN581" s="268" t="str">
        <f t="shared" si="677"/>
        <v/>
      </c>
      <c r="BO581" s="268" t="str">
        <f t="shared" si="677"/>
        <v/>
      </c>
      <c r="BP581" s="268" t="str">
        <f t="shared" si="677"/>
        <v/>
      </c>
      <c r="BQ581" s="268" t="str">
        <f t="shared" si="677"/>
        <v/>
      </c>
      <c r="BR581" s="268" t="str">
        <f t="shared" si="677"/>
        <v/>
      </c>
      <c r="BS581" s="268" t="str">
        <f t="shared" si="677"/>
        <v/>
      </c>
      <c r="BT581" s="268" t="str">
        <f t="shared" si="677"/>
        <v/>
      </c>
      <c r="BU581" s="268" t="str">
        <f t="shared" si="675"/>
        <v/>
      </c>
      <c r="BV581" s="353">
        <v>9.95</v>
      </c>
      <c r="BW581" s="729">
        <f t="shared" si="618"/>
        <v>4776</v>
      </c>
      <c r="BX581" s="730">
        <f t="shared" si="669"/>
        <v>37014</v>
      </c>
      <c r="BY581" s="731" t="str">
        <f t="shared" si="670"/>
        <v>SR</v>
      </c>
    </row>
    <row r="582" s="698" customFormat="1" customHeight="1" spans="1:77">
      <c r="A582" s="208">
        <v>46130</v>
      </c>
      <c r="B582" s="208">
        <v>46183</v>
      </c>
      <c r="C582" s="268" t="s">
        <v>750</v>
      </c>
      <c r="D582" s="268" t="s">
        <v>751</v>
      </c>
      <c r="E582" s="268" t="s">
        <v>85</v>
      </c>
      <c r="F582" s="343">
        <v>2160</v>
      </c>
      <c r="G582" s="268" t="s">
        <v>510</v>
      </c>
      <c r="H582" s="211" t="str">
        <f>IFERROR(VLOOKUP(E582,名称!A:E,4,0),"")</f>
        <v>三代</v>
      </c>
      <c r="I582" s="268" t="str">
        <f t="shared" ref="I582:BT582" si="678">IF(OR($E582="",I$1=""),"",IF(TRIM(LEFT($E582,MIN(IFERROR(FIND("CDU",UPPER($E582)),999),IFERROR(FIND("BULK",UPPER($E582)),999),IFERROR(FIND("-",$E582),999),IFERROR(FIND("（",$E582),999))-1))=I$1,$F582,""))</f>
        <v/>
      </c>
      <c r="J582" s="268" t="str">
        <f t="shared" si="678"/>
        <v/>
      </c>
      <c r="K582" s="268" t="str">
        <f t="shared" si="678"/>
        <v/>
      </c>
      <c r="L582" s="268" t="str">
        <f t="shared" si="678"/>
        <v/>
      </c>
      <c r="M582" s="268" t="str">
        <f t="shared" si="678"/>
        <v/>
      </c>
      <c r="N582" s="268" t="str">
        <f t="shared" si="678"/>
        <v/>
      </c>
      <c r="O582" s="268" t="str">
        <f t="shared" si="678"/>
        <v/>
      </c>
      <c r="P582" s="268" t="str">
        <f t="shared" si="678"/>
        <v/>
      </c>
      <c r="Q582" s="268" t="str">
        <f t="shared" si="678"/>
        <v/>
      </c>
      <c r="R582" s="268" t="str">
        <f t="shared" si="678"/>
        <v/>
      </c>
      <c r="S582" s="268" t="str">
        <f t="shared" si="678"/>
        <v/>
      </c>
      <c r="T582" s="268" t="str">
        <f t="shared" si="678"/>
        <v/>
      </c>
      <c r="U582" s="268" t="str">
        <f t="shared" si="678"/>
        <v/>
      </c>
      <c r="V582" s="268" t="str">
        <f t="shared" si="678"/>
        <v/>
      </c>
      <c r="W582" s="268" t="str">
        <f t="shared" si="678"/>
        <v/>
      </c>
      <c r="X582" s="268" t="str">
        <f t="shared" si="678"/>
        <v/>
      </c>
      <c r="Y582" s="268" t="str">
        <f t="shared" si="678"/>
        <v/>
      </c>
      <c r="Z582" s="268" t="str">
        <f t="shared" si="678"/>
        <v/>
      </c>
      <c r="AA582" s="268" t="str">
        <f t="shared" si="678"/>
        <v/>
      </c>
      <c r="AB582" s="268" t="str">
        <f t="shared" si="678"/>
        <v/>
      </c>
      <c r="AC582" s="268" t="str">
        <f t="shared" si="678"/>
        <v/>
      </c>
      <c r="AD582" s="268" t="str">
        <f t="shared" si="678"/>
        <v/>
      </c>
      <c r="AE582" s="268" t="str">
        <f t="shared" si="678"/>
        <v/>
      </c>
      <c r="AF582" s="268" t="str">
        <f t="shared" si="678"/>
        <v/>
      </c>
      <c r="AG582" s="268" t="str">
        <f t="shared" si="678"/>
        <v/>
      </c>
      <c r="AH582" s="268" t="str">
        <f t="shared" si="678"/>
        <v/>
      </c>
      <c r="AI582" s="268" t="str">
        <f t="shared" si="678"/>
        <v/>
      </c>
      <c r="AJ582" s="268" t="str">
        <f t="shared" si="678"/>
        <v/>
      </c>
      <c r="AK582" s="268" t="str">
        <f t="shared" si="678"/>
        <v/>
      </c>
      <c r="AL582" s="268" t="str">
        <f t="shared" si="678"/>
        <v/>
      </c>
      <c r="AM582" s="268" t="str">
        <f t="shared" si="678"/>
        <v/>
      </c>
      <c r="AN582" s="268">
        <f t="shared" si="678"/>
        <v>2160</v>
      </c>
      <c r="AO582" s="268" t="str">
        <f t="shared" si="678"/>
        <v/>
      </c>
      <c r="AP582" s="268" t="str">
        <f t="shared" si="678"/>
        <v/>
      </c>
      <c r="AQ582" s="268" t="str">
        <f t="shared" si="678"/>
        <v/>
      </c>
      <c r="AR582" s="268" t="str">
        <f t="shared" si="678"/>
        <v/>
      </c>
      <c r="AS582" s="268" t="str">
        <f t="shared" si="678"/>
        <v/>
      </c>
      <c r="AT582" s="268" t="str">
        <f t="shared" si="678"/>
        <v/>
      </c>
      <c r="AU582" s="268" t="str">
        <f t="shared" si="678"/>
        <v/>
      </c>
      <c r="AV582" s="268" t="str">
        <f t="shared" si="678"/>
        <v/>
      </c>
      <c r="AW582" s="268" t="str">
        <f t="shared" si="678"/>
        <v/>
      </c>
      <c r="AX582" s="268" t="str">
        <f t="shared" si="678"/>
        <v/>
      </c>
      <c r="AY582" s="268" t="str">
        <f t="shared" si="678"/>
        <v/>
      </c>
      <c r="AZ582" s="268" t="str">
        <f t="shared" si="678"/>
        <v/>
      </c>
      <c r="BA582" s="268" t="str">
        <f t="shared" si="678"/>
        <v/>
      </c>
      <c r="BB582" s="268" t="str">
        <f t="shared" si="678"/>
        <v/>
      </c>
      <c r="BC582" s="268" t="str">
        <f t="shared" si="678"/>
        <v/>
      </c>
      <c r="BD582" s="268" t="str">
        <f t="shared" si="678"/>
        <v/>
      </c>
      <c r="BE582" s="268" t="str">
        <f t="shared" si="678"/>
        <v/>
      </c>
      <c r="BF582" s="268" t="str">
        <f t="shared" si="678"/>
        <v/>
      </c>
      <c r="BG582" s="268" t="str">
        <f t="shared" si="678"/>
        <v/>
      </c>
      <c r="BH582" s="268" t="str">
        <f t="shared" si="678"/>
        <v/>
      </c>
      <c r="BI582" s="268" t="str">
        <f t="shared" si="678"/>
        <v/>
      </c>
      <c r="BJ582" s="268" t="str">
        <f t="shared" si="678"/>
        <v/>
      </c>
      <c r="BK582" s="268" t="str">
        <f t="shared" si="678"/>
        <v/>
      </c>
      <c r="BL582" s="268" t="str">
        <f t="shared" si="678"/>
        <v/>
      </c>
      <c r="BM582" s="268" t="str">
        <f t="shared" si="678"/>
        <v/>
      </c>
      <c r="BN582" s="268" t="str">
        <f t="shared" si="678"/>
        <v/>
      </c>
      <c r="BO582" s="268" t="str">
        <f t="shared" si="678"/>
        <v/>
      </c>
      <c r="BP582" s="268" t="str">
        <f t="shared" si="678"/>
        <v/>
      </c>
      <c r="BQ582" s="268" t="str">
        <f t="shared" si="678"/>
        <v/>
      </c>
      <c r="BR582" s="268" t="str">
        <f t="shared" si="678"/>
        <v/>
      </c>
      <c r="BS582" s="268" t="str">
        <f t="shared" si="678"/>
        <v/>
      </c>
      <c r="BT582" s="268" t="str">
        <f t="shared" si="678"/>
        <v/>
      </c>
      <c r="BU582" s="268" t="str">
        <f t="shared" si="675"/>
        <v/>
      </c>
      <c r="BV582" s="247">
        <v>0.91</v>
      </c>
      <c r="BW582" s="729">
        <f t="shared" si="618"/>
        <v>1965.6</v>
      </c>
      <c r="BX582" s="730">
        <f t="shared" si="669"/>
        <v>15233.4</v>
      </c>
      <c r="BY582" s="731" t="str">
        <f t="shared" si="670"/>
        <v>SR</v>
      </c>
    </row>
    <row r="583" s="698" customFormat="1" customHeight="1" spans="1:77">
      <c r="A583" s="208">
        <v>46130</v>
      </c>
      <c r="B583" s="208">
        <v>46183</v>
      </c>
      <c r="C583" s="268" t="s">
        <v>750</v>
      </c>
      <c r="D583" s="268" t="s">
        <v>751</v>
      </c>
      <c r="E583" s="268" t="s">
        <v>97</v>
      </c>
      <c r="F583" s="343">
        <v>1080</v>
      </c>
      <c r="G583" s="268" t="s">
        <v>510</v>
      </c>
      <c r="H583" s="211" t="str">
        <f>IFERROR(VLOOKUP(E583,名称!A:E,4,0),"")</f>
        <v>三代</v>
      </c>
      <c r="I583" s="268" t="str">
        <f t="shared" ref="I583:BT583" si="679">IF(OR($E583="",I$1=""),"",IF(TRIM(LEFT($E583,MIN(IFERROR(FIND("CDU",UPPER($E583)),999),IFERROR(FIND("BULK",UPPER($E583)),999),IFERROR(FIND("-",$E583),999),IFERROR(FIND("（",$E583),999))-1))=I$1,$F583,""))</f>
        <v/>
      </c>
      <c r="J583" s="268" t="str">
        <f t="shared" si="679"/>
        <v/>
      </c>
      <c r="K583" s="268" t="str">
        <f t="shared" si="679"/>
        <v/>
      </c>
      <c r="L583" s="268" t="str">
        <f t="shared" si="679"/>
        <v/>
      </c>
      <c r="M583" s="268" t="str">
        <f t="shared" si="679"/>
        <v/>
      </c>
      <c r="N583" s="268" t="str">
        <f t="shared" si="679"/>
        <v/>
      </c>
      <c r="O583" s="268" t="str">
        <f t="shared" si="679"/>
        <v/>
      </c>
      <c r="P583" s="268" t="str">
        <f t="shared" si="679"/>
        <v/>
      </c>
      <c r="Q583" s="268" t="str">
        <f t="shared" si="679"/>
        <v/>
      </c>
      <c r="R583" s="268" t="str">
        <f t="shared" si="679"/>
        <v/>
      </c>
      <c r="S583" s="268" t="str">
        <f t="shared" si="679"/>
        <v/>
      </c>
      <c r="T583" s="268" t="str">
        <f t="shared" si="679"/>
        <v/>
      </c>
      <c r="U583" s="268" t="str">
        <f t="shared" si="679"/>
        <v/>
      </c>
      <c r="V583" s="268" t="str">
        <f t="shared" si="679"/>
        <v/>
      </c>
      <c r="W583" s="268" t="str">
        <f t="shared" si="679"/>
        <v/>
      </c>
      <c r="X583" s="268" t="str">
        <f t="shared" si="679"/>
        <v/>
      </c>
      <c r="Y583" s="268" t="str">
        <f t="shared" si="679"/>
        <v/>
      </c>
      <c r="Z583" s="268" t="str">
        <f t="shared" si="679"/>
        <v/>
      </c>
      <c r="AA583" s="268" t="str">
        <f t="shared" si="679"/>
        <v/>
      </c>
      <c r="AB583" s="268" t="str">
        <f t="shared" si="679"/>
        <v/>
      </c>
      <c r="AC583" s="268" t="str">
        <f t="shared" si="679"/>
        <v/>
      </c>
      <c r="AD583" s="268" t="str">
        <f t="shared" si="679"/>
        <v/>
      </c>
      <c r="AE583" s="268" t="str">
        <f t="shared" si="679"/>
        <v/>
      </c>
      <c r="AF583" s="268" t="str">
        <f t="shared" si="679"/>
        <v/>
      </c>
      <c r="AG583" s="268" t="str">
        <f t="shared" si="679"/>
        <v/>
      </c>
      <c r="AH583" s="268" t="str">
        <f t="shared" si="679"/>
        <v/>
      </c>
      <c r="AI583" s="268" t="str">
        <f t="shared" si="679"/>
        <v/>
      </c>
      <c r="AJ583" s="268" t="str">
        <f t="shared" si="679"/>
        <v/>
      </c>
      <c r="AK583" s="268" t="str">
        <f t="shared" si="679"/>
        <v/>
      </c>
      <c r="AL583" s="268" t="str">
        <f t="shared" si="679"/>
        <v/>
      </c>
      <c r="AM583" s="268" t="str">
        <f t="shared" si="679"/>
        <v/>
      </c>
      <c r="AN583" s="268" t="str">
        <f t="shared" si="679"/>
        <v/>
      </c>
      <c r="AO583" s="268" t="str">
        <f t="shared" si="679"/>
        <v/>
      </c>
      <c r="AP583" s="268" t="str">
        <f t="shared" si="679"/>
        <v/>
      </c>
      <c r="AQ583" s="268" t="str">
        <f t="shared" si="679"/>
        <v/>
      </c>
      <c r="AR583" s="268" t="str">
        <f t="shared" si="679"/>
        <v/>
      </c>
      <c r="AS583" s="268" t="str">
        <f t="shared" si="679"/>
        <v/>
      </c>
      <c r="AT583" s="268" t="str">
        <f t="shared" si="679"/>
        <v/>
      </c>
      <c r="AU583" s="268" t="str">
        <f t="shared" si="679"/>
        <v/>
      </c>
      <c r="AV583" s="268" t="str">
        <f t="shared" si="679"/>
        <v/>
      </c>
      <c r="AW583" s="268" t="str">
        <f t="shared" si="679"/>
        <v/>
      </c>
      <c r="AX583" s="268" t="str">
        <f t="shared" si="679"/>
        <v/>
      </c>
      <c r="AY583" s="268" t="str">
        <f t="shared" si="679"/>
        <v/>
      </c>
      <c r="AZ583" s="268" t="str">
        <f t="shared" si="679"/>
        <v/>
      </c>
      <c r="BA583" s="268">
        <f t="shared" si="679"/>
        <v>1080</v>
      </c>
      <c r="BB583" s="268" t="str">
        <f t="shared" si="679"/>
        <v/>
      </c>
      <c r="BC583" s="268" t="str">
        <f t="shared" si="679"/>
        <v/>
      </c>
      <c r="BD583" s="268" t="str">
        <f t="shared" si="679"/>
        <v/>
      </c>
      <c r="BE583" s="268" t="str">
        <f t="shared" si="679"/>
        <v/>
      </c>
      <c r="BF583" s="268" t="str">
        <f t="shared" si="679"/>
        <v/>
      </c>
      <c r="BG583" s="268" t="str">
        <f t="shared" si="679"/>
        <v/>
      </c>
      <c r="BH583" s="268" t="str">
        <f t="shared" si="679"/>
        <v/>
      </c>
      <c r="BI583" s="268" t="str">
        <f t="shared" si="679"/>
        <v/>
      </c>
      <c r="BJ583" s="268" t="str">
        <f t="shared" si="679"/>
        <v/>
      </c>
      <c r="BK583" s="268" t="str">
        <f t="shared" si="679"/>
        <v/>
      </c>
      <c r="BL583" s="268" t="str">
        <f t="shared" si="679"/>
        <v/>
      </c>
      <c r="BM583" s="268" t="str">
        <f t="shared" si="679"/>
        <v/>
      </c>
      <c r="BN583" s="268" t="str">
        <f t="shared" si="679"/>
        <v/>
      </c>
      <c r="BO583" s="268" t="str">
        <f t="shared" si="679"/>
        <v/>
      </c>
      <c r="BP583" s="268" t="str">
        <f t="shared" si="679"/>
        <v/>
      </c>
      <c r="BQ583" s="268" t="str">
        <f t="shared" si="679"/>
        <v/>
      </c>
      <c r="BR583" s="268" t="str">
        <f t="shared" si="679"/>
        <v/>
      </c>
      <c r="BS583" s="268" t="str">
        <f t="shared" si="679"/>
        <v/>
      </c>
      <c r="BT583" s="268" t="str">
        <f t="shared" si="679"/>
        <v/>
      </c>
      <c r="BU583" s="268" t="str">
        <f t="shared" si="675"/>
        <v/>
      </c>
      <c r="BV583" s="247">
        <v>0.66</v>
      </c>
      <c r="BW583" s="729">
        <f t="shared" si="618"/>
        <v>712.8</v>
      </c>
      <c r="BX583" s="730">
        <f t="shared" si="669"/>
        <v>5524.2</v>
      </c>
      <c r="BY583" s="731" t="str">
        <f t="shared" si="670"/>
        <v>SR</v>
      </c>
    </row>
    <row r="584" s="698" customFormat="1" customHeight="1" spans="1:77">
      <c r="A584" s="208">
        <v>46130</v>
      </c>
      <c r="B584" s="208">
        <v>46183</v>
      </c>
      <c r="C584" s="268" t="s">
        <v>750</v>
      </c>
      <c r="D584" s="268" t="s">
        <v>751</v>
      </c>
      <c r="E584" s="268" t="s">
        <v>98</v>
      </c>
      <c r="F584" s="343">
        <v>900</v>
      </c>
      <c r="G584" s="268" t="s">
        <v>510</v>
      </c>
      <c r="H584" s="211" t="str">
        <f>IFERROR(VLOOKUP(E584,名称!A:E,4,0),"")</f>
        <v>三代</v>
      </c>
      <c r="I584" s="268" t="str">
        <f t="shared" ref="I584:BT584" si="680">IF(OR($E584="",I$1=""),"",IF(TRIM(LEFT($E584,MIN(IFERROR(FIND("CDU",UPPER($E584)),999),IFERROR(FIND("BULK",UPPER($E584)),999),IFERROR(FIND("-",$E584),999),IFERROR(FIND("（",$E584),999))-1))=I$1,$F584,""))</f>
        <v/>
      </c>
      <c r="J584" s="268" t="str">
        <f t="shared" si="680"/>
        <v/>
      </c>
      <c r="K584" s="268" t="str">
        <f t="shared" si="680"/>
        <v/>
      </c>
      <c r="L584" s="268" t="str">
        <f t="shared" si="680"/>
        <v/>
      </c>
      <c r="M584" s="268" t="str">
        <f t="shared" si="680"/>
        <v/>
      </c>
      <c r="N584" s="268" t="str">
        <f t="shared" si="680"/>
        <v/>
      </c>
      <c r="O584" s="268" t="str">
        <f t="shared" si="680"/>
        <v/>
      </c>
      <c r="P584" s="268" t="str">
        <f t="shared" si="680"/>
        <v/>
      </c>
      <c r="Q584" s="268" t="str">
        <f t="shared" si="680"/>
        <v/>
      </c>
      <c r="R584" s="268" t="str">
        <f t="shared" si="680"/>
        <v/>
      </c>
      <c r="S584" s="268" t="str">
        <f t="shared" si="680"/>
        <v/>
      </c>
      <c r="T584" s="268" t="str">
        <f t="shared" si="680"/>
        <v/>
      </c>
      <c r="U584" s="268" t="str">
        <f t="shared" si="680"/>
        <v/>
      </c>
      <c r="V584" s="268" t="str">
        <f t="shared" si="680"/>
        <v/>
      </c>
      <c r="W584" s="268" t="str">
        <f t="shared" si="680"/>
        <v/>
      </c>
      <c r="X584" s="268" t="str">
        <f t="shared" si="680"/>
        <v/>
      </c>
      <c r="Y584" s="268" t="str">
        <f t="shared" si="680"/>
        <v/>
      </c>
      <c r="Z584" s="268" t="str">
        <f t="shared" si="680"/>
        <v/>
      </c>
      <c r="AA584" s="268" t="str">
        <f t="shared" si="680"/>
        <v/>
      </c>
      <c r="AB584" s="268" t="str">
        <f t="shared" si="680"/>
        <v/>
      </c>
      <c r="AC584" s="268" t="str">
        <f t="shared" si="680"/>
        <v/>
      </c>
      <c r="AD584" s="268" t="str">
        <f t="shared" si="680"/>
        <v/>
      </c>
      <c r="AE584" s="268" t="str">
        <f t="shared" si="680"/>
        <v/>
      </c>
      <c r="AF584" s="268" t="str">
        <f t="shared" si="680"/>
        <v/>
      </c>
      <c r="AG584" s="268" t="str">
        <f t="shared" si="680"/>
        <v/>
      </c>
      <c r="AH584" s="268" t="str">
        <f t="shared" si="680"/>
        <v/>
      </c>
      <c r="AI584" s="268" t="str">
        <f t="shared" si="680"/>
        <v/>
      </c>
      <c r="AJ584" s="268" t="str">
        <f t="shared" si="680"/>
        <v/>
      </c>
      <c r="AK584" s="268" t="str">
        <f t="shared" si="680"/>
        <v/>
      </c>
      <c r="AL584" s="268" t="str">
        <f t="shared" si="680"/>
        <v/>
      </c>
      <c r="AM584" s="268" t="str">
        <f t="shared" si="680"/>
        <v/>
      </c>
      <c r="AN584" s="268" t="str">
        <f t="shared" si="680"/>
        <v/>
      </c>
      <c r="AO584" s="268" t="str">
        <f t="shared" si="680"/>
        <v/>
      </c>
      <c r="AP584" s="268" t="str">
        <f t="shared" si="680"/>
        <v/>
      </c>
      <c r="AQ584" s="268" t="str">
        <f t="shared" si="680"/>
        <v/>
      </c>
      <c r="AR584" s="268" t="str">
        <f t="shared" si="680"/>
        <v/>
      </c>
      <c r="AS584" s="268" t="str">
        <f t="shared" si="680"/>
        <v/>
      </c>
      <c r="AT584" s="268" t="str">
        <f t="shared" si="680"/>
        <v/>
      </c>
      <c r="AU584" s="268" t="str">
        <f t="shared" si="680"/>
        <v/>
      </c>
      <c r="AV584" s="268" t="str">
        <f t="shared" si="680"/>
        <v/>
      </c>
      <c r="AW584" s="268" t="str">
        <f t="shared" si="680"/>
        <v/>
      </c>
      <c r="AX584" s="268" t="str">
        <f t="shared" si="680"/>
        <v/>
      </c>
      <c r="AY584" s="268" t="str">
        <f t="shared" si="680"/>
        <v/>
      </c>
      <c r="AZ584" s="268" t="str">
        <f t="shared" si="680"/>
        <v/>
      </c>
      <c r="BA584" s="268" t="str">
        <f t="shared" si="680"/>
        <v/>
      </c>
      <c r="BB584" s="268">
        <f t="shared" si="680"/>
        <v>900</v>
      </c>
      <c r="BC584" s="268" t="str">
        <f t="shared" si="680"/>
        <v/>
      </c>
      <c r="BD584" s="268" t="str">
        <f t="shared" si="680"/>
        <v/>
      </c>
      <c r="BE584" s="268" t="str">
        <f t="shared" si="680"/>
        <v/>
      </c>
      <c r="BF584" s="268" t="str">
        <f t="shared" si="680"/>
        <v/>
      </c>
      <c r="BG584" s="268" t="str">
        <f t="shared" si="680"/>
        <v/>
      </c>
      <c r="BH584" s="268" t="str">
        <f t="shared" si="680"/>
        <v/>
      </c>
      <c r="BI584" s="268" t="str">
        <f t="shared" si="680"/>
        <v/>
      </c>
      <c r="BJ584" s="268" t="str">
        <f t="shared" si="680"/>
        <v/>
      </c>
      <c r="BK584" s="268" t="str">
        <f t="shared" si="680"/>
        <v/>
      </c>
      <c r="BL584" s="268" t="str">
        <f t="shared" si="680"/>
        <v/>
      </c>
      <c r="BM584" s="268" t="str">
        <f t="shared" si="680"/>
        <v/>
      </c>
      <c r="BN584" s="268" t="str">
        <f t="shared" si="680"/>
        <v/>
      </c>
      <c r="BO584" s="268" t="str">
        <f t="shared" si="680"/>
        <v/>
      </c>
      <c r="BP584" s="268" t="str">
        <f t="shared" si="680"/>
        <v/>
      </c>
      <c r="BQ584" s="268" t="str">
        <f t="shared" si="680"/>
        <v/>
      </c>
      <c r="BR584" s="268" t="str">
        <f t="shared" si="680"/>
        <v/>
      </c>
      <c r="BS584" s="268" t="str">
        <f t="shared" si="680"/>
        <v/>
      </c>
      <c r="BT584" s="268" t="str">
        <f t="shared" si="680"/>
        <v/>
      </c>
      <c r="BU584" s="268" t="str">
        <f t="shared" si="675"/>
        <v/>
      </c>
      <c r="BV584" s="247">
        <v>1.65</v>
      </c>
      <c r="BW584" s="729">
        <f t="shared" si="618"/>
        <v>1485</v>
      </c>
      <c r="BX584" s="730">
        <f t="shared" si="669"/>
        <v>11508.75</v>
      </c>
      <c r="BY584" s="731" t="str">
        <f t="shared" si="670"/>
        <v>SR</v>
      </c>
    </row>
    <row r="585" s="698" customFormat="1" customHeight="1" spans="1:77">
      <c r="A585" s="208">
        <v>46130</v>
      </c>
      <c r="B585" s="208">
        <v>46183</v>
      </c>
      <c r="C585" s="268" t="s">
        <v>750</v>
      </c>
      <c r="D585" s="268" t="s">
        <v>751</v>
      </c>
      <c r="E585" s="268" t="s">
        <v>65</v>
      </c>
      <c r="F585" s="343">
        <v>1080</v>
      </c>
      <c r="G585" s="268" t="s">
        <v>327</v>
      </c>
      <c r="H585" s="211" t="str">
        <f>IFERROR(VLOOKUP(E585,名称!A:E,4,0),"")</f>
        <v>二代</v>
      </c>
      <c r="I585" s="268" t="str">
        <f t="shared" ref="I585:BT585" si="681">IF(OR($E585="",I$1=""),"",IF(TRIM(LEFT($E585,MIN(IFERROR(FIND("CDU",UPPER($E585)),999),IFERROR(FIND("BULK",UPPER($E585)),999),IFERROR(FIND("-",$E585),999),IFERROR(FIND("（",$E585),999))-1))=I$1,$F585,""))</f>
        <v/>
      </c>
      <c r="J585" s="268" t="str">
        <f t="shared" si="681"/>
        <v/>
      </c>
      <c r="K585" s="268" t="str">
        <f t="shared" si="681"/>
        <v/>
      </c>
      <c r="L585" s="268" t="str">
        <f t="shared" si="681"/>
        <v/>
      </c>
      <c r="M585" s="268" t="str">
        <f t="shared" si="681"/>
        <v/>
      </c>
      <c r="N585" s="268" t="str">
        <f t="shared" si="681"/>
        <v/>
      </c>
      <c r="O585" s="268" t="str">
        <f t="shared" si="681"/>
        <v/>
      </c>
      <c r="P585" s="268" t="str">
        <f t="shared" si="681"/>
        <v/>
      </c>
      <c r="Q585" s="268">
        <f t="shared" si="681"/>
        <v>1080</v>
      </c>
      <c r="R585" s="268" t="str">
        <f t="shared" si="681"/>
        <v/>
      </c>
      <c r="S585" s="268" t="str">
        <f t="shared" si="681"/>
        <v/>
      </c>
      <c r="T585" s="268" t="str">
        <f t="shared" si="681"/>
        <v/>
      </c>
      <c r="U585" s="268" t="str">
        <f t="shared" si="681"/>
        <v/>
      </c>
      <c r="V585" s="268" t="str">
        <f t="shared" si="681"/>
        <v/>
      </c>
      <c r="W585" s="268" t="str">
        <f t="shared" si="681"/>
        <v/>
      </c>
      <c r="X585" s="268" t="str">
        <f t="shared" si="681"/>
        <v/>
      </c>
      <c r="Y585" s="268" t="str">
        <f t="shared" si="681"/>
        <v/>
      </c>
      <c r="Z585" s="268" t="str">
        <f t="shared" si="681"/>
        <v/>
      </c>
      <c r="AA585" s="268" t="str">
        <f t="shared" si="681"/>
        <v/>
      </c>
      <c r="AB585" s="268" t="str">
        <f t="shared" si="681"/>
        <v/>
      </c>
      <c r="AC585" s="268" t="str">
        <f t="shared" si="681"/>
        <v/>
      </c>
      <c r="AD585" s="268" t="str">
        <f t="shared" si="681"/>
        <v/>
      </c>
      <c r="AE585" s="268" t="str">
        <f t="shared" si="681"/>
        <v/>
      </c>
      <c r="AF585" s="268" t="str">
        <f t="shared" si="681"/>
        <v/>
      </c>
      <c r="AG585" s="268" t="str">
        <f t="shared" si="681"/>
        <v/>
      </c>
      <c r="AH585" s="268" t="str">
        <f t="shared" si="681"/>
        <v/>
      </c>
      <c r="AI585" s="268" t="str">
        <f t="shared" si="681"/>
        <v/>
      </c>
      <c r="AJ585" s="268" t="str">
        <f t="shared" si="681"/>
        <v/>
      </c>
      <c r="AK585" s="268" t="str">
        <f t="shared" si="681"/>
        <v/>
      </c>
      <c r="AL585" s="268" t="str">
        <f t="shared" si="681"/>
        <v/>
      </c>
      <c r="AM585" s="268" t="str">
        <f t="shared" si="681"/>
        <v/>
      </c>
      <c r="AN585" s="268" t="str">
        <f t="shared" si="681"/>
        <v/>
      </c>
      <c r="AO585" s="268" t="str">
        <f t="shared" si="681"/>
        <v/>
      </c>
      <c r="AP585" s="268" t="str">
        <f t="shared" si="681"/>
        <v/>
      </c>
      <c r="AQ585" s="268" t="str">
        <f t="shared" si="681"/>
        <v/>
      </c>
      <c r="AR585" s="268" t="str">
        <f t="shared" si="681"/>
        <v/>
      </c>
      <c r="AS585" s="268" t="str">
        <f t="shared" si="681"/>
        <v/>
      </c>
      <c r="AT585" s="268" t="str">
        <f t="shared" si="681"/>
        <v/>
      </c>
      <c r="AU585" s="268" t="str">
        <f t="shared" si="681"/>
        <v/>
      </c>
      <c r="AV585" s="268" t="str">
        <f t="shared" si="681"/>
        <v/>
      </c>
      <c r="AW585" s="268" t="str">
        <f t="shared" si="681"/>
        <v/>
      </c>
      <c r="AX585" s="268" t="str">
        <f t="shared" si="681"/>
        <v/>
      </c>
      <c r="AY585" s="268" t="str">
        <f t="shared" si="681"/>
        <v/>
      </c>
      <c r="AZ585" s="268" t="str">
        <f t="shared" si="681"/>
        <v/>
      </c>
      <c r="BA585" s="268" t="str">
        <f t="shared" si="681"/>
        <v/>
      </c>
      <c r="BB585" s="268" t="str">
        <f t="shared" si="681"/>
        <v/>
      </c>
      <c r="BC585" s="268" t="str">
        <f t="shared" si="681"/>
        <v/>
      </c>
      <c r="BD585" s="268" t="str">
        <f t="shared" si="681"/>
        <v/>
      </c>
      <c r="BE585" s="268" t="str">
        <f t="shared" si="681"/>
        <v/>
      </c>
      <c r="BF585" s="268" t="str">
        <f t="shared" si="681"/>
        <v/>
      </c>
      <c r="BG585" s="268" t="str">
        <f t="shared" si="681"/>
        <v/>
      </c>
      <c r="BH585" s="268" t="str">
        <f t="shared" si="681"/>
        <v/>
      </c>
      <c r="BI585" s="268" t="str">
        <f t="shared" si="681"/>
        <v/>
      </c>
      <c r="BJ585" s="268" t="str">
        <f t="shared" si="681"/>
        <v/>
      </c>
      <c r="BK585" s="268" t="str">
        <f t="shared" si="681"/>
        <v/>
      </c>
      <c r="BL585" s="268" t="str">
        <f t="shared" si="681"/>
        <v/>
      </c>
      <c r="BM585" s="268" t="str">
        <f t="shared" si="681"/>
        <v/>
      </c>
      <c r="BN585" s="268" t="str">
        <f t="shared" si="681"/>
        <v/>
      </c>
      <c r="BO585" s="268" t="str">
        <f t="shared" si="681"/>
        <v/>
      </c>
      <c r="BP585" s="268" t="str">
        <f t="shared" si="681"/>
        <v/>
      </c>
      <c r="BQ585" s="268" t="str">
        <f t="shared" si="681"/>
        <v/>
      </c>
      <c r="BR585" s="268" t="str">
        <f t="shared" si="681"/>
        <v/>
      </c>
      <c r="BS585" s="268" t="str">
        <f t="shared" si="681"/>
        <v/>
      </c>
      <c r="BT585" s="268" t="str">
        <f t="shared" si="681"/>
        <v/>
      </c>
      <c r="BU585" s="268" t="str">
        <f t="shared" si="675"/>
        <v/>
      </c>
      <c r="BV585" s="247">
        <v>0.65</v>
      </c>
      <c r="BW585" s="729">
        <f t="shared" si="618"/>
        <v>702</v>
      </c>
      <c r="BX585" s="730">
        <f t="shared" si="669"/>
        <v>5440.5</v>
      </c>
      <c r="BY585" s="731" t="str">
        <f t="shared" si="670"/>
        <v>SR</v>
      </c>
    </row>
    <row r="586" s="698" customFormat="1" customHeight="1" spans="1:77">
      <c r="A586" s="208">
        <v>46132</v>
      </c>
      <c r="B586" s="248">
        <v>46157</v>
      </c>
      <c r="C586" s="268" t="s">
        <v>752</v>
      </c>
      <c r="D586" s="268" t="s">
        <v>753</v>
      </c>
      <c r="E586" s="268" t="s">
        <v>242</v>
      </c>
      <c r="F586" s="343">
        <f>390*13</f>
        <v>5070</v>
      </c>
      <c r="G586" s="268" t="s">
        <v>754</v>
      </c>
      <c r="H586" s="211" t="str">
        <f>IFERROR(VLOOKUP(E586,名称!A:E,4,0),"")</f>
        <v/>
      </c>
      <c r="I586" s="268" t="str">
        <f t="shared" ref="I586:BT586" si="682">IF(OR($E586="",I$1=""),"",IF(TRIM(LEFT($E586,MIN(IFERROR(FIND("CDU",UPPER($E586)),999),IFERROR(FIND("BULK",UPPER($E586)),999),IFERROR(FIND("-",$E586),999),IFERROR(FIND("（",$E586),999))-1))=I$1,$F586,""))</f>
        <v/>
      </c>
      <c r="J586" s="268" t="str">
        <f t="shared" si="682"/>
        <v/>
      </c>
      <c r="K586" s="268" t="str">
        <f t="shared" si="682"/>
        <v/>
      </c>
      <c r="L586" s="268" t="str">
        <f t="shared" si="682"/>
        <v/>
      </c>
      <c r="M586" s="268" t="str">
        <f t="shared" si="682"/>
        <v/>
      </c>
      <c r="N586" s="268" t="str">
        <f t="shared" si="682"/>
        <v/>
      </c>
      <c r="O586" s="268" t="str">
        <f t="shared" si="682"/>
        <v/>
      </c>
      <c r="P586" s="268" t="str">
        <f t="shared" si="682"/>
        <v/>
      </c>
      <c r="Q586" s="268" t="str">
        <f t="shared" si="682"/>
        <v/>
      </c>
      <c r="R586" s="268" t="str">
        <f t="shared" si="682"/>
        <v/>
      </c>
      <c r="S586" s="268" t="str">
        <f t="shared" si="682"/>
        <v/>
      </c>
      <c r="T586" s="268" t="str">
        <f t="shared" si="682"/>
        <v/>
      </c>
      <c r="U586" s="268" t="str">
        <f t="shared" si="682"/>
        <v/>
      </c>
      <c r="V586" s="268" t="str">
        <f t="shared" si="682"/>
        <v/>
      </c>
      <c r="W586" s="268" t="str">
        <f t="shared" si="682"/>
        <v/>
      </c>
      <c r="X586" s="268" t="str">
        <f t="shared" si="682"/>
        <v/>
      </c>
      <c r="Y586" s="268" t="str">
        <f t="shared" si="682"/>
        <v/>
      </c>
      <c r="Z586" s="268" t="str">
        <f t="shared" si="682"/>
        <v/>
      </c>
      <c r="AA586" s="268" t="str">
        <f t="shared" si="682"/>
        <v/>
      </c>
      <c r="AB586" s="268" t="str">
        <f t="shared" si="682"/>
        <v/>
      </c>
      <c r="AC586" s="268" t="str">
        <f t="shared" si="682"/>
        <v/>
      </c>
      <c r="AD586" s="268" t="str">
        <f t="shared" si="682"/>
        <v/>
      </c>
      <c r="AE586" s="268" t="str">
        <f t="shared" si="682"/>
        <v/>
      </c>
      <c r="AF586" s="268" t="str">
        <f t="shared" si="682"/>
        <v/>
      </c>
      <c r="AG586" s="268" t="str">
        <f t="shared" si="682"/>
        <v/>
      </c>
      <c r="AH586" s="268" t="str">
        <f t="shared" si="682"/>
        <v/>
      </c>
      <c r="AI586" s="268" t="str">
        <f t="shared" si="682"/>
        <v/>
      </c>
      <c r="AJ586" s="268" t="str">
        <f t="shared" si="682"/>
        <v/>
      </c>
      <c r="AK586" s="268" t="str">
        <f t="shared" si="682"/>
        <v/>
      </c>
      <c r="AL586" s="268" t="str">
        <f t="shared" si="682"/>
        <v/>
      </c>
      <c r="AM586" s="268" t="str">
        <f t="shared" si="682"/>
        <v/>
      </c>
      <c r="AN586" s="268" t="str">
        <f t="shared" si="682"/>
        <v/>
      </c>
      <c r="AO586" s="268" t="str">
        <f t="shared" si="682"/>
        <v/>
      </c>
      <c r="AP586" s="268" t="str">
        <f t="shared" si="682"/>
        <v/>
      </c>
      <c r="AQ586" s="268" t="str">
        <f t="shared" si="682"/>
        <v/>
      </c>
      <c r="AR586" s="268" t="str">
        <f t="shared" si="682"/>
        <v/>
      </c>
      <c r="AS586" s="268" t="str">
        <f t="shared" si="682"/>
        <v/>
      </c>
      <c r="AT586" s="268" t="str">
        <f t="shared" si="682"/>
        <v/>
      </c>
      <c r="AU586" s="268" t="str">
        <f t="shared" si="682"/>
        <v/>
      </c>
      <c r="AV586" s="268" t="str">
        <f t="shared" si="682"/>
        <v/>
      </c>
      <c r="AW586" s="268" t="str">
        <f t="shared" si="682"/>
        <v/>
      </c>
      <c r="AX586" s="268" t="str">
        <f t="shared" si="682"/>
        <v/>
      </c>
      <c r="AY586" s="268" t="str">
        <f t="shared" si="682"/>
        <v/>
      </c>
      <c r="AZ586" s="268" t="str">
        <f t="shared" si="682"/>
        <v/>
      </c>
      <c r="BA586" s="268" t="str">
        <f t="shared" si="682"/>
        <v/>
      </c>
      <c r="BB586" s="268" t="str">
        <f t="shared" si="682"/>
        <v/>
      </c>
      <c r="BC586" s="268" t="str">
        <f t="shared" si="682"/>
        <v/>
      </c>
      <c r="BD586" s="268" t="str">
        <f t="shared" si="682"/>
        <v/>
      </c>
      <c r="BE586" s="268" t="str">
        <f t="shared" si="682"/>
        <v/>
      </c>
      <c r="BF586" s="268" t="str">
        <f t="shared" si="682"/>
        <v/>
      </c>
      <c r="BG586" s="268" t="str">
        <f t="shared" si="682"/>
        <v/>
      </c>
      <c r="BH586" s="268" t="str">
        <f t="shared" si="682"/>
        <v/>
      </c>
      <c r="BI586" s="268" t="str">
        <f t="shared" si="682"/>
        <v/>
      </c>
      <c r="BJ586" s="268" t="str">
        <f t="shared" si="682"/>
        <v/>
      </c>
      <c r="BK586" s="268" t="str">
        <f t="shared" si="682"/>
        <v/>
      </c>
      <c r="BL586" s="268" t="str">
        <f t="shared" si="682"/>
        <v/>
      </c>
      <c r="BM586" s="268" t="str">
        <f t="shared" si="682"/>
        <v/>
      </c>
      <c r="BN586" s="268" t="str">
        <f t="shared" si="682"/>
        <v/>
      </c>
      <c r="BO586" s="268" t="str">
        <f t="shared" si="682"/>
        <v/>
      </c>
      <c r="BP586" s="268" t="str">
        <f t="shared" si="682"/>
        <v/>
      </c>
      <c r="BQ586" s="268" t="str">
        <f t="shared" si="682"/>
        <v/>
      </c>
      <c r="BR586" s="268" t="str">
        <f t="shared" si="682"/>
        <v/>
      </c>
      <c r="BS586" s="268" t="str">
        <f t="shared" si="682"/>
        <v/>
      </c>
      <c r="BT586" s="268" t="str">
        <f t="shared" si="682"/>
        <v/>
      </c>
      <c r="BU586" s="268">
        <f t="shared" si="675"/>
        <v>5070</v>
      </c>
      <c r="BV586" s="247">
        <v>0.55</v>
      </c>
      <c r="BW586" s="729">
        <f t="shared" si="618"/>
        <v>2788.5</v>
      </c>
      <c r="BX586" s="730">
        <f t="shared" si="669"/>
        <v>21610.88</v>
      </c>
      <c r="BY586" s="731" t="str">
        <f t="shared" si="670"/>
        <v>散装</v>
      </c>
    </row>
    <row r="587" s="698" customFormat="1" customHeight="1" spans="1:77">
      <c r="A587" s="208">
        <v>46134</v>
      </c>
      <c r="B587" s="248">
        <v>46209</v>
      </c>
      <c r="C587" s="268" t="s">
        <v>755</v>
      </c>
      <c r="D587" s="268" t="s">
        <v>756</v>
      </c>
      <c r="E587" s="268" t="s">
        <v>59</v>
      </c>
      <c r="F587" s="343">
        <v>2016</v>
      </c>
      <c r="G587" s="268" t="s">
        <v>270</v>
      </c>
      <c r="H587" s="211" t="str">
        <f>IFERROR(VLOOKUP(E587,名称!A:E,4,0),"")</f>
        <v>三代</v>
      </c>
      <c r="I587" s="268" t="str">
        <f t="shared" ref="I587:BT587" si="683">IF(OR($E587="",I$1=""),"",IF(TRIM(LEFT($E587,MIN(IFERROR(FIND("CDU",UPPER($E587)),999),IFERROR(FIND("BULK",UPPER($E587)),999),IFERROR(FIND("-",$E587),999),IFERROR(FIND("（",$E587),999))-1))=I$1,$F587,""))</f>
        <v/>
      </c>
      <c r="J587" s="268" t="str">
        <f t="shared" si="683"/>
        <v/>
      </c>
      <c r="K587" s="268" t="str">
        <f t="shared" si="683"/>
        <v/>
      </c>
      <c r="L587" s="268" t="str">
        <f t="shared" si="683"/>
        <v/>
      </c>
      <c r="M587" s="268" t="str">
        <f t="shared" si="683"/>
        <v/>
      </c>
      <c r="N587" s="268" t="str">
        <f t="shared" si="683"/>
        <v/>
      </c>
      <c r="O587" s="268" t="str">
        <f t="shared" si="683"/>
        <v/>
      </c>
      <c r="P587" s="268" t="str">
        <f t="shared" si="683"/>
        <v/>
      </c>
      <c r="Q587" s="268" t="str">
        <f t="shared" si="683"/>
        <v/>
      </c>
      <c r="R587" s="268" t="str">
        <f t="shared" si="683"/>
        <v/>
      </c>
      <c r="S587" s="268" t="str">
        <f t="shared" si="683"/>
        <v/>
      </c>
      <c r="T587" s="268" t="str">
        <f t="shared" si="683"/>
        <v/>
      </c>
      <c r="U587" s="268" t="str">
        <f t="shared" si="683"/>
        <v/>
      </c>
      <c r="V587" s="268" t="str">
        <f t="shared" si="683"/>
        <v/>
      </c>
      <c r="W587" s="268" t="str">
        <f t="shared" si="683"/>
        <v/>
      </c>
      <c r="X587" s="268" t="str">
        <f t="shared" si="683"/>
        <v/>
      </c>
      <c r="Y587" s="268" t="str">
        <f t="shared" si="683"/>
        <v/>
      </c>
      <c r="Z587" s="268" t="str">
        <f t="shared" si="683"/>
        <v/>
      </c>
      <c r="AA587" s="268" t="str">
        <f t="shared" si="683"/>
        <v/>
      </c>
      <c r="AB587" s="268" t="str">
        <f t="shared" si="683"/>
        <v/>
      </c>
      <c r="AC587" s="268" t="str">
        <f t="shared" si="683"/>
        <v/>
      </c>
      <c r="AD587" s="268">
        <f t="shared" si="683"/>
        <v>2016</v>
      </c>
      <c r="AE587" s="268" t="str">
        <f t="shared" si="683"/>
        <v/>
      </c>
      <c r="AF587" s="268" t="str">
        <f t="shared" si="683"/>
        <v/>
      </c>
      <c r="AG587" s="268" t="str">
        <f t="shared" si="683"/>
        <v/>
      </c>
      <c r="AH587" s="268" t="str">
        <f t="shared" si="683"/>
        <v/>
      </c>
      <c r="AI587" s="268" t="str">
        <f t="shared" si="683"/>
        <v/>
      </c>
      <c r="AJ587" s="268" t="str">
        <f t="shared" si="683"/>
        <v/>
      </c>
      <c r="AK587" s="268" t="str">
        <f t="shared" si="683"/>
        <v/>
      </c>
      <c r="AL587" s="268" t="str">
        <f t="shared" si="683"/>
        <v/>
      </c>
      <c r="AM587" s="268" t="str">
        <f t="shared" si="683"/>
        <v/>
      </c>
      <c r="AN587" s="268" t="str">
        <f t="shared" si="683"/>
        <v/>
      </c>
      <c r="AO587" s="268" t="str">
        <f t="shared" si="683"/>
        <v/>
      </c>
      <c r="AP587" s="268" t="str">
        <f t="shared" si="683"/>
        <v/>
      </c>
      <c r="AQ587" s="268" t="str">
        <f t="shared" si="683"/>
        <v/>
      </c>
      <c r="AR587" s="268" t="str">
        <f t="shared" si="683"/>
        <v/>
      </c>
      <c r="AS587" s="268" t="str">
        <f t="shared" si="683"/>
        <v/>
      </c>
      <c r="AT587" s="268" t="str">
        <f t="shared" si="683"/>
        <v/>
      </c>
      <c r="AU587" s="268" t="str">
        <f t="shared" si="683"/>
        <v/>
      </c>
      <c r="AV587" s="268" t="str">
        <f t="shared" si="683"/>
        <v/>
      </c>
      <c r="AW587" s="268" t="str">
        <f t="shared" si="683"/>
        <v/>
      </c>
      <c r="AX587" s="268" t="str">
        <f t="shared" si="683"/>
        <v/>
      </c>
      <c r="AY587" s="268" t="str">
        <f t="shared" si="683"/>
        <v/>
      </c>
      <c r="AZ587" s="268" t="str">
        <f t="shared" si="683"/>
        <v/>
      </c>
      <c r="BA587" s="268" t="str">
        <f t="shared" si="683"/>
        <v/>
      </c>
      <c r="BB587" s="268" t="str">
        <f t="shared" si="683"/>
        <v/>
      </c>
      <c r="BC587" s="268" t="str">
        <f t="shared" si="683"/>
        <v/>
      </c>
      <c r="BD587" s="268" t="str">
        <f t="shared" si="683"/>
        <v/>
      </c>
      <c r="BE587" s="268" t="str">
        <f t="shared" si="683"/>
        <v/>
      </c>
      <c r="BF587" s="268" t="str">
        <f t="shared" si="683"/>
        <v/>
      </c>
      <c r="BG587" s="268" t="str">
        <f t="shared" si="683"/>
        <v/>
      </c>
      <c r="BH587" s="268" t="str">
        <f t="shared" si="683"/>
        <v/>
      </c>
      <c r="BI587" s="268" t="str">
        <f t="shared" si="683"/>
        <v/>
      </c>
      <c r="BJ587" s="268" t="str">
        <f t="shared" si="683"/>
        <v/>
      </c>
      <c r="BK587" s="268" t="str">
        <f t="shared" si="683"/>
        <v/>
      </c>
      <c r="BL587" s="268" t="str">
        <f t="shared" si="683"/>
        <v/>
      </c>
      <c r="BM587" s="268" t="str">
        <f t="shared" si="683"/>
        <v/>
      </c>
      <c r="BN587" s="268" t="str">
        <f t="shared" si="683"/>
        <v/>
      </c>
      <c r="BO587" s="268" t="str">
        <f t="shared" si="683"/>
        <v/>
      </c>
      <c r="BP587" s="268" t="str">
        <f t="shared" si="683"/>
        <v/>
      </c>
      <c r="BQ587" s="268" t="str">
        <f t="shared" si="683"/>
        <v/>
      </c>
      <c r="BR587" s="268" t="str">
        <f t="shared" si="683"/>
        <v/>
      </c>
      <c r="BS587" s="268" t="str">
        <f t="shared" si="683"/>
        <v/>
      </c>
      <c r="BT587" s="268" t="str">
        <f t="shared" si="683"/>
        <v/>
      </c>
      <c r="BU587" s="268" t="str">
        <f t="shared" si="675"/>
        <v/>
      </c>
      <c r="BV587" s="247">
        <v>0.62</v>
      </c>
      <c r="BW587" s="729">
        <f t="shared" si="618"/>
        <v>1249.92</v>
      </c>
      <c r="BX587" s="730">
        <f t="shared" si="669"/>
        <v>9686.88</v>
      </c>
      <c r="BY587" s="731" t="str">
        <f t="shared" si="670"/>
        <v>SR</v>
      </c>
    </row>
    <row r="588" s="697" customFormat="1" customHeight="1" spans="1:77">
      <c r="A588" s="116">
        <v>46134</v>
      </c>
      <c r="B588" s="179">
        <v>46244</v>
      </c>
      <c r="C588" s="418" t="s">
        <v>757</v>
      </c>
      <c r="D588" s="418" t="s">
        <v>758</v>
      </c>
      <c r="E588" s="418" t="s">
        <v>59</v>
      </c>
      <c r="F588" s="737">
        <v>2016</v>
      </c>
      <c r="G588" s="418" t="s">
        <v>270</v>
      </c>
      <c r="H588" s="118" t="str">
        <f>IFERROR(VLOOKUP(E588,名称!A:E,4,0),"")</f>
        <v>三代</v>
      </c>
      <c r="I588" s="418" t="str">
        <f t="shared" ref="I588:BT588" si="684">IF(OR($E588="",I$1=""),"",IF(TRIM(LEFT($E588,MIN(IFERROR(FIND("CDU",UPPER($E588)),999),IFERROR(FIND("BULK",UPPER($E588)),999),IFERROR(FIND("-",$E588),999),IFERROR(FIND("（",$E588),999))-1))=I$1,$F588,""))</f>
        <v/>
      </c>
      <c r="J588" s="418" t="str">
        <f t="shared" si="684"/>
        <v/>
      </c>
      <c r="K588" s="418" t="str">
        <f t="shared" si="684"/>
        <v/>
      </c>
      <c r="L588" s="418" t="str">
        <f t="shared" si="684"/>
        <v/>
      </c>
      <c r="M588" s="418" t="str">
        <f t="shared" si="684"/>
        <v/>
      </c>
      <c r="N588" s="418" t="str">
        <f t="shared" si="684"/>
        <v/>
      </c>
      <c r="O588" s="418" t="str">
        <f t="shared" si="684"/>
        <v/>
      </c>
      <c r="P588" s="418" t="str">
        <f t="shared" si="684"/>
        <v/>
      </c>
      <c r="Q588" s="418" t="str">
        <f t="shared" si="684"/>
        <v/>
      </c>
      <c r="R588" s="418" t="str">
        <f t="shared" si="684"/>
        <v/>
      </c>
      <c r="S588" s="418" t="str">
        <f t="shared" si="684"/>
        <v/>
      </c>
      <c r="T588" s="418" t="str">
        <f t="shared" si="684"/>
        <v/>
      </c>
      <c r="U588" s="418" t="str">
        <f t="shared" si="684"/>
        <v/>
      </c>
      <c r="V588" s="418" t="str">
        <f t="shared" si="684"/>
        <v/>
      </c>
      <c r="W588" s="418" t="str">
        <f t="shared" si="684"/>
        <v/>
      </c>
      <c r="X588" s="418" t="str">
        <f t="shared" si="684"/>
        <v/>
      </c>
      <c r="Y588" s="418" t="str">
        <f t="shared" si="684"/>
        <v/>
      </c>
      <c r="Z588" s="418" t="str">
        <f t="shared" si="684"/>
        <v/>
      </c>
      <c r="AA588" s="418" t="str">
        <f t="shared" si="684"/>
        <v/>
      </c>
      <c r="AB588" s="418" t="str">
        <f t="shared" si="684"/>
        <v/>
      </c>
      <c r="AC588" s="418" t="str">
        <f t="shared" si="684"/>
        <v/>
      </c>
      <c r="AD588" s="418">
        <f t="shared" si="684"/>
        <v>2016</v>
      </c>
      <c r="AE588" s="418" t="str">
        <f t="shared" si="684"/>
        <v/>
      </c>
      <c r="AF588" s="418" t="str">
        <f t="shared" si="684"/>
        <v/>
      </c>
      <c r="AG588" s="418" t="str">
        <f t="shared" si="684"/>
        <v/>
      </c>
      <c r="AH588" s="418" t="str">
        <f t="shared" si="684"/>
        <v/>
      </c>
      <c r="AI588" s="418" t="str">
        <f t="shared" si="684"/>
        <v/>
      </c>
      <c r="AJ588" s="418" t="str">
        <f t="shared" si="684"/>
        <v/>
      </c>
      <c r="AK588" s="418" t="str">
        <f t="shared" si="684"/>
        <v/>
      </c>
      <c r="AL588" s="418" t="str">
        <f t="shared" si="684"/>
        <v/>
      </c>
      <c r="AM588" s="418" t="str">
        <f t="shared" si="684"/>
        <v/>
      </c>
      <c r="AN588" s="418" t="str">
        <f t="shared" si="684"/>
        <v/>
      </c>
      <c r="AO588" s="418" t="str">
        <f t="shared" si="684"/>
        <v/>
      </c>
      <c r="AP588" s="418" t="str">
        <f t="shared" si="684"/>
        <v/>
      </c>
      <c r="AQ588" s="418" t="str">
        <f t="shared" si="684"/>
        <v/>
      </c>
      <c r="AR588" s="418" t="str">
        <f t="shared" si="684"/>
        <v/>
      </c>
      <c r="AS588" s="418" t="str">
        <f t="shared" si="684"/>
        <v/>
      </c>
      <c r="AT588" s="418" t="str">
        <f t="shared" si="684"/>
        <v/>
      </c>
      <c r="AU588" s="418" t="str">
        <f t="shared" si="684"/>
        <v/>
      </c>
      <c r="AV588" s="418" t="str">
        <f t="shared" si="684"/>
        <v/>
      </c>
      <c r="AW588" s="418" t="str">
        <f t="shared" si="684"/>
        <v/>
      </c>
      <c r="AX588" s="418" t="str">
        <f t="shared" si="684"/>
        <v/>
      </c>
      <c r="AY588" s="418" t="str">
        <f t="shared" si="684"/>
        <v/>
      </c>
      <c r="AZ588" s="418" t="str">
        <f t="shared" si="684"/>
        <v/>
      </c>
      <c r="BA588" s="418" t="str">
        <f t="shared" si="684"/>
        <v/>
      </c>
      <c r="BB588" s="418" t="str">
        <f t="shared" si="684"/>
        <v/>
      </c>
      <c r="BC588" s="418" t="str">
        <f t="shared" si="684"/>
        <v/>
      </c>
      <c r="BD588" s="418" t="str">
        <f t="shared" si="684"/>
        <v/>
      </c>
      <c r="BE588" s="418" t="str">
        <f t="shared" si="684"/>
        <v/>
      </c>
      <c r="BF588" s="418" t="str">
        <f t="shared" si="684"/>
        <v/>
      </c>
      <c r="BG588" s="418" t="str">
        <f t="shared" si="684"/>
        <v/>
      </c>
      <c r="BH588" s="418" t="str">
        <f t="shared" si="684"/>
        <v/>
      </c>
      <c r="BI588" s="418" t="str">
        <f t="shared" si="684"/>
        <v/>
      </c>
      <c r="BJ588" s="418" t="str">
        <f t="shared" si="684"/>
        <v/>
      </c>
      <c r="BK588" s="418" t="str">
        <f t="shared" si="684"/>
        <v/>
      </c>
      <c r="BL588" s="418" t="str">
        <f t="shared" si="684"/>
        <v/>
      </c>
      <c r="BM588" s="418" t="str">
        <f t="shared" si="684"/>
        <v/>
      </c>
      <c r="BN588" s="418" t="str">
        <f t="shared" si="684"/>
        <v/>
      </c>
      <c r="BO588" s="418" t="str">
        <f t="shared" si="684"/>
        <v/>
      </c>
      <c r="BP588" s="418" t="str">
        <f t="shared" si="684"/>
        <v/>
      </c>
      <c r="BQ588" s="418" t="str">
        <f t="shared" si="684"/>
        <v/>
      </c>
      <c r="BR588" s="418" t="str">
        <f t="shared" si="684"/>
        <v/>
      </c>
      <c r="BS588" s="418" t="str">
        <f t="shared" si="684"/>
        <v/>
      </c>
      <c r="BT588" s="418" t="str">
        <f t="shared" si="684"/>
        <v/>
      </c>
      <c r="BU588" s="418" t="str">
        <f t="shared" si="675"/>
        <v/>
      </c>
      <c r="BV588" s="544">
        <v>0.63</v>
      </c>
      <c r="BW588" s="723">
        <f t="shared" si="618"/>
        <v>1270.08</v>
      </c>
      <c r="BX588" s="724">
        <f t="shared" si="669"/>
        <v>9843.12</v>
      </c>
      <c r="BY588" s="725" t="str">
        <f t="shared" si="670"/>
        <v>SR</v>
      </c>
    </row>
    <row r="589" s="697" customFormat="1" customHeight="1" spans="1:77">
      <c r="A589" s="116">
        <v>46134</v>
      </c>
      <c r="B589" s="179">
        <v>46286</v>
      </c>
      <c r="C589" s="418" t="s">
        <v>759</v>
      </c>
      <c r="D589" s="418" t="s">
        <v>760</v>
      </c>
      <c r="E589" s="418" t="s">
        <v>59</v>
      </c>
      <c r="F589" s="737">
        <v>1200</v>
      </c>
      <c r="G589" s="418" t="s">
        <v>270</v>
      </c>
      <c r="H589" s="118" t="str">
        <f>IFERROR(VLOOKUP(E589,名称!A:E,4,0),"")</f>
        <v>三代</v>
      </c>
      <c r="I589" s="418" t="str">
        <f t="shared" ref="I589:BT589" si="685">IF(OR($E589="",I$1=""),"",IF(TRIM(LEFT($E589,MIN(IFERROR(FIND("CDU",UPPER($E589)),999),IFERROR(FIND("BULK",UPPER($E589)),999),IFERROR(FIND("-",$E589),999),IFERROR(FIND("（",$E589),999))-1))=I$1,$F589,""))</f>
        <v/>
      </c>
      <c r="J589" s="418" t="str">
        <f t="shared" si="685"/>
        <v/>
      </c>
      <c r="K589" s="418" t="str">
        <f t="shared" si="685"/>
        <v/>
      </c>
      <c r="L589" s="418" t="str">
        <f t="shared" si="685"/>
        <v/>
      </c>
      <c r="M589" s="418" t="str">
        <f t="shared" si="685"/>
        <v/>
      </c>
      <c r="N589" s="418" t="str">
        <f t="shared" si="685"/>
        <v/>
      </c>
      <c r="O589" s="418" t="str">
        <f t="shared" si="685"/>
        <v/>
      </c>
      <c r="P589" s="418" t="str">
        <f t="shared" si="685"/>
        <v/>
      </c>
      <c r="Q589" s="418" t="str">
        <f t="shared" si="685"/>
        <v/>
      </c>
      <c r="R589" s="418" t="str">
        <f t="shared" si="685"/>
        <v/>
      </c>
      <c r="S589" s="418" t="str">
        <f t="shared" si="685"/>
        <v/>
      </c>
      <c r="T589" s="418" t="str">
        <f t="shared" si="685"/>
        <v/>
      </c>
      <c r="U589" s="418" t="str">
        <f t="shared" si="685"/>
        <v/>
      </c>
      <c r="V589" s="418" t="str">
        <f t="shared" si="685"/>
        <v/>
      </c>
      <c r="W589" s="418" t="str">
        <f t="shared" si="685"/>
        <v/>
      </c>
      <c r="X589" s="418" t="str">
        <f t="shared" si="685"/>
        <v/>
      </c>
      <c r="Y589" s="418" t="str">
        <f t="shared" si="685"/>
        <v/>
      </c>
      <c r="Z589" s="418" t="str">
        <f t="shared" si="685"/>
        <v/>
      </c>
      <c r="AA589" s="418" t="str">
        <f t="shared" si="685"/>
        <v/>
      </c>
      <c r="AB589" s="418" t="str">
        <f t="shared" si="685"/>
        <v/>
      </c>
      <c r="AC589" s="418" t="str">
        <f t="shared" si="685"/>
        <v/>
      </c>
      <c r="AD589" s="418">
        <f t="shared" si="685"/>
        <v>1200</v>
      </c>
      <c r="AE589" s="418" t="str">
        <f t="shared" si="685"/>
        <v/>
      </c>
      <c r="AF589" s="418" t="str">
        <f t="shared" si="685"/>
        <v/>
      </c>
      <c r="AG589" s="418" t="str">
        <f t="shared" si="685"/>
        <v/>
      </c>
      <c r="AH589" s="418" t="str">
        <f t="shared" si="685"/>
        <v/>
      </c>
      <c r="AI589" s="418" t="str">
        <f t="shared" si="685"/>
        <v/>
      </c>
      <c r="AJ589" s="418" t="str">
        <f t="shared" si="685"/>
        <v/>
      </c>
      <c r="AK589" s="418" t="str">
        <f t="shared" si="685"/>
        <v/>
      </c>
      <c r="AL589" s="418" t="str">
        <f t="shared" si="685"/>
        <v/>
      </c>
      <c r="AM589" s="418" t="str">
        <f t="shared" si="685"/>
        <v/>
      </c>
      <c r="AN589" s="418" t="str">
        <f t="shared" si="685"/>
        <v/>
      </c>
      <c r="AO589" s="418" t="str">
        <f t="shared" si="685"/>
        <v/>
      </c>
      <c r="AP589" s="418" t="str">
        <f t="shared" si="685"/>
        <v/>
      </c>
      <c r="AQ589" s="418" t="str">
        <f t="shared" si="685"/>
        <v/>
      </c>
      <c r="AR589" s="418" t="str">
        <f t="shared" si="685"/>
        <v/>
      </c>
      <c r="AS589" s="418" t="str">
        <f t="shared" si="685"/>
        <v/>
      </c>
      <c r="AT589" s="418" t="str">
        <f t="shared" si="685"/>
        <v/>
      </c>
      <c r="AU589" s="418" t="str">
        <f t="shared" si="685"/>
        <v/>
      </c>
      <c r="AV589" s="418" t="str">
        <f t="shared" si="685"/>
        <v/>
      </c>
      <c r="AW589" s="418" t="str">
        <f t="shared" si="685"/>
        <v/>
      </c>
      <c r="AX589" s="418" t="str">
        <f t="shared" si="685"/>
        <v/>
      </c>
      <c r="AY589" s="418" t="str">
        <f t="shared" si="685"/>
        <v/>
      </c>
      <c r="AZ589" s="418" t="str">
        <f t="shared" si="685"/>
        <v/>
      </c>
      <c r="BA589" s="418" t="str">
        <f t="shared" si="685"/>
        <v/>
      </c>
      <c r="BB589" s="418" t="str">
        <f t="shared" si="685"/>
        <v/>
      </c>
      <c r="BC589" s="418" t="str">
        <f t="shared" si="685"/>
        <v/>
      </c>
      <c r="BD589" s="418" t="str">
        <f t="shared" si="685"/>
        <v/>
      </c>
      <c r="BE589" s="418" t="str">
        <f t="shared" si="685"/>
        <v/>
      </c>
      <c r="BF589" s="418" t="str">
        <f t="shared" si="685"/>
        <v/>
      </c>
      <c r="BG589" s="418" t="str">
        <f t="shared" si="685"/>
        <v/>
      </c>
      <c r="BH589" s="418" t="str">
        <f t="shared" si="685"/>
        <v/>
      </c>
      <c r="BI589" s="418" t="str">
        <f t="shared" si="685"/>
        <v/>
      </c>
      <c r="BJ589" s="418" t="str">
        <f t="shared" si="685"/>
        <v/>
      </c>
      <c r="BK589" s="418" t="str">
        <f t="shared" si="685"/>
        <v/>
      </c>
      <c r="BL589" s="418" t="str">
        <f t="shared" si="685"/>
        <v/>
      </c>
      <c r="BM589" s="418" t="str">
        <f t="shared" si="685"/>
        <v/>
      </c>
      <c r="BN589" s="418" t="str">
        <f t="shared" si="685"/>
        <v/>
      </c>
      <c r="BO589" s="418" t="str">
        <f t="shared" si="685"/>
        <v/>
      </c>
      <c r="BP589" s="418" t="str">
        <f t="shared" si="685"/>
        <v/>
      </c>
      <c r="BQ589" s="418" t="str">
        <f t="shared" si="685"/>
        <v/>
      </c>
      <c r="BR589" s="418" t="str">
        <f t="shared" si="685"/>
        <v/>
      </c>
      <c r="BS589" s="418" t="str">
        <f t="shared" si="685"/>
        <v/>
      </c>
      <c r="BT589" s="418" t="str">
        <f t="shared" si="685"/>
        <v/>
      </c>
      <c r="BU589" s="418" t="str">
        <f t="shared" si="675"/>
        <v/>
      </c>
      <c r="BV589" s="544">
        <v>0.63</v>
      </c>
      <c r="BW589" s="723">
        <f t="shared" si="618"/>
        <v>756</v>
      </c>
      <c r="BX589" s="724">
        <f t="shared" si="669"/>
        <v>5859</v>
      </c>
      <c r="BY589" s="725" t="str">
        <f t="shared" si="670"/>
        <v>SR</v>
      </c>
    </row>
    <row r="590" s="698" customFormat="1" customHeight="1" spans="1:77">
      <c r="A590" s="208">
        <v>46135</v>
      </c>
      <c r="B590" s="248">
        <v>46208</v>
      </c>
      <c r="C590" s="268" t="s">
        <v>761</v>
      </c>
      <c r="D590" s="268" t="s">
        <v>762</v>
      </c>
      <c r="E590" s="268" t="s">
        <v>50</v>
      </c>
      <c r="F590" s="343">
        <v>4662</v>
      </c>
      <c r="G590" s="268" t="s">
        <v>510</v>
      </c>
      <c r="H590" s="211" t="str">
        <f>IFERROR(VLOOKUP(E590,名称!A:E,4,0),"")</f>
        <v>蛋糕</v>
      </c>
      <c r="I590" s="268" t="str">
        <f t="shared" ref="I590:BT590" si="686">IF(OR($E590="",I$1=""),"",IF(TRIM(LEFT($E590,MIN(IFERROR(FIND("CDU",UPPER($E590)),999),IFERROR(FIND("BULK",UPPER($E590)),999),IFERROR(FIND("-",$E590),999),IFERROR(FIND("（",$E590),999))-1))=I$1,$F590,""))</f>
        <v/>
      </c>
      <c r="J590" s="268" t="str">
        <f t="shared" si="686"/>
        <v/>
      </c>
      <c r="K590" s="268" t="str">
        <f t="shared" si="686"/>
        <v/>
      </c>
      <c r="L590" s="268" t="str">
        <f t="shared" si="686"/>
        <v/>
      </c>
      <c r="M590" s="268" t="str">
        <f t="shared" si="686"/>
        <v/>
      </c>
      <c r="N590" s="268" t="str">
        <f t="shared" si="686"/>
        <v/>
      </c>
      <c r="O590" s="268" t="str">
        <f t="shared" si="686"/>
        <v/>
      </c>
      <c r="P590" s="268" t="str">
        <f t="shared" si="686"/>
        <v/>
      </c>
      <c r="Q590" s="268" t="str">
        <f t="shared" si="686"/>
        <v/>
      </c>
      <c r="R590" s="268" t="str">
        <f t="shared" si="686"/>
        <v/>
      </c>
      <c r="S590" s="268" t="str">
        <f t="shared" si="686"/>
        <v/>
      </c>
      <c r="T590" s="268" t="str">
        <f t="shared" si="686"/>
        <v/>
      </c>
      <c r="U590" s="268" t="str">
        <f t="shared" si="686"/>
        <v/>
      </c>
      <c r="V590" s="268" t="str">
        <f t="shared" si="686"/>
        <v/>
      </c>
      <c r="W590" s="268" t="str">
        <f t="shared" si="686"/>
        <v/>
      </c>
      <c r="X590" s="268" t="str">
        <f t="shared" si="686"/>
        <v/>
      </c>
      <c r="Y590" s="268" t="str">
        <f t="shared" si="686"/>
        <v/>
      </c>
      <c r="Z590" s="268" t="str">
        <f t="shared" si="686"/>
        <v/>
      </c>
      <c r="AA590" s="268" t="str">
        <f t="shared" si="686"/>
        <v/>
      </c>
      <c r="AB590" s="268" t="str">
        <f t="shared" si="686"/>
        <v/>
      </c>
      <c r="AC590" s="268" t="str">
        <f t="shared" si="686"/>
        <v/>
      </c>
      <c r="AD590" s="268" t="str">
        <f t="shared" si="686"/>
        <v/>
      </c>
      <c r="AE590" s="268" t="str">
        <f t="shared" si="686"/>
        <v/>
      </c>
      <c r="AF590" s="268" t="str">
        <f t="shared" si="686"/>
        <v/>
      </c>
      <c r="AG590" s="268" t="str">
        <f t="shared" si="686"/>
        <v/>
      </c>
      <c r="AH590" s="268" t="str">
        <f t="shared" si="686"/>
        <v/>
      </c>
      <c r="AI590" s="268" t="str">
        <f t="shared" si="686"/>
        <v/>
      </c>
      <c r="AJ590" s="268" t="str">
        <f t="shared" si="686"/>
        <v/>
      </c>
      <c r="AK590" s="268" t="str">
        <f t="shared" si="686"/>
        <v/>
      </c>
      <c r="AL590" s="268" t="str">
        <f t="shared" si="686"/>
        <v/>
      </c>
      <c r="AM590" s="268" t="str">
        <f t="shared" si="686"/>
        <v/>
      </c>
      <c r="AN590" s="268" t="str">
        <f t="shared" si="686"/>
        <v/>
      </c>
      <c r="AO590" s="268" t="str">
        <f t="shared" si="686"/>
        <v/>
      </c>
      <c r="AP590" s="268" t="str">
        <f t="shared" si="686"/>
        <v/>
      </c>
      <c r="AQ590" s="268" t="str">
        <f t="shared" si="686"/>
        <v/>
      </c>
      <c r="AR590" s="268" t="str">
        <f t="shared" si="686"/>
        <v/>
      </c>
      <c r="AS590" s="268" t="str">
        <f t="shared" si="686"/>
        <v/>
      </c>
      <c r="AT590" s="268" t="str">
        <f t="shared" si="686"/>
        <v/>
      </c>
      <c r="AU590" s="268" t="str">
        <f t="shared" si="686"/>
        <v/>
      </c>
      <c r="AV590" s="268" t="str">
        <f t="shared" si="686"/>
        <v/>
      </c>
      <c r="AW590" s="268" t="str">
        <f t="shared" si="686"/>
        <v/>
      </c>
      <c r="AX590" s="268" t="str">
        <f t="shared" si="686"/>
        <v/>
      </c>
      <c r="AY590" s="268" t="str">
        <f t="shared" si="686"/>
        <v/>
      </c>
      <c r="AZ590" s="268" t="str">
        <f t="shared" si="686"/>
        <v/>
      </c>
      <c r="BA590" s="268" t="str">
        <f t="shared" si="686"/>
        <v/>
      </c>
      <c r="BB590" s="268" t="str">
        <f t="shared" si="686"/>
        <v/>
      </c>
      <c r="BC590" s="268" t="str">
        <f t="shared" si="686"/>
        <v/>
      </c>
      <c r="BD590" s="268" t="str">
        <f t="shared" si="686"/>
        <v/>
      </c>
      <c r="BE590" s="268" t="str">
        <f t="shared" si="686"/>
        <v/>
      </c>
      <c r="BF590" s="268" t="str">
        <f t="shared" si="686"/>
        <v/>
      </c>
      <c r="BG590" s="268">
        <f t="shared" si="686"/>
        <v>4662</v>
      </c>
      <c r="BH590" s="268" t="str">
        <f t="shared" si="686"/>
        <v/>
      </c>
      <c r="BI590" s="268" t="str">
        <f t="shared" si="686"/>
        <v/>
      </c>
      <c r="BJ590" s="268" t="str">
        <f t="shared" si="686"/>
        <v/>
      </c>
      <c r="BK590" s="268" t="str">
        <f t="shared" si="686"/>
        <v/>
      </c>
      <c r="BL590" s="268" t="str">
        <f t="shared" si="686"/>
        <v/>
      </c>
      <c r="BM590" s="268" t="str">
        <f t="shared" si="686"/>
        <v/>
      </c>
      <c r="BN590" s="268" t="str">
        <f t="shared" si="686"/>
        <v/>
      </c>
      <c r="BO590" s="268" t="str">
        <f t="shared" si="686"/>
        <v/>
      </c>
      <c r="BP590" s="268" t="str">
        <f t="shared" si="686"/>
        <v/>
      </c>
      <c r="BQ590" s="268" t="str">
        <f t="shared" si="686"/>
        <v/>
      </c>
      <c r="BR590" s="268" t="str">
        <f t="shared" si="686"/>
        <v/>
      </c>
      <c r="BS590" s="268" t="str">
        <f t="shared" si="686"/>
        <v/>
      </c>
      <c r="BT590" s="268" t="str">
        <f t="shared" si="686"/>
        <v/>
      </c>
      <c r="BU590" s="268" t="str">
        <f t="shared" si="675"/>
        <v/>
      </c>
      <c r="BV590" s="247">
        <v>1.08</v>
      </c>
      <c r="BW590" s="729">
        <f t="shared" si="618"/>
        <v>5034.96</v>
      </c>
      <c r="BX590" s="730">
        <f t="shared" si="669"/>
        <v>39020.94</v>
      </c>
      <c r="BY590" s="731" t="str">
        <f t="shared" si="670"/>
        <v>JC</v>
      </c>
    </row>
    <row r="591" s="698" customFormat="1" customHeight="1" spans="1:77">
      <c r="A591" s="208">
        <v>46135</v>
      </c>
      <c r="B591" s="248">
        <v>46224</v>
      </c>
      <c r="C591" s="268" t="s">
        <v>763</v>
      </c>
      <c r="D591" s="268" t="s">
        <v>764</v>
      </c>
      <c r="E591" s="268" t="s">
        <v>50</v>
      </c>
      <c r="F591" s="343">
        <v>4014</v>
      </c>
      <c r="G591" s="268" t="s">
        <v>510</v>
      </c>
      <c r="H591" s="211" t="str">
        <f>IFERROR(VLOOKUP(E591,名称!A:E,4,0),"")</f>
        <v>蛋糕</v>
      </c>
      <c r="I591" s="268" t="str">
        <f t="shared" ref="I591:BT591" si="687">IF(OR($E591="",I$1=""),"",IF(TRIM(LEFT($E591,MIN(IFERROR(FIND("CDU",UPPER($E591)),999),IFERROR(FIND("BULK",UPPER($E591)),999),IFERROR(FIND("-",$E591),999),IFERROR(FIND("（",$E591),999))-1))=I$1,$F591,""))</f>
        <v/>
      </c>
      <c r="J591" s="268" t="str">
        <f t="shared" si="687"/>
        <v/>
      </c>
      <c r="K591" s="268" t="str">
        <f t="shared" si="687"/>
        <v/>
      </c>
      <c r="L591" s="268" t="str">
        <f t="shared" si="687"/>
        <v/>
      </c>
      <c r="M591" s="268" t="str">
        <f t="shared" si="687"/>
        <v/>
      </c>
      <c r="N591" s="268" t="str">
        <f t="shared" si="687"/>
        <v/>
      </c>
      <c r="O591" s="268" t="str">
        <f t="shared" si="687"/>
        <v/>
      </c>
      <c r="P591" s="268" t="str">
        <f t="shared" si="687"/>
        <v/>
      </c>
      <c r="Q591" s="268" t="str">
        <f t="shared" si="687"/>
        <v/>
      </c>
      <c r="R591" s="268" t="str">
        <f t="shared" si="687"/>
        <v/>
      </c>
      <c r="S591" s="268" t="str">
        <f t="shared" si="687"/>
        <v/>
      </c>
      <c r="T591" s="268" t="str">
        <f t="shared" si="687"/>
        <v/>
      </c>
      <c r="U591" s="268" t="str">
        <f t="shared" si="687"/>
        <v/>
      </c>
      <c r="V591" s="268" t="str">
        <f t="shared" si="687"/>
        <v/>
      </c>
      <c r="W591" s="268" t="str">
        <f t="shared" si="687"/>
        <v/>
      </c>
      <c r="X591" s="268" t="str">
        <f t="shared" si="687"/>
        <v/>
      </c>
      <c r="Y591" s="268" t="str">
        <f t="shared" si="687"/>
        <v/>
      </c>
      <c r="Z591" s="268" t="str">
        <f t="shared" si="687"/>
        <v/>
      </c>
      <c r="AA591" s="268" t="str">
        <f t="shared" si="687"/>
        <v/>
      </c>
      <c r="AB591" s="268" t="str">
        <f t="shared" si="687"/>
        <v/>
      </c>
      <c r="AC591" s="268" t="str">
        <f t="shared" si="687"/>
        <v/>
      </c>
      <c r="AD591" s="268" t="str">
        <f t="shared" si="687"/>
        <v/>
      </c>
      <c r="AE591" s="268" t="str">
        <f t="shared" si="687"/>
        <v/>
      </c>
      <c r="AF591" s="268" t="str">
        <f t="shared" si="687"/>
        <v/>
      </c>
      <c r="AG591" s="268" t="str">
        <f t="shared" si="687"/>
        <v/>
      </c>
      <c r="AH591" s="268" t="str">
        <f t="shared" si="687"/>
        <v/>
      </c>
      <c r="AI591" s="268" t="str">
        <f t="shared" si="687"/>
        <v/>
      </c>
      <c r="AJ591" s="268" t="str">
        <f t="shared" si="687"/>
        <v/>
      </c>
      <c r="AK591" s="268" t="str">
        <f t="shared" si="687"/>
        <v/>
      </c>
      <c r="AL591" s="268" t="str">
        <f t="shared" si="687"/>
        <v/>
      </c>
      <c r="AM591" s="268" t="str">
        <f t="shared" si="687"/>
        <v/>
      </c>
      <c r="AN591" s="268" t="str">
        <f t="shared" si="687"/>
        <v/>
      </c>
      <c r="AO591" s="268" t="str">
        <f t="shared" si="687"/>
        <v/>
      </c>
      <c r="AP591" s="268" t="str">
        <f t="shared" si="687"/>
        <v/>
      </c>
      <c r="AQ591" s="268" t="str">
        <f t="shared" si="687"/>
        <v/>
      </c>
      <c r="AR591" s="268" t="str">
        <f t="shared" si="687"/>
        <v/>
      </c>
      <c r="AS591" s="268" t="str">
        <f t="shared" si="687"/>
        <v/>
      </c>
      <c r="AT591" s="268" t="str">
        <f t="shared" si="687"/>
        <v/>
      </c>
      <c r="AU591" s="268" t="str">
        <f t="shared" si="687"/>
        <v/>
      </c>
      <c r="AV591" s="268" t="str">
        <f t="shared" si="687"/>
        <v/>
      </c>
      <c r="AW591" s="268" t="str">
        <f t="shared" si="687"/>
        <v/>
      </c>
      <c r="AX591" s="268" t="str">
        <f t="shared" si="687"/>
        <v/>
      </c>
      <c r="AY591" s="268" t="str">
        <f t="shared" si="687"/>
        <v/>
      </c>
      <c r="AZ591" s="268" t="str">
        <f t="shared" si="687"/>
        <v/>
      </c>
      <c r="BA591" s="268" t="str">
        <f t="shared" si="687"/>
        <v/>
      </c>
      <c r="BB591" s="268" t="str">
        <f t="shared" si="687"/>
        <v/>
      </c>
      <c r="BC591" s="268" t="str">
        <f t="shared" si="687"/>
        <v/>
      </c>
      <c r="BD591" s="268" t="str">
        <f t="shared" si="687"/>
        <v/>
      </c>
      <c r="BE591" s="268" t="str">
        <f t="shared" si="687"/>
        <v/>
      </c>
      <c r="BF591" s="268" t="str">
        <f t="shared" si="687"/>
        <v/>
      </c>
      <c r="BG591" s="268">
        <f t="shared" si="687"/>
        <v>4014</v>
      </c>
      <c r="BH591" s="268" t="str">
        <f t="shared" si="687"/>
        <v/>
      </c>
      <c r="BI591" s="268" t="str">
        <f t="shared" si="687"/>
        <v/>
      </c>
      <c r="BJ591" s="268" t="str">
        <f t="shared" si="687"/>
        <v/>
      </c>
      <c r="BK591" s="268" t="str">
        <f t="shared" si="687"/>
        <v/>
      </c>
      <c r="BL591" s="268" t="str">
        <f t="shared" si="687"/>
        <v/>
      </c>
      <c r="BM591" s="268" t="str">
        <f t="shared" si="687"/>
        <v/>
      </c>
      <c r="BN591" s="268" t="str">
        <f t="shared" si="687"/>
        <v/>
      </c>
      <c r="BO591" s="268" t="str">
        <f t="shared" si="687"/>
        <v/>
      </c>
      <c r="BP591" s="268" t="str">
        <f t="shared" si="687"/>
        <v/>
      </c>
      <c r="BQ591" s="268" t="str">
        <f t="shared" si="687"/>
        <v/>
      </c>
      <c r="BR591" s="268" t="str">
        <f t="shared" si="687"/>
        <v/>
      </c>
      <c r="BS591" s="268" t="str">
        <f t="shared" si="687"/>
        <v/>
      </c>
      <c r="BT591" s="268" t="str">
        <f t="shared" si="687"/>
        <v/>
      </c>
      <c r="BU591" s="268" t="str">
        <f t="shared" si="675"/>
        <v/>
      </c>
      <c r="BV591" s="247">
        <v>1.11</v>
      </c>
      <c r="BW591" s="729">
        <f t="shared" si="618"/>
        <v>4455.54</v>
      </c>
      <c r="BX591" s="730">
        <f t="shared" si="669"/>
        <v>34530.44</v>
      </c>
      <c r="BY591" s="731" t="str">
        <f t="shared" si="670"/>
        <v>JC</v>
      </c>
    </row>
    <row r="592" s="697" customFormat="1" customHeight="1" spans="1:77">
      <c r="A592" s="116">
        <v>46135</v>
      </c>
      <c r="B592" s="179">
        <v>46251</v>
      </c>
      <c r="C592" s="418" t="s">
        <v>765</v>
      </c>
      <c r="D592" s="418" t="s">
        <v>766</v>
      </c>
      <c r="E592" s="418" t="s">
        <v>50</v>
      </c>
      <c r="F592" s="737">
        <v>7038</v>
      </c>
      <c r="G592" s="418" t="s">
        <v>510</v>
      </c>
      <c r="H592" s="118" t="str">
        <f>IFERROR(VLOOKUP(E592,名称!A:E,4,0),"")</f>
        <v>蛋糕</v>
      </c>
      <c r="I592" s="418" t="str">
        <f t="shared" ref="I592:BT592" si="688">IF(OR($E592="",I$1=""),"",IF(TRIM(LEFT($E592,MIN(IFERROR(FIND("CDU",UPPER($E592)),999),IFERROR(FIND("BULK",UPPER($E592)),999),IFERROR(FIND("-",$E592),999),IFERROR(FIND("（",$E592),999))-1))=I$1,$F592,""))</f>
        <v/>
      </c>
      <c r="J592" s="418" t="str">
        <f t="shared" si="688"/>
        <v/>
      </c>
      <c r="K592" s="418" t="str">
        <f t="shared" si="688"/>
        <v/>
      </c>
      <c r="L592" s="418" t="str">
        <f t="shared" si="688"/>
        <v/>
      </c>
      <c r="M592" s="418" t="str">
        <f t="shared" si="688"/>
        <v/>
      </c>
      <c r="N592" s="418" t="str">
        <f t="shared" si="688"/>
        <v/>
      </c>
      <c r="O592" s="418" t="str">
        <f t="shared" si="688"/>
        <v/>
      </c>
      <c r="P592" s="418" t="str">
        <f t="shared" si="688"/>
        <v/>
      </c>
      <c r="Q592" s="418" t="str">
        <f t="shared" si="688"/>
        <v/>
      </c>
      <c r="R592" s="418" t="str">
        <f t="shared" si="688"/>
        <v/>
      </c>
      <c r="S592" s="418" t="str">
        <f t="shared" si="688"/>
        <v/>
      </c>
      <c r="T592" s="418" t="str">
        <f t="shared" si="688"/>
        <v/>
      </c>
      <c r="U592" s="418" t="str">
        <f t="shared" si="688"/>
        <v/>
      </c>
      <c r="V592" s="418" t="str">
        <f t="shared" si="688"/>
        <v/>
      </c>
      <c r="W592" s="418" t="str">
        <f t="shared" si="688"/>
        <v/>
      </c>
      <c r="X592" s="418" t="str">
        <f t="shared" si="688"/>
        <v/>
      </c>
      <c r="Y592" s="418" t="str">
        <f t="shared" si="688"/>
        <v/>
      </c>
      <c r="Z592" s="418" t="str">
        <f t="shared" si="688"/>
        <v/>
      </c>
      <c r="AA592" s="418" t="str">
        <f t="shared" si="688"/>
        <v/>
      </c>
      <c r="AB592" s="418" t="str">
        <f t="shared" si="688"/>
        <v/>
      </c>
      <c r="AC592" s="418" t="str">
        <f t="shared" si="688"/>
        <v/>
      </c>
      <c r="AD592" s="418" t="str">
        <f t="shared" si="688"/>
        <v/>
      </c>
      <c r="AE592" s="418" t="str">
        <f t="shared" si="688"/>
        <v/>
      </c>
      <c r="AF592" s="418" t="str">
        <f t="shared" si="688"/>
        <v/>
      </c>
      <c r="AG592" s="418" t="str">
        <f t="shared" si="688"/>
        <v/>
      </c>
      <c r="AH592" s="418" t="str">
        <f t="shared" si="688"/>
        <v/>
      </c>
      <c r="AI592" s="418" t="str">
        <f t="shared" si="688"/>
        <v/>
      </c>
      <c r="AJ592" s="418" t="str">
        <f t="shared" si="688"/>
        <v/>
      </c>
      <c r="AK592" s="418" t="str">
        <f t="shared" si="688"/>
        <v/>
      </c>
      <c r="AL592" s="418" t="str">
        <f t="shared" si="688"/>
        <v/>
      </c>
      <c r="AM592" s="418" t="str">
        <f t="shared" si="688"/>
        <v/>
      </c>
      <c r="AN592" s="418" t="str">
        <f t="shared" si="688"/>
        <v/>
      </c>
      <c r="AO592" s="418" t="str">
        <f t="shared" si="688"/>
        <v/>
      </c>
      <c r="AP592" s="418" t="str">
        <f t="shared" si="688"/>
        <v/>
      </c>
      <c r="AQ592" s="418" t="str">
        <f t="shared" si="688"/>
        <v/>
      </c>
      <c r="AR592" s="418" t="str">
        <f t="shared" si="688"/>
        <v/>
      </c>
      <c r="AS592" s="418" t="str">
        <f t="shared" si="688"/>
        <v/>
      </c>
      <c r="AT592" s="418" t="str">
        <f t="shared" si="688"/>
        <v/>
      </c>
      <c r="AU592" s="418" t="str">
        <f t="shared" si="688"/>
        <v/>
      </c>
      <c r="AV592" s="418" t="str">
        <f t="shared" si="688"/>
        <v/>
      </c>
      <c r="AW592" s="418" t="str">
        <f t="shared" si="688"/>
        <v/>
      </c>
      <c r="AX592" s="418" t="str">
        <f t="shared" si="688"/>
        <v/>
      </c>
      <c r="AY592" s="418" t="str">
        <f t="shared" si="688"/>
        <v/>
      </c>
      <c r="AZ592" s="418" t="str">
        <f t="shared" si="688"/>
        <v/>
      </c>
      <c r="BA592" s="418" t="str">
        <f t="shared" si="688"/>
        <v/>
      </c>
      <c r="BB592" s="418" t="str">
        <f t="shared" si="688"/>
        <v/>
      </c>
      <c r="BC592" s="418" t="str">
        <f t="shared" si="688"/>
        <v/>
      </c>
      <c r="BD592" s="418" t="str">
        <f t="shared" si="688"/>
        <v/>
      </c>
      <c r="BE592" s="418" t="str">
        <f t="shared" si="688"/>
        <v/>
      </c>
      <c r="BF592" s="418" t="str">
        <f t="shared" si="688"/>
        <v/>
      </c>
      <c r="BG592" s="418">
        <f t="shared" si="688"/>
        <v>7038</v>
      </c>
      <c r="BH592" s="418" t="str">
        <f t="shared" si="688"/>
        <v/>
      </c>
      <c r="BI592" s="418" t="str">
        <f t="shared" si="688"/>
        <v/>
      </c>
      <c r="BJ592" s="418" t="str">
        <f t="shared" si="688"/>
        <v/>
      </c>
      <c r="BK592" s="418" t="str">
        <f t="shared" si="688"/>
        <v/>
      </c>
      <c r="BL592" s="418" t="str">
        <f t="shared" si="688"/>
        <v/>
      </c>
      <c r="BM592" s="418" t="str">
        <f t="shared" si="688"/>
        <v/>
      </c>
      <c r="BN592" s="418" t="str">
        <f t="shared" si="688"/>
        <v/>
      </c>
      <c r="BO592" s="418" t="str">
        <f t="shared" si="688"/>
        <v/>
      </c>
      <c r="BP592" s="418" t="str">
        <f t="shared" si="688"/>
        <v/>
      </c>
      <c r="BQ592" s="418" t="str">
        <f t="shared" si="688"/>
        <v/>
      </c>
      <c r="BR592" s="418" t="str">
        <f t="shared" si="688"/>
        <v/>
      </c>
      <c r="BS592" s="418" t="str">
        <f t="shared" si="688"/>
        <v/>
      </c>
      <c r="BT592" s="418" t="str">
        <f t="shared" si="688"/>
        <v/>
      </c>
      <c r="BU592" s="418" t="str">
        <f t="shared" si="675"/>
        <v/>
      </c>
      <c r="BV592" s="544">
        <v>1.09</v>
      </c>
      <c r="BW592" s="723">
        <f t="shared" si="618"/>
        <v>7671.42</v>
      </c>
      <c r="BX592" s="724">
        <f t="shared" si="669"/>
        <v>59453.51</v>
      </c>
      <c r="BY592" s="725" t="str">
        <f t="shared" si="670"/>
        <v>JC</v>
      </c>
    </row>
    <row r="593" s="697" customFormat="1" customHeight="1" spans="1:77">
      <c r="A593" s="116">
        <v>46135</v>
      </c>
      <c r="B593" s="179">
        <v>46244</v>
      </c>
      <c r="C593" s="418" t="s">
        <v>765</v>
      </c>
      <c r="D593" s="418" t="s">
        <v>767</v>
      </c>
      <c r="E593" s="418" t="s">
        <v>50</v>
      </c>
      <c r="F593" s="737">
        <v>4968</v>
      </c>
      <c r="G593" s="418" t="s">
        <v>510</v>
      </c>
      <c r="H593" s="118" t="str">
        <f>IFERROR(VLOOKUP(E593,名称!A:E,4,0),"")</f>
        <v>蛋糕</v>
      </c>
      <c r="I593" s="418" t="str">
        <f t="shared" ref="I593:BT593" si="689">IF(OR($E593="",I$1=""),"",IF(TRIM(LEFT($E593,MIN(IFERROR(FIND("CDU",UPPER($E593)),999),IFERROR(FIND("BULK",UPPER($E593)),999),IFERROR(FIND("-",$E593),999),IFERROR(FIND("（",$E593),999))-1))=I$1,$F593,""))</f>
        <v/>
      </c>
      <c r="J593" s="418" t="str">
        <f t="shared" si="689"/>
        <v/>
      </c>
      <c r="K593" s="418" t="str">
        <f t="shared" si="689"/>
        <v/>
      </c>
      <c r="L593" s="418" t="str">
        <f t="shared" si="689"/>
        <v/>
      </c>
      <c r="M593" s="418" t="str">
        <f t="shared" si="689"/>
        <v/>
      </c>
      <c r="N593" s="418" t="str">
        <f t="shared" si="689"/>
        <v/>
      </c>
      <c r="O593" s="418" t="str">
        <f t="shared" si="689"/>
        <v/>
      </c>
      <c r="P593" s="418" t="str">
        <f t="shared" si="689"/>
        <v/>
      </c>
      <c r="Q593" s="418" t="str">
        <f t="shared" si="689"/>
        <v/>
      </c>
      <c r="R593" s="418" t="str">
        <f t="shared" si="689"/>
        <v/>
      </c>
      <c r="S593" s="418" t="str">
        <f t="shared" si="689"/>
        <v/>
      </c>
      <c r="T593" s="418" t="str">
        <f t="shared" si="689"/>
        <v/>
      </c>
      <c r="U593" s="418" t="str">
        <f t="shared" si="689"/>
        <v/>
      </c>
      <c r="V593" s="418" t="str">
        <f t="shared" si="689"/>
        <v/>
      </c>
      <c r="W593" s="418" t="str">
        <f t="shared" si="689"/>
        <v/>
      </c>
      <c r="X593" s="418" t="str">
        <f t="shared" si="689"/>
        <v/>
      </c>
      <c r="Y593" s="418" t="str">
        <f t="shared" si="689"/>
        <v/>
      </c>
      <c r="Z593" s="418" t="str">
        <f t="shared" si="689"/>
        <v/>
      </c>
      <c r="AA593" s="418" t="str">
        <f t="shared" si="689"/>
        <v/>
      </c>
      <c r="AB593" s="418" t="str">
        <f t="shared" si="689"/>
        <v/>
      </c>
      <c r="AC593" s="418" t="str">
        <f t="shared" si="689"/>
        <v/>
      </c>
      <c r="AD593" s="418" t="str">
        <f t="shared" si="689"/>
        <v/>
      </c>
      <c r="AE593" s="418" t="str">
        <f t="shared" si="689"/>
        <v/>
      </c>
      <c r="AF593" s="418" t="str">
        <f t="shared" si="689"/>
        <v/>
      </c>
      <c r="AG593" s="418" t="str">
        <f t="shared" si="689"/>
        <v/>
      </c>
      <c r="AH593" s="418" t="str">
        <f t="shared" si="689"/>
        <v/>
      </c>
      <c r="AI593" s="418" t="str">
        <f t="shared" si="689"/>
        <v/>
      </c>
      <c r="AJ593" s="418" t="str">
        <f t="shared" si="689"/>
        <v/>
      </c>
      <c r="AK593" s="418" t="str">
        <f t="shared" si="689"/>
        <v/>
      </c>
      <c r="AL593" s="418" t="str">
        <f t="shared" si="689"/>
        <v/>
      </c>
      <c r="AM593" s="418" t="str">
        <f t="shared" si="689"/>
        <v/>
      </c>
      <c r="AN593" s="418" t="str">
        <f t="shared" si="689"/>
        <v/>
      </c>
      <c r="AO593" s="418" t="str">
        <f t="shared" si="689"/>
        <v/>
      </c>
      <c r="AP593" s="418" t="str">
        <f t="shared" si="689"/>
        <v/>
      </c>
      <c r="AQ593" s="418" t="str">
        <f t="shared" si="689"/>
        <v/>
      </c>
      <c r="AR593" s="418" t="str">
        <f t="shared" si="689"/>
        <v/>
      </c>
      <c r="AS593" s="418" t="str">
        <f t="shared" si="689"/>
        <v/>
      </c>
      <c r="AT593" s="418" t="str">
        <f t="shared" si="689"/>
        <v/>
      </c>
      <c r="AU593" s="418" t="str">
        <f t="shared" si="689"/>
        <v/>
      </c>
      <c r="AV593" s="418" t="str">
        <f t="shared" si="689"/>
        <v/>
      </c>
      <c r="AW593" s="418" t="str">
        <f t="shared" si="689"/>
        <v/>
      </c>
      <c r="AX593" s="418" t="str">
        <f t="shared" si="689"/>
        <v/>
      </c>
      <c r="AY593" s="418" t="str">
        <f t="shared" si="689"/>
        <v/>
      </c>
      <c r="AZ593" s="418" t="str">
        <f t="shared" si="689"/>
        <v/>
      </c>
      <c r="BA593" s="418" t="str">
        <f t="shared" si="689"/>
        <v/>
      </c>
      <c r="BB593" s="418" t="str">
        <f t="shared" si="689"/>
        <v/>
      </c>
      <c r="BC593" s="418" t="str">
        <f t="shared" si="689"/>
        <v/>
      </c>
      <c r="BD593" s="418" t="str">
        <f t="shared" si="689"/>
        <v/>
      </c>
      <c r="BE593" s="418" t="str">
        <f t="shared" si="689"/>
        <v/>
      </c>
      <c r="BF593" s="418" t="str">
        <f t="shared" si="689"/>
        <v/>
      </c>
      <c r="BG593" s="418">
        <f t="shared" si="689"/>
        <v>4968</v>
      </c>
      <c r="BH593" s="418" t="str">
        <f t="shared" si="689"/>
        <v/>
      </c>
      <c r="BI593" s="418" t="str">
        <f t="shared" si="689"/>
        <v/>
      </c>
      <c r="BJ593" s="418" t="str">
        <f t="shared" si="689"/>
        <v/>
      </c>
      <c r="BK593" s="418" t="str">
        <f t="shared" si="689"/>
        <v/>
      </c>
      <c r="BL593" s="418" t="str">
        <f t="shared" si="689"/>
        <v/>
      </c>
      <c r="BM593" s="418" t="str">
        <f t="shared" si="689"/>
        <v/>
      </c>
      <c r="BN593" s="418" t="str">
        <f t="shared" si="689"/>
        <v/>
      </c>
      <c r="BO593" s="418" t="str">
        <f t="shared" si="689"/>
        <v/>
      </c>
      <c r="BP593" s="418" t="str">
        <f t="shared" si="689"/>
        <v/>
      </c>
      <c r="BQ593" s="418" t="str">
        <f t="shared" si="689"/>
        <v/>
      </c>
      <c r="BR593" s="418" t="str">
        <f t="shared" si="689"/>
        <v/>
      </c>
      <c r="BS593" s="418" t="str">
        <f t="shared" si="689"/>
        <v/>
      </c>
      <c r="BT593" s="418" t="str">
        <f t="shared" si="689"/>
        <v/>
      </c>
      <c r="BU593" s="418" t="str">
        <f t="shared" si="675"/>
        <v/>
      </c>
      <c r="BV593" s="544">
        <v>1.09</v>
      </c>
      <c r="BW593" s="723">
        <f t="shared" si="618"/>
        <v>5415.12</v>
      </c>
      <c r="BX593" s="724">
        <f t="shared" si="669"/>
        <v>41967.18</v>
      </c>
      <c r="BY593" s="725" t="str">
        <f t="shared" si="670"/>
        <v>JC</v>
      </c>
    </row>
    <row r="594" s="697" customFormat="1" customHeight="1" spans="1:77">
      <c r="A594" s="116">
        <v>46135</v>
      </c>
      <c r="B594" s="179">
        <v>46258</v>
      </c>
      <c r="C594" s="418" t="s">
        <v>768</v>
      </c>
      <c r="D594" s="418" t="s">
        <v>769</v>
      </c>
      <c r="E594" s="418" t="s">
        <v>50</v>
      </c>
      <c r="F594" s="737">
        <v>5004</v>
      </c>
      <c r="G594" s="418" t="s">
        <v>510</v>
      </c>
      <c r="H594" s="118" t="str">
        <f>IFERROR(VLOOKUP(E594,名称!A:E,4,0),"")</f>
        <v>蛋糕</v>
      </c>
      <c r="I594" s="418" t="str">
        <f t="shared" ref="I594:BT594" si="690">IF(OR($E594="",I$1=""),"",IF(TRIM(LEFT($E594,MIN(IFERROR(FIND("CDU",UPPER($E594)),999),IFERROR(FIND("BULK",UPPER($E594)),999),IFERROR(FIND("-",$E594),999),IFERROR(FIND("（",$E594),999))-1))=I$1,$F594,""))</f>
        <v/>
      </c>
      <c r="J594" s="418" t="str">
        <f t="shared" si="690"/>
        <v/>
      </c>
      <c r="K594" s="418" t="str">
        <f t="shared" si="690"/>
        <v/>
      </c>
      <c r="L594" s="418" t="str">
        <f t="shared" si="690"/>
        <v/>
      </c>
      <c r="M594" s="418" t="str">
        <f t="shared" si="690"/>
        <v/>
      </c>
      <c r="N594" s="418" t="str">
        <f t="shared" si="690"/>
        <v/>
      </c>
      <c r="O594" s="418" t="str">
        <f t="shared" si="690"/>
        <v/>
      </c>
      <c r="P594" s="418" t="str">
        <f t="shared" si="690"/>
        <v/>
      </c>
      <c r="Q594" s="418" t="str">
        <f t="shared" si="690"/>
        <v/>
      </c>
      <c r="R594" s="418" t="str">
        <f t="shared" si="690"/>
        <v/>
      </c>
      <c r="S594" s="418" t="str">
        <f t="shared" si="690"/>
        <v/>
      </c>
      <c r="T594" s="418" t="str">
        <f t="shared" si="690"/>
        <v/>
      </c>
      <c r="U594" s="418" t="str">
        <f t="shared" si="690"/>
        <v/>
      </c>
      <c r="V594" s="418" t="str">
        <f t="shared" si="690"/>
        <v/>
      </c>
      <c r="W594" s="418" t="str">
        <f t="shared" si="690"/>
        <v/>
      </c>
      <c r="X594" s="418" t="str">
        <f t="shared" si="690"/>
        <v/>
      </c>
      <c r="Y594" s="418" t="str">
        <f t="shared" si="690"/>
        <v/>
      </c>
      <c r="Z594" s="418" t="str">
        <f t="shared" si="690"/>
        <v/>
      </c>
      <c r="AA594" s="418" t="str">
        <f t="shared" si="690"/>
        <v/>
      </c>
      <c r="AB594" s="418" t="str">
        <f t="shared" si="690"/>
        <v/>
      </c>
      <c r="AC594" s="418" t="str">
        <f t="shared" si="690"/>
        <v/>
      </c>
      <c r="AD594" s="418" t="str">
        <f t="shared" si="690"/>
        <v/>
      </c>
      <c r="AE594" s="418" t="str">
        <f t="shared" si="690"/>
        <v/>
      </c>
      <c r="AF594" s="418" t="str">
        <f t="shared" si="690"/>
        <v/>
      </c>
      <c r="AG594" s="418" t="str">
        <f t="shared" si="690"/>
        <v/>
      </c>
      <c r="AH594" s="418" t="str">
        <f t="shared" si="690"/>
        <v/>
      </c>
      <c r="AI594" s="418" t="str">
        <f t="shared" si="690"/>
        <v/>
      </c>
      <c r="AJ594" s="418" t="str">
        <f t="shared" si="690"/>
        <v/>
      </c>
      <c r="AK594" s="418" t="str">
        <f t="shared" si="690"/>
        <v/>
      </c>
      <c r="AL594" s="418" t="str">
        <f t="shared" si="690"/>
        <v/>
      </c>
      <c r="AM594" s="418" t="str">
        <f t="shared" si="690"/>
        <v/>
      </c>
      <c r="AN594" s="418" t="str">
        <f t="shared" si="690"/>
        <v/>
      </c>
      <c r="AO594" s="418" t="str">
        <f t="shared" si="690"/>
        <v/>
      </c>
      <c r="AP594" s="418" t="str">
        <f t="shared" si="690"/>
        <v/>
      </c>
      <c r="AQ594" s="418" t="str">
        <f t="shared" si="690"/>
        <v/>
      </c>
      <c r="AR594" s="418" t="str">
        <f t="shared" si="690"/>
        <v/>
      </c>
      <c r="AS594" s="418" t="str">
        <f t="shared" si="690"/>
        <v/>
      </c>
      <c r="AT594" s="418" t="str">
        <f t="shared" si="690"/>
        <v/>
      </c>
      <c r="AU594" s="418" t="str">
        <f t="shared" si="690"/>
        <v/>
      </c>
      <c r="AV594" s="418" t="str">
        <f t="shared" si="690"/>
        <v/>
      </c>
      <c r="AW594" s="418" t="str">
        <f t="shared" si="690"/>
        <v/>
      </c>
      <c r="AX594" s="418" t="str">
        <f t="shared" si="690"/>
        <v/>
      </c>
      <c r="AY594" s="418" t="str">
        <f t="shared" si="690"/>
        <v/>
      </c>
      <c r="AZ594" s="418" t="str">
        <f t="shared" si="690"/>
        <v/>
      </c>
      <c r="BA594" s="418" t="str">
        <f t="shared" si="690"/>
        <v/>
      </c>
      <c r="BB594" s="418" t="str">
        <f t="shared" si="690"/>
        <v/>
      </c>
      <c r="BC594" s="418" t="str">
        <f t="shared" si="690"/>
        <v/>
      </c>
      <c r="BD594" s="418" t="str">
        <f t="shared" si="690"/>
        <v/>
      </c>
      <c r="BE594" s="418" t="str">
        <f t="shared" si="690"/>
        <v/>
      </c>
      <c r="BF594" s="418" t="str">
        <f t="shared" si="690"/>
        <v/>
      </c>
      <c r="BG594" s="418">
        <f t="shared" si="690"/>
        <v>5004</v>
      </c>
      <c r="BH594" s="418" t="str">
        <f t="shared" si="690"/>
        <v/>
      </c>
      <c r="BI594" s="418" t="str">
        <f t="shared" si="690"/>
        <v/>
      </c>
      <c r="BJ594" s="418" t="str">
        <f t="shared" si="690"/>
        <v/>
      </c>
      <c r="BK594" s="418" t="str">
        <f t="shared" si="690"/>
        <v/>
      </c>
      <c r="BL594" s="418" t="str">
        <f t="shared" si="690"/>
        <v/>
      </c>
      <c r="BM594" s="418" t="str">
        <f t="shared" si="690"/>
        <v/>
      </c>
      <c r="BN594" s="418" t="str">
        <f t="shared" si="690"/>
        <v/>
      </c>
      <c r="BO594" s="418" t="str">
        <f t="shared" si="690"/>
        <v/>
      </c>
      <c r="BP594" s="418" t="str">
        <f t="shared" si="690"/>
        <v/>
      </c>
      <c r="BQ594" s="418" t="str">
        <f t="shared" si="690"/>
        <v/>
      </c>
      <c r="BR594" s="418" t="str">
        <f t="shared" si="690"/>
        <v/>
      </c>
      <c r="BS594" s="418" t="str">
        <f t="shared" si="690"/>
        <v/>
      </c>
      <c r="BT594" s="418" t="str">
        <f t="shared" si="690"/>
        <v/>
      </c>
      <c r="BU594" s="418" t="str">
        <f t="shared" si="675"/>
        <v/>
      </c>
      <c r="BV594" s="544">
        <v>1.09</v>
      </c>
      <c r="BW594" s="723">
        <f t="shared" ref="BW594:BW607" si="691">SUM(I594:BU594)*BV594</f>
        <v>5454.36</v>
      </c>
      <c r="BX594" s="724">
        <f t="shared" si="669"/>
        <v>42271.29</v>
      </c>
      <c r="BY594" s="725" t="str">
        <f t="shared" si="670"/>
        <v>JC</v>
      </c>
    </row>
    <row r="595" s="697" customFormat="1" customHeight="1" spans="1:77">
      <c r="A595" s="116">
        <v>46135</v>
      </c>
      <c r="B595" s="179">
        <v>46230</v>
      </c>
      <c r="C595" s="418" t="s">
        <v>770</v>
      </c>
      <c r="D595" s="418" t="s">
        <v>771</v>
      </c>
      <c r="E595" s="418" t="s">
        <v>50</v>
      </c>
      <c r="F595" s="737">
        <v>10008</v>
      </c>
      <c r="G595" s="418" t="s">
        <v>510</v>
      </c>
      <c r="H595" s="118" t="str">
        <f>IFERROR(VLOOKUP(E595,名称!A:E,4,0),"")</f>
        <v>蛋糕</v>
      </c>
      <c r="I595" s="418" t="str">
        <f t="shared" ref="I595:BT595" si="692">IF(OR($E595="",I$1=""),"",IF(TRIM(LEFT($E595,MIN(IFERROR(FIND("CDU",UPPER($E595)),999),IFERROR(FIND("BULK",UPPER($E595)),999),IFERROR(FIND("-",$E595),999),IFERROR(FIND("（",$E595),999))-1))=I$1,$F595,""))</f>
        <v/>
      </c>
      <c r="J595" s="418" t="str">
        <f t="shared" si="692"/>
        <v/>
      </c>
      <c r="K595" s="418" t="str">
        <f t="shared" si="692"/>
        <v/>
      </c>
      <c r="L595" s="418" t="str">
        <f t="shared" si="692"/>
        <v/>
      </c>
      <c r="M595" s="418" t="str">
        <f t="shared" si="692"/>
        <v/>
      </c>
      <c r="N595" s="418" t="str">
        <f t="shared" si="692"/>
        <v/>
      </c>
      <c r="O595" s="418" t="str">
        <f t="shared" si="692"/>
        <v/>
      </c>
      <c r="P595" s="418" t="str">
        <f t="shared" si="692"/>
        <v/>
      </c>
      <c r="Q595" s="418" t="str">
        <f t="shared" si="692"/>
        <v/>
      </c>
      <c r="R595" s="418" t="str">
        <f t="shared" si="692"/>
        <v/>
      </c>
      <c r="S595" s="418" t="str">
        <f t="shared" si="692"/>
        <v/>
      </c>
      <c r="T595" s="418" t="str">
        <f t="shared" si="692"/>
        <v/>
      </c>
      <c r="U595" s="418" t="str">
        <f t="shared" si="692"/>
        <v/>
      </c>
      <c r="V595" s="418" t="str">
        <f t="shared" si="692"/>
        <v/>
      </c>
      <c r="W595" s="418" t="str">
        <f t="shared" si="692"/>
        <v/>
      </c>
      <c r="X595" s="418" t="str">
        <f t="shared" si="692"/>
        <v/>
      </c>
      <c r="Y595" s="418" t="str">
        <f t="shared" si="692"/>
        <v/>
      </c>
      <c r="Z595" s="418" t="str">
        <f t="shared" si="692"/>
        <v/>
      </c>
      <c r="AA595" s="418" t="str">
        <f t="shared" si="692"/>
        <v/>
      </c>
      <c r="AB595" s="418" t="str">
        <f t="shared" si="692"/>
        <v/>
      </c>
      <c r="AC595" s="418" t="str">
        <f t="shared" si="692"/>
        <v/>
      </c>
      <c r="AD595" s="418" t="str">
        <f t="shared" si="692"/>
        <v/>
      </c>
      <c r="AE595" s="418" t="str">
        <f t="shared" si="692"/>
        <v/>
      </c>
      <c r="AF595" s="418" t="str">
        <f t="shared" si="692"/>
        <v/>
      </c>
      <c r="AG595" s="418" t="str">
        <f t="shared" si="692"/>
        <v/>
      </c>
      <c r="AH595" s="418" t="str">
        <f t="shared" si="692"/>
        <v/>
      </c>
      <c r="AI595" s="418" t="str">
        <f t="shared" si="692"/>
        <v/>
      </c>
      <c r="AJ595" s="418" t="str">
        <f t="shared" si="692"/>
        <v/>
      </c>
      <c r="AK595" s="418" t="str">
        <f t="shared" si="692"/>
        <v/>
      </c>
      <c r="AL595" s="418" t="str">
        <f t="shared" si="692"/>
        <v/>
      </c>
      <c r="AM595" s="418" t="str">
        <f t="shared" si="692"/>
        <v/>
      </c>
      <c r="AN595" s="418" t="str">
        <f t="shared" si="692"/>
        <v/>
      </c>
      <c r="AO595" s="418" t="str">
        <f t="shared" si="692"/>
        <v/>
      </c>
      <c r="AP595" s="418" t="str">
        <f t="shared" si="692"/>
        <v/>
      </c>
      <c r="AQ595" s="418" t="str">
        <f t="shared" si="692"/>
        <v/>
      </c>
      <c r="AR595" s="418" t="str">
        <f t="shared" si="692"/>
        <v/>
      </c>
      <c r="AS595" s="418" t="str">
        <f t="shared" si="692"/>
        <v/>
      </c>
      <c r="AT595" s="418" t="str">
        <f t="shared" si="692"/>
        <v/>
      </c>
      <c r="AU595" s="418" t="str">
        <f t="shared" si="692"/>
        <v/>
      </c>
      <c r="AV595" s="418" t="str">
        <f t="shared" si="692"/>
        <v/>
      </c>
      <c r="AW595" s="418" t="str">
        <f t="shared" si="692"/>
        <v/>
      </c>
      <c r="AX595" s="418" t="str">
        <f t="shared" si="692"/>
        <v/>
      </c>
      <c r="AY595" s="418" t="str">
        <f t="shared" si="692"/>
        <v/>
      </c>
      <c r="AZ595" s="418" t="str">
        <f t="shared" si="692"/>
        <v/>
      </c>
      <c r="BA595" s="418" t="str">
        <f t="shared" si="692"/>
        <v/>
      </c>
      <c r="BB595" s="418" t="str">
        <f t="shared" si="692"/>
        <v/>
      </c>
      <c r="BC595" s="418" t="str">
        <f t="shared" si="692"/>
        <v/>
      </c>
      <c r="BD595" s="418" t="str">
        <f t="shared" si="692"/>
        <v/>
      </c>
      <c r="BE595" s="418" t="str">
        <f t="shared" si="692"/>
        <v/>
      </c>
      <c r="BF595" s="418" t="str">
        <f t="shared" si="692"/>
        <v/>
      </c>
      <c r="BG595" s="418">
        <f t="shared" si="692"/>
        <v>10008</v>
      </c>
      <c r="BH595" s="418" t="str">
        <f t="shared" si="692"/>
        <v/>
      </c>
      <c r="BI595" s="418" t="str">
        <f t="shared" si="692"/>
        <v/>
      </c>
      <c r="BJ595" s="418" t="str">
        <f t="shared" si="692"/>
        <v/>
      </c>
      <c r="BK595" s="418" t="str">
        <f t="shared" si="692"/>
        <v/>
      </c>
      <c r="BL595" s="418" t="str">
        <f t="shared" si="692"/>
        <v/>
      </c>
      <c r="BM595" s="418" t="str">
        <f t="shared" si="692"/>
        <v/>
      </c>
      <c r="BN595" s="418" t="str">
        <f t="shared" si="692"/>
        <v/>
      </c>
      <c r="BO595" s="418" t="str">
        <f t="shared" si="692"/>
        <v/>
      </c>
      <c r="BP595" s="418" t="str">
        <f t="shared" si="692"/>
        <v/>
      </c>
      <c r="BQ595" s="418" t="str">
        <f t="shared" si="692"/>
        <v/>
      </c>
      <c r="BR595" s="418" t="str">
        <f t="shared" si="692"/>
        <v/>
      </c>
      <c r="BS595" s="418" t="str">
        <f t="shared" si="692"/>
        <v/>
      </c>
      <c r="BT595" s="418" t="str">
        <f t="shared" si="692"/>
        <v/>
      </c>
      <c r="BU595" s="418" t="str">
        <f t="shared" si="675"/>
        <v/>
      </c>
      <c r="BV595" s="544">
        <v>1.09</v>
      </c>
      <c r="BW595" s="723">
        <f t="shared" si="691"/>
        <v>10908.72</v>
      </c>
      <c r="BX595" s="724">
        <f t="shared" si="669"/>
        <v>84542.58</v>
      </c>
      <c r="BY595" s="725" t="str">
        <f t="shared" si="670"/>
        <v>JC</v>
      </c>
    </row>
    <row r="596" s="698" customFormat="1" customHeight="1" spans="1:77">
      <c r="A596" s="208">
        <v>46133</v>
      </c>
      <c r="B596" s="208">
        <v>46181</v>
      </c>
      <c r="C596" s="211" t="s">
        <v>772</v>
      </c>
      <c r="D596" s="211" t="s">
        <v>773</v>
      </c>
      <c r="E596" s="211" t="s">
        <v>37</v>
      </c>
      <c r="F596" s="343">
        <v>1500</v>
      </c>
      <c r="G596" s="211" t="s">
        <v>253</v>
      </c>
      <c r="H596" s="211" t="str">
        <f>IFERROR(VLOOKUP(E596,名称!A:E,4,0),"")</f>
        <v>二代</v>
      </c>
      <c r="I596" s="268" t="str">
        <f t="shared" ref="I596:BT596" si="693">IF(OR($E596="",I$1=""),"",IF(TRIM(LEFT($E596,MIN(IFERROR(FIND("CDU",UPPER($E596)),999),IFERROR(FIND("BULK",UPPER($E596)),999),IFERROR(FIND("-",$E596),999),IFERROR(FIND("（",$E596),999))-1))=I$1,$F596,""))</f>
        <v/>
      </c>
      <c r="J596" s="268" t="str">
        <f t="shared" si="693"/>
        <v/>
      </c>
      <c r="K596" s="268" t="str">
        <f t="shared" si="693"/>
        <v/>
      </c>
      <c r="L596" s="268" t="str">
        <f t="shared" si="693"/>
        <v/>
      </c>
      <c r="M596" s="268" t="str">
        <f t="shared" si="693"/>
        <v/>
      </c>
      <c r="N596" s="268" t="str">
        <f t="shared" si="693"/>
        <v/>
      </c>
      <c r="O596" s="268" t="str">
        <f t="shared" si="693"/>
        <v/>
      </c>
      <c r="P596" s="268" t="str">
        <f t="shared" si="693"/>
        <v/>
      </c>
      <c r="Q596" s="268" t="str">
        <f t="shared" si="693"/>
        <v/>
      </c>
      <c r="R596" s="268">
        <f t="shared" si="693"/>
        <v>1500</v>
      </c>
      <c r="S596" s="268" t="str">
        <f t="shared" si="693"/>
        <v/>
      </c>
      <c r="T596" s="268" t="str">
        <f t="shared" si="693"/>
        <v/>
      </c>
      <c r="U596" s="268" t="str">
        <f t="shared" si="693"/>
        <v/>
      </c>
      <c r="V596" s="268" t="str">
        <f t="shared" si="693"/>
        <v/>
      </c>
      <c r="W596" s="268" t="str">
        <f t="shared" si="693"/>
        <v/>
      </c>
      <c r="X596" s="268" t="str">
        <f t="shared" si="693"/>
        <v/>
      </c>
      <c r="Y596" s="268" t="str">
        <f t="shared" si="693"/>
        <v/>
      </c>
      <c r="Z596" s="268" t="str">
        <f t="shared" si="693"/>
        <v/>
      </c>
      <c r="AA596" s="268" t="str">
        <f t="shared" si="693"/>
        <v/>
      </c>
      <c r="AB596" s="268" t="str">
        <f t="shared" si="693"/>
        <v/>
      </c>
      <c r="AC596" s="268" t="str">
        <f t="shared" si="693"/>
        <v/>
      </c>
      <c r="AD596" s="268" t="str">
        <f t="shared" si="693"/>
        <v/>
      </c>
      <c r="AE596" s="268" t="str">
        <f t="shared" si="693"/>
        <v/>
      </c>
      <c r="AF596" s="268" t="str">
        <f t="shared" si="693"/>
        <v/>
      </c>
      <c r="AG596" s="268" t="str">
        <f t="shared" si="693"/>
        <v/>
      </c>
      <c r="AH596" s="268" t="str">
        <f t="shared" si="693"/>
        <v/>
      </c>
      <c r="AI596" s="268" t="str">
        <f t="shared" si="693"/>
        <v/>
      </c>
      <c r="AJ596" s="268" t="str">
        <f t="shared" si="693"/>
        <v/>
      </c>
      <c r="AK596" s="268" t="str">
        <f t="shared" si="693"/>
        <v/>
      </c>
      <c r="AL596" s="268" t="str">
        <f t="shared" si="693"/>
        <v/>
      </c>
      <c r="AM596" s="268" t="str">
        <f t="shared" si="693"/>
        <v/>
      </c>
      <c r="AN596" s="268" t="str">
        <f t="shared" si="693"/>
        <v/>
      </c>
      <c r="AO596" s="268" t="str">
        <f t="shared" si="693"/>
        <v/>
      </c>
      <c r="AP596" s="268" t="str">
        <f t="shared" si="693"/>
        <v/>
      </c>
      <c r="AQ596" s="268" t="str">
        <f t="shared" si="693"/>
        <v/>
      </c>
      <c r="AR596" s="268" t="str">
        <f t="shared" si="693"/>
        <v/>
      </c>
      <c r="AS596" s="268" t="str">
        <f t="shared" si="693"/>
        <v/>
      </c>
      <c r="AT596" s="268" t="str">
        <f t="shared" si="693"/>
        <v/>
      </c>
      <c r="AU596" s="268" t="str">
        <f t="shared" si="693"/>
        <v/>
      </c>
      <c r="AV596" s="268" t="str">
        <f t="shared" si="693"/>
        <v/>
      </c>
      <c r="AW596" s="268" t="str">
        <f t="shared" si="693"/>
        <v/>
      </c>
      <c r="AX596" s="268" t="str">
        <f t="shared" si="693"/>
        <v/>
      </c>
      <c r="AY596" s="268" t="str">
        <f t="shared" si="693"/>
        <v/>
      </c>
      <c r="AZ596" s="268" t="str">
        <f t="shared" si="693"/>
        <v/>
      </c>
      <c r="BA596" s="268" t="str">
        <f t="shared" si="693"/>
        <v/>
      </c>
      <c r="BB596" s="268" t="str">
        <f t="shared" si="693"/>
        <v/>
      </c>
      <c r="BC596" s="268" t="str">
        <f t="shared" si="693"/>
        <v/>
      </c>
      <c r="BD596" s="268" t="str">
        <f t="shared" si="693"/>
        <v/>
      </c>
      <c r="BE596" s="268" t="str">
        <f t="shared" si="693"/>
        <v/>
      </c>
      <c r="BF596" s="268" t="str">
        <f t="shared" si="693"/>
        <v/>
      </c>
      <c r="BG596" s="268" t="str">
        <f t="shared" si="693"/>
        <v/>
      </c>
      <c r="BH596" s="268" t="str">
        <f t="shared" si="693"/>
        <v/>
      </c>
      <c r="BI596" s="268" t="str">
        <f t="shared" si="693"/>
        <v/>
      </c>
      <c r="BJ596" s="268" t="str">
        <f t="shared" si="693"/>
        <v/>
      </c>
      <c r="BK596" s="268" t="str">
        <f t="shared" si="693"/>
        <v/>
      </c>
      <c r="BL596" s="268" t="str">
        <f t="shared" si="693"/>
        <v/>
      </c>
      <c r="BM596" s="268" t="str">
        <f t="shared" si="693"/>
        <v/>
      </c>
      <c r="BN596" s="268" t="str">
        <f t="shared" si="693"/>
        <v/>
      </c>
      <c r="BO596" s="268" t="str">
        <f t="shared" si="693"/>
        <v/>
      </c>
      <c r="BP596" s="268" t="str">
        <f t="shared" si="693"/>
        <v/>
      </c>
      <c r="BQ596" s="268" t="str">
        <f t="shared" si="693"/>
        <v/>
      </c>
      <c r="BR596" s="268" t="str">
        <f t="shared" si="693"/>
        <v/>
      </c>
      <c r="BS596" s="268" t="str">
        <f t="shared" si="693"/>
        <v/>
      </c>
      <c r="BT596" s="268" t="str">
        <f t="shared" si="693"/>
        <v/>
      </c>
      <c r="BU596" s="268" t="str">
        <f t="shared" si="675"/>
        <v/>
      </c>
      <c r="BV596" s="247">
        <v>2.09</v>
      </c>
      <c r="BW596" s="729">
        <f t="shared" si="691"/>
        <v>3135</v>
      </c>
      <c r="BX596" s="730">
        <f t="shared" si="669"/>
        <v>24296.25</v>
      </c>
      <c r="BY596" s="731" t="str">
        <f t="shared" si="670"/>
        <v>SR</v>
      </c>
    </row>
    <row r="597" s="698" customFormat="1" customHeight="1" spans="1:77">
      <c r="A597" s="208">
        <v>46136</v>
      </c>
      <c r="B597" s="208">
        <v>46215</v>
      </c>
      <c r="C597" s="211" t="s">
        <v>774</v>
      </c>
      <c r="D597" s="211" t="s">
        <v>775</v>
      </c>
      <c r="E597" s="211" t="s">
        <v>50</v>
      </c>
      <c r="F597" s="343">
        <v>1188</v>
      </c>
      <c r="G597" s="268" t="s">
        <v>510</v>
      </c>
      <c r="H597" s="211" t="str">
        <f>IFERROR(VLOOKUP(E597,名称!A:E,4,0),"")</f>
        <v>蛋糕</v>
      </c>
      <c r="I597" s="268" t="str">
        <f t="shared" ref="I597:BT597" si="694">IF(OR($E597="",I$1=""),"",IF(TRIM(LEFT($E597,MIN(IFERROR(FIND("CDU",UPPER($E597)),999),IFERROR(FIND("BULK",UPPER($E597)),999),IFERROR(FIND("-",$E597),999),IFERROR(FIND("（",$E597),999))-1))=I$1,$F597,""))</f>
        <v/>
      </c>
      <c r="J597" s="268" t="str">
        <f t="shared" si="694"/>
        <v/>
      </c>
      <c r="K597" s="268" t="str">
        <f t="shared" si="694"/>
        <v/>
      </c>
      <c r="L597" s="268" t="str">
        <f t="shared" si="694"/>
        <v/>
      </c>
      <c r="M597" s="268" t="str">
        <f t="shared" si="694"/>
        <v/>
      </c>
      <c r="N597" s="268" t="str">
        <f t="shared" si="694"/>
        <v/>
      </c>
      <c r="O597" s="268" t="str">
        <f t="shared" si="694"/>
        <v/>
      </c>
      <c r="P597" s="268" t="str">
        <f t="shared" si="694"/>
        <v/>
      </c>
      <c r="Q597" s="268" t="str">
        <f t="shared" si="694"/>
        <v/>
      </c>
      <c r="R597" s="268" t="str">
        <f t="shared" si="694"/>
        <v/>
      </c>
      <c r="S597" s="268" t="str">
        <f t="shared" si="694"/>
        <v/>
      </c>
      <c r="T597" s="268" t="str">
        <f t="shared" si="694"/>
        <v/>
      </c>
      <c r="U597" s="268" t="str">
        <f t="shared" si="694"/>
        <v/>
      </c>
      <c r="V597" s="268" t="str">
        <f t="shared" si="694"/>
        <v/>
      </c>
      <c r="W597" s="268" t="str">
        <f t="shared" si="694"/>
        <v/>
      </c>
      <c r="X597" s="268" t="str">
        <f t="shared" si="694"/>
        <v/>
      </c>
      <c r="Y597" s="268" t="str">
        <f t="shared" si="694"/>
        <v/>
      </c>
      <c r="Z597" s="268" t="str">
        <f t="shared" si="694"/>
        <v/>
      </c>
      <c r="AA597" s="268" t="str">
        <f t="shared" si="694"/>
        <v/>
      </c>
      <c r="AB597" s="268" t="str">
        <f t="shared" si="694"/>
        <v/>
      </c>
      <c r="AC597" s="268" t="str">
        <f t="shared" si="694"/>
        <v/>
      </c>
      <c r="AD597" s="268" t="str">
        <f t="shared" si="694"/>
        <v/>
      </c>
      <c r="AE597" s="268" t="str">
        <f t="shared" si="694"/>
        <v/>
      </c>
      <c r="AF597" s="268" t="str">
        <f t="shared" si="694"/>
        <v/>
      </c>
      <c r="AG597" s="268" t="str">
        <f t="shared" si="694"/>
        <v/>
      </c>
      <c r="AH597" s="268" t="str">
        <f t="shared" si="694"/>
        <v/>
      </c>
      <c r="AI597" s="268" t="str">
        <f t="shared" si="694"/>
        <v/>
      </c>
      <c r="AJ597" s="268" t="str">
        <f t="shared" si="694"/>
        <v/>
      </c>
      <c r="AK597" s="268" t="str">
        <f t="shared" si="694"/>
        <v/>
      </c>
      <c r="AL597" s="268" t="str">
        <f t="shared" si="694"/>
        <v/>
      </c>
      <c r="AM597" s="268" t="str">
        <f t="shared" si="694"/>
        <v/>
      </c>
      <c r="AN597" s="268" t="str">
        <f t="shared" si="694"/>
        <v/>
      </c>
      <c r="AO597" s="268" t="str">
        <f t="shared" si="694"/>
        <v/>
      </c>
      <c r="AP597" s="268" t="str">
        <f t="shared" si="694"/>
        <v/>
      </c>
      <c r="AQ597" s="268" t="str">
        <f t="shared" si="694"/>
        <v/>
      </c>
      <c r="AR597" s="268" t="str">
        <f t="shared" si="694"/>
        <v/>
      </c>
      <c r="AS597" s="268" t="str">
        <f t="shared" si="694"/>
        <v/>
      </c>
      <c r="AT597" s="268" t="str">
        <f t="shared" si="694"/>
        <v/>
      </c>
      <c r="AU597" s="268" t="str">
        <f t="shared" si="694"/>
        <v/>
      </c>
      <c r="AV597" s="268" t="str">
        <f t="shared" si="694"/>
        <v/>
      </c>
      <c r="AW597" s="268" t="str">
        <f t="shared" si="694"/>
        <v/>
      </c>
      <c r="AX597" s="268" t="str">
        <f t="shared" si="694"/>
        <v/>
      </c>
      <c r="AY597" s="268" t="str">
        <f t="shared" si="694"/>
        <v/>
      </c>
      <c r="AZ597" s="268" t="str">
        <f t="shared" si="694"/>
        <v/>
      </c>
      <c r="BA597" s="268" t="str">
        <f t="shared" si="694"/>
        <v/>
      </c>
      <c r="BB597" s="268" t="str">
        <f t="shared" si="694"/>
        <v/>
      </c>
      <c r="BC597" s="268" t="str">
        <f t="shared" si="694"/>
        <v/>
      </c>
      <c r="BD597" s="268" t="str">
        <f t="shared" si="694"/>
        <v/>
      </c>
      <c r="BE597" s="268" t="str">
        <f t="shared" si="694"/>
        <v/>
      </c>
      <c r="BF597" s="268" t="str">
        <f t="shared" si="694"/>
        <v/>
      </c>
      <c r="BG597" s="268">
        <f t="shared" si="694"/>
        <v>1188</v>
      </c>
      <c r="BH597" s="268" t="str">
        <f t="shared" si="694"/>
        <v/>
      </c>
      <c r="BI597" s="268" t="str">
        <f t="shared" si="694"/>
        <v/>
      </c>
      <c r="BJ597" s="268" t="str">
        <f t="shared" si="694"/>
        <v/>
      </c>
      <c r="BK597" s="268" t="str">
        <f t="shared" si="694"/>
        <v/>
      </c>
      <c r="BL597" s="268" t="str">
        <f t="shared" si="694"/>
        <v/>
      </c>
      <c r="BM597" s="268" t="str">
        <f t="shared" si="694"/>
        <v/>
      </c>
      <c r="BN597" s="268" t="str">
        <f t="shared" si="694"/>
        <v/>
      </c>
      <c r="BO597" s="268" t="str">
        <f t="shared" si="694"/>
        <v/>
      </c>
      <c r="BP597" s="268" t="str">
        <f t="shared" si="694"/>
        <v/>
      </c>
      <c r="BQ597" s="268" t="str">
        <f t="shared" si="694"/>
        <v/>
      </c>
      <c r="BR597" s="268" t="str">
        <f t="shared" si="694"/>
        <v/>
      </c>
      <c r="BS597" s="268" t="str">
        <f t="shared" si="694"/>
        <v/>
      </c>
      <c r="BT597" s="268" t="str">
        <f t="shared" si="694"/>
        <v/>
      </c>
      <c r="BU597" s="268" t="str">
        <f t="shared" si="675"/>
        <v/>
      </c>
      <c r="BV597" s="247">
        <v>1.06</v>
      </c>
      <c r="BW597" s="729">
        <f t="shared" si="691"/>
        <v>1259.28</v>
      </c>
      <c r="BX597" s="730">
        <f t="shared" si="669"/>
        <v>9759.42</v>
      </c>
      <c r="BY597" s="731" t="str">
        <f t="shared" si="670"/>
        <v>JC</v>
      </c>
    </row>
    <row r="598" s="697" customFormat="1" customHeight="1" spans="1:77">
      <c r="A598" s="116">
        <v>46136</v>
      </c>
      <c r="B598" s="179">
        <v>46254</v>
      </c>
      <c r="C598" s="418" t="s">
        <v>776</v>
      </c>
      <c r="D598" s="418" t="s">
        <v>777</v>
      </c>
      <c r="E598" s="418" t="s">
        <v>59</v>
      </c>
      <c r="F598" s="737">
        <v>20016</v>
      </c>
      <c r="G598" s="418" t="s">
        <v>270</v>
      </c>
      <c r="H598" s="118" t="str">
        <f>IFERROR(VLOOKUP(E598,名称!A:E,4,0),"")</f>
        <v>三代</v>
      </c>
      <c r="I598" s="418" t="str">
        <f t="shared" ref="I598:BT598" si="695">IF(OR($E598="",I$1=""),"",IF(TRIM(LEFT($E598,MIN(IFERROR(FIND("CDU",UPPER($E598)),999),IFERROR(FIND("BULK",UPPER($E598)),999),IFERROR(FIND("-",$E598),999),IFERROR(FIND("（",$E598),999))-1))=I$1,$F598,""))</f>
        <v/>
      </c>
      <c r="J598" s="418" t="str">
        <f t="shared" si="695"/>
        <v/>
      </c>
      <c r="K598" s="418" t="str">
        <f t="shared" si="695"/>
        <v/>
      </c>
      <c r="L598" s="418" t="str">
        <f t="shared" si="695"/>
        <v/>
      </c>
      <c r="M598" s="418" t="str">
        <f t="shared" si="695"/>
        <v/>
      </c>
      <c r="N598" s="418" t="str">
        <f t="shared" si="695"/>
        <v/>
      </c>
      <c r="O598" s="418" t="str">
        <f t="shared" si="695"/>
        <v/>
      </c>
      <c r="P598" s="418" t="str">
        <f t="shared" si="695"/>
        <v/>
      </c>
      <c r="Q598" s="418" t="str">
        <f t="shared" si="695"/>
        <v/>
      </c>
      <c r="R598" s="418" t="str">
        <f t="shared" si="695"/>
        <v/>
      </c>
      <c r="S598" s="418" t="str">
        <f t="shared" si="695"/>
        <v/>
      </c>
      <c r="T598" s="418" t="str">
        <f t="shared" si="695"/>
        <v/>
      </c>
      <c r="U598" s="418" t="str">
        <f t="shared" si="695"/>
        <v/>
      </c>
      <c r="V598" s="418" t="str">
        <f t="shared" si="695"/>
        <v/>
      </c>
      <c r="W598" s="418" t="str">
        <f t="shared" si="695"/>
        <v/>
      </c>
      <c r="X598" s="418" t="str">
        <f t="shared" si="695"/>
        <v/>
      </c>
      <c r="Y598" s="418" t="str">
        <f t="shared" si="695"/>
        <v/>
      </c>
      <c r="Z598" s="418" t="str">
        <f t="shared" si="695"/>
        <v/>
      </c>
      <c r="AA598" s="418" t="str">
        <f t="shared" si="695"/>
        <v/>
      </c>
      <c r="AB598" s="418" t="str">
        <f t="shared" si="695"/>
        <v/>
      </c>
      <c r="AC598" s="418" t="str">
        <f t="shared" si="695"/>
        <v/>
      </c>
      <c r="AD598" s="418">
        <f t="shared" si="695"/>
        <v>20016</v>
      </c>
      <c r="AE598" s="418" t="str">
        <f t="shared" si="695"/>
        <v/>
      </c>
      <c r="AF598" s="418" t="str">
        <f t="shared" si="695"/>
        <v/>
      </c>
      <c r="AG598" s="418" t="str">
        <f t="shared" si="695"/>
        <v/>
      </c>
      <c r="AH598" s="418" t="str">
        <f t="shared" si="695"/>
        <v/>
      </c>
      <c r="AI598" s="418" t="str">
        <f t="shared" si="695"/>
        <v/>
      </c>
      <c r="AJ598" s="418" t="str">
        <f t="shared" si="695"/>
        <v/>
      </c>
      <c r="AK598" s="418" t="str">
        <f t="shared" si="695"/>
        <v/>
      </c>
      <c r="AL598" s="418" t="str">
        <f t="shared" si="695"/>
        <v/>
      </c>
      <c r="AM598" s="418" t="str">
        <f t="shared" si="695"/>
        <v/>
      </c>
      <c r="AN598" s="418" t="str">
        <f t="shared" si="695"/>
        <v/>
      </c>
      <c r="AO598" s="418" t="str">
        <f t="shared" si="695"/>
        <v/>
      </c>
      <c r="AP598" s="418" t="str">
        <f t="shared" si="695"/>
        <v/>
      </c>
      <c r="AQ598" s="418" t="str">
        <f t="shared" si="695"/>
        <v/>
      </c>
      <c r="AR598" s="418" t="str">
        <f t="shared" si="695"/>
        <v/>
      </c>
      <c r="AS598" s="418" t="str">
        <f t="shared" si="695"/>
        <v/>
      </c>
      <c r="AT598" s="418" t="str">
        <f t="shared" si="695"/>
        <v/>
      </c>
      <c r="AU598" s="418" t="str">
        <f t="shared" si="695"/>
        <v/>
      </c>
      <c r="AV598" s="418" t="str">
        <f t="shared" si="695"/>
        <v/>
      </c>
      <c r="AW598" s="418" t="str">
        <f t="shared" si="695"/>
        <v/>
      </c>
      <c r="AX598" s="418" t="str">
        <f t="shared" si="695"/>
        <v/>
      </c>
      <c r="AY598" s="418" t="str">
        <f t="shared" si="695"/>
        <v/>
      </c>
      <c r="AZ598" s="418" t="str">
        <f t="shared" si="695"/>
        <v/>
      </c>
      <c r="BA598" s="418" t="str">
        <f t="shared" si="695"/>
        <v/>
      </c>
      <c r="BB598" s="418" t="str">
        <f t="shared" si="695"/>
        <v/>
      </c>
      <c r="BC598" s="418" t="str">
        <f t="shared" si="695"/>
        <v/>
      </c>
      <c r="BD598" s="418" t="str">
        <f t="shared" si="695"/>
        <v/>
      </c>
      <c r="BE598" s="418" t="str">
        <f t="shared" si="695"/>
        <v/>
      </c>
      <c r="BF598" s="418" t="str">
        <f t="shared" si="695"/>
        <v/>
      </c>
      <c r="BG598" s="418" t="str">
        <f t="shared" si="695"/>
        <v/>
      </c>
      <c r="BH598" s="418" t="str">
        <f t="shared" si="695"/>
        <v/>
      </c>
      <c r="BI598" s="418" t="str">
        <f t="shared" si="695"/>
        <v/>
      </c>
      <c r="BJ598" s="418" t="str">
        <f t="shared" si="695"/>
        <v/>
      </c>
      <c r="BK598" s="418" t="str">
        <f t="shared" si="695"/>
        <v/>
      </c>
      <c r="BL598" s="418" t="str">
        <f t="shared" si="695"/>
        <v/>
      </c>
      <c r="BM598" s="418" t="str">
        <f t="shared" si="695"/>
        <v/>
      </c>
      <c r="BN598" s="418" t="str">
        <f t="shared" si="695"/>
        <v/>
      </c>
      <c r="BO598" s="418" t="str">
        <f t="shared" si="695"/>
        <v/>
      </c>
      <c r="BP598" s="418" t="str">
        <f t="shared" si="695"/>
        <v/>
      </c>
      <c r="BQ598" s="418" t="str">
        <f t="shared" si="695"/>
        <v/>
      </c>
      <c r="BR598" s="418" t="str">
        <f t="shared" si="695"/>
        <v/>
      </c>
      <c r="BS598" s="418" t="str">
        <f t="shared" si="695"/>
        <v/>
      </c>
      <c r="BT598" s="418" t="str">
        <f t="shared" si="695"/>
        <v/>
      </c>
      <c r="BU598" s="418" t="str">
        <f t="shared" si="675"/>
        <v/>
      </c>
      <c r="BV598" s="544">
        <v>0.63</v>
      </c>
      <c r="BW598" s="723">
        <f t="shared" si="691"/>
        <v>12610.08</v>
      </c>
      <c r="BX598" s="724">
        <f t="shared" si="669"/>
        <v>97728.12</v>
      </c>
      <c r="BY598" s="725" t="str">
        <f t="shared" si="670"/>
        <v>SR</v>
      </c>
    </row>
    <row r="599" s="697" customFormat="1" customHeight="1" spans="1:77">
      <c r="A599" s="116">
        <v>46136</v>
      </c>
      <c r="B599" s="179">
        <v>46268</v>
      </c>
      <c r="C599" s="418" t="s">
        <v>778</v>
      </c>
      <c r="D599" s="418" t="s">
        <v>779</v>
      </c>
      <c r="E599" s="418" t="s">
        <v>59</v>
      </c>
      <c r="F599" s="737">
        <v>20016</v>
      </c>
      <c r="G599" s="418" t="s">
        <v>270</v>
      </c>
      <c r="H599" s="118" t="str">
        <f>IFERROR(VLOOKUP(E599,名称!A:E,4,0),"")</f>
        <v>三代</v>
      </c>
      <c r="I599" s="418" t="str">
        <f t="shared" ref="I599:BT599" si="696">IF(OR($E599="",I$1=""),"",IF(TRIM(LEFT($E599,MIN(IFERROR(FIND("CDU",UPPER($E599)),999),IFERROR(FIND("BULK",UPPER($E599)),999),IFERROR(FIND("-",$E599),999),IFERROR(FIND("（",$E599),999))-1))=I$1,$F599,""))</f>
        <v/>
      </c>
      <c r="J599" s="418" t="str">
        <f t="shared" si="696"/>
        <v/>
      </c>
      <c r="K599" s="418" t="str">
        <f t="shared" si="696"/>
        <v/>
      </c>
      <c r="L599" s="418" t="str">
        <f t="shared" si="696"/>
        <v/>
      </c>
      <c r="M599" s="418" t="str">
        <f t="shared" si="696"/>
        <v/>
      </c>
      <c r="N599" s="418" t="str">
        <f t="shared" si="696"/>
        <v/>
      </c>
      <c r="O599" s="418" t="str">
        <f t="shared" si="696"/>
        <v/>
      </c>
      <c r="P599" s="418" t="str">
        <f t="shared" si="696"/>
        <v/>
      </c>
      <c r="Q599" s="418" t="str">
        <f t="shared" si="696"/>
        <v/>
      </c>
      <c r="R599" s="418" t="str">
        <f t="shared" si="696"/>
        <v/>
      </c>
      <c r="S599" s="418" t="str">
        <f t="shared" si="696"/>
        <v/>
      </c>
      <c r="T599" s="418" t="str">
        <f t="shared" si="696"/>
        <v/>
      </c>
      <c r="U599" s="418" t="str">
        <f t="shared" si="696"/>
        <v/>
      </c>
      <c r="V599" s="418" t="str">
        <f t="shared" si="696"/>
        <v/>
      </c>
      <c r="W599" s="418" t="str">
        <f t="shared" si="696"/>
        <v/>
      </c>
      <c r="X599" s="418" t="str">
        <f t="shared" si="696"/>
        <v/>
      </c>
      <c r="Y599" s="418" t="str">
        <f t="shared" si="696"/>
        <v/>
      </c>
      <c r="Z599" s="418" t="str">
        <f t="shared" si="696"/>
        <v/>
      </c>
      <c r="AA599" s="418" t="str">
        <f t="shared" si="696"/>
        <v/>
      </c>
      <c r="AB599" s="418" t="str">
        <f t="shared" si="696"/>
        <v/>
      </c>
      <c r="AC599" s="418" t="str">
        <f t="shared" si="696"/>
        <v/>
      </c>
      <c r="AD599" s="418">
        <f t="shared" si="696"/>
        <v>20016</v>
      </c>
      <c r="AE599" s="418" t="str">
        <f t="shared" si="696"/>
        <v/>
      </c>
      <c r="AF599" s="418" t="str">
        <f t="shared" si="696"/>
        <v/>
      </c>
      <c r="AG599" s="418" t="str">
        <f t="shared" si="696"/>
        <v/>
      </c>
      <c r="AH599" s="418" t="str">
        <f t="shared" si="696"/>
        <v/>
      </c>
      <c r="AI599" s="418" t="str">
        <f t="shared" si="696"/>
        <v/>
      </c>
      <c r="AJ599" s="418" t="str">
        <f t="shared" si="696"/>
        <v/>
      </c>
      <c r="AK599" s="418" t="str">
        <f t="shared" si="696"/>
        <v/>
      </c>
      <c r="AL599" s="418" t="str">
        <f t="shared" si="696"/>
        <v/>
      </c>
      <c r="AM599" s="418" t="str">
        <f t="shared" si="696"/>
        <v/>
      </c>
      <c r="AN599" s="418" t="str">
        <f t="shared" si="696"/>
        <v/>
      </c>
      <c r="AO599" s="418" t="str">
        <f t="shared" si="696"/>
        <v/>
      </c>
      <c r="AP599" s="418" t="str">
        <f t="shared" si="696"/>
        <v/>
      </c>
      <c r="AQ599" s="418" t="str">
        <f t="shared" si="696"/>
        <v/>
      </c>
      <c r="AR599" s="418" t="str">
        <f t="shared" si="696"/>
        <v/>
      </c>
      <c r="AS599" s="418" t="str">
        <f t="shared" si="696"/>
        <v/>
      </c>
      <c r="AT599" s="418" t="str">
        <f t="shared" si="696"/>
        <v/>
      </c>
      <c r="AU599" s="418" t="str">
        <f t="shared" si="696"/>
        <v/>
      </c>
      <c r="AV599" s="418" t="str">
        <f t="shared" si="696"/>
        <v/>
      </c>
      <c r="AW599" s="418" t="str">
        <f t="shared" si="696"/>
        <v/>
      </c>
      <c r="AX599" s="418" t="str">
        <f t="shared" si="696"/>
        <v/>
      </c>
      <c r="AY599" s="418" t="str">
        <f t="shared" si="696"/>
        <v/>
      </c>
      <c r="AZ599" s="418" t="str">
        <f t="shared" si="696"/>
        <v/>
      </c>
      <c r="BA599" s="418" t="str">
        <f t="shared" si="696"/>
        <v/>
      </c>
      <c r="BB599" s="418" t="str">
        <f t="shared" si="696"/>
        <v/>
      </c>
      <c r="BC599" s="418" t="str">
        <f t="shared" si="696"/>
        <v/>
      </c>
      <c r="BD599" s="418" t="str">
        <f t="shared" si="696"/>
        <v/>
      </c>
      <c r="BE599" s="418" t="str">
        <f t="shared" si="696"/>
        <v/>
      </c>
      <c r="BF599" s="418" t="str">
        <f t="shared" si="696"/>
        <v/>
      </c>
      <c r="BG599" s="418" t="str">
        <f t="shared" si="696"/>
        <v/>
      </c>
      <c r="BH599" s="418" t="str">
        <f t="shared" si="696"/>
        <v/>
      </c>
      <c r="BI599" s="418" t="str">
        <f t="shared" si="696"/>
        <v/>
      </c>
      <c r="BJ599" s="418" t="str">
        <f t="shared" si="696"/>
        <v/>
      </c>
      <c r="BK599" s="418" t="str">
        <f t="shared" si="696"/>
        <v/>
      </c>
      <c r="BL599" s="418" t="str">
        <f t="shared" si="696"/>
        <v/>
      </c>
      <c r="BM599" s="418" t="str">
        <f t="shared" si="696"/>
        <v/>
      </c>
      <c r="BN599" s="418" t="str">
        <f t="shared" si="696"/>
        <v/>
      </c>
      <c r="BO599" s="418" t="str">
        <f t="shared" si="696"/>
        <v/>
      </c>
      <c r="BP599" s="418" t="str">
        <f t="shared" si="696"/>
        <v/>
      </c>
      <c r="BQ599" s="418" t="str">
        <f t="shared" si="696"/>
        <v/>
      </c>
      <c r="BR599" s="418" t="str">
        <f t="shared" si="696"/>
        <v/>
      </c>
      <c r="BS599" s="418" t="str">
        <f t="shared" si="696"/>
        <v/>
      </c>
      <c r="BT599" s="418" t="str">
        <f t="shared" si="696"/>
        <v/>
      </c>
      <c r="BU599" s="418" t="str">
        <f t="shared" si="675"/>
        <v/>
      </c>
      <c r="BV599" s="544">
        <v>0.63</v>
      </c>
      <c r="BW599" s="723">
        <f t="shared" si="691"/>
        <v>12610.08</v>
      </c>
      <c r="BX599" s="724">
        <f t="shared" si="669"/>
        <v>97728.12</v>
      </c>
      <c r="BY599" s="725" t="str">
        <f t="shared" si="670"/>
        <v>SR</v>
      </c>
    </row>
    <row r="600" s="697" customFormat="1" customHeight="1" spans="1:77">
      <c r="A600" s="116">
        <v>46136</v>
      </c>
      <c r="B600" s="179">
        <v>46240</v>
      </c>
      <c r="C600" s="418" t="s">
        <v>780</v>
      </c>
      <c r="D600" s="418" t="s">
        <v>781</v>
      </c>
      <c r="E600" s="418" t="s">
        <v>85</v>
      </c>
      <c r="F600" s="737">
        <v>47520</v>
      </c>
      <c r="G600" s="418" t="s">
        <v>270</v>
      </c>
      <c r="H600" s="118" t="str">
        <f>IFERROR(VLOOKUP(E600,名称!A:E,4,0),"")</f>
        <v>三代</v>
      </c>
      <c r="I600" s="418" t="str">
        <f t="shared" ref="I600:BT600" si="697">IF(OR($E600="",I$1=""),"",IF(TRIM(LEFT($E600,MIN(IFERROR(FIND("CDU",UPPER($E600)),999),IFERROR(FIND("BULK",UPPER($E600)),999),IFERROR(FIND("-",$E600),999),IFERROR(FIND("（",$E600),999))-1))=I$1,$F600,""))</f>
        <v/>
      </c>
      <c r="J600" s="418" t="str">
        <f t="shared" si="697"/>
        <v/>
      </c>
      <c r="K600" s="418" t="str">
        <f t="shared" si="697"/>
        <v/>
      </c>
      <c r="L600" s="418" t="str">
        <f t="shared" si="697"/>
        <v/>
      </c>
      <c r="M600" s="418" t="str">
        <f t="shared" si="697"/>
        <v/>
      </c>
      <c r="N600" s="418" t="str">
        <f t="shared" si="697"/>
        <v/>
      </c>
      <c r="O600" s="418" t="str">
        <f t="shared" si="697"/>
        <v/>
      </c>
      <c r="P600" s="418" t="str">
        <f t="shared" si="697"/>
        <v/>
      </c>
      <c r="Q600" s="418" t="str">
        <f t="shared" si="697"/>
        <v/>
      </c>
      <c r="R600" s="418" t="str">
        <f t="shared" si="697"/>
        <v/>
      </c>
      <c r="S600" s="418" t="str">
        <f t="shared" si="697"/>
        <v/>
      </c>
      <c r="T600" s="418" t="str">
        <f t="shared" si="697"/>
        <v/>
      </c>
      <c r="U600" s="418" t="str">
        <f t="shared" si="697"/>
        <v/>
      </c>
      <c r="V600" s="418" t="str">
        <f t="shared" si="697"/>
        <v/>
      </c>
      <c r="W600" s="418" t="str">
        <f t="shared" si="697"/>
        <v/>
      </c>
      <c r="X600" s="418" t="str">
        <f t="shared" si="697"/>
        <v/>
      </c>
      <c r="Y600" s="418" t="str">
        <f t="shared" si="697"/>
        <v/>
      </c>
      <c r="Z600" s="418" t="str">
        <f t="shared" si="697"/>
        <v/>
      </c>
      <c r="AA600" s="418" t="str">
        <f t="shared" si="697"/>
        <v/>
      </c>
      <c r="AB600" s="418" t="str">
        <f t="shared" si="697"/>
        <v/>
      </c>
      <c r="AC600" s="418" t="str">
        <f t="shared" si="697"/>
        <v/>
      </c>
      <c r="AD600" s="418" t="str">
        <f t="shared" si="697"/>
        <v/>
      </c>
      <c r="AE600" s="418" t="str">
        <f t="shared" si="697"/>
        <v/>
      </c>
      <c r="AF600" s="418" t="str">
        <f t="shared" si="697"/>
        <v/>
      </c>
      <c r="AG600" s="418" t="str">
        <f t="shared" si="697"/>
        <v/>
      </c>
      <c r="AH600" s="418" t="str">
        <f t="shared" si="697"/>
        <v/>
      </c>
      <c r="AI600" s="418" t="str">
        <f t="shared" si="697"/>
        <v/>
      </c>
      <c r="AJ600" s="418" t="str">
        <f t="shared" si="697"/>
        <v/>
      </c>
      <c r="AK600" s="418" t="str">
        <f t="shared" si="697"/>
        <v/>
      </c>
      <c r="AL600" s="418" t="str">
        <f t="shared" si="697"/>
        <v/>
      </c>
      <c r="AM600" s="418" t="str">
        <f t="shared" si="697"/>
        <v/>
      </c>
      <c r="AN600" s="418">
        <f t="shared" si="697"/>
        <v>47520</v>
      </c>
      <c r="AO600" s="418" t="str">
        <f t="shared" si="697"/>
        <v/>
      </c>
      <c r="AP600" s="418" t="str">
        <f t="shared" si="697"/>
        <v/>
      </c>
      <c r="AQ600" s="418" t="str">
        <f t="shared" si="697"/>
        <v/>
      </c>
      <c r="AR600" s="418" t="str">
        <f t="shared" si="697"/>
        <v/>
      </c>
      <c r="AS600" s="418" t="str">
        <f t="shared" si="697"/>
        <v/>
      </c>
      <c r="AT600" s="418" t="str">
        <f t="shared" si="697"/>
        <v/>
      </c>
      <c r="AU600" s="418" t="str">
        <f t="shared" si="697"/>
        <v/>
      </c>
      <c r="AV600" s="418" t="str">
        <f t="shared" si="697"/>
        <v/>
      </c>
      <c r="AW600" s="418" t="str">
        <f t="shared" si="697"/>
        <v/>
      </c>
      <c r="AX600" s="418" t="str">
        <f t="shared" si="697"/>
        <v/>
      </c>
      <c r="AY600" s="418" t="str">
        <f t="shared" si="697"/>
        <v/>
      </c>
      <c r="AZ600" s="418" t="str">
        <f t="shared" si="697"/>
        <v/>
      </c>
      <c r="BA600" s="418" t="str">
        <f t="shared" si="697"/>
        <v/>
      </c>
      <c r="BB600" s="418" t="str">
        <f t="shared" si="697"/>
        <v/>
      </c>
      <c r="BC600" s="418" t="str">
        <f t="shared" si="697"/>
        <v/>
      </c>
      <c r="BD600" s="418" t="str">
        <f t="shared" si="697"/>
        <v/>
      </c>
      <c r="BE600" s="418" t="str">
        <f t="shared" si="697"/>
        <v/>
      </c>
      <c r="BF600" s="418" t="str">
        <f t="shared" si="697"/>
        <v/>
      </c>
      <c r="BG600" s="418" t="str">
        <f t="shared" si="697"/>
        <v/>
      </c>
      <c r="BH600" s="418" t="str">
        <f t="shared" si="697"/>
        <v/>
      </c>
      <c r="BI600" s="418" t="str">
        <f t="shared" si="697"/>
        <v/>
      </c>
      <c r="BJ600" s="418" t="str">
        <f t="shared" si="697"/>
        <v/>
      </c>
      <c r="BK600" s="418" t="str">
        <f t="shared" si="697"/>
        <v/>
      </c>
      <c r="BL600" s="418" t="str">
        <f t="shared" si="697"/>
        <v/>
      </c>
      <c r="BM600" s="418" t="str">
        <f t="shared" si="697"/>
        <v/>
      </c>
      <c r="BN600" s="418" t="str">
        <f t="shared" si="697"/>
        <v/>
      </c>
      <c r="BO600" s="418" t="str">
        <f t="shared" si="697"/>
        <v/>
      </c>
      <c r="BP600" s="418" t="str">
        <f t="shared" si="697"/>
        <v/>
      </c>
      <c r="BQ600" s="418" t="str">
        <f t="shared" si="697"/>
        <v/>
      </c>
      <c r="BR600" s="418" t="str">
        <f t="shared" si="697"/>
        <v/>
      </c>
      <c r="BS600" s="418" t="str">
        <f t="shared" si="697"/>
        <v/>
      </c>
      <c r="BT600" s="418" t="str">
        <f t="shared" si="697"/>
        <v/>
      </c>
      <c r="BU600" s="418" t="str">
        <f t="shared" si="675"/>
        <v/>
      </c>
      <c r="BV600" s="544">
        <v>0.83</v>
      </c>
      <c r="BW600" s="723">
        <f t="shared" si="691"/>
        <v>39441.6</v>
      </c>
      <c r="BX600" s="724">
        <f t="shared" si="669"/>
        <v>305672.4</v>
      </c>
      <c r="BY600" s="725" t="str">
        <f t="shared" si="670"/>
        <v>SR</v>
      </c>
    </row>
    <row r="601" s="698" customFormat="1" customHeight="1" spans="1:77">
      <c r="A601" s="208">
        <v>46139</v>
      </c>
      <c r="B601" s="208">
        <v>46197</v>
      </c>
      <c r="C601" s="272">
        <v>21011783</v>
      </c>
      <c r="D601" s="268" t="s">
        <v>782</v>
      </c>
      <c r="E601" s="268" t="s">
        <v>88</v>
      </c>
      <c r="F601" s="343">
        <f>26904+1104</f>
        <v>28008</v>
      </c>
      <c r="G601" s="268" t="s">
        <v>510</v>
      </c>
      <c r="H601" s="211" t="str">
        <f>IFERROR(VLOOKUP(E601,名称!A:E,4,0),"")</f>
        <v>三代</v>
      </c>
      <c r="I601" s="268" t="str">
        <f t="shared" ref="I601:BT601" si="698">IF(OR($E601="",I$1=""),"",IF(TRIM(LEFT($E601,MIN(IFERROR(FIND("CDU",UPPER($E601)),999),IFERROR(FIND("BULK",UPPER($E601)),999),IFERROR(FIND("-",$E601),999),IFERROR(FIND("（",$E601),999))-1))=I$1,$F601,""))</f>
        <v/>
      </c>
      <c r="J601" s="268" t="str">
        <f t="shared" si="698"/>
        <v/>
      </c>
      <c r="K601" s="268" t="str">
        <f t="shared" si="698"/>
        <v/>
      </c>
      <c r="L601" s="268" t="str">
        <f t="shared" si="698"/>
        <v/>
      </c>
      <c r="M601" s="268" t="str">
        <f t="shared" si="698"/>
        <v/>
      </c>
      <c r="N601" s="268" t="str">
        <f t="shared" si="698"/>
        <v/>
      </c>
      <c r="O601" s="268" t="str">
        <f t="shared" si="698"/>
        <v/>
      </c>
      <c r="P601" s="268" t="str">
        <f t="shared" si="698"/>
        <v/>
      </c>
      <c r="Q601" s="268" t="str">
        <f t="shared" si="698"/>
        <v/>
      </c>
      <c r="R601" s="268" t="str">
        <f t="shared" si="698"/>
        <v/>
      </c>
      <c r="S601" s="268" t="str">
        <f t="shared" si="698"/>
        <v/>
      </c>
      <c r="T601" s="268" t="str">
        <f t="shared" si="698"/>
        <v/>
      </c>
      <c r="U601" s="268" t="str">
        <f t="shared" si="698"/>
        <v/>
      </c>
      <c r="V601" s="268" t="str">
        <f t="shared" si="698"/>
        <v/>
      </c>
      <c r="W601" s="268" t="str">
        <f t="shared" si="698"/>
        <v/>
      </c>
      <c r="X601" s="268" t="str">
        <f t="shared" si="698"/>
        <v/>
      </c>
      <c r="Y601" s="268" t="str">
        <f t="shared" si="698"/>
        <v/>
      </c>
      <c r="Z601" s="268" t="str">
        <f t="shared" si="698"/>
        <v/>
      </c>
      <c r="AA601" s="268" t="str">
        <f t="shared" si="698"/>
        <v/>
      </c>
      <c r="AB601" s="268" t="str">
        <f t="shared" si="698"/>
        <v/>
      </c>
      <c r="AC601" s="268" t="str">
        <f t="shared" si="698"/>
        <v/>
      </c>
      <c r="AD601" s="268" t="str">
        <f t="shared" si="698"/>
        <v/>
      </c>
      <c r="AE601" s="268" t="str">
        <f t="shared" si="698"/>
        <v/>
      </c>
      <c r="AF601" s="268" t="str">
        <f t="shared" si="698"/>
        <v/>
      </c>
      <c r="AG601" s="268" t="str">
        <f t="shared" si="698"/>
        <v/>
      </c>
      <c r="AH601" s="268" t="str">
        <f t="shared" si="698"/>
        <v/>
      </c>
      <c r="AI601" s="268" t="str">
        <f t="shared" si="698"/>
        <v/>
      </c>
      <c r="AJ601" s="268" t="str">
        <f t="shared" si="698"/>
        <v/>
      </c>
      <c r="AK601" s="268" t="str">
        <f t="shared" si="698"/>
        <v/>
      </c>
      <c r="AL601" s="268" t="str">
        <f t="shared" si="698"/>
        <v/>
      </c>
      <c r="AM601" s="268" t="str">
        <f t="shared" si="698"/>
        <v/>
      </c>
      <c r="AN601" s="268" t="str">
        <f t="shared" si="698"/>
        <v/>
      </c>
      <c r="AO601" s="268" t="str">
        <f t="shared" si="698"/>
        <v/>
      </c>
      <c r="AP601" s="268" t="str">
        <f t="shared" si="698"/>
        <v/>
      </c>
      <c r="AQ601" s="268" t="str">
        <f t="shared" si="698"/>
        <v/>
      </c>
      <c r="AR601" s="268" t="str">
        <f t="shared" si="698"/>
        <v/>
      </c>
      <c r="AS601" s="268" t="str">
        <f t="shared" si="698"/>
        <v/>
      </c>
      <c r="AT601" s="268">
        <f t="shared" si="698"/>
        <v>28008</v>
      </c>
      <c r="AU601" s="268" t="str">
        <f t="shared" si="698"/>
        <v/>
      </c>
      <c r="AV601" s="268" t="str">
        <f t="shared" si="698"/>
        <v/>
      </c>
      <c r="AW601" s="268" t="str">
        <f t="shared" si="698"/>
        <v/>
      </c>
      <c r="AX601" s="268" t="str">
        <f t="shared" si="698"/>
        <v/>
      </c>
      <c r="AY601" s="268" t="str">
        <f t="shared" si="698"/>
        <v/>
      </c>
      <c r="AZ601" s="268" t="str">
        <f t="shared" si="698"/>
        <v/>
      </c>
      <c r="BA601" s="268" t="str">
        <f t="shared" si="698"/>
        <v/>
      </c>
      <c r="BB601" s="268" t="str">
        <f t="shared" si="698"/>
        <v/>
      </c>
      <c r="BC601" s="268" t="str">
        <f t="shared" si="698"/>
        <v/>
      </c>
      <c r="BD601" s="268" t="str">
        <f t="shared" si="698"/>
        <v/>
      </c>
      <c r="BE601" s="268" t="str">
        <f t="shared" si="698"/>
        <v/>
      </c>
      <c r="BF601" s="268" t="str">
        <f t="shared" si="698"/>
        <v/>
      </c>
      <c r="BG601" s="268" t="str">
        <f t="shared" si="698"/>
        <v/>
      </c>
      <c r="BH601" s="268" t="str">
        <f t="shared" si="698"/>
        <v/>
      </c>
      <c r="BI601" s="268" t="str">
        <f t="shared" si="698"/>
        <v/>
      </c>
      <c r="BJ601" s="268" t="str">
        <f t="shared" si="698"/>
        <v/>
      </c>
      <c r="BK601" s="268" t="str">
        <f t="shared" si="698"/>
        <v/>
      </c>
      <c r="BL601" s="268" t="str">
        <f t="shared" si="698"/>
        <v/>
      </c>
      <c r="BM601" s="268" t="str">
        <f t="shared" si="698"/>
        <v/>
      </c>
      <c r="BN601" s="268" t="str">
        <f t="shared" si="698"/>
        <v/>
      </c>
      <c r="BO601" s="268" t="str">
        <f t="shared" si="698"/>
        <v/>
      </c>
      <c r="BP601" s="268" t="str">
        <f t="shared" si="698"/>
        <v/>
      </c>
      <c r="BQ601" s="268" t="str">
        <f t="shared" si="698"/>
        <v/>
      </c>
      <c r="BR601" s="268" t="str">
        <f t="shared" si="698"/>
        <v/>
      </c>
      <c r="BS601" s="268" t="str">
        <f t="shared" si="698"/>
        <v/>
      </c>
      <c r="BT601" s="268" t="str">
        <f t="shared" si="698"/>
        <v/>
      </c>
      <c r="BU601" s="268" t="str">
        <f t="shared" si="675"/>
        <v/>
      </c>
      <c r="BV601" s="247">
        <v>0.8</v>
      </c>
      <c r="BW601" s="729">
        <f t="shared" si="691"/>
        <v>22406.4</v>
      </c>
      <c r="BX601" s="730">
        <f t="shared" si="669"/>
        <v>173649.6</v>
      </c>
      <c r="BY601" s="731" t="str">
        <f t="shared" si="670"/>
        <v>SR</v>
      </c>
    </row>
    <row r="602" s="698" customFormat="1" customHeight="1" spans="1:77">
      <c r="A602" s="208">
        <v>46139</v>
      </c>
      <c r="B602" s="208">
        <v>46197</v>
      </c>
      <c r="C602" s="272">
        <v>21011783</v>
      </c>
      <c r="D602" s="268" t="s">
        <v>782</v>
      </c>
      <c r="E602" s="268" t="s">
        <v>89</v>
      </c>
      <c r="F602" s="343">
        <f>16128-126</f>
        <v>16002</v>
      </c>
      <c r="G602" s="268" t="s">
        <v>510</v>
      </c>
      <c r="H602" s="211" t="str">
        <f>IFERROR(VLOOKUP(E602,名称!A:E,4,0),"")</f>
        <v>三代</v>
      </c>
      <c r="I602" s="268" t="str">
        <f t="shared" ref="I602:BT602" si="699">IF(OR($E602="",I$1=""),"",IF(TRIM(LEFT($E602,MIN(IFERROR(FIND("CDU",UPPER($E602)),999),IFERROR(FIND("BULK",UPPER($E602)),999),IFERROR(FIND("-",$E602),999),IFERROR(FIND("（",$E602),999))-1))=I$1,$F602,""))</f>
        <v/>
      </c>
      <c r="J602" s="268" t="str">
        <f t="shared" si="699"/>
        <v/>
      </c>
      <c r="K602" s="268" t="str">
        <f t="shared" si="699"/>
        <v/>
      </c>
      <c r="L602" s="268" t="str">
        <f t="shared" si="699"/>
        <v/>
      </c>
      <c r="M602" s="268" t="str">
        <f t="shared" si="699"/>
        <v/>
      </c>
      <c r="N602" s="268" t="str">
        <f t="shared" si="699"/>
        <v/>
      </c>
      <c r="O602" s="268" t="str">
        <f t="shared" si="699"/>
        <v/>
      </c>
      <c r="P602" s="268" t="str">
        <f t="shared" si="699"/>
        <v/>
      </c>
      <c r="Q602" s="268" t="str">
        <f t="shared" si="699"/>
        <v/>
      </c>
      <c r="R602" s="268" t="str">
        <f t="shared" si="699"/>
        <v/>
      </c>
      <c r="S602" s="268" t="str">
        <f t="shared" si="699"/>
        <v/>
      </c>
      <c r="T602" s="268" t="str">
        <f t="shared" si="699"/>
        <v/>
      </c>
      <c r="U602" s="268" t="str">
        <f t="shared" si="699"/>
        <v/>
      </c>
      <c r="V602" s="268" t="str">
        <f t="shared" si="699"/>
        <v/>
      </c>
      <c r="W602" s="268" t="str">
        <f t="shared" si="699"/>
        <v/>
      </c>
      <c r="X602" s="268" t="str">
        <f t="shared" si="699"/>
        <v/>
      </c>
      <c r="Y602" s="268" t="str">
        <f t="shared" si="699"/>
        <v/>
      </c>
      <c r="Z602" s="268" t="str">
        <f t="shared" si="699"/>
        <v/>
      </c>
      <c r="AA602" s="268" t="str">
        <f t="shared" si="699"/>
        <v/>
      </c>
      <c r="AB602" s="268" t="str">
        <f t="shared" si="699"/>
        <v/>
      </c>
      <c r="AC602" s="268" t="str">
        <f t="shared" si="699"/>
        <v/>
      </c>
      <c r="AD602" s="268" t="str">
        <f t="shared" si="699"/>
        <v/>
      </c>
      <c r="AE602" s="268" t="str">
        <f t="shared" si="699"/>
        <v/>
      </c>
      <c r="AF602" s="268" t="str">
        <f t="shared" si="699"/>
        <v/>
      </c>
      <c r="AG602" s="268" t="str">
        <f t="shared" si="699"/>
        <v/>
      </c>
      <c r="AH602" s="268" t="str">
        <f t="shared" si="699"/>
        <v/>
      </c>
      <c r="AI602" s="268" t="str">
        <f t="shared" si="699"/>
        <v/>
      </c>
      <c r="AJ602" s="268" t="str">
        <f t="shared" si="699"/>
        <v/>
      </c>
      <c r="AK602" s="268" t="str">
        <f t="shared" si="699"/>
        <v/>
      </c>
      <c r="AL602" s="268" t="str">
        <f t="shared" si="699"/>
        <v/>
      </c>
      <c r="AM602" s="268" t="str">
        <f t="shared" si="699"/>
        <v/>
      </c>
      <c r="AN602" s="268" t="str">
        <f t="shared" si="699"/>
        <v/>
      </c>
      <c r="AO602" s="268" t="str">
        <f t="shared" si="699"/>
        <v/>
      </c>
      <c r="AP602" s="268" t="str">
        <f t="shared" si="699"/>
        <v/>
      </c>
      <c r="AQ602" s="268" t="str">
        <f t="shared" si="699"/>
        <v/>
      </c>
      <c r="AR602" s="268" t="str">
        <f t="shared" si="699"/>
        <v/>
      </c>
      <c r="AS602" s="268" t="str">
        <f t="shared" si="699"/>
        <v/>
      </c>
      <c r="AT602" s="268" t="str">
        <f t="shared" si="699"/>
        <v/>
      </c>
      <c r="AU602" s="268">
        <f t="shared" si="699"/>
        <v>16002</v>
      </c>
      <c r="AV602" s="268" t="str">
        <f t="shared" si="699"/>
        <v/>
      </c>
      <c r="AW602" s="268" t="str">
        <f t="shared" si="699"/>
        <v/>
      </c>
      <c r="AX602" s="268" t="str">
        <f t="shared" si="699"/>
        <v/>
      </c>
      <c r="AY602" s="268" t="str">
        <f t="shared" si="699"/>
        <v/>
      </c>
      <c r="AZ602" s="268" t="str">
        <f t="shared" si="699"/>
        <v/>
      </c>
      <c r="BA602" s="268" t="str">
        <f t="shared" si="699"/>
        <v/>
      </c>
      <c r="BB602" s="268" t="str">
        <f t="shared" si="699"/>
        <v/>
      </c>
      <c r="BC602" s="268" t="str">
        <f t="shared" si="699"/>
        <v/>
      </c>
      <c r="BD602" s="268" t="str">
        <f t="shared" si="699"/>
        <v/>
      </c>
      <c r="BE602" s="268" t="str">
        <f t="shared" si="699"/>
        <v/>
      </c>
      <c r="BF602" s="268" t="str">
        <f t="shared" si="699"/>
        <v/>
      </c>
      <c r="BG602" s="268" t="str">
        <f t="shared" si="699"/>
        <v/>
      </c>
      <c r="BH602" s="268" t="str">
        <f t="shared" si="699"/>
        <v/>
      </c>
      <c r="BI602" s="268" t="str">
        <f t="shared" si="699"/>
        <v/>
      </c>
      <c r="BJ602" s="268" t="str">
        <f t="shared" si="699"/>
        <v/>
      </c>
      <c r="BK602" s="268" t="str">
        <f t="shared" si="699"/>
        <v/>
      </c>
      <c r="BL602" s="268" t="str">
        <f t="shared" si="699"/>
        <v/>
      </c>
      <c r="BM602" s="268" t="str">
        <f t="shared" si="699"/>
        <v/>
      </c>
      <c r="BN602" s="268" t="str">
        <f t="shared" si="699"/>
        <v/>
      </c>
      <c r="BO602" s="268" t="str">
        <f t="shared" si="699"/>
        <v/>
      </c>
      <c r="BP602" s="268" t="str">
        <f t="shared" si="699"/>
        <v/>
      </c>
      <c r="BQ602" s="268" t="str">
        <f t="shared" si="699"/>
        <v/>
      </c>
      <c r="BR602" s="268" t="str">
        <f t="shared" si="699"/>
        <v/>
      </c>
      <c r="BS602" s="268" t="str">
        <f t="shared" si="699"/>
        <v/>
      </c>
      <c r="BT602" s="268" t="str">
        <f t="shared" si="699"/>
        <v/>
      </c>
      <c r="BU602" s="268" t="str">
        <f t="shared" si="675"/>
        <v/>
      </c>
      <c r="BV602" s="247">
        <v>1.83</v>
      </c>
      <c r="BW602" s="729">
        <f t="shared" si="691"/>
        <v>29283.66</v>
      </c>
      <c r="BX602" s="730">
        <f t="shared" si="669"/>
        <v>226948.37</v>
      </c>
      <c r="BY602" s="731" t="str">
        <f t="shared" si="670"/>
        <v>SR</v>
      </c>
    </row>
    <row r="603" s="698" customFormat="1" customHeight="1" spans="1:77">
      <c r="A603" s="208">
        <v>46139</v>
      </c>
      <c r="B603" s="208">
        <v>46197</v>
      </c>
      <c r="C603" s="272">
        <v>21011783</v>
      </c>
      <c r="D603" s="268" t="s">
        <v>782</v>
      </c>
      <c r="E603" s="268" t="s">
        <v>122</v>
      </c>
      <c r="F603" s="343">
        <f>2880+144</f>
        <v>3024</v>
      </c>
      <c r="G603" s="268" t="s">
        <v>510</v>
      </c>
      <c r="H603" s="211" t="str">
        <f>IFERROR(VLOOKUP(E603,名称!A:E,4,0),"")</f>
        <v>三代</v>
      </c>
      <c r="I603" s="268" t="str">
        <f t="shared" ref="I603:BT603" si="700">IF(OR($E603="",I$1=""),"",IF(TRIM(LEFT($E603,MIN(IFERROR(FIND("CDU",UPPER($E603)),999),IFERROR(FIND("BULK",UPPER($E603)),999),IFERROR(FIND("-",$E603),999),IFERROR(FIND("（",$E603),999))-1))=I$1,$F603,""))</f>
        <v/>
      </c>
      <c r="J603" s="268" t="str">
        <f t="shared" si="700"/>
        <v/>
      </c>
      <c r="K603" s="268" t="str">
        <f t="shared" si="700"/>
        <v/>
      </c>
      <c r="L603" s="268" t="str">
        <f t="shared" si="700"/>
        <v/>
      </c>
      <c r="M603" s="268" t="str">
        <f t="shared" si="700"/>
        <v/>
      </c>
      <c r="N603" s="268" t="str">
        <f t="shared" si="700"/>
        <v/>
      </c>
      <c r="O603" s="268" t="str">
        <f t="shared" si="700"/>
        <v/>
      </c>
      <c r="P603" s="268" t="str">
        <f t="shared" si="700"/>
        <v/>
      </c>
      <c r="Q603" s="268" t="str">
        <f t="shared" si="700"/>
        <v/>
      </c>
      <c r="R603" s="268" t="str">
        <f t="shared" si="700"/>
        <v/>
      </c>
      <c r="S603" s="268" t="str">
        <f t="shared" si="700"/>
        <v/>
      </c>
      <c r="T603" s="268" t="str">
        <f t="shared" si="700"/>
        <v/>
      </c>
      <c r="U603" s="268" t="str">
        <f t="shared" si="700"/>
        <v/>
      </c>
      <c r="V603" s="268" t="str">
        <f t="shared" si="700"/>
        <v/>
      </c>
      <c r="W603" s="268" t="str">
        <f t="shared" si="700"/>
        <v/>
      </c>
      <c r="X603" s="268" t="str">
        <f t="shared" si="700"/>
        <v/>
      </c>
      <c r="Y603" s="268" t="str">
        <f t="shared" si="700"/>
        <v/>
      </c>
      <c r="Z603" s="268" t="str">
        <f t="shared" si="700"/>
        <v/>
      </c>
      <c r="AA603" s="268" t="str">
        <f t="shared" si="700"/>
        <v/>
      </c>
      <c r="AB603" s="268" t="str">
        <f t="shared" si="700"/>
        <v/>
      </c>
      <c r="AC603" s="268" t="str">
        <f t="shared" si="700"/>
        <v/>
      </c>
      <c r="AD603" s="268" t="str">
        <f t="shared" si="700"/>
        <v/>
      </c>
      <c r="AE603" s="268" t="str">
        <f t="shared" si="700"/>
        <v/>
      </c>
      <c r="AF603" s="268" t="str">
        <f t="shared" si="700"/>
        <v/>
      </c>
      <c r="AG603" s="268" t="str">
        <f t="shared" si="700"/>
        <v/>
      </c>
      <c r="AH603" s="268" t="str">
        <f t="shared" si="700"/>
        <v/>
      </c>
      <c r="AI603" s="268" t="str">
        <f t="shared" si="700"/>
        <v/>
      </c>
      <c r="AJ603" s="268" t="str">
        <f t="shared" si="700"/>
        <v/>
      </c>
      <c r="AK603" s="268" t="str">
        <f t="shared" si="700"/>
        <v/>
      </c>
      <c r="AL603" s="268" t="str">
        <f t="shared" si="700"/>
        <v/>
      </c>
      <c r="AM603" s="268" t="str">
        <f t="shared" si="700"/>
        <v/>
      </c>
      <c r="AN603" s="268" t="str">
        <f t="shared" si="700"/>
        <v/>
      </c>
      <c r="AO603" s="268" t="str">
        <f t="shared" si="700"/>
        <v/>
      </c>
      <c r="AP603" s="268" t="str">
        <f t="shared" si="700"/>
        <v/>
      </c>
      <c r="AQ603" s="268" t="str">
        <f t="shared" si="700"/>
        <v/>
      </c>
      <c r="AR603" s="268" t="str">
        <f t="shared" si="700"/>
        <v/>
      </c>
      <c r="AS603" s="268" t="str">
        <f t="shared" si="700"/>
        <v/>
      </c>
      <c r="AT603" s="268" t="str">
        <f t="shared" si="700"/>
        <v/>
      </c>
      <c r="AU603" s="268" t="str">
        <f t="shared" si="700"/>
        <v/>
      </c>
      <c r="AV603" s="268" t="str">
        <f t="shared" si="700"/>
        <v/>
      </c>
      <c r="AW603" s="268">
        <f t="shared" si="700"/>
        <v>3024</v>
      </c>
      <c r="AX603" s="268" t="str">
        <f t="shared" si="700"/>
        <v/>
      </c>
      <c r="AY603" s="268" t="str">
        <f t="shared" si="700"/>
        <v/>
      </c>
      <c r="AZ603" s="268" t="str">
        <f t="shared" si="700"/>
        <v/>
      </c>
      <c r="BA603" s="268" t="str">
        <f t="shared" si="700"/>
        <v/>
      </c>
      <c r="BB603" s="268" t="str">
        <f t="shared" si="700"/>
        <v/>
      </c>
      <c r="BC603" s="268" t="str">
        <f t="shared" si="700"/>
        <v/>
      </c>
      <c r="BD603" s="268" t="str">
        <f t="shared" si="700"/>
        <v/>
      </c>
      <c r="BE603" s="268" t="str">
        <f t="shared" si="700"/>
        <v/>
      </c>
      <c r="BF603" s="268" t="str">
        <f t="shared" si="700"/>
        <v/>
      </c>
      <c r="BG603" s="268" t="str">
        <f t="shared" si="700"/>
        <v/>
      </c>
      <c r="BH603" s="268" t="str">
        <f t="shared" si="700"/>
        <v/>
      </c>
      <c r="BI603" s="268" t="str">
        <f t="shared" si="700"/>
        <v/>
      </c>
      <c r="BJ603" s="268" t="str">
        <f t="shared" si="700"/>
        <v/>
      </c>
      <c r="BK603" s="268" t="str">
        <f t="shared" si="700"/>
        <v/>
      </c>
      <c r="BL603" s="268" t="str">
        <f t="shared" si="700"/>
        <v/>
      </c>
      <c r="BM603" s="268" t="str">
        <f t="shared" si="700"/>
        <v/>
      </c>
      <c r="BN603" s="268" t="str">
        <f t="shared" si="700"/>
        <v/>
      </c>
      <c r="BO603" s="268" t="str">
        <f t="shared" si="700"/>
        <v/>
      </c>
      <c r="BP603" s="268" t="str">
        <f t="shared" si="700"/>
        <v/>
      </c>
      <c r="BQ603" s="268" t="str">
        <f t="shared" si="700"/>
        <v/>
      </c>
      <c r="BR603" s="268" t="str">
        <f t="shared" si="700"/>
        <v/>
      </c>
      <c r="BS603" s="268" t="str">
        <f t="shared" si="700"/>
        <v/>
      </c>
      <c r="BT603" s="268" t="str">
        <f t="shared" si="700"/>
        <v/>
      </c>
      <c r="BU603" s="268" t="str">
        <f t="shared" si="675"/>
        <v/>
      </c>
      <c r="BV603" s="247">
        <v>1.52</v>
      </c>
      <c r="BW603" s="729">
        <f t="shared" si="691"/>
        <v>4596.48</v>
      </c>
      <c r="BX603" s="730">
        <f t="shared" si="669"/>
        <v>35622.72</v>
      </c>
      <c r="BY603" s="731" t="str">
        <f t="shared" si="670"/>
        <v>SR</v>
      </c>
    </row>
    <row r="604" s="698" customFormat="1" customHeight="1" spans="1:77">
      <c r="A604" s="208">
        <v>46139</v>
      </c>
      <c r="B604" s="208">
        <v>46172</v>
      </c>
      <c r="C604" s="268" t="s">
        <v>783</v>
      </c>
      <c r="D604" s="268" t="s">
        <v>784</v>
      </c>
      <c r="E604" s="268" t="s">
        <v>50</v>
      </c>
      <c r="F604" s="343">
        <v>24984</v>
      </c>
      <c r="G604" s="268" t="s">
        <v>510</v>
      </c>
      <c r="H604" s="211" t="str">
        <f>IFERROR(VLOOKUP(E604,名称!A:E,4,0),"")</f>
        <v>蛋糕</v>
      </c>
      <c r="I604" s="268" t="str">
        <f t="shared" ref="I604:BT604" si="701">IF(OR($E604="",I$1=""),"",IF(TRIM(LEFT($E604,MIN(IFERROR(FIND("CDU",UPPER($E604)),999),IFERROR(FIND("BULK",UPPER($E604)),999),IFERROR(FIND("-",$E604),999),IFERROR(FIND("（",$E604),999))-1))=I$1,$F604,""))</f>
        <v/>
      </c>
      <c r="J604" s="268" t="str">
        <f t="shared" si="701"/>
        <v/>
      </c>
      <c r="K604" s="268" t="str">
        <f t="shared" si="701"/>
        <v/>
      </c>
      <c r="L604" s="268" t="str">
        <f t="shared" si="701"/>
        <v/>
      </c>
      <c r="M604" s="268" t="str">
        <f t="shared" si="701"/>
        <v/>
      </c>
      <c r="N604" s="268" t="str">
        <f t="shared" si="701"/>
        <v/>
      </c>
      <c r="O604" s="268" t="str">
        <f t="shared" si="701"/>
        <v/>
      </c>
      <c r="P604" s="268" t="str">
        <f t="shared" si="701"/>
        <v/>
      </c>
      <c r="Q604" s="268" t="str">
        <f t="shared" si="701"/>
        <v/>
      </c>
      <c r="R604" s="268" t="str">
        <f t="shared" si="701"/>
        <v/>
      </c>
      <c r="S604" s="268" t="str">
        <f t="shared" si="701"/>
        <v/>
      </c>
      <c r="T604" s="268" t="str">
        <f t="shared" si="701"/>
        <v/>
      </c>
      <c r="U604" s="268" t="str">
        <f t="shared" si="701"/>
        <v/>
      </c>
      <c r="V604" s="268" t="str">
        <f t="shared" si="701"/>
        <v/>
      </c>
      <c r="W604" s="268" t="str">
        <f t="shared" si="701"/>
        <v/>
      </c>
      <c r="X604" s="268" t="str">
        <f t="shared" si="701"/>
        <v/>
      </c>
      <c r="Y604" s="268" t="str">
        <f t="shared" si="701"/>
        <v/>
      </c>
      <c r="Z604" s="268" t="str">
        <f t="shared" si="701"/>
        <v/>
      </c>
      <c r="AA604" s="268" t="str">
        <f t="shared" si="701"/>
        <v/>
      </c>
      <c r="AB604" s="268" t="str">
        <f t="shared" si="701"/>
        <v/>
      </c>
      <c r="AC604" s="268" t="str">
        <f t="shared" si="701"/>
        <v/>
      </c>
      <c r="AD604" s="268" t="str">
        <f t="shared" si="701"/>
        <v/>
      </c>
      <c r="AE604" s="268" t="str">
        <f t="shared" si="701"/>
        <v/>
      </c>
      <c r="AF604" s="268" t="str">
        <f t="shared" si="701"/>
        <v/>
      </c>
      <c r="AG604" s="268" t="str">
        <f t="shared" si="701"/>
        <v/>
      </c>
      <c r="AH604" s="268" t="str">
        <f t="shared" si="701"/>
        <v/>
      </c>
      <c r="AI604" s="268" t="str">
        <f t="shared" si="701"/>
        <v/>
      </c>
      <c r="AJ604" s="268" t="str">
        <f t="shared" si="701"/>
        <v/>
      </c>
      <c r="AK604" s="268" t="str">
        <f t="shared" si="701"/>
        <v/>
      </c>
      <c r="AL604" s="268" t="str">
        <f t="shared" si="701"/>
        <v/>
      </c>
      <c r="AM604" s="268" t="str">
        <f t="shared" si="701"/>
        <v/>
      </c>
      <c r="AN604" s="268" t="str">
        <f t="shared" si="701"/>
        <v/>
      </c>
      <c r="AO604" s="268" t="str">
        <f t="shared" si="701"/>
        <v/>
      </c>
      <c r="AP604" s="268" t="str">
        <f t="shared" si="701"/>
        <v/>
      </c>
      <c r="AQ604" s="268" t="str">
        <f t="shared" si="701"/>
        <v/>
      </c>
      <c r="AR604" s="268" t="str">
        <f t="shared" si="701"/>
        <v/>
      </c>
      <c r="AS604" s="268" t="str">
        <f t="shared" si="701"/>
        <v/>
      </c>
      <c r="AT604" s="268" t="str">
        <f t="shared" si="701"/>
        <v/>
      </c>
      <c r="AU604" s="268" t="str">
        <f t="shared" si="701"/>
        <v/>
      </c>
      <c r="AV604" s="268" t="str">
        <f t="shared" si="701"/>
        <v/>
      </c>
      <c r="AW604" s="268" t="str">
        <f t="shared" si="701"/>
        <v/>
      </c>
      <c r="AX604" s="268" t="str">
        <f t="shared" si="701"/>
        <v/>
      </c>
      <c r="AY604" s="268" t="str">
        <f t="shared" si="701"/>
        <v/>
      </c>
      <c r="AZ604" s="268" t="str">
        <f t="shared" si="701"/>
        <v/>
      </c>
      <c r="BA604" s="268" t="str">
        <f t="shared" si="701"/>
        <v/>
      </c>
      <c r="BB604" s="268" t="str">
        <f t="shared" si="701"/>
        <v/>
      </c>
      <c r="BC604" s="268" t="str">
        <f t="shared" si="701"/>
        <v/>
      </c>
      <c r="BD604" s="268" t="str">
        <f t="shared" si="701"/>
        <v/>
      </c>
      <c r="BE604" s="268" t="str">
        <f t="shared" si="701"/>
        <v/>
      </c>
      <c r="BF604" s="268" t="str">
        <f t="shared" si="701"/>
        <v/>
      </c>
      <c r="BG604" s="268">
        <f t="shared" si="701"/>
        <v>24984</v>
      </c>
      <c r="BH604" s="268" t="str">
        <f t="shared" si="701"/>
        <v/>
      </c>
      <c r="BI604" s="268" t="str">
        <f t="shared" si="701"/>
        <v/>
      </c>
      <c r="BJ604" s="268" t="str">
        <f t="shared" si="701"/>
        <v/>
      </c>
      <c r="BK604" s="268" t="str">
        <f t="shared" si="701"/>
        <v/>
      </c>
      <c r="BL604" s="268" t="str">
        <f t="shared" si="701"/>
        <v/>
      </c>
      <c r="BM604" s="268" t="str">
        <f t="shared" si="701"/>
        <v/>
      </c>
      <c r="BN604" s="268" t="str">
        <f t="shared" si="701"/>
        <v/>
      </c>
      <c r="BO604" s="268" t="str">
        <f t="shared" si="701"/>
        <v/>
      </c>
      <c r="BP604" s="268" t="str">
        <f t="shared" si="701"/>
        <v/>
      </c>
      <c r="BQ604" s="268" t="str">
        <f t="shared" si="701"/>
        <v/>
      </c>
      <c r="BR604" s="268" t="str">
        <f t="shared" si="701"/>
        <v/>
      </c>
      <c r="BS604" s="268" t="str">
        <f t="shared" si="701"/>
        <v/>
      </c>
      <c r="BT604" s="268" t="str">
        <f t="shared" si="701"/>
        <v/>
      </c>
      <c r="BU604" s="268" t="str">
        <f t="shared" si="675"/>
        <v/>
      </c>
      <c r="BV604" s="247">
        <v>1.15</v>
      </c>
      <c r="BW604" s="729">
        <f t="shared" si="691"/>
        <v>28731.6</v>
      </c>
      <c r="BX604" s="730">
        <f t="shared" si="669"/>
        <v>222669.9</v>
      </c>
      <c r="BY604" s="731" t="str">
        <f t="shared" si="670"/>
        <v>JC</v>
      </c>
    </row>
    <row r="605" s="698" customFormat="1" customHeight="1" spans="1:77">
      <c r="A605" s="208">
        <v>46139</v>
      </c>
      <c r="B605" s="208">
        <v>46172</v>
      </c>
      <c r="C605" s="268" t="s">
        <v>783</v>
      </c>
      <c r="D605" s="268" t="s">
        <v>784</v>
      </c>
      <c r="E605" s="268" t="s">
        <v>88</v>
      </c>
      <c r="F605" s="343">
        <v>1992</v>
      </c>
      <c r="G605" s="268" t="s">
        <v>510</v>
      </c>
      <c r="H605" s="211" t="str">
        <f>IFERROR(VLOOKUP(E605,名称!A:E,4,0),"")</f>
        <v>三代</v>
      </c>
      <c r="I605" s="268" t="str">
        <f t="shared" ref="I605:BT605" si="702">IF(OR($E605="",I$1=""),"",IF(TRIM(LEFT($E605,MIN(IFERROR(FIND("CDU",UPPER($E605)),999),IFERROR(FIND("BULK",UPPER($E605)),999),IFERROR(FIND("-",$E605),999),IFERROR(FIND("（",$E605),999))-1))=I$1,$F605,""))</f>
        <v/>
      </c>
      <c r="J605" s="268" t="str">
        <f t="shared" si="702"/>
        <v/>
      </c>
      <c r="K605" s="268" t="str">
        <f t="shared" si="702"/>
        <v/>
      </c>
      <c r="L605" s="268" t="str">
        <f t="shared" si="702"/>
        <v/>
      </c>
      <c r="M605" s="268" t="str">
        <f t="shared" si="702"/>
        <v/>
      </c>
      <c r="N605" s="268" t="str">
        <f t="shared" si="702"/>
        <v/>
      </c>
      <c r="O605" s="268" t="str">
        <f t="shared" si="702"/>
        <v/>
      </c>
      <c r="P605" s="268" t="str">
        <f t="shared" si="702"/>
        <v/>
      </c>
      <c r="Q605" s="268" t="str">
        <f t="shared" si="702"/>
        <v/>
      </c>
      <c r="R605" s="268" t="str">
        <f t="shared" si="702"/>
        <v/>
      </c>
      <c r="S605" s="268" t="str">
        <f t="shared" si="702"/>
        <v/>
      </c>
      <c r="T605" s="268" t="str">
        <f t="shared" si="702"/>
        <v/>
      </c>
      <c r="U605" s="268" t="str">
        <f t="shared" si="702"/>
        <v/>
      </c>
      <c r="V605" s="268" t="str">
        <f t="shared" si="702"/>
        <v/>
      </c>
      <c r="W605" s="268" t="str">
        <f t="shared" si="702"/>
        <v/>
      </c>
      <c r="X605" s="268" t="str">
        <f t="shared" si="702"/>
        <v/>
      </c>
      <c r="Y605" s="268" t="str">
        <f t="shared" si="702"/>
        <v/>
      </c>
      <c r="Z605" s="268" t="str">
        <f t="shared" si="702"/>
        <v/>
      </c>
      <c r="AA605" s="268" t="str">
        <f t="shared" si="702"/>
        <v/>
      </c>
      <c r="AB605" s="268" t="str">
        <f t="shared" si="702"/>
        <v/>
      </c>
      <c r="AC605" s="268" t="str">
        <f t="shared" si="702"/>
        <v/>
      </c>
      <c r="AD605" s="268" t="str">
        <f t="shared" si="702"/>
        <v/>
      </c>
      <c r="AE605" s="268" t="str">
        <f t="shared" si="702"/>
        <v/>
      </c>
      <c r="AF605" s="268" t="str">
        <f t="shared" si="702"/>
        <v/>
      </c>
      <c r="AG605" s="268" t="str">
        <f t="shared" si="702"/>
        <v/>
      </c>
      <c r="AH605" s="268" t="str">
        <f t="shared" si="702"/>
        <v/>
      </c>
      <c r="AI605" s="268" t="str">
        <f t="shared" si="702"/>
        <v/>
      </c>
      <c r="AJ605" s="268" t="str">
        <f t="shared" si="702"/>
        <v/>
      </c>
      <c r="AK605" s="268" t="str">
        <f t="shared" si="702"/>
        <v/>
      </c>
      <c r="AL605" s="268" t="str">
        <f t="shared" si="702"/>
        <v/>
      </c>
      <c r="AM605" s="268" t="str">
        <f t="shared" si="702"/>
        <v/>
      </c>
      <c r="AN605" s="268" t="str">
        <f t="shared" si="702"/>
        <v/>
      </c>
      <c r="AO605" s="268" t="str">
        <f t="shared" si="702"/>
        <v/>
      </c>
      <c r="AP605" s="268" t="str">
        <f t="shared" si="702"/>
        <v/>
      </c>
      <c r="AQ605" s="268" t="str">
        <f t="shared" si="702"/>
        <v/>
      </c>
      <c r="AR605" s="268" t="str">
        <f t="shared" si="702"/>
        <v/>
      </c>
      <c r="AS605" s="268" t="str">
        <f t="shared" si="702"/>
        <v/>
      </c>
      <c r="AT605" s="268">
        <f t="shared" si="702"/>
        <v>1992</v>
      </c>
      <c r="AU605" s="268" t="str">
        <f t="shared" si="702"/>
        <v/>
      </c>
      <c r="AV605" s="268" t="str">
        <f t="shared" si="702"/>
        <v/>
      </c>
      <c r="AW605" s="268" t="str">
        <f t="shared" si="702"/>
        <v/>
      </c>
      <c r="AX605" s="268" t="str">
        <f t="shared" si="702"/>
        <v/>
      </c>
      <c r="AY605" s="268" t="str">
        <f t="shared" si="702"/>
        <v/>
      </c>
      <c r="AZ605" s="268" t="str">
        <f t="shared" si="702"/>
        <v/>
      </c>
      <c r="BA605" s="268" t="str">
        <f t="shared" si="702"/>
        <v/>
      </c>
      <c r="BB605" s="268" t="str">
        <f t="shared" si="702"/>
        <v/>
      </c>
      <c r="BC605" s="268" t="str">
        <f t="shared" si="702"/>
        <v/>
      </c>
      <c r="BD605" s="268" t="str">
        <f t="shared" si="702"/>
        <v/>
      </c>
      <c r="BE605" s="268" t="str">
        <f t="shared" si="702"/>
        <v/>
      </c>
      <c r="BF605" s="268" t="str">
        <f t="shared" si="702"/>
        <v/>
      </c>
      <c r="BG605" s="268" t="str">
        <f t="shared" si="702"/>
        <v/>
      </c>
      <c r="BH605" s="268" t="str">
        <f t="shared" si="702"/>
        <v/>
      </c>
      <c r="BI605" s="268" t="str">
        <f t="shared" si="702"/>
        <v/>
      </c>
      <c r="BJ605" s="268" t="str">
        <f t="shared" si="702"/>
        <v/>
      </c>
      <c r="BK605" s="268" t="str">
        <f t="shared" si="702"/>
        <v/>
      </c>
      <c r="BL605" s="268" t="str">
        <f t="shared" si="702"/>
        <v/>
      </c>
      <c r="BM605" s="268" t="str">
        <f t="shared" si="702"/>
        <v/>
      </c>
      <c r="BN605" s="268" t="str">
        <f t="shared" si="702"/>
        <v/>
      </c>
      <c r="BO605" s="268" t="str">
        <f t="shared" si="702"/>
        <v/>
      </c>
      <c r="BP605" s="268" t="str">
        <f t="shared" si="702"/>
        <v/>
      </c>
      <c r="BQ605" s="268" t="str">
        <f t="shared" si="702"/>
        <v/>
      </c>
      <c r="BR605" s="268" t="str">
        <f t="shared" si="702"/>
        <v/>
      </c>
      <c r="BS605" s="268" t="str">
        <f t="shared" si="702"/>
        <v/>
      </c>
      <c r="BT605" s="268" t="str">
        <f t="shared" si="702"/>
        <v/>
      </c>
      <c r="BU605" s="268" t="str">
        <f t="shared" si="675"/>
        <v/>
      </c>
      <c r="BV605" s="247">
        <v>0.83</v>
      </c>
      <c r="BW605" s="729">
        <f t="shared" si="691"/>
        <v>1653.36</v>
      </c>
      <c r="BX605" s="730">
        <f t="shared" si="669"/>
        <v>12813.54</v>
      </c>
      <c r="BY605" s="731" t="str">
        <f t="shared" si="670"/>
        <v>SR</v>
      </c>
    </row>
    <row r="606" s="697" customFormat="1" customHeight="1" spans="1:77">
      <c r="A606" s="116">
        <v>46139</v>
      </c>
      <c r="B606" s="116">
        <v>46200</v>
      </c>
      <c r="C606" s="418" t="s">
        <v>785</v>
      </c>
      <c r="D606" s="418" t="s">
        <v>786</v>
      </c>
      <c r="E606" s="418" t="s">
        <v>129</v>
      </c>
      <c r="F606" s="737">
        <f t="shared" ref="F606:F608" si="703">1008-18</f>
        <v>990</v>
      </c>
      <c r="G606" s="418" t="s">
        <v>341</v>
      </c>
      <c r="H606" s="118" t="str">
        <f>IFERROR(VLOOKUP(E606,名称!A:E,4,0),"")</f>
        <v>蛋糕</v>
      </c>
      <c r="I606" s="418" t="str">
        <f t="shared" ref="I606:BT606" si="704">IF(OR($E606="",I$1=""),"",IF(TRIM(LEFT($E606,MIN(IFERROR(FIND("CDU",UPPER($E606)),999),IFERROR(FIND("BULK",UPPER($E606)),999),IFERROR(FIND("-",$E606),999),IFERROR(FIND("（",$E606),999))-1))=I$1,$F606,""))</f>
        <v/>
      </c>
      <c r="J606" s="418" t="str">
        <f t="shared" si="704"/>
        <v/>
      </c>
      <c r="K606" s="418" t="str">
        <f t="shared" si="704"/>
        <v/>
      </c>
      <c r="L606" s="418" t="str">
        <f t="shared" si="704"/>
        <v/>
      </c>
      <c r="M606" s="418" t="str">
        <f t="shared" si="704"/>
        <v/>
      </c>
      <c r="N606" s="418" t="str">
        <f t="shared" si="704"/>
        <v/>
      </c>
      <c r="O606" s="418" t="str">
        <f t="shared" si="704"/>
        <v/>
      </c>
      <c r="P606" s="418" t="str">
        <f t="shared" si="704"/>
        <v/>
      </c>
      <c r="Q606" s="418" t="str">
        <f t="shared" si="704"/>
        <v/>
      </c>
      <c r="R606" s="418" t="str">
        <f t="shared" si="704"/>
        <v/>
      </c>
      <c r="S606" s="418" t="str">
        <f t="shared" si="704"/>
        <v/>
      </c>
      <c r="T606" s="418" t="str">
        <f t="shared" si="704"/>
        <v/>
      </c>
      <c r="U606" s="418" t="str">
        <f t="shared" si="704"/>
        <v/>
      </c>
      <c r="V606" s="418" t="str">
        <f t="shared" si="704"/>
        <v/>
      </c>
      <c r="W606" s="418" t="str">
        <f t="shared" si="704"/>
        <v/>
      </c>
      <c r="X606" s="418" t="str">
        <f t="shared" si="704"/>
        <v/>
      </c>
      <c r="Y606" s="418" t="str">
        <f t="shared" si="704"/>
        <v/>
      </c>
      <c r="Z606" s="418" t="str">
        <f t="shared" si="704"/>
        <v/>
      </c>
      <c r="AA606" s="418" t="str">
        <f t="shared" si="704"/>
        <v/>
      </c>
      <c r="AB606" s="418" t="str">
        <f t="shared" si="704"/>
        <v/>
      </c>
      <c r="AC606" s="418" t="str">
        <f t="shared" si="704"/>
        <v/>
      </c>
      <c r="AD606" s="418" t="str">
        <f t="shared" si="704"/>
        <v/>
      </c>
      <c r="AE606" s="418" t="str">
        <f t="shared" si="704"/>
        <v/>
      </c>
      <c r="AF606" s="418" t="str">
        <f t="shared" si="704"/>
        <v/>
      </c>
      <c r="AG606" s="418" t="str">
        <f t="shared" si="704"/>
        <v/>
      </c>
      <c r="AH606" s="418" t="str">
        <f t="shared" si="704"/>
        <v/>
      </c>
      <c r="AI606" s="418" t="str">
        <f t="shared" si="704"/>
        <v/>
      </c>
      <c r="AJ606" s="418" t="str">
        <f t="shared" si="704"/>
        <v/>
      </c>
      <c r="AK606" s="418" t="str">
        <f t="shared" si="704"/>
        <v/>
      </c>
      <c r="AL606" s="418" t="str">
        <f t="shared" si="704"/>
        <v/>
      </c>
      <c r="AM606" s="418" t="str">
        <f t="shared" si="704"/>
        <v/>
      </c>
      <c r="AN606" s="418" t="str">
        <f t="shared" si="704"/>
        <v/>
      </c>
      <c r="AO606" s="418" t="str">
        <f t="shared" si="704"/>
        <v/>
      </c>
      <c r="AP606" s="418" t="str">
        <f t="shared" si="704"/>
        <v/>
      </c>
      <c r="AQ606" s="418" t="str">
        <f t="shared" si="704"/>
        <v/>
      </c>
      <c r="AR606" s="418" t="str">
        <f t="shared" si="704"/>
        <v/>
      </c>
      <c r="AS606" s="418" t="str">
        <f t="shared" si="704"/>
        <v/>
      </c>
      <c r="AT606" s="418" t="str">
        <f t="shared" si="704"/>
        <v/>
      </c>
      <c r="AU606" s="418" t="str">
        <f t="shared" si="704"/>
        <v/>
      </c>
      <c r="AV606" s="418" t="str">
        <f t="shared" si="704"/>
        <v/>
      </c>
      <c r="AW606" s="418" t="str">
        <f t="shared" si="704"/>
        <v/>
      </c>
      <c r="AX606" s="418" t="str">
        <f t="shared" si="704"/>
        <v/>
      </c>
      <c r="AY606" s="418" t="str">
        <f t="shared" si="704"/>
        <v/>
      </c>
      <c r="AZ606" s="418" t="str">
        <f t="shared" si="704"/>
        <v/>
      </c>
      <c r="BA606" s="418" t="str">
        <f t="shared" si="704"/>
        <v/>
      </c>
      <c r="BB606" s="418" t="str">
        <f t="shared" si="704"/>
        <v/>
      </c>
      <c r="BC606" s="418" t="str">
        <f t="shared" si="704"/>
        <v/>
      </c>
      <c r="BD606" s="418" t="str">
        <f t="shared" si="704"/>
        <v/>
      </c>
      <c r="BE606" s="418" t="str">
        <f t="shared" si="704"/>
        <v/>
      </c>
      <c r="BF606" s="418" t="str">
        <f t="shared" si="704"/>
        <v/>
      </c>
      <c r="BG606" s="418">
        <f t="shared" si="704"/>
        <v>990</v>
      </c>
      <c r="BH606" s="418" t="str">
        <f t="shared" si="704"/>
        <v/>
      </c>
      <c r="BI606" s="418" t="str">
        <f t="shared" si="704"/>
        <v/>
      </c>
      <c r="BJ606" s="418" t="str">
        <f t="shared" si="704"/>
        <v/>
      </c>
      <c r="BK606" s="418" t="str">
        <f t="shared" si="704"/>
        <v/>
      </c>
      <c r="BL606" s="418" t="str">
        <f t="shared" si="704"/>
        <v/>
      </c>
      <c r="BM606" s="418" t="str">
        <f t="shared" si="704"/>
        <v/>
      </c>
      <c r="BN606" s="418" t="str">
        <f t="shared" si="704"/>
        <v/>
      </c>
      <c r="BO606" s="418" t="str">
        <f t="shared" si="704"/>
        <v/>
      </c>
      <c r="BP606" s="418" t="str">
        <f t="shared" si="704"/>
        <v/>
      </c>
      <c r="BQ606" s="418" t="str">
        <f t="shared" si="704"/>
        <v/>
      </c>
      <c r="BR606" s="418" t="str">
        <f t="shared" si="704"/>
        <v/>
      </c>
      <c r="BS606" s="418" t="str">
        <f t="shared" si="704"/>
        <v/>
      </c>
      <c r="BT606" s="418" t="str">
        <f t="shared" si="704"/>
        <v/>
      </c>
      <c r="BU606" s="418" t="str">
        <f t="shared" si="675"/>
        <v/>
      </c>
      <c r="BV606" s="544">
        <v>1.2</v>
      </c>
      <c r="BW606" s="723">
        <f t="shared" si="691"/>
        <v>1188</v>
      </c>
      <c r="BX606" s="724">
        <f t="shared" si="669"/>
        <v>9207</v>
      </c>
      <c r="BY606" s="725" t="str">
        <f t="shared" si="670"/>
        <v>JC</v>
      </c>
    </row>
    <row r="607" s="697" customFormat="1" customHeight="1" spans="1:77">
      <c r="A607" s="116">
        <v>46139</v>
      </c>
      <c r="B607" s="116">
        <v>46200</v>
      </c>
      <c r="C607" s="418" t="s">
        <v>785</v>
      </c>
      <c r="D607" s="418" t="s">
        <v>786</v>
      </c>
      <c r="E607" s="418" t="s">
        <v>130</v>
      </c>
      <c r="F607" s="737">
        <f t="shared" si="703"/>
        <v>990</v>
      </c>
      <c r="G607" s="418" t="s">
        <v>341</v>
      </c>
      <c r="H607" s="118" t="str">
        <f>IFERROR(VLOOKUP(E607,名称!A:E,4,0),"")</f>
        <v>蛋糕</v>
      </c>
      <c r="I607" s="418" t="str">
        <f t="shared" ref="I607:I638" si="705">IF(OR($E607="",I$1=""),"",IF(TRIM(LEFT($E607,MIN(IFERROR(FIND("CDU",UPPER($E607)),999),IFERROR(FIND("BULK",UPPER($E607)),999),IFERROR(FIND("-",$E607),999),IFERROR(FIND("（",$E607),999))-1))=I$1,$F607,""))</f>
        <v/>
      </c>
      <c r="J607" s="418" t="str">
        <f t="shared" ref="J607:J638" si="706">IF(OR($E607="",J$1=""),"",IF(TRIM(LEFT($E607,MIN(IFERROR(FIND("CDU",UPPER($E607)),999),IFERROR(FIND("BULK",UPPER($E607)),999),IFERROR(FIND("-",$E607),999),IFERROR(FIND("（",$E607),999))-1))=J$1,$F607,""))</f>
        <v/>
      </c>
      <c r="K607" s="418" t="str">
        <f t="shared" ref="K607:K638" si="707">IF(OR($E607="",K$1=""),"",IF(TRIM(LEFT($E607,MIN(IFERROR(FIND("CDU",UPPER($E607)),999),IFERROR(FIND("BULK",UPPER($E607)),999),IFERROR(FIND("-",$E607),999),IFERROR(FIND("（",$E607),999))-1))=K$1,$F607,""))</f>
        <v/>
      </c>
      <c r="L607" s="418" t="str">
        <f t="shared" ref="L607:L638" si="708">IF(OR($E607="",L$1=""),"",IF(TRIM(LEFT($E607,MIN(IFERROR(FIND("CDU",UPPER($E607)),999),IFERROR(FIND("BULK",UPPER($E607)),999),IFERROR(FIND("-",$E607),999),IFERROR(FIND("（",$E607),999))-1))=L$1,$F607,""))</f>
        <v/>
      </c>
      <c r="M607" s="418" t="str">
        <f t="shared" ref="M607:M638" si="709">IF(OR($E607="",M$1=""),"",IF(TRIM(LEFT($E607,MIN(IFERROR(FIND("CDU",UPPER($E607)),999),IFERROR(FIND("BULK",UPPER($E607)),999),IFERROR(FIND("-",$E607),999),IFERROR(FIND("（",$E607),999))-1))=M$1,$F607,""))</f>
        <v/>
      </c>
      <c r="N607" s="418" t="str">
        <f t="shared" ref="N607:N638" si="710">IF(OR($E607="",N$1=""),"",IF(TRIM(LEFT($E607,MIN(IFERROR(FIND("CDU",UPPER($E607)),999),IFERROR(FIND("BULK",UPPER($E607)),999),IFERROR(FIND("-",$E607),999),IFERROR(FIND("（",$E607),999))-1))=N$1,$F607,""))</f>
        <v/>
      </c>
      <c r="O607" s="418" t="str">
        <f t="shared" ref="O607:O638" si="711">IF(OR($E607="",O$1=""),"",IF(TRIM(LEFT($E607,MIN(IFERROR(FIND("CDU",UPPER($E607)),999),IFERROR(FIND("BULK",UPPER($E607)),999),IFERROR(FIND("-",$E607),999),IFERROR(FIND("（",$E607),999))-1))=O$1,$F607,""))</f>
        <v/>
      </c>
      <c r="P607" s="418" t="str">
        <f t="shared" ref="P607:P638" si="712">IF(OR($E607="",P$1=""),"",IF(TRIM(LEFT($E607,MIN(IFERROR(FIND("CDU",UPPER($E607)),999),IFERROR(FIND("BULK",UPPER($E607)),999),IFERROR(FIND("-",$E607),999),IFERROR(FIND("（",$E607),999))-1))=P$1,$F607,""))</f>
        <v/>
      </c>
      <c r="Q607" s="418" t="str">
        <f t="shared" ref="Q607:Q638" si="713">IF(OR($E607="",Q$1=""),"",IF(TRIM(LEFT($E607,MIN(IFERROR(FIND("CDU",UPPER($E607)),999),IFERROR(FIND("BULK",UPPER($E607)),999),IFERROR(FIND("-",$E607),999),IFERROR(FIND("（",$E607),999))-1))=Q$1,$F607,""))</f>
        <v/>
      </c>
      <c r="R607" s="418" t="str">
        <f t="shared" ref="R607:R638" si="714">IF(OR($E607="",R$1=""),"",IF(TRIM(LEFT($E607,MIN(IFERROR(FIND("CDU",UPPER($E607)),999),IFERROR(FIND("BULK",UPPER($E607)),999),IFERROR(FIND("-",$E607),999),IFERROR(FIND("（",$E607),999))-1))=R$1,$F607,""))</f>
        <v/>
      </c>
      <c r="S607" s="418" t="str">
        <f t="shared" ref="S607:S638" si="715">IF(OR($E607="",S$1=""),"",IF(TRIM(LEFT($E607,MIN(IFERROR(FIND("CDU",UPPER($E607)),999),IFERROR(FIND("BULK",UPPER($E607)),999),IFERROR(FIND("-",$E607),999),IFERROR(FIND("（",$E607),999))-1))=S$1,$F607,""))</f>
        <v/>
      </c>
      <c r="T607" s="418" t="str">
        <f t="shared" ref="T607:T638" si="716">IF(OR($E607="",T$1=""),"",IF(TRIM(LEFT($E607,MIN(IFERROR(FIND("CDU",UPPER($E607)),999),IFERROR(FIND("BULK",UPPER($E607)),999),IFERROR(FIND("-",$E607),999),IFERROR(FIND("（",$E607),999))-1))=T$1,$F607,""))</f>
        <v/>
      </c>
      <c r="U607" s="418" t="str">
        <f t="shared" ref="U607:U638" si="717">IF(OR($E607="",U$1=""),"",IF(TRIM(LEFT($E607,MIN(IFERROR(FIND("CDU",UPPER($E607)),999),IFERROR(FIND("BULK",UPPER($E607)),999),IFERROR(FIND("-",$E607),999),IFERROR(FIND("（",$E607),999))-1))=U$1,$F607,""))</f>
        <v/>
      </c>
      <c r="V607" s="418" t="str">
        <f t="shared" ref="V607:V638" si="718">IF(OR($E607="",V$1=""),"",IF(TRIM(LEFT($E607,MIN(IFERROR(FIND("CDU",UPPER($E607)),999),IFERROR(FIND("BULK",UPPER($E607)),999),IFERROR(FIND("-",$E607),999),IFERROR(FIND("（",$E607),999))-1))=V$1,$F607,""))</f>
        <v/>
      </c>
      <c r="W607" s="418" t="str">
        <f t="shared" ref="W607:W638" si="719">IF(OR($E607="",W$1=""),"",IF(TRIM(LEFT($E607,MIN(IFERROR(FIND("CDU",UPPER($E607)),999),IFERROR(FIND("BULK",UPPER($E607)),999),IFERROR(FIND("-",$E607),999),IFERROR(FIND("（",$E607),999))-1))=W$1,$F607,""))</f>
        <v/>
      </c>
      <c r="X607" s="418" t="str">
        <f t="shared" ref="X607:X638" si="720">IF(OR($E607="",X$1=""),"",IF(TRIM(LEFT($E607,MIN(IFERROR(FIND("CDU",UPPER($E607)),999),IFERROR(FIND("BULK",UPPER($E607)),999),IFERROR(FIND("-",$E607),999),IFERROR(FIND("（",$E607),999))-1))=X$1,$F607,""))</f>
        <v/>
      </c>
      <c r="Y607" s="418" t="str">
        <f t="shared" ref="Y607:Y638" si="721">IF(OR($E607="",Y$1=""),"",IF(TRIM(LEFT($E607,MIN(IFERROR(FIND("CDU",UPPER($E607)),999),IFERROR(FIND("BULK",UPPER($E607)),999),IFERROR(FIND("-",$E607),999),IFERROR(FIND("（",$E607),999))-1))=Y$1,$F607,""))</f>
        <v/>
      </c>
      <c r="Z607" s="418" t="str">
        <f t="shared" ref="Z607:Z638" si="722">IF(OR($E607="",Z$1=""),"",IF(TRIM(LEFT($E607,MIN(IFERROR(FIND("CDU",UPPER($E607)),999),IFERROR(FIND("BULK",UPPER($E607)),999),IFERROR(FIND("-",$E607),999),IFERROR(FIND("（",$E607),999))-1))=Z$1,$F607,""))</f>
        <v/>
      </c>
      <c r="AA607" s="418" t="str">
        <f t="shared" ref="AA607:AA638" si="723">IF(OR($E607="",AA$1=""),"",IF(TRIM(LEFT($E607,MIN(IFERROR(FIND("CDU",UPPER($E607)),999),IFERROR(FIND("BULK",UPPER($E607)),999),IFERROR(FIND("-",$E607),999),IFERROR(FIND("（",$E607),999))-1))=AA$1,$F607,""))</f>
        <v/>
      </c>
      <c r="AB607" s="418" t="str">
        <f t="shared" ref="AB607:AB638" si="724">IF(OR($E607="",AB$1=""),"",IF(TRIM(LEFT($E607,MIN(IFERROR(FIND("CDU",UPPER($E607)),999),IFERROR(FIND("BULK",UPPER($E607)),999),IFERROR(FIND("-",$E607),999),IFERROR(FIND("（",$E607),999))-1))=AB$1,$F607,""))</f>
        <v/>
      </c>
      <c r="AC607" s="418" t="str">
        <f t="shared" ref="AC607:AC638" si="725">IF(OR($E607="",AC$1=""),"",IF(TRIM(LEFT($E607,MIN(IFERROR(FIND("CDU",UPPER($E607)),999),IFERROR(FIND("BULK",UPPER($E607)),999),IFERROR(FIND("-",$E607),999),IFERROR(FIND("（",$E607),999))-1))=AC$1,$F607,""))</f>
        <v/>
      </c>
      <c r="AD607" s="418" t="str">
        <f t="shared" ref="AD607:AD638" si="726">IF(OR($E607="",AD$1=""),"",IF(TRIM(LEFT($E607,MIN(IFERROR(FIND("CDU",UPPER($E607)),999),IFERROR(FIND("BULK",UPPER($E607)),999),IFERROR(FIND("-",$E607),999),IFERROR(FIND("（",$E607),999))-1))=AD$1,$F607,""))</f>
        <v/>
      </c>
      <c r="AE607" s="418" t="str">
        <f t="shared" ref="AE607:AE638" si="727">IF(OR($E607="",AE$1=""),"",IF(TRIM(LEFT($E607,MIN(IFERROR(FIND("CDU",UPPER($E607)),999),IFERROR(FIND("BULK",UPPER($E607)),999),IFERROR(FIND("-",$E607),999),IFERROR(FIND("（",$E607),999))-1))=AE$1,$F607,""))</f>
        <v/>
      </c>
      <c r="AF607" s="418" t="str">
        <f t="shared" ref="AF607:AF638" si="728">IF(OR($E607="",AF$1=""),"",IF(TRIM(LEFT($E607,MIN(IFERROR(FIND("CDU",UPPER($E607)),999),IFERROR(FIND("BULK",UPPER($E607)),999),IFERROR(FIND("-",$E607),999),IFERROR(FIND("（",$E607),999))-1))=AF$1,$F607,""))</f>
        <v/>
      </c>
      <c r="AG607" s="418" t="str">
        <f t="shared" ref="AG607:AG638" si="729">IF(OR($E607="",AG$1=""),"",IF(TRIM(LEFT($E607,MIN(IFERROR(FIND("CDU",UPPER($E607)),999),IFERROR(FIND("BULK",UPPER($E607)),999),IFERROR(FIND("-",$E607),999),IFERROR(FIND("（",$E607),999))-1))=AG$1,$F607,""))</f>
        <v/>
      </c>
      <c r="AH607" s="418" t="str">
        <f t="shared" ref="AH607:AH638" si="730">IF(OR($E607="",AH$1=""),"",IF(TRIM(LEFT($E607,MIN(IFERROR(FIND("CDU",UPPER($E607)),999),IFERROR(FIND("BULK",UPPER($E607)),999),IFERROR(FIND("-",$E607),999),IFERROR(FIND("（",$E607),999))-1))=AH$1,$F607,""))</f>
        <v/>
      </c>
      <c r="AI607" s="418" t="str">
        <f t="shared" ref="AI607:AI638" si="731">IF(OR($E607="",AI$1=""),"",IF(TRIM(LEFT($E607,MIN(IFERROR(FIND("CDU",UPPER($E607)),999),IFERROR(FIND("BULK",UPPER($E607)),999),IFERROR(FIND("-",$E607),999),IFERROR(FIND("（",$E607),999))-1))=AI$1,$F607,""))</f>
        <v/>
      </c>
      <c r="AJ607" s="418" t="str">
        <f t="shared" ref="AJ607:AJ638" si="732">IF(OR($E607="",AJ$1=""),"",IF(TRIM(LEFT($E607,MIN(IFERROR(FIND("CDU",UPPER($E607)),999),IFERROR(FIND("BULK",UPPER($E607)),999),IFERROR(FIND("-",$E607),999),IFERROR(FIND("（",$E607),999))-1))=AJ$1,$F607,""))</f>
        <v/>
      </c>
      <c r="AK607" s="418" t="str">
        <f t="shared" ref="AK607:AK638" si="733">IF(OR($E607="",AK$1=""),"",IF(TRIM(LEFT($E607,MIN(IFERROR(FIND("CDU",UPPER($E607)),999),IFERROR(FIND("BULK",UPPER($E607)),999),IFERROR(FIND("-",$E607),999),IFERROR(FIND("（",$E607),999))-1))=AK$1,$F607,""))</f>
        <v/>
      </c>
      <c r="AL607" s="418" t="str">
        <f t="shared" ref="AL607:AL638" si="734">IF(OR($E607="",AL$1=""),"",IF(TRIM(LEFT($E607,MIN(IFERROR(FIND("CDU",UPPER($E607)),999),IFERROR(FIND("BULK",UPPER($E607)),999),IFERROR(FIND("-",$E607),999),IFERROR(FIND("（",$E607),999))-1))=AL$1,$F607,""))</f>
        <v/>
      </c>
      <c r="AM607" s="418" t="str">
        <f t="shared" ref="AM607:AM638" si="735">IF(OR($E607="",AM$1=""),"",IF(TRIM(LEFT($E607,MIN(IFERROR(FIND("CDU",UPPER($E607)),999),IFERROR(FIND("BULK",UPPER($E607)),999),IFERROR(FIND("-",$E607),999),IFERROR(FIND("（",$E607),999))-1))=AM$1,$F607,""))</f>
        <v/>
      </c>
      <c r="AN607" s="418" t="str">
        <f t="shared" ref="AN607:AN638" si="736">IF(OR($E607="",AN$1=""),"",IF(TRIM(LEFT($E607,MIN(IFERROR(FIND("CDU",UPPER($E607)),999),IFERROR(FIND("BULK",UPPER($E607)),999),IFERROR(FIND("-",$E607),999),IFERROR(FIND("（",$E607),999))-1))=AN$1,$F607,""))</f>
        <v/>
      </c>
      <c r="AO607" s="418" t="str">
        <f t="shared" ref="AO607:AO638" si="737">IF(OR($E607="",AO$1=""),"",IF(TRIM(LEFT($E607,MIN(IFERROR(FIND("CDU",UPPER($E607)),999),IFERROR(FIND("BULK",UPPER($E607)),999),IFERROR(FIND("-",$E607),999),IFERROR(FIND("（",$E607),999))-1))=AO$1,$F607,""))</f>
        <v/>
      </c>
      <c r="AP607" s="418" t="str">
        <f t="shared" ref="AP607:AP638" si="738">IF(OR($E607="",AP$1=""),"",IF(TRIM(LEFT($E607,MIN(IFERROR(FIND("CDU",UPPER($E607)),999),IFERROR(FIND("BULK",UPPER($E607)),999),IFERROR(FIND("-",$E607),999),IFERROR(FIND("（",$E607),999))-1))=AP$1,$F607,""))</f>
        <v/>
      </c>
      <c r="AQ607" s="418" t="str">
        <f t="shared" ref="AQ607:AQ638" si="739">IF(OR($E607="",AQ$1=""),"",IF(TRIM(LEFT($E607,MIN(IFERROR(FIND("CDU",UPPER($E607)),999),IFERROR(FIND("BULK",UPPER($E607)),999),IFERROR(FIND("-",$E607),999),IFERROR(FIND("（",$E607),999))-1))=AQ$1,$F607,""))</f>
        <v/>
      </c>
      <c r="AR607" s="418" t="str">
        <f t="shared" ref="AR607:AR638" si="740">IF(OR($E607="",AR$1=""),"",IF(TRIM(LEFT($E607,MIN(IFERROR(FIND("CDU",UPPER($E607)),999),IFERROR(FIND("BULK",UPPER($E607)),999),IFERROR(FIND("-",$E607),999),IFERROR(FIND("（",$E607),999))-1))=AR$1,$F607,""))</f>
        <v/>
      </c>
      <c r="AS607" s="418" t="str">
        <f t="shared" ref="AS607:AS638" si="741">IF(OR($E607="",AS$1=""),"",IF(TRIM(LEFT($E607,MIN(IFERROR(FIND("CDU",UPPER($E607)),999),IFERROR(FIND("BULK",UPPER($E607)),999),IFERROR(FIND("-",$E607),999),IFERROR(FIND("（",$E607),999))-1))=AS$1,$F607,""))</f>
        <v/>
      </c>
      <c r="AT607" s="418" t="str">
        <f t="shared" ref="AT607:AT638" si="742">IF(OR($E607="",AT$1=""),"",IF(TRIM(LEFT($E607,MIN(IFERROR(FIND("CDU",UPPER($E607)),999),IFERROR(FIND("BULK",UPPER($E607)),999),IFERROR(FIND("-",$E607),999),IFERROR(FIND("（",$E607),999))-1))=AT$1,$F607,""))</f>
        <v/>
      </c>
      <c r="AU607" s="418" t="str">
        <f t="shared" ref="AU607:AU638" si="743">IF(OR($E607="",AU$1=""),"",IF(TRIM(LEFT($E607,MIN(IFERROR(FIND("CDU",UPPER($E607)),999),IFERROR(FIND("BULK",UPPER($E607)),999),IFERROR(FIND("-",$E607),999),IFERROR(FIND("（",$E607),999))-1))=AU$1,$F607,""))</f>
        <v/>
      </c>
      <c r="AV607" s="418" t="str">
        <f t="shared" ref="AV607:AV638" si="744">IF(OR($E607="",AV$1=""),"",IF(TRIM(LEFT($E607,MIN(IFERROR(FIND("CDU",UPPER($E607)),999),IFERROR(FIND("BULK",UPPER($E607)),999),IFERROR(FIND("-",$E607),999),IFERROR(FIND("（",$E607),999))-1))=AV$1,$F607,""))</f>
        <v/>
      </c>
      <c r="AW607" s="418" t="str">
        <f t="shared" ref="AW607:AW638" si="745">IF(OR($E607="",AW$1=""),"",IF(TRIM(LEFT($E607,MIN(IFERROR(FIND("CDU",UPPER($E607)),999),IFERROR(FIND("BULK",UPPER($E607)),999),IFERROR(FIND("-",$E607),999),IFERROR(FIND("（",$E607),999))-1))=AW$1,$F607,""))</f>
        <v/>
      </c>
      <c r="AX607" s="418" t="str">
        <f t="shared" ref="AX607:AX638" si="746">IF(OR($E607="",AX$1=""),"",IF(TRIM(LEFT($E607,MIN(IFERROR(FIND("CDU",UPPER($E607)),999),IFERROR(FIND("BULK",UPPER($E607)),999),IFERROR(FIND("-",$E607),999),IFERROR(FIND("（",$E607),999))-1))=AX$1,$F607,""))</f>
        <v/>
      </c>
      <c r="AY607" s="418" t="str">
        <f t="shared" ref="AY607:AY638" si="747">IF(OR($E607="",AY$1=""),"",IF(TRIM(LEFT($E607,MIN(IFERROR(FIND("CDU",UPPER($E607)),999),IFERROR(FIND("BULK",UPPER($E607)),999),IFERROR(FIND("-",$E607),999),IFERROR(FIND("（",$E607),999))-1))=AY$1,$F607,""))</f>
        <v/>
      </c>
      <c r="AZ607" s="418" t="str">
        <f t="shared" ref="AZ607:AZ638" si="748">IF(OR($E607="",AZ$1=""),"",IF(TRIM(LEFT($E607,MIN(IFERROR(FIND("CDU",UPPER($E607)),999),IFERROR(FIND("BULK",UPPER($E607)),999),IFERROR(FIND("-",$E607),999),IFERROR(FIND("（",$E607),999))-1))=AZ$1,$F607,""))</f>
        <v/>
      </c>
      <c r="BA607" s="418" t="str">
        <f t="shared" ref="BA607:BA638" si="749">IF(OR($E607="",BA$1=""),"",IF(TRIM(LEFT($E607,MIN(IFERROR(FIND("CDU",UPPER($E607)),999),IFERROR(FIND("BULK",UPPER($E607)),999),IFERROR(FIND("-",$E607),999),IFERROR(FIND("（",$E607),999))-1))=BA$1,$F607,""))</f>
        <v/>
      </c>
      <c r="BB607" s="418" t="str">
        <f t="shared" ref="BB607:BB638" si="750">IF(OR($E607="",BB$1=""),"",IF(TRIM(LEFT($E607,MIN(IFERROR(FIND("CDU",UPPER($E607)),999),IFERROR(FIND("BULK",UPPER($E607)),999),IFERROR(FIND("-",$E607),999),IFERROR(FIND("（",$E607),999))-1))=BB$1,$F607,""))</f>
        <v/>
      </c>
      <c r="BC607" s="418" t="str">
        <f t="shared" ref="BC607:BC638" si="751">IF(OR($E607="",BC$1=""),"",IF(TRIM(LEFT($E607,MIN(IFERROR(FIND("CDU",UPPER($E607)),999),IFERROR(FIND("BULK",UPPER($E607)),999),IFERROR(FIND("-",$E607),999),IFERROR(FIND("（",$E607),999))-1))=BC$1,$F607,""))</f>
        <v/>
      </c>
      <c r="BD607" s="418" t="str">
        <f t="shared" ref="BD607:BD638" si="752">IF(OR($E607="",BD$1=""),"",IF(TRIM(LEFT($E607,MIN(IFERROR(FIND("CDU",UPPER($E607)),999),IFERROR(FIND("BULK",UPPER($E607)),999),IFERROR(FIND("-",$E607),999),IFERROR(FIND("（",$E607),999))-1))=BD$1,$F607,""))</f>
        <v/>
      </c>
      <c r="BE607" s="418" t="str">
        <f t="shared" ref="BE607:BE638" si="753">IF(OR($E607="",BE$1=""),"",IF(TRIM(LEFT($E607,MIN(IFERROR(FIND("CDU",UPPER($E607)),999),IFERROR(FIND("BULK",UPPER($E607)),999),IFERROR(FIND("-",$E607),999),IFERROR(FIND("（",$E607),999))-1))=BE$1,$F607,""))</f>
        <v/>
      </c>
      <c r="BF607" s="418" t="str">
        <f t="shared" ref="BF607:BF638" si="754">IF(OR($E607="",BF$1=""),"",IF(TRIM(LEFT($E607,MIN(IFERROR(FIND("CDU",UPPER($E607)),999),IFERROR(FIND("BULK",UPPER($E607)),999),IFERROR(FIND("-",$E607),999),IFERROR(FIND("（",$E607),999))-1))=BF$1,$F607,""))</f>
        <v/>
      </c>
      <c r="BG607" s="418">
        <f t="shared" ref="BG607:BG638" si="755">IF(OR($E607="",BG$1=""),"",IF(TRIM(LEFT($E607,MIN(IFERROR(FIND("CDU",UPPER($E607)),999),IFERROR(FIND("BULK",UPPER($E607)),999),IFERROR(FIND("-",$E607),999),IFERROR(FIND("（",$E607),999))-1))=BG$1,$F607,""))</f>
        <v>990</v>
      </c>
      <c r="BH607" s="418" t="str">
        <f t="shared" ref="BH607:BH638" si="756">IF(OR($E607="",BH$1=""),"",IF(TRIM(LEFT($E607,MIN(IFERROR(FIND("CDU",UPPER($E607)),999),IFERROR(FIND("BULK",UPPER($E607)),999),IFERROR(FIND("-",$E607),999),IFERROR(FIND("（",$E607),999))-1))=BH$1,$F607,""))</f>
        <v/>
      </c>
      <c r="BI607" s="418" t="str">
        <f t="shared" ref="BI607:BI638" si="757">IF(OR($E607="",BI$1=""),"",IF(TRIM(LEFT($E607,MIN(IFERROR(FIND("CDU",UPPER($E607)),999),IFERROR(FIND("BULK",UPPER($E607)),999),IFERROR(FIND("-",$E607),999),IFERROR(FIND("（",$E607),999))-1))=BI$1,$F607,""))</f>
        <v/>
      </c>
      <c r="BJ607" s="418" t="str">
        <f t="shared" ref="BJ607:BJ638" si="758">IF(OR($E607="",BJ$1=""),"",IF(TRIM(LEFT($E607,MIN(IFERROR(FIND("CDU",UPPER($E607)),999),IFERROR(FIND("BULK",UPPER($E607)),999),IFERROR(FIND("-",$E607),999),IFERROR(FIND("（",$E607),999))-1))=BJ$1,$F607,""))</f>
        <v/>
      </c>
      <c r="BK607" s="418" t="str">
        <f t="shared" ref="BK607:BS607" si="759">IF(OR($E607="",BK$1=""),"",IF(TRIM(LEFT($E607,MIN(IFERROR(FIND("CDU",UPPER($E607)),999),IFERROR(FIND("BULK",UPPER($E607)),999),IFERROR(FIND("-",$E607),999),IFERROR(FIND("（",$E607),999))-1))=BK$1,$F607,""))</f>
        <v/>
      </c>
      <c r="BL607" s="418" t="str">
        <f t="shared" si="759"/>
        <v/>
      </c>
      <c r="BM607" s="418" t="str">
        <f t="shared" si="759"/>
        <v/>
      </c>
      <c r="BN607" s="418" t="str">
        <f t="shared" si="759"/>
        <v/>
      </c>
      <c r="BO607" s="418" t="str">
        <f t="shared" si="759"/>
        <v/>
      </c>
      <c r="BP607" s="418" t="str">
        <f t="shared" si="759"/>
        <v/>
      </c>
      <c r="BQ607" s="418" t="str">
        <f t="shared" si="759"/>
        <v/>
      </c>
      <c r="BR607" s="418" t="str">
        <f t="shared" si="759"/>
        <v/>
      </c>
      <c r="BS607" s="418" t="str">
        <f t="shared" si="759"/>
        <v/>
      </c>
      <c r="BT607" s="418" t="str">
        <f t="shared" ref="BT607:BT638" si="760">IF(OR($E607="",BT$1=""),"",IF(TRIM(LEFT($E607,MIN(IFERROR(FIND("CDU",UPPER($E607)),999),IFERROR(FIND("BULK",UPPER($E607)),999),IFERROR(FIND("-",$E607),999),IFERROR(FIND("（",$E607),999))-1))=BT$1,$F607,""))</f>
        <v/>
      </c>
      <c r="BU607" s="418" t="str">
        <f t="shared" ref="BU607:BU638" si="761">IF(OR($E607="",BU$1=""),"",IF(TRIM(LEFT($E607,MIN(IFERROR(FIND("CDU",UPPER($E607)),999),IFERROR(FIND("BULK",UPPER($E607)),999),IFERROR(FIND("-",$E607),999),IFERROR(FIND("（",$E607),999))-1))=BU$1,$F607,""))</f>
        <v/>
      </c>
      <c r="BV607" s="544">
        <v>1.2</v>
      </c>
      <c r="BW607" s="723">
        <f t="shared" ref="BW607:BW638" si="762">SUM(I607:BU607)*BV607</f>
        <v>1188</v>
      </c>
      <c r="BX607" s="724">
        <f t="shared" ref="BX607:BX638" si="763">BW607*7.75</f>
        <v>9207</v>
      </c>
      <c r="BY607" s="725" t="str">
        <f t="shared" ref="BY607:BY638" si="764">MID(E607,1,2)</f>
        <v>JC</v>
      </c>
    </row>
    <row r="608" s="697" customFormat="1" customHeight="1" spans="1:77">
      <c r="A608" s="116">
        <v>46139</v>
      </c>
      <c r="B608" s="116">
        <v>46200</v>
      </c>
      <c r="C608" s="418" t="s">
        <v>785</v>
      </c>
      <c r="D608" s="418" t="s">
        <v>786</v>
      </c>
      <c r="E608" s="418" t="s">
        <v>131</v>
      </c>
      <c r="F608" s="737">
        <f t="shared" si="703"/>
        <v>990</v>
      </c>
      <c r="G608" s="418" t="s">
        <v>341</v>
      </c>
      <c r="H608" s="118" t="str">
        <f>IFERROR(VLOOKUP(E608,名称!A:E,4,0),"")</f>
        <v>蛋糕</v>
      </c>
      <c r="I608" s="418" t="str">
        <f t="shared" si="705"/>
        <v/>
      </c>
      <c r="J608" s="418" t="str">
        <f t="shared" si="706"/>
        <v/>
      </c>
      <c r="K608" s="418" t="str">
        <f t="shared" si="707"/>
        <v/>
      </c>
      <c r="L608" s="418" t="str">
        <f t="shared" si="708"/>
        <v/>
      </c>
      <c r="M608" s="418" t="str">
        <f t="shared" si="709"/>
        <v/>
      </c>
      <c r="N608" s="418" t="str">
        <f t="shared" si="710"/>
        <v/>
      </c>
      <c r="O608" s="418" t="str">
        <f t="shared" si="711"/>
        <v/>
      </c>
      <c r="P608" s="418" t="str">
        <f t="shared" si="712"/>
        <v/>
      </c>
      <c r="Q608" s="418" t="str">
        <f t="shared" si="713"/>
        <v/>
      </c>
      <c r="R608" s="418" t="str">
        <f t="shared" si="714"/>
        <v/>
      </c>
      <c r="S608" s="418" t="str">
        <f t="shared" si="715"/>
        <v/>
      </c>
      <c r="T608" s="418" t="str">
        <f t="shared" si="716"/>
        <v/>
      </c>
      <c r="U608" s="418" t="str">
        <f t="shared" si="717"/>
        <v/>
      </c>
      <c r="V608" s="418" t="str">
        <f t="shared" si="718"/>
        <v/>
      </c>
      <c r="W608" s="418" t="str">
        <f t="shared" si="719"/>
        <v/>
      </c>
      <c r="X608" s="418" t="str">
        <f t="shared" si="720"/>
        <v/>
      </c>
      <c r="Y608" s="418" t="str">
        <f t="shared" si="721"/>
        <v/>
      </c>
      <c r="Z608" s="418" t="str">
        <f t="shared" si="722"/>
        <v/>
      </c>
      <c r="AA608" s="418" t="str">
        <f t="shared" si="723"/>
        <v/>
      </c>
      <c r="AB608" s="418" t="str">
        <f t="shared" si="724"/>
        <v/>
      </c>
      <c r="AC608" s="418" t="str">
        <f t="shared" si="725"/>
        <v/>
      </c>
      <c r="AD608" s="418" t="str">
        <f t="shared" si="726"/>
        <v/>
      </c>
      <c r="AE608" s="418" t="str">
        <f t="shared" si="727"/>
        <v/>
      </c>
      <c r="AF608" s="418" t="str">
        <f t="shared" si="728"/>
        <v/>
      </c>
      <c r="AG608" s="418" t="str">
        <f t="shared" si="729"/>
        <v/>
      </c>
      <c r="AH608" s="418" t="str">
        <f t="shared" si="730"/>
        <v/>
      </c>
      <c r="AI608" s="418" t="str">
        <f t="shared" si="731"/>
        <v/>
      </c>
      <c r="AJ608" s="418" t="str">
        <f t="shared" si="732"/>
        <v/>
      </c>
      <c r="AK608" s="418" t="str">
        <f t="shared" si="733"/>
        <v/>
      </c>
      <c r="AL608" s="418" t="str">
        <f t="shared" si="734"/>
        <v/>
      </c>
      <c r="AM608" s="418" t="str">
        <f t="shared" si="735"/>
        <v/>
      </c>
      <c r="AN608" s="418" t="str">
        <f t="shared" si="736"/>
        <v/>
      </c>
      <c r="AO608" s="418" t="str">
        <f t="shared" si="737"/>
        <v/>
      </c>
      <c r="AP608" s="418" t="str">
        <f t="shared" si="738"/>
        <v/>
      </c>
      <c r="AQ608" s="418" t="str">
        <f t="shared" si="739"/>
        <v/>
      </c>
      <c r="AR608" s="418" t="str">
        <f t="shared" si="740"/>
        <v/>
      </c>
      <c r="AS608" s="418" t="str">
        <f t="shared" si="741"/>
        <v/>
      </c>
      <c r="AT608" s="418" t="str">
        <f t="shared" si="742"/>
        <v/>
      </c>
      <c r="AU608" s="418" t="str">
        <f t="shared" si="743"/>
        <v/>
      </c>
      <c r="AV608" s="418" t="str">
        <f t="shared" si="744"/>
        <v/>
      </c>
      <c r="AW608" s="418" t="str">
        <f t="shared" si="745"/>
        <v/>
      </c>
      <c r="AX608" s="418" t="str">
        <f t="shared" si="746"/>
        <v/>
      </c>
      <c r="AY608" s="418" t="str">
        <f t="shared" si="747"/>
        <v/>
      </c>
      <c r="AZ608" s="418" t="str">
        <f t="shared" si="748"/>
        <v/>
      </c>
      <c r="BA608" s="418" t="str">
        <f t="shared" si="749"/>
        <v/>
      </c>
      <c r="BB608" s="418" t="str">
        <f t="shared" si="750"/>
        <v/>
      </c>
      <c r="BC608" s="418" t="str">
        <f t="shared" si="751"/>
        <v/>
      </c>
      <c r="BD608" s="418" t="str">
        <f t="shared" si="752"/>
        <v/>
      </c>
      <c r="BE608" s="418" t="str">
        <f t="shared" si="753"/>
        <v/>
      </c>
      <c r="BF608" s="418" t="str">
        <f t="shared" si="754"/>
        <v/>
      </c>
      <c r="BG608" s="418">
        <f t="shared" si="755"/>
        <v>990</v>
      </c>
      <c r="BH608" s="418" t="str">
        <f t="shared" si="756"/>
        <v/>
      </c>
      <c r="BI608" s="418" t="str">
        <f t="shared" si="757"/>
        <v/>
      </c>
      <c r="BJ608" s="418" t="str">
        <f t="shared" si="758"/>
        <v/>
      </c>
      <c r="BK608" s="418" t="str">
        <f t="shared" ref="BK608:BS608" si="765">IF(OR($E608="",BK$1=""),"",IF(TRIM(LEFT($E608,MIN(IFERROR(FIND("CDU",UPPER($E608)),999),IFERROR(FIND("BULK",UPPER($E608)),999),IFERROR(FIND("-",$E608),999),IFERROR(FIND("（",$E608),999))-1))=BK$1,$F608,""))</f>
        <v/>
      </c>
      <c r="BL608" s="418" t="str">
        <f t="shared" si="765"/>
        <v/>
      </c>
      <c r="BM608" s="418" t="str">
        <f t="shared" si="765"/>
        <v/>
      </c>
      <c r="BN608" s="418" t="str">
        <f t="shared" si="765"/>
        <v/>
      </c>
      <c r="BO608" s="418" t="str">
        <f t="shared" si="765"/>
        <v/>
      </c>
      <c r="BP608" s="418" t="str">
        <f t="shared" si="765"/>
        <v/>
      </c>
      <c r="BQ608" s="418" t="str">
        <f t="shared" si="765"/>
        <v/>
      </c>
      <c r="BR608" s="418" t="str">
        <f t="shared" si="765"/>
        <v/>
      </c>
      <c r="BS608" s="418" t="str">
        <f t="shared" si="765"/>
        <v/>
      </c>
      <c r="BT608" s="418" t="str">
        <f t="shared" si="760"/>
        <v/>
      </c>
      <c r="BU608" s="418" t="str">
        <f t="shared" si="761"/>
        <v/>
      </c>
      <c r="BV608" s="544">
        <v>1.2</v>
      </c>
      <c r="BW608" s="723">
        <f t="shared" si="762"/>
        <v>1188</v>
      </c>
      <c r="BX608" s="724">
        <f t="shared" si="763"/>
        <v>9207</v>
      </c>
      <c r="BY608" s="725" t="str">
        <f t="shared" si="764"/>
        <v>JC</v>
      </c>
    </row>
    <row r="609" s="697" customFormat="1" customHeight="1" spans="1:77">
      <c r="A609" s="116">
        <v>46139</v>
      </c>
      <c r="B609" s="116">
        <v>46200</v>
      </c>
      <c r="C609" s="418" t="s">
        <v>785</v>
      </c>
      <c r="D609" s="418" t="s">
        <v>786</v>
      </c>
      <c r="E609" s="418" t="s">
        <v>155</v>
      </c>
      <c r="F609" s="121">
        <f t="shared" ref="F609:F611" si="766">2016+9</f>
        <v>2025</v>
      </c>
      <c r="G609" s="418" t="s">
        <v>341</v>
      </c>
      <c r="H609" s="118" t="str">
        <f>IFERROR(VLOOKUP(E609,名称!A:E,4,0),"")</f>
        <v>三代</v>
      </c>
      <c r="I609" s="418" t="str">
        <f t="shared" si="705"/>
        <v/>
      </c>
      <c r="J609" s="418" t="str">
        <f t="shared" si="706"/>
        <v/>
      </c>
      <c r="K609" s="418" t="str">
        <f t="shared" si="707"/>
        <v/>
      </c>
      <c r="L609" s="418" t="str">
        <f t="shared" si="708"/>
        <v/>
      </c>
      <c r="M609" s="418" t="str">
        <f t="shared" si="709"/>
        <v/>
      </c>
      <c r="N609" s="418" t="str">
        <f t="shared" si="710"/>
        <v/>
      </c>
      <c r="O609" s="418" t="str">
        <f t="shared" si="711"/>
        <v/>
      </c>
      <c r="P609" s="418" t="str">
        <f t="shared" si="712"/>
        <v/>
      </c>
      <c r="Q609" s="418" t="str">
        <f t="shared" si="713"/>
        <v/>
      </c>
      <c r="R609" s="418" t="str">
        <f t="shared" si="714"/>
        <v/>
      </c>
      <c r="S609" s="418" t="str">
        <f t="shared" si="715"/>
        <v/>
      </c>
      <c r="T609" s="418" t="str">
        <f t="shared" si="716"/>
        <v/>
      </c>
      <c r="U609" s="418" t="str">
        <f t="shared" si="717"/>
        <v/>
      </c>
      <c r="V609" s="418" t="str">
        <f t="shared" si="718"/>
        <v/>
      </c>
      <c r="W609" s="418" t="str">
        <f t="shared" si="719"/>
        <v/>
      </c>
      <c r="X609" s="418" t="str">
        <f t="shared" si="720"/>
        <v/>
      </c>
      <c r="Y609" s="418" t="str">
        <f t="shared" si="721"/>
        <v/>
      </c>
      <c r="Z609" s="418" t="str">
        <f t="shared" si="722"/>
        <v/>
      </c>
      <c r="AA609" s="418" t="str">
        <f t="shared" si="723"/>
        <v/>
      </c>
      <c r="AB609" s="418" t="str">
        <f t="shared" si="724"/>
        <v/>
      </c>
      <c r="AC609" s="418" t="str">
        <f t="shared" si="725"/>
        <v/>
      </c>
      <c r="AD609" s="418" t="str">
        <f t="shared" si="726"/>
        <v/>
      </c>
      <c r="AE609" s="418" t="str">
        <f t="shared" si="727"/>
        <v/>
      </c>
      <c r="AF609" s="418" t="str">
        <f t="shared" si="728"/>
        <v/>
      </c>
      <c r="AG609" s="418" t="str">
        <f t="shared" si="729"/>
        <v/>
      </c>
      <c r="AH609" s="418" t="str">
        <f t="shared" si="730"/>
        <v/>
      </c>
      <c r="AI609" s="418" t="str">
        <f t="shared" si="731"/>
        <v/>
      </c>
      <c r="AJ609" s="418" t="str">
        <f t="shared" si="732"/>
        <v/>
      </c>
      <c r="AK609" s="418" t="str">
        <f t="shared" si="733"/>
        <v/>
      </c>
      <c r="AL609" s="418" t="str">
        <f t="shared" si="734"/>
        <v/>
      </c>
      <c r="AM609" s="418" t="str">
        <f t="shared" si="735"/>
        <v/>
      </c>
      <c r="AN609" s="418">
        <f t="shared" si="736"/>
        <v>2025</v>
      </c>
      <c r="AO609" s="418" t="str">
        <f t="shared" si="737"/>
        <v/>
      </c>
      <c r="AP609" s="418" t="str">
        <f t="shared" si="738"/>
        <v/>
      </c>
      <c r="AQ609" s="418" t="str">
        <f t="shared" si="739"/>
        <v/>
      </c>
      <c r="AR609" s="418" t="str">
        <f t="shared" si="740"/>
        <v/>
      </c>
      <c r="AS609" s="418" t="str">
        <f t="shared" si="741"/>
        <v/>
      </c>
      <c r="AT609" s="418" t="str">
        <f t="shared" si="742"/>
        <v/>
      </c>
      <c r="AU609" s="418" t="str">
        <f t="shared" si="743"/>
        <v/>
      </c>
      <c r="AV609" s="418" t="str">
        <f t="shared" si="744"/>
        <v/>
      </c>
      <c r="AW609" s="418" t="str">
        <f t="shared" si="745"/>
        <v/>
      </c>
      <c r="AX609" s="418" t="str">
        <f t="shared" si="746"/>
        <v/>
      </c>
      <c r="AY609" s="418" t="str">
        <f t="shared" si="747"/>
        <v/>
      </c>
      <c r="AZ609" s="418" t="str">
        <f t="shared" si="748"/>
        <v/>
      </c>
      <c r="BA609" s="418" t="str">
        <f t="shared" si="749"/>
        <v/>
      </c>
      <c r="BB609" s="418" t="str">
        <f t="shared" si="750"/>
        <v/>
      </c>
      <c r="BC609" s="418" t="str">
        <f t="shared" si="751"/>
        <v/>
      </c>
      <c r="BD609" s="418" t="str">
        <f t="shared" si="752"/>
        <v/>
      </c>
      <c r="BE609" s="418" t="str">
        <f t="shared" si="753"/>
        <v/>
      </c>
      <c r="BF609" s="418" t="str">
        <f t="shared" si="754"/>
        <v/>
      </c>
      <c r="BG609" s="418" t="str">
        <f t="shared" si="755"/>
        <v/>
      </c>
      <c r="BH609" s="418" t="str">
        <f t="shared" si="756"/>
        <v/>
      </c>
      <c r="BI609" s="418" t="str">
        <f t="shared" si="757"/>
        <v/>
      </c>
      <c r="BJ609" s="418" t="str">
        <f t="shared" si="758"/>
        <v/>
      </c>
      <c r="BK609" s="418" t="str">
        <f t="shared" ref="BK609:BS609" si="767">IF(OR($E609="",BK$1=""),"",IF(TRIM(LEFT($E609,MIN(IFERROR(FIND("CDU",UPPER($E609)),999),IFERROR(FIND("BULK",UPPER($E609)),999),IFERROR(FIND("-",$E609),999),IFERROR(FIND("（",$E609),999))-1))=BK$1,$F609,""))</f>
        <v/>
      </c>
      <c r="BL609" s="418" t="str">
        <f t="shared" si="767"/>
        <v/>
      </c>
      <c r="BM609" s="418" t="str">
        <f t="shared" si="767"/>
        <v/>
      </c>
      <c r="BN609" s="418" t="str">
        <f t="shared" si="767"/>
        <v/>
      </c>
      <c r="BO609" s="418" t="str">
        <f t="shared" si="767"/>
        <v/>
      </c>
      <c r="BP609" s="418" t="str">
        <f t="shared" si="767"/>
        <v/>
      </c>
      <c r="BQ609" s="418" t="str">
        <f t="shared" si="767"/>
        <v/>
      </c>
      <c r="BR609" s="418" t="str">
        <f t="shared" si="767"/>
        <v/>
      </c>
      <c r="BS609" s="418" t="str">
        <f t="shared" si="767"/>
        <v/>
      </c>
      <c r="BT609" s="418" t="str">
        <f t="shared" si="760"/>
        <v/>
      </c>
      <c r="BU609" s="418" t="str">
        <f t="shared" si="761"/>
        <v/>
      </c>
      <c r="BV609" s="544">
        <v>0.83</v>
      </c>
      <c r="BW609" s="723">
        <f t="shared" si="762"/>
        <v>1680.75</v>
      </c>
      <c r="BX609" s="724">
        <f t="shared" si="763"/>
        <v>13025.81</v>
      </c>
      <c r="BY609" s="725" t="str">
        <f t="shared" si="764"/>
        <v>SR</v>
      </c>
    </row>
    <row r="610" s="697" customFormat="1" customHeight="1" spans="1:77">
      <c r="A610" s="116">
        <v>46139</v>
      </c>
      <c r="B610" s="116">
        <v>46200</v>
      </c>
      <c r="C610" s="418" t="s">
        <v>785</v>
      </c>
      <c r="D610" s="418" t="s">
        <v>786</v>
      </c>
      <c r="E610" s="418" t="s">
        <v>156</v>
      </c>
      <c r="F610" s="96">
        <f t="shared" si="766"/>
        <v>2025</v>
      </c>
      <c r="G610" s="418" t="s">
        <v>341</v>
      </c>
      <c r="H610" s="118" t="str">
        <f>IFERROR(VLOOKUP(E610,名称!A:E,4,0),"")</f>
        <v>三代</v>
      </c>
      <c r="I610" s="418" t="str">
        <f t="shared" si="705"/>
        <v/>
      </c>
      <c r="J610" s="418" t="str">
        <f t="shared" si="706"/>
        <v/>
      </c>
      <c r="K610" s="418" t="str">
        <f t="shared" si="707"/>
        <v/>
      </c>
      <c r="L610" s="418" t="str">
        <f t="shared" si="708"/>
        <v/>
      </c>
      <c r="M610" s="418" t="str">
        <f t="shared" si="709"/>
        <v/>
      </c>
      <c r="N610" s="418" t="str">
        <f t="shared" si="710"/>
        <v/>
      </c>
      <c r="O610" s="418" t="str">
        <f t="shared" si="711"/>
        <v/>
      </c>
      <c r="P610" s="418" t="str">
        <f t="shared" si="712"/>
        <v/>
      </c>
      <c r="Q610" s="418" t="str">
        <f t="shared" si="713"/>
        <v/>
      </c>
      <c r="R610" s="418" t="str">
        <f t="shared" si="714"/>
        <v/>
      </c>
      <c r="S610" s="418" t="str">
        <f t="shared" si="715"/>
        <v/>
      </c>
      <c r="T610" s="418" t="str">
        <f t="shared" si="716"/>
        <v/>
      </c>
      <c r="U610" s="418" t="str">
        <f t="shared" si="717"/>
        <v/>
      </c>
      <c r="V610" s="418" t="str">
        <f t="shared" si="718"/>
        <v/>
      </c>
      <c r="W610" s="418" t="str">
        <f t="shared" si="719"/>
        <v/>
      </c>
      <c r="X610" s="418" t="str">
        <f t="shared" si="720"/>
        <v/>
      </c>
      <c r="Y610" s="418" t="str">
        <f t="shared" si="721"/>
        <v/>
      </c>
      <c r="Z610" s="418" t="str">
        <f t="shared" si="722"/>
        <v/>
      </c>
      <c r="AA610" s="418" t="str">
        <f t="shared" si="723"/>
        <v/>
      </c>
      <c r="AB610" s="418" t="str">
        <f t="shared" si="724"/>
        <v/>
      </c>
      <c r="AC610" s="418" t="str">
        <f t="shared" si="725"/>
        <v/>
      </c>
      <c r="AD610" s="418" t="str">
        <f t="shared" si="726"/>
        <v/>
      </c>
      <c r="AE610" s="418" t="str">
        <f t="shared" si="727"/>
        <v/>
      </c>
      <c r="AF610" s="418" t="str">
        <f t="shared" si="728"/>
        <v/>
      </c>
      <c r="AG610" s="418" t="str">
        <f t="shared" si="729"/>
        <v/>
      </c>
      <c r="AH610" s="418" t="str">
        <f t="shared" si="730"/>
        <v/>
      </c>
      <c r="AI610" s="418" t="str">
        <f t="shared" si="731"/>
        <v/>
      </c>
      <c r="AJ610" s="418" t="str">
        <f t="shared" si="732"/>
        <v/>
      </c>
      <c r="AK610" s="418" t="str">
        <f t="shared" si="733"/>
        <v/>
      </c>
      <c r="AL610" s="418" t="str">
        <f t="shared" si="734"/>
        <v/>
      </c>
      <c r="AM610" s="418" t="str">
        <f t="shared" si="735"/>
        <v/>
      </c>
      <c r="AN610" s="418">
        <f t="shared" si="736"/>
        <v>2025</v>
      </c>
      <c r="AO610" s="418" t="str">
        <f t="shared" si="737"/>
        <v/>
      </c>
      <c r="AP610" s="418" t="str">
        <f t="shared" si="738"/>
        <v/>
      </c>
      <c r="AQ610" s="418" t="str">
        <f t="shared" si="739"/>
        <v/>
      </c>
      <c r="AR610" s="418" t="str">
        <f t="shared" si="740"/>
        <v/>
      </c>
      <c r="AS610" s="418" t="str">
        <f t="shared" si="741"/>
        <v/>
      </c>
      <c r="AT610" s="418" t="str">
        <f t="shared" si="742"/>
        <v/>
      </c>
      <c r="AU610" s="418" t="str">
        <f t="shared" si="743"/>
        <v/>
      </c>
      <c r="AV610" s="418" t="str">
        <f t="shared" si="744"/>
        <v/>
      </c>
      <c r="AW610" s="418" t="str">
        <f t="shared" si="745"/>
        <v/>
      </c>
      <c r="AX610" s="418" t="str">
        <f t="shared" si="746"/>
        <v/>
      </c>
      <c r="AY610" s="418" t="str">
        <f t="shared" si="747"/>
        <v/>
      </c>
      <c r="AZ610" s="418" t="str">
        <f t="shared" si="748"/>
        <v/>
      </c>
      <c r="BA610" s="418" t="str">
        <f t="shared" si="749"/>
        <v/>
      </c>
      <c r="BB610" s="418" t="str">
        <f t="shared" si="750"/>
        <v/>
      </c>
      <c r="BC610" s="418" t="str">
        <f t="shared" si="751"/>
        <v/>
      </c>
      <c r="BD610" s="418" t="str">
        <f t="shared" si="752"/>
        <v/>
      </c>
      <c r="BE610" s="418" t="str">
        <f t="shared" si="753"/>
        <v/>
      </c>
      <c r="BF610" s="418" t="str">
        <f t="shared" si="754"/>
        <v/>
      </c>
      <c r="BG610" s="418" t="str">
        <f t="shared" si="755"/>
        <v/>
      </c>
      <c r="BH610" s="418" t="str">
        <f t="shared" si="756"/>
        <v/>
      </c>
      <c r="BI610" s="418" t="str">
        <f t="shared" si="757"/>
        <v/>
      </c>
      <c r="BJ610" s="418" t="str">
        <f t="shared" si="758"/>
        <v/>
      </c>
      <c r="BK610" s="418" t="str">
        <f t="shared" ref="BK610:BS610" si="768">IF(OR($E610="",BK$1=""),"",IF(TRIM(LEFT($E610,MIN(IFERROR(FIND("CDU",UPPER($E610)),999),IFERROR(FIND("BULK",UPPER($E610)),999),IFERROR(FIND("-",$E610),999),IFERROR(FIND("（",$E610),999))-1))=BK$1,$F610,""))</f>
        <v/>
      </c>
      <c r="BL610" s="418" t="str">
        <f t="shared" si="768"/>
        <v/>
      </c>
      <c r="BM610" s="418" t="str">
        <f t="shared" si="768"/>
        <v/>
      </c>
      <c r="BN610" s="418" t="str">
        <f t="shared" si="768"/>
        <v/>
      </c>
      <c r="BO610" s="418" t="str">
        <f t="shared" si="768"/>
        <v/>
      </c>
      <c r="BP610" s="418" t="str">
        <f t="shared" si="768"/>
        <v/>
      </c>
      <c r="BQ610" s="418" t="str">
        <f t="shared" si="768"/>
        <v/>
      </c>
      <c r="BR610" s="418" t="str">
        <f t="shared" si="768"/>
        <v/>
      </c>
      <c r="BS610" s="418" t="str">
        <f t="shared" si="768"/>
        <v/>
      </c>
      <c r="BT610" s="418" t="str">
        <f t="shared" si="760"/>
        <v/>
      </c>
      <c r="BU610" s="418" t="str">
        <f t="shared" si="761"/>
        <v/>
      </c>
      <c r="BV610" s="544">
        <v>0.83</v>
      </c>
      <c r="BW610" s="723">
        <f t="shared" si="762"/>
        <v>1680.75</v>
      </c>
      <c r="BX610" s="724">
        <f t="shared" si="763"/>
        <v>13025.81</v>
      </c>
      <c r="BY610" s="725" t="str">
        <f t="shared" si="764"/>
        <v>SR</v>
      </c>
    </row>
    <row r="611" s="697" customFormat="1" customHeight="1" spans="1:77">
      <c r="A611" s="116">
        <v>46139</v>
      </c>
      <c r="B611" s="116">
        <v>46200</v>
      </c>
      <c r="C611" s="418" t="s">
        <v>785</v>
      </c>
      <c r="D611" s="418" t="s">
        <v>786</v>
      </c>
      <c r="E611" s="418" t="s">
        <v>157</v>
      </c>
      <c r="F611" s="96">
        <f t="shared" si="766"/>
        <v>2025</v>
      </c>
      <c r="G611" s="418" t="s">
        <v>341</v>
      </c>
      <c r="H611" s="118" t="str">
        <f>IFERROR(VLOOKUP(E611,名称!A:E,4,0),"")</f>
        <v>三代</v>
      </c>
      <c r="I611" s="418" t="str">
        <f t="shared" si="705"/>
        <v/>
      </c>
      <c r="J611" s="418" t="str">
        <f t="shared" si="706"/>
        <v/>
      </c>
      <c r="K611" s="418" t="str">
        <f t="shared" si="707"/>
        <v/>
      </c>
      <c r="L611" s="418" t="str">
        <f t="shared" si="708"/>
        <v/>
      </c>
      <c r="M611" s="418" t="str">
        <f t="shared" si="709"/>
        <v/>
      </c>
      <c r="N611" s="418" t="str">
        <f t="shared" si="710"/>
        <v/>
      </c>
      <c r="O611" s="418" t="str">
        <f t="shared" si="711"/>
        <v/>
      </c>
      <c r="P611" s="418" t="str">
        <f t="shared" si="712"/>
        <v/>
      </c>
      <c r="Q611" s="418" t="str">
        <f t="shared" si="713"/>
        <v/>
      </c>
      <c r="R611" s="418" t="str">
        <f t="shared" si="714"/>
        <v/>
      </c>
      <c r="S611" s="418" t="str">
        <f t="shared" si="715"/>
        <v/>
      </c>
      <c r="T611" s="418" t="str">
        <f t="shared" si="716"/>
        <v/>
      </c>
      <c r="U611" s="418" t="str">
        <f t="shared" si="717"/>
        <v/>
      </c>
      <c r="V611" s="418" t="str">
        <f t="shared" si="718"/>
        <v/>
      </c>
      <c r="W611" s="418" t="str">
        <f t="shared" si="719"/>
        <v/>
      </c>
      <c r="X611" s="418" t="str">
        <f t="shared" si="720"/>
        <v/>
      </c>
      <c r="Y611" s="418" t="str">
        <f t="shared" si="721"/>
        <v/>
      </c>
      <c r="Z611" s="418" t="str">
        <f t="shared" si="722"/>
        <v/>
      </c>
      <c r="AA611" s="418" t="str">
        <f t="shared" si="723"/>
        <v/>
      </c>
      <c r="AB611" s="418" t="str">
        <f t="shared" si="724"/>
        <v/>
      </c>
      <c r="AC611" s="418" t="str">
        <f t="shared" si="725"/>
        <v/>
      </c>
      <c r="AD611" s="418" t="str">
        <f t="shared" si="726"/>
        <v/>
      </c>
      <c r="AE611" s="418" t="str">
        <f t="shared" si="727"/>
        <v/>
      </c>
      <c r="AF611" s="418" t="str">
        <f t="shared" si="728"/>
        <v/>
      </c>
      <c r="AG611" s="418" t="str">
        <f t="shared" si="729"/>
        <v/>
      </c>
      <c r="AH611" s="418" t="str">
        <f t="shared" si="730"/>
        <v/>
      </c>
      <c r="AI611" s="418" t="str">
        <f t="shared" si="731"/>
        <v/>
      </c>
      <c r="AJ611" s="418" t="str">
        <f t="shared" si="732"/>
        <v/>
      </c>
      <c r="AK611" s="418" t="str">
        <f t="shared" si="733"/>
        <v/>
      </c>
      <c r="AL611" s="418" t="str">
        <f t="shared" si="734"/>
        <v/>
      </c>
      <c r="AM611" s="418" t="str">
        <f t="shared" si="735"/>
        <v/>
      </c>
      <c r="AN611" s="418">
        <f t="shared" si="736"/>
        <v>2025</v>
      </c>
      <c r="AO611" s="418" t="str">
        <f t="shared" si="737"/>
        <v/>
      </c>
      <c r="AP611" s="418" t="str">
        <f t="shared" si="738"/>
        <v/>
      </c>
      <c r="AQ611" s="418" t="str">
        <f t="shared" si="739"/>
        <v/>
      </c>
      <c r="AR611" s="418" t="str">
        <f t="shared" si="740"/>
        <v/>
      </c>
      <c r="AS611" s="418" t="str">
        <f t="shared" si="741"/>
        <v/>
      </c>
      <c r="AT611" s="418" t="str">
        <f t="shared" si="742"/>
        <v/>
      </c>
      <c r="AU611" s="418" t="str">
        <f t="shared" si="743"/>
        <v/>
      </c>
      <c r="AV611" s="418" t="str">
        <f t="shared" si="744"/>
        <v/>
      </c>
      <c r="AW611" s="418" t="str">
        <f t="shared" si="745"/>
        <v/>
      </c>
      <c r="AX611" s="418" t="str">
        <f t="shared" si="746"/>
        <v/>
      </c>
      <c r="AY611" s="418" t="str">
        <f t="shared" si="747"/>
        <v/>
      </c>
      <c r="AZ611" s="418" t="str">
        <f t="shared" si="748"/>
        <v/>
      </c>
      <c r="BA611" s="418" t="str">
        <f t="shared" si="749"/>
        <v/>
      </c>
      <c r="BB611" s="418" t="str">
        <f t="shared" si="750"/>
        <v/>
      </c>
      <c r="BC611" s="418" t="str">
        <f t="shared" si="751"/>
        <v/>
      </c>
      <c r="BD611" s="418" t="str">
        <f t="shared" si="752"/>
        <v/>
      </c>
      <c r="BE611" s="418" t="str">
        <f t="shared" si="753"/>
        <v/>
      </c>
      <c r="BF611" s="418" t="str">
        <f t="shared" si="754"/>
        <v/>
      </c>
      <c r="BG611" s="418" t="str">
        <f t="shared" si="755"/>
        <v/>
      </c>
      <c r="BH611" s="418" t="str">
        <f t="shared" si="756"/>
        <v/>
      </c>
      <c r="BI611" s="418" t="str">
        <f t="shared" si="757"/>
        <v/>
      </c>
      <c r="BJ611" s="418" t="str">
        <f t="shared" si="758"/>
        <v/>
      </c>
      <c r="BK611" s="418" t="str">
        <f t="shared" ref="BK611:BS611" si="769">IF(OR($E611="",BK$1=""),"",IF(TRIM(LEFT($E611,MIN(IFERROR(FIND("CDU",UPPER($E611)),999),IFERROR(FIND("BULK",UPPER($E611)),999),IFERROR(FIND("-",$E611),999),IFERROR(FIND("（",$E611),999))-1))=BK$1,$F611,""))</f>
        <v/>
      </c>
      <c r="BL611" s="418" t="str">
        <f t="shared" si="769"/>
        <v/>
      </c>
      <c r="BM611" s="418" t="str">
        <f t="shared" si="769"/>
        <v/>
      </c>
      <c r="BN611" s="418" t="str">
        <f t="shared" si="769"/>
        <v/>
      </c>
      <c r="BO611" s="418" t="str">
        <f t="shared" si="769"/>
        <v/>
      </c>
      <c r="BP611" s="418" t="str">
        <f t="shared" si="769"/>
        <v/>
      </c>
      <c r="BQ611" s="418" t="str">
        <f t="shared" si="769"/>
        <v/>
      </c>
      <c r="BR611" s="418" t="str">
        <f t="shared" si="769"/>
        <v/>
      </c>
      <c r="BS611" s="418" t="str">
        <f t="shared" si="769"/>
        <v/>
      </c>
      <c r="BT611" s="418" t="str">
        <f t="shared" si="760"/>
        <v/>
      </c>
      <c r="BU611" s="418" t="str">
        <f t="shared" si="761"/>
        <v/>
      </c>
      <c r="BV611" s="544">
        <v>0.83</v>
      </c>
      <c r="BW611" s="723">
        <f t="shared" si="762"/>
        <v>1680.75</v>
      </c>
      <c r="BX611" s="724">
        <f t="shared" si="763"/>
        <v>13025.81</v>
      </c>
      <c r="BY611" s="725" t="str">
        <f t="shared" si="764"/>
        <v>SR</v>
      </c>
    </row>
    <row r="612" s="697" customFormat="1" customHeight="1" spans="1:77">
      <c r="A612" s="116">
        <v>46139</v>
      </c>
      <c r="B612" s="116">
        <v>46200</v>
      </c>
      <c r="C612" s="418" t="s">
        <v>785</v>
      </c>
      <c r="D612" s="418" t="s">
        <v>786</v>
      </c>
      <c r="E612" s="418" t="s">
        <v>158</v>
      </c>
      <c r="F612" s="121">
        <f>3024-24</f>
        <v>3000</v>
      </c>
      <c r="G612" s="418" t="s">
        <v>341</v>
      </c>
      <c r="H612" s="118" t="str">
        <f>IFERROR(VLOOKUP(E612,名称!A:E,4,0),"")</f>
        <v>三代</v>
      </c>
      <c r="I612" s="418" t="str">
        <f t="shared" si="705"/>
        <v/>
      </c>
      <c r="J612" s="418" t="str">
        <f t="shared" si="706"/>
        <v/>
      </c>
      <c r="K612" s="418" t="str">
        <f t="shared" si="707"/>
        <v/>
      </c>
      <c r="L612" s="418" t="str">
        <f t="shared" si="708"/>
        <v/>
      </c>
      <c r="M612" s="418" t="str">
        <f t="shared" si="709"/>
        <v/>
      </c>
      <c r="N612" s="418" t="str">
        <f t="shared" si="710"/>
        <v/>
      </c>
      <c r="O612" s="418" t="str">
        <f t="shared" si="711"/>
        <v/>
      </c>
      <c r="P612" s="418" t="str">
        <f t="shared" si="712"/>
        <v/>
      </c>
      <c r="Q612" s="418" t="str">
        <f t="shared" si="713"/>
        <v/>
      </c>
      <c r="R612" s="418" t="str">
        <f t="shared" si="714"/>
        <v/>
      </c>
      <c r="S612" s="418" t="str">
        <f t="shared" si="715"/>
        <v/>
      </c>
      <c r="T612" s="418" t="str">
        <f t="shared" si="716"/>
        <v/>
      </c>
      <c r="U612" s="418" t="str">
        <f t="shared" si="717"/>
        <v/>
      </c>
      <c r="V612" s="418" t="str">
        <f t="shared" si="718"/>
        <v/>
      </c>
      <c r="W612" s="418" t="str">
        <f t="shared" si="719"/>
        <v/>
      </c>
      <c r="X612" s="418" t="str">
        <f t="shared" si="720"/>
        <v/>
      </c>
      <c r="Y612" s="418" t="str">
        <f t="shared" si="721"/>
        <v/>
      </c>
      <c r="Z612" s="418" t="str">
        <f t="shared" si="722"/>
        <v/>
      </c>
      <c r="AA612" s="418" t="str">
        <f t="shared" si="723"/>
        <v/>
      </c>
      <c r="AB612" s="418" t="str">
        <f t="shared" si="724"/>
        <v/>
      </c>
      <c r="AC612" s="418" t="str">
        <f t="shared" si="725"/>
        <v/>
      </c>
      <c r="AD612" s="418" t="str">
        <f t="shared" si="726"/>
        <v/>
      </c>
      <c r="AE612" s="418" t="str">
        <f t="shared" si="727"/>
        <v/>
      </c>
      <c r="AF612" s="418" t="str">
        <f t="shared" si="728"/>
        <v/>
      </c>
      <c r="AG612" s="418" t="str">
        <f t="shared" si="729"/>
        <v/>
      </c>
      <c r="AH612" s="418" t="str">
        <f t="shared" si="730"/>
        <v/>
      </c>
      <c r="AI612" s="418" t="str">
        <f t="shared" si="731"/>
        <v/>
      </c>
      <c r="AJ612" s="418" t="str">
        <f t="shared" si="732"/>
        <v/>
      </c>
      <c r="AK612" s="418" t="str">
        <f t="shared" si="733"/>
        <v/>
      </c>
      <c r="AL612" s="418" t="str">
        <f t="shared" si="734"/>
        <v/>
      </c>
      <c r="AM612" s="418" t="str">
        <f t="shared" si="735"/>
        <v/>
      </c>
      <c r="AN612" s="418">
        <f t="shared" si="736"/>
        <v>3000</v>
      </c>
      <c r="AO612" s="418" t="str">
        <f t="shared" si="737"/>
        <v/>
      </c>
      <c r="AP612" s="418" t="str">
        <f t="shared" si="738"/>
        <v/>
      </c>
      <c r="AQ612" s="418" t="str">
        <f t="shared" si="739"/>
        <v/>
      </c>
      <c r="AR612" s="418" t="str">
        <f t="shared" si="740"/>
        <v/>
      </c>
      <c r="AS612" s="418" t="str">
        <f t="shared" si="741"/>
        <v/>
      </c>
      <c r="AT612" s="418" t="str">
        <f t="shared" si="742"/>
        <v/>
      </c>
      <c r="AU612" s="418" t="str">
        <f t="shared" si="743"/>
        <v/>
      </c>
      <c r="AV612" s="418" t="str">
        <f t="shared" si="744"/>
        <v/>
      </c>
      <c r="AW612" s="418" t="str">
        <f t="shared" si="745"/>
        <v/>
      </c>
      <c r="AX612" s="418" t="str">
        <f t="shared" si="746"/>
        <v/>
      </c>
      <c r="AY612" s="418" t="str">
        <f t="shared" si="747"/>
        <v/>
      </c>
      <c r="AZ612" s="418" t="str">
        <f t="shared" si="748"/>
        <v/>
      </c>
      <c r="BA612" s="418" t="str">
        <f t="shared" si="749"/>
        <v/>
      </c>
      <c r="BB612" s="418" t="str">
        <f t="shared" si="750"/>
        <v/>
      </c>
      <c r="BC612" s="418" t="str">
        <f t="shared" si="751"/>
        <v/>
      </c>
      <c r="BD612" s="418" t="str">
        <f t="shared" si="752"/>
        <v/>
      </c>
      <c r="BE612" s="418" t="str">
        <f t="shared" si="753"/>
        <v/>
      </c>
      <c r="BF612" s="418" t="str">
        <f t="shared" si="754"/>
        <v/>
      </c>
      <c r="BG612" s="418" t="str">
        <f t="shared" si="755"/>
        <v/>
      </c>
      <c r="BH612" s="418" t="str">
        <f t="shared" si="756"/>
        <v/>
      </c>
      <c r="BI612" s="418" t="str">
        <f t="shared" si="757"/>
        <v/>
      </c>
      <c r="BJ612" s="418" t="str">
        <f t="shared" si="758"/>
        <v/>
      </c>
      <c r="BK612" s="418" t="str">
        <f t="shared" ref="BK612:BS612" si="770">IF(OR($E612="",BK$1=""),"",IF(TRIM(LEFT($E612,MIN(IFERROR(FIND("CDU",UPPER($E612)),999),IFERROR(FIND("BULK",UPPER($E612)),999),IFERROR(FIND("-",$E612),999),IFERROR(FIND("（",$E612),999))-1))=BK$1,$F612,""))</f>
        <v/>
      </c>
      <c r="BL612" s="418" t="str">
        <f t="shared" si="770"/>
        <v/>
      </c>
      <c r="BM612" s="418" t="str">
        <f t="shared" si="770"/>
        <v/>
      </c>
      <c r="BN612" s="418" t="str">
        <f t="shared" si="770"/>
        <v/>
      </c>
      <c r="BO612" s="418" t="str">
        <f t="shared" si="770"/>
        <v/>
      </c>
      <c r="BP612" s="418" t="str">
        <f t="shared" si="770"/>
        <v/>
      </c>
      <c r="BQ612" s="418" t="str">
        <f t="shared" si="770"/>
        <v/>
      </c>
      <c r="BR612" s="418" t="str">
        <f t="shared" si="770"/>
        <v/>
      </c>
      <c r="BS612" s="418" t="str">
        <f t="shared" si="770"/>
        <v/>
      </c>
      <c r="BT612" s="418" t="str">
        <f t="shared" si="760"/>
        <v/>
      </c>
      <c r="BU612" s="418" t="str">
        <f t="shared" si="761"/>
        <v/>
      </c>
      <c r="BV612" s="544">
        <v>0.83</v>
      </c>
      <c r="BW612" s="723">
        <f t="shared" si="762"/>
        <v>2490</v>
      </c>
      <c r="BX612" s="724">
        <f t="shared" si="763"/>
        <v>19297.5</v>
      </c>
      <c r="BY612" s="725" t="str">
        <f t="shared" si="764"/>
        <v>SR</v>
      </c>
    </row>
    <row r="613" s="697" customFormat="1" customHeight="1" spans="1:77">
      <c r="A613" s="116">
        <v>46139</v>
      </c>
      <c r="B613" s="116">
        <v>46200</v>
      </c>
      <c r="C613" s="418" t="s">
        <v>785</v>
      </c>
      <c r="D613" s="418" t="s">
        <v>786</v>
      </c>
      <c r="E613" s="418" t="s">
        <v>159</v>
      </c>
      <c r="F613" s="121">
        <f>2016+9</f>
        <v>2025</v>
      </c>
      <c r="G613" s="418" t="s">
        <v>341</v>
      </c>
      <c r="H613" s="118" t="str">
        <f>IFERROR(VLOOKUP(E613,名称!A:E,4,0),"")</f>
        <v>三代</v>
      </c>
      <c r="I613" s="418" t="str">
        <f t="shared" si="705"/>
        <v/>
      </c>
      <c r="J613" s="418" t="str">
        <f t="shared" si="706"/>
        <v/>
      </c>
      <c r="K613" s="418" t="str">
        <f t="shared" si="707"/>
        <v/>
      </c>
      <c r="L613" s="418" t="str">
        <f t="shared" si="708"/>
        <v/>
      </c>
      <c r="M613" s="418" t="str">
        <f t="shared" si="709"/>
        <v/>
      </c>
      <c r="N613" s="418" t="str">
        <f t="shared" si="710"/>
        <v/>
      </c>
      <c r="O613" s="418" t="str">
        <f t="shared" si="711"/>
        <v/>
      </c>
      <c r="P613" s="418" t="str">
        <f t="shared" si="712"/>
        <v/>
      </c>
      <c r="Q613" s="418" t="str">
        <f t="shared" si="713"/>
        <v/>
      </c>
      <c r="R613" s="418" t="str">
        <f t="shared" si="714"/>
        <v/>
      </c>
      <c r="S613" s="418" t="str">
        <f t="shared" si="715"/>
        <v/>
      </c>
      <c r="T613" s="418" t="str">
        <f t="shared" si="716"/>
        <v/>
      </c>
      <c r="U613" s="418" t="str">
        <f t="shared" si="717"/>
        <v/>
      </c>
      <c r="V613" s="418" t="str">
        <f t="shared" si="718"/>
        <v/>
      </c>
      <c r="W613" s="418" t="str">
        <f t="shared" si="719"/>
        <v/>
      </c>
      <c r="X613" s="418" t="str">
        <f t="shared" si="720"/>
        <v/>
      </c>
      <c r="Y613" s="418" t="str">
        <f t="shared" si="721"/>
        <v/>
      </c>
      <c r="Z613" s="418" t="str">
        <f t="shared" si="722"/>
        <v/>
      </c>
      <c r="AA613" s="418" t="str">
        <f t="shared" si="723"/>
        <v/>
      </c>
      <c r="AB613" s="418" t="str">
        <f t="shared" si="724"/>
        <v/>
      </c>
      <c r="AC613" s="418" t="str">
        <f t="shared" si="725"/>
        <v/>
      </c>
      <c r="AD613" s="418" t="str">
        <f t="shared" si="726"/>
        <v/>
      </c>
      <c r="AE613" s="418" t="str">
        <f t="shared" si="727"/>
        <v/>
      </c>
      <c r="AF613" s="418" t="str">
        <f t="shared" si="728"/>
        <v/>
      </c>
      <c r="AG613" s="418" t="str">
        <f t="shared" si="729"/>
        <v/>
      </c>
      <c r="AH613" s="418" t="str">
        <f t="shared" si="730"/>
        <v/>
      </c>
      <c r="AI613" s="418" t="str">
        <f t="shared" si="731"/>
        <v/>
      </c>
      <c r="AJ613" s="418" t="str">
        <f t="shared" si="732"/>
        <v/>
      </c>
      <c r="AK613" s="418" t="str">
        <f t="shared" si="733"/>
        <v/>
      </c>
      <c r="AL613" s="418" t="str">
        <f t="shared" si="734"/>
        <v/>
      </c>
      <c r="AM613" s="418" t="str">
        <f t="shared" si="735"/>
        <v/>
      </c>
      <c r="AN613" s="418">
        <f t="shared" si="736"/>
        <v>2025</v>
      </c>
      <c r="AO613" s="418" t="str">
        <f t="shared" si="737"/>
        <v/>
      </c>
      <c r="AP613" s="418" t="str">
        <f t="shared" si="738"/>
        <v/>
      </c>
      <c r="AQ613" s="418" t="str">
        <f t="shared" si="739"/>
        <v/>
      </c>
      <c r="AR613" s="418" t="str">
        <f t="shared" si="740"/>
        <v/>
      </c>
      <c r="AS613" s="418" t="str">
        <f t="shared" si="741"/>
        <v/>
      </c>
      <c r="AT613" s="418" t="str">
        <f t="shared" si="742"/>
        <v/>
      </c>
      <c r="AU613" s="418" t="str">
        <f t="shared" si="743"/>
        <v/>
      </c>
      <c r="AV613" s="418" t="str">
        <f t="shared" si="744"/>
        <v/>
      </c>
      <c r="AW613" s="418" t="str">
        <f t="shared" si="745"/>
        <v/>
      </c>
      <c r="AX613" s="418" t="str">
        <f t="shared" si="746"/>
        <v/>
      </c>
      <c r="AY613" s="418" t="str">
        <f t="shared" si="747"/>
        <v/>
      </c>
      <c r="AZ613" s="418" t="str">
        <f t="shared" si="748"/>
        <v/>
      </c>
      <c r="BA613" s="418" t="str">
        <f t="shared" si="749"/>
        <v/>
      </c>
      <c r="BB613" s="418" t="str">
        <f t="shared" si="750"/>
        <v/>
      </c>
      <c r="BC613" s="418" t="str">
        <f t="shared" si="751"/>
        <v/>
      </c>
      <c r="BD613" s="418" t="str">
        <f t="shared" si="752"/>
        <v/>
      </c>
      <c r="BE613" s="418" t="str">
        <f t="shared" si="753"/>
        <v/>
      </c>
      <c r="BF613" s="418" t="str">
        <f t="shared" si="754"/>
        <v/>
      </c>
      <c r="BG613" s="418" t="str">
        <f t="shared" si="755"/>
        <v/>
      </c>
      <c r="BH613" s="418" t="str">
        <f t="shared" si="756"/>
        <v/>
      </c>
      <c r="BI613" s="418" t="str">
        <f t="shared" si="757"/>
        <v/>
      </c>
      <c r="BJ613" s="418" t="str">
        <f t="shared" si="758"/>
        <v/>
      </c>
      <c r="BK613" s="418" t="str">
        <f t="shared" ref="BK613:BS613" si="771">IF(OR($E613="",BK$1=""),"",IF(TRIM(LEFT($E613,MIN(IFERROR(FIND("CDU",UPPER($E613)),999),IFERROR(FIND("BULK",UPPER($E613)),999),IFERROR(FIND("-",$E613),999),IFERROR(FIND("（",$E613),999))-1))=BK$1,$F613,""))</f>
        <v/>
      </c>
      <c r="BL613" s="418" t="str">
        <f t="shared" si="771"/>
        <v/>
      </c>
      <c r="BM613" s="418" t="str">
        <f t="shared" si="771"/>
        <v/>
      </c>
      <c r="BN613" s="418" t="str">
        <f t="shared" si="771"/>
        <v/>
      </c>
      <c r="BO613" s="418" t="str">
        <f t="shared" si="771"/>
        <v/>
      </c>
      <c r="BP613" s="418" t="str">
        <f t="shared" si="771"/>
        <v/>
      </c>
      <c r="BQ613" s="418" t="str">
        <f t="shared" si="771"/>
        <v/>
      </c>
      <c r="BR613" s="418" t="str">
        <f t="shared" si="771"/>
        <v/>
      </c>
      <c r="BS613" s="418" t="str">
        <f t="shared" si="771"/>
        <v/>
      </c>
      <c r="BT613" s="418" t="str">
        <f t="shared" si="760"/>
        <v/>
      </c>
      <c r="BU613" s="418" t="str">
        <f t="shared" si="761"/>
        <v/>
      </c>
      <c r="BV613" s="544">
        <v>0.83</v>
      </c>
      <c r="BW613" s="723">
        <f t="shared" si="762"/>
        <v>1680.75</v>
      </c>
      <c r="BX613" s="724">
        <f t="shared" si="763"/>
        <v>13025.81</v>
      </c>
      <c r="BY613" s="725" t="str">
        <f t="shared" si="764"/>
        <v>SR</v>
      </c>
    </row>
    <row r="614" s="697" customFormat="1" customHeight="1" spans="1:77">
      <c r="A614" s="116">
        <v>46139</v>
      </c>
      <c r="B614" s="116">
        <v>46200</v>
      </c>
      <c r="C614" s="418" t="s">
        <v>785</v>
      </c>
      <c r="D614" s="418" t="s">
        <v>786</v>
      </c>
      <c r="E614" s="418" t="s">
        <v>166</v>
      </c>
      <c r="F614" s="737">
        <f>3456-6</f>
        <v>3450</v>
      </c>
      <c r="G614" s="418" t="s">
        <v>341</v>
      </c>
      <c r="H614" s="118" t="str">
        <f>IFERROR(VLOOKUP(E614,名称!A:E,4,0),"")</f>
        <v>三代</v>
      </c>
      <c r="I614" s="418" t="str">
        <f t="shared" si="705"/>
        <v/>
      </c>
      <c r="J614" s="418" t="str">
        <f t="shared" si="706"/>
        <v/>
      </c>
      <c r="K614" s="418" t="str">
        <f t="shared" si="707"/>
        <v/>
      </c>
      <c r="L614" s="418" t="str">
        <f t="shared" si="708"/>
        <v/>
      </c>
      <c r="M614" s="418" t="str">
        <f t="shared" si="709"/>
        <v/>
      </c>
      <c r="N614" s="418" t="str">
        <f t="shared" si="710"/>
        <v/>
      </c>
      <c r="O614" s="418" t="str">
        <f t="shared" si="711"/>
        <v/>
      </c>
      <c r="P614" s="418" t="str">
        <f t="shared" si="712"/>
        <v/>
      </c>
      <c r="Q614" s="418" t="str">
        <f t="shared" si="713"/>
        <v/>
      </c>
      <c r="R614" s="418" t="str">
        <f t="shared" si="714"/>
        <v/>
      </c>
      <c r="S614" s="418" t="str">
        <f t="shared" si="715"/>
        <v/>
      </c>
      <c r="T614" s="418" t="str">
        <f t="shared" si="716"/>
        <v/>
      </c>
      <c r="U614" s="418" t="str">
        <f t="shared" si="717"/>
        <v/>
      </c>
      <c r="V614" s="418" t="str">
        <f t="shared" si="718"/>
        <v/>
      </c>
      <c r="W614" s="418" t="str">
        <f t="shared" si="719"/>
        <v/>
      </c>
      <c r="X614" s="418" t="str">
        <f t="shared" si="720"/>
        <v/>
      </c>
      <c r="Y614" s="418" t="str">
        <f t="shared" si="721"/>
        <v/>
      </c>
      <c r="Z614" s="418" t="str">
        <f t="shared" si="722"/>
        <v/>
      </c>
      <c r="AA614" s="418" t="str">
        <f t="shared" si="723"/>
        <v/>
      </c>
      <c r="AB614" s="418" t="str">
        <f t="shared" si="724"/>
        <v/>
      </c>
      <c r="AC614" s="418" t="str">
        <f t="shared" si="725"/>
        <v/>
      </c>
      <c r="AD614" s="418" t="str">
        <f t="shared" si="726"/>
        <v/>
      </c>
      <c r="AE614" s="418" t="str">
        <f t="shared" si="727"/>
        <v/>
      </c>
      <c r="AF614" s="418" t="str">
        <f t="shared" si="728"/>
        <v/>
      </c>
      <c r="AG614" s="418" t="str">
        <f t="shared" si="729"/>
        <v/>
      </c>
      <c r="AH614" s="418" t="str">
        <f t="shared" si="730"/>
        <v/>
      </c>
      <c r="AI614" s="418" t="str">
        <f t="shared" si="731"/>
        <v/>
      </c>
      <c r="AJ614" s="418" t="str">
        <f t="shared" si="732"/>
        <v/>
      </c>
      <c r="AK614" s="418" t="str">
        <f t="shared" si="733"/>
        <v/>
      </c>
      <c r="AL614" s="418" t="str">
        <f t="shared" si="734"/>
        <v/>
      </c>
      <c r="AM614" s="418" t="str">
        <f t="shared" si="735"/>
        <v/>
      </c>
      <c r="AN614" s="418" t="str">
        <f t="shared" si="736"/>
        <v/>
      </c>
      <c r="AO614" s="418" t="str">
        <f t="shared" si="737"/>
        <v/>
      </c>
      <c r="AP614" s="418" t="str">
        <f t="shared" si="738"/>
        <v/>
      </c>
      <c r="AQ614" s="418" t="str">
        <f t="shared" si="739"/>
        <v/>
      </c>
      <c r="AR614" s="418" t="str">
        <f t="shared" si="740"/>
        <v/>
      </c>
      <c r="AS614" s="418" t="str">
        <f t="shared" si="741"/>
        <v/>
      </c>
      <c r="AT614" s="418">
        <f t="shared" si="742"/>
        <v>3450</v>
      </c>
      <c r="AU614" s="418" t="str">
        <f t="shared" si="743"/>
        <v/>
      </c>
      <c r="AV614" s="418" t="str">
        <f t="shared" si="744"/>
        <v/>
      </c>
      <c r="AW614" s="418" t="str">
        <f t="shared" si="745"/>
        <v/>
      </c>
      <c r="AX614" s="418" t="str">
        <f t="shared" si="746"/>
        <v/>
      </c>
      <c r="AY614" s="418" t="str">
        <f t="shared" si="747"/>
        <v/>
      </c>
      <c r="AZ614" s="418" t="str">
        <f t="shared" si="748"/>
        <v/>
      </c>
      <c r="BA614" s="418" t="str">
        <f t="shared" si="749"/>
        <v/>
      </c>
      <c r="BB614" s="418" t="str">
        <f t="shared" si="750"/>
        <v/>
      </c>
      <c r="BC614" s="418" t="str">
        <f t="shared" si="751"/>
        <v/>
      </c>
      <c r="BD614" s="418" t="str">
        <f t="shared" si="752"/>
        <v/>
      </c>
      <c r="BE614" s="418" t="str">
        <f t="shared" si="753"/>
        <v/>
      </c>
      <c r="BF614" s="418" t="str">
        <f t="shared" si="754"/>
        <v/>
      </c>
      <c r="BG614" s="418" t="str">
        <f t="shared" si="755"/>
        <v/>
      </c>
      <c r="BH614" s="418" t="str">
        <f t="shared" si="756"/>
        <v/>
      </c>
      <c r="BI614" s="418" t="str">
        <f t="shared" si="757"/>
        <v/>
      </c>
      <c r="BJ614" s="418" t="str">
        <f t="shared" si="758"/>
        <v/>
      </c>
      <c r="BK614" s="418" t="str">
        <f t="shared" ref="BK614:BS614" si="772">IF(OR($E614="",BK$1=""),"",IF(TRIM(LEFT($E614,MIN(IFERROR(FIND("CDU",UPPER($E614)),999),IFERROR(FIND("BULK",UPPER($E614)),999),IFERROR(FIND("-",$E614),999),IFERROR(FIND("（",$E614),999))-1))=BK$1,$F614,""))</f>
        <v/>
      </c>
      <c r="BL614" s="418" t="str">
        <f t="shared" si="772"/>
        <v/>
      </c>
      <c r="BM614" s="418" t="str">
        <f t="shared" si="772"/>
        <v/>
      </c>
      <c r="BN614" s="418" t="str">
        <f t="shared" si="772"/>
        <v/>
      </c>
      <c r="BO614" s="418" t="str">
        <f t="shared" si="772"/>
        <v/>
      </c>
      <c r="BP614" s="418" t="str">
        <f t="shared" si="772"/>
        <v/>
      </c>
      <c r="BQ614" s="418" t="str">
        <f t="shared" si="772"/>
        <v/>
      </c>
      <c r="BR614" s="418" t="str">
        <f t="shared" si="772"/>
        <v/>
      </c>
      <c r="BS614" s="418" t="str">
        <f t="shared" si="772"/>
        <v/>
      </c>
      <c r="BT614" s="418" t="str">
        <f t="shared" si="760"/>
        <v/>
      </c>
      <c r="BU614" s="418" t="str">
        <f t="shared" si="761"/>
        <v/>
      </c>
      <c r="BV614" s="544">
        <v>0.61</v>
      </c>
      <c r="BW614" s="723">
        <f t="shared" si="762"/>
        <v>2104.5</v>
      </c>
      <c r="BX614" s="724">
        <f t="shared" si="763"/>
        <v>16309.88</v>
      </c>
      <c r="BY614" s="725" t="str">
        <f t="shared" si="764"/>
        <v>SR</v>
      </c>
    </row>
    <row r="615" s="697" customFormat="1" customHeight="1" spans="1:77">
      <c r="A615" s="116">
        <v>46139</v>
      </c>
      <c r="B615" s="116">
        <v>46200</v>
      </c>
      <c r="C615" s="418" t="s">
        <v>785</v>
      </c>
      <c r="D615" s="418" t="s">
        <v>786</v>
      </c>
      <c r="E615" s="418" t="s">
        <v>168</v>
      </c>
      <c r="F615" s="737">
        <v>2208</v>
      </c>
      <c r="G615" s="418" t="s">
        <v>341</v>
      </c>
      <c r="H615" s="118" t="str">
        <f>IFERROR(VLOOKUP(E615,名称!A:E,4,0),"")</f>
        <v>三代</v>
      </c>
      <c r="I615" s="418" t="str">
        <f t="shared" si="705"/>
        <v/>
      </c>
      <c r="J615" s="418" t="str">
        <f t="shared" si="706"/>
        <v/>
      </c>
      <c r="K615" s="418" t="str">
        <f t="shared" si="707"/>
        <v/>
      </c>
      <c r="L615" s="418" t="str">
        <f t="shared" si="708"/>
        <v/>
      </c>
      <c r="M615" s="418" t="str">
        <f t="shared" si="709"/>
        <v/>
      </c>
      <c r="N615" s="418" t="str">
        <f t="shared" si="710"/>
        <v/>
      </c>
      <c r="O615" s="418" t="str">
        <f t="shared" si="711"/>
        <v/>
      </c>
      <c r="P615" s="418" t="str">
        <f t="shared" si="712"/>
        <v/>
      </c>
      <c r="Q615" s="418" t="str">
        <f t="shared" si="713"/>
        <v/>
      </c>
      <c r="R615" s="418" t="str">
        <f t="shared" si="714"/>
        <v/>
      </c>
      <c r="S615" s="418" t="str">
        <f t="shared" si="715"/>
        <v/>
      </c>
      <c r="T615" s="418" t="str">
        <f t="shared" si="716"/>
        <v/>
      </c>
      <c r="U615" s="418" t="str">
        <f t="shared" si="717"/>
        <v/>
      </c>
      <c r="V615" s="418" t="str">
        <f t="shared" si="718"/>
        <v/>
      </c>
      <c r="W615" s="418" t="str">
        <f t="shared" si="719"/>
        <v/>
      </c>
      <c r="X615" s="418" t="str">
        <f t="shared" si="720"/>
        <v/>
      </c>
      <c r="Y615" s="418" t="str">
        <f t="shared" si="721"/>
        <v/>
      </c>
      <c r="Z615" s="418" t="str">
        <f t="shared" si="722"/>
        <v/>
      </c>
      <c r="AA615" s="418" t="str">
        <f t="shared" si="723"/>
        <v/>
      </c>
      <c r="AB615" s="418" t="str">
        <f t="shared" si="724"/>
        <v/>
      </c>
      <c r="AC615" s="418" t="str">
        <f t="shared" si="725"/>
        <v/>
      </c>
      <c r="AD615" s="418" t="str">
        <f t="shared" si="726"/>
        <v/>
      </c>
      <c r="AE615" s="418" t="str">
        <f t="shared" si="727"/>
        <v/>
      </c>
      <c r="AF615" s="418" t="str">
        <f t="shared" si="728"/>
        <v/>
      </c>
      <c r="AG615" s="418" t="str">
        <f t="shared" si="729"/>
        <v/>
      </c>
      <c r="AH615" s="418" t="str">
        <f t="shared" si="730"/>
        <v/>
      </c>
      <c r="AI615" s="418" t="str">
        <f t="shared" si="731"/>
        <v/>
      </c>
      <c r="AJ615" s="418" t="str">
        <f t="shared" si="732"/>
        <v/>
      </c>
      <c r="AK615" s="418" t="str">
        <f t="shared" si="733"/>
        <v/>
      </c>
      <c r="AL615" s="418" t="str">
        <f t="shared" si="734"/>
        <v/>
      </c>
      <c r="AM615" s="418" t="str">
        <f t="shared" si="735"/>
        <v/>
      </c>
      <c r="AN615" s="418" t="str">
        <f t="shared" si="736"/>
        <v/>
      </c>
      <c r="AO615" s="418" t="str">
        <f t="shared" si="737"/>
        <v/>
      </c>
      <c r="AP615" s="418" t="str">
        <f t="shared" si="738"/>
        <v/>
      </c>
      <c r="AQ615" s="418" t="str">
        <f t="shared" si="739"/>
        <v/>
      </c>
      <c r="AR615" s="418" t="str">
        <f t="shared" si="740"/>
        <v/>
      </c>
      <c r="AS615" s="418" t="str">
        <f t="shared" si="741"/>
        <v/>
      </c>
      <c r="AT615" s="418" t="str">
        <f t="shared" si="742"/>
        <v/>
      </c>
      <c r="AU615" s="418" t="str">
        <f t="shared" si="743"/>
        <v/>
      </c>
      <c r="AV615" s="418" t="str">
        <f t="shared" si="744"/>
        <v/>
      </c>
      <c r="AW615" s="418">
        <f t="shared" si="745"/>
        <v>2208</v>
      </c>
      <c r="AX615" s="418" t="str">
        <f t="shared" si="746"/>
        <v/>
      </c>
      <c r="AY615" s="418" t="str">
        <f t="shared" si="747"/>
        <v/>
      </c>
      <c r="AZ615" s="418" t="str">
        <f t="shared" si="748"/>
        <v/>
      </c>
      <c r="BA615" s="418" t="str">
        <f t="shared" si="749"/>
        <v/>
      </c>
      <c r="BB615" s="418" t="str">
        <f t="shared" si="750"/>
        <v/>
      </c>
      <c r="BC615" s="418" t="str">
        <f t="shared" si="751"/>
        <v/>
      </c>
      <c r="BD615" s="418" t="str">
        <f t="shared" si="752"/>
        <v/>
      </c>
      <c r="BE615" s="418" t="str">
        <f t="shared" si="753"/>
        <v/>
      </c>
      <c r="BF615" s="418" t="str">
        <f t="shared" si="754"/>
        <v/>
      </c>
      <c r="BG615" s="418" t="str">
        <f t="shared" si="755"/>
        <v/>
      </c>
      <c r="BH615" s="418" t="str">
        <f t="shared" si="756"/>
        <v/>
      </c>
      <c r="BI615" s="418" t="str">
        <f t="shared" si="757"/>
        <v/>
      </c>
      <c r="BJ615" s="418" t="str">
        <f t="shared" si="758"/>
        <v/>
      </c>
      <c r="BK615" s="418" t="str">
        <f t="shared" ref="BK615:BS615" si="773">IF(OR($E615="",BK$1=""),"",IF(TRIM(LEFT($E615,MIN(IFERROR(FIND("CDU",UPPER($E615)),999),IFERROR(FIND("BULK",UPPER($E615)),999),IFERROR(FIND("-",$E615),999),IFERROR(FIND("（",$E615),999))-1))=BK$1,$F615,""))</f>
        <v/>
      </c>
      <c r="BL615" s="418" t="str">
        <f t="shared" si="773"/>
        <v/>
      </c>
      <c r="BM615" s="418" t="str">
        <f t="shared" si="773"/>
        <v/>
      </c>
      <c r="BN615" s="418" t="str">
        <f t="shared" si="773"/>
        <v/>
      </c>
      <c r="BO615" s="418" t="str">
        <f t="shared" si="773"/>
        <v/>
      </c>
      <c r="BP615" s="418" t="str">
        <f t="shared" si="773"/>
        <v/>
      </c>
      <c r="BQ615" s="418" t="str">
        <f t="shared" si="773"/>
        <v/>
      </c>
      <c r="BR615" s="418" t="str">
        <f t="shared" si="773"/>
        <v/>
      </c>
      <c r="BS615" s="418" t="str">
        <f t="shared" si="773"/>
        <v/>
      </c>
      <c r="BT615" s="418" t="str">
        <f t="shared" si="760"/>
        <v/>
      </c>
      <c r="BU615" s="418" t="str">
        <f t="shared" si="761"/>
        <v/>
      </c>
      <c r="BV615" s="544">
        <v>1.56</v>
      </c>
      <c r="BW615" s="723">
        <f t="shared" si="762"/>
        <v>3444.48</v>
      </c>
      <c r="BX615" s="724">
        <f t="shared" si="763"/>
        <v>26694.72</v>
      </c>
      <c r="BY615" s="725" t="str">
        <f t="shared" si="764"/>
        <v>SR</v>
      </c>
    </row>
    <row r="616" s="697" customFormat="1" customHeight="1" spans="1:77">
      <c r="A616" s="116">
        <v>46139</v>
      </c>
      <c r="B616" s="116">
        <v>46200</v>
      </c>
      <c r="C616" s="418" t="s">
        <v>785</v>
      </c>
      <c r="D616" s="418" t="s">
        <v>786</v>
      </c>
      <c r="E616" s="418" t="s">
        <v>169</v>
      </c>
      <c r="F616" s="737">
        <v>2208</v>
      </c>
      <c r="G616" s="418" t="s">
        <v>341</v>
      </c>
      <c r="H616" s="118" t="str">
        <f>IFERROR(VLOOKUP(E616,名称!A:E,4,0),"")</f>
        <v>三代</v>
      </c>
      <c r="I616" s="418" t="str">
        <f t="shared" si="705"/>
        <v/>
      </c>
      <c r="J616" s="418" t="str">
        <f t="shared" si="706"/>
        <v/>
      </c>
      <c r="K616" s="418" t="str">
        <f t="shared" si="707"/>
        <v/>
      </c>
      <c r="L616" s="418" t="str">
        <f t="shared" si="708"/>
        <v/>
      </c>
      <c r="M616" s="418" t="str">
        <f t="shared" si="709"/>
        <v/>
      </c>
      <c r="N616" s="418" t="str">
        <f t="shared" si="710"/>
        <v/>
      </c>
      <c r="O616" s="418" t="str">
        <f t="shared" si="711"/>
        <v/>
      </c>
      <c r="P616" s="418" t="str">
        <f t="shared" si="712"/>
        <v/>
      </c>
      <c r="Q616" s="418" t="str">
        <f t="shared" si="713"/>
        <v/>
      </c>
      <c r="R616" s="418" t="str">
        <f t="shared" si="714"/>
        <v/>
      </c>
      <c r="S616" s="418" t="str">
        <f t="shared" si="715"/>
        <v/>
      </c>
      <c r="T616" s="418" t="str">
        <f t="shared" si="716"/>
        <v/>
      </c>
      <c r="U616" s="418" t="str">
        <f t="shared" si="717"/>
        <v/>
      </c>
      <c r="V616" s="418" t="str">
        <f t="shared" si="718"/>
        <v/>
      </c>
      <c r="W616" s="418" t="str">
        <f t="shared" si="719"/>
        <v/>
      </c>
      <c r="X616" s="418" t="str">
        <f t="shared" si="720"/>
        <v/>
      </c>
      <c r="Y616" s="418" t="str">
        <f t="shared" si="721"/>
        <v/>
      </c>
      <c r="Z616" s="418" t="str">
        <f t="shared" si="722"/>
        <v/>
      </c>
      <c r="AA616" s="418" t="str">
        <f t="shared" si="723"/>
        <v/>
      </c>
      <c r="AB616" s="418" t="str">
        <f t="shared" si="724"/>
        <v/>
      </c>
      <c r="AC616" s="418" t="str">
        <f t="shared" si="725"/>
        <v/>
      </c>
      <c r="AD616" s="418" t="str">
        <f t="shared" si="726"/>
        <v/>
      </c>
      <c r="AE616" s="418" t="str">
        <f t="shared" si="727"/>
        <v/>
      </c>
      <c r="AF616" s="418" t="str">
        <f t="shared" si="728"/>
        <v/>
      </c>
      <c r="AG616" s="418" t="str">
        <f t="shared" si="729"/>
        <v/>
      </c>
      <c r="AH616" s="418" t="str">
        <f t="shared" si="730"/>
        <v/>
      </c>
      <c r="AI616" s="418" t="str">
        <f t="shared" si="731"/>
        <v/>
      </c>
      <c r="AJ616" s="418" t="str">
        <f t="shared" si="732"/>
        <v/>
      </c>
      <c r="AK616" s="418" t="str">
        <f t="shared" si="733"/>
        <v/>
      </c>
      <c r="AL616" s="418" t="str">
        <f t="shared" si="734"/>
        <v/>
      </c>
      <c r="AM616" s="418" t="str">
        <f t="shared" si="735"/>
        <v/>
      </c>
      <c r="AN616" s="418" t="str">
        <f t="shared" si="736"/>
        <v/>
      </c>
      <c r="AO616" s="418" t="str">
        <f t="shared" si="737"/>
        <v/>
      </c>
      <c r="AP616" s="418" t="str">
        <f t="shared" si="738"/>
        <v/>
      </c>
      <c r="AQ616" s="418" t="str">
        <f t="shared" si="739"/>
        <v/>
      </c>
      <c r="AR616" s="418" t="str">
        <f t="shared" si="740"/>
        <v/>
      </c>
      <c r="AS616" s="418" t="str">
        <f t="shared" si="741"/>
        <v/>
      </c>
      <c r="AT616" s="418" t="str">
        <f t="shared" si="742"/>
        <v/>
      </c>
      <c r="AU616" s="418" t="str">
        <f t="shared" si="743"/>
        <v/>
      </c>
      <c r="AV616" s="418" t="str">
        <f t="shared" si="744"/>
        <v/>
      </c>
      <c r="AW616" s="418">
        <f t="shared" si="745"/>
        <v>2208</v>
      </c>
      <c r="AX616" s="418" t="str">
        <f t="shared" si="746"/>
        <v/>
      </c>
      <c r="AY616" s="418" t="str">
        <f t="shared" si="747"/>
        <v/>
      </c>
      <c r="AZ616" s="418" t="str">
        <f t="shared" si="748"/>
        <v/>
      </c>
      <c r="BA616" s="418" t="str">
        <f t="shared" si="749"/>
        <v/>
      </c>
      <c r="BB616" s="418" t="str">
        <f t="shared" si="750"/>
        <v/>
      </c>
      <c r="BC616" s="418" t="str">
        <f t="shared" si="751"/>
        <v/>
      </c>
      <c r="BD616" s="418" t="str">
        <f t="shared" si="752"/>
        <v/>
      </c>
      <c r="BE616" s="418" t="str">
        <f t="shared" si="753"/>
        <v/>
      </c>
      <c r="BF616" s="418" t="str">
        <f t="shared" si="754"/>
        <v/>
      </c>
      <c r="BG616" s="418" t="str">
        <f t="shared" si="755"/>
        <v/>
      </c>
      <c r="BH616" s="418" t="str">
        <f t="shared" si="756"/>
        <v/>
      </c>
      <c r="BI616" s="418" t="str">
        <f t="shared" si="757"/>
        <v/>
      </c>
      <c r="BJ616" s="418" t="str">
        <f t="shared" si="758"/>
        <v/>
      </c>
      <c r="BK616" s="418" t="str">
        <f t="shared" ref="BK616:BS616" si="774">IF(OR($E616="",BK$1=""),"",IF(TRIM(LEFT($E616,MIN(IFERROR(FIND("CDU",UPPER($E616)),999),IFERROR(FIND("BULK",UPPER($E616)),999),IFERROR(FIND("-",$E616),999),IFERROR(FIND("（",$E616),999))-1))=BK$1,$F616,""))</f>
        <v/>
      </c>
      <c r="BL616" s="418" t="str">
        <f t="shared" si="774"/>
        <v/>
      </c>
      <c r="BM616" s="418" t="str">
        <f t="shared" si="774"/>
        <v/>
      </c>
      <c r="BN616" s="418" t="str">
        <f t="shared" si="774"/>
        <v/>
      </c>
      <c r="BO616" s="418" t="str">
        <f t="shared" si="774"/>
        <v/>
      </c>
      <c r="BP616" s="418" t="str">
        <f t="shared" si="774"/>
        <v/>
      </c>
      <c r="BQ616" s="418" t="str">
        <f t="shared" si="774"/>
        <v/>
      </c>
      <c r="BR616" s="418" t="str">
        <f t="shared" si="774"/>
        <v/>
      </c>
      <c r="BS616" s="418" t="str">
        <f t="shared" si="774"/>
        <v/>
      </c>
      <c r="BT616" s="418" t="str">
        <f t="shared" si="760"/>
        <v/>
      </c>
      <c r="BU616" s="418" t="str">
        <f t="shared" si="761"/>
        <v/>
      </c>
      <c r="BV616" s="544">
        <v>1.56</v>
      </c>
      <c r="BW616" s="723">
        <f t="shared" si="762"/>
        <v>3444.48</v>
      </c>
      <c r="BX616" s="724">
        <f t="shared" si="763"/>
        <v>26694.72</v>
      </c>
      <c r="BY616" s="725" t="str">
        <f t="shared" si="764"/>
        <v>SR</v>
      </c>
    </row>
    <row r="617" s="697" customFormat="1" customHeight="1" spans="1:77">
      <c r="A617" s="116">
        <v>46139</v>
      </c>
      <c r="B617" s="116">
        <v>46200</v>
      </c>
      <c r="C617" s="418" t="s">
        <v>785</v>
      </c>
      <c r="D617" s="418" t="s">
        <v>786</v>
      </c>
      <c r="E617" s="418" t="s">
        <v>170</v>
      </c>
      <c r="F617" s="737">
        <v>2208</v>
      </c>
      <c r="G617" s="418" t="s">
        <v>341</v>
      </c>
      <c r="H617" s="118" t="str">
        <f>IFERROR(VLOOKUP(E617,名称!A:E,4,0),"")</f>
        <v>三代</v>
      </c>
      <c r="I617" s="418" t="str">
        <f t="shared" si="705"/>
        <v/>
      </c>
      <c r="J617" s="418" t="str">
        <f t="shared" si="706"/>
        <v/>
      </c>
      <c r="K617" s="418" t="str">
        <f t="shared" si="707"/>
        <v/>
      </c>
      <c r="L617" s="418" t="str">
        <f t="shared" si="708"/>
        <v/>
      </c>
      <c r="M617" s="418" t="str">
        <f t="shared" si="709"/>
        <v/>
      </c>
      <c r="N617" s="418" t="str">
        <f t="shared" si="710"/>
        <v/>
      </c>
      <c r="O617" s="418" t="str">
        <f t="shared" si="711"/>
        <v/>
      </c>
      <c r="P617" s="418" t="str">
        <f t="shared" si="712"/>
        <v/>
      </c>
      <c r="Q617" s="418" t="str">
        <f t="shared" si="713"/>
        <v/>
      </c>
      <c r="R617" s="418" t="str">
        <f t="shared" si="714"/>
        <v/>
      </c>
      <c r="S617" s="418" t="str">
        <f t="shared" si="715"/>
        <v/>
      </c>
      <c r="T617" s="418" t="str">
        <f t="shared" si="716"/>
        <v/>
      </c>
      <c r="U617" s="418" t="str">
        <f t="shared" si="717"/>
        <v/>
      </c>
      <c r="V617" s="418" t="str">
        <f t="shared" si="718"/>
        <v/>
      </c>
      <c r="W617" s="418" t="str">
        <f t="shared" si="719"/>
        <v/>
      </c>
      <c r="X617" s="418" t="str">
        <f t="shared" si="720"/>
        <v/>
      </c>
      <c r="Y617" s="418" t="str">
        <f t="shared" si="721"/>
        <v/>
      </c>
      <c r="Z617" s="418" t="str">
        <f t="shared" si="722"/>
        <v/>
      </c>
      <c r="AA617" s="418" t="str">
        <f t="shared" si="723"/>
        <v/>
      </c>
      <c r="AB617" s="418" t="str">
        <f t="shared" si="724"/>
        <v/>
      </c>
      <c r="AC617" s="418" t="str">
        <f t="shared" si="725"/>
        <v/>
      </c>
      <c r="AD617" s="418" t="str">
        <f t="shared" si="726"/>
        <v/>
      </c>
      <c r="AE617" s="418" t="str">
        <f t="shared" si="727"/>
        <v/>
      </c>
      <c r="AF617" s="418" t="str">
        <f t="shared" si="728"/>
        <v/>
      </c>
      <c r="AG617" s="418" t="str">
        <f t="shared" si="729"/>
        <v/>
      </c>
      <c r="AH617" s="418" t="str">
        <f t="shared" si="730"/>
        <v/>
      </c>
      <c r="AI617" s="418" t="str">
        <f t="shared" si="731"/>
        <v/>
      </c>
      <c r="AJ617" s="418" t="str">
        <f t="shared" si="732"/>
        <v/>
      </c>
      <c r="AK617" s="418" t="str">
        <f t="shared" si="733"/>
        <v/>
      </c>
      <c r="AL617" s="418" t="str">
        <f t="shared" si="734"/>
        <v/>
      </c>
      <c r="AM617" s="418" t="str">
        <f t="shared" si="735"/>
        <v/>
      </c>
      <c r="AN617" s="418" t="str">
        <f t="shared" si="736"/>
        <v/>
      </c>
      <c r="AO617" s="418" t="str">
        <f t="shared" si="737"/>
        <v/>
      </c>
      <c r="AP617" s="418" t="str">
        <f t="shared" si="738"/>
        <v/>
      </c>
      <c r="AQ617" s="418" t="str">
        <f t="shared" si="739"/>
        <v/>
      </c>
      <c r="AR617" s="418" t="str">
        <f t="shared" si="740"/>
        <v/>
      </c>
      <c r="AS617" s="418" t="str">
        <f t="shared" si="741"/>
        <v/>
      </c>
      <c r="AT617" s="418" t="str">
        <f t="shared" si="742"/>
        <v/>
      </c>
      <c r="AU617" s="418" t="str">
        <f t="shared" si="743"/>
        <v/>
      </c>
      <c r="AV617" s="418" t="str">
        <f t="shared" si="744"/>
        <v/>
      </c>
      <c r="AW617" s="418">
        <f t="shared" si="745"/>
        <v>2208</v>
      </c>
      <c r="AX617" s="418" t="str">
        <f t="shared" si="746"/>
        <v/>
      </c>
      <c r="AY617" s="418" t="str">
        <f t="shared" si="747"/>
        <v/>
      </c>
      <c r="AZ617" s="418" t="str">
        <f t="shared" si="748"/>
        <v/>
      </c>
      <c r="BA617" s="418" t="str">
        <f t="shared" si="749"/>
        <v/>
      </c>
      <c r="BB617" s="418" t="str">
        <f t="shared" si="750"/>
        <v/>
      </c>
      <c r="BC617" s="418" t="str">
        <f t="shared" si="751"/>
        <v/>
      </c>
      <c r="BD617" s="418" t="str">
        <f t="shared" si="752"/>
        <v/>
      </c>
      <c r="BE617" s="418" t="str">
        <f t="shared" si="753"/>
        <v/>
      </c>
      <c r="BF617" s="418" t="str">
        <f t="shared" si="754"/>
        <v/>
      </c>
      <c r="BG617" s="418" t="str">
        <f t="shared" si="755"/>
        <v/>
      </c>
      <c r="BH617" s="418" t="str">
        <f t="shared" si="756"/>
        <v/>
      </c>
      <c r="BI617" s="418" t="str">
        <f t="shared" si="757"/>
        <v/>
      </c>
      <c r="BJ617" s="418" t="str">
        <f t="shared" si="758"/>
        <v/>
      </c>
      <c r="BK617" s="418" t="str">
        <f t="shared" ref="BK617:BS617" si="775">IF(OR($E617="",BK$1=""),"",IF(TRIM(LEFT($E617,MIN(IFERROR(FIND("CDU",UPPER($E617)),999),IFERROR(FIND("BULK",UPPER($E617)),999),IFERROR(FIND("-",$E617),999),IFERROR(FIND("（",$E617),999))-1))=BK$1,$F617,""))</f>
        <v/>
      </c>
      <c r="BL617" s="418" t="str">
        <f t="shared" si="775"/>
        <v/>
      </c>
      <c r="BM617" s="418" t="str">
        <f t="shared" si="775"/>
        <v/>
      </c>
      <c r="BN617" s="418" t="str">
        <f t="shared" si="775"/>
        <v/>
      </c>
      <c r="BO617" s="418" t="str">
        <f t="shared" si="775"/>
        <v/>
      </c>
      <c r="BP617" s="418" t="str">
        <f t="shared" si="775"/>
        <v/>
      </c>
      <c r="BQ617" s="418" t="str">
        <f t="shared" si="775"/>
        <v/>
      </c>
      <c r="BR617" s="418" t="str">
        <f t="shared" si="775"/>
        <v/>
      </c>
      <c r="BS617" s="418" t="str">
        <f t="shared" si="775"/>
        <v/>
      </c>
      <c r="BT617" s="418" t="str">
        <f t="shared" si="760"/>
        <v/>
      </c>
      <c r="BU617" s="418" t="str">
        <f t="shared" si="761"/>
        <v/>
      </c>
      <c r="BV617" s="544">
        <v>1.56</v>
      </c>
      <c r="BW617" s="723">
        <f t="shared" si="762"/>
        <v>3444.48</v>
      </c>
      <c r="BX617" s="724">
        <f t="shared" si="763"/>
        <v>26694.72</v>
      </c>
      <c r="BY617" s="725" t="str">
        <f t="shared" si="764"/>
        <v>SR</v>
      </c>
    </row>
    <row r="618" s="697" customFormat="1" customHeight="1" spans="1:77">
      <c r="A618" s="116">
        <v>46139</v>
      </c>
      <c r="B618" s="116">
        <v>46200</v>
      </c>
      <c r="C618" s="418" t="s">
        <v>785</v>
      </c>
      <c r="D618" s="418" t="s">
        <v>786</v>
      </c>
      <c r="E618" s="418" t="s">
        <v>167</v>
      </c>
      <c r="F618" s="737">
        <v>4512</v>
      </c>
      <c r="G618" s="418" t="s">
        <v>341</v>
      </c>
      <c r="H618" s="118" t="str">
        <f>IFERROR(VLOOKUP(E618,名称!A:E,4,0),"")</f>
        <v>三代</v>
      </c>
      <c r="I618" s="418" t="str">
        <f t="shared" si="705"/>
        <v/>
      </c>
      <c r="J618" s="418" t="str">
        <f t="shared" si="706"/>
        <v/>
      </c>
      <c r="K618" s="418" t="str">
        <f t="shared" si="707"/>
        <v/>
      </c>
      <c r="L618" s="418" t="str">
        <f t="shared" si="708"/>
        <v/>
      </c>
      <c r="M618" s="418" t="str">
        <f t="shared" si="709"/>
        <v/>
      </c>
      <c r="N618" s="418" t="str">
        <f t="shared" si="710"/>
        <v/>
      </c>
      <c r="O618" s="418" t="str">
        <f t="shared" si="711"/>
        <v/>
      </c>
      <c r="P618" s="418" t="str">
        <f t="shared" si="712"/>
        <v/>
      </c>
      <c r="Q618" s="418" t="str">
        <f t="shared" si="713"/>
        <v/>
      </c>
      <c r="R618" s="418" t="str">
        <f t="shared" si="714"/>
        <v/>
      </c>
      <c r="S618" s="418" t="str">
        <f t="shared" si="715"/>
        <v/>
      </c>
      <c r="T618" s="418" t="str">
        <f t="shared" si="716"/>
        <v/>
      </c>
      <c r="U618" s="418" t="str">
        <f t="shared" si="717"/>
        <v/>
      </c>
      <c r="V618" s="418" t="str">
        <f t="shared" si="718"/>
        <v/>
      </c>
      <c r="W618" s="418" t="str">
        <f t="shared" si="719"/>
        <v/>
      </c>
      <c r="X618" s="418" t="str">
        <f t="shared" si="720"/>
        <v/>
      </c>
      <c r="Y618" s="418" t="str">
        <f t="shared" si="721"/>
        <v/>
      </c>
      <c r="Z618" s="418" t="str">
        <f t="shared" si="722"/>
        <v/>
      </c>
      <c r="AA618" s="418" t="str">
        <f t="shared" si="723"/>
        <v/>
      </c>
      <c r="AB618" s="418" t="str">
        <f t="shared" si="724"/>
        <v/>
      </c>
      <c r="AC618" s="418" t="str">
        <f t="shared" si="725"/>
        <v/>
      </c>
      <c r="AD618" s="418" t="str">
        <f t="shared" si="726"/>
        <v/>
      </c>
      <c r="AE618" s="418" t="str">
        <f t="shared" si="727"/>
        <v/>
      </c>
      <c r="AF618" s="418" t="str">
        <f t="shared" si="728"/>
        <v/>
      </c>
      <c r="AG618" s="418" t="str">
        <f t="shared" si="729"/>
        <v/>
      </c>
      <c r="AH618" s="418" t="str">
        <f t="shared" si="730"/>
        <v/>
      </c>
      <c r="AI618" s="418" t="str">
        <f t="shared" si="731"/>
        <v/>
      </c>
      <c r="AJ618" s="418" t="str">
        <f t="shared" si="732"/>
        <v/>
      </c>
      <c r="AK618" s="418" t="str">
        <f t="shared" si="733"/>
        <v/>
      </c>
      <c r="AL618" s="418" t="str">
        <f t="shared" si="734"/>
        <v/>
      </c>
      <c r="AM618" s="418" t="str">
        <f t="shared" si="735"/>
        <v/>
      </c>
      <c r="AN618" s="418" t="str">
        <f t="shared" si="736"/>
        <v/>
      </c>
      <c r="AO618" s="418" t="str">
        <f t="shared" si="737"/>
        <v/>
      </c>
      <c r="AP618" s="418" t="str">
        <f t="shared" si="738"/>
        <v/>
      </c>
      <c r="AQ618" s="418" t="str">
        <f t="shared" si="739"/>
        <v/>
      </c>
      <c r="AR618" s="418" t="str">
        <f t="shared" si="740"/>
        <v/>
      </c>
      <c r="AS618" s="418" t="str">
        <f t="shared" si="741"/>
        <v/>
      </c>
      <c r="AT618" s="418" t="str">
        <f t="shared" si="742"/>
        <v/>
      </c>
      <c r="AU618" s="418">
        <f t="shared" si="743"/>
        <v>4512</v>
      </c>
      <c r="AV618" s="418" t="str">
        <f t="shared" si="744"/>
        <v/>
      </c>
      <c r="AW618" s="418" t="str">
        <f t="shared" si="745"/>
        <v/>
      </c>
      <c r="AX618" s="418" t="str">
        <f t="shared" si="746"/>
        <v/>
      </c>
      <c r="AY618" s="418" t="str">
        <f t="shared" si="747"/>
        <v/>
      </c>
      <c r="AZ618" s="418" t="str">
        <f t="shared" si="748"/>
        <v/>
      </c>
      <c r="BA618" s="418" t="str">
        <f t="shared" si="749"/>
        <v/>
      </c>
      <c r="BB618" s="418" t="str">
        <f t="shared" si="750"/>
        <v/>
      </c>
      <c r="BC618" s="418" t="str">
        <f t="shared" si="751"/>
        <v/>
      </c>
      <c r="BD618" s="418" t="str">
        <f t="shared" si="752"/>
        <v/>
      </c>
      <c r="BE618" s="418" t="str">
        <f t="shared" si="753"/>
        <v/>
      </c>
      <c r="BF618" s="418" t="str">
        <f t="shared" si="754"/>
        <v/>
      </c>
      <c r="BG618" s="418" t="str">
        <f t="shared" si="755"/>
        <v/>
      </c>
      <c r="BH618" s="418" t="str">
        <f t="shared" si="756"/>
        <v/>
      </c>
      <c r="BI618" s="418" t="str">
        <f t="shared" si="757"/>
        <v/>
      </c>
      <c r="BJ618" s="418" t="str">
        <f t="shared" si="758"/>
        <v/>
      </c>
      <c r="BK618" s="418" t="str">
        <f t="shared" ref="BK618:BS618" si="776">IF(OR($E618="",BK$1=""),"",IF(TRIM(LEFT($E618,MIN(IFERROR(FIND("CDU",UPPER($E618)),999),IFERROR(FIND("BULK",UPPER($E618)),999),IFERROR(FIND("-",$E618),999),IFERROR(FIND("（",$E618),999))-1))=BK$1,$F618,""))</f>
        <v/>
      </c>
      <c r="BL618" s="418" t="str">
        <f t="shared" si="776"/>
        <v/>
      </c>
      <c r="BM618" s="418" t="str">
        <f t="shared" si="776"/>
        <v/>
      </c>
      <c r="BN618" s="418" t="str">
        <f t="shared" si="776"/>
        <v/>
      </c>
      <c r="BO618" s="418" t="str">
        <f t="shared" si="776"/>
        <v/>
      </c>
      <c r="BP618" s="418" t="str">
        <f t="shared" si="776"/>
        <v/>
      </c>
      <c r="BQ618" s="418" t="str">
        <f t="shared" si="776"/>
        <v/>
      </c>
      <c r="BR618" s="418" t="str">
        <f t="shared" si="776"/>
        <v/>
      </c>
      <c r="BS618" s="418" t="str">
        <f t="shared" si="776"/>
        <v/>
      </c>
      <c r="BT618" s="418" t="str">
        <f t="shared" si="760"/>
        <v/>
      </c>
      <c r="BU618" s="418" t="str">
        <f t="shared" si="761"/>
        <v/>
      </c>
      <c r="BV618" s="544">
        <v>1.67</v>
      </c>
      <c r="BW618" s="723">
        <f t="shared" si="762"/>
        <v>7535.04</v>
      </c>
      <c r="BX618" s="724">
        <f t="shared" si="763"/>
        <v>58396.56</v>
      </c>
      <c r="BY618" s="725" t="str">
        <f t="shared" si="764"/>
        <v>SR</v>
      </c>
    </row>
    <row r="619" s="697" customFormat="1" customHeight="1" spans="1:77">
      <c r="A619" s="116">
        <v>46139</v>
      </c>
      <c r="B619" s="116">
        <v>46200</v>
      </c>
      <c r="C619" s="418" t="s">
        <v>785</v>
      </c>
      <c r="D619" s="418" t="s">
        <v>786</v>
      </c>
      <c r="E619" s="418" t="s">
        <v>136</v>
      </c>
      <c r="F619" s="737">
        <v>2448</v>
      </c>
      <c r="G619" s="418" t="s">
        <v>341</v>
      </c>
      <c r="H619" s="118" t="str">
        <f>IFERROR(VLOOKUP(E619,名称!A:E,4,0),"")</f>
        <v>三代</v>
      </c>
      <c r="I619" s="418" t="str">
        <f t="shared" si="705"/>
        <v/>
      </c>
      <c r="J619" s="418" t="str">
        <f t="shared" si="706"/>
        <v/>
      </c>
      <c r="K619" s="418" t="str">
        <f t="shared" si="707"/>
        <v/>
      </c>
      <c r="L619" s="418" t="str">
        <f t="shared" si="708"/>
        <v/>
      </c>
      <c r="M619" s="418" t="str">
        <f t="shared" si="709"/>
        <v/>
      </c>
      <c r="N619" s="418" t="str">
        <f t="shared" si="710"/>
        <v/>
      </c>
      <c r="O619" s="418" t="str">
        <f t="shared" si="711"/>
        <v/>
      </c>
      <c r="P619" s="418" t="str">
        <f t="shared" si="712"/>
        <v/>
      </c>
      <c r="Q619" s="418" t="str">
        <f t="shared" si="713"/>
        <v/>
      </c>
      <c r="R619" s="418" t="str">
        <f t="shared" si="714"/>
        <v/>
      </c>
      <c r="S619" s="418" t="str">
        <f t="shared" si="715"/>
        <v/>
      </c>
      <c r="T619" s="418" t="str">
        <f t="shared" si="716"/>
        <v/>
      </c>
      <c r="U619" s="418" t="str">
        <f t="shared" si="717"/>
        <v/>
      </c>
      <c r="V619" s="418" t="str">
        <f t="shared" si="718"/>
        <v/>
      </c>
      <c r="W619" s="418" t="str">
        <f t="shared" si="719"/>
        <v/>
      </c>
      <c r="X619" s="418" t="str">
        <f t="shared" si="720"/>
        <v/>
      </c>
      <c r="Y619" s="418" t="str">
        <f t="shared" si="721"/>
        <v/>
      </c>
      <c r="Z619" s="418" t="str">
        <f t="shared" si="722"/>
        <v/>
      </c>
      <c r="AA619" s="418" t="str">
        <f t="shared" si="723"/>
        <v/>
      </c>
      <c r="AB619" s="418" t="str">
        <f t="shared" si="724"/>
        <v/>
      </c>
      <c r="AC619" s="418">
        <f t="shared" si="725"/>
        <v>2448</v>
      </c>
      <c r="AD619" s="418" t="str">
        <f t="shared" si="726"/>
        <v/>
      </c>
      <c r="AE619" s="418" t="str">
        <f t="shared" si="727"/>
        <v/>
      </c>
      <c r="AF619" s="418" t="str">
        <f t="shared" si="728"/>
        <v/>
      </c>
      <c r="AG619" s="418" t="str">
        <f t="shared" si="729"/>
        <v/>
      </c>
      <c r="AH619" s="418" t="str">
        <f t="shared" si="730"/>
        <v/>
      </c>
      <c r="AI619" s="418" t="str">
        <f t="shared" si="731"/>
        <v/>
      </c>
      <c r="AJ619" s="418" t="str">
        <f t="shared" si="732"/>
        <v/>
      </c>
      <c r="AK619" s="418" t="str">
        <f t="shared" si="733"/>
        <v/>
      </c>
      <c r="AL619" s="418" t="str">
        <f t="shared" si="734"/>
        <v/>
      </c>
      <c r="AM619" s="418" t="str">
        <f t="shared" si="735"/>
        <v/>
      </c>
      <c r="AN619" s="418" t="str">
        <f t="shared" si="736"/>
        <v/>
      </c>
      <c r="AO619" s="418" t="str">
        <f t="shared" si="737"/>
        <v/>
      </c>
      <c r="AP619" s="418" t="str">
        <f t="shared" si="738"/>
        <v/>
      </c>
      <c r="AQ619" s="418" t="str">
        <f t="shared" si="739"/>
        <v/>
      </c>
      <c r="AR619" s="418" t="str">
        <f t="shared" si="740"/>
        <v/>
      </c>
      <c r="AS619" s="418" t="str">
        <f t="shared" si="741"/>
        <v/>
      </c>
      <c r="AT619" s="418" t="str">
        <f t="shared" si="742"/>
        <v/>
      </c>
      <c r="AU619" s="418" t="str">
        <f t="shared" si="743"/>
        <v/>
      </c>
      <c r="AV619" s="418" t="str">
        <f t="shared" si="744"/>
        <v/>
      </c>
      <c r="AW619" s="418" t="str">
        <f t="shared" si="745"/>
        <v/>
      </c>
      <c r="AX619" s="418" t="str">
        <f t="shared" si="746"/>
        <v/>
      </c>
      <c r="AY619" s="418" t="str">
        <f t="shared" si="747"/>
        <v/>
      </c>
      <c r="AZ619" s="418" t="str">
        <f t="shared" si="748"/>
        <v/>
      </c>
      <c r="BA619" s="418" t="str">
        <f t="shared" si="749"/>
        <v/>
      </c>
      <c r="BB619" s="418" t="str">
        <f t="shared" si="750"/>
        <v/>
      </c>
      <c r="BC619" s="418" t="str">
        <f t="shared" si="751"/>
        <v/>
      </c>
      <c r="BD619" s="418" t="str">
        <f t="shared" si="752"/>
        <v/>
      </c>
      <c r="BE619" s="418" t="str">
        <f t="shared" si="753"/>
        <v/>
      </c>
      <c r="BF619" s="418" t="str">
        <f t="shared" si="754"/>
        <v/>
      </c>
      <c r="BG619" s="418" t="str">
        <f t="shared" si="755"/>
        <v/>
      </c>
      <c r="BH619" s="418" t="str">
        <f t="shared" si="756"/>
        <v/>
      </c>
      <c r="BI619" s="418" t="str">
        <f t="shared" si="757"/>
        <v/>
      </c>
      <c r="BJ619" s="418" t="str">
        <f t="shared" si="758"/>
        <v/>
      </c>
      <c r="BK619" s="418" t="str">
        <f t="shared" ref="BK619:BS619" si="777">IF(OR($E619="",BK$1=""),"",IF(TRIM(LEFT($E619,MIN(IFERROR(FIND("CDU",UPPER($E619)),999),IFERROR(FIND("BULK",UPPER($E619)),999),IFERROR(FIND("-",$E619),999),IFERROR(FIND("（",$E619),999))-1))=BK$1,$F619,""))</f>
        <v/>
      </c>
      <c r="BL619" s="418" t="str">
        <f t="shared" si="777"/>
        <v/>
      </c>
      <c r="BM619" s="418" t="str">
        <f t="shared" si="777"/>
        <v/>
      </c>
      <c r="BN619" s="418" t="str">
        <f t="shared" si="777"/>
        <v/>
      </c>
      <c r="BO619" s="418" t="str">
        <f t="shared" si="777"/>
        <v/>
      </c>
      <c r="BP619" s="418" t="str">
        <f t="shared" si="777"/>
        <v/>
      </c>
      <c r="BQ619" s="418" t="str">
        <f t="shared" si="777"/>
        <v/>
      </c>
      <c r="BR619" s="418" t="str">
        <f t="shared" si="777"/>
        <v/>
      </c>
      <c r="BS619" s="418" t="str">
        <f t="shared" si="777"/>
        <v/>
      </c>
      <c r="BT619" s="418" t="str">
        <f t="shared" si="760"/>
        <v/>
      </c>
      <c r="BU619" s="418" t="str">
        <f t="shared" si="761"/>
        <v/>
      </c>
      <c r="BV619" s="544">
        <v>0.64</v>
      </c>
      <c r="BW619" s="723">
        <f t="shared" si="762"/>
        <v>1566.72</v>
      </c>
      <c r="BX619" s="724">
        <f t="shared" si="763"/>
        <v>12142.08</v>
      </c>
      <c r="BY619" s="725" t="str">
        <f t="shared" si="764"/>
        <v>SR</v>
      </c>
    </row>
    <row r="620" s="697" customFormat="1" customHeight="1" spans="1:77">
      <c r="A620" s="116">
        <v>46139</v>
      </c>
      <c r="B620" s="116">
        <v>46200</v>
      </c>
      <c r="C620" s="418" t="s">
        <v>785</v>
      </c>
      <c r="D620" s="418" t="s">
        <v>786</v>
      </c>
      <c r="E620" s="418" t="s">
        <v>137</v>
      </c>
      <c r="F620" s="737">
        <v>2448</v>
      </c>
      <c r="G620" s="418" t="s">
        <v>341</v>
      </c>
      <c r="H620" s="118" t="str">
        <f>IFERROR(VLOOKUP(E620,名称!A:E,4,0),"")</f>
        <v>三代</v>
      </c>
      <c r="I620" s="418" t="str">
        <f t="shared" si="705"/>
        <v/>
      </c>
      <c r="J620" s="418" t="str">
        <f t="shared" si="706"/>
        <v/>
      </c>
      <c r="K620" s="418" t="str">
        <f t="shared" si="707"/>
        <v/>
      </c>
      <c r="L620" s="418" t="str">
        <f t="shared" si="708"/>
        <v/>
      </c>
      <c r="M620" s="418" t="str">
        <f t="shared" si="709"/>
        <v/>
      </c>
      <c r="N620" s="418" t="str">
        <f t="shared" si="710"/>
        <v/>
      </c>
      <c r="O620" s="418" t="str">
        <f t="shared" si="711"/>
        <v/>
      </c>
      <c r="P620" s="418" t="str">
        <f t="shared" si="712"/>
        <v/>
      </c>
      <c r="Q620" s="418" t="str">
        <f t="shared" si="713"/>
        <v/>
      </c>
      <c r="R620" s="418" t="str">
        <f t="shared" si="714"/>
        <v/>
      </c>
      <c r="S620" s="418" t="str">
        <f t="shared" si="715"/>
        <v/>
      </c>
      <c r="T620" s="418" t="str">
        <f t="shared" si="716"/>
        <v/>
      </c>
      <c r="U620" s="418" t="str">
        <f t="shared" si="717"/>
        <v/>
      </c>
      <c r="V620" s="418" t="str">
        <f t="shared" si="718"/>
        <v/>
      </c>
      <c r="W620" s="418" t="str">
        <f t="shared" si="719"/>
        <v/>
      </c>
      <c r="X620" s="418" t="str">
        <f t="shared" si="720"/>
        <v/>
      </c>
      <c r="Y620" s="418" t="str">
        <f t="shared" si="721"/>
        <v/>
      </c>
      <c r="Z620" s="418" t="str">
        <f t="shared" si="722"/>
        <v/>
      </c>
      <c r="AA620" s="418" t="str">
        <f t="shared" si="723"/>
        <v/>
      </c>
      <c r="AB620" s="418" t="str">
        <f t="shared" si="724"/>
        <v/>
      </c>
      <c r="AC620" s="418">
        <f t="shared" si="725"/>
        <v>2448</v>
      </c>
      <c r="AD620" s="418" t="str">
        <f t="shared" si="726"/>
        <v/>
      </c>
      <c r="AE620" s="418" t="str">
        <f t="shared" si="727"/>
        <v/>
      </c>
      <c r="AF620" s="418" t="str">
        <f t="shared" si="728"/>
        <v/>
      </c>
      <c r="AG620" s="418" t="str">
        <f t="shared" si="729"/>
        <v/>
      </c>
      <c r="AH620" s="418" t="str">
        <f t="shared" si="730"/>
        <v/>
      </c>
      <c r="AI620" s="418" t="str">
        <f t="shared" si="731"/>
        <v/>
      </c>
      <c r="AJ620" s="418" t="str">
        <f t="shared" si="732"/>
        <v/>
      </c>
      <c r="AK620" s="418" t="str">
        <f t="shared" si="733"/>
        <v/>
      </c>
      <c r="AL620" s="418" t="str">
        <f t="shared" si="734"/>
        <v/>
      </c>
      <c r="AM620" s="418" t="str">
        <f t="shared" si="735"/>
        <v/>
      </c>
      <c r="AN620" s="418" t="str">
        <f t="shared" si="736"/>
        <v/>
      </c>
      <c r="AO620" s="418" t="str">
        <f t="shared" si="737"/>
        <v/>
      </c>
      <c r="AP620" s="418" t="str">
        <f t="shared" si="738"/>
        <v/>
      </c>
      <c r="AQ620" s="418" t="str">
        <f t="shared" si="739"/>
        <v/>
      </c>
      <c r="AR620" s="418" t="str">
        <f t="shared" si="740"/>
        <v/>
      </c>
      <c r="AS620" s="418" t="str">
        <f t="shared" si="741"/>
        <v/>
      </c>
      <c r="AT620" s="418" t="str">
        <f t="shared" si="742"/>
        <v/>
      </c>
      <c r="AU620" s="418" t="str">
        <f t="shared" si="743"/>
        <v/>
      </c>
      <c r="AV620" s="418" t="str">
        <f t="shared" si="744"/>
        <v/>
      </c>
      <c r="AW620" s="418" t="str">
        <f t="shared" si="745"/>
        <v/>
      </c>
      <c r="AX620" s="418" t="str">
        <f t="shared" si="746"/>
        <v/>
      </c>
      <c r="AY620" s="418" t="str">
        <f t="shared" si="747"/>
        <v/>
      </c>
      <c r="AZ620" s="418" t="str">
        <f t="shared" si="748"/>
        <v/>
      </c>
      <c r="BA620" s="418" t="str">
        <f t="shared" si="749"/>
        <v/>
      </c>
      <c r="BB620" s="418" t="str">
        <f t="shared" si="750"/>
        <v/>
      </c>
      <c r="BC620" s="418" t="str">
        <f t="shared" si="751"/>
        <v/>
      </c>
      <c r="BD620" s="418" t="str">
        <f t="shared" si="752"/>
        <v/>
      </c>
      <c r="BE620" s="418" t="str">
        <f t="shared" si="753"/>
        <v/>
      </c>
      <c r="BF620" s="418" t="str">
        <f t="shared" si="754"/>
        <v/>
      </c>
      <c r="BG620" s="418" t="str">
        <f t="shared" si="755"/>
        <v/>
      </c>
      <c r="BH620" s="418" t="str">
        <f t="shared" si="756"/>
        <v/>
      </c>
      <c r="BI620" s="418" t="str">
        <f t="shared" si="757"/>
        <v/>
      </c>
      <c r="BJ620" s="418" t="str">
        <f t="shared" si="758"/>
        <v/>
      </c>
      <c r="BK620" s="418" t="str">
        <f t="shared" ref="BK620:BS620" si="778">IF(OR($E620="",BK$1=""),"",IF(TRIM(LEFT($E620,MIN(IFERROR(FIND("CDU",UPPER($E620)),999),IFERROR(FIND("BULK",UPPER($E620)),999),IFERROR(FIND("-",$E620),999),IFERROR(FIND("（",$E620),999))-1))=BK$1,$F620,""))</f>
        <v/>
      </c>
      <c r="BL620" s="418" t="str">
        <f t="shared" si="778"/>
        <v/>
      </c>
      <c r="BM620" s="418" t="str">
        <f t="shared" si="778"/>
        <v/>
      </c>
      <c r="BN620" s="418" t="str">
        <f t="shared" si="778"/>
        <v/>
      </c>
      <c r="BO620" s="418" t="str">
        <f t="shared" si="778"/>
        <v/>
      </c>
      <c r="BP620" s="418" t="str">
        <f t="shared" si="778"/>
        <v/>
      </c>
      <c r="BQ620" s="418" t="str">
        <f t="shared" si="778"/>
        <v/>
      </c>
      <c r="BR620" s="418" t="str">
        <f t="shared" si="778"/>
        <v/>
      </c>
      <c r="BS620" s="418" t="str">
        <f t="shared" si="778"/>
        <v/>
      </c>
      <c r="BT620" s="418" t="str">
        <f t="shared" si="760"/>
        <v/>
      </c>
      <c r="BU620" s="418" t="str">
        <f t="shared" si="761"/>
        <v/>
      </c>
      <c r="BV620" s="544">
        <v>0.64</v>
      </c>
      <c r="BW620" s="723">
        <f t="shared" si="762"/>
        <v>1566.72</v>
      </c>
      <c r="BX620" s="724">
        <f t="shared" si="763"/>
        <v>12142.08</v>
      </c>
      <c r="BY620" s="725" t="str">
        <f t="shared" si="764"/>
        <v>SR</v>
      </c>
    </row>
    <row r="621" s="697" customFormat="1" customHeight="1" spans="1:77">
      <c r="A621" s="116">
        <v>46139</v>
      </c>
      <c r="B621" s="116">
        <v>46200</v>
      </c>
      <c r="C621" s="418" t="s">
        <v>785</v>
      </c>
      <c r="D621" s="418" t="s">
        <v>786</v>
      </c>
      <c r="E621" s="418" t="s">
        <v>138</v>
      </c>
      <c r="F621" s="737">
        <v>2016</v>
      </c>
      <c r="G621" s="418" t="s">
        <v>341</v>
      </c>
      <c r="H621" s="118" t="str">
        <f>IFERROR(VLOOKUP(E621,名称!A:E,4,0),"")</f>
        <v>三代</v>
      </c>
      <c r="I621" s="418" t="str">
        <f t="shared" si="705"/>
        <v/>
      </c>
      <c r="J621" s="418" t="str">
        <f t="shared" si="706"/>
        <v/>
      </c>
      <c r="K621" s="418" t="str">
        <f t="shared" si="707"/>
        <v/>
      </c>
      <c r="L621" s="418" t="str">
        <f t="shared" si="708"/>
        <v/>
      </c>
      <c r="M621" s="418" t="str">
        <f t="shared" si="709"/>
        <v/>
      </c>
      <c r="N621" s="418" t="str">
        <f t="shared" si="710"/>
        <v/>
      </c>
      <c r="O621" s="418" t="str">
        <f t="shared" si="711"/>
        <v/>
      </c>
      <c r="P621" s="418" t="str">
        <f t="shared" si="712"/>
        <v/>
      </c>
      <c r="Q621" s="418" t="str">
        <f t="shared" si="713"/>
        <v/>
      </c>
      <c r="R621" s="418" t="str">
        <f t="shared" si="714"/>
        <v/>
      </c>
      <c r="S621" s="418" t="str">
        <f t="shared" si="715"/>
        <v/>
      </c>
      <c r="T621" s="418" t="str">
        <f t="shared" si="716"/>
        <v/>
      </c>
      <c r="U621" s="418" t="str">
        <f t="shared" si="717"/>
        <v/>
      </c>
      <c r="V621" s="418" t="str">
        <f t="shared" si="718"/>
        <v/>
      </c>
      <c r="W621" s="418" t="str">
        <f t="shared" si="719"/>
        <v/>
      </c>
      <c r="X621" s="418" t="str">
        <f t="shared" si="720"/>
        <v/>
      </c>
      <c r="Y621" s="418" t="str">
        <f t="shared" si="721"/>
        <v/>
      </c>
      <c r="Z621" s="418" t="str">
        <f t="shared" si="722"/>
        <v/>
      </c>
      <c r="AA621" s="418" t="str">
        <f t="shared" si="723"/>
        <v/>
      </c>
      <c r="AB621" s="418" t="str">
        <f t="shared" si="724"/>
        <v/>
      </c>
      <c r="AC621" s="418">
        <f t="shared" si="725"/>
        <v>2016</v>
      </c>
      <c r="AD621" s="418" t="str">
        <f t="shared" si="726"/>
        <v/>
      </c>
      <c r="AE621" s="418" t="str">
        <f t="shared" si="727"/>
        <v/>
      </c>
      <c r="AF621" s="418" t="str">
        <f t="shared" si="728"/>
        <v/>
      </c>
      <c r="AG621" s="418" t="str">
        <f t="shared" si="729"/>
        <v/>
      </c>
      <c r="AH621" s="418" t="str">
        <f t="shared" si="730"/>
        <v/>
      </c>
      <c r="AI621" s="418" t="str">
        <f t="shared" si="731"/>
        <v/>
      </c>
      <c r="AJ621" s="418" t="str">
        <f t="shared" si="732"/>
        <v/>
      </c>
      <c r="AK621" s="418" t="str">
        <f t="shared" si="733"/>
        <v/>
      </c>
      <c r="AL621" s="418" t="str">
        <f t="shared" si="734"/>
        <v/>
      </c>
      <c r="AM621" s="418" t="str">
        <f t="shared" si="735"/>
        <v/>
      </c>
      <c r="AN621" s="418" t="str">
        <f t="shared" si="736"/>
        <v/>
      </c>
      <c r="AO621" s="418" t="str">
        <f t="shared" si="737"/>
        <v/>
      </c>
      <c r="AP621" s="418" t="str">
        <f t="shared" si="738"/>
        <v/>
      </c>
      <c r="AQ621" s="418" t="str">
        <f t="shared" si="739"/>
        <v/>
      </c>
      <c r="AR621" s="418" t="str">
        <f t="shared" si="740"/>
        <v/>
      </c>
      <c r="AS621" s="418" t="str">
        <f t="shared" si="741"/>
        <v/>
      </c>
      <c r="AT621" s="418" t="str">
        <f t="shared" si="742"/>
        <v/>
      </c>
      <c r="AU621" s="418" t="str">
        <f t="shared" si="743"/>
        <v/>
      </c>
      <c r="AV621" s="418" t="str">
        <f t="shared" si="744"/>
        <v/>
      </c>
      <c r="AW621" s="418" t="str">
        <f t="shared" si="745"/>
        <v/>
      </c>
      <c r="AX621" s="418" t="str">
        <f t="shared" si="746"/>
        <v/>
      </c>
      <c r="AY621" s="418" t="str">
        <f t="shared" si="747"/>
        <v/>
      </c>
      <c r="AZ621" s="418" t="str">
        <f t="shared" si="748"/>
        <v/>
      </c>
      <c r="BA621" s="418" t="str">
        <f t="shared" si="749"/>
        <v/>
      </c>
      <c r="BB621" s="418" t="str">
        <f t="shared" si="750"/>
        <v/>
      </c>
      <c r="BC621" s="418" t="str">
        <f t="shared" si="751"/>
        <v/>
      </c>
      <c r="BD621" s="418" t="str">
        <f t="shared" si="752"/>
        <v/>
      </c>
      <c r="BE621" s="418" t="str">
        <f t="shared" si="753"/>
        <v/>
      </c>
      <c r="BF621" s="418" t="str">
        <f t="shared" si="754"/>
        <v/>
      </c>
      <c r="BG621" s="418" t="str">
        <f t="shared" si="755"/>
        <v/>
      </c>
      <c r="BH621" s="418" t="str">
        <f t="shared" si="756"/>
        <v/>
      </c>
      <c r="BI621" s="418" t="str">
        <f t="shared" si="757"/>
        <v/>
      </c>
      <c r="BJ621" s="418" t="str">
        <f t="shared" si="758"/>
        <v/>
      </c>
      <c r="BK621" s="418" t="str">
        <f t="shared" ref="BK621:BS621" si="779">IF(OR($E621="",BK$1=""),"",IF(TRIM(LEFT($E621,MIN(IFERROR(FIND("CDU",UPPER($E621)),999),IFERROR(FIND("BULK",UPPER($E621)),999),IFERROR(FIND("-",$E621),999),IFERROR(FIND("（",$E621),999))-1))=BK$1,$F621,""))</f>
        <v/>
      </c>
      <c r="BL621" s="418" t="str">
        <f t="shared" si="779"/>
        <v/>
      </c>
      <c r="BM621" s="418" t="str">
        <f t="shared" si="779"/>
        <v/>
      </c>
      <c r="BN621" s="418" t="str">
        <f t="shared" si="779"/>
        <v/>
      </c>
      <c r="BO621" s="418" t="str">
        <f t="shared" si="779"/>
        <v/>
      </c>
      <c r="BP621" s="418" t="str">
        <f t="shared" si="779"/>
        <v/>
      </c>
      <c r="BQ621" s="418" t="str">
        <f t="shared" si="779"/>
        <v/>
      </c>
      <c r="BR621" s="418" t="str">
        <f t="shared" si="779"/>
        <v/>
      </c>
      <c r="BS621" s="418" t="str">
        <f t="shared" si="779"/>
        <v/>
      </c>
      <c r="BT621" s="418" t="str">
        <f t="shared" si="760"/>
        <v/>
      </c>
      <c r="BU621" s="418" t="str">
        <f t="shared" si="761"/>
        <v/>
      </c>
      <c r="BV621" s="544">
        <v>0.64</v>
      </c>
      <c r="BW621" s="723">
        <f t="shared" si="762"/>
        <v>1290.24</v>
      </c>
      <c r="BX621" s="724">
        <f t="shared" si="763"/>
        <v>9999.36</v>
      </c>
      <c r="BY621" s="725" t="str">
        <f t="shared" si="764"/>
        <v>SR</v>
      </c>
    </row>
    <row r="622" s="697" customFormat="1" customHeight="1" spans="1:77">
      <c r="A622" s="116">
        <v>46139</v>
      </c>
      <c r="B622" s="116">
        <v>46200</v>
      </c>
      <c r="C622" s="418" t="s">
        <v>785</v>
      </c>
      <c r="D622" s="418" t="s">
        <v>786</v>
      </c>
      <c r="E622" s="418" t="s">
        <v>140</v>
      </c>
      <c r="F622" s="737">
        <v>2016</v>
      </c>
      <c r="G622" s="418" t="s">
        <v>341</v>
      </c>
      <c r="H622" s="118" t="str">
        <f>IFERROR(VLOOKUP(E622,名称!A:E,4,0),"")</f>
        <v>三代</v>
      </c>
      <c r="I622" s="418" t="str">
        <f t="shared" si="705"/>
        <v/>
      </c>
      <c r="J622" s="418" t="str">
        <f t="shared" si="706"/>
        <v/>
      </c>
      <c r="K622" s="418" t="str">
        <f t="shared" si="707"/>
        <v/>
      </c>
      <c r="L622" s="418" t="str">
        <f t="shared" si="708"/>
        <v/>
      </c>
      <c r="M622" s="418" t="str">
        <f t="shared" si="709"/>
        <v/>
      </c>
      <c r="N622" s="418" t="str">
        <f t="shared" si="710"/>
        <v/>
      </c>
      <c r="O622" s="418" t="str">
        <f t="shared" si="711"/>
        <v/>
      </c>
      <c r="P622" s="418" t="str">
        <f t="shared" si="712"/>
        <v/>
      </c>
      <c r="Q622" s="418" t="str">
        <f t="shared" si="713"/>
        <v/>
      </c>
      <c r="R622" s="418" t="str">
        <f t="shared" si="714"/>
        <v/>
      </c>
      <c r="S622" s="418" t="str">
        <f t="shared" si="715"/>
        <v/>
      </c>
      <c r="T622" s="418" t="str">
        <f t="shared" si="716"/>
        <v/>
      </c>
      <c r="U622" s="418" t="str">
        <f t="shared" si="717"/>
        <v/>
      </c>
      <c r="V622" s="418" t="str">
        <f t="shared" si="718"/>
        <v/>
      </c>
      <c r="W622" s="418" t="str">
        <f t="shared" si="719"/>
        <v/>
      </c>
      <c r="X622" s="418" t="str">
        <f t="shared" si="720"/>
        <v/>
      </c>
      <c r="Y622" s="418" t="str">
        <f t="shared" si="721"/>
        <v/>
      </c>
      <c r="Z622" s="418" t="str">
        <f t="shared" si="722"/>
        <v/>
      </c>
      <c r="AA622" s="418" t="str">
        <f t="shared" si="723"/>
        <v/>
      </c>
      <c r="AB622" s="418" t="str">
        <f t="shared" si="724"/>
        <v/>
      </c>
      <c r="AC622" s="418">
        <f t="shared" si="725"/>
        <v>2016</v>
      </c>
      <c r="AD622" s="418" t="str">
        <f t="shared" si="726"/>
        <v/>
      </c>
      <c r="AE622" s="418" t="str">
        <f t="shared" si="727"/>
        <v/>
      </c>
      <c r="AF622" s="418" t="str">
        <f t="shared" si="728"/>
        <v/>
      </c>
      <c r="AG622" s="418" t="str">
        <f t="shared" si="729"/>
        <v/>
      </c>
      <c r="AH622" s="418" t="str">
        <f t="shared" si="730"/>
        <v/>
      </c>
      <c r="AI622" s="418" t="str">
        <f t="shared" si="731"/>
        <v/>
      </c>
      <c r="AJ622" s="418" t="str">
        <f t="shared" si="732"/>
        <v/>
      </c>
      <c r="AK622" s="418" t="str">
        <f t="shared" si="733"/>
        <v/>
      </c>
      <c r="AL622" s="418" t="str">
        <f t="shared" si="734"/>
        <v/>
      </c>
      <c r="AM622" s="418" t="str">
        <f t="shared" si="735"/>
        <v/>
      </c>
      <c r="AN622" s="418" t="str">
        <f t="shared" si="736"/>
        <v/>
      </c>
      <c r="AO622" s="418" t="str">
        <f t="shared" si="737"/>
        <v/>
      </c>
      <c r="AP622" s="418" t="str">
        <f t="shared" si="738"/>
        <v/>
      </c>
      <c r="AQ622" s="418" t="str">
        <f t="shared" si="739"/>
        <v/>
      </c>
      <c r="AR622" s="418" t="str">
        <f t="shared" si="740"/>
        <v/>
      </c>
      <c r="AS622" s="418" t="str">
        <f t="shared" si="741"/>
        <v/>
      </c>
      <c r="AT622" s="418" t="str">
        <f t="shared" si="742"/>
        <v/>
      </c>
      <c r="AU622" s="418" t="str">
        <f t="shared" si="743"/>
        <v/>
      </c>
      <c r="AV622" s="418" t="str">
        <f t="shared" si="744"/>
        <v/>
      </c>
      <c r="AW622" s="418" t="str">
        <f t="shared" si="745"/>
        <v/>
      </c>
      <c r="AX622" s="418" t="str">
        <f t="shared" si="746"/>
        <v/>
      </c>
      <c r="AY622" s="418" t="str">
        <f t="shared" si="747"/>
        <v/>
      </c>
      <c r="AZ622" s="418" t="str">
        <f t="shared" si="748"/>
        <v/>
      </c>
      <c r="BA622" s="418" t="str">
        <f t="shared" si="749"/>
        <v/>
      </c>
      <c r="BB622" s="418" t="str">
        <f t="shared" si="750"/>
        <v/>
      </c>
      <c r="BC622" s="418" t="str">
        <f t="shared" si="751"/>
        <v/>
      </c>
      <c r="BD622" s="418" t="str">
        <f t="shared" si="752"/>
        <v/>
      </c>
      <c r="BE622" s="418" t="str">
        <f t="shared" si="753"/>
        <v/>
      </c>
      <c r="BF622" s="418" t="str">
        <f t="shared" si="754"/>
        <v/>
      </c>
      <c r="BG622" s="418" t="str">
        <f t="shared" si="755"/>
        <v/>
      </c>
      <c r="BH622" s="418" t="str">
        <f t="shared" si="756"/>
        <v/>
      </c>
      <c r="BI622" s="418" t="str">
        <f t="shared" si="757"/>
        <v/>
      </c>
      <c r="BJ622" s="418" t="str">
        <f t="shared" si="758"/>
        <v/>
      </c>
      <c r="BK622" s="418" t="str">
        <f t="shared" ref="BK622:BS622" si="780">IF(OR($E622="",BK$1=""),"",IF(TRIM(LEFT($E622,MIN(IFERROR(FIND("CDU",UPPER($E622)),999),IFERROR(FIND("BULK",UPPER($E622)),999),IFERROR(FIND("-",$E622),999),IFERROR(FIND("（",$E622),999))-1))=BK$1,$F622,""))</f>
        <v/>
      </c>
      <c r="BL622" s="418" t="str">
        <f t="shared" si="780"/>
        <v/>
      </c>
      <c r="BM622" s="418" t="str">
        <f t="shared" si="780"/>
        <v/>
      </c>
      <c r="BN622" s="418" t="str">
        <f t="shared" si="780"/>
        <v/>
      </c>
      <c r="BO622" s="418" t="str">
        <f t="shared" si="780"/>
        <v/>
      </c>
      <c r="BP622" s="418" t="str">
        <f t="shared" si="780"/>
        <v/>
      </c>
      <c r="BQ622" s="418" t="str">
        <f t="shared" si="780"/>
        <v/>
      </c>
      <c r="BR622" s="418" t="str">
        <f t="shared" si="780"/>
        <v/>
      </c>
      <c r="BS622" s="418" t="str">
        <f t="shared" si="780"/>
        <v/>
      </c>
      <c r="BT622" s="418" t="str">
        <f t="shared" si="760"/>
        <v/>
      </c>
      <c r="BU622" s="418" t="str">
        <f t="shared" si="761"/>
        <v/>
      </c>
      <c r="BV622" s="544">
        <v>0.64</v>
      </c>
      <c r="BW622" s="723">
        <f t="shared" si="762"/>
        <v>1290.24</v>
      </c>
      <c r="BX622" s="724">
        <f t="shared" si="763"/>
        <v>9999.36</v>
      </c>
      <c r="BY622" s="725" t="str">
        <f t="shared" si="764"/>
        <v>SR</v>
      </c>
    </row>
    <row r="623" s="697" customFormat="1" customHeight="1" spans="1:77">
      <c r="A623" s="116">
        <v>46139</v>
      </c>
      <c r="B623" s="116">
        <v>46200</v>
      </c>
      <c r="C623" s="418" t="s">
        <v>785</v>
      </c>
      <c r="D623" s="418" t="s">
        <v>786</v>
      </c>
      <c r="E623" s="418" t="s">
        <v>141</v>
      </c>
      <c r="F623" s="737">
        <v>2016</v>
      </c>
      <c r="G623" s="418" t="s">
        <v>341</v>
      </c>
      <c r="H623" s="118" t="str">
        <f>IFERROR(VLOOKUP(E623,名称!A:E,4,0),"")</f>
        <v>三代</v>
      </c>
      <c r="I623" s="418" t="str">
        <f t="shared" si="705"/>
        <v/>
      </c>
      <c r="J623" s="418" t="str">
        <f t="shared" si="706"/>
        <v/>
      </c>
      <c r="K623" s="418" t="str">
        <f t="shared" si="707"/>
        <v/>
      </c>
      <c r="L623" s="418" t="str">
        <f t="shared" si="708"/>
        <v/>
      </c>
      <c r="M623" s="418" t="str">
        <f t="shared" si="709"/>
        <v/>
      </c>
      <c r="N623" s="418" t="str">
        <f t="shared" si="710"/>
        <v/>
      </c>
      <c r="O623" s="418" t="str">
        <f t="shared" si="711"/>
        <v/>
      </c>
      <c r="P623" s="418" t="str">
        <f t="shared" si="712"/>
        <v/>
      </c>
      <c r="Q623" s="418" t="str">
        <f t="shared" si="713"/>
        <v/>
      </c>
      <c r="R623" s="418" t="str">
        <f t="shared" si="714"/>
        <v/>
      </c>
      <c r="S623" s="418" t="str">
        <f t="shared" si="715"/>
        <v/>
      </c>
      <c r="T623" s="418" t="str">
        <f t="shared" si="716"/>
        <v/>
      </c>
      <c r="U623" s="418" t="str">
        <f t="shared" si="717"/>
        <v/>
      </c>
      <c r="V623" s="418" t="str">
        <f t="shared" si="718"/>
        <v/>
      </c>
      <c r="W623" s="418" t="str">
        <f t="shared" si="719"/>
        <v/>
      </c>
      <c r="X623" s="418" t="str">
        <f t="shared" si="720"/>
        <v/>
      </c>
      <c r="Y623" s="418" t="str">
        <f t="shared" si="721"/>
        <v/>
      </c>
      <c r="Z623" s="418" t="str">
        <f t="shared" si="722"/>
        <v/>
      </c>
      <c r="AA623" s="418" t="str">
        <f t="shared" si="723"/>
        <v/>
      </c>
      <c r="AB623" s="418" t="str">
        <f t="shared" si="724"/>
        <v/>
      </c>
      <c r="AC623" s="418">
        <f t="shared" si="725"/>
        <v>2016</v>
      </c>
      <c r="AD623" s="418" t="str">
        <f t="shared" si="726"/>
        <v/>
      </c>
      <c r="AE623" s="418" t="str">
        <f t="shared" si="727"/>
        <v/>
      </c>
      <c r="AF623" s="418" t="str">
        <f t="shared" si="728"/>
        <v/>
      </c>
      <c r="AG623" s="418" t="str">
        <f t="shared" si="729"/>
        <v/>
      </c>
      <c r="AH623" s="418" t="str">
        <f t="shared" si="730"/>
        <v/>
      </c>
      <c r="AI623" s="418" t="str">
        <f t="shared" si="731"/>
        <v/>
      </c>
      <c r="AJ623" s="418" t="str">
        <f t="shared" si="732"/>
        <v/>
      </c>
      <c r="AK623" s="418" t="str">
        <f t="shared" si="733"/>
        <v/>
      </c>
      <c r="AL623" s="418" t="str">
        <f t="shared" si="734"/>
        <v/>
      </c>
      <c r="AM623" s="418" t="str">
        <f t="shared" si="735"/>
        <v/>
      </c>
      <c r="AN623" s="418" t="str">
        <f t="shared" si="736"/>
        <v/>
      </c>
      <c r="AO623" s="418" t="str">
        <f t="shared" si="737"/>
        <v/>
      </c>
      <c r="AP623" s="418" t="str">
        <f t="shared" si="738"/>
        <v/>
      </c>
      <c r="AQ623" s="418" t="str">
        <f t="shared" si="739"/>
        <v/>
      </c>
      <c r="AR623" s="418" t="str">
        <f t="shared" si="740"/>
        <v/>
      </c>
      <c r="AS623" s="418" t="str">
        <f t="shared" si="741"/>
        <v/>
      </c>
      <c r="AT623" s="418" t="str">
        <f t="shared" si="742"/>
        <v/>
      </c>
      <c r="AU623" s="418" t="str">
        <f t="shared" si="743"/>
        <v/>
      </c>
      <c r="AV623" s="418" t="str">
        <f t="shared" si="744"/>
        <v/>
      </c>
      <c r="AW623" s="418" t="str">
        <f t="shared" si="745"/>
        <v/>
      </c>
      <c r="AX623" s="418" t="str">
        <f t="shared" si="746"/>
        <v/>
      </c>
      <c r="AY623" s="418" t="str">
        <f t="shared" si="747"/>
        <v/>
      </c>
      <c r="AZ623" s="418" t="str">
        <f t="shared" si="748"/>
        <v/>
      </c>
      <c r="BA623" s="418" t="str">
        <f t="shared" si="749"/>
        <v/>
      </c>
      <c r="BB623" s="418" t="str">
        <f t="shared" si="750"/>
        <v/>
      </c>
      <c r="BC623" s="418" t="str">
        <f t="shared" si="751"/>
        <v/>
      </c>
      <c r="BD623" s="418" t="str">
        <f t="shared" si="752"/>
        <v/>
      </c>
      <c r="BE623" s="418" t="str">
        <f t="shared" si="753"/>
        <v/>
      </c>
      <c r="BF623" s="418" t="str">
        <f t="shared" si="754"/>
        <v/>
      </c>
      <c r="BG623" s="418" t="str">
        <f t="shared" si="755"/>
        <v/>
      </c>
      <c r="BH623" s="418" t="str">
        <f t="shared" si="756"/>
        <v/>
      </c>
      <c r="BI623" s="418" t="str">
        <f t="shared" si="757"/>
        <v/>
      </c>
      <c r="BJ623" s="418" t="str">
        <f t="shared" si="758"/>
        <v/>
      </c>
      <c r="BK623" s="418" t="str">
        <f t="shared" ref="BK623:BS623" si="781">IF(OR($E623="",BK$1=""),"",IF(TRIM(LEFT($E623,MIN(IFERROR(FIND("CDU",UPPER($E623)),999),IFERROR(FIND("BULK",UPPER($E623)),999),IFERROR(FIND("-",$E623),999),IFERROR(FIND("（",$E623),999))-1))=BK$1,$F623,""))</f>
        <v/>
      </c>
      <c r="BL623" s="418" t="str">
        <f t="shared" si="781"/>
        <v/>
      </c>
      <c r="BM623" s="418" t="str">
        <f t="shared" si="781"/>
        <v/>
      </c>
      <c r="BN623" s="418" t="str">
        <f t="shared" si="781"/>
        <v/>
      </c>
      <c r="BO623" s="418" t="str">
        <f t="shared" si="781"/>
        <v/>
      </c>
      <c r="BP623" s="418" t="str">
        <f t="shared" si="781"/>
        <v/>
      </c>
      <c r="BQ623" s="418" t="str">
        <f t="shared" si="781"/>
        <v/>
      </c>
      <c r="BR623" s="418" t="str">
        <f t="shared" si="781"/>
        <v/>
      </c>
      <c r="BS623" s="418" t="str">
        <f t="shared" si="781"/>
        <v/>
      </c>
      <c r="BT623" s="418" t="str">
        <f t="shared" si="760"/>
        <v/>
      </c>
      <c r="BU623" s="418" t="str">
        <f t="shared" si="761"/>
        <v/>
      </c>
      <c r="BV623" s="544">
        <v>0.64</v>
      </c>
      <c r="BW623" s="723">
        <f t="shared" si="762"/>
        <v>1290.24</v>
      </c>
      <c r="BX623" s="724">
        <f t="shared" si="763"/>
        <v>9999.36</v>
      </c>
      <c r="BY623" s="725" t="str">
        <f t="shared" si="764"/>
        <v>SR</v>
      </c>
    </row>
    <row r="624" s="697" customFormat="1" customHeight="1" spans="1:77">
      <c r="A624" s="116">
        <v>46139</v>
      </c>
      <c r="B624" s="116">
        <v>46200</v>
      </c>
      <c r="C624" s="418" t="s">
        <v>785</v>
      </c>
      <c r="D624" s="418" t="s">
        <v>786</v>
      </c>
      <c r="E624" s="418" t="s">
        <v>142</v>
      </c>
      <c r="F624" s="737">
        <v>18000</v>
      </c>
      <c r="G624" s="418" t="s">
        <v>341</v>
      </c>
      <c r="H624" s="118" t="str">
        <f>IFERROR(VLOOKUP(E624,名称!A:E,4,0),"")</f>
        <v>三代</v>
      </c>
      <c r="I624" s="418" t="str">
        <f t="shared" si="705"/>
        <v/>
      </c>
      <c r="J624" s="418" t="str">
        <f t="shared" si="706"/>
        <v/>
      </c>
      <c r="K624" s="418" t="str">
        <f t="shared" si="707"/>
        <v/>
      </c>
      <c r="L624" s="418" t="str">
        <f t="shared" si="708"/>
        <v/>
      </c>
      <c r="M624" s="418" t="str">
        <f t="shared" si="709"/>
        <v/>
      </c>
      <c r="N624" s="418" t="str">
        <f t="shared" si="710"/>
        <v/>
      </c>
      <c r="O624" s="418" t="str">
        <f t="shared" si="711"/>
        <v/>
      </c>
      <c r="P624" s="418" t="str">
        <f t="shared" si="712"/>
        <v/>
      </c>
      <c r="Q624" s="418" t="str">
        <f t="shared" si="713"/>
        <v/>
      </c>
      <c r="R624" s="418" t="str">
        <f t="shared" si="714"/>
        <v/>
      </c>
      <c r="S624" s="418" t="str">
        <f t="shared" si="715"/>
        <v/>
      </c>
      <c r="T624" s="418" t="str">
        <f t="shared" si="716"/>
        <v/>
      </c>
      <c r="U624" s="418" t="str">
        <f t="shared" si="717"/>
        <v/>
      </c>
      <c r="V624" s="418" t="str">
        <f t="shared" si="718"/>
        <v/>
      </c>
      <c r="W624" s="418" t="str">
        <f t="shared" si="719"/>
        <v/>
      </c>
      <c r="X624" s="418" t="str">
        <f t="shared" si="720"/>
        <v/>
      </c>
      <c r="Y624" s="418" t="str">
        <f t="shared" si="721"/>
        <v/>
      </c>
      <c r="Z624" s="418" t="str">
        <f t="shared" si="722"/>
        <v/>
      </c>
      <c r="AA624" s="418" t="str">
        <f t="shared" si="723"/>
        <v/>
      </c>
      <c r="AB624" s="418" t="str">
        <f t="shared" si="724"/>
        <v/>
      </c>
      <c r="AC624" s="418" t="str">
        <f t="shared" si="725"/>
        <v/>
      </c>
      <c r="AD624" s="418" t="str">
        <f t="shared" si="726"/>
        <v/>
      </c>
      <c r="AE624" s="418" t="str">
        <f t="shared" si="727"/>
        <v/>
      </c>
      <c r="AF624" s="418" t="str">
        <f t="shared" si="728"/>
        <v/>
      </c>
      <c r="AG624" s="418">
        <f t="shared" si="729"/>
        <v>18000</v>
      </c>
      <c r="AH624" s="418" t="str">
        <f t="shared" si="730"/>
        <v/>
      </c>
      <c r="AI624" s="418" t="str">
        <f t="shared" si="731"/>
        <v/>
      </c>
      <c r="AJ624" s="418" t="str">
        <f t="shared" si="732"/>
        <v/>
      </c>
      <c r="AK624" s="418" t="str">
        <f t="shared" si="733"/>
        <v/>
      </c>
      <c r="AL624" s="418" t="str">
        <f t="shared" si="734"/>
        <v/>
      </c>
      <c r="AM624" s="418" t="str">
        <f t="shared" si="735"/>
        <v/>
      </c>
      <c r="AN624" s="418" t="str">
        <f t="shared" si="736"/>
        <v/>
      </c>
      <c r="AO624" s="418" t="str">
        <f t="shared" si="737"/>
        <v/>
      </c>
      <c r="AP624" s="418" t="str">
        <f t="shared" si="738"/>
        <v/>
      </c>
      <c r="AQ624" s="418" t="str">
        <f t="shared" si="739"/>
        <v/>
      </c>
      <c r="AR624" s="418" t="str">
        <f t="shared" si="740"/>
        <v/>
      </c>
      <c r="AS624" s="418" t="str">
        <f t="shared" si="741"/>
        <v/>
      </c>
      <c r="AT624" s="418" t="str">
        <f t="shared" si="742"/>
        <v/>
      </c>
      <c r="AU624" s="418" t="str">
        <f t="shared" si="743"/>
        <v/>
      </c>
      <c r="AV624" s="418" t="str">
        <f t="shared" si="744"/>
        <v/>
      </c>
      <c r="AW624" s="418" t="str">
        <f t="shared" si="745"/>
        <v/>
      </c>
      <c r="AX624" s="418" t="str">
        <f t="shared" si="746"/>
        <v/>
      </c>
      <c r="AY624" s="418" t="str">
        <f t="shared" si="747"/>
        <v/>
      </c>
      <c r="AZ624" s="418" t="str">
        <f t="shared" si="748"/>
        <v/>
      </c>
      <c r="BA624" s="418" t="str">
        <f t="shared" si="749"/>
        <v/>
      </c>
      <c r="BB624" s="418" t="str">
        <f t="shared" si="750"/>
        <v/>
      </c>
      <c r="BC624" s="418" t="str">
        <f t="shared" si="751"/>
        <v/>
      </c>
      <c r="BD624" s="418" t="str">
        <f t="shared" si="752"/>
        <v/>
      </c>
      <c r="BE624" s="418" t="str">
        <f t="shared" si="753"/>
        <v/>
      </c>
      <c r="BF624" s="418" t="str">
        <f t="shared" si="754"/>
        <v/>
      </c>
      <c r="BG624" s="418" t="str">
        <f t="shared" si="755"/>
        <v/>
      </c>
      <c r="BH624" s="418" t="str">
        <f t="shared" si="756"/>
        <v/>
      </c>
      <c r="BI624" s="418" t="str">
        <f t="shared" si="757"/>
        <v/>
      </c>
      <c r="BJ624" s="418" t="str">
        <f t="shared" si="758"/>
        <v/>
      </c>
      <c r="BK624" s="418" t="str">
        <f t="shared" ref="BK624:BS624" si="782">IF(OR($E624="",BK$1=""),"",IF(TRIM(LEFT($E624,MIN(IFERROR(FIND("CDU",UPPER($E624)),999),IFERROR(FIND("BULK",UPPER($E624)),999),IFERROR(FIND("-",$E624),999),IFERROR(FIND("（",$E624),999))-1))=BK$1,$F624,""))</f>
        <v/>
      </c>
      <c r="BL624" s="418" t="str">
        <f t="shared" si="782"/>
        <v/>
      </c>
      <c r="BM624" s="418" t="str">
        <f t="shared" si="782"/>
        <v/>
      </c>
      <c r="BN624" s="418" t="str">
        <f t="shared" si="782"/>
        <v/>
      </c>
      <c r="BO624" s="418" t="str">
        <f t="shared" si="782"/>
        <v/>
      </c>
      <c r="BP624" s="418" t="str">
        <f t="shared" si="782"/>
        <v/>
      </c>
      <c r="BQ624" s="418" t="str">
        <f t="shared" si="782"/>
        <v/>
      </c>
      <c r="BR624" s="418" t="str">
        <f t="shared" si="782"/>
        <v/>
      </c>
      <c r="BS624" s="418" t="str">
        <f t="shared" si="782"/>
        <v/>
      </c>
      <c r="BT624" s="418" t="str">
        <f t="shared" si="760"/>
        <v/>
      </c>
      <c r="BU624" s="418" t="str">
        <f t="shared" si="761"/>
        <v/>
      </c>
      <c r="BV624" s="544">
        <v>1.67</v>
      </c>
      <c r="BW624" s="723">
        <f t="shared" si="762"/>
        <v>30060</v>
      </c>
      <c r="BX624" s="724">
        <f t="shared" si="763"/>
        <v>232965</v>
      </c>
      <c r="BY624" s="725" t="str">
        <f t="shared" si="764"/>
        <v>SR</v>
      </c>
    </row>
    <row r="625" s="697" customFormat="1" customHeight="1" spans="1:77">
      <c r="A625" s="116">
        <v>46139</v>
      </c>
      <c r="B625" s="116">
        <v>46200</v>
      </c>
      <c r="C625" s="418" t="s">
        <v>785</v>
      </c>
      <c r="D625" s="418" t="s">
        <v>786</v>
      </c>
      <c r="E625" s="418" t="s">
        <v>143</v>
      </c>
      <c r="F625" s="737">
        <v>3000</v>
      </c>
      <c r="G625" s="418" t="s">
        <v>341</v>
      </c>
      <c r="H625" s="118" t="str">
        <f>IFERROR(VLOOKUP(E625,名称!A:E,4,0),"")</f>
        <v>三代</v>
      </c>
      <c r="I625" s="418" t="str">
        <f t="shared" si="705"/>
        <v/>
      </c>
      <c r="J625" s="418" t="str">
        <f t="shared" si="706"/>
        <v/>
      </c>
      <c r="K625" s="418" t="str">
        <f t="shared" si="707"/>
        <v/>
      </c>
      <c r="L625" s="418" t="str">
        <f t="shared" si="708"/>
        <v/>
      </c>
      <c r="M625" s="418" t="str">
        <f t="shared" si="709"/>
        <v/>
      </c>
      <c r="N625" s="418" t="str">
        <f t="shared" si="710"/>
        <v/>
      </c>
      <c r="O625" s="418" t="str">
        <f t="shared" si="711"/>
        <v/>
      </c>
      <c r="P625" s="418" t="str">
        <f t="shared" si="712"/>
        <v/>
      </c>
      <c r="Q625" s="418" t="str">
        <f t="shared" si="713"/>
        <v/>
      </c>
      <c r="R625" s="418" t="str">
        <f t="shared" si="714"/>
        <v/>
      </c>
      <c r="S625" s="418" t="str">
        <f t="shared" si="715"/>
        <v/>
      </c>
      <c r="T625" s="418" t="str">
        <f t="shared" si="716"/>
        <v/>
      </c>
      <c r="U625" s="418" t="str">
        <f t="shared" si="717"/>
        <v/>
      </c>
      <c r="V625" s="418" t="str">
        <f t="shared" si="718"/>
        <v/>
      </c>
      <c r="W625" s="418" t="str">
        <f t="shared" si="719"/>
        <v/>
      </c>
      <c r="X625" s="418" t="str">
        <f t="shared" si="720"/>
        <v/>
      </c>
      <c r="Y625" s="418" t="str">
        <f t="shared" si="721"/>
        <v/>
      </c>
      <c r="Z625" s="418" t="str">
        <f t="shared" si="722"/>
        <v/>
      </c>
      <c r="AA625" s="418" t="str">
        <f t="shared" si="723"/>
        <v/>
      </c>
      <c r="AB625" s="418" t="str">
        <f t="shared" si="724"/>
        <v/>
      </c>
      <c r="AC625" s="418" t="str">
        <f t="shared" si="725"/>
        <v/>
      </c>
      <c r="AD625" s="418" t="str">
        <f t="shared" si="726"/>
        <v/>
      </c>
      <c r="AE625" s="418" t="str">
        <f t="shared" si="727"/>
        <v/>
      </c>
      <c r="AF625" s="418" t="str">
        <f t="shared" si="728"/>
        <v/>
      </c>
      <c r="AG625" s="418" t="str">
        <f t="shared" si="729"/>
        <v/>
      </c>
      <c r="AH625" s="418">
        <f t="shared" si="730"/>
        <v>3000</v>
      </c>
      <c r="AI625" s="418" t="str">
        <f t="shared" si="731"/>
        <v/>
      </c>
      <c r="AJ625" s="418" t="str">
        <f t="shared" si="732"/>
        <v/>
      </c>
      <c r="AK625" s="418" t="str">
        <f t="shared" si="733"/>
        <v/>
      </c>
      <c r="AL625" s="418" t="str">
        <f t="shared" si="734"/>
        <v/>
      </c>
      <c r="AM625" s="418" t="str">
        <f t="shared" si="735"/>
        <v/>
      </c>
      <c r="AN625" s="418" t="str">
        <f t="shared" si="736"/>
        <v/>
      </c>
      <c r="AO625" s="418" t="str">
        <f t="shared" si="737"/>
        <v/>
      </c>
      <c r="AP625" s="418" t="str">
        <f t="shared" si="738"/>
        <v/>
      </c>
      <c r="AQ625" s="418" t="str">
        <f t="shared" si="739"/>
        <v/>
      </c>
      <c r="AR625" s="418" t="str">
        <f t="shared" si="740"/>
        <v/>
      </c>
      <c r="AS625" s="418" t="str">
        <f t="shared" si="741"/>
        <v/>
      </c>
      <c r="AT625" s="418" t="str">
        <f t="shared" si="742"/>
        <v/>
      </c>
      <c r="AU625" s="418" t="str">
        <f t="shared" si="743"/>
        <v/>
      </c>
      <c r="AV625" s="418" t="str">
        <f t="shared" si="744"/>
        <v/>
      </c>
      <c r="AW625" s="418" t="str">
        <f t="shared" si="745"/>
        <v/>
      </c>
      <c r="AX625" s="418" t="str">
        <f t="shared" si="746"/>
        <v/>
      </c>
      <c r="AY625" s="418" t="str">
        <f t="shared" si="747"/>
        <v/>
      </c>
      <c r="AZ625" s="418" t="str">
        <f t="shared" si="748"/>
        <v/>
      </c>
      <c r="BA625" s="418" t="str">
        <f t="shared" si="749"/>
        <v/>
      </c>
      <c r="BB625" s="418" t="str">
        <f t="shared" si="750"/>
        <v/>
      </c>
      <c r="BC625" s="418" t="str">
        <f t="shared" si="751"/>
        <v/>
      </c>
      <c r="BD625" s="418" t="str">
        <f t="shared" si="752"/>
        <v/>
      </c>
      <c r="BE625" s="418" t="str">
        <f t="shared" si="753"/>
        <v/>
      </c>
      <c r="BF625" s="418" t="str">
        <f t="shared" si="754"/>
        <v/>
      </c>
      <c r="BG625" s="418" t="str">
        <f t="shared" si="755"/>
        <v/>
      </c>
      <c r="BH625" s="418" t="str">
        <f t="shared" si="756"/>
        <v/>
      </c>
      <c r="BI625" s="418" t="str">
        <f t="shared" si="757"/>
        <v/>
      </c>
      <c r="BJ625" s="418" t="str">
        <f t="shared" si="758"/>
        <v/>
      </c>
      <c r="BK625" s="418" t="str">
        <f t="shared" ref="BK625:BS625" si="783">IF(OR($E625="",BK$1=""),"",IF(TRIM(LEFT($E625,MIN(IFERROR(FIND("CDU",UPPER($E625)),999),IFERROR(FIND("BULK",UPPER($E625)),999),IFERROR(FIND("-",$E625),999),IFERROR(FIND("（",$E625),999))-1))=BK$1,$F625,""))</f>
        <v/>
      </c>
      <c r="BL625" s="418" t="str">
        <f t="shared" si="783"/>
        <v/>
      </c>
      <c r="BM625" s="418" t="str">
        <f t="shared" si="783"/>
        <v/>
      </c>
      <c r="BN625" s="418" t="str">
        <f t="shared" si="783"/>
        <v/>
      </c>
      <c r="BO625" s="418" t="str">
        <f t="shared" si="783"/>
        <v/>
      </c>
      <c r="BP625" s="418" t="str">
        <f t="shared" si="783"/>
        <v/>
      </c>
      <c r="BQ625" s="418" t="str">
        <f t="shared" si="783"/>
        <v/>
      </c>
      <c r="BR625" s="418" t="str">
        <f t="shared" si="783"/>
        <v/>
      </c>
      <c r="BS625" s="418" t="str">
        <f t="shared" si="783"/>
        <v/>
      </c>
      <c r="BT625" s="418" t="str">
        <f t="shared" si="760"/>
        <v/>
      </c>
      <c r="BU625" s="418" t="str">
        <f t="shared" si="761"/>
        <v/>
      </c>
      <c r="BV625" s="544">
        <v>2.57</v>
      </c>
      <c r="BW625" s="723">
        <f t="shared" si="762"/>
        <v>7710</v>
      </c>
      <c r="BX625" s="724">
        <f t="shared" si="763"/>
        <v>59752.5</v>
      </c>
      <c r="BY625" s="725" t="str">
        <f t="shared" si="764"/>
        <v>SR</v>
      </c>
    </row>
    <row r="626" s="697" customFormat="1" customHeight="1" spans="1:77">
      <c r="A626" s="116">
        <v>46139</v>
      </c>
      <c r="B626" s="116">
        <v>46200</v>
      </c>
      <c r="C626" s="418" t="s">
        <v>785</v>
      </c>
      <c r="D626" s="418" t="s">
        <v>786</v>
      </c>
      <c r="E626" s="418" t="s">
        <v>162</v>
      </c>
      <c r="F626" s="737">
        <v>1536</v>
      </c>
      <c r="G626" s="418" t="s">
        <v>341</v>
      </c>
      <c r="H626" s="118" t="str">
        <f>IFERROR(VLOOKUP(E626,名称!A:E,4,0),"")</f>
        <v>三代</v>
      </c>
      <c r="I626" s="418" t="str">
        <f t="shared" si="705"/>
        <v/>
      </c>
      <c r="J626" s="418" t="str">
        <f t="shared" si="706"/>
        <v/>
      </c>
      <c r="K626" s="418" t="str">
        <f t="shared" si="707"/>
        <v/>
      </c>
      <c r="L626" s="418" t="str">
        <f t="shared" si="708"/>
        <v/>
      </c>
      <c r="M626" s="418" t="str">
        <f t="shared" si="709"/>
        <v/>
      </c>
      <c r="N626" s="418" t="str">
        <f t="shared" si="710"/>
        <v/>
      </c>
      <c r="O626" s="418" t="str">
        <f t="shared" si="711"/>
        <v/>
      </c>
      <c r="P626" s="418" t="str">
        <f t="shared" si="712"/>
        <v/>
      </c>
      <c r="Q626" s="418" t="str">
        <f t="shared" si="713"/>
        <v/>
      </c>
      <c r="R626" s="418" t="str">
        <f t="shared" si="714"/>
        <v/>
      </c>
      <c r="S626" s="418" t="str">
        <f t="shared" si="715"/>
        <v/>
      </c>
      <c r="T626" s="418" t="str">
        <f t="shared" si="716"/>
        <v/>
      </c>
      <c r="U626" s="418" t="str">
        <f t="shared" si="717"/>
        <v/>
      </c>
      <c r="V626" s="418" t="str">
        <f t="shared" si="718"/>
        <v/>
      </c>
      <c r="W626" s="418" t="str">
        <f t="shared" si="719"/>
        <v/>
      </c>
      <c r="X626" s="418" t="str">
        <f t="shared" si="720"/>
        <v/>
      </c>
      <c r="Y626" s="418" t="str">
        <f t="shared" si="721"/>
        <v/>
      </c>
      <c r="Z626" s="418" t="str">
        <f t="shared" si="722"/>
        <v/>
      </c>
      <c r="AA626" s="418" t="str">
        <f t="shared" si="723"/>
        <v/>
      </c>
      <c r="AB626" s="418" t="str">
        <f t="shared" si="724"/>
        <v/>
      </c>
      <c r="AC626" s="418" t="str">
        <f t="shared" si="725"/>
        <v/>
      </c>
      <c r="AD626" s="418" t="str">
        <f t="shared" si="726"/>
        <v/>
      </c>
      <c r="AE626" s="418" t="str">
        <f t="shared" si="727"/>
        <v/>
      </c>
      <c r="AF626" s="418" t="str">
        <f t="shared" si="728"/>
        <v/>
      </c>
      <c r="AG626" s="418" t="str">
        <f t="shared" si="729"/>
        <v/>
      </c>
      <c r="AH626" s="418" t="str">
        <f t="shared" si="730"/>
        <v/>
      </c>
      <c r="AI626" s="418" t="str">
        <f t="shared" si="731"/>
        <v/>
      </c>
      <c r="AJ626" s="418" t="str">
        <f t="shared" si="732"/>
        <v/>
      </c>
      <c r="AK626" s="418" t="str">
        <f t="shared" si="733"/>
        <v/>
      </c>
      <c r="AL626" s="418" t="str">
        <f t="shared" si="734"/>
        <v/>
      </c>
      <c r="AM626" s="418" t="str">
        <f t="shared" si="735"/>
        <v/>
      </c>
      <c r="AN626" s="418" t="str">
        <f t="shared" si="736"/>
        <v/>
      </c>
      <c r="AO626" s="418" t="str">
        <f t="shared" si="737"/>
        <v/>
      </c>
      <c r="AP626" s="418" t="str">
        <f t="shared" si="738"/>
        <v/>
      </c>
      <c r="AQ626" s="418" t="str">
        <f t="shared" si="739"/>
        <v/>
      </c>
      <c r="AR626" s="418">
        <f t="shared" si="740"/>
        <v>1536</v>
      </c>
      <c r="AS626" s="418" t="str">
        <f t="shared" si="741"/>
        <v/>
      </c>
      <c r="AT626" s="418" t="str">
        <f t="shared" si="742"/>
        <v/>
      </c>
      <c r="AU626" s="418" t="str">
        <f t="shared" si="743"/>
        <v/>
      </c>
      <c r="AV626" s="418" t="str">
        <f t="shared" si="744"/>
        <v/>
      </c>
      <c r="AW626" s="418" t="str">
        <f t="shared" si="745"/>
        <v/>
      </c>
      <c r="AX626" s="418" t="str">
        <f t="shared" si="746"/>
        <v/>
      </c>
      <c r="AY626" s="418" t="str">
        <f t="shared" si="747"/>
        <v/>
      </c>
      <c r="AZ626" s="418" t="str">
        <f t="shared" si="748"/>
        <v/>
      </c>
      <c r="BA626" s="418" t="str">
        <f t="shared" si="749"/>
        <v/>
      </c>
      <c r="BB626" s="418" t="str">
        <f t="shared" si="750"/>
        <v/>
      </c>
      <c r="BC626" s="418" t="str">
        <f t="shared" si="751"/>
        <v/>
      </c>
      <c r="BD626" s="418" t="str">
        <f t="shared" si="752"/>
        <v/>
      </c>
      <c r="BE626" s="418" t="str">
        <f t="shared" si="753"/>
        <v/>
      </c>
      <c r="BF626" s="418" t="str">
        <f t="shared" si="754"/>
        <v/>
      </c>
      <c r="BG626" s="418" t="str">
        <f t="shared" si="755"/>
        <v/>
      </c>
      <c r="BH626" s="418" t="str">
        <f t="shared" si="756"/>
        <v/>
      </c>
      <c r="BI626" s="418" t="str">
        <f t="shared" si="757"/>
        <v/>
      </c>
      <c r="BJ626" s="418" t="str">
        <f t="shared" si="758"/>
        <v/>
      </c>
      <c r="BK626" s="418" t="str">
        <f t="shared" ref="BK626:BS626" si="784">IF(OR($E626="",BK$1=""),"",IF(TRIM(LEFT($E626,MIN(IFERROR(FIND("CDU",UPPER($E626)),999),IFERROR(FIND("BULK",UPPER($E626)),999),IFERROR(FIND("-",$E626),999),IFERROR(FIND("（",$E626),999))-1))=BK$1,$F626,""))</f>
        <v/>
      </c>
      <c r="BL626" s="418" t="str">
        <f t="shared" si="784"/>
        <v/>
      </c>
      <c r="BM626" s="418" t="str">
        <f t="shared" si="784"/>
        <v/>
      </c>
      <c r="BN626" s="418" t="str">
        <f t="shared" si="784"/>
        <v/>
      </c>
      <c r="BO626" s="418" t="str">
        <f t="shared" si="784"/>
        <v/>
      </c>
      <c r="BP626" s="418" t="str">
        <f t="shared" si="784"/>
        <v/>
      </c>
      <c r="BQ626" s="418" t="str">
        <f t="shared" si="784"/>
        <v/>
      </c>
      <c r="BR626" s="418" t="str">
        <f t="shared" si="784"/>
        <v/>
      </c>
      <c r="BS626" s="418" t="str">
        <f t="shared" si="784"/>
        <v/>
      </c>
      <c r="BT626" s="418" t="str">
        <f t="shared" si="760"/>
        <v/>
      </c>
      <c r="BU626" s="418" t="str">
        <f t="shared" si="761"/>
        <v/>
      </c>
      <c r="BV626" s="544">
        <v>1.27</v>
      </c>
      <c r="BW626" s="723">
        <f t="shared" si="762"/>
        <v>1950.72</v>
      </c>
      <c r="BX626" s="724">
        <f t="shared" si="763"/>
        <v>15118.08</v>
      </c>
      <c r="BY626" s="725" t="str">
        <f t="shared" si="764"/>
        <v>SR</v>
      </c>
    </row>
    <row r="627" s="697" customFormat="1" customHeight="1" spans="1:77">
      <c r="A627" s="116">
        <v>46139</v>
      </c>
      <c r="B627" s="116">
        <v>46200</v>
      </c>
      <c r="C627" s="418" t="s">
        <v>785</v>
      </c>
      <c r="D627" s="418" t="s">
        <v>786</v>
      </c>
      <c r="E627" s="418" t="s">
        <v>163</v>
      </c>
      <c r="F627" s="737">
        <v>1536</v>
      </c>
      <c r="G627" s="418" t="s">
        <v>341</v>
      </c>
      <c r="H627" s="118" t="str">
        <f>IFERROR(VLOOKUP(E627,名称!A:E,4,0),"")</f>
        <v>三代</v>
      </c>
      <c r="I627" s="418" t="str">
        <f t="shared" si="705"/>
        <v/>
      </c>
      <c r="J627" s="418" t="str">
        <f t="shared" si="706"/>
        <v/>
      </c>
      <c r="K627" s="418" t="str">
        <f t="shared" si="707"/>
        <v/>
      </c>
      <c r="L627" s="418" t="str">
        <f t="shared" si="708"/>
        <v/>
      </c>
      <c r="M627" s="418" t="str">
        <f t="shared" si="709"/>
        <v/>
      </c>
      <c r="N627" s="418" t="str">
        <f t="shared" si="710"/>
        <v/>
      </c>
      <c r="O627" s="418" t="str">
        <f t="shared" si="711"/>
        <v/>
      </c>
      <c r="P627" s="418" t="str">
        <f t="shared" si="712"/>
        <v/>
      </c>
      <c r="Q627" s="418" t="str">
        <f t="shared" si="713"/>
        <v/>
      </c>
      <c r="R627" s="418" t="str">
        <f t="shared" si="714"/>
        <v/>
      </c>
      <c r="S627" s="418" t="str">
        <f t="shared" si="715"/>
        <v/>
      </c>
      <c r="T627" s="418" t="str">
        <f t="shared" si="716"/>
        <v/>
      </c>
      <c r="U627" s="418" t="str">
        <f t="shared" si="717"/>
        <v/>
      </c>
      <c r="V627" s="418" t="str">
        <f t="shared" si="718"/>
        <v/>
      </c>
      <c r="W627" s="418" t="str">
        <f t="shared" si="719"/>
        <v/>
      </c>
      <c r="X627" s="418" t="str">
        <f t="shared" si="720"/>
        <v/>
      </c>
      <c r="Y627" s="418" t="str">
        <f t="shared" si="721"/>
        <v/>
      </c>
      <c r="Z627" s="418" t="str">
        <f t="shared" si="722"/>
        <v/>
      </c>
      <c r="AA627" s="418" t="str">
        <f t="shared" si="723"/>
        <v/>
      </c>
      <c r="AB627" s="418" t="str">
        <f t="shared" si="724"/>
        <v/>
      </c>
      <c r="AC627" s="418" t="str">
        <f t="shared" si="725"/>
        <v/>
      </c>
      <c r="AD627" s="418" t="str">
        <f t="shared" si="726"/>
        <v/>
      </c>
      <c r="AE627" s="418" t="str">
        <f t="shared" si="727"/>
        <v/>
      </c>
      <c r="AF627" s="418" t="str">
        <f t="shared" si="728"/>
        <v/>
      </c>
      <c r="AG627" s="418" t="str">
        <f t="shared" si="729"/>
        <v/>
      </c>
      <c r="AH627" s="418" t="str">
        <f t="shared" si="730"/>
        <v/>
      </c>
      <c r="AI627" s="418" t="str">
        <f t="shared" si="731"/>
        <v/>
      </c>
      <c r="AJ627" s="418" t="str">
        <f t="shared" si="732"/>
        <v/>
      </c>
      <c r="AK627" s="418" t="str">
        <f t="shared" si="733"/>
        <v/>
      </c>
      <c r="AL627" s="418" t="str">
        <f t="shared" si="734"/>
        <v/>
      </c>
      <c r="AM627" s="418" t="str">
        <f t="shared" si="735"/>
        <v/>
      </c>
      <c r="AN627" s="418" t="str">
        <f t="shared" si="736"/>
        <v/>
      </c>
      <c r="AO627" s="418" t="str">
        <f t="shared" si="737"/>
        <v/>
      </c>
      <c r="AP627" s="418" t="str">
        <f t="shared" si="738"/>
        <v/>
      </c>
      <c r="AQ627" s="418" t="str">
        <f t="shared" si="739"/>
        <v/>
      </c>
      <c r="AR627" s="418">
        <f t="shared" si="740"/>
        <v>1536</v>
      </c>
      <c r="AS627" s="418" t="str">
        <f t="shared" si="741"/>
        <v/>
      </c>
      <c r="AT627" s="418" t="str">
        <f t="shared" si="742"/>
        <v/>
      </c>
      <c r="AU627" s="418" t="str">
        <f t="shared" si="743"/>
        <v/>
      </c>
      <c r="AV627" s="418" t="str">
        <f t="shared" si="744"/>
        <v/>
      </c>
      <c r="AW627" s="418" t="str">
        <f t="shared" si="745"/>
        <v/>
      </c>
      <c r="AX627" s="418" t="str">
        <f t="shared" si="746"/>
        <v/>
      </c>
      <c r="AY627" s="418" t="str">
        <f t="shared" si="747"/>
        <v/>
      </c>
      <c r="AZ627" s="418" t="str">
        <f t="shared" si="748"/>
        <v/>
      </c>
      <c r="BA627" s="418" t="str">
        <f t="shared" si="749"/>
        <v/>
      </c>
      <c r="BB627" s="418" t="str">
        <f t="shared" si="750"/>
        <v/>
      </c>
      <c r="BC627" s="418" t="str">
        <f t="shared" si="751"/>
        <v/>
      </c>
      <c r="BD627" s="418" t="str">
        <f t="shared" si="752"/>
        <v/>
      </c>
      <c r="BE627" s="418" t="str">
        <f t="shared" si="753"/>
        <v/>
      </c>
      <c r="BF627" s="418" t="str">
        <f t="shared" si="754"/>
        <v/>
      </c>
      <c r="BG627" s="418" t="str">
        <f t="shared" si="755"/>
        <v/>
      </c>
      <c r="BH627" s="418" t="str">
        <f t="shared" si="756"/>
        <v/>
      </c>
      <c r="BI627" s="418" t="str">
        <f t="shared" si="757"/>
        <v/>
      </c>
      <c r="BJ627" s="418" t="str">
        <f t="shared" si="758"/>
        <v/>
      </c>
      <c r="BK627" s="418" t="str">
        <f t="shared" ref="BK627:BS627" si="785">IF(OR($E627="",BK$1=""),"",IF(TRIM(LEFT($E627,MIN(IFERROR(FIND("CDU",UPPER($E627)),999),IFERROR(FIND("BULK",UPPER($E627)),999),IFERROR(FIND("-",$E627),999),IFERROR(FIND("（",$E627),999))-1))=BK$1,$F627,""))</f>
        <v/>
      </c>
      <c r="BL627" s="418" t="str">
        <f t="shared" si="785"/>
        <v/>
      </c>
      <c r="BM627" s="418" t="str">
        <f t="shared" si="785"/>
        <v/>
      </c>
      <c r="BN627" s="418" t="str">
        <f t="shared" si="785"/>
        <v/>
      </c>
      <c r="BO627" s="418" t="str">
        <f t="shared" si="785"/>
        <v/>
      </c>
      <c r="BP627" s="418" t="str">
        <f t="shared" si="785"/>
        <v/>
      </c>
      <c r="BQ627" s="418" t="str">
        <f t="shared" si="785"/>
        <v/>
      </c>
      <c r="BR627" s="418" t="str">
        <f t="shared" si="785"/>
        <v/>
      </c>
      <c r="BS627" s="418" t="str">
        <f t="shared" si="785"/>
        <v/>
      </c>
      <c r="BT627" s="418" t="str">
        <f t="shared" si="760"/>
        <v/>
      </c>
      <c r="BU627" s="418" t="str">
        <f t="shared" si="761"/>
        <v/>
      </c>
      <c r="BV627" s="544">
        <v>1.27</v>
      </c>
      <c r="BW627" s="723">
        <f t="shared" si="762"/>
        <v>1950.72</v>
      </c>
      <c r="BX627" s="724">
        <f t="shared" si="763"/>
        <v>15118.08</v>
      </c>
      <c r="BY627" s="725" t="str">
        <f t="shared" si="764"/>
        <v>SR</v>
      </c>
    </row>
    <row r="628" s="697" customFormat="1" customHeight="1" spans="1:77">
      <c r="A628" s="116">
        <v>46139</v>
      </c>
      <c r="B628" s="116">
        <v>46200</v>
      </c>
      <c r="C628" s="418" t="s">
        <v>785</v>
      </c>
      <c r="D628" s="418" t="s">
        <v>786</v>
      </c>
      <c r="E628" s="418" t="s">
        <v>164</v>
      </c>
      <c r="F628" s="737">
        <v>1536</v>
      </c>
      <c r="G628" s="418" t="s">
        <v>341</v>
      </c>
      <c r="H628" s="118" t="str">
        <f>IFERROR(VLOOKUP(E628,名称!A:E,4,0),"")</f>
        <v>三代</v>
      </c>
      <c r="I628" s="418" t="str">
        <f t="shared" si="705"/>
        <v/>
      </c>
      <c r="J628" s="418" t="str">
        <f t="shared" si="706"/>
        <v/>
      </c>
      <c r="K628" s="418" t="str">
        <f t="shared" si="707"/>
        <v/>
      </c>
      <c r="L628" s="418" t="str">
        <f t="shared" si="708"/>
        <v/>
      </c>
      <c r="M628" s="418" t="str">
        <f t="shared" si="709"/>
        <v/>
      </c>
      <c r="N628" s="418" t="str">
        <f t="shared" si="710"/>
        <v/>
      </c>
      <c r="O628" s="418" t="str">
        <f t="shared" si="711"/>
        <v/>
      </c>
      <c r="P628" s="418" t="str">
        <f t="shared" si="712"/>
        <v/>
      </c>
      <c r="Q628" s="418" t="str">
        <f t="shared" si="713"/>
        <v/>
      </c>
      <c r="R628" s="418" t="str">
        <f t="shared" si="714"/>
        <v/>
      </c>
      <c r="S628" s="418" t="str">
        <f t="shared" si="715"/>
        <v/>
      </c>
      <c r="T628" s="418" t="str">
        <f t="shared" si="716"/>
        <v/>
      </c>
      <c r="U628" s="418" t="str">
        <f t="shared" si="717"/>
        <v/>
      </c>
      <c r="V628" s="418" t="str">
        <f t="shared" si="718"/>
        <v/>
      </c>
      <c r="W628" s="418" t="str">
        <f t="shared" si="719"/>
        <v/>
      </c>
      <c r="X628" s="418" t="str">
        <f t="shared" si="720"/>
        <v/>
      </c>
      <c r="Y628" s="418" t="str">
        <f t="shared" si="721"/>
        <v/>
      </c>
      <c r="Z628" s="418" t="str">
        <f t="shared" si="722"/>
        <v/>
      </c>
      <c r="AA628" s="418" t="str">
        <f t="shared" si="723"/>
        <v/>
      </c>
      <c r="AB628" s="418" t="str">
        <f t="shared" si="724"/>
        <v/>
      </c>
      <c r="AC628" s="418" t="str">
        <f t="shared" si="725"/>
        <v/>
      </c>
      <c r="AD628" s="418" t="str">
        <f t="shared" si="726"/>
        <v/>
      </c>
      <c r="AE628" s="418" t="str">
        <f t="shared" si="727"/>
        <v/>
      </c>
      <c r="AF628" s="418" t="str">
        <f t="shared" si="728"/>
        <v/>
      </c>
      <c r="AG628" s="418" t="str">
        <f t="shared" si="729"/>
        <v/>
      </c>
      <c r="AH628" s="418" t="str">
        <f t="shared" si="730"/>
        <v/>
      </c>
      <c r="AI628" s="418" t="str">
        <f t="shared" si="731"/>
        <v/>
      </c>
      <c r="AJ628" s="418" t="str">
        <f t="shared" si="732"/>
        <v/>
      </c>
      <c r="AK628" s="418" t="str">
        <f t="shared" si="733"/>
        <v/>
      </c>
      <c r="AL628" s="418" t="str">
        <f t="shared" si="734"/>
        <v/>
      </c>
      <c r="AM628" s="418" t="str">
        <f t="shared" si="735"/>
        <v/>
      </c>
      <c r="AN628" s="418" t="str">
        <f t="shared" si="736"/>
        <v/>
      </c>
      <c r="AO628" s="418" t="str">
        <f t="shared" si="737"/>
        <v/>
      </c>
      <c r="AP628" s="418" t="str">
        <f t="shared" si="738"/>
        <v/>
      </c>
      <c r="AQ628" s="418" t="str">
        <f t="shared" si="739"/>
        <v/>
      </c>
      <c r="AR628" s="418">
        <f t="shared" si="740"/>
        <v>1536</v>
      </c>
      <c r="AS628" s="418" t="str">
        <f t="shared" si="741"/>
        <v/>
      </c>
      <c r="AT628" s="418" t="str">
        <f t="shared" si="742"/>
        <v/>
      </c>
      <c r="AU628" s="418" t="str">
        <f t="shared" si="743"/>
        <v/>
      </c>
      <c r="AV628" s="418" t="str">
        <f t="shared" si="744"/>
        <v/>
      </c>
      <c r="AW628" s="418" t="str">
        <f t="shared" si="745"/>
        <v/>
      </c>
      <c r="AX628" s="418" t="str">
        <f t="shared" si="746"/>
        <v/>
      </c>
      <c r="AY628" s="418" t="str">
        <f t="shared" si="747"/>
        <v/>
      </c>
      <c r="AZ628" s="418" t="str">
        <f t="shared" si="748"/>
        <v/>
      </c>
      <c r="BA628" s="418" t="str">
        <f t="shared" si="749"/>
        <v/>
      </c>
      <c r="BB628" s="418" t="str">
        <f t="shared" si="750"/>
        <v/>
      </c>
      <c r="BC628" s="418" t="str">
        <f t="shared" si="751"/>
        <v/>
      </c>
      <c r="BD628" s="418" t="str">
        <f t="shared" si="752"/>
        <v/>
      </c>
      <c r="BE628" s="418" t="str">
        <f t="shared" si="753"/>
        <v/>
      </c>
      <c r="BF628" s="418" t="str">
        <f t="shared" si="754"/>
        <v/>
      </c>
      <c r="BG628" s="418" t="str">
        <f t="shared" si="755"/>
        <v/>
      </c>
      <c r="BH628" s="418" t="str">
        <f t="shared" si="756"/>
        <v/>
      </c>
      <c r="BI628" s="418" t="str">
        <f t="shared" si="757"/>
        <v/>
      </c>
      <c r="BJ628" s="418" t="str">
        <f t="shared" si="758"/>
        <v/>
      </c>
      <c r="BK628" s="418" t="str">
        <f t="shared" ref="BK628:BS628" si="786">IF(OR($E628="",BK$1=""),"",IF(TRIM(LEFT($E628,MIN(IFERROR(FIND("CDU",UPPER($E628)),999),IFERROR(FIND("BULK",UPPER($E628)),999),IFERROR(FIND("-",$E628),999),IFERROR(FIND("（",$E628),999))-1))=BK$1,$F628,""))</f>
        <v/>
      </c>
      <c r="BL628" s="418" t="str">
        <f t="shared" si="786"/>
        <v/>
      </c>
      <c r="BM628" s="418" t="str">
        <f t="shared" si="786"/>
        <v/>
      </c>
      <c r="BN628" s="418" t="str">
        <f t="shared" si="786"/>
        <v/>
      </c>
      <c r="BO628" s="418" t="str">
        <f t="shared" si="786"/>
        <v/>
      </c>
      <c r="BP628" s="418" t="str">
        <f t="shared" si="786"/>
        <v/>
      </c>
      <c r="BQ628" s="418" t="str">
        <f t="shared" si="786"/>
        <v/>
      </c>
      <c r="BR628" s="418" t="str">
        <f t="shared" si="786"/>
        <v/>
      </c>
      <c r="BS628" s="418" t="str">
        <f t="shared" si="786"/>
        <v/>
      </c>
      <c r="BT628" s="418" t="str">
        <f t="shared" si="760"/>
        <v/>
      </c>
      <c r="BU628" s="418" t="str">
        <f t="shared" si="761"/>
        <v/>
      </c>
      <c r="BV628" s="544">
        <v>1.27</v>
      </c>
      <c r="BW628" s="723">
        <f t="shared" si="762"/>
        <v>1950.72</v>
      </c>
      <c r="BX628" s="724">
        <f t="shared" si="763"/>
        <v>15118.08</v>
      </c>
      <c r="BY628" s="725" t="str">
        <f t="shared" si="764"/>
        <v>SR</v>
      </c>
    </row>
    <row r="629" s="698" customFormat="1" customHeight="1" spans="1:77">
      <c r="A629" s="208">
        <v>46139</v>
      </c>
      <c r="B629" s="208">
        <v>46199</v>
      </c>
      <c r="C629" s="268" t="s">
        <v>787</v>
      </c>
      <c r="D629" s="268" t="s">
        <v>788</v>
      </c>
      <c r="E629" s="268" t="s">
        <v>129</v>
      </c>
      <c r="F629" s="343">
        <f>432-12</f>
        <v>420</v>
      </c>
      <c r="G629" s="268" t="s">
        <v>341</v>
      </c>
      <c r="H629" s="211" t="str">
        <f>IFERROR(VLOOKUP(E629,名称!A:E,4,0),"")</f>
        <v>蛋糕</v>
      </c>
      <c r="I629" s="268" t="str">
        <f t="shared" si="705"/>
        <v/>
      </c>
      <c r="J629" s="268" t="str">
        <f t="shared" si="706"/>
        <v/>
      </c>
      <c r="K629" s="268" t="str">
        <f t="shared" si="707"/>
        <v/>
      </c>
      <c r="L629" s="268" t="str">
        <f t="shared" si="708"/>
        <v/>
      </c>
      <c r="M629" s="268" t="str">
        <f t="shared" si="709"/>
        <v/>
      </c>
      <c r="N629" s="268" t="str">
        <f t="shared" si="710"/>
        <v/>
      </c>
      <c r="O629" s="268" t="str">
        <f t="shared" si="711"/>
        <v/>
      </c>
      <c r="P629" s="268" t="str">
        <f t="shared" si="712"/>
        <v/>
      </c>
      <c r="Q629" s="268" t="str">
        <f t="shared" si="713"/>
        <v/>
      </c>
      <c r="R629" s="268" t="str">
        <f t="shared" si="714"/>
        <v/>
      </c>
      <c r="S629" s="268" t="str">
        <f t="shared" si="715"/>
        <v/>
      </c>
      <c r="T629" s="268" t="str">
        <f t="shared" si="716"/>
        <v/>
      </c>
      <c r="U629" s="268" t="str">
        <f t="shared" si="717"/>
        <v/>
      </c>
      <c r="V629" s="268" t="str">
        <f t="shared" si="718"/>
        <v/>
      </c>
      <c r="W629" s="268" t="str">
        <f t="shared" si="719"/>
        <v/>
      </c>
      <c r="X629" s="268" t="str">
        <f t="shared" si="720"/>
        <v/>
      </c>
      <c r="Y629" s="268" t="str">
        <f t="shared" si="721"/>
        <v/>
      </c>
      <c r="Z629" s="268" t="str">
        <f t="shared" si="722"/>
        <v/>
      </c>
      <c r="AA629" s="268" t="str">
        <f t="shared" si="723"/>
        <v/>
      </c>
      <c r="AB629" s="268" t="str">
        <f t="shared" si="724"/>
        <v/>
      </c>
      <c r="AC629" s="268" t="str">
        <f t="shared" si="725"/>
        <v/>
      </c>
      <c r="AD629" s="268" t="str">
        <f t="shared" si="726"/>
        <v/>
      </c>
      <c r="AE629" s="268" t="str">
        <f t="shared" si="727"/>
        <v/>
      </c>
      <c r="AF629" s="268" t="str">
        <f t="shared" si="728"/>
        <v/>
      </c>
      <c r="AG629" s="268" t="str">
        <f t="shared" si="729"/>
        <v/>
      </c>
      <c r="AH629" s="268" t="str">
        <f t="shared" si="730"/>
        <v/>
      </c>
      <c r="AI629" s="268" t="str">
        <f t="shared" si="731"/>
        <v/>
      </c>
      <c r="AJ629" s="268" t="str">
        <f t="shared" si="732"/>
        <v/>
      </c>
      <c r="AK629" s="268" t="str">
        <f t="shared" si="733"/>
        <v/>
      </c>
      <c r="AL629" s="268" t="str">
        <f t="shared" si="734"/>
        <v/>
      </c>
      <c r="AM629" s="268" t="str">
        <f t="shared" si="735"/>
        <v/>
      </c>
      <c r="AN629" s="268" t="str">
        <f t="shared" si="736"/>
        <v/>
      </c>
      <c r="AO629" s="268" t="str">
        <f t="shared" si="737"/>
        <v/>
      </c>
      <c r="AP629" s="268" t="str">
        <f t="shared" si="738"/>
        <v/>
      </c>
      <c r="AQ629" s="268" t="str">
        <f t="shared" si="739"/>
        <v/>
      </c>
      <c r="AR629" s="268" t="str">
        <f t="shared" si="740"/>
        <v/>
      </c>
      <c r="AS629" s="268" t="str">
        <f t="shared" si="741"/>
        <v/>
      </c>
      <c r="AT629" s="268" t="str">
        <f t="shared" si="742"/>
        <v/>
      </c>
      <c r="AU629" s="268" t="str">
        <f t="shared" si="743"/>
        <v/>
      </c>
      <c r="AV629" s="268" t="str">
        <f t="shared" si="744"/>
        <v/>
      </c>
      <c r="AW629" s="268" t="str">
        <f t="shared" si="745"/>
        <v/>
      </c>
      <c r="AX629" s="268" t="str">
        <f t="shared" si="746"/>
        <v/>
      </c>
      <c r="AY629" s="268" t="str">
        <f t="shared" si="747"/>
        <v/>
      </c>
      <c r="AZ629" s="268" t="str">
        <f t="shared" si="748"/>
        <v/>
      </c>
      <c r="BA629" s="268" t="str">
        <f t="shared" si="749"/>
        <v/>
      </c>
      <c r="BB629" s="268" t="str">
        <f t="shared" si="750"/>
        <v/>
      </c>
      <c r="BC629" s="268" t="str">
        <f t="shared" si="751"/>
        <v/>
      </c>
      <c r="BD629" s="268" t="str">
        <f t="shared" si="752"/>
        <v/>
      </c>
      <c r="BE629" s="268" t="str">
        <f t="shared" si="753"/>
        <v/>
      </c>
      <c r="BF629" s="268" t="str">
        <f t="shared" si="754"/>
        <v/>
      </c>
      <c r="BG629" s="268">
        <f t="shared" si="755"/>
        <v>420</v>
      </c>
      <c r="BH629" s="268" t="str">
        <f t="shared" si="756"/>
        <v/>
      </c>
      <c r="BI629" s="268" t="str">
        <f t="shared" si="757"/>
        <v/>
      </c>
      <c r="BJ629" s="268" t="str">
        <f t="shared" si="758"/>
        <v/>
      </c>
      <c r="BK629" s="268" t="str">
        <f t="shared" ref="BK629:BS629" si="787">IF(OR($E629="",BK$1=""),"",IF(TRIM(LEFT($E629,MIN(IFERROR(FIND("CDU",UPPER($E629)),999),IFERROR(FIND("BULK",UPPER($E629)),999),IFERROR(FIND("-",$E629),999),IFERROR(FIND("（",$E629),999))-1))=BK$1,$F629,""))</f>
        <v/>
      </c>
      <c r="BL629" s="268" t="str">
        <f t="shared" si="787"/>
        <v/>
      </c>
      <c r="BM629" s="268" t="str">
        <f t="shared" si="787"/>
        <v/>
      </c>
      <c r="BN629" s="268" t="str">
        <f t="shared" si="787"/>
        <v/>
      </c>
      <c r="BO629" s="268" t="str">
        <f t="shared" si="787"/>
        <v/>
      </c>
      <c r="BP629" s="268" t="str">
        <f t="shared" si="787"/>
        <v/>
      </c>
      <c r="BQ629" s="268" t="str">
        <f t="shared" si="787"/>
        <v/>
      </c>
      <c r="BR629" s="268" t="str">
        <f t="shared" si="787"/>
        <v/>
      </c>
      <c r="BS629" s="268" t="str">
        <f t="shared" si="787"/>
        <v/>
      </c>
      <c r="BT629" s="268" t="str">
        <f t="shared" si="760"/>
        <v/>
      </c>
      <c r="BU629" s="268" t="str">
        <f t="shared" si="761"/>
        <v/>
      </c>
      <c r="BV629" s="247">
        <v>1.57</v>
      </c>
      <c r="BW629" s="729">
        <f t="shared" si="762"/>
        <v>659.4</v>
      </c>
      <c r="BX629" s="730">
        <f t="shared" si="763"/>
        <v>5110.35</v>
      </c>
      <c r="BY629" s="731" t="str">
        <f t="shared" si="764"/>
        <v>JC</v>
      </c>
    </row>
    <row r="630" s="698" customFormat="1" customHeight="1" spans="1:77">
      <c r="A630" s="208">
        <v>46139</v>
      </c>
      <c r="B630" s="208">
        <v>46199</v>
      </c>
      <c r="C630" s="268" t="s">
        <v>787</v>
      </c>
      <c r="D630" s="268" t="s">
        <v>788</v>
      </c>
      <c r="E630" s="268" t="s">
        <v>130</v>
      </c>
      <c r="F630" s="343">
        <f>432-12</f>
        <v>420</v>
      </c>
      <c r="G630" s="268" t="s">
        <v>341</v>
      </c>
      <c r="H630" s="211" t="str">
        <f>IFERROR(VLOOKUP(E630,名称!A:E,4,0),"")</f>
        <v>蛋糕</v>
      </c>
      <c r="I630" s="268" t="str">
        <f t="shared" si="705"/>
        <v/>
      </c>
      <c r="J630" s="268" t="str">
        <f t="shared" si="706"/>
        <v/>
      </c>
      <c r="K630" s="268" t="str">
        <f t="shared" si="707"/>
        <v/>
      </c>
      <c r="L630" s="268" t="str">
        <f t="shared" si="708"/>
        <v/>
      </c>
      <c r="M630" s="268" t="str">
        <f t="shared" si="709"/>
        <v/>
      </c>
      <c r="N630" s="268" t="str">
        <f t="shared" si="710"/>
        <v/>
      </c>
      <c r="O630" s="268" t="str">
        <f t="shared" si="711"/>
        <v/>
      </c>
      <c r="P630" s="268" t="str">
        <f t="shared" si="712"/>
        <v/>
      </c>
      <c r="Q630" s="268" t="str">
        <f t="shared" si="713"/>
        <v/>
      </c>
      <c r="R630" s="268" t="str">
        <f t="shared" si="714"/>
        <v/>
      </c>
      <c r="S630" s="268" t="str">
        <f t="shared" si="715"/>
        <v/>
      </c>
      <c r="T630" s="268" t="str">
        <f t="shared" si="716"/>
        <v/>
      </c>
      <c r="U630" s="268" t="str">
        <f t="shared" si="717"/>
        <v/>
      </c>
      <c r="V630" s="268" t="str">
        <f t="shared" si="718"/>
        <v/>
      </c>
      <c r="W630" s="268" t="str">
        <f t="shared" si="719"/>
        <v/>
      </c>
      <c r="X630" s="268" t="str">
        <f t="shared" si="720"/>
        <v/>
      </c>
      <c r="Y630" s="268" t="str">
        <f t="shared" si="721"/>
        <v/>
      </c>
      <c r="Z630" s="268" t="str">
        <f t="shared" si="722"/>
        <v/>
      </c>
      <c r="AA630" s="268" t="str">
        <f t="shared" si="723"/>
        <v/>
      </c>
      <c r="AB630" s="268" t="str">
        <f t="shared" si="724"/>
        <v/>
      </c>
      <c r="AC630" s="268" t="str">
        <f t="shared" si="725"/>
        <v/>
      </c>
      <c r="AD630" s="268" t="str">
        <f t="shared" si="726"/>
        <v/>
      </c>
      <c r="AE630" s="268" t="str">
        <f t="shared" si="727"/>
        <v/>
      </c>
      <c r="AF630" s="268" t="str">
        <f t="shared" si="728"/>
        <v/>
      </c>
      <c r="AG630" s="268" t="str">
        <f t="shared" si="729"/>
        <v/>
      </c>
      <c r="AH630" s="268" t="str">
        <f t="shared" si="730"/>
        <v/>
      </c>
      <c r="AI630" s="268" t="str">
        <f t="shared" si="731"/>
        <v/>
      </c>
      <c r="AJ630" s="268" t="str">
        <f t="shared" si="732"/>
        <v/>
      </c>
      <c r="AK630" s="268" t="str">
        <f t="shared" si="733"/>
        <v/>
      </c>
      <c r="AL630" s="268" t="str">
        <f t="shared" si="734"/>
        <v/>
      </c>
      <c r="AM630" s="268" t="str">
        <f t="shared" si="735"/>
        <v/>
      </c>
      <c r="AN630" s="268" t="str">
        <f t="shared" si="736"/>
        <v/>
      </c>
      <c r="AO630" s="268" t="str">
        <f t="shared" si="737"/>
        <v/>
      </c>
      <c r="AP630" s="268" t="str">
        <f t="shared" si="738"/>
        <v/>
      </c>
      <c r="AQ630" s="268" t="str">
        <f t="shared" si="739"/>
        <v/>
      </c>
      <c r="AR630" s="268" t="str">
        <f t="shared" si="740"/>
        <v/>
      </c>
      <c r="AS630" s="268" t="str">
        <f t="shared" si="741"/>
        <v/>
      </c>
      <c r="AT630" s="268" t="str">
        <f t="shared" si="742"/>
        <v/>
      </c>
      <c r="AU630" s="268" t="str">
        <f t="shared" si="743"/>
        <v/>
      </c>
      <c r="AV630" s="268" t="str">
        <f t="shared" si="744"/>
        <v/>
      </c>
      <c r="AW630" s="268" t="str">
        <f t="shared" si="745"/>
        <v/>
      </c>
      <c r="AX630" s="268" t="str">
        <f t="shared" si="746"/>
        <v/>
      </c>
      <c r="AY630" s="268" t="str">
        <f t="shared" si="747"/>
        <v/>
      </c>
      <c r="AZ630" s="268" t="str">
        <f t="shared" si="748"/>
        <v/>
      </c>
      <c r="BA630" s="268" t="str">
        <f t="shared" si="749"/>
        <v/>
      </c>
      <c r="BB630" s="268" t="str">
        <f t="shared" si="750"/>
        <v/>
      </c>
      <c r="BC630" s="268" t="str">
        <f t="shared" si="751"/>
        <v/>
      </c>
      <c r="BD630" s="268" t="str">
        <f t="shared" si="752"/>
        <v/>
      </c>
      <c r="BE630" s="268" t="str">
        <f t="shared" si="753"/>
        <v/>
      </c>
      <c r="BF630" s="268" t="str">
        <f t="shared" si="754"/>
        <v/>
      </c>
      <c r="BG630" s="268">
        <f t="shared" si="755"/>
        <v>420</v>
      </c>
      <c r="BH630" s="268" t="str">
        <f t="shared" si="756"/>
        <v/>
      </c>
      <c r="BI630" s="268" t="str">
        <f t="shared" si="757"/>
        <v/>
      </c>
      <c r="BJ630" s="268" t="str">
        <f t="shared" si="758"/>
        <v/>
      </c>
      <c r="BK630" s="268" t="str">
        <f t="shared" ref="BK630:BS630" si="788">IF(OR($E630="",BK$1=""),"",IF(TRIM(LEFT($E630,MIN(IFERROR(FIND("CDU",UPPER($E630)),999),IFERROR(FIND("BULK",UPPER($E630)),999),IFERROR(FIND("-",$E630),999),IFERROR(FIND("（",$E630),999))-1))=BK$1,$F630,""))</f>
        <v/>
      </c>
      <c r="BL630" s="268" t="str">
        <f t="shared" si="788"/>
        <v/>
      </c>
      <c r="BM630" s="268" t="str">
        <f t="shared" si="788"/>
        <v/>
      </c>
      <c r="BN630" s="268" t="str">
        <f t="shared" si="788"/>
        <v/>
      </c>
      <c r="BO630" s="268" t="str">
        <f t="shared" si="788"/>
        <v/>
      </c>
      <c r="BP630" s="268" t="str">
        <f t="shared" si="788"/>
        <v/>
      </c>
      <c r="BQ630" s="268" t="str">
        <f t="shared" si="788"/>
        <v/>
      </c>
      <c r="BR630" s="268" t="str">
        <f t="shared" si="788"/>
        <v/>
      </c>
      <c r="BS630" s="268" t="str">
        <f t="shared" si="788"/>
        <v/>
      </c>
      <c r="BT630" s="268" t="str">
        <f t="shared" si="760"/>
        <v/>
      </c>
      <c r="BU630" s="268" t="str">
        <f t="shared" si="761"/>
        <v/>
      </c>
      <c r="BV630" s="247">
        <v>1.57</v>
      </c>
      <c r="BW630" s="729">
        <f t="shared" si="762"/>
        <v>659.4</v>
      </c>
      <c r="BX630" s="730">
        <f t="shared" si="763"/>
        <v>5110.35</v>
      </c>
      <c r="BY630" s="731" t="str">
        <f t="shared" si="764"/>
        <v>JC</v>
      </c>
    </row>
    <row r="631" s="698" customFormat="1" customHeight="1" spans="1:77">
      <c r="A631" s="208">
        <v>46139</v>
      </c>
      <c r="B631" s="208">
        <v>46199</v>
      </c>
      <c r="C631" s="268" t="s">
        <v>787</v>
      </c>
      <c r="D631" s="268" t="s">
        <v>788</v>
      </c>
      <c r="E631" s="268" t="s">
        <v>131</v>
      </c>
      <c r="F631" s="343">
        <v>360</v>
      </c>
      <c r="G631" s="268" t="s">
        <v>341</v>
      </c>
      <c r="H631" s="211" t="str">
        <f>IFERROR(VLOOKUP(E631,名称!A:E,4,0),"")</f>
        <v>蛋糕</v>
      </c>
      <c r="I631" s="268" t="str">
        <f t="shared" si="705"/>
        <v/>
      </c>
      <c r="J631" s="268" t="str">
        <f t="shared" si="706"/>
        <v/>
      </c>
      <c r="K631" s="268" t="str">
        <f t="shared" si="707"/>
        <v/>
      </c>
      <c r="L631" s="268" t="str">
        <f t="shared" si="708"/>
        <v/>
      </c>
      <c r="M631" s="268" t="str">
        <f t="shared" si="709"/>
        <v/>
      </c>
      <c r="N631" s="268" t="str">
        <f t="shared" si="710"/>
        <v/>
      </c>
      <c r="O631" s="268" t="str">
        <f t="shared" si="711"/>
        <v/>
      </c>
      <c r="P631" s="268" t="str">
        <f t="shared" si="712"/>
        <v/>
      </c>
      <c r="Q631" s="268" t="str">
        <f t="shared" si="713"/>
        <v/>
      </c>
      <c r="R631" s="268" t="str">
        <f t="shared" si="714"/>
        <v/>
      </c>
      <c r="S631" s="268" t="str">
        <f t="shared" si="715"/>
        <v/>
      </c>
      <c r="T631" s="268" t="str">
        <f t="shared" si="716"/>
        <v/>
      </c>
      <c r="U631" s="268" t="str">
        <f t="shared" si="717"/>
        <v/>
      </c>
      <c r="V631" s="268" t="str">
        <f t="shared" si="718"/>
        <v/>
      </c>
      <c r="W631" s="268" t="str">
        <f t="shared" si="719"/>
        <v/>
      </c>
      <c r="X631" s="268" t="str">
        <f t="shared" si="720"/>
        <v/>
      </c>
      <c r="Y631" s="268" t="str">
        <f t="shared" si="721"/>
        <v/>
      </c>
      <c r="Z631" s="268" t="str">
        <f t="shared" si="722"/>
        <v/>
      </c>
      <c r="AA631" s="268" t="str">
        <f t="shared" si="723"/>
        <v/>
      </c>
      <c r="AB631" s="268" t="str">
        <f t="shared" si="724"/>
        <v/>
      </c>
      <c r="AC631" s="268" t="str">
        <f t="shared" si="725"/>
        <v/>
      </c>
      <c r="AD631" s="268" t="str">
        <f t="shared" si="726"/>
        <v/>
      </c>
      <c r="AE631" s="268" t="str">
        <f t="shared" si="727"/>
        <v/>
      </c>
      <c r="AF631" s="268" t="str">
        <f t="shared" si="728"/>
        <v/>
      </c>
      <c r="AG631" s="268" t="str">
        <f t="shared" si="729"/>
        <v/>
      </c>
      <c r="AH631" s="268" t="str">
        <f t="shared" si="730"/>
        <v/>
      </c>
      <c r="AI631" s="268" t="str">
        <f t="shared" si="731"/>
        <v/>
      </c>
      <c r="AJ631" s="268" t="str">
        <f t="shared" si="732"/>
        <v/>
      </c>
      <c r="AK631" s="268" t="str">
        <f t="shared" si="733"/>
        <v/>
      </c>
      <c r="AL631" s="268" t="str">
        <f t="shared" si="734"/>
        <v/>
      </c>
      <c r="AM631" s="268" t="str">
        <f t="shared" si="735"/>
        <v/>
      </c>
      <c r="AN631" s="268" t="str">
        <f t="shared" si="736"/>
        <v/>
      </c>
      <c r="AO631" s="268" t="str">
        <f t="shared" si="737"/>
        <v/>
      </c>
      <c r="AP631" s="268" t="str">
        <f t="shared" si="738"/>
        <v/>
      </c>
      <c r="AQ631" s="268" t="str">
        <f t="shared" si="739"/>
        <v/>
      </c>
      <c r="AR631" s="268" t="str">
        <f t="shared" si="740"/>
        <v/>
      </c>
      <c r="AS631" s="268" t="str">
        <f t="shared" si="741"/>
        <v/>
      </c>
      <c r="AT631" s="268" t="str">
        <f t="shared" si="742"/>
        <v/>
      </c>
      <c r="AU631" s="268" t="str">
        <f t="shared" si="743"/>
        <v/>
      </c>
      <c r="AV631" s="268" t="str">
        <f t="shared" si="744"/>
        <v/>
      </c>
      <c r="AW631" s="268" t="str">
        <f t="shared" si="745"/>
        <v/>
      </c>
      <c r="AX631" s="268" t="str">
        <f t="shared" si="746"/>
        <v/>
      </c>
      <c r="AY631" s="268" t="str">
        <f t="shared" si="747"/>
        <v/>
      </c>
      <c r="AZ631" s="268" t="str">
        <f t="shared" si="748"/>
        <v/>
      </c>
      <c r="BA631" s="268" t="str">
        <f t="shared" si="749"/>
        <v/>
      </c>
      <c r="BB631" s="268" t="str">
        <f t="shared" si="750"/>
        <v/>
      </c>
      <c r="BC631" s="268" t="str">
        <f t="shared" si="751"/>
        <v/>
      </c>
      <c r="BD631" s="268" t="str">
        <f t="shared" si="752"/>
        <v/>
      </c>
      <c r="BE631" s="268" t="str">
        <f t="shared" si="753"/>
        <v/>
      </c>
      <c r="BF631" s="268" t="str">
        <f t="shared" si="754"/>
        <v/>
      </c>
      <c r="BG631" s="268">
        <f t="shared" si="755"/>
        <v>360</v>
      </c>
      <c r="BH631" s="268" t="str">
        <f t="shared" si="756"/>
        <v/>
      </c>
      <c r="BI631" s="268" t="str">
        <f t="shared" si="757"/>
        <v/>
      </c>
      <c r="BJ631" s="268" t="str">
        <f t="shared" si="758"/>
        <v/>
      </c>
      <c r="BK631" s="268" t="str">
        <f t="shared" ref="BK631:BS631" si="789">IF(OR($E631="",BK$1=""),"",IF(TRIM(LEFT($E631,MIN(IFERROR(FIND("CDU",UPPER($E631)),999),IFERROR(FIND("BULK",UPPER($E631)),999),IFERROR(FIND("-",$E631),999),IFERROR(FIND("（",$E631),999))-1))=BK$1,$F631,""))</f>
        <v/>
      </c>
      <c r="BL631" s="268" t="str">
        <f t="shared" si="789"/>
        <v/>
      </c>
      <c r="BM631" s="268" t="str">
        <f t="shared" si="789"/>
        <v/>
      </c>
      <c r="BN631" s="268" t="str">
        <f t="shared" si="789"/>
        <v/>
      </c>
      <c r="BO631" s="268" t="str">
        <f t="shared" si="789"/>
        <v/>
      </c>
      <c r="BP631" s="268" t="str">
        <f t="shared" si="789"/>
        <v/>
      </c>
      <c r="BQ631" s="268" t="str">
        <f t="shared" si="789"/>
        <v/>
      </c>
      <c r="BR631" s="268" t="str">
        <f t="shared" si="789"/>
        <v/>
      </c>
      <c r="BS631" s="268" t="str">
        <f t="shared" si="789"/>
        <v/>
      </c>
      <c r="BT631" s="268" t="str">
        <f t="shared" si="760"/>
        <v/>
      </c>
      <c r="BU631" s="268" t="str">
        <f t="shared" si="761"/>
        <v/>
      </c>
      <c r="BV631" s="247">
        <v>1.57</v>
      </c>
      <c r="BW631" s="729">
        <f t="shared" si="762"/>
        <v>565.2</v>
      </c>
      <c r="BX631" s="730">
        <f t="shared" si="763"/>
        <v>4380.3</v>
      </c>
      <c r="BY631" s="731" t="str">
        <f t="shared" si="764"/>
        <v>JC</v>
      </c>
    </row>
    <row r="632" s="698" customFormat="1" customHeight="1" spans="1:77">
      <c r="A632" s="208">
        <v>46139</v>
      </c>
      <c r="B632" s="208">
        <v>46199</v>
      </c>
      <c r="C632" s="268" t="s">
        <v>787</v>
      </c>
      <c r="D632" s="268" t="s">
        <v>788</v>
      </c>
      <c r="E632" s="268" t="s">
        <v>155</v>
      </c>
      <c r="F632" s="270">
        <f>378-3</f>
        <v>375</v>
      </c>
      <c r="G632" s="268" t="s">
        <v>341</v>
      </c>
      <c r="H632" s="211" t="str">
        <f>IFERROR(VLOOKUP(E632,名称!A:E,4,0),"")</f>
        <v>三代</v>
      </c>
      <c r="I632" s="268" t="str">
        <f t="shared" si="705"/>
        <v/>
      </c>
      <c r="J632" s="268" t="str">
        <f t="shared" si="706"/>
        <v/>
      </c>
      <c r="K632" s="268" t="str">
        <f t="shared" si="707"/>
        <v/>
      </c>
      <c r="L632" s="268" t="str">
        <f t="shared" si="708"/>
        <v/>
      </c>
      <c r="M632" s="268" t="str">
        <f t="shared" si="709"/>
        <v/>
      </c>
      <c r="N632" s="268" t="str">
        <f t="shared" si="710"/>
        <v/>
      </c>
      <c r="O632" s="268" t="str">
        <f t="shared" si="711"/>
        <v/>
      </c>
      <c r="P632" s="268" t="str">
        <f t="shared" si="712"/>
        <v/>
      </c>
      <c r="Q632" s="268" t="str">
        <f t="shared" si="713"/>
        <v/>
      </c>
      <c r="R632" s="268" t="str">
        <f t="shared" si="714"/>
        <v/>
      </c>
      <c r="S632" s="268" t="str">
        <f t="shared" si="715"/>
        <v/>
      </c>
      <c r="T632" s="268" t="str">
        <f t="shared" si="716"/>
        <v/>
      </c>
      <c r="U632" s="268" t="str">
        <f t="shared" si="717"/>
        <v/>
      </c>
      <c r="V632" s="268" t="str">
        <f t="shared" si="718"/>
        <v/>
      </c>
      <c r="W632" s="268" t="str">
        <f t="shared" si="719"/>
        <v/>
      </c>
      <c r="X632" s="268" t="str">
        <f t="shared" si="720"/>
        <v/>
      </c>
      <c r="Y632" s="268" t="str">
        <f t="shared" si="721"/>
        <v/>
      </c>
      <c r="Z632" s="268" t="str">
        <f t="shared" si="722"/>
        <v/>
      </c>
      <c r="AA632" s="268" t="str">
        <f t="shared" si="723"/>
        <v/>
      </c>
      <c r="AB632" s="268" t="str">
        <f t="shared" si="724"/>
        <v/>
      </c>
      <c r="AC632" s="268" t="str">
        <f t="shared" si="725"/>
        <v/>
      </c>
      <c r="AD632" s="268" t="str">
        <f t="shared" si="726"/>
        <v/>
      </c>
      <c r="AE632" s="268" t="str">
        <f t="shared" si="727"/>
        <v/>
      </c>
      <c r="AF632" s="268" t="str">
        <f t="shared" si="728"/>
        <v/>
      </c>
      <c r="AG632" s="268" t="str">
        <f t="shared" si="729"/>
        <v/>
      </c>
      <c r="AH632" s="268" t="str">
        <f t="shared" si="730"/>
        <v/>
      </c>
      <c r="AI632" s="268" t="str">
        <f t="shared" si="731"/>
        <v/>
      </c>
      <c r="AJ632" s="268" t="str">
        <f t="shared" si="732"/>
        <v/>
      </c>
      <c r="AK632" s="268" t="str">
        <f t="shared" si="733"/>
        <v/>
      </c>
      <c r="AL632" s="268" t="str">
        <f t="shared" si="734"/>
        <v/>
      </c>
      <c r="AM632" s="268" t="str">
        <f t="shared" si="735"/>
        <v/>
      </c>
      <c r="AN632" s="268">
        <f t="shared" si="736"/>
        <v>375</v>
      </c>
      <c r="AO632" s="268" t="str">
        <f t="shared" si="737"/>
        <v/>
      </c>
      <c r="AP632" s="268" t="str">
        <f t="shared" si="738"/>
        <v/>
      </c>
      <c r="AQ632" s="268" t="str">
        <f t="shared" si="739"/>
        <v/>
      </c>
      <c r="AR632" s="268" t="str">
        <f t="shared" si="740"/>
        <v/>
      </c>
      <c r="AS632" s="268" t="str">
        <f t="shared" si="741"/>
        <v/>
      </c>
      <c r="AT632" s="268" t="str">
        <f t="shared" si="742"/>
        <v/>
      </c>
      <c r="AU632" s="268" t="str">
        <f t="shared" si="743"/>
        <v/>
      </c>
      <c r="AV632" s="268" t="str">
        <f t="shared" si="744"/>
        <v/>
      </c>
      <c r="AW632" s="268" t="str">
        <f t="shared" si="745"/>
        <v/>
      </c>
      <c r="AX632" s="268" t="str">
        <f t="shared" si="746"/>
        <v/>
      </c>
      <c r="AY632" s="268" t="str">
        <f t="shared" si="747"/>
        <v/>
      </c>
      <c r="AZ632" s="268" t="str">
        <f t="shared" si="748"/>
        <v/>
      </c>
      <c r="BA632" s="268" t="str">
        <f t="shared" si="749"/>
        <v/>
      </c>
      <c r="BB632" s="268" t="str">
        <f t="shared" si="750"/>
        <v/>
      </c>
      <c r="BC632" s="268" t="str">
        <f t="shared" si="751"/>
        <v/>
      </c>
      <c r="BD632" s="268" t="str">
        <f t="shared" si="752"/>
        <v/>
      </c>
      <c r="BE632" s="268" t="str">
        <f t="shared" si="753"/>
        <v/>
      </c>
      <c r="BF632" s="268" t="str">
        <f t="shared" si="754"/>
        <v/>
      </c>
      <c r="BG632" s="268" t="str">
        <f t="shared" si="755"/>
        <v/>
      </c>
      <c r="BH632" s="268" t="str">
        <f t="shared" si="756"/>
        <v/>
      </c>
      <c r="BI632" s="268" t="str">
        <f t="shared" si="757"/>
        <v/>
      </c>
      <c r="BJ632" s="268" t="str">
        <f t="shared" si="758"/>
        <v/>
      </c>
      <c r="BK632" s="268" t="str">
        <f t="shared" ref="BK632:BS632" si="790">IF(OR($E632="",BK$1=""),"",IF(TRIM(LEFT($E632,MIN(IFERROR(FIND("CDU",UPPER($E632)),999),IFERROR(FIND("BULK",UPPER($E632)),999),IFERROR(FIND("-",$E632),999),IFERROR(FIND("（",$E632),999))-1))=BK$1,$F632,""))</f>
        <v/>
      </c>
      <c r="BL632" s="268" t="str">
        <f t="shared" si="790"/>
        <v/>
      </c>
      <c r="BM632" s="268" t="str">
        <f t="shared" si="790"/>
        <v/>
      </c>
      <c r="BN632" s="268" t="str">
        <f t="shared" si="790"/>
        <v/>
      </c>
      <c r="BO632" s="268" t="str">
        <f t="shared" si="790"/>
        <v/>
      </c>
      <c r="BP632" s="268" t="str">
        <f t="shared" si="790"/>
        <v/>
      </c>
      <c r="BQ632" s="268" t="str">
        <f t="shared" si="790"/>
        <v/>
      </c>
      <c r="BR632" s="268" t="str">
        <f t="shared" si="790"/>
        <v/>
      </c>
      <c r="BS632" s="268" t="str">
        <f t="shared" si="790"/>
        <v/>
      </c>
      <c r="BT632" s="268" t="str">
        <f t="shared" si="760"/>
        <v/>
      </c>
      <c r="BU632" s="268" t="str">
        <f t="shared" si="761"/>
        <v/>
      </c>
      <c r="BV632" s="247">
        <v>1.56</v>
      </c>
      <c r="BW632" s="729">
        <f t="shared" si="762"/>
        <v>585</v>
      </c>
      <c r="BX632" s="730">
        <f t="shared" si="763"/>
        <v>4533.75</v>
      </c>
      <c r="BY632" s="731" t="str">
        <f t="shared" si="764"/>
        <v>SR</v>
      </c>
    </row>
    <row r="633" s="698" customFormat="1" customHeight="1" spans="1:77">
      <c r="A633" s="208">
        <v>46139</v>
      </c>
      <c r="B633" s="208">
        <v>46199</v>
      </c>
      <c r="C633" s="268" t="s">
        <v>787</v>
      </c>
      <c r="D633" s="268" t="s">
        <v>788</v>
      </c>
      <c r="E633" s="268" t="s">
        <v>156</v>
      </c>
      <c r="F633" s="270">
        <f t="shared" ref="F633:F636" si="791">504+21</f>
        <v>525</v>
      </c>
      <c r="G633" s="268" t="s">
        <v>341</v>
      </c>
      <c r="H633" s="211" t="str">
        <f>IFERROR(VLOOKUP(E633,名称!A:E,4,0),"")</f>
        <v>三代</v>
      </c>
      <c r="I633" s="268" t="str">
        <f t="shared" si="705"/>
        <v/>
      </c>
      <c r="J633" s="268" t="str">
        <f t="shared" si="706"/>
        <v/>
      </c>
      <c r="K633" s="268" t="str">
        <f t="shared" si="707"/>
        <v/>
      </c>
      <c r="L633" s="268" t="str">
        <f t="shared" si="708"/>
        <v/>
      </c>
      <c r="M633" s="268" t="str">
        <f t="shared" si="709"/>
        <v/>
      </c>
      <c r="N633" s="268" t="str">
        <f t="shared" si="710"/>
        <v/>
      </c>
      <c r="O633" s="268" t="str">
        <f t="shared" si="711"/>
        <v/>
      </c>
      <c r="P633" s="268" t="str">
        <f t="shared" si="712"/>
        <v/>
      </c>
      <c r="Q633" s="268" t="str">
        <f t="shared" si="713"/>
        <v/>
      </c>
      <c r="R633" s="268" t="str">
        <f t="shared" si="714"/>
        <v/>
      </c>
      <c r="S633" s="268" t="str">
        <f t="shared" si="715"/>
        <v/>
      </c>
      <c r="T633" s="268" t="str">
        <f t="shared" si="716"/>
        <v/>
      </c>
      <c r="U633" s="268" t="str">
        <f t="shared" si="717"/>
        <v/>
      </c>
      <c r="V633" s="268" t="str">
        <f t="shared" si="718"/>
        <v/>
      </c>
      <c r="W633" s="268" t="str">
        <f t="shared" si="719"/>
        <v/>
      </c>
      <c r="X633" s="268" t="str">
        <f t="shared" si="720"/>
        <v/>
      </c>
      <c r="Y633" s="268" t="str">
        <f t="shared" si="721"/>
        <v/>
      </c>
      <c r="Z633" s="268" t="str">
        <f t="shared" si="722"/>
        <v/>
      </c>
      <c r="AA633" s="268" t="str">
        <f t="shared" si="723"/>
        <v/>
      </c>
      <c r="AB633" s="268" t="str">
        <f t="shared" si="724"/>
        <v/>
      </c>
      <c r="AC633" s="268" t="str">
        <f t="shared" si="725"/>
        <v/>
      </c>
      <c r="AD633" s="268" t="str">
        <f t="shared" si="726"/>
        <v/>
      </c>
      <c r="AE633" s="268" t="str">
        <f t="shared" si="727"/>
        <v/>
      </c>
      <c r="AF633" s="268" t="str">
        <f t="shared" si="728"/>
        <v/>
      </c>
      <c r="AG633" s="268" t="str">
        <f t="shared" si="729"/>
        <v/>
      </c>
      <c r="AH633" s="268" t="str">
        <f t="shared" si="730"/>
        <v/>
      </c>
      <c r="AI633" s="268" t="str">
        <f t="shared" si="731"/>
        <v/>
      </c>
      <c r="AJ633" s="268" t="str">
        <f t="shared" si="732"/>
        <v/>
      </c>
      <c r="AK633" s="268" t="str">
        <f t="shared" si="733"/>
        <v/>
      </c>
      <c r="AL633" s="268" t="str">
        <f t="shared" si="734"/>
        <v/>
      </c>
      <c r="AM633" s="268" t="str">
        <f t="shared" si="735"/>
        <v/>
      </c>
      <c r="AN633" s="268">
        <f t="shared" si="736"/>
        <v>525</v>
      </c>
      <c r="AO633" s="268" t="str">
        <f t="shared" si="737"/>
        <v/>
      </c>
      <c r="AP633" s="268" t="str">
        <f t="shared" si="738"/>
        <v/>
      </c>
      <c r="AQ633" s="268" t="str">
        <f t="shared" si="739"/>
        <v/>
      </c>
      <c r="AR633" s="268" t="str">
        <f t="shared" si="740"/>
        <v/>
      </c>
      <c r="AS633" s="268" t="str">
        <f t="shared" si="741"/>
        <v/>
      </c>
      <c r="AT633" s="268" t="str">
        <f t="shared" si="742"/>
        <v/>
      </c>
      <c r="AU633" s="268" t="str">
        <f t="shared" si="743"/>
        <v/>
      </c>
      <c r="AV633" s="268" t="str">
        <f t="shared" si="744"/>
        <v/>
      </c>
      <c r="AW633" s="268" t="str">
        <f t="shared" si="745"/>
        <v/>
      </c>
      <c r="AX633" s="268" t="str">
        <f t="shared" si="746"/>
        <v/>
      </c>
      <c r="AY633" s="268" t="str">
        <f t="shared" si="747"/>
        <v/>
      </c>
      <c r="AZ633" s="268" t="str">
        <f t="shared" si="748"/>
        <v/>
      </c>
      <c r="BA633" s="268" t="str">
        <f t="shared" si="749"/>
        <v/>
      </c>
      <c r="BB633" s="268" t="str">
        <f t="shared" si="750"/>
        <v/>
      </c>
      <c r="BC633" s="268" t="str">
        <f t="shared" si="751"/>
        <v/>
      </c>
      <c r="BD633" s="268" t="str">
        <f t="shared" si="752"/>
        <v/>
      </c>
      <c r="BE633" s="268" t="str">
        <f t="shared" si="753"/>
        <v/>
      </c>
      <c r="BF633" s="268" t="str">
        <f t="shared" si="754"/>
        <v/>
      </c>
      <c r="BG633" s="268" t="str">
        <f t="shared" si="755"/>
        <v/>
      </c>
      <c r="BH633" s="268" t="str">
        <f t="shared" si="756"/>
        <v/>
      </c>
      <c r="BI633" s="268" t="str">
        <f t="shared" si="757"/>
        <v/>
      </c>
      <c r="BJ633" s="268" t="str">
        <f t="shared" si="758"/>
        <v/>
      </c>
      <c r="BK633" s="268" t="str">
        <f t="shared" ref="BK633:BS633" si="792">IF(OR($E633="",BK$1=""),"",IF(TRIM(LEFT($E633,MIN(IFERROR(FIND("CDU",UPPER($E633)),999),IFERROR(FIND("BULK",UPPER($E633)),999),IFERROR(FIND("-",$E633),999),IFERROR(FIND("（",$E633),999))-1))=BK$1,$F633,""))</f>
        <v/>
      </c>
      <c r="BL633" s="268" t="str">
        <f t="shared" si="792"/>
        <v/>
      </c>
      <c r="BM633" s="268" t="str">
        <f t="shared" si="792"/>
        <v/>
      </c>
      <c r="BN633" s="268" t="str">
        <f t="shared" si="792"/>
        <v/>
      </c>
      <c r="BO633" s="268" t="str">
        <f t="shared" si="792"/>
        <v/>
      </c>
      <c r="BP633" s="268" t="str">
        <f t="shared" si="792"/>
        <v/>
      </c>
      <c r="BQ633" s="268" t="str">
        <f t="shared" si="792"/>
        <v/>
      </c>
      <c r="BR633" s="268" t="str">
        <f t="shared" si="792"/>
        <v/>
      </c>
      <c r="BS633" s="268" t="str">
        <f t="shared" si="792"/>
        <v/>
      </c>
      <c r="BT633" s="268" t="str">
        <f t="shared" si="760"/>
        <v/>
      </c>
      <c r="BU633" s="268" t="str">
        <f t="shared" si="761"/>
        <v/>
      </c>
      <c r="BV633" s="247">
        <v>1.56</v>
      </c>
      <c r="BW633" s="729">
        <f t="shared" si="762"/>
        <v>819</v>
      </c>
      <c r="BX633" s="730">
        <f t="shared" si="763"/>
        <v>6347.25</v>
      </c>
      <c r="BY633" s="731" t="str">
        <f t="shared" si="764"/>
        <v>SR</v>
      </c>
    </row>
    <row r="634" s="698" customFormat="1" customHeight="1" spans="1:77">
      <c r="A634" s="208">
        <v>46139</v>
      </c>
      <c r="B634" s="208">
        <v>46199</v>
      </c>
      <c r="C634" s="268" t="s">
        <v>787</v>
      </c>
      <c r="D634" s="268" t="s">
        <v>788</v>
      </c>
      <c r="E634" s="268" t="s">
        <v>157</v>
      </c>
      <c r="F634" s="270">
        <f>378-3</f>
        <v>375</v>
      </c>
      <c r="G634" s="268" t="s">
        <v>341</v>
      </c>
      <c r="H634" s="211" t="str">
        <f>IFERROR(VLOOKUP(E634,名称!A:E,4,0),"")</f>
        <v>三代</v>
      </c>
      <c r="I634" s="268" t="str">
        <f t="shared" si="705"/>
        <v/>
      </c>
      <c r="J634" s="268" t="str">
        <f t="shared" si="706"/>
        <v/>
      </c>
      <c r="K634" s="268" t="str">
        <f t="shared" si="707"/>
        <v/>
      </c>
      <c r="L634" s="268" t="str">
        <f t="shared" si="708"/>
        <v/>
      </c>
      <c r="M634" s="268" t="str">
        <f t="shared" si="709"/>
        <v/>
      </c>
      <c r="N634" s="268" t="str">
        <f t="shared" si="710"/>
        <v/>
      </c>
      <c r="O634" s="268" t="str">
        <f t="shared" si="711"/>
        <v/>
      </c>
      <c r="P634" s="268" t="str">
        <f t="shared" si="712"/>
        <v/>
      </c>
      <c r="Q634" s="268" t="str">
        <f t="shared" si="713"/>
        <v/>
      </c>
      <c r="R634" s="268" t="str">
        <f t="shared" si="714"/>
        <v/>
      </c>
      <c r="S634" s="268" t="str">
        <f t="shared" si="715"/>
        <v/>
      </c>
      <c r="T634" s="268" t="str">
        <f t="shared" si="716"/>
        <v/>
      </c>
      <c r="U634" s="268" t="str">
        <f t="shared" si="717"/>
        <v/>
      </c>
      <c r="V634" s="268" t="str">
        <f t="shared" si="718"/>
        <v/>
      </c>
      <c r="W634" s="268" t="str">
        <f t="shared" si="719"/>
        <v/>
      </c>
      <c r="X634" s="268" t="str">
        <f t="shared" si="720"/>
        <v/>
      </c>
      <c r="Y634" s="268" t="str">
        <f t="shared" si="721"/>
        <v/>
      </c>
      <c r="Z634" s="268" t="str">
        <f t="shared" si="722"/>
        <v/>
      </c>
      <c r="AA634" s="268" t="str">
        <f t="shared" si="723"/>
        <v/>
      </c>
      <c r="AB634" s="268" t="str">
        <f t="shared" si="724"/>
        <v/>
      </c>
      <c r="AC634" s="268" t="str">
        <f t="shared" si="725"/>
        <v/>
      </c>
      <c r="AD634" s="268" t="str">
        <f t="shared" si="726"/>
        <v/>
      </c>
      <c r="AE634" s="268" t="str">
        <f t="shared" si="727"/>
        <v/>
      </c>
      <c r="AF634" s="268" t="str">
        <f t="shared" si="728"/>
        <v/>
      </c>
      <c r="AG634" s="268" t="str">
        <f t="shared" si="729"/>
        <v/>
      </c>
      <c r="AH634" s="268" t="str">
        <f t="shared" si="730"/>
        <v/>
      </c>
      <c r="AI634" s="268" t="str">
        <f t="shared" si="731"/>
        <v/>
      </c>
      <c r="AJ634" s="268" t="str">
        <f t="shared" si="732"/>
        <v/>
      </c>
      <c r="AK634" s="268" t="str">
        <f t="shared" si="733"/>
        <v/>
      </c>
      <c r="AL634" s="268" t="str">
        <f t="shared" si="734"/>
        <v/>
      </c>
      <c r="AM634" s="268" t="str">
        <f t="shared" si="735"/>
        <v/>
      </c>
      <c r="AN634" s="268">
        <f t="shared" si="736"/>
        <v>375</v>
      </c>
      <c r="AO634" s="268" t="str">
        <f t="shared" si="737"/>
        <v/>
      </c>
      <c r="AP634" s="268" t="str">
        <f t="shared" si="738"/>
        <v/>
      </c>
      <c r="AQ634" s="268" t="str">
        <f t="shared" si="739"/>
        <v/>
      </c>
      <c r="AR634" s="268" t="str">
        <f t="shared" si="740"/>
        <v/>
      </c>
      <c r="AS634" s="268" t="str">
        <f t="shared" si="741"/>
        <v/>
      </c>
      <c r="AT634" s="268" t="str">
        <f t="shared" si="742"/>
        <v/>
      </c>
      <c r="AU634" s="268" t="str">
        <f t="shared" si="743"/>
        <v/>
      </c>
      <c r="AV634" s="268" t="str">
        <f t="shared" si="744"/>
        <v/>
      </c>
      <c r="AW634" s="268" t="str">
        <f t="shared" si="745"/>
        <v/>
      </c>
      <c r="AX634" s="268" t="str">
        <f t="shared" si="746"/>
        <v/>
      </c>
      <c r="AY634" s="268" t="str">
        <f t="shared" si="747"/>
        <v/>
      </c>
      <c r="AZ634" s="268" t="str">
        <f t="shared" si="748"/>
        <v/>
      </c>
      <c r="BA634" s="268" t="str">
        <f t="shared" si="749"/>
        <v/>
      </c>
      <c r="BB634" s="268" t="str">
        <f t="shared" si="750"/>
        <v/>
      </c>
      <c r="BC634" s="268" t="str">
        <f t="shared" si="751"/>
        <v/>
      </c>
      <c r="BD634" s="268" t="str">
        <f t="shared" si="752"/>
        <v/>
      </c>
      <c r="BE634" s="268" t="str">
        <f t="shared" si="753"/>
        <v/>
      </c>
      <c r="BF634" s="268" t="str">
        <f t="shared" si="754"/>
        <v/>
      </c>
      <c r="BG634" s="268" t="str">
        <f t="shared" si="755"/>
        <v/>
      </c>
      <c r="BH634" s="268" t="str">
        <f t="shared" si="756"/>
        <v/>
      </c>
      <c r="BI634" s="268" t="str">
        <f t="shared" si="757"/>
        <v/>
      </c>
      <c r="BJ634" s="268" t="str">
        <f t="shared" si="758"/>
        <v/>
      </c>
      <c r="BK634" s="268" t="str">
        <f t="shared" ref="BK634:BS634" si="793">IF(OR($E634="",BK$1=""),"",IF(TRIM(LEFT($E634,MIN(IFERROR(FIND("CDU",UPPER($E634)),999),IFERROR(FIND("BULK",UPPER($E634)),999),IFERROR(FIND("-",$E634),999),IFERROR(FIND("（",$E634),999))-1))=BK$1,$F634,""))</f>
        <v/>
      </c>
      <c r="BL634" s="268" t="str">
        <f t="shared" si="793"/>
        <v/>
      </c>
      <c r="BM634" s="268" t="str">
        <f t="shared" si="793"/>
        <v/>
      </c>
      <c r="BN634" s="268" t="str">
        <f t="shared" si="793"/>
        <v/>
      </c>
      <c r="BO634" s="268" t="str">
        <f t="shared" si="793"/>
        <v/>
      </c>
      <c r="BP634" s="268" t="str">
        <f t="shared" si="793"/>
        <v/>
      </c>
      <c r="BQ634" s="268" t="str">
        <f t="shared" si="793"/>
        <v/>
      </c>
      <c r="BR634" s="268" t="str">
        <f t="shared" si="793"/>
        <v/>
      </c>
      <c r="BS634" s="268" t="str">
        <f t="shared" si="793"/>
        <v/>
      </c>
      <c r="BT634" s="268" t="str">
        <f t="shared" si="760"/>
        <v/>
      </c>
      <c r="BU634" s="268" t="str">
        <f t="shared" si="761"/>
        <v/>
      </c>
      <c r="BV634" s="247">
        <v>1.56</v>
      </c>
      <c r="BW634" s="729">
        <f t="shared" si="762"/>
        <v>585</v>
      </c>
      <c r="BX634" s="730">
        <f t="shared" si="763"/>
        <v>4533.75</v>
      </c>
      <c r="BY634" s="731" t="str">
        <f t="shared" si="764"/>
        <v>SR</v>
      </c>
    </row>
    <row r="635" s="698" customFormat="1" customHeight="1" spans="1:77">
      <c r="A635" s="208">
        <v>46139</v>
      </c>
      <c r="B635" s="208">
        <v>46199</v>
      </c>
      <c r="C635" s="268" t="s">
        <v>787</v>
      </c>
      <c r="D635" s="268" t="s">
        <v>788</v>
      </c>
      <c r="E635" s="268" t="s">
        <v>158</v>
      </c>
      <c r="F635" s="270">
        <f t="shared" si="791"/>
        <v>525</v>
      </c>
      <c r="G635" s="268" t="s">
        <v>341</v>
      </c>
      <c r="H635" s="211" t="str">
        <f>IFERROR(VLOOKUP(E635,名称!A:E,4,0),"")</f>
        <v>三代</v>
      </c>
      <c r="I635" s="268" t="str">
        <f t="shared" si="705"/>
        <v/>
      </c>
      <c r="J635" s="268" t="str">
        <f t="shared" si="706"/>
        <v/>
      </c>
      <c r="K635" s="268" t="str">
        <f t="shared" si="707"/>
        <v/>
      </c>
      <c r="L635" s="268" t="str">
        <f t="shared" si="708"/>
        <v/>
      </c>
      <c r="M635" s="268" t="str">
        <f t="shared" si="709"/>
        <v/>
      </c>
      <c r="N635" s="268" t="str">
        <f t="shared" si="710"/>
        <v/>
      </c>
      <c r="O635" s="268" t="str">
        <f t="shared" si="711"/>
        <v/>
      </c>
      <c r="P635" s="268" t="str">
        <f t="shared" si="712"/>
        <v/>
      </c>
      <c r="Q635" s="268" t="str">
        <f t="shared" si="713"/>
        <v/>
      </c>
      <c r="R635" s="268" t="str">
        <f t="shared" si="714"/>
        <v/>
      </c>
      <c r="S635" s="268" t="str">
        <f t="shared" si="715"/>
        <v/>
      </c>
      <c r="T635" s="268" t="str">
        <f t="shared" si="716"/>
        <v/>
      </c>
      <c r="U635" s="268" t="str">
        <f t="shared" si="717"/>
        <v/>
      </c>
      <c r="V635" s="268" t="str">
        <f t="shared" si="718"/>
        <v/>
      </c>
      <c r="W635" s="268" t="str">
        <f t="shared" si="719"/>
        <v/>
      </c>
      <c r="X635" s="268" t="str">
        <f t="shared" si="720"/>
        <v/>
      </c>
      <c r="Y635" s="268" t="str">
        <f t="shared" si="721"/>
        <v/>
      </c>
      <c r="Z635" s="268" t="str">
        <f t="shared" si="722"/>
        <v/>
      </c>
      <c r="AA635" s="268" t="str">
        <f t="shared" si="723"/>
        <v/>
      </c>
      <c r="AB635" s="268" t="str">
        <f t="shared" si="724"/>
        <v/>
      </c>
      <c r="AC635" s="268" t="str">
        <f t="shared" si="725"/>
        <v/>
      </c>
      <c r="AD635" s="268" t="str">
        <f t="shared" si="726"/>
        <v/>
      </c>
      <c r="AE635" s="268" t="str">
        <f t="shared" si="727"/>
        <v/>
      </c>
      <c r="AF635" s="268" t="str">
        <f t="shared" si="728"/>
        <v/>
      </c>
      <c r="AG635" s="268" t="str">
        <f t="shared" si="729"/>
        <v/>
      </c>
      <c r="AH635" s="268" t="str">
        <f t="shared" si="730"/>
        <v/>
      </c>
      <c r="AI635" s="268" t="str">
        <f t="shared" si="731"/>
        <v/>
      </c>
      <c r="AJ635" s="268" t="str">
        <f t="shared" si="732"/>
        <v/>
      </c>
      <c r="AK635" s="268" t="str">
        <f t="shared" si="733"/>
        <v/>
      </c>
      <c r="AL635" s="268" t="str">
        <f t="shared" si="734"/>
        <v/>
      </c>
      <c r="AM635" s="268" t="str">
        <f t="shared" si="735"/>
        <v/>
      </c>
      <c r="AN635" s="268">
        <f t="shared" si="736"/>
        <v>525</v>
      </c>
      <c r="AO635" s="268" t="str">
        <f t="shared" si="737"/>
        <v/>
      </c>
      <c r="AP635" s="268" t="str">
        <f t="shared" si="738"/>
        <v/>
      </c>
      <c r="AQ635" s="268" t="str">
        <f t="shared" si="739"/>
        <v/>
      </c>
      <c r="AR635" s="268" t="str">
        <f t="shared" si="740"/>
        <v/>
      </c>
      <c r="AS635" s="268" t="str">
        <f t="shared" si="741"/>
        <v/>
      </c>
      <c r="AT635" s="268" t="str">
        <f t="shared" si="742"/>
        <v/>
      </c>
      <c r="AU635" s="268" t="str">
        <f t="shared" si="743"/>
        <v/>
      </c>
      <c r="AV635" s="268" t="str">
        <f t="shared" si="744"/>
        <v/>
      </c>
      <c r="AW635" s="268" t="str">
        <f t="shared" si="745"/>
        <v/>
      </c>
      <c r="AX635" s="268" t="str">
        <f t="shared" si="746"/>
        <v/>
      </c>
      <c r="AY635" s="268" t="str">
        <f t="shared" si="747"/>
        <v/>
      </c>
      <c r="AZ635" s="268" t="str">
        <f t="shared" si="748"/>
        <v/>
      </c>
      <c r="BA635" s="268" t="str">
        <f t="shared" si="749"/>
        <v/>
      </c>
      <c r="BB635" s="268" t="str">
        <f t="shared" si="750"/>
        <v/>
      </c>
      <c r="BC635" s="268" t="str">
        <f t="shared" si="751"/>
        <v/>
      </c>
      <c r="BD635" s="268" t="str">
        <f t="shared" si="752"/>
        <v/>
      </c>
      <c r="BE635" s="268" t="str">
        <f t="shared" si="753"/>
        <v/>
      </c>
      <c r="BF635" s="268" t="str">
        <f t="shared" si="754"/>
        <v/>
      </c>
      <c r="BG635" s="268" t="str">
        <f t="shared" si="755"/>
        <v/>
      </c>
      <c r="BH635" s="268" t="str">
        <f t="shared" si="756"/>
        <v/>
      </c>
      <c r="BI635" s="268" t="str">
        <f t="shared" si="757"/>
        <v/>
      </c>
      <c r="BJ635" s="268" t="str">
        <f t="shared" si="758"/>
        <v/>
      </c>
      <c r="BK635" s="268" t="str">
        <f t="shared" ref="BK635:BS635" si="794">IF(OR($E635="",BK$1=""),"",IF(TRIM(LEFT($E635,MIN(IFERROR(FIND("CDU",UPPER($E635)),999),IFERROR(FIND("BULK",UPPER($E635)),999),IFERROR(FIND("-",$E635),999),IFERROR(FIND("（",$E635),999))-1))=BK$1,$F635,""))</f>
        <v/>
      </c>
      <c r="BL635" s="268" t="str">
        <f t="shared" si="794"/>
        <v/>
      </c>
      <c r="BM635" s="268" t="str">
        <f t="shared" si="794"/>
        <v/>
      </c>
      <c r="BN635" s="268" t="str">
        <f t="shared" si="794"/>
        <v/>
      </c>
      <c r="BO635" s="268" t="str">
        <f t="shared" si="794"/>
        <v/>
      </c>
      <c r="BP635" s="268" t="str">
        <f t="shared" si="794"/>
        <v/>
      </c>
      <c r="BQ635" s="268" t="str">
        <f t="shared" si="794"/>
        <v/>
      </c>
      <c r="BR635" s="268" t="str">
        <f t="shared" si="794"/>
        <v/>
      </c>
      <c r="BS635" s="268" t="str">
        <f t="shared" si="794"/>
        <v/>
      </c>
      <c r="BT635" s="268" t="str">
        <f t="shared" si="760"/>
        <v/>
      </c>
      <c r="BU635" s="268" t="str">
        <f t="shared" si="761"/>
        <v/>
      </c>
      <c r="BV635" s="247">
        <v>1.56</v>
      </c>
      <c r="BW635" s="729">
        <f t="shared" si="762"/>
        <v>819</v>
      </c>
      <c r="BX635" s="730">
        <f t="shared" si="763"/>
        <v>6347.25</v>
      </c>
      <c r="BY635" s="731" t="str">
        <f t="shared" si="764"/>
        <v>SR</v>
      </c>
    </row>
    <row r="636" s="698" customFormat="1" customHeight="1" spans="1:77">
      <c r="A636" s="208">
        <v>46139</v>
      </c>
      <c r="B636" s="208">
        <v>46199</v>
      </c>
      <c r="C636" s="268" t="s">
        <v>787</v>
      </c>
      <c r="D636" s="268" t="s">
        <v>788</v>
      </c>
      <c r="E636" s="268" t="s">
        <v>159</v>
      </c>
      <c r="F636" s="259">
        <f t="shared" si="791"/>
        <v>525</v>
      </c>
      <c r="G636" s="268" t="s">
        <v>341</v>
      </c>
      <c r="H636" s="211" t="str">
        <f>IFERROR(VLOOKUP(E636,名称!A:E,4,0),"")</f>
        <v>三代</v>
      </c>
      <c r="I636" s="268" t="str">
        <f t="shared" si="705"/>
        <v/>
      </c>
      <c r="J636" s="268" t="str">
        <f t="shared" si="706"/>
        <v/>
      </c>
      <c r="K636" s="268" t="str">
        <f t="shared" si="707"/>
        <v/>
      </c>
      <c r="L636" s="268" t="str">
        <f t="shared" si="708"/>
        <v/>
      </c>
      <c r="M636" s="268" t="str">
        <f t="shared" si="709"/>
        <v/>
      </c>
      <c r="N636" s="268" t="str">
        <f t="shared" si="710"/>
        <v/>
      </c>
      <c r="O636" s="268" t="str">
        <f t="shared" si="711"/>
        <v/>
      </c>
      <c r="P636" s="268" t="str">
        <f t="shared" si="712"/>
        <v/>
      </c>
      <c r="Q636" s="268" t="str">
        <f t="shared" si="713"/>
        <v/>
      </c>
      <c r="R636" s="268" t="str">
        <f t="shared" si="714"/>
        <v/>
      </c>
      <c r="S636" s="268" t="str">
        <f t="shared" si="715"/>
        <v/>
      </c>
      <c r="T636" s="268" t="str">
        <f t="shared" si="716"/>
        <v/>
      </c>
      <c r="U636" s="268" t="str">
        <f t="shared" si="717"/>
        <v/>
      </c>
      <c r="V636" s="268" t="str">
        <f t="shared" si="718"/>
        <v/>
      </c>
      <c r="W636" s="268" t="str">
        <f t="shared" si="719"/>
        <v/>
      </c>
      <c r="X636" s="268" t="str">
        <f t="shared" si="720"/>
        <v/>
      </c>
      <c r="Y636" s="268" t="str">
        <f t="shared" si="721"/>
        <v/>
      </c>
      <c r="Z636" s="268" t="str">
        <f t="shared" si="722"/>
        <v/>
      </c>
      <c r="AA636" s="268" t="str">
        <f t="shared" si="723"/>
        <v/>
      </c>
      <c r="AB636" s="268" t="str">
        <f t="shared" si="724"/>
        <v/>
      </c>
      <c r="AC636" s="268" t="str">
        <f t="shared" si="725"/>
        <v/>
      </c>
      <c r="AD636" s="268" t="str">
        <f t="shared" si="726"/>
        <v/>
      </c>
      <c r="AE636" s="268" t="str">
        <f t="shared" si="727"/>
        <v/>
      </c>
      <c r="AF636" s="268" t="str">
        <f t="shared" si="728"/>
        <v/>
      </c>
      <c r="AG636" s="268" t="str">
        <f t="shared" si="729"/>
        <v/>
      </c>
      <c r="AH636" s="268" t="str">
        <f t="shared" si="730"/>
        <v/>
      </c>
      <c r="AI636" s="268" t="str">
        <f t="shared" si="731"/>
        <v/>
      </c>
      <c r="AJ636" s="268" t="str">
        <f t="shared" si="732"/>
        <v/>
      </c>
      <c r="AK636" s="268" t="str">
        <f t="shared" si="733"/>
        <v/>
      </c>
      <c r="AL636" s="268" t="str">
        <f t="shared" si="734"/>
        <v/>
      </c>
      <c r="AM636" s="268" t="str">
        <f t="shared" si="735"/>
        <v/>
      </c>
      <c r="AN636" s="268">
        <f t="shared" si="736"/>
        <v>525</v>
      </c>
      <c r="AO636" s="268" t="str">
        <f t="shared" si="737"/>
        <v/>
      </c>
      <c r="AP636" s="268" t="str">
        <f t="shared" si="738"/>
        <v/>
      </c>
      <c r="AQ636" s="268" t="str">
        <f t="shared" si="739"/>
        <v/>
      </c>
      <c r="AR636" s="268" t="str">
        <f t="shared" si="740"/>
        <v/>
      </c>
      <c r="AS636" s="268" t="str">
        <f t="shared" si="741"/>
        <v/>
      </c>
      <c r="AT636" s="268" t="str">
        <f t="shared" si="742"/>
        <v/>
      </c>
      <c r="AU636" s="268" t="str">
        <f t="shared" si="743"/>
        <v/>
      </c>
      <c r="AV636" s="268" t="str">
        <f t="shared" si="744"/>
        <v/>
      </c>
      <c r="AW636" s="268" t="str">
        <f t="shared" si="745"/>
        <v/>
      </c>
      <c r="AX636" s="268" t="str">
        <f t="shared" si="746"/>
        <v/>
      </c>
      <c r="AY636" s="268" t="str">
        <f t="shared" si="747"/>
        <v/>
      </c>
      <c r="AZ636" s="268" t="str">
        <f t="shared" si="748"/>
        <v/>
      </c>
      <c r="BA636" s="268" t="str">
        <f t="shared" si="749"/>
        <v/>
      </c>
      <c r="BB636" s="268" t="str">
        <f t="shared" si="750"/>
        <v/>
      </c>
      <c r="BC636" s="268" t="str">
        <f t="shared" si="751"/>
        <v/>
      </c>
      <c r="BD636" s="268" t="str">
        <f t="shared" si="752"/>
        <v/>
      </c>
      <c r="BE636" s="268" t="str">
        <f t="shared" si="753"/>
        <v/>
      </c>
      <c r="BF636" s="268" t="str">
        <f t="shared" si="754"/>
        <v/>
      </c>
      <c r="BG636" s="268" t="str">
        <f t="shared" si="755"/>
        <v/>
      </c>
      <c r="BH636" s="268" t="str">
        <f t="shared" si="756"/>
        <v/>
      </c>
      <c r="BI636" s="268" t="str">
        <f t="shared" si="757"/>
        <v/>
      </c>
      <c r="BJ636" s="268" t="str">
        <f t="shared" si="758"/>
        <v/>
      </c>
      <c r="BK636" s="268" t="str">
        <f t="shared" ref="BK636:BS636" si="795">IF(OR($E636="",BK$1=""),"",IF(TRIM(LEFT($E636,MIN(IFERROR(FIND("CDU",UPPER($E636)),999),IFERROR(FIND("BULK",UPPER($E636)),999),IFERROR(FIND("-",$E636),999),IFERROR(FIND("（",$E636),999))-1))=BK$1,$F636,""))</f>
        <v/>
      </c>
      <c r="BL636" s="268" t="str">
        <f t="shared" si="795"/>
        <v/>
      </c>
      <c r="BM636" s="268" t="str">
        <f t="shared" si="795"/>
        <v/>
      </c>
      <c r="BN636" s="268" t="str">
        <f t="shared" si="795"/>
        <v/>
      </c>
      <c r="BO636" s="268" t="str">
        <f t="shared" si="795"/>
        <v/>
      </c>
      <c r="BP636" s="268" t="str">
        <f t="shared" si="795"/>
        <v/>
      </c>
      <c r="BQ636" s="268" t="str">
        <f t="shared" si="795"/>
        <v/>
      </c>
      <c r="BR636" s="268" t="str">
        <f t="shared" si="795"/>
        <v/>
      </c>
      <c r="BS636" s="268" t="str">
        <f t="shared" si="795"/>
        <v/>
      </c>
      <c r="BT636" s="268" t="str">
        <f t="shared" si="760"/>
        <v/>
      </c>
      <c r="BU636" s="268" t="str">
        <f t="shared" si="761"/>
        <v/>
      </c>
      <c r="BV636" s="247">
        <v>1.56</v>
      </c>
      <c r="BW636" s="729">
        <f t="shared" si="762"/>
        <v>819</v>
      </c>
      <c r="BX636" s="730">
        <f t="shared" si="763"/>
        <v>6347.25</v>
      </c>
      <c r="BY636" s="731" t="str">
        <f t="shared" si="764"/>
        <v>SR</v>
      </c>
    </row>
    <row r="637" s="698" customFormat="1" customHeight="1" spans="1:77">
      <c r="A637" s="208">
        <v>46139</v>
      </c>
      <c r="B637" s="208">
        <v>46199</v>
      </c>
      <c r="C637" s="268" t="s">
        <v>787</v>
      </c>
      <c r="D637" s="268" t="s">
        <v>788</v>
      </c>
      <c r="E637" s="268" t="s">
        <v>166</v>
      </c>
      <c r="F637" s="343">
        <f>1728-3</f>
        <v>1725</v>
      </c>
      <c r="G637" s="268" t="s">
        <v>341</v>
      </c>
      <c r="H637" s="211" t="str">
        <f>IFERROR(VLOOKUP(E637,名称!A:E,4,0),"")</f>
        <v>三代</v>
      </c>
      <c r="I637" s="268" t="str">
        <f t="shared" si="705"/>
        <v/>
      </c>
      <c r="J637" s="268" t="str">
        <f t="shared" si="706"/>
        <v/>
      </c>
      <c r="K637" s="268" t="str">
        <f t="shared" si="707"/>
        <v/>
      </c>
      <c r="L637" s="268" t="str">
        <f t="shared" si="708"/>
        <v/>
      </c>
      <c r="M637" s="268" t="str">
        <f t="shared" si="709"/>
        <v/>
      </c>
      <c r="N637" s="268" t="str">
        <f t="shared" si="710"/>
        <v/>
      </c>
      <c r="O637" s="268" t="str">
        <f t="shared" si="711"/>
        <v/>
      </c>
      <c r="P637" s="268" t="str">
        <f t="shared" si="712"/>
        <v/>
      </c>
      <c r="Q637" s="268" t="str">
        <f t="shared" si="713"/>
        <v/>
      </c>
      <c r="R637" s="268" t="str">
        <f t="shared" si="714"/>
        <v/>
      </c>
      <c r="S637" s="268" t="str">
        <f t="shared" si="715"/>
        <v/>
      </c>
      <c r="T637" s="268" t="str">
        <f t="shared" si="716"/>
        <v/>
      </c>
      <c r="U637" s="268" t="str">
        <f t="shared" si="717"/>
        <v/>
      </c>
      <c r="V637" s="268" t="str">
        <f t="shared" si="718"/>
        <v/>
      </c>
      <c r="W637" s="268" t="str">
        <f t="shared" si="719"/>
        <v/>
      </c>
      <c r="X637" s="268" t="str">
        <f t="shared" si="720"/>
        <v/>
      </c>
      <c r="Y637" s="268" t="str">
        <f t="shared" si="721"/>
        <v/>
      </c>
      <c r="Z637" s="268" t="str">
        <f t="shared" si="722"/>
        <v/>
      </c>
      <c r="AA637" s="268" t="str">
        <f t="shared" si="723"/>
        <v/>
      </c>
      <c r="AB637" s="268" t="str">
        <f t="shared" si="724"/>
        <v/>
      </c>
      <c r="AC637" s="268" t="str">
        <f t="shared" si="725"/>
        <v/>
      </c>
      <c r="AD637" s="268" t="str">
        <f t="shared" si="726"/>
        <v/>
      </c>
      <c r="AE637" s="268" t="str">
        <f t="shared" si="727"/>
        <v/>
      </c>
      <c r="AF637" s="268" t="str">
        <f t="shared" si="728"/>
        <v/>
      </c>
      <c r="AG637" s="268" t="str">
        <f t="shared" si="729"/>
        <v/>
      </c>
      <c r="AH637" s="268" t="str">
        <f t="shared" si="730"/>
        <v/>
      </c>
      <c r="AI637" s="268" t="str">
        <f t="shared" si="731"/>
        <v/>
      </c>
      <c r="AJ637" s="268" t="str">
        <f t="shared" si="732"/>
        <v/>
      </c>
      <c r="AK637" s="268" t="str">
        <f t="shared" si="733"/>
        <v/>
      </c>
      <c r="AL637" s="268" t="str">
        <f t="shared" si="734"/>
        <v/>
      </c>
      <c r="AM637" s="268" t="str">
        <f t="shared" si="735"/>
        <v/>
      </c>
      <c r="AN637" s="268" t="str">
        <f t="shared" si="736"/>
        <v/>
      </c>
      <c r="AO637" s="268" t="str">
        <f t="shared" si="737"/>
        <v/>
      </c>
      <c r="AP637" s="268" t="str">
        <f t="shared" si="738"/>
        <v/>
      </c>
      <c r="AQ637" s="268" t="str">
        <f t="shared" si="739"/>
        <v/>
      </c>
      <c r="AR637" s="268" t="str">
        <f t="shared" si="740"/>
        <v/>
      </c>
      <c r="AS637" s="268" t="str">
        <f t="shared" si="741"/>
        <v/>
      </c>
      <c r="AT637" s="268">
        <f t="shared" si="742"/>
        <v>1725</v>
      </c>
      <c r="AU637" s="268" t="str">
        <f t="shared" si="743"/>
        <v/>
      </c>
      <c r="AV637" s="268" t="str">
        <f t="shared" si="744"/>
        <v/>
      </c>
      <c r="AW637" s="268" t="str">
        <f t="shared" si="745"/>
        <v/>
      </c>
      <c r="AX637" s="268" t="str">
        <f t="shared" si="746"/>
        <v/>
      </c>
      <c r="AY637" s="268" t="str">
        <f t="shared" si="747"/>
        <v/>
      </c>
      <c r="AZ637" s="268" t="str">
        <f t="shared" si="748"/>
        <v/>
      </c>
      <c r="BA637" s="268" t="str">
        <f t="shared" si="749"/>
        <v/>
      </c>
      <c r="BB637" s="268" t="str">
        <f t="shared" si="750"/>
        <v/>
      </c>
      <c r="BC637" s="268" t="str">
        <f t="shared" si="751"/>
        <v/>
      </c>
      <c r="BD637" s="268" t="str">
        <f t="shared" si="752"/>
        <v/>
      </c>
      <c r="BE637" s="268" t="str">
        <f t="shared" si="753"/>
        <v/>
      </c>
      <c r="BF637" s="268" t="str">
        <f t="shared" si="754"/>
        <v/>
      </c>
      <c r="BG637" s="268" t="str">
        <f t="shared" si="755"/>
        <v/>
      </c>
      <c r="BH637" s="268" t="str">
        <f t="shared" si="756"/>
        <v/>
      </c>
      <c r="BI637" s="268" t="str">
        <f t="shared" si="757"/>
        <v/>
      </c>
      <c r="BJ637" s="268" t="str">
        <f t="shared" si="758"/>
        <v/>
      </c>
      <c r="BK637" s="268" t="str">
        <f t="shared" ref="BK637:BS637" si="796">IF(OR($E637="",BK$1=""),"",IF(TRIM(LEFT($E637,MIN(IFERROR(FIND("CDU",UPPER($E637)),999),IFERROR(FIND("BULK",UPPER($E637)),999),IFERROR(FIND("-",$E637),999),IFERROR(FIND("（",$E637),999))-1))=BK$1,$F637,""))</f>
        <v/>
      </c>
      <c r="BL637" s="268" t="str">
        <f t="shared" si="796"/>
        <v/>
      </c>
      <c r="BM637" s="268" t="str">
        <f t="shared" si="796"/>
        <v/>
      </c>
      <c r="BN637" s="268" t="str">
        <f t="shared" si="796"/>
        <v/>
      </c>
      <c r="BO637" s="268" t="str">
        <f t="shared" si="796"/>
        <v/>
      </c>
      <c r="BP637" s="268" t="str">
        <f t="shared" si="796"/>
        <v/>
      </c>
      <c r="BQ637" s="268" t="str">
        <f t="shared" si="796"/>
        <v/>
      </c>
      <c r="BR637" s="268" t="str">
        <f t="shared" si="796"/>
        <v/>
      </c>
      <c r="BS637" s="268" t="str">
        <f t="shared" si="796"/>
        <v/>
      </c>
      <c r="BT637" s="268" t="str">
        <f t="shared" si="760"/>
        <v/>
      </c>
      <c r="BU637" s="268" t="str">
        <f t="shared" si="761"/>
        <v/>
      </c>
      <c r="BV637" s="247">
        <v>1.39</v>
      </c>
      <c r="BW637" s="729">
        <f t="shared" si="762"/>
        <v>2397.75</v>
      </c>
      <c r="BX637" s="730">
        <f t="shared" si="763"/>
        <v>18582.56</v>
      </c>
      <c r="BY637" s="731" t="str">
        <f t="shared" si="764"/>
        <v>SR</v>
      </c>
    </row>
    <row r="638" s="698" customFormat="1" customHeight="1" spans="1:77">
      <c r="A638" s="208">
        <v>46139</v>
      </c>
      <c r="B638" s="208">
        <v>46199</v>
      </c>
      <c r="C638" s="268" t="s">
        <v>787</v>
      </c>
      <c r="D638" s="268" t="s">
        <v>788</v>
      </c>
      <c r="E638" s="268" t="s">
        <v>168</v>
      </c>
      <c r="F638" s="343">
        <v>1056</v>
      </c>
      <c r="G638" s="268" t="s">
        <v>341</v>
      </c>
      <c r="H638" s="211" t="str">
        <f>IFERROR(VLOOKUP(E638,名称!A:E,4,0),"")</f>
        <v>三代</v>
      </c>
      <c r="I638" s="268" t="str">
        <f t="shared" si="705"/>
        <v/>
      </c>
      <c r="J638" s="268" t="str">
        <f t="shared" si="706"/>
        <v/>
      </c>
      <c r="K638" s="268" t="str">
        <f t="shared" si="707"/>
        <v/>
      </c>
      <c r="L638" s="268" t="str">
        <f t="shared" si="708"/>
        <v/>
      </c>
      <c r="M638" s="268" t="str">
        <f t="shared" si="709"/>
        <v/>
      </c>
      <c r="N638" s="268" t="str">
        <f t="shared" si="710"/>
        <v/>
      </c>
      <c r="O638" s="268" t="str">
        <f t="shared" si="711"/>
        <v/>
      </c>
      <c r="P638" s="268" t="str">
        <f t="shared" si="712"/>
        <v/>
      </c>
      <c r="Q638" s="268" t="str">
        <f t="shared" si="713"/>
        <v/>
      </c>
      <c r="R638" s="268" t="str">
        <f t="shared" si="714"/>
        <v/>
      </c>
      <c r="S638" s="268" t="str">
        <f t="shared" si="715"/>
        <v/>
      </c>
      <c r="T638" s="268" t="str">
        <f t="shared" si="716"/>
        <v/>
      </c>
      <c r="U638" s="268" t="str">
        <f t="shared" si="717"/>
        <v/>
      </c>
      <c r="V638" s="268" t="str">
        <f t="shared" si="718"/>
        <v/>
      </c>
      <c r="W638" s="268" t="str">
        <f t="shared" si="719"/>
        <v/>
      </c>
      <c r="X638" s="268" t="str">
        <f t="shared" si="720"/>
        <v/>
      </c>
      <c r="Y638" s="268" t="str">
        <f t="shared" si="721"/>
        <v/>
      </c>
      <c r="Z638" s="268" t="str">
        <f t="shared" si="722"/>
        <v/>
      </c>
      <c r="AA638" s="268" t="str">
        <f t="shared" si="723"/>
        <v/>
      </c>
      <c r="AB638" s="268" t="str">
        <f t="shared" si="724"/>
        <v/>
      </c>
      <c r="AC638" s="268" t="str">
        <f t="shared" si="725"/>
        <v/>
      </c>
      <c r="AD638" s="268" t="str">
        <f t="shared" si="726"/>
        <v/>
      </c>
      <c r="AE638" s="268" t="str">
        <f t="shared" si="727"/>
        <v/>
      </c>
      <c r="AF638" s="268" t="str">
        <f t="shared" si="728"/>
        <v/>
      </c>
      <c r="AG638" s="268" t="str">
        <f t="shared" si="729"/>
        <v/>
      </c>
      <c r="AH638" s="268" t="str">
        <f t="shared" si="730"/>
        <v/>
      </c>
      <c r="AI638" s="268" t="str">
        <f t="shared" si="731"/>
        <v/>
      </c>
      <c r="AJ638" s="268" t="str">
        <f t="shared" si="732"/>
        <v/>
      </c>
      <c r="AK638" s="268" t="str">
        <f t="shared" si="733"/>
        <v/>
      </c>
      <c r="AL638" s="268" t="str">
        <f t="shared" si="734"/>
        <v/>
      </c>
      <c r="AM638" s="268" t="str">
        <f t="shared" si="735"/>
        <v/>
      </c>
      <c r="AN638" s="268" t="str">
        <f t="shared" si="736"/>
        <v/>
      </c>
      <c r="AO638" s="268" t="str">
        <f t="shared" si="737"/>
        <v/>
      </c>
      <c r="AP638" s="268" t="str">
        <f t="shared" si="738"/>
        <v/>
      </c>
      <c r="AQ638" s="268" t="str">
        <f t="shared" si="739"/>
        <v/>
      </c>
      <c r="AR638" s="268" t="str">
        <f t="shared" si="740"/>
        <v/>
      </c>
      <c r="AS638" s="268" t="str">
        <f t="shared" si="741"/>
        <v/>
      </c>
      <c r="AT638" s="268" t="str">
        <f t="shared" si="742"/>
        <v/>
      </c>
      <c r="AU638" s="268" t="str">
        <f t="shared" si="743"/>
        <v/>
      </c>
      <c r="AV638" s="268" t="str">
        <f t="shared" si="744"/>
        <v/>
      </c>
      <c r="AW638" s="268">
        <f t="shared" si="745"/>
        <v>1056</v>
      </c>
      <c r="AX638" s="268" t="str">
        <f t="shared" si="746"/>
        <v/>
      </c>
      <c r="AY638" s="268" t="str">
        <f t="shared" si="747"/>
        <v/>
      </c>
      <c r="AZ638" s="268" t="str">
        <f t="shared" si="748"/>
        <v/>
      </c>
      <c r="BA638" s="268" t="str">
        <f t="shared" si="749"/>
        <v/>
      </c>
      <c r="BB638" s="268" t="str">
        <f t="shared" si="750"/>
        <v/>
      </c>
      <c r="BC638" s="268" t="str">
        <f t="shared" si="751"/>
        <v/>
      </c>
      <c r="BD638" s="268" t="str">
        <f t="shared" si="752"/>
        <v/>
      </c>
      <c r="BE638" s="268" t="str">
        <f t="shared" si="753"/>
        <v/>
      </c>
      <c r="BF638" s="268" t="str">
        <f t="shared" si="754"/>
        <v/>
      </c>
      <c r="BG638" s="268" t="str">
        <f t="shared" si="755"/>
        <v/>
      </c>
      <c r="BH638" s="268" t="str">
        <f t="shared" si="756"/>
        <v/>
      </c>
      <c r="BI638" s="268" t="str">
        <f t="shared" si="757"/>
        <v/>
      </c>
      <c r="BJ638" s="268" t="str">
        <f t="shared" si="758"/>
        <v/>
      </c>
      <c r="BK638" s="268" t="str">
        <f t="shared" ref="BK638:BS638" si="797">IF(OR($E638="",BK$1=""),"",IF(TRIM(LEFT($E638,MIN(IFERROR(FIND("CDU",UPPER($E638)),999),IFERROR(FIND("BULK",UPPER($E638)),999),IFERROR(FIND("-",$E638),999),IFERROR(FIND("（",$E638),999))-1))=BK$1,$F638,""))</f>
        <v/>
      </c>
      <c r="BL638" s="268" t="str">
        <f t="shared" si="797"/>
        <v/>
      </c>
      <c r="BM638" s="268" t="str">
        <f t="shared" si="797"/>
        <v/>
      </c>
      <c r="BN638" s="268" t="str">
        <f t="shared" si="797"/>
        <v/>
      </c>
      <c r="BO638" s="268" t="str">
        <f t="shared" si="797"/>
        <v/>
      </c>
      <c r="BP638" s="268" t="str">
        <f t="shared" si="797"/>
        <v/>
      </c>
      <c r="BQ638" s="268" t="str">
        <f t="shared" si="797"/>
        <v/>
      </c>
      <c r="BR638" s="268" t="str">
        <f t="shared" si="797"/>
        <v/>
      </c>
      <c r="BS638" s="268" t="str">
        <f t="shared" si="797"/>
        <v/>
      </c>
      <c r="BT638" s="268" t="str">
        <f t="shared" si="760"/>
        <v/>
      </c>
      <c r="BU638" s="268" t="str">
        <f t="shared" si="761"/>
        <v/>
      </c>
      <c r="BV638" s="247">
        <v>1.33</v>
      </c>
      <c r="BW638" s="729">
        <f t="shared" si="762"/>
        <v>1404.48</v>
      </c>
      <c r="BX638" s="730">
        <f t="shared" si="763"/>
        <v>10884.72</v>
      </c>
      <c r="BY638" s="731" t="str">
        <f t="shared" si="764"/>
        <v>SR</v>
      </c>
    </row>
    <row r="639" s="698" customFormat="1" customHeight="1" spans="1:77">
      <c r="A639" s="208">
        <v>46139</v>
      </c>
      <c r="B639" s="208">
        <v>46199</v>
      </c>
      <c r="C639" s="268" t="s">
        <v>787</v>
      </c>
      <c r="D639" s="268" t="s">
        <v>788</v>
      </c>
      <c r="E639" s="268" t="s">
        <v>169</v>
      </c>
      <c r="F639" s="343">
        <v>1056</v>
      </c>
      <c r="G639" s="268" t="s">
        <v>341</v>
      </c>
      <c r="H639" s="211" t="str">
        <f>IFERROR(VLOOKUP(E639,名称!A:E,4,0),"")</f>
        <v>三代</v>
      </c>
      <c r="I639" s="268" t="str">
        <f t="shared" ref="I639:I671" si="798">IF(OR($E639="",I$1=""),"",IF(TRIM(LEFT($E639,MIN(IFERROR(FIND("CDU",UPPER($E639)),999),IFERROR(FIND("BULK",UPPER($E639)),999),IFERROR(FIND("-",$E639),999),IFERROR(FIND("（",$E639),999))-1))=I$1,$F639,""))</f>
        <v/>
      </c>
      <c r="J639" s="268" t="str">
        <f t="shared" ref="J639:J671" si="799">IF(OR($E639="",J$1=""),"",IF(TRIM(LEFT($E639,MIN(IFERROR(FIND("CDU",UPPER($E639)),999),IFERROR(FIND("BULK",UPPER($E639)),999),IFERROR(FIND("-",$E639),999),IFERROR(FIND("（",$E639),999))-1))=J$1,$F639,""))</f>
        <v/>
      </c>
      <c r="K639" s="268" t="str">
        <f t="shared" ref="K639:K671" si="800">IF(OR($E639="",K$1=""),"",IF(TRIM(LEFT($E639,MIN(IFERROR(FIND("CDU",UPPER($E639)),999),IFERROR(FIND("BULK",UPPER($E639)),999),IFERROR(FIND("-",$E639),999),IFERROR(FIND("（",$E639),999))-1))=K$1,$F639,""))</f>
        <v/>
      </c>
      <c r="L639" s="268" t="str">
        <f t="shared" ref="L639:L671" si="801">IF(OR($E639="",L$1=""),"",IF(TRIM(LEFT($E639,MIN(IFERROR(FIND("CDU",UPPER($E639)),999),IFERROR(FIND("BULK",UPPER($E639)),999),IFERROR(FIND("-",$E639),999),IFERROR(FIND("（",$E639),999))-1))=L$1,$F639,""))</f>
        <v/>
      </c>
      <c r="M639" s="268" t="str">
        <f t="shared" ref="M639:M671" si="802">IF(OR($E639="",M$1=""),"",IF(TRIM(LEFT($E639,MIN(IFERROR(FIND("CDU",UPPER($E639)),999),IFERROR(FIND("BULK",UPPER($E639)),999),IFERROR(FIND("-",$E639),999),IFERROR(FIND("（",$E639),999))-1))=M$1,$F639,""))</f>
        <v/>
      </c>
      <c r="N639" s="268" t="str">
        <f t="shared" ref="N639:N671" si="803">IF(OR($E639="",N$1=""),"",IF(TRIM(LEFT($E639,MIN(IFERROR(FIND("CDU",UPPER($E639)),999),IFERROR(FIND("BULK",UPPER($E639)),999),IFERROR(FIND("-",$E639),999),IFERROR(FIND("（",$E639),999))-1))=N$1,$F639,""))</f>
        <v/>
      </c>
      <c r="O639" s="268" t="str">
        <f t="shared" ref="O639:O671" si="804">IF(OR($E639="",O$1=""),"",IF(TRIM(LEFT($E639,MIN(IFERROR(FIND("CDU",UPPER($E639)),999),IFERROR(FIND("BULK",UPPER($E639)),999),IFERROR(FIND("-",$E639),999),IFERROR(FIND("（",$E639),999))-1))=O$1,$F639,""))</f>
        <v/>
      </c>
      <c r="P639" s="268" t="str">
        <f t="shared" ref="P639:P671" si="805">IF(OR($E639="",P$1=""),"",IF(TRIM(LEFT($E639,MIN(IFERROR(FIND("CDU",UPPER($E639)),999),IFERROR(FIND("BULK",UPPER($E639)),999),IFERROR(FIND("-",$E639),999),IFERROR(FIND("（",$E639),999))-1))=P$1,$F639,""))</f>
        <v/>
      </c>
      <c r="Q639" s="268" t="str">
        <f t="shared" ref="Q639:Q671" si="806">IF(OR($E639="",Q$1=""),"",IF(TRIM(LEFT($E639,MIN(IFERROR(FIND("CDU",UPPER($E639)),999),IFERROR(FIND("BULK",UPPER($E639)),999),IFERROR(FIND("-",$E639),999),IFERROR(FIND("（",$E639),999))-1))=Q$1,$F639,""))</f>
        <v/>
      </c>
      <c r="R639" s="268" t="str">
        <f t="shared" ref="R639:R671" si="807">IF(OR($E639="",R$1=""),"",IF(TRIM(LEFT($E639,MIN(IFERROR(FIND("CDU",UPPER($E639)),999),IFERROR(FIND("BULK",UPPER($E639)),999),IFERROR(FIND("-",$E639),999),IFERROR(FIND("（",$E639),999))-1))=R$1,$F639,""))</f>
        <v/>
      </c>
      <c r="S639" s="268" t="str">
        <f t="shared" ref="S639:S671" si="808">IF(OR($E639="",S$1=""),"",IF(TRIM(LEFT($E639,MIN(IFERROR(FIND("CDU",UPPER($E639)),999),IFERROR(FIND("BULK",UPPER($E639)),999),IFERROR(FIND("-",$E639),999),IFERROR(FIND("（",$E639),999))-1))=S$1,$F639,""))</f>
        <v/>
      </c>
      <c r="T639" s="268" t="str">
        <f t="shared" ref="T639:T671" si="809">IF(OR($E639="",T$1=""),"",IF(TRIM(LEFT($E639,MIN(IFERROR(FIND("CDU",UPPER($E639)),999),IFERROR(FIND("BULK",UPPER($E639)),999),IFERROR(FIND("-",$E639),999),IFERROR(FIND("（",$E639),999))-1))=T$1,$F639,""))</f>
        <v/>
      </c>
      <c r="U639" s="268" t="str">
        <f t="shared" ref="U639:U671" si="810">IF(OR($E639="",U$1=""),"",IF(TRIM(LEFT($E639,MIN(IFERROR(FIND("CDU",UPPER($E639)),999),IFERROR(FIND("BULK",UPPER($E639)),999),IFERROR(FIND("-",$E639),999),IFERROR(FIND("（",$E639),999))-1))=U$1,$F639,""))</f>
        <v/>
      </c>
      <c r="V639" s="268" t="str">
        <f t="shared" ref="V639:V671" si="811">IF(OR($E639="",V$1=""),"",IF(TRIM(LEFT($E639,MIN(IFERROR(FIND("CDU",UPPER($E639)),999),IFERROR(FIND("BULK",UPPER($E639)),999),IFERROR(FIND("-",$E639),999),IFERROR(FIND("（",$E639),999))-1))=V$1,$F639,""))</f>
        <v/>
      </c>
      <c r="W639" s="268" t="str">
        <f t="shared" ref="W639:W671" si="812">IF(OR($E639="",W$1=""),"",IF(TRIM(LEFT($E639,MIN(IFERROR(FIND("CDU",UPPER($E639)),999),IFERROR(FIND("BULK",UPPER($E639)),999),IFERROR(FIND("-",$E639),999),IFERROR(FIND("（",$E639),999))-1))=W$1,$F639,""))</f>
        <v/>
      </c>
      <c r="X639" s="268" t="str">
        <f t="shared" ref="X639:X671" si="813">IF(OR($E639="",X$1=""),"",IF(TRIM(LEFT($E639,MIN(IFERROR(FIND("CDU",UPPER($E639)),999),IFERROR(FIND("BULK",UPPER($E639)),999),IFERROR(FIND("-",$E639),999),IFERROR(FIND("（",$E639),999))-1))=X$1,$F639,""))</f>
        <v/>
      </c>
      <c r="Y639" s="268" t="str">
        <f t="shared" ref="Y639:Y671" si="814">IF(OR($E639="",Y$1=""),"",IF(TRIM(LEFT($E639,MIN(IFERROR(FIND("CDU",UPPER($E639)),999),IFERROR(FIND("BULK",UPPER($E639)),999),IFERROR(FIND("-",$E639),999),IFERROR(FIND("（",$E639),999))-1))=Y$1,$F639,""))</f>
        <v/>
      </c>
      <c r="Z639" s="268" t="str">
        <f t="shared" ref="Z639:Z671" si="815">IF(OR($E639="",Z$1=""),"",IF(TRIM(LEFT($E639,MIN(IFERROR(FIND("CDU",UPPER($E639)),999),IFERROR(FIND("BULK",UPPER($E639)),999),IFERROR(FIND("-",$E639),999),IFERROR(FIND("（",$E639),999))-1))=Z$1,$F639,""))</f>
        <v/>
      </c>
      <c r="AA639" s="268" t="str">
        <f t="shared" ref="AA639:AA671" si="816">IF(OR($E639="",AA$1=""),"",IF(TRIM(LEFT($E639,MIN(IFERROR(FIND("CDU",UPPER($E639)),999),IFERROR(FIND("BULK",UPPER($E639)),999),IFERROR(FIND("-",$E639),999),IFERROR(FIND("（",$E639),999))-1))=AA$1,$F639,""))</f>
        <v/>
      </c>
      <c r="AB639" s="268" t="str">
        <f t="shared" ref="AB639:AB671" si="817">IF(OR($E639="",AB$1=""),"",IF(TRIM(LEFT($E639,MIN(IFERROR(FIND("CDU",UPPER($E639)),999),IFERROR(FIND("BULK",UPPER($E639)),999),IFERROR(FIND("-",$E639),999),IFERROR(FIND("（",$E639),999))-1))=AB$1,$F639,""))</f>
        <v/>
      </c>
      <c r="AC639" s="268" t="str">
        <f t="shared" ref="AC639:AC671" si="818">IF(OR($E639="",AC$1=""),"",IF(TRIM(LEFT($E639,MIN(IFERROR(FIND("CDU",UPPER($E639)),999),IFERROR(FIND("BULK",UPPER($E639)),999),IFERROR(FIND("-",$E639),999),IFERROR(FIND("（",$E639),999))-1))=AC$1,$F639,""))</f>
        <v/>
      </c>
      <c r="AD639" s="268" t="str">
        <f t="shared" ref="AD639:AD671" si="819">IF(OR($E639="",AD$1=""),"",IF(TRIM(LEFT($E639,MIN(IFERROR(FIND("CDU",UPPER($E639)),999),IFERROR(FIND("BULK",UPPER($E639)),999),IFERROR(FIND("-",$E639),999),IFERROR(FIND("（",$E639),999))-1))=AD$1,$F639,""))</f>
        <v/>
      </c>
      <c r="AE639" s="268" t="str">
        <f t="shared" ref="AE639:AE671" si="820">IF(OR($E639="",AE$1=""),"",IF(TRIM(LEFT($E639,MIN(IFERROR(FIND("CDU",UPPER($E639)),999),IFERROR(FIND("BULK",UPPER($E639)),999),IFERROR(FIND("-",$E639),999),IFERROR(FIND("（",$E639),999))-1))=AE$1,$F639,""))</f>
        <v/>
      </c>
      <c r="AF639" s="268" t="str">
        <f t="shared" ref="AF639:AF671" si="821">IF(OR($E639="",AF$1=""),"",IF(TRIM(LEFT($E639,MIN(IFERROR(FIND("CDU",UPPER($E639)),999),IFERROR(FIND("BULK",UPPER($E639)),999),IFERROR(FIND("-",$E639),999),IFERROR(FIND("（",$E639),999))-1))=AF$1,$F639,""))</f>
        <v/>
      </c>
      <c r="AG639" s="268" t="str">
        <f t="shared" ref="AG639:AG671" si="822">IF(OR($E639="",AG$1=""),"",IF(TRIM(LEFT($E639,MIN(IFERROR(FIND("CDU",UPPER($E639)),999),IFERROR(FIND("BULK",UPPER($E639)),999),IFERROR(FIND("-",$E639),999),IFERROR(FIND("（",$E639),999))-1))=AG$1,$F639,""))</f>
        <v/>
      </c>
      <c r="AH639" s="268" t="str">
        <f t="shared" ref="AH639:AH671" si="823">IF(OR($E639="",AH$1=""),"",IF(TRIM(LEFT($E639,MIN(IFERROR(FIND("CDU",UPPER($E639)),999),IFERROR(FIND("BULK",UPPER($E639)),999),IFERROR(FIND("-",$E639),999),IFERROR(FIND("（",$E639),999))-1))=AH$1,$F639,""))</f>
        <v/>
      </c>
      <c r="AI639" s="268" t="str">
        <f t="shared" ref="AI639:AI671" si="824">IF(OR($E639="",AI$1=""),"",IF(TRIM(LEFT($E639,MIN(IFERROR(FIND("CDU",UPPER($E639)),999),IFERROR(FIND("BULK",UPPER($E639)),999),IFERROR(FIND("-",$E639),999),IFERROR(FIND("（",$E639),999))-1))=AI$1,$F639,""))</f>
        <v/>
      </c>
      <c r="AJ639" s="268" t="str">
        <f t="shared" ref="AJ639:AJ671" si="825">IF(OR($E639="",AJ$1=""),"",IF(TRIM(LEFT($E639,MIN(IFERROR(FIND("CDU",UPPER($E639)),999),IFERROR(FIND("BULK",UPPER($E639)),999),IFERROR(FIND("-",$E639),999),IFERROR(FIND("（",$E639),999))-1))=AJ$1,$F639,""))</f>
        <v/>
      </c>
      <c r="AK639" s="268" t="str">
        <f t="shared" ref="AK639:AK671" si="826">IF(OR($E639="",AK$1=""),"",IF(TRIM(LEFT($E639,MIN(IFERROR(FIND("CDU",UPPER($E639)),999),IFERROR(FIND("BULK",UPPER($E639)),999),IFERROR(FIND("-",$E639),999),IFERROR(FIND("（",$E639),999))-1))=AK$1,$F639,""))</f>
        <v/>
      </c>
      <c r="AL639" s="268" t="str">
        <f t="shared" ref="AL639:AL671" si="827">IF(OR($E639="",AL$1=""),"",IF(TRIM(LEFT($E639,MIN(IFERROR(FIND("CDU",UPPER($E639)),999),IFERROR(FIND("BULK",UPPER($E639)),999),IFERROR(FIND("-",$E639),999),IFERROR(FIND("（",$E639),999))-1))=AL$1,$F639,""))</f>
        <v/>
      </c>
      <c r="AM639" s="268" t="str">
        <f t="shared" ref="AM639:AM671" si="828">IF(OR($E639="",AM$1=""),"",IF(TRIM(LEFT($E639,MIN(IFERROR(FIND("CDU",UPPER($E639)),999),IFERROR(FIND("BULK",UPPER($E639)),999),IFERROR(FIND("-",$E639),999),IFERROR(FIND("（",$E639),999))-1))=AM$1,$F639,""))</f>
        <v/>
      </c>
      <c r="AN639" s="268" t="str">
        <f t="shared" ref="AN639:AN671" si="829">IF(OR($E639="",AN$1=""),"",IF(TRIM(LEFT($E639,MIN(IFERROR(FIND("CDU",UPPER($E639)),999),IFERROR(FIND("BULK",UPPER($E639)),999),IFERROR(FIND("-",$E639),999),IFERROR(FIND("（",$E639),999))-1))=AN$1,$F639,""))</f>
        <v/>
      </c>
      <c r="AO639" s="268" t="str">
        <f t="shared" ref="AO639:AO671" si="830">IF(OR($E639="",AO$1=""),"",IF(TRIM(LEFT($E639,MIN(IFERROR(FIND("CDU",UPPER($E639)),999),IFERROR(FIND("BULK",UPPER($E639)),999),IFERROR(FIND("-",$E639),999),IFERROR(FIND("（",$E639),999))-1))=AO$1,$F639,""))</f>
        <v/>
      </c>
      <c r="AP639" s="268" t="str">
        <f t="shared" ref="AP639:AP671" si="831">IF(OR($E639="",AP$1=""),"",IF(TRIM(LEFT($E639,MIN(IFERROR(FIND("CDU",UPPER($E639)),999),IFERROR(FIND("BULK",UPPER($E639)),999),IFERROR(FIND("-",$E639),999),IFERROR(FIND("（",$E639),999))-1))=AP$1,$F639,""))</f>
        <v/>
      </c>
      <c r="AQ639" s="268" t="str">
        <f t="shared" ref="AQ639:AQ671" si="832">IF(OR($E639="",AQ$1=""),"",IF(TRIM(LEFT($E639,MIN(IFERROR(FIND("CDU",UPPER($E639)),999),IFERROR(FIND("BULK",UPPER($E639)),999),IFERROR(FIND("-",$E639),999),IFERROR(FIND("（",$E639),999))-1))=AQ$1,$F639,""))</f>
        <v/>
      </c>
      <c r="AR639" s="268" t="str">
        <f t="shared" ref="AR639:AR671" si="833">IF(OR($E639="",AR$1=""),"",IF(TRIM(LEFT($E639,MIN(IFERROR(FIND("CDU",UPPER($E639)),999),IFERROR(FIND("BULK",UPPER($E639)),999),IFERROR(FIND("-",$E639),999),IFERROR(FIND("（",$E639),999))-1))=AR$1,$F639,""))</f>
        <v/>
      </c>
      <c r="AS639" s="268" t="str">
        <f t="shared" ref="AS639:AS671" si="834">IF(OR($E639="",AS$1=""),"",IF(TRIM(LEFT($E639,MIN(IFERROR(FIND("CDU",UPPER($E639)),999),IFERROR(FIND("BULK",UPPER($E639)),999),IFERROR(FIND("-",$E639),999),IFERROR(FIND("（",$E639),999))-1))=AS$1,$F639,""))</f>
        <v/>
      </c>
      <c r="AT639" s="268" t="str">
        <f t="shared" ref="AT639:AT671" si="835">IF(OR($E639="",AT$1=""),"",IF(TRIM(LEFT($E639,MIN(IFERROR(FIND("CDU",UPPER($E639)),999),IFERROR(FIND("BULK",UPPER($E639)),999),IFERROR(FIND("-",$E639),999),IFERROR(FIND("（",$E639),999))-1))=AT$1,$F639,""))</f>
        <v/>
      </c>
      <c r="AU639" s="268" t="str">
        <f t="shared" ref="AU639:AU671" si="836">IF(OR($E639="",AU$1=""),"",IF(TRIM(LEFT($E639,MIN(IFERROR(FIND("CDU",UPPER($E639)),999),IFERROR(FIND("BULK",UPPER($E639)),999),IFERROR(FIND("-",$E639),999),IFERROR(FIND("（",$E639),999))-1))=AU$1,$F639,""))</f>
        <v/>
      </c>
      <c r="AV639" s="268" t="str">
        <f t="shared" ref="AV639:AV671" si="837">IF(OR($E639="",AV$1=""),"",IF(TRIM(LEFT($E639,MIN(IFERROR(FIND("CDU",UPPER($E639)),999),IFERROR(FIND("BULK",UPPER($E639)),999),IFERROR(FIND("-",$E639),999),IFERROR(FIND("（",$E639),999))-1))=AV$1,$F639,""))</f>
        <v/>
      </c>
      <c r="AW639" s="268">
        <f t="shared" ref="AW639:AW671" si="838">IF(OR($E639="",AW$1=""),"",IF(TRIM(LEFT($E639,MIN(IFERROR(FIND("CDU",UPPER($E639)),999),IFERROR(FIND("BULK",UPPER($E639)),999),IFERROR(FIND("-",$E639),999),IFERROR(FIND("（",$E639),999))-1))=AW$1,$F639,""))</f>
        <v>1056</v>
      </c>
      <c r="AX639" s="268" t="str">
        <f t="shared" ref="AX639:AX671" si="839">IF(OR($E639="",AX$1=""),"",IF(TRIM(LEFT($E639,MIN(IFERROR(FIND("CDU",UPPER($E639)),999),IFERROR(FIND("BULK",UPPER($E639)),999),IFERROR(FIND("-",$E639),999),IFERROR(FIND("（",$E639),999))-1))=AX$1,$F639,""))</f>
        <v/>
      </c>
      <c r="AY639" s="268" t="str">
        <f t="shared" ref="AY639:AY671" si="840">IF(OR($E639="",AY$1=""),"",IF(TRIM(LEFT($E639,MIN(IFERROR(FIND("CDU",UPPER($E639)),999),IFERROR(FIND("BULK",UPPER($E639)),999),IFERROR(FIND("-",$E639),999),IFERROR(FIND("（",$E639),999))-1))=AY$1,$F639,""))</f>
        <v/>
      </c>
      <c r="AZ639" s="268" t="str">
        <f t="shared" ref="AZ639:AZ671" si="841">IF(OR($E639="",AZ$1=""),"",IF(TRIM(LEFT($E639,MIN(IFERROR(FIND("CDU",UPPER($E639)),999),IFERROR(FIND("BULK",UPPER($E639)),999),IFERROR(FIND("-",$E639),999),IFERROR(FIND("（",$E639),999))-1))=AZ$1,$F639,""))</f>
        <v/>
      </c>
      <c r="BA639" s="268" t="str">
        <f t="shared" ref="BA639:BA671" si="842">IF(OR($E639="",BA$1=""),"",IF(TRIM(LEFT($E639,MIN(IFERROR(FIND("CDU",UPPER($E639)),999),IFERROR(FIND("BULK",UPPER($E639)),999),IFERROR(FIND("-",$E639),999),IFERROR(FIND("（",$E639),999))-1))=BA$1,$F639,""))</f>
        <v/>
      </c>
      <c r="BB639" s="268" t="str">
        <f t="shared" ref="BB639:BB671" si="843">IF(OR($E639="",BB$1=""),"",IF(TRIM(LEFT($E639,MIN(IFERROR(FIND("CDU",UPPER($E639)),999),IFERROR(FIND("BULK",UPPER($E639)),999),IFERROR(FIND("-",$E639),999),IFERROR(FIND("（",$E639),999))-1))=BB$1,$F639,""))</f>
        <v/>
      </c>
      <c r="BC639" s="268" t="str">
        <f t="shared" ref="BC639:BC671" si="844">IF(OR($E639="",BC$1=""),"",IF(TRIM(LEFT($E639,MIN(IFERROR(FIND("CDU",UPPER($E639)),999),IFERROR(FIND("BULK",UPPER($E639)),999),IFERROR(FIND("-",$E639),999),IFERROR(FIND("（",$E639),999))-1))=BC$1,$F639,""))</f>
        <v/>
      </c>
      <c r="BD639" s="268" t="str">
        <f t="shared" ref="BD639:BD671" si="845">IF(OR($E639="",BD$1=""),"",IF(TRIM(LEFT($E639,MIN(IFERROR(FIND("CDU",UPPER($E639)),999),IFERROR(FIND("BULK",UPPER($E639)),999),IFERROR(FIND("-",$E639),999),IFERROR(FIND("（",$E639),999))-1))=BD$1,$F639,""))</f>
        <v/>
      </c>
      <c r="BE639" s="268" t="str">
        <f t="shared" ref="BE639:BE671" si="846">IF(OR($E639="",BE$1=""),"",IF(TRIM(LEFT($E639,MIN(IFERROR(FIND("CDU",UPPER($E639)),999),IFERROR(FIND("BULK",UPPER($E639)),999),IFERROR(FIND("-",$E639),999),IFERROR(FIND("（",$E639),999))-1))=BE$1,$F639,""))</f>
        <v/>
      </c>
      <c r="BF639" s="268" t="str">
        <f t="shared" ref="BF639:BF671" si="847">IF(OR($E639="",BF$1=""),"",IF(TRIM(LEFT($E639,MIN(IFERROR(FIND("CDU",UPPER($E639)),999),IFERROR(FIND("BULK",UPPER($E639)),999),IFERROR(FIND("-",$E639),999),IFERROR(FIND("（",$E639),999))-1))=BF$1,$F639,""))</f>
        <v/>
      </c>
      <c r="BG639" s="268" t="str">
        <f t="shared" ref="BG639:BG671" si="848">IF(OR($E639="",BG$1=""),"",IF(TRIM(LEFT($E639,MIN(IFERROR(FIND("CDU",UPPER($E639)),999),IFERROR(FIND("BULK",UPPER($E639)),999),IFERROR(FIND("-",$E639),999),IFERROR(FIND("（",$E639),999))-1))=BG$1,$F639,""))</f>
        <v/>
      </c>
      <c r="BH639" s="268" t="str">
        <f t="shared" ref="BH639:BH671" si="849">IF(OR($E639="",BH$1=""),"",IF(TRIM(LEFT($E639,MIN(IFERROR(FIND("CDU",UPPER($E639)),999),IFERROR(FIND("BULK",UPPER($E639)),999),IFERROR(FIND("-",$E639),999),IFERROR(FIND("（",$E639),999))-1))=BH$1,$F639,""))</f>
        <v/>
      </c>
      <c r="BI639" s="268" t="str">
        <f t="shared" ref="BI639:BI671" si="850">IF(OR($E639="",BI$1=""),"",IF(TRIM(LEFT($E639,MIN(IFERROR(FIND("CDU",UPPER($E639)),999),IFERROR(FIND("BULK",UPPER($E639)),999),IFERROR(FIND("-",$E639),999),IFERROR(FIND("（",$E639),999))-1))=BI$1,$F639,""))</f>
        <v/>
      </c>
      <c r="BJ639" s="268" t="str">
        <f t="shared" ref="BJ639:BJ671" si="851">IF(OR($E639="",BJ$1=""),"",IF(TRIM(LEFT($E639,MIN(IFERROR(FIND("CDU",UPPER($E639)),999),IFERROR(FIND("BULK",UPPER($E639)),999),IFERROR(FIND("-",$E639),999),IFERROR(FIND("（",$E639),999))-1))=BJ$1,$F639,""))</f>
        <v/>
      </c>
      <c r="BK639" s="268" t="str">
        <f t="shared" ref="BK639:BS639" si="852">IF(OR($E639="",BK$1=""),"",IF(TRIM(LEFT($E639,MIN(IFERROR(FIND("CDU",UPPER($E639)),999),IFERROR(FIND("BULK",UPPER($E639)),999),IFERROR(FIND("-",$E639),999),IFERROR(FIND("（",$E639),999))-1))=BK$1,$F639,""))</f>
        <v/>
      </c>
      <c r="BL639" s="268" t="str">
        <f t="shared" si="852"/>
        <v/>
      </c>
      <c r="BM639" s="268" t="str">
        <f t="shared" si="852"/>
        <v/>
      </c>
      <c r="BN639" s="268" t="str">
        <f t="shared" si="852"/>
        <v/>
      </c>
      <c r="BO639" s="268" t="str">
        <f t="shared" si="852"/>
        <v/>
      </c>
      <c r="BP639" s="268" t="str">
        <f t="shared" si="852"/>
        <v/>
      </c>
      <c r="BQ639" s="268" t="str">
        <f t="shared" si="852"/>
        <v/>
      </c>
      <c r="BR639" s="268" t="str">
        <f t="shared" si="852"/>
        <v/>
      </c>
      <c r="BS639" s="268" t="str">
        <f t="shared" si="852"/>
        <v/>
      </c>
      <c r="BT639" s="268" t="str">
        <f t="shared" ref="BT639:BT671" si="853">IF(OR($E639="",BT$1=""),"",IF(TRIM(LEFT($E639,MIN(IFERROR(FIND("CDU",UPPER($E639)),999),IFERROR(FIND("BULK",UPPER($E639)),999),IFERROR(FIND("-",$E639),999),IFERROR(FIND("（",$E639),999))-1))=BT$1,$F639,""))</f>
        <v/>
      </c>
      <c r="BU639" s="268" t="str">
        <f t="shared" ref="BU639:BU671" si="854">IF(OR($E639="",BU$1=""),"",IF(TRIM(LEFT($E639,MIN(IFERROR(FIND("CDU",UPPER($E639)),999),IFERROR(FIND("BULK",UPPER($E639)),999),IFERROR(FIND("-",$E639),999),IFERROR(FIND("（",$E639),999))-1))=BU$1,$F639,""))</f>
        <v/>
      </c>
      <c r="BV639" s="247">
        <v>1.33</v>
      </c>
      <c r="BW639" s="729">
        <f t="shared" ref="BW639:BW671" si="855">SUM(I639:BU639)*BV639</f>
        <v>1404.48</v>
      </c>
      <c r="BX639" s="730">
        <f t="shared" ref="BX639:BX671" si="856">BW639*7.75</f>
        <v>10884.72</v>
      </c>
      <c r="BY639" s="731" t="str">
        <f t="shared" ref="BY639:BY671" si="857">MID(E639,1,2)</f>
        <v>SR</v>
      </c>
    </row>
    <row r="640" s="698" customFormat="1" customHeight="1" spans="1:77">
      <c r="A640" s="208">
        <v>46139</v>
      </c>
      <c r="B640" s="208">
        <v>46199</v>
      </c>
      <c r="C640" s="268" t="s">
        <v>787</v>
      </c>
      <c r="D640" s="268" t="s">
        <v>788</v>
      </c>
      <c r="E640" s="268" t="s">
        <v>170</v>
      </c>
      <c r="F640" s="343">
        <v>1056</v>
      </c>
      <c r="G640" s="268" t="s">
        <v>341</v>
      </c>
      <c r="H640" s="211" t="str">
        <f>IFERROR(VLOOKUP(E640,名称!A:E,4,0),"")</f>
        <v>三代</v>
      </c>
      <c r="I640" s="268" t="str">
        <f t="shared" si="798"/>
        <v/>
      </c>
      <c r="J640" s="268" t="str">
        <f t="shared" si="799"/>
        <v/>
      </c>
      <c r="K640" s="268" t="str">
        <f t="shared" si="800"/>
        <v/>
      </c>
      <c r="L640" s="268" t="str">
        <f t="shared" si="801"/>
        <v/>
      </c>
      <c r="M640" s="268" t="str">
        <f t="shared" si="802"/>
        <v/>
      </c>
      <c r="N640" s="268" t="str">
        <f t="shared" si="803"/>
        <v/>
      </c>
      <c r="O640" s="268" t="str">
        <f t="shared" si="804"/>
        <v/>
      </c>
      <c r="P640" s="268" t="str">
        <f t="shared" si="805"/>
        <v/>
      </c>
      <c r="Q640" s="268" t="str">
        <f t="shared" si="806"/>
        <v/>
      </c>
      <c r="R640" s="268" t="str">
        <f t="shared" si="807"/>
        <v/>
      </c>
      <c r="S640" s="268" t="str">
        <f t="shared" si="808"/>
        <v/>
      </c>
      <c r="T640" s="268" t="str">
        <f t="shared" si="809"/>
        <v/>
      </c>
      <c r="U640" s="268" t="str">
        <f t="shared" si="810"/>
        <v/>
      </c>
      <c r="V640" s="268" t="str">
        <f t="shared" si="811"/>
        <v/>
      </c>
      <c r="W640" s="268" t="str">
        <f t="shared" si="812"/>
        <v/>
      </c>
      <c r="X640" s="268" t="str">
        <f t="shared" si="813"/>
        <v/>
      </c>
      <c r="Y640" s="268" t="str">
        <f t="shared" si="814"/>
        <v/>
      </c>
      <c r="Z640" s="268" t="str">
        <f t="shared" si="815"/>
        <v/>
      </c>
      <c r="AA640" s="268" t="str">
        <f t="shared" si="816"/>
        <v/>
      </c>
      <c r="AB640" s="268" t="str">
        <f t="shared" si="817"/>
        <v/>
      </c>
      <c r="AC640" s="268" t="str">
        <f t="shared" si="818"/>
        <v/>
      </c>
      <c r="AD640" s="268" t="str">
        <f t="shared" si="819"/>
        <v/>
      </c>
      <c r="AE640" s="268" t="str">
        <f t="shared" si="820"/>
        <v/>
      </c>
      <c r="AF640" s="268" t="str">
        <f t="shared" si="821"/>
        <v/>
      </c>
      <c r="AG640" s="268" t="str">
        <f t="shared" si="822"/>
        <v/>
      </c>
      <c r="AH640" s="268" t="str">
        <f t="shared" si="823"/>
        <v/>
      </c>
      <c r="AI640" s="268" t="str">
        <f t="shared" si="824"/>
        <v/>
      </c>
      <c r="AJ640" s="268" t="str">
        <f t="shared" si="825"/>
        <v/>
      </c>
      <c r="AK640" s="268" t="str">
        <f t="shared" si="826"/>
        <v/>
      </c>
      <c r="AL640" s="268" t="str">
        <f t="shared" si="827"/>
        <v/>
      </c>
      <c r="AM640" s="268" t="str">
        <f t="shared" si="828"/>
        <v/>
      </c>
      <c r="AN640" s="268" t="str">
        <f t="shared" si="829"/>
        <v/>
      </c>
      <c r="AO640" s="268" t="str">
        <f t="shared" si="830"/>
        <v/>
      </c>
      <c r="AP640" s="268" t="str">
        <f t="shared" si="831"/>
        <v/>
      </c>
      <c r="AQ640" s="268" t="str">
        <f t="shared" si="832"/>
        <v/>
      </c>
      <c r="AR640" s="268" t="str">
        <f t="shared" si="833"/>
        <v/>
      </c>
      <c r="AS640" s="268" t="str">
        <f t="shared" si="834"/>
        <v/>
      </c>
      <c r="AT640" s="268" t="str">
        <f t="shared" si="835"/>
        <v/>
      </c>
      <c r="AU640" s="268" t="str">
        <f t="shared" si="836"/>
        <v/>
      </c>
      <c r="AV640" s="268" t="str">
        <f t="shared" si="837"/>
        <v/>
      </c>
      <c r="AW640" s="268">
        <f t="shared" si="838"/>
        <v>1056</v>
      </c>
      <c r="AX640" s="268" t="str">
        <f t="shared" si="839"/>
        <v/>
      </c>
      <c r="AY640" s="268" t="str">
        <f t="shared" si="840"/>
        <v/>
      </c>
      <c r="AZ640" s="268" t="str">
        <f t="shared" si="841"/>
        <v/>
      </c>
      <c r="BA640" s="268" t="str">
        <f t="shared" si="842"/>
        <v/>
      </c>
      <c r="BB640" s="268" t="str">
        <f t="shared" si="843"/>
        <v/>
      </c>
      <c r="BC640" s="268" t="str">
        <f t="shared" si="844"/>
        <v/>
      </c>
      <c r="BD640" s="268" t="str">
        <f t="shared" si="845"/>
        <v/>
      </c>
      <c r="BE640" s="268" t="str">
        <f t="shared" si="846"/>
        <v/>
      </c>
      <c r="BF640" s="268" t="str">
        <f t="shared" si="847"/>
        <v/>
      </c>
      <c r="BG640" s="268" t="str">
        <f t="shared" si="848"/>
        <v/>
      </c>
      <c r="BH640" s="268" t="str">
        <f t="shared" si="849"/>
        <v/>
      </c>
      <c r="BI640" s="268" t="str">
        <f t="shared" si="850"/>
        <v/>
      </c>
      <c r="BJ640" s="268" t="str">
        <f t="shared" si="851"/>
        <v/>
      </c>
      <c r="BK640" s="268" t="str">
        <f t="shared" ref="BK640:BS640" si="858">IF(OR($E640="",BK$1=""),"",IF(TRIM(LEFT($E640,MIN(IFERROR(FIND("CDU",UPPER($E640)),999),IFERROR(FIND("BULK",UPPER($E640)),999),IFERROR(FIND("-",$E640),999),IFERROR(FIND("（",$E640),999))-1))=BK$1,$F640,""))</f>
        <v/>
      </c>
      <c r="BL640" s="268" t="str">
        <f t="shared" si="858"/>
        <v/>
      </c>
      <c r="BM640" s="268" t="str">
        <f t="shared" si="858"/>
        <v/>
      </c>
      <c r="BN640" s="268" t="str">
        <f t="shared" si="858"/>
        <v/>
      </c>
      <c r="BO640" s="268" t="str">
        <f t="shared" si="858"/>
        <v/>
      </c>
      <c r="BP640" s="268" t="str">
        <f t="shared" si="858"/>
        <v/>
      </c>
      <c r="BQ640" s="268" t="str">
        <f t="shared" si="858"/>
        <v/>
      </c>
      <c r="BR640" s="268" t="str">
        <f t="shared" si="858"/>
        <v/>
      </c>
      <c r="BS640" s="268" t="str">
        <f t="shared" si="858"/>
        <v/>
      </c>
      <c r="BT640" s="268" t="str">
        <f t="shared" si="853"/>
        <v/>
      </c>
      <c r="BU640" s="268" t="str">
        <f t="shared" si="854"/>
        <v/>
      </c>
      <c r="BV640" s="247">
        <v>1.33</v>
      </c>
      <c r="BW640" s="729">
        <f t="shared" si="855"/>
        <v>1404.48</v>
      </c>
      <c r="BX640" s="730">
        <f t="shared" si="856"/>
        <v>10884.72</v>
      </c>
      <c r="BY640" s="731" t="str">
        <f t="shared" si="857"/>
        <v>SR</v>
      </c>
    </row>
    <row r="641" s="697" customFormat="1" customHeight="1" spans="1:77">
      <c r="A641" s="116">
        <v>46139</v>
      </c>
      <c r="B641" s="116">
        <v>46199</v>
      </c>
      <c r="C641" s="418" t="s">
        <v>787</v>
      </c>
      <c r="D641" s="418" t="s">
        <v>788</v>
      </c>
      <c r="E641" s="418" t="s">
        <v>167</v>
      </c>
      <c r="F641" s="737">
        <v>2256</v>
      </c>
      <c r="G641" s="418" t="s">
        <v>341</v>
      </c>
      <c r="H641" s="118" t="str">
        <f>IFERROR(VLOOKUP(E641,名称!A:E,4,0),"")</f>
        <v>三代</v>
      </c>
      <c r="I641" s="418" t="str">
        <f t="shared" si="798"/>
        <v/>
      </c>
      <c r="J641" s="418" t="str">
        <f t="shared" si="799"/>
        <v/>
      </c>
      <c r="K641" s="418" t="str">
        <f t="shared" si="800"/>
        <v/>
      </c>
      <c r="L641" s="418" t="str">
        <f t="shared" si="801"/>
        <v/>
      </c>
      <c r="M641" s="418" t="str">
        <f t="shared" si="802"/>
        <v/>
      </c>
      <c r="N641" s="418" t="str">
        <f t="shared" si="803"/>
        <v/>
      </c>
      <c r="O641" s="418" t="str">
        <f t="shared" si="804"/>
        <v/>
      </c>
      <c r="P641" s="418" t="str">
        <f t="shared" si="805"/>
        <v/>
      </c>
      <c r="Q641" s="418" t="str">
        <f t="shared" si="806"/>
        <v/>
      </c>
      <c r="R641" s="418" t="str">
        <f t="shared" si="807"/>
        <v/>
      </c>
      <c r="S641" s="418" t="str">
        <f t="shared" si="808"/>
        <v/>
      </c>
      <c r="T641" s="418" t="str">
        <f t="shared" si="809"/>
        <v/>
      </c>
      <c r="U641" s="418" t="str">
        <f t="shared" si="810"/>
        <v/>
      </c>
      <c r="V641" s="418" t="str">
        <f t="shared" si="811"/>
        <v/>
      </c>
      <c r="W641" s="418" t="str">
        <f t="shared" si="812"/>
        <v/>
      </c>
      <c r="X641" s="418" t="str">
        <f t="shared" si="813"/>
        <v/>
      </c>
      <c r="Y641" s="418" t="str">
        <f t="shared" si="814"/>
        <v/>
      </c>
      <c r="Z641" s="418" t="str">
        <f t="shared" si="815"/>
        <v/>
      </c>
      <c r="AA641" s="418" t="str">
        <f t="shared" si="816"/>
        <v/>
      </c>
      <c r="AB641" s="418" t="str">
        <f t="shared" si="817"/>
        <v/>
      </c>
      <c r="AC641" s="418" t="str">
        <f t="shared" si="818"/>
        <v/>
      </c>
      <c r="AD641" s="418" t="str">
        <f t="shared" si="819"/>
        <v/>
      </c>
      <c r="AE641" s="418" t="str">
        <f t="shared" si="820"/>
        <v/>
      </c>
      <c r="AF641" s="418" t="str">
        <f t="shared" si="821"/>
        <v/>
      </c>
      <c r="AG641" s="418" t="str">
        <f t="shared" si="822"/>
        <v/>
      </c>
      <c r="AH641" s="418" t="str">
        <f t="shared" si="823"/>
        <v/>
      </c>
      <c r="AI641" s="418" t="str">
        <f t="shared" si="824"/>
        <v/>
      </c>
      <c r="AJ641" s="418" t="str">
        <f t="shared" si="825"/>
        <v/>
      </c>
      <c r="AK641" s="418" t="str">
        <f t="shared" si="826"/>
        <v/>
      </c>
      <c r="AL641" s="418" t="str">
        <f t="shared" si="827"/>
        <v/>
      </c>
      <c r="AM641" s="418" t="str">
        <f t="shared" si="828"/>
        <v/>
      </c>
      <c r="AN641" s="418" t="str">
        <f t="shared" si="829"/>
        <v/>
      </c>
      <c r="AO641" s="418" t="str">
        <f t="shared" si="830"/>
        <v/>
      </c>
      <c r="AP641" s="418" t="str">
        <f t="shared" si="831"/>
        <v/>
      </c>
      <c r="AQ641" s="418" t="str">
        <f t="shared" si="832"/>
        <v/>
      </c>
      <c r="AR641" s="418" t="str">
        <f t="shared" si="833"/>
        <v/>
      </c>
      <c r="AS641" s="418" t="str">
        <f t="shared" si="834"/>
        <v/>
      </c>
      <c r="AT641" s="418" t="str">
        <f t="shared" si="835"/>
        <v/>
      </c>
      <c r="AU641" s="418">
        <f t="shared" si="836"/>
        <v>2256</v>
      </c>
      <c r="AV641" s="418" t="str">
        <f t="shared" si="837"/>
        <v/>
      </c>
      <c r="AW641" s="418" t="str">
        <f t="shared" si="838"/>
        <v/>
      </c>
      <c r="AX641" s="418" t="str">
        <f t="shared" si="839"/>
        <v/>
      </c>
      <c r="AY641" s="418" t="str">
        <f t="shared" si="840"/>
        <v/>
      </c>
      <c r="AZ641" s="418" t="str">
        <f t="shared" si="841"/>
        <v/>
      </c>
      <c r="BA641" s="418" t="str">
        <f t="shared" si="842"/>
        <v/>
      </c>
      <c r="BB641" s="418" t="str">
        <f t="shared" si="843"/>
        <v/>
      </c>
      <c r="BC641" s="418" t="str">
        <f t="shared" si="844"/>
        <v/>
      </c>
      <c r="BD641" s="418" t="str">
        <f t="shared" si="845"/>
        <v/>
      </c>
      <c r="BE641" s="418" t="str">
        <f t="shared" si="846"/>
        <v/>
      </c>
      <c r="BF641" s="418" t="str">
        <f t="shared" si="847"/>
        <v/>
      </c>
      <c r="BG641" s="418" t="str">
        <f t="shared" si="848"/>
        <v/>
      </c>
      <c r="BH641" s="418" t="str">
        <f t="shared" si="849"/>
        <v/>
      </c>
      <c r="BI641" s="418" t="str">
        <f t="shared" si="850"/>
        <v/>
      </c>
      <c r="BJ641" s="418" t="str">
        <f t="shared" si="851"/>
        <v/>
      </c>
      <c r="BK641" s="418" t="str">
        <f t="shared" ref="BK641:BS641" si="859">IF(OR($E641="",BK$1=""),"",IF(TRIM(LEFT($E641,MIN(IFERROR(FIND("CDU",UPPER($E641)),999),IFERROR(FIND("BULK",UPPER($E641)),999),IFERROR(FIND("-",$E641),999),IFERROR(FIND("（",$E641),999))-1))=BK$1,$F641,""))</f>
        <v/>
      </c>
      <c r="BL641" s="418" t="str">
        <f t="shared" si="859"/>
        <v/>
      </c>
      <c r="BM641" s="418" t="str">
        <f t="shared" si="859"/>
        <v/>
      </c>
      <c r="BN641" s="418" t="str">
        <f t="shared" si="859"/>
        <v/>
      </c>
      <c r="BO641" s="418" t="str">
        <f t="shared" si="859"/>
        <v/>
      </c>
      <c r="BP641" s="418" t="str">
        <f t="shared" si="859"/>
        <v/>
      </c>
      <c r="BQ641" s="418" t="str">
        <f t="shared" si="859"/>
        <v/>
      </c>
      <c r="BR641" s="418" t="str">
        <f t="shared" si="859"/>
        <v/>
      </c>
      <c r="BS641" s="418" t="str">
        <f t="shared" si="859"/>
        <v/>
      </c>
      <c r="BT641" s="418" t="str">
        <f t="shared" si="853"/>
        <v/>
      </c>
      <c r="BU641" s="418" t="str">
        <f t="shared" si="854"/>
        <v/>
      </c>
      <c r="BV641" s="544">
        <v>1.67</v>
      </c>
      <c r="BW641" s="723">
        <f t="shared" si="855"/>
        <v>3767.52</v>
      </c>
      <c r="BX641" s="724">
        <f t="shared" si="856"/>
        <v>29198.28</v>
      </c>
      <c r="BY641" s="725" t="str">
        <f t="shared" si="857"/>
        <v>SR</v>
      </c>
    </row>
    <row r="642" s="698" customFormat="1" customHeight="1" spans="1:77">
      <c r="A642" s="208">
        <v>46139</v>
      </c>
      <c r="B642" s="208">
        <v>46199</v>
      </c>
      <c r="C642" s="268" t="s">
        <v>787</v>
      </c>
      <c r="D642" s="268" t="s">
        <v>788</v>
      </c>
      <c r="E642" s="268" t="s">
        <v>136</v>
      </c>
      <c r="F642" s="343">
        <v>576</v>
      </c>
      <c r="G642" s="268" t="s">
        <v>341</v>
      </c>
      <c r="H642" s="211" t="str">
        <f>IFERROR(VLOOKUP(E642,名称!A:E,4,0),"")</f>
        <v>三代</v>
      </c>
      <c r="I642" s="268" t="str">
        <f t="shared" si="798"/>
        <v/>
      </c>
      <c r="J642" s="268" t="str">
        <f t="shared" si="799"/>
        <v/>
      </c>
      <c r="K642" s="268" t="str">
        <f t="shared" si="800"/>
        <v/>
      </c>
      <c r="L642" s="268" t="str">
        <f t="shared" si="801"/>
        <v/>
      </c>
      <c r="M642" s="268" t="str">
        <f t="shared" si="802"/>
        <v/>
      </c>
      <c r="N642" s="268" t="str">
        <f t="shared" si="803"/>
        <v/>
      </c>
      <c r="O642" s="268" t="str">
        <f t="shared" si="804"/>
        <v/>
      </c>
      <c r="P642" s="268" t="str">
        <f t="shared" si="805"/>
        <v/>
      </c>
      <c r="Q642" s="268" t="str">
        <f t="shared" si="806"/>
        <v/>
      </c>
      <c r="R642" s="268" t="str">
        <f t="shared" si="807"/>
        <v/>
      </c>
      <c r="S642" s="268" t="str">
        <f t="shared" si="808"/>
        <v/>
      </c>
      <c r="T642" s="268" t="str">
        <f t="shared" si="809"/>
        <v/>
      </c>
      <c r="U642" s="268" t="str">
        <f t="shared" si="810"/>
        <v/>
      </c>
      <c r="V642" s="268" t="str">
        <f t="shared" si="811"/>
        <v/>
      </c>
      <c r="W642" s="268" t="str">
        <f t="shared" si="812"/>
        <v/>
      </c>
      <c r="X642" s="268" t="str">
        <f t="shared" si="813"/>
        <v/>
      </c>
      <c r="Y642" s="268" t="str">
        <f t="shared" si="814"/>
        <v/>
      </c>
      <c r="Z642" s="268" t="str">
        <f t="shared" si="815"/>
        <v/>
      </c>
      <c r="AA642" s="268" t="str">
        <f t="shared" si="816"/>
        <v/>
      </c>
      <c r="AB642" s="268" t="str">
        <f t="shared" si="817"/>
        <v/>
      </c>
      <c r="AC642" s="268">
        <f t="shared" si="818"/>
        <v>576</v>
      </c>
      <c r="AD642" s="268" t="str">
        <f t="shared" si="819"/>
        <v/>
      </c>
      <c r="AE642" s="268" t="str">
        <f t="shared" si="820"/>
        <v/>
      </c>
      <c r="AF642" s="268" t="str">
        <f t="shared" si="821"/>
        <v/>
      </c>
      <c r="AG642" s="268" t="str">
        <f t="shared" si="822"/>
        <v/>
      </c>
      <c r="AH642" s="268" t="str">
        <f t="shared" si="823"/>
        <v/>
      </c>
      <c r="AI642" s="268" t="str">
        <f t="shared" si="824"/>
        <v/>
      </c>
      <c r="AJ642" s="268" t="str">
        <f t="shared" si="825"/>
        <v/>
      </c>
      <c r="AK642" s="268" t="str">
        <f t="shared" si="826"/>
        <v/>
      </c>
      <c r="AL642" s="268" t="str">
        <f t="shared" si="827"/>
        <v/>
      </c>
      <c r="AM642" s="268" t="str">
        <f t="shared" si="828"/>
        <v/>
      </c>
      <c r="AN642" s="268" t="str">
        <f t="shared" si="829"/>
        <v/>
      </c>
      <c r="AO642" s="268" t="str">
        <f t="shared" si="830"/>
        <v/>
      </c>
      <c r="AP642" s="268" t="str">
        <f t="shared" si="831"/>
        <v/>
      </c>
      <c r="AQ642" s="268" t="str">
        <f t="shared" si="832"/>
        <v/>
      </c>
      <c r="AR642" s="268" t="str">
        <f t="shared" si="833"/>
        <v/>
      </c>
      <c r="AS642" s="268" t="str">
        <f t="shared" si="834"/>
        <v/>
      </c>
      <c r="AT642" s="268" t="str">
        <f t="shared" si="835"/>
        <v/>
      </c>
      <c r="AU642" s="268" t="str">
        <f t="shared" si="836"/>
        <v/>
      </c>
      <c r="AV642" s="268" t="str">
        <f t="shared" si="837"/>
        <v/>
      </c>
      <c r="AW642" s="268" t="str">
        <f t="shared" si="838"/>
        <v/>
      </c>
      <c r="AX642" s="268" t="str">
        <f t="shared" si="839"/>
        <v/>
      </c>
      <c r="AY642" s="268" t="str">
        <f t="shared" si="840"/>
        <v/>
      </c>
      <c r="AZ642" s="268" t="str">
        <f t="shared" si="841"/>
        <v/>
      </c>
      <c r="BA642" s="268" t="str">
        <f t="shared" si="842"/>
        <v/>
      </c>
      <c r="BB642" s="268" t="str">
        <f t="shared" si="843"/>
        <v/>
      </c>
      <c r="BC642" s="268" t="str">
        <f t="shared" si="844"/>
        <v/>
      </c>
      <c r="BD642" s="268" t="str">
        <f t="shared" si="845"/>
        <v/>
      </c>
      <c r="BE642" s="268" t="str">
        <f t="shared" si="846"/>
        <v/>
      </c>
      <c r="BF642" s="268" t="str">
        <f t="shared" si="847"/>
        <v/>
      </c>
      <c r="BG642" s="268" t="str">
        <f t="shared" si="848"/>
        <v/>
      </c>
      <c r="BH642" s="268" t="str">
        <f t="shared" si="849"/>
        <v/>
      </c>
      <c r="BI642" s="268" t="str">
        <f t="shared" si="850"/>
        <v/>
      </c>
      <c r="BJ642" s="268" t="str">
        <f t="shared" si="851"/>
        <v/>
      </c>
      <c r="BK642" s="268" t="str">
        <f t="shared" ref="BK642:BS642" si="860">IF(OR($E642="",BK$1=""),"",IF(TRIM(LEFT($E642,MIN(IFERROR(FIND("CDU",UPPER($E642)),999),IFERROR(FIND("BULK",UPPER($E642)),999),IFERROR(FIND("-",$E642),999),IFERROR(FIND("（",$E642),999))-1))=BK$1,$F642,""))</f>
        <v/>
      </c>
      <c r="BL642" s="268" t="str">
        <f t="shared" si="860"/>
        <v/>
      </c>
      <c r="BM642" s="268" t="str">
        <f t="shared" si="860"/>
        <v/>
      </c>
      <c r="BN642" s="268" t="str">
        <f t="shared" si="860"/>
        <v/>
      </c>
      <c r="BO642" s="268" t="str">
        <f t="shared" si="860"/>
        <v/>
      </c>
      <c r="BP642" s="268" t="str">
        <f t="shared" si="860"/>
        <v/>
      </c>
      <c r="BQ642" s="268" t="str">
        <f t="shared" si="860"/>
        <v/>
      </c>
      <c r="BR642" s="268" t="str">
        <f t="shared" si="860"/>
        <v/>
      </c>
      <c r="BS642" s="268" t="str">
        <f t="shared" si="860"/>
        <v/>
      </c>
      <c r="BT642" s="268" t="str">
        <f t="shared" si="853"/>
        <v/>
      </c>
      <c r="BU642" s="268" t="str">
        <f t="shared" si="854"/>
        <v/>
      </c>
      <c r="BV642" s="247">
        <v>0.63</v>
      </c>
      <c r="BW642" s="729">
        <f t="shared" si="855"/>
        <v>362.88</v>
      </c>
      <c r="BX642" s="730">
        <f t="shared" si="856"/>
        <v>2812.32</v>
      </c>
      <c r="BY642" s="731" t="str">
        <f t="shared" si="857"/>
        <v>SR</v>
      </c>
    </row>
    <row r="643" s="698" customFormat="1" customHeight="1" spans="1:77">
      <c r="A643" s="208">
        <v>46139</v>
      </c>
      <c r="B643" s="208">
        <v>46199</v>
      </c>
      <c r="C643" s="268" t="s">
        <v>787</v>
      </c>
      <c r="D643" s="268" t="s">
        <v>788</v>
      </c>
      <c r="E643" s="268" t="s">
        <v>137</v>
      </c>
      <c r="F643" s="343">
        <v>720</v>
      </c>
      <c r="G643" s="268" t="s">
        <v>341</v>
      </c>
      <c r="H643" s="211" t="str">
        <f>IFERROR(VLOOKUP(E643,名称!A:E,4,0),"")</f>
        <v>三代</v>
      </c>
      <c r="I643" s="268" t="str">
        <f t="shared" si="798"/>
        <v/>
      </c>
      <c r="J643" s="268" t="str">
        <f t="shared" si="799"/>
        <v/>
      </c>
      <c r="K643" s="268" t="str">
        <f t="shared" si="800"/>
        <v/>
      </c>
      <c r="L643" s="268" t="str">
        <f t="shared" si="801"/>
        <v/>
      </c>
      <c r="M643" s="268" t="str">
        <f t="shared" si="802"/>
        <v/>
      </c>
      <c r="N643" s="268" t="str">
        <f t="shared" si="803"/>
        <v/>
      </c>
      <c r="O643" s="268" t="str">
        <f t="shared" si="804"/>
        <v/>
      </c>
      <c r="P643" s="268" t="str">
        <f t="shared" si="805"/>
        <v/>
      </c>
      <c r="Q643" s="268" t="str">
        <f t="shared" si="806"/>
        <v/>
      </c>
      <c r="R643" s="268" t="str">
        <f t="shared" si="807"/>
        <v/>
      </c>
      <c r="S643" s="268" t="str">
        <f t="shared" si="808"/>
        <v/>
      </c>
      <c r="T643" s="268" t="str">
        <f t="shared" si="809"/>
        <v/>
      </c>
      <c r="U643" s="268" t="str">
        <f t="shared" si="810"/>
        <v/>
      </c>
      <c r="V643" s="268" t="str">
        <f t="shared" si="811"/>
        <v/>
      </c>
      <c r="W643" s="268" t="str">
        <f t="shared" si="812"/>
        <v/>
      </c>
      <c r="X643" s="268" t="str">
        <f t="shared" si="813"/>
        <v/>
      </c>
      <c r="Y643" s="268" t="str">
        <f t="shared" si="814"/>
        <v/>
      </c>
      <c r="Z643" s="268" t="str">
        <f t="shared" si="815"/>
        <v/>
      </c>
      <c r="AA643" s="268" t="str">
        <f t="shared" si="816"/>
        <v/>
      </c>
      <c r="AB643" s="268" t="str">
        <f t="shared" si="817"/>
        <v/>
      </c>
      <c r="AC643" s="268">
        <f t="shared" si="818"/>
        <v>720</v>
      </c>
      <c r="AD643" s="268" t="str">
        <f t="shared" si="819"/>
        <v/>
      </c>
      <c r="AE643" s="268" t="str">
        <f t="shared" si="820"/>
        <v/>
      </c>
      <c r="AF643" s="268" t="str">
        <f t="shared" si="821"/>
        <v/>
      </c>
      <c r="AG643" s="268" t="str">
        <f t="shared" si="822"/>
        <v/>
      </c>
      <c r="AH643" s="268" t="str">
        <f t="shared" si="823"/>
        <v/>
      </c>
      <c r="AI643" s="268" t="str">
        <f t="shared" si="824"/>
        <v/>
      </c>
      <c r="AJ643" s="268" t="str">
        <f t="shared" si="825"/>
        <v/>
      </c>
      <c r="AK643" s="268" t="str">
        <f t="shared" si="826"/>
        <v/>
      </c>
      <c r="AL643" s="268" t="str">
        <f t="shared" si="827"/>
        <v/>
      </c>
      <c r="AM643" s="268" t="str">
        <f t="shared" si="828"/>
        <v/>
      </c>
      <c r="AN643" s="268" t="str">
        <f t="shared" si="829"/>
        <v/>
      </c>
      <c r="AO643" s="268" t="str">
        <f t="shared" si="830"/>
        <v/>
      </c>
      <c r="AP643" s="268" t="str">
        <f t="shared" si="831"/>
        <v/>
      </c>
      <c r="AQ643" s="268" t="str">
        <f t="shared" si="832"/>
        <v/>
      </c>
      <c r="AR643" s="268" t="str">
        <f t="shared" si="833"/>
        <v/>
      </c>
      <c r="AS643" s="268" t="str">
        <f t="shared" si="834"/>
        <v/>
      </c>
      <c r="AT643" s="268" t="str">
        <f t="shared" si="835"/>
        <v/>
      </c>
      <c r="AU643" s="268" t="str">
        <f t="shared" si="836"/>
        <v/>
      </c>
      <c r="AV643" s="268" t="str">
        <f t="shared" si="837"/>
        <v/>
      </c>
      <c r="AW643" s="268" t="str">
        <f t="shared" si="838"/>
        <v/>
      </c>
      <c r="AX643" s="268" t="str">
        <f t="shared" si="839"/>
        <v/>
      </c>
      <c r="AY643" s="268" t="str">
        <f t="shared" si="840"/>
        <v/>
      </c>
      <c r="AZ643" s="268" t="str">
        <f t="shared" si="841"/>
        <v/>
      </c>
      <c r="BA643" s="268" t="str">
        <f t="shared" si="842"/>
        <v/>
      </c>
      <c r="BB643" s="268" t="str">
        <f t="shared" si="843"/>
        <v/>
      </c>
      <c r="BC643" s="268" t="str">
        <f t="shared" si="844"/>
        <v/>
      </c>
      <c r="BD643" s="268" t="str">
        <f t="shared" si="845"/>
        <v/>
      </c>
      <c r="BE643" s="268" t="str">
        <f t="shared" si="846"/>
        <v/>
      </c>
      <c r="BF643" s="268" t="str">
        <f t="shared" si="847"/>
        <v/>
      </c>
      <c r="BG643" s="268" t="str">
        <f t="shared" si="848"/>
        <v/>
      </c>
      <c r="BH643" s="268" t="str">
        <f t="shared" si="849"/>
        <v/>
      </c>
      <c r="BI643" s="268" t="str">
        <f t="shared" si="850"/>
        <v/>
      </c>
      <c r="BJ643" s="268" t="str">
        <f t="shared" si="851"/>
        <v/>
      </c>
      <c r="BK643" s="268" t="str">
        <f t="shared" ref="BK643:BS643" si="861">IF(OR($E643="",BK$1=""),"",IF(TRIM(LEFT($E643,MIN(IFERROR(FIND("CDU",UPPER($E643)),999),IFERROR(FIND("BULK",UPPER($E643)),999),IFERROR(FIND("-",$E643),999),IFERROR(FIND("（",$E643),999))-1))=BK$1,$F643,""))</f>
        <v/>
      </c>
      <c r="BL643" s="268" t="str">
        <f t="shared" si="861"/>
        <v/>
      </c>
      <c r="BM643" s="268" t="str">
        <f t="shared" si="861"/>
        <v/>
      </c>
      <c r="BN643" s="268" t="str">
        <f t="shared" si="861"/>
        <v/>
      </c>
      <c r="BO643" s="268" t="str">
        <f t="shared" si="861"/>
        <v/>
      </c>
      <c r="BP643" s="268" t="str">
        <f t="shared" si="861"/>
        <v/>
      </c>
      <c r="BQ643" s="268" t="str">
        <f t="shared" si="861"/>
        <v/>
      </c>
      <c r="BR643" s="268" t="str">
        <f t="shared" si="861"/>
        <v/>
      </c>
      <c r="BS643" s="268" t="str">
        <f t="shared" si="861"/>
        <v/>
      </c>
      <c r="BT643" s="268" t="str">
        <f t="shared" si="853"/>
        <v/>
      </c>
      <c r="BU643" s="268" t="str">
        <f t="shared" si="854"/>
        <v/>
      </c>
      <c r="BV643" s="247">
        <v>0.63</v>
      </c>
      <c r="BW643" s="729">
        <f t="shared" si="855"/>
        <v>453.6</v>
      </c>
      <c r="BX643" s="730">
        <f t="shared" si="856"/>
        <v>3515.4</v>
      </c>
      <c r="BY643" s="731" t="str">
        <f t="shared" si="857"/>
        <v>SR</v>
      </c>
    </row>
    <row r="644" s="698" customFormat="1" customHeight="1" spans="1:77">
      <c r="A644" s="208">
        <v>46139</v>
      </c>
      <c r="B644" s="208">
        <v>46199</v>
      </c>
      <c r="C644" s="268" t="s">
        <v>787</v>
      </c>
      <c r="D644" s="268" t="s">
        <v>788</v>
      </c>
      <c r="E644" s="268" t="s">
        <v>138</v>
      </c>
      <c r="F644" s="343">
        <v>432</v>
      </c>
      <c r="G644" s="268" t="s">
        <v>341</v>
      </c>
      <c r="H644" s="211" t="str">
        <f>IFERROR(VLOOKUP(E644,名称!A:E,4,0),"")</f>
        <v>三代</v>
      </c>
      <c r="I644" s="268" t="str">
        <f t="shared" si="798"/>
        <v/>
      </c>
      <c r="J644" s="268" t="str">
        <f t="shared" si="799"/>
        <v/>
      </c>
      <c r="K644" s="268" t="str">
        <f t="shared" si="800"/>
        <v/>
      </c>
      <c r="L644" s="268" t="str">
        <f t="shared" si="801"/>
        <v/>
      </c>
      <c r="M644" s="268" t="str">
        <f t="shared" si="802"/>
        <v/>
      </c>
      <c r="N644" s="268" t="str">
        <f t="shared" si="803"/>
        <v/>
      </c>
      <c r="O644" s="268" t="str">
        <f t="shared" si="804"/>
        <v/>
      </c>
      <c r="P644" s="268" t="str">
        <f t="shared" si="805"/>
        <v/>
      </c>
      <c r="Q644" s="268" t="str">
        <f t="shared" si="806"/>
        <v/>
      </c>
      <c r="R644" s="268" t="str">
        <f t="shared" si="807"/>
        <v/>
      </c>
      <c r="S644" s="268" t="str">
        <f t="shared" si="808"/>
        <v/>
      </c>
      <c r="T644" s="268" t="str">
        <f t="shared" si="809"/>
        <v/>
      </c>
      <c r="U644" s="268" t="str">
        <f t="shared" si="810"/>
        <v/>
      </c>
      <c r="V644" s="268" t="str">
        <f t="shared" si="811"/>
        <v/>
      </c>
      <c r="W644" s="268" t="str">
        <f t="shared" si="812"/>
        <v/>
      </c>
      <c r="X644" s="268" t="str">
        <f t="shared" si="813"/>
        <v/>
      </c>
      <c r="Y644" s="268" t="str">
        <f t="shared" si="814"/>
        <v/>
      </c>
      <c r="Z644" s="268" t="str">
        <f t="shared" si="815"/>
        <v/>
      </c>
      <c r="AA644" s="268" t="str">
        <f t="shared" si="816"/>
        <v/>
      </c>
      <c r="AB644" s="268" t="str">
        <f t="shared" si="817"/>
        <v/>
      </c>
      <c r="AC644" s="268">
        <f t="shared" si="818"/>
        <v>432</v>
      </c>
      <c r="AD644" s="268" t="str">
        <f t="shared" si="819"/>
        <v/>
      </c>
      <c r="AE644" s="268" t="str">
        <f t="shared" si="820"/>
        <v/>
      </c>
      <c r="AF644" s="268" t="str">
        <f t="shared" si="821"/>
        <v/>
      </c>
      <c r="AG644" s="268" t="str">
        <f t="shared" si="822"/>
        <v/>
      </c>
      <c r="AH644" s="268" t="str">
        <f t="shared" si="823"/>
        <v/>
      </c>
      <c r="AI644" s="268" t="str">
        <f t="shared" si="824"/>
        <v/>
      </c>
      <c r="AJ644" s="268" t="str">
        <f t="shared" si="825"/>
        <v/>
      </c>
      <c r="AK644" s="268" t="str">
        <f t="shared" si="826"/>
        <v/>
      </c>
      <c r="AL644" s="268" t="str">
        <f t="shared" si="827"/>
        <v/>
      </c>
      <c r="AM644" s="268" t="str">
        <f t="shared" si="828"/>
        <v/>
      </c>
      <c r="AN644" s="268" t="str">
        <f t="shared" si="829"/>
        <v/>
      </c>
      <c r="AO644" s="268" t="str">
        <f t="shared" si="830"/>
        <v/>
      </c>
      <c r="AP644" s="268" t="str">
        <f t="shared" si="831"/>
        <v/>
      </c>
      <c r="AQ644" s="268" t="str">
        <f t="shared" si="832"/>
        <v/>
      </c>
      <c r="AR644" s="268" t="str">
        <f t="shared" si="833"/>
        <v/>
      </c>
      <c r="AS644" s="268" t="str">
        <f t="shared" si="834"/>
        <v/>
      </c>
      <c r="AT644" s="268" t="str">
        <f t="shared" si="835"/>
        <v/>
      </c>
      <c r="AU644" s="268" t="str">
        <f t="shared" si="836"/>
        <v/>
      </c>
      <c r="AV644" s="268" t="str">
        <f t="shared" si="837"/>
        <v/>
      </c>
      <c r="AW644" s="268" t="str">
        <f t="shared" si="838"/>
        <v/>
      </c>
      <c r="AX644" s="268" t="str">
        <f t="shared" si="839"/>
        <v/>
      </c>
      <c r="AY644" s="268" t="str">
        <f t="shared" si="840"/>
        <v/>
      </c>
      <c r="AZ644" s="268" t="str">
        <f t="shared" si="841"/>
        <v/>
      </c>
      <c r="BA644" s="268" t="str">
        <f t="shared" si="842"/>
        <v/>
      </c>
      <c r="BB644" s="268" t="str">
        <f t="shared" si="843"/>
        <v/>
      </c>
      <c r="BC644" s="268" t="str">
        <f t="shared" si="844"/>
        <v/>
      </c>
      <c r="BD644" s="268" t="str">
        <f t="shared" si="845"/>
        <v/>
      </c>
      <c r="BE644" s="268" t="str">
        <f t="shared" si="846"/>
        <v/>
      </c>
      <c r="BF644" s="268" t="str">
        <f t="shared" si="847"/>
        <v/>
      </c>
      <c r="BG644" s="268" t="str">
        <f t="shared" si="848"/>
        <v/>
      </c>
      <c r="BH644" s="268" t="str">
        <f t="shared" si="849"/>
        <v/>
      </c>
      <c r="BI644" s="268" t="str">
        <f t="shared" si="850"/>
        <v/>
      </c>
      <c r="BJ644" s="268" t="str">
        <f t="shared" si="851"/>
        <v/>
      </c>
      <c r="BK644" s="268" t="str">
        <f t="shared" ref="BK644:BS644" si="862">IF(OR($E644="",BK$1=""),"",IF(TRIM(LEFT($E644,MIN(IFERROR(FIND("CDU",UPPER($E644)),999),IFERROR(FIND("BULK",UPPER($E644)),999),IFERROR(FIND("-",$E644),999),IFERROR(FIND("（",$E644),999))-1))=BK$1,$F644,""))</f>
        <v/>
      </c>
      <c r="BL644" s="268" t="str">
        <f t="shared" si="862"/>
        <v/>
      </c>
      <c r="BM644" s="268" t="str">
        <f t="shared" si="862"/>
        <v/>
      </c>
      <c r="BN644" s="268" t="str">
        <f t="shared" si="862"/>
        <v/>
      </c>
      <c r="BO644" s="268" t="str">
        <f t="shared" si="862"/>
        <v/>
      </c>
      <c r="BP644" s="268" t="str">
        <f t="shared" si="862"/>
        <v/>
      </c>
      <c r="BQ644" s="268" t="str">
        <f t="shared" si="862"/>
        <v/>
      </c>
      <c r="BR644" s="268" t="str">
        <f t="shared" si="862"/>
        <v/>
      </c>
      <c r="BS644" s="268" t="str">
        <f t="shared" si="862"/>
        <v/>
      </c>
      <c r="BT644" s="268" t="str">
        <f t="shared" si="853"/>
        <v/>
      </c>
      <c r="BU644" s="268" t="str">
        <f t="shared" si="854"/>
        <v/>
      </c>
      <c r="BV644" s="247">
        <v>0.63</v>
      </c>
      <c r="BW644" s="729">
        <f t="shared" si="855"/>
        <v>272.16</v>
      </c>
      <c r="BX644" s="730">
        <f t="shared" si="856"/>
        <v>2109.24</v>
      </c>
      <c r="BY644" s="731" t="str">
        <f t="shared" si="857"/>
        <v>SR</v>
      </c>
    </row>
    <row r="645" s="698" customFormat="1" customHeight="1" spans="1:77">
      <c r="A645" s="208">
        <v>46139</v>
      </c>
      <c r="B645" s="208">
        <v>46199</v>
      </c>
      <c r="C645" s="268" t="s">
        <v>787</v>
      </c>
      <c r="D645" s="268" t="s">
        <v>788</v>
      </c>
      <c r="E645" s="268" t="s">
        <v>139</v>
      </c>
      <c r="F645" s="343">
        <v>288</v>
      </c>
      <c r="G645" s="268" t="s">
        <v>341</v>
      </c>
      <c r="H645" s="211" t="str">
        <f>IFERROR(VLOOKUP(E645,名称!A:E,4,0),"")</f>
        <v>三代</v>
      </c>
      <c r="I645" s="268" t="str">
        <f t="shared" si="798"/>
        <v/>
      </c>
      <c r="J645" s="268" t="str">
        <f t="shared" si="799"/>
        <v/>
      </c>
      <c r="K645" s="268" t="str">
        <f t="shared" si="800"/>
        <v/>
      </c>
      <c r="L645" s="268" t="str">
        <f t="shared" si="801"/>
        <v/>
      </c>
      <c r="M645" s="268" t="str">
        <f t="shared" si="802"/>
        <v/>
      </c>
      <c r="N645" s="268" t="str">
        <f t="shared" si="803"/>
        <v/>
      </c>
      <c r="O645" s="268" t="str">
        <f t="shared" si="804"/>
        <v/>
      </c>
      <c r="P645" s="268" t="str">
        <f t="shared" si="805"/>
        <v/>
      </c>
      <c r="Q645" s="268" t="str">
        <f t="shared" si="806"/>
        <v/>
      </c>
      <c r="R645" s="268" t="str">
        <f t="shared" si="807"/>
        <v/>
      </c>
      <c r="S645" s="268" t="str">
        <f t="shared" si="808"/>
        <v/>
      </c>
      <c r="T645" s="268" t="str">
        <f t="shared" si="809"/>
        <v/>
      </c>
      <c r="U645" s="268" t="str">
        <f t="shared" si="810"/>
        <v/>
      </c>
      <c r="V645" s="268" t="str">
        <f t="shared" si="811"/>
        <v/>
      </c>
      <c r="W645" s="268" t="str">
        <f t="shared" si="812"/>
        <v/>
      </c>
      <c r="X645" s="268" t="str">
        <f t="shared" si="813"/>
        <v/>
      </c>
      <c r="Y645" s="268" t="str">
        <f t="shared" si="814"/>
        <v/>
      </c>
      <c r="Z645" s="268" t="str">
        <f t="shared" si="815"/>
        <v/>
      </c>
      <c r="AA645" s="268" t="str">
        <f t="shared" si="816"/>
        <v/>
      </c>
      <c r="AB645" s="268" t="str">
        <f t="shared" si="817"/>
        <v/>
      </c>
      <c r="AC645" s="268">
        <f t="shared" si="818"/>
        <v>288</v>
      </c>
      <c r="AD645" s="268" t="str">
        <f t="shared" si="819"/>
        <v/>
      </c>
      <c r="AE645" s="268" t="str">
        <f t="shared" si="820"/>
        <v/>
      </c>
      <c r="AF645" s="268" t="str">
        <f t="shared" si="821"/>
        <v/>
      </c>
      <c r="AG645" s="268" t="str">
        <f t="shared" si="822"/>
        <v/>
      </c>
      <c r="AH645" s="268" t="str">
        <f t="shared" si="823"/>
        <v/>
      </c>
      <c r="AI645" s="268" t="str">
        <f t="shared" si="824"/>
        <v/>
      </c>
      <c r="AJ645" s="268" t="str">
        <f t="shared" si="825"/>
        <v/>
      </c>
      <c r="AK645" s="268" t="str">
        <f t="shared" si="826"/>
        <v/>
      </c>
      <c r="AL645" s="268" t="str">
        <f t="shared" si="827"/>
        <v/>
      </c>
      <c r="AM645" s="268" t="str">
        <f t="shared" si="828"/>
        <v/>
      </c>
      <c r="AN645" s="268" t="str">
        <f t="shared" si="829"/>
        <v/>
      </c>
      <c r="AO645" s="268" t="str">
        <f t="shared" si="830"/>
        <v/>
      </c>
      <c r="AP645" s="268" t="str">
        <f t="shared" si="831"/>
        <v/>
      </c>
      <c r="AQ645" s="268" t="str">
        <f t="shared" si="832"/>
        <v/>
      </c>
      <c r="AR645" s="268" t="str">
        <f t="shared" si="833"/>
        <v/>
      </c>
      <c r="AS645" s="268" t="str">
        <f t="shared" si="834"/>
        <v/>
      </c>
      <c r="AT645" s="268" t="str">
        <f t="shared" si="835"/>
        <v/>
      </c>
      <c r="AU645" s="268" t="str">
        <f t="shared" si="836"/>
        <v/>
      </c>
      <c r="AV645" s="268" t="str">
        <f t="shared" si="837"/>
        <v/>
      </c>
      <c r="AW645" s="268" t="str">
        <f t="shared" si="838"/>
        <v/>
      </c>
      <c r="AX645" s="268" t="str">
        <f t="shared" si="839"/>
        <v/>
      </c>
      <c r="AY645" s="268" t="str">
        <f t="shared" si="840"/>
        <v/>
      </c>
      <c r="AZ645" s="268" t="str">
        <f t="shared" si="841"/>
        <v/>
      </c>
      <c r="BA645" s="268" t="str">
        <f t="shared" si="842"/>
        <v/>
      </c>
      <c r="BB645" s="268" t="str">
        <f t="shared" si="843"/>
        <v/>
      </c>
      <c r="BC645" s="268" t="str">
        <f t="shared" si="844"/>
        <v/>
      </c>
      <c r="BD645" s="268" t="str">
        <f t="shared" si="845"/>
        <v/>
      </c>
      <c r="BE645" s="268" t="str">
        <f t="shared" si="846"/>
        <v/>
      </c>
      <c r="BF645" s="268" t="str">
        <f t="shared" si="847"/>
        <v/>
      </c>
      <c r="BG645" s="268" t="str">
        <f t="shared" si="848"/>
        <v/>
      </c>
      <c r="BH645" s="268" t="str">
        <f t="shared" si="849"/>
        <v/>
      </c>
      <c r="BI645" s="268" t="str">
        <f t="shared" si="850"/>
        <v/>
      </c>
      <c r="BJ645" s="268" t="str">
        <f t="shared" si="851"/>
        <v/>
      </c>
      <c r="BK645" s="268" t="str">
        <f t="shared" ref="BK645:BS645" si="863">IF(OR($E645="",BK$1=""),"",IF(TRIM(LEFT($E645,MIN(IFERROR(FIND("CDU",UPPER($E645)),999),IFERROR(FIND("BULK",UPPER($E645)),999),IFERROR(FIND("-",$E645),999),IFERROR(FIND("（",$E645),999))-1))=BK$1,$F645,""))</f>
        <v/>
      </c>
      <c r="BL645" s="268" t="str">
        <f t="shared" si="863"/>
        <v/>
      </c>
      <c r="BM645" s="268" t="str">
        <f t="shared" si="863"/>
        <v/>
      </c>
      <c r="BN645" s="268" t="str">
        <f t="shared" si="863"/>
        <v/>
      </c>
      <c r="BO645" s="268" t="str">
        <f t="shared" si="863"/>
        <v/>
      </c>
      <c r="BP645" s="268" t="str">
        <f t="shared" si="863"/>
        <v/>
      </c>
      <c r="BQ645" s="268" t="str">
        <f t="shared" si="863"/>
        <v/>
      </c>
      <c r="BR645" s="268" t="str">
        <f t="shared" si="863"/>
        <v/>
      </c>
      <c r="BS645" s="268" t="str">
        <f t="shared" si="863"/>
        <v/>
      </c>
      <c r="BT645" s="268" t="str">
        <f t="shared" si="853"/>
        <v/>
      </c>
      <c r="BU645" s="268" t="str">
        <f t="shared" si="854"/>
        <v/>
      </c>
      <c r="BV645" s="247">
        <v>0.63</v>
      </c>
      <c r="BW645" s="729">
        <f t="shared" si="855"/>
        <v>181.44</v>
      </c>
      <c r="BX645" s="730">
        <f t="shared" si="856"/>
        <v>1406.16</v>
      </c>
      <c r="BY645" s="731" t="str">
        <f t="shared" si="857"/>
        <v>SR</v>
      </c>
    </row>
    <row r="646" s="698" customFormat="1" customHeight="1" spans="1:77">
      <c r="A646" s="208">
        <v>46139</v>
      </c>
      <c r="B646" s="208">
        <v>46199</v>
      </c>
      <c r="C646" s="268" t="s">
        <v>787</v>
      </c>
      <c r="D646" s="268" t="s">
        <v>788</v>
      </c>
      <c r="E646" s="268" t="s">
        <v>140</v>
      </c>
      <c r="F646" s="343">
        <v>576</v>
      </c>
      <c r="G646" s="268" t="s">
        <v>341</v>
      </c>
      <c r="H646" s="211" t="str">
        <f>IFERROR(VLOOKUP(E646,名称!A:E,4,0),"")</f>
        <v>三代</v>
      </c>
      <c r="I646" s="268" t="str">
        <f t="shared" si="798"/>
        <v/>
      </c>
      <c r="J646" s="268" t="str">
        <f t="shared" si="799"/>
        <v/>
      </c>
      <c r="K646" s="268" t="str">
        <f t="shared" si="800"/>
        <v/>
      </c>
      <c r="L646" s="268" t="str">
        <f t="shared" si="801"/>
        <v/>
      </c>
      <c r="M646" s="268" t="str">
        <f t="shared" si="802"/>
        <v/>
      </c>
      <c r="N646" s="268" t="str">
        <f t="shared" si="803"/>
        <v/>
      </c>
      <c r="O646" s="268" t="str">
        <f t="shared" si="804"/>
        <v/>
      </c>
      <c r="P646" s="268" t="str">
        <f t="shared" si="805"/>
        <v/>
      </c>
      <c r="Q646" s="268" t="str">
        <f t="shared" si="806"/>
        <v/>
      </c>
      <c r="R646" s="268" t="str">
        <f t="shared" si="807"/>
        <v/>
      </c>
      <c r="S646" s="268" t="str">
        <f t="shared" si="808"/>
        <v/>
      </c>
      <c r="T646" s="268" t="str">
        <f t="shared" si="809"/>
        <v/>
      </c>
      <c r="U646" s="268" t="str">
        <f t="shared" si="810"/>
        <v/>
      </c>
      <c r="V646" s="268" t="str">
        <f t="shared" si="811"/>
        <v/>
      </c>
      <c r="W646" s="268" t="str">
        <f t="shared" si="812"/>
        <v/>
      </c>
      <c r="X646" s="268" t="str">
        <f t="shared" si="813"/>
        <v/>
      </c>
      <c r="Y646" s="268" t="str">
        <f t="shared" si="814"/>
        <v/>
      </c>
      <c r="Z646" s="268" t="str">
        <f t="shared" si="815"/>
        <v/>
      </c>
      <c r="AA646" s="268" t="str">
        <f t="shared" si="816"/>
        <v/>
      </c>
      <c r="AB646" s="268" t="str">
        <f t="shared" si="817"/>
        <v/>
      </c>
      <c r="AC646" s="268">
        <f t="shared" si="818"/>
        <v>576</v>
      </c>
      <c r="AD646" s="268" t="str">
        <f t="shared" si="819"/>
        <v/>
      </c>
      <c r="AE646" s="268" t="str">
        <f t="shared" si="820"/>
        <v/>
      </c>
      <c r="AF646" s="268" t="str">
        <f t="shared" si="821"/>
        <v/>
      </c>
      <c r="AG646" s="268" t="str">
        <f t="shared" si="822"/>
        <v/>
      </c>
      <c r="AH646" s="268" t="str">
        <f t="shared" si="823"/>
        <v/>
      </c>
      <c r="AI646" s="268" t="str">
        <f t="shared" si="824"/>
        <v/>
      </c>
      <c r="AJ646" s="268" t="str">
        <f t="shared" si="825"/>
        <v/>
      </c>
      <c r="AK646" s="268" t="str">
        <f t="shared" si="826"/>
        <v/>
      </c>
      <c r="AL646" s="268" t="str">
        <f t="shared" si="827"/>
        <v/>
      </c>
      <c r="AM646" s="268" t="str">
        <f t="shared" si="828"/>
        <v/>
      </c>
      <c r="AN646" s="268" t="str">
        <f t="shared" si="829"/>
        <v/>
      </c>
      <c r="AO646" s="268" t="str">
        <f t="shared" si="830"/>
        <v/>
      </c>
      <c r="AP646" s="268" t="str">
        <f t="shared" si="831"/>
        <v/>
      </c>
      <c r="AQ646" s="268" t="str">
        <f t="shared" si="832"/>
        <v/>
      </c>
      <c r="AR646" s="268" t="str">
        <f t="shared" si="833"/>
        <v/>
      </c>
      <c r="AS646" s="268" t="str">
        <f t="shared" si="834"/>
        <v/>
      </c>
      <c r="AT646" s="268" t="str">
        <f t="shared" si="835"/>
        <v/>
      </c>
      <c r="AU646" s="268" t="str">
        <f t="shared" si="836"/>
        <v/>
      </c>
      <c r="AV646" s="268" t="str">
        <f t="shared" si="837"/>
        <v/>
      </c>
      <c r="AW646" s="268" t="str">
        <f t="shared" si="838"/>
        <v/>
      </c>
      <c r="AX646" s="268" t="str">
        <f t="shared" si="839"/>
        <v/>
      </c>
      <c r="AY646" s="268" t="str">
        <f t="shared" si="840"/>
        <v/>
      </c>
      <c r="AZ646" s="268" t="str">
        <f t="shared" si="841"/>
        <v/>
      </c>
      <c r="BA646" s="268" t="str">
        <f t="shared" si="842"/>
        <v/>
      </c>
      <c r="BB646" s="268" t="str">
        <f t="shared" si="843"/>
        <v/>
      </c>
      <c r="BC646" s="268" t="str">
        <f t="shared" si="844"/>
        <v/>
      </c>
      <c r="BD646" s="268" t="str">
        <f t="shared" si="845"/>
        <v/>
      </c>
      <c r="BE646" s="268" t="str">
        <f t="shared" si="846"/>
        <v/>
      </c>
      <c r="BF646" s="268" t="str">
        <f t="shared" si="847"/>
        <v/>
      </c>
      <c r="BG646" s="268" t="str">
        <f t="shared" si="848"/>
        <v/>
      </c>
      <c r="BH646" s="268" t="str">
        <f t="shared" si="849"/>
        <v/>
      </c>
      <c r="BI646" s="268" t="str">
        <f t="shared" si="850"/>
        <v/>
      </c>
      <c r="BJ646" s="268" t="str">
        <f t="shared" si="851"/>
        <v/>
      </c>
      <c r="BK646" s="268" t="str">
        <f t="shared" ref="BK646:BS646" si="864">IF(OR($E646="",BK$1=""),"",IF(TRIM(LEFT($E646,MIN(IFERROR(FIND("CDU",UPPER($E646)),999),IFERROR(FIND("BULK",UPPER($E646)),999),IFERROR(FIND("-",$E646),999),IFERROR(FIND("（",$E646),999))-1))=BK$1,$F646,""))</f>
        <v/>
      </c>
      <c r="BL646" s="268" t="str">
        <f t="shared" si="864"/>
        <v/>
      </c>
      <c r="BM646" s="268" t="str">
        <f t="shared" si="864"/>
        <v/>
      </c>
      <c r="BN646" s="268" t="str">
        <f t="shared" si="864"/>
        <v/>
      </c>
      <c r="BO646" s="268" t="str">
        <f t="shared" si="864"/>
        <v/>
      </c>
      <c r="BP646" s="268" t="str">
        <f t="shared" si="864"/>
        <v/>
      </c>
      <c r="BQ646" s="268" t="str">
        <f t="shared" si="864"/>
        <v/>
      </c>
      <c r="BR646" s="268" t="str">
        <f t="shared" si="864"/>
        <v/>
      </c>
      <c r="BS646" s="268" t="str">
        <f t="shared" si="864"/>
        <v/>
      </c>
      <c r="BT646" s="268" t="str">
        <f t="shared" si="853"/>
        <v/>
      </c>
      <c r="BU646" s="268" t="str">
        <f t="shared" si="854"/>
        <v/>
      </c>
      <c r="BV646" s="247">
        <v>0.63</v>
      </c>
      <c r="BW646" s="729">
        <f t="shared" si="855"/>
        <v>362.88</v>
      </c>
      <c r="BX646" s="730">
        <f t="shared" si="856"/>
        <v>2812.32</v>
      </c>
      <c r="BY646" s="731" t="str">
        <f t="shared" si="857"/>
        <v>SR</v>
      </c>
    </row>
    <row r="647" s="698" customFormat="1" customHeight="1" spans="1:77">
      <c r="A647" s="208">
        <v>46139</v>
      </c>
      <c r="B647" s="208">
        <v>46199</v>
      </c>
      <c r="C647" s="268" t="s">
        <v>787</v>
      </c>
      <c r="D647" s="268" t="s">
        <v>788</v>
      </c>
      <c r="E647" s="268" t="s">
        <v>141</v>
      </c>
      <c r="F647" s="343">
        <v>432</v>
      </c>
      <c r="G647" s="268" t="s">
        <v>341</v>
      </c>
      <c r="H647" s="211" t="str">
        <f>IFERROR(VLOOKUP(E647,名称!A:E,4,0),"")</f>
        <v>三代</v>
      </c>
      <c r="I647" s="268" t="str">
        <f t="shared" si="798"/>
        <v/>
      </c>
      <c r="J647" s="268" t="str">
        <f t="shared" si="799"/>
        <v/>
      </c>
      <c r="K647" s="268" t="str">
        <f t="shared" si="800"/>
        <v/>
      </c>
      <c r="L647" s="268" t="str">
        <f t="shared" si="801"/>
        <v/>
      </c>
      <c r="M647" s="268" t="str">
        <f t="shared" si="802"/>
        <v/>
      </c>
      <c r="N647" s="268" t="str">
        <f t="shared" si="803"/>
        <v/>
      </c>
      <c r="O647" s="268" t="str">
        <f t="shared" si="804"/>
        <v/>
      </c>
      <c r="P647" s="268" t="str">
        <f t="shared" si="805"/>
        <v/>
      </c>
      <c r="Q647" s="268" t="str">
        <f t="shared" si="806"/>
        <v/>
      </c>
      <c r="R647" s="268" t="str">
        <f t="shared" si="807"/>
        <v/>
      </c>
      <c r="S647" s="268" t="str">
        <f t="shared" si="808"/>
        <v/>
      </c>
      <c r="T647" s="268" t="str">
        <f t="shared" si="809"/>
        <v/>
      </c>
      <c r="U647" s="268" t="str">
        <f t="shared" si="810"/>
        <v/>
      </c>
      <c r="V647" s="268" t="str">
        <f t="shared" si="811"/>
        <v/>
      </c>
      <c r="W647" s="268" t="str">
        <f t="shared" si="812"/>
        <v/>
      </c>
      <c r="X647" s="268" t="str">
        <f t="shared" si="813"/>
        <v/>
      </c>
      <c r="Y647" s="268" t="str">
        <f t="shared" si="814"/>
        <v/>
      </c>
      <c r="Z647" s="268" t="str">
        <f t="shared" si="815"/>
        <v/>
      </c>
      <c r="AA647" s="268" t="str">
        <f t="shared" si="816"/>
        <v/>
      </c>
      <c r="AB647" s="268" t="str">
        <f t="shared" si="817"/>
        <v/>
      </c>
      <c r="AC647" s="268">
        <f t="shared" si="818"/>
        <v>432</v>
      </c>
      <c r="AD647" s="268" t="str">
        <f t="shared" si="819"/>
        <v/>
      </c>
      <c r="AE647" s="268" t="str">
        <f t="shared" si="820"/>
        <v/>
      </c>
      <c r="AF647" s="268" t="str">
        <f t="shared" si="821"/>
        <v/>
      </c>
      <c r="AG647" s="268" t="str">
        <f t="shared" si="822"/>
        <v/>
      </c>
      <c r="AH647" s="268" t="str">
        <f t="shared" si="823"/>
        <v/>
      </c>
      <c r="AI647" s="268" t="str">
        <f t="shared" si="824"/>
        <v/>
      </c>
      <c r="AJ647" s="268" t="str">
        <f t="shared" si="825"/>
        <v/>
      </c>
      <c r="AK647" s="268" t="str">
        <f t="shared" si="826"/>
        <v/>
      </c>
      <c r="AL647" s="268" t="str">
        <f t="shared" si="827"/>
        <v/>
      </c>
      <c r="AM647" s="268" t="str">
        <f t="shared" si="828"/>
        <v/>
      </c>
      <c r="AN647" s="268" t="str">
        <f t="shared" si="829"/>
        <v/>
      </c>
      <c r="AO647" s="268" t="str">
        <f t="shared" si="830"/>
        <v/>
      </c>
      <c r="AP647" s="268" t="str">
        <f t="shared" si="831"/>
        <v/>
      </c>
      <c r="AQ647" s="268" t="str">
        <f t="shared" si="832"/>
        <v/>
      </c>
      <c r="AR647" s="268" t="str">
        <f t="shared" si="833"/>
        <v/>
      </c>
      <c r="AS647" s="268" t="str">
        <f t="shared" si="834"/>
        <v/>
      </c>
      <c r="AT647" s="268" t="str">
        <f t="shared" si="835"/>
        <v/>
      </c>
      <c r="AU647" s="268" t="str">
        <f t="shared" si="836"/>
        <v/>
      </c>
      <c r="AV647" s="268" t="str">
        <f t="shared" si="837"/>
        <v/>
      </c>
      <c r="AW647" s="268" t="str">
        <f t="shared" si="838"/>
        <v/>
      </c>
      <c r="AX647" s="268" t="str">
        <f t="shared" si="839"/>
        <v/>
      </c>
      <c r="AY647" s="268" t="str">
        <f t="shared" si="840"/>
        <v/>
      </c>
      <c r="AZ647" s="268" t="str">
        <f t="shared" si="841"/>
        <v/>
      </c>
      <c r="BA647" s="268" t="str">
        <f t="shared" si="842"/>
        <v/>
      </c>
      <c r="BB647" s="268" t="str">
        <f t="shared" si="843"/>
        <v/>
      </c>
      <c r="BC647" s="268" t="str">
        <f t="shared" si="844"/>
        <v/>
      </c>
      <c r="BD647" s="268" t="str">
        <f t="shared" si="845"/>
        <v/>
      </c>
      <c r="BE647" s="268" t="str">
        <f t="shared" si="846"/>
        <v/>
      </c>
      <c r="BF647" s="268" t="str">
        <f t="shared" si="847"/>
        <v/>
      </c>
      <c r="BG647" s="268" t="str">
        <f t="shared" si="848"/>
        <v/>
      </c>
      <c r="BH647" s="268" t="str">
        <f t="shared" si="849"/>
        <v/>
      </c>
      <c r="BI647" s="268" t="str">
        <f t="shared" si="850"/>
        <v/>
      </c>
      <c r="BJ647" s="268" t="str">
        <f t="shared" si="851"/>
        <v/>
      </c>
      <c r="BK647" s="268" t="str">
        <f t="shared" ref="BK647:BS647" si="865">IF(OR($E647="",BK$1=""),"",IF(TRIM(LEFT($E647,MIN(IFERROR(FIND("CDU",UPPER($E647)),999),IFERROR(FIND("BULK",UPPER($E647)),999),IFERROR(FIND("-",$E647),999),IFERROR(FIND("（",$E647),999))-1))=BK$1,$F647,""))</f>
        <v/>
      </c>
      <c r="BL647" s="268" t="str">
        <f t="shared" si="865"/>
        <v/>
      </c>
      <c r="BM647" s="268" t="str">
        <f t="shared" si="865"/>
        <v/>
      </c>
      <c r="BN647" s="268" t="str">
        <f t="shared" si="865"/>
        <v/>
      </c>
      <c r="BO647" s="268" t="str">
        <f t="shared" si="865"/>
        <v/>
      </c>
      <c r="BP647" s="268" t="str">
        <f t="shared" si="865"/>
        <v/>
      </c>
      <c r="BQ647" s="268" t="str">
        <f t="shared" si="865"/>
        <v/>
      </c>
      <c r="BR647" s="268" t="str">
        <f t="shared" si="865"/>
        <v/>
      </c>
      <c r="BS647" s="268" t="str">
        <f t="shared" si="865"/>
        <v/>
      </c>
      <c r="BT647" s="268" t="str">
        <f t="shared" si="853"/>
        <v/>
      </c>
      <c r="BU647" s="268" t="str">
        <f t="shared" si="854"/>
        <v/>
      </c>
      <c r="BV647" s="247">
        <v>0.63</v>
      </c>
      <c r="BW647" s="729">
        <f t="shared" si="855"/>
        <v>272.16</v>
      </c>
      <c r="BX647" s="730">
        <f t="shared" si="856"/>
        <v>2109.24</v>
      </c>
      <c r="BY647" s="731" t="str">
        <f t="shared" si="857"/>
        <v>SR</v>
      </c>
    </row>
    <row r="648" s="698" customFormat="1" customHeight="1" spans="1:77">
      <c r="A648" s="208">
        <v>46139</v>
      </c>
      <c r="B648" s="208">
        <v>46199</v>
      </c>
      <c r="C648" s="268" t="s">
        <v>787</v>
      </c>
      <c r="D648" s="268" t="s">
        <v>788</v>
      </c>
      <c r="E648" s="268" t="s">
        <v>142</v>
      </c>
      <c r="F648" s="343">
        <v>3648</v>
      </c>
      <c r="G648" s="268" t="s">
        <v>341</v>
      </c>
      <c r="H648" s="211" t="str">
        <f>IFERROR(VLOOKUP(E648,名称!A:E,4,0),"")</f>
        <v>三代</v>
      </c>
      <c r="I648" s="268" t="str">
        <f t="shared" si="798"/>
        <v/>
      </c>
      <c r="J648" s="268" t="str">
        <f t="shared" si="799"/>
        <v/>
      </c>
      <c r="K648" s="268" t="str">
        <f t="shared" si="800"/>
        <v/>
      </c>
      <c r="L648" s="268" t="str">
        <f t="shared" si="801"/>
        <v/>
      </c>
      <c r="M648" s="268" t="str">
        <f t="shared" si="802"/>
        <v/>
      </c>
      <c r="N648" s="268" t="str">
        <f t="shared" si="803"/>
        <v/>
      </c>
      <c r="O648" s="268" t="str">
        <f t="shared" si="804"/>
        <v/>
      </c>
      <c r="P648" s="268" t="str">
        <f t="shared" si="805"/>
        <v/>
      </c>
      <c r="Q648" s="268" t="str">
        <f t="shared" si="806"/>
        <v/>
      </c>
      <c r="R648" s="268" t="str">
        <f t="shared" si="807"/>
        <v/>
      </c>
      <c r="S648" s="268" t="str">
        <f t="shared" si="808"/>
        <v/>
      </c>
      <c r="T648" s="268" t="str">
        <f t="shared" si="809"/>
        <v/>
      </c>
      <c r="U648" s="268" t="str">
        <f t="shared" si="810"/>
        <v/>
      </c>
      <c r="V648" s="268" t="str">
        <f t="shared" si="811"/>
        <v/>
      </c>
      <c r="W648" s="268" t="str">
        <f t="shared" si="812"/>
        <v/>
      </c>
      <c r="X648" s="268" t="str">
        <f t="shared" si="813"/>
        <v/>
      </c>
      <c r="Y648" s="268" t="str">
        <f t="shared" si="814"/>
        <v/>
      </c>
      <c r="Z648" s="268" t="str">
        <f t="shared" si="815"/>
        <v/>
      </c>
      <c r="AA648" s="268" t="str">
        <f t="shared" si="816"/>
        <v/>
      </c>
      <c r="AB648" s="268" t="str">
        <f t="shared" si="817"/>
        <v/>
      </c>
      <c r="AC648" s="268" t="str">
        <f t="shared" si="818"/>
        <v/>
      </c>
      <c r="AD648" s="268" t="str">
        <f t="shared" si="819"/>
        <v/>
      </c>
      <c r="AE648" s="268" t="str">
        <f t="shared" si="820"/>
        <v/>
      </c>
      <c r="AF648" s="268" t="str">
        <f t="shared" si="821"/>
        <v/>
      </c>
      <c r="AG648" s="268">
        <f t="shared" si="822"/>
        <v>3648</v>
      </c>
      <c r="AH648" s="268" t="str">
        <f t="shared" si="823"/>
        <v/>
      </c>
      <c r="AI648" s="268" t="str">
        <f t="shared" si="824"/>
        <v/>
      </c>
      <c r="AJ648" s="268" t="str">
        <f t="shared" si="825"/>
        <v/>
      </c>
      <c r="AK648" s="268" t="str">
        <f t="shared" si="826"/>
        <v/>
      </c>
      <c r="AL648" s="268" t="str">
        <f t="shared" si="827"/>
        <v/>
      </c>
      <c r="AM648" s="268" t="str">
        <f t="shared" si="828"/>
        <v/>
      </c>
      <c r="AN648" s="268" t="str">
        <f t="shared" si="829"/>
        <v/>
      </c>
      <c r="AO648" s="268" t="str">
        <f t="shared" si="830"/>
        <v/>
      </c>
      <c r="AP648" s="268" t="str">
        <f t="shared" si="831"/>
        <v/>
      </c>
      <c r="AQ648" s="268" t="str">
        <f t="shared" si="832"/>
        <v/>
      </c>
      <c r="AR648" s="268" t="str">
        <f t="shared" si="833"/>
        <v/>
      </c>
      <c r="AS648" s="268" t="str">
        <f t="shared" si="834"/>
        <v/>
      </c>
      <c r="AT648" s="268" t="str">
        <f t="shared" si="835"/>
        <v/>
      </c>
      <c r="AU648" s="268" t="str">
        <f t="shared" si="836"/>
        <v/>
      </c>
      <c r="AV648" s="268" t="str">
        <f t="shared" si="837"/>
        <v/>
      </c>
      <c r="AW648" s="268" t="str">
        <f t="shared" si="838"/>
        <v/>
      </c>
      <c r="AX648" s="268" t="str">
        <f t="shared" si="839"/>
        <v/>
      </c>
      <c r="AY648" s="268" t="str">
        <f t="shared" si="840"/>
        <v/>
      </c>
      <c r="AZ648" s="268" t="str">
        <f t="shared" si="841"/>
        <v/>
      </c>
      <c r="BA648" s="268" t="str">
        <f t="shared" si="842"/>
        <v/>
      </c>
      <c r="BB648" s="268" t="str">
        <f t="shared" si="843"/>
        <v/>
      </c>
      <c r="BC648" s="268" t="str">
        <f t="shared" si="844"/>
        <v/>
      </c>
      <c r="BD648" s="268" t="str">
        <f t="shared" si="845"/>
        <v/>
      </c>
      <c r="BE648" s="268" t="str">
        <f t="shared" si="846"/>
        <v/>
      </c>
      <c r="BF648" s="268" t="str">
        <f t="shared" si="847"/>
        <v/>
      </c>
      <c r="BG648" s="268" t="str">
        <f t="shared" si="848"/>
        <v/>
      </c>
      <c r="BH648" s="268" t="str">
        <f t="shared" si="849"/>
        <v/>
      </c>
      <c r="BI648" s="268" t="str">
        <f t="shared" si="850"/>
        <v/>
      </c>
      <c r="BJ648" s="268" t="str">
        <f t="shared" si="851"/>
        <v/>
      </c>
      <c r="BK648" s="268" t="str">
        <f t="shared" ref="BK648:BS648" si="866">IF(OR($E648="",BK$1=""),"",IF(TRIM(LEFT($E648,MIN(IFERROR(FIND("CDU",UPPER($E648)),999),IFERROR(FIND("BULK",UPPER($E648)),999),IFERROR(FIND("-",$E648),999),IFERROR(FIND("（",$E648),999))-1))=BK$1,$F648,""))</f>
        <v/>
      </c>
      <c r="BL648" s="268" t="str">
        <f t="shared" si="866"/>
        <v/>
      </c>
      <c r="BM648" s="268" t="str">
        <f t="shared" si="866"/>
        <v/>
      </c>
      <c r="BN648" s="268" t="str">
        <f t="shared" si="866"/>
        <v/>
      </c>
      <c r="BO648" s="268" t="str">
        <f t="shared" si="866"/>
        <v/>
      </c>
      <c r="BP648" s="268" t="str">
        <f t="shared" si="866"/>
        <v/>
      </c>
      <c r="BQ648" s="268" t="str">
        <f t="shared" si="866"/>
        <v/>
      </c>
      <c r="BR648" s="268" t="str">
        <f t="shared" si="866"/>
        <v/>
      </c>
      <c r="BS648" s="268" t="str">
        <f t="shared" si="866"/>
        <v/>
      </c>
      <c r="BT648" s="268" t="str">
        <f t="shared" si="853"/>
        <v/>
      </c>
      <c r="BU648" s="268" t="str">
        <f t="shared" si="854"/>
        <v/>
      </c>
      <c r="BV648" s="247">
        <v>1.65</v>
      </c>
      <c r="BW648" s="729">
        <f t="shared" si="855"/>
        <v>6019.2</v>
      </c>
      <c r="BX648" s="730">
        <f t="shared" si="856"/>
        <v>46648.8</v>
      </c>
      <c r="BY648" s="731" t="str">
        <f t="shared" si="857"/>
        <v>SR</v>
      </c>
    </row>
    <row r="649" s="697" customFormat="1" customHeight="1" spans="1:77">
      <c r="A649" s="116">
        <v>46139</v>
      </c>
      <c r="B649" s="116">
        <v>46199</v>
      </c>
      <c r="C649" s="418" t="s">
        <v>787</v>
      </c>
      <c r="D649" s="418" t="s">
        <v>788</v>
      </c>
      <c r="E649" s="123" t="s">
        <v>201</v>
      </c>
      <c r="F649" s="593">
        <f>192-12</f>
        <v>180</v>
      </c>
      <c r="G649" s="418" t="s">
        <v>341</v>
      </c>
      <c r="H649" s="118" t="str">
        <f>IFERROR(VLOOKUP(E649,名称!A:E,4,0),"")</f>
        <v>三代</v>
      </c>
      <c r="I649" s="418" t="str">
        <f t="shared" si="798"/>
        <v/>
      </c>
      <c r="J649" s="418" t="str">
        <f t="shared" si="799"/>
        <v/>
      </c>
      <c r="K649" s="418" t="str">
        <f t="shared" si="800"/>
        <v/>
      </c>
      <c r="L649" s="418" t="str">
        <f t="shared" si="801"/>
        <v/>
      </c>
      <c r="M649" s="418" t="str">
        <f t="shared" si="802"/>
        <v/>
      </c>
      <c r="N649" s="418" t="str">
        <f t="shared" si="803"/>
        <v/>
      </c>
      <c r="O649" s="418" t="str">
        <f t="shared" si="804"/>
        <v/>
      </c>
      <c r="P649" s="418" t="str">
        <f t="shared" si="805"/>
        <v/>
      </c>
      <c r="Q649" s="418" t="str">
        <f t="shared" si="806"/>
        <v/>
      </c>
      <c r="R649" s="418" t="str">
        <f t="shared" si="807"/>
        <v/>
      </c>
      <c r="S649" s="418" t="str">
        <f t="shared" si="808"/>
        <v/>
      </c>
      <c r="T649" s="418" t="str">
        <f t="shared" si="809"/>
        <v/>
      </c>
      <c r="U649" s="418" t="str">
        <f t="shared" si="810"/>
        <v/>
      </c>
      <c r="V649" s="418" t="str">
        <f t="shared" si="811"/>
        <v/>
      </c>
      <c r="W649" s="418" t="str">
        <f t="shared" si="812"/>
        <v/>
      </c>
      <c r="X649" s="418" t="str">
        <f t="shared" si="813"/>
        <v/>
      </c>
      <c r="Y649" s="418" t="str">
        <f t="shared" si="814"/>
        <v/>
      </c>
      <c r="Z649" s="418" t="str">
        <f t="shared" si="815"/>
        <v/>
      </c>
      <c r="AA649" s="418" t="str">
        <f t="shared" si="816"/>
        <v/>
      </c>
      <c r="AB649" s="418" t="str">
        <f t="shared" si="817"/>
        <v/>
      </c>
      <c r="AC649" s="418" t="str">
        <f t="shared" si="818"/>
        <v/>
      </c>
      <c r="AD649" s="418" t="str">
        <f t="shared" si="819"/>
        <v/>
      </c>
      <c r="AE649" s="418" t="str">
        <f t="shared" si="820"/>
        <v/>
      </c>
      <c r="AF649" s="418" t="str">
        <f t="shared" si="821"/>
        <v/>
      </c>
      <c r="AG649" s="418" t="str">
        <f t="shared" si="822"/>
        <v/>
      </c>
      <c r="AH649" s="418" t="str">
        <f t="shared" si="823"/>
        <v/>
      </c>
      <c r="AI649" s="418" t="str">
        <f t="shared" si="824"/>
        <v/>
      </c>
      <c r="AJ649" s="418" t="str">
        <f t="shared" si="825"/>
        <v/>
      </c>
      <c r="AK649" s="418" t="str">
        <f t="shared" si="826"/>
        <v/>
      </c>
      <c r="AL649" s="418" t="str">
        <f t="shared" si="827"/>
        <v/>
      </c>
      <c r="AM649" s="418" t="str">
        <f t="shared" si="828"/>
        <v/>
      </c>
      <c r="AN649" s="418" t="str">
        <f t="shared" si="829"/>
        <v/>
      </c>
      <c r="AO649" s="418" t="str">
        <f t="shared" si="830"/>
        <v/>
      </c>
      <c r="AP649" s="418" t="str">
        <f t="shared" si="831"/>
        <v/>
      </c>
      <c r="AQ649" s="418" t="str">
        <f t="shared" si="832"/>
        <v/>
      </c>
      <c r="AR649" s="418" t="str">
        <f t="shared" si="833"/>
        <v/>
      </c>
      <c r="AS649" s="418" t="str">
        <f t="shared" si="834"/>
        <v/>
      </c>
      <c r="AT649" s="418" t="str">
        <f t="shared" si="835"/>
        <v/>
      </c>
      <c r="AU649" s="418" t="str">
        <f t="shared" si="836"/>
        <v/>
      </c>
      <c r="AV649" s="418" t="str">
        <f t="shared" si="837"/>
        <v/>
      </c>
      <c r="AW649" s="418" t="str">
        <f t="shared" si="838"/>
        <v/>
      </c>
      <c r="AX649" s="418" t="str">
        <f t="shared" si="839"/>
        <v/>
      </c>
      <c r="AY649" s="418" t="str">
        <f t="shared" si="840"/>
        <v/>
      </c>
      <c r="AZ649" s="418" t="str">
        <f t="shared" si="841"/>
        <v/>
      </c>
      <c r="BA649" s="418" t="str">
        <f t="shared" si="842"/>
        <v/>
      </c>
      <c r="BB649" s="418" t="str">
        <f t="shared" si="843"/>
        <v/>
      </c>
      <c r="BC649" s="418" t="str">
        <f t="shared" si="844"/>
        <v/>
      </c>
      <c r="BD649" s="418" t="str">
        <f t="shared" si="845"/>
        <v/>
      </c>
      <c r="BE649" s="418" t="str">
        <f t="shared" si="846"/>
        <v/>
      </c>
      <c r="BF649" s="418" t="str">
        <f t="shared" si="847"/>
        <v/>
      </c>
      <c r="BG649" s="418" t="str">
        <f t="shared" si="848"/>
        <v/>
      </c>
      <c r="BH649" s="418" t="str">
        <f t="shared" si="849"/>
        <v/>
      </c>
      <c r="BI649" s="418" t="str">
        <f t="shared" si="850"/>
        <v/>
      </c>
      <c r="BJ649" s="418" t="str">
        <f t="shared" si="851"/>
        <v/>
      </c>
      <c r="BK649" s="418">
        <f t="shared" ref="BK649:BS649" si="867">IF(OR($E649="",BK$1=""),"",IF(TRIM(LEFT($E649,MIN(IFERROR(FIND("CDU",UPPER($E649)),999),IFERROR(FIND("BULK",UPPER($E649)),999),IFERROR(FIND("-",$E649),999),IFERROR(FIND("（",$E649),999))-1))=BK$1,$F649,""))</f>
        <v>180</v>
      </c>
      <c r="BL649" s="418" t="str">
        <f t="shared" si="867"/>
        <v/>
      </c>
      <c r="BM649" s="418" t="str">
        <f t="shared" si="867"/>
        <v/>
      </c>
      <c r="BN649" s="418" t="str">
        <f t="shared" si="867"/>
        <v/>
      </c>
      <c r="BO649" s="418" t="str">
        <f t="shared" si="867"/>
        <v/>
      </c>
      <c r="BP649" s="418" t="str">
        <f t="shared" si="867"/>
        <v/>
      </c>
      <c r="BQ649" s="418" t="str">
        <f t="shared" si="867"/>
        <v/>
      </c>
      <c r="BR649" s="418" t="str">
        <f t="shared" si="867"/>
        <v/>
      </c>
      <c r="BS649" s="418" t="str">
        <f t="shared" si="867"/>
        <v/>
      </c>
      <c r="BT649" s="418" t="str">
        <f t="shared" si="853"/>
        <v/>
      </c>
      <c r="BU649" s="418" t="str">
        <f t="shared" si="854"/>
        <v/>
      </c>
      <c r="BV649" s="544">
        <v>1.58</v>
      </c>
      <c r="BW649" s="723">
        <f t="shared" si="855"/>
        <v>284.4</v>
      </c>
      <c r="BX649" s="724">
        <f t="shared" si="856"/>
        <v>2204.1</v>
      </c>
      <c r="BY649" s="725" t="str">
        <f t="shared" si="857"/>
        <v>SR</v>
      </c>
    </row>
    <row r="650" s="697" customFormat="1" customHeight="1" spans="1:77">
      <c r="A650" s="116">
        <v>46139</v>
      </c>
      <c r="B650" s="116">
        <v>46199</v>
      </c>
      <c r="C650" s="418" t="s">
        <v>787</v>
      </c>
      <c r="D650" s="418" t="s">
        <v>788</v>
      </c>
      <c r="E650" s="418" t="s">
        <v>161</v>
      </c>
      <c r="F650" s="737">
        <v>126</v>
      </c>
      <c r="G650" s="418" t="s">
        <v>341</v>
      </c>
      <c r="H650" s="118" t="str">
        <f>IFERROR(VLOOKUP(E650,名称!A:E,4,0),"")</f>
        <v>三代</v>
      </c>
      <c r="I650" s="418" t="str">
        <f t="shared" si="798"/>
        <v/>
      </c>
      <c r="J650" s="418" t="str">
        <f t="shared" si="799"/>
        <v/>
      </c>
      <c r="K650" s="418" t="str">
        <f t="shared" si="800"/>
        <v/>
      </c>
      <c r="L650" s="418" t="str">
        <f t="shared" si="801"/>
        <v/>
      </c>
      <c r="M650" s="418" t="str">
        <f t="shared" si="802"/>
        <v/>
      </c>
      <c r="N650" s="418" t="str">
        <f t="shared" si="803"/>
        <v/>
      </c>
      <c r="O650" s="418" t="str">
        <f t="shared" si="804"/>
        <v/>
      </c>
      <c r="P650" s="418" t="str">
        <f t="shared" si="805"/>
        <v/>
      </c>
      <c r="Q650" s="418" t="str">
        <f t="shared" si="806"/>
        <v/>
      </c>
      <c r="R650" s="418" t="str">
        <f t="shared" si="807"/>
        <v/>
      </c>
      <c r="S650" s="418" t="str">
        <f t="shared" si="808"/>
        <v/>
      </c>
      <c r="T650" s="418" t="str">
        <f t="shared" si="809"/>
        <v/>
      </c>
      <c r="U650" s="418" t="str">
        <f t="shared" si="810"/>
        <v/>
      </c>
      <c r="V650" s="418" t="str">
        <f t="shared" si="811"/>
        <v/>
      </c>
      <c r="W650" s="418" t="str">
        <f t="shared" si="812"/>
        <v/>
      </c>
      <c r="X650" s="418" t="str">
        <f t="shared" si="813"/>
        <v/>
      </c>
      <c r="Y650" s="418" t="str">
        <f t="shared" si="814"/>
        <v/>
      </c>
      <c r="Z650" s="418" t="str">
        <f t="shared" si="815"/>
        <v/>
      </c>
      <c r="AA650" s="418" t="str">
        <f t="shared" si="816"/>
        <v/>
      </c>
      <c r="AB650" s="418" t="str">
        <f t="shared" si="817"/>
        <v/>
      </c>
      <c r="AC650" s="418" t="str">
        <f t="shared" si="818"/>
        <v/>
      </c>
      <c r="AD650" s="418" t="str">
        <f t="shared" si="819"/>
        <v/>
      </c>
      <c r="AE650" s="418" t="str">
        <f t="shared" si="820"/>
        <v/>
      </c>
      <c r="AF650" s="418" t="str">
        <f t="shared" si="821"/>
        <v/>
      </c>
      <c r="AG650" s="418" t="str">
        <f t="shared" si="822"/>
        <v/>
      </c>
      <c r="AH650" s="418" t="str">
        <f t="shared" si="823"/>
        <v/>
      </c>
      <c r="AI650" s="418" t="str">
        <f t="shared" si="824"/>
        <v/>
      </c>
      <c r="AJ650" s="418" t="str">
        <f t="shared" si="825"/>
        <v/>
      </c>
      <c r="AK650" s="418" t="str">
        <f t="shared" si="826"/>
        <v/>
      </c>
      <c r="AL650" s="418" t="str">
        <f t="shared" si="827"/>
        <v/>
      </c>
      <c r="AM650" s="418" t="str">
        <f t="shared" si="828"/>
        <v/>
      </c>
      <c r="AN650" s="418" t="str">
        <f t="shared" si="829"/>
        <v/>
      </c>
      <c r="AO650" s="418" t="str">
        <f t="shared" si="830"/>
        <v/>
      </c>
      <c r="AP650" s="418" t="str">
        <f t="shared" si="831"/>
        <v/>
      </c>
      <c r="AQ650" s="418">
        <f t="shared" si="832"/>
        <v>126</v>
      </c>
      <c r="AR650" s="418" t="str">
        <f t="shared" si="833"/>
        <v/>
      </c>
      <c r="AS650" s="418" t="str">
        <f t="shared" si="834"/>
        <v/>
      </c>
      <c r="AT650" s="418" t="str">
        <f t="shared" si="835"/>
        <v/>
      </c>
      <c r="AU650" s="418" t="str">
        <f t="shared" si="836"/>
        <v/>
      </c>
      <c r="AV650" s="418" t="str">
        <f t="shared" si="837"/>
        <v/>
      </c>
      <c r="AW650" s="418" t="str">
        <f t="shared" si="838"/>
        <v/>
      </c>
      <c r="AX650" s="418" t="str">
        <f t="shared" si="839"/>
        <v/>
      </c>
      <c r="AY650" s="418" t="str">
        <f t="shared" si="840"/>
        <v/>
      </c>
      <c r="AZ650" s="418" t="str">
        <f t="shared" si="841"/>
        <v/>
      </c>
      <c r="BA650" s="418" t="str">
        <f t="shared" si="842"/>
        <v/>
      </c>
      <c r="BB650" s="418" t="str">
        <f t="shared" si="843"/>
        <v/>
      </c>
      <c r="BC650" s="418" t="str">
        <f t="shared" si="844"/>
        <v/>
      </c>
      <c r="BD650" s="418" t="str">
        <f t="shared" si="845"/>
        <v/>
      </c>
      <c r="BE650" s="418" t="str">
        <f t="shared" si="846"/>
        <v/>
      </c>
      <c r="BF650" s="418" t="str">
        <f t="shared" si="847"/>
        <v/>
      </c>
      <c r="BG650" s="418" t="str">
        <f t="shared" si="848"/>
        <v/>
      </c>
      <c r="BH650" s="418" t="str">
        <f t="shared" si="849"/>
        <v/>
      </c>
      <c r="BI650" s="418" t="str">
        <f t="shared" si="850"/>
        <v/>
      </c>
      <c r="BJ650" s="418" t="str">
        <f t="shared" si="851"/>
        <v/>
      </c>
      <c r="BK650" s="418" t="str">
        <f t="shared" ref="BK650:BS650" si="868">IF(OR($E650="",BK$1=""),"",IF(TRIM(LEFT($E650,MIN(IFERROR(FIND("CDU",UPPER($E650)),999),IFERROR(FIND("BULK",UPPER($E650)),999),IFERROR(FIND("-",$E650),999),IFERROR(FIND("（",$E650),999))-1))=BK$1,$F650,""))</f>
        <v/>
      </c>
      <c r="BL650" s="418" t="str">
        <f t="shared" si="868"/>
        <v/>
      </c>
      <c r="BM650" s="418" t="str">
        <f t="shared" si="868"/>
        <v/>
      </c>
      <c r="BN650" s="418" t="str">
        <f t="shared" si="868"/>
        <v/>
      </c>
      <c r="BO650" s="418" t="str">
        <f t="shared" si="868"/>
        <v/>
      </c>
      <c r="BP650" s="418" t="str">
        <f t="shared" si="868"/>
        <v/>
      </c>
      <c r="BQ650" s="418" t="str">
        <f t="shared" si="868"/>
        <v/>
      </c>
      <c r="BR650" s="418" t="str">
        <f t="shared" si="868"/>
        <v/>
      </c>
      <c r="BS650" s="418" t="str">
        <f t="shared" si="868"/>
        <v/>
      </c>
      <c r="BT650" s="418" t="str">
        <f t="shared" si="853"/>
        <v/>
      </c>
      <c r="BU650" s="418" t="str">
        <f t="shared" si="854"/>
        <v/>
      </c>
      <c r="BV650" s="544">
        <v>9.15</v>
      </c>
      <c r="BW650" s="723">
        <f t="shared" si="855"/>
        <v>1152.9</v>
      </c>
      <c r="BX650" s="724">
        <f t="shared" si="856"/>
        <v>8934.98</v>
      </c>
      <c r="BY650" s="725" t="str">
        <f t="shared" si="857"/>
        <v>SR</v>
      </c>
    </row>
    <row r="651" s="698" customFormat="1" customHeight="1" spans="1:77">
      <c r="A651" s="208">
        <v>46139</v>
      </c>
      <c r="B651" s="208">
        <v>46199</v>
      </c>
      <c r="C651" s="268" t="s">
        <v>787</v>
      </c>
      <c r="D651" s="268" t="s">
        <v>788</v>
      </c>
      <c r="E651" s="268" t="s">
        <v>171</v>
      </c>
      <c r="F651" s="343">
        <v>288</v>
      </c>
      <c r="G651" s="268" t="s">
        <v>341</v>
      </c>
      <c r="H651" s="211" t="str">
        <f>IFERROR(VLOOKUP(E651,名称!A:E,4,0),"")</f>
        <v>三代</v>
      </c>
      <c r="I651" s="268" t="str">
        <f t="shared" si="798"/>
        <v/>
      </c>
      <c r="J651" s="268" t="str">
        <f t="shared" si="799"/>
        <v/>
      </c>
      <c r="K651" s="268" t="str">
        <f t="shared" si="800"/>
        <v/>
      </c>
      <c r="L651" s="268" t="str">
        <f t="shared" si="801"/>
        <v/>
      </c>
      <c r="M651" s="268" t="str">
        <f t="shared" si="802"/>
        <v/>
      </c>
      <c r="N651" s="268" t="str">
        <f t="shared" si="803"/>
        <v/>
      </c>
      <c r="O651" s="268" t="str">
        <f t="shared" si="804"/>
        <v/>
      </c>
      <c r="P651" s="268" t="str">
        <f t="shared" si="805"/>
        <v/>
      </c>
      <c r="Q651" s="268" t="str">
        <f t="shared" si="806"/>
        <v/>
      </c>
      <c r="R651" s="268" t="str">
        <f t="shared" si="807"/>
        <v/>
      </c>
      <c r="S651" s="268" t="str">
        <f t="shared" si="808"/>
        <v/>
      </c>
      <c r="T651" s="268" t="str">
        <f t="shared" si="809"/>
        <v/>
      </c>
      <c r="U651" s="268" t="str">
        <f t="shared" si="810"/>
        <v/>
      </c>
      <c r="V651" s="268" t="str">
        <f t="shared" si="811"/>
        <v/>
      </c>
      <c r="W651" s="268" t="str">
        <f t="shared" si="812"/>
        <v/>
      </c>
      <c r="X651" s="268" t="str">
        <f t="shared" si="813"/>
        <v/>
      </c>
      <c r="Y651" s="268" t="str">
        <f t="shared" si="814"/>
        <v/>
      </c>
      <c r="Z651" s="268" t="str">
        <f t="shared" si="815"/>
        <v/>
      </c>
      <c r="AA651" s="268" t="str">
        <f t="shared" si="816"/>
        <v/>
      </c>
      <c r="AB651" s="268" t="str">
        <f t="shared" si="817"/>
        <v/>
      </c>
      <c r="AC651" s="268" t="str">
        <f t="shared" si="818"/>
        <v/>
      </c>
      <c r="AD651" s="268" t="str">
        <f t="shared" si="819"/>
        <v/>
      </c>
      <c r="AE651" s="268" t="str">
        <f t="shared" si="820"/>
        <v/>
      </c>
      <c r="AF651" s="268" t="str">
        <f t="shared" si="821"/>
        <v/>
      </c>
      <c r="AG651" s="268" t="str">
        <f t="shared" si="822"/>
        <v/>
      </c>
      <c r="AH651" s="268" t="str">
        <f t="shared" si="823"/>
        <v/>
      </c>
      <c r="AI651" s="268" t="str">
        <f t="shared" si="824"/>
        <v/>
      </c>
      <c r="AJ651" s="268" t="str">
        <f t="shared" si="825"/>
        <v/>
      </c>
      <c r="AK651" s="268" t="str">
        <f t="shared" si="826"/>
        <v/>
      </c>
      <c r="AL651" s="268" t="str">
        <f t="shared" si="827"/>
        <v/>
      </c>
      <c r="AM651" s="268" t="str">
        <f t="shared" si="828"/>
        <v/>
      </c>
      <c r="AN651" s="268" t="str">
        <f t="shared" si="829"/>
        <v/>
      </c>
      <c r="AO651" s="268" t="str">
        <f t="shared" si="830"/>
        <v/>
      </c>
      <c r="AP651" s="268" t="str">
        <f t="shared" si="831"/>
        <v/>
      </c>
      <c r="AQ651" s="268" t="str">
        <f t="shared" si="832"/>
        <v/>
      </c>
      <c r="AR651" s="268" t="str">
        <f t="shared" si="833"/>
        <v/>
      </c>
      <c r="AS651" s="268" t="str">
        <f t="shared" si="834"/>
        <v/>
      </c>
      <c r="AT651" s="268" t="str">
        <f t="shared" si="835"/>
        <v/>
      </c>
      <c r="AU651" s="268" t="str">
        <f t="shared" si="836"/>
        <v/>
      </c>
      <c r="AV651" s="268" t="str">
        <f t="shared" si="837"/>
        <v/>
      </c>
      <c r="AW651" s="268" t="str">
        <f t="shared" si="838"/>
        <v/>
      </c>
      <c r="AX651" s="268">
        <f t="shared" si="839"/>
        <v>288</v>
      </c>
      <c r="AY651" s="268" t="str">
        <f t="shared" si="840"/>
        <v/>
      </c>
      <c r="AZ651" s="268" t="str">
        <f t="shared" si="841"/>
        <v/>
      </c>
      <c r="BA651" s="268" t="str">
        <f t="shared" si="842"/>
        <v/>
      </c>
      <c r="BB651" s="268" t="str">
        <f t="shared" si="843"/>
        <v/>
      </c>
      <c r="BC651" s="268" t="str">
        <f t="shared" si="844"/>
        <v/>
      </c>
      <c r="BD651" s="268" t="str">
        <f t="shared" si="845"/>
        <v/>
      </c>
      <c r="BE651" s="268" t="str">
        <f t="shared" si="846"/>
        <v/>
      </c>
      <c r="BF651" s="268" t="str">
        <f t="shared" si="847"/>
        <v/>
      </c>
      <c r="BG651" s="268" t="str">
        <f t="shared" si="848"/>
        <v/>
      </c>
      <c r="BH651" s="268" t="str">
        <f t="shared" si="849"/>
        <v/>
      </c>
      <c r="BI651" s="268" t="str">
        <f t="shared" si="850"/>
        <v/>
      </c>
      <c r="BJ651" s="268" t="str">
        <f t="shared" si="851"/>
        <v/>
      </c>
      <c r="BK651" s="268" t="str">
        <f t="shared" ref="BK651:BS651" si="869">IF(OR($E651="",BK$1=""),"",IF(TRIM(LEFT($E651,MIN(IFERROR(FIND("CDU",UPPER($E651)),999),IFERROR(FIND("BULK",UPPER($E651)),999),IFERROR(FIND("-",$E651),999),IFERROR(FIND("（",$E651),999))-1))=BK$1,$F651,""))</f>
        <v/>
      </c>
      <c r="BL651" s="268" t="str">
        <f t="shared" si="869"/>
        <v/>
      </c>
      <c r="BM651" s="268" t="str">
        <f t="shared" si="869"/>
        <v/>
      </c>
      <c r="BN651" s="268" t="str">
        <f t="shared" si="869"/>
        <v/>
      </c>
      <c r="BO651" s="268" t="str">
        <f t="shared" si="869"/>
        <v/>
      </c>
      <c r="BP651" s="268" t="str">
        <f t="shared" si="869"/>
        <v/>
      </c>
      <c r="BQ651" s="268" t="str">
        <f t="shared" si="869"/>
        <v/>
      </c>
      <c r="BR651" s="268" t="str">
        <f t="shared" si="869"/>
        <v/>
      </c>
      <c r="BS651" s="268" t="str">
        <f t="shared" si="869"/>
        <v/>
      </c>
      <c r="BT651" s="268" t="str">
        <f t="shared" si="853"/>
        <v/>
      </c>
      <c r="BU651" s="268" t="str">
        <f t="shared" si="854"/>
        <v/>
      </c>
      <c r="BV651" s="247">
        <v>0.63</v>
      </c>
      <c r="BW651" s="729">
        <f t="shared" si="855"/>
        <v>181.44</v>
      </c>
      <c r="BX651" s="730">
        <f t="shared" si="856"/>
        <v>1406.16</v>
      </c>
      <c r="BY651" s="731" t="str">
        <f t="shared" si="857"/>
        <v>SR</v>
      </c>
    </row>
    <row r="652" s="698" customFormat="1" customHeight="1" spans="1:77">
      <c r="A652" s="208">
        <v>46139</v>
      </c>
      <c r="B652" s="208">
        <v>46199</v>
      </c>
      <c r="C652" s="268" t="s">
        <v>787</v>
      </c>
      <c r="D652" s="268" t="s">
        <v>788</v>
      </c>
      <c r="E652" s="268" t="s">
        <v>172</v>
      </c>
      <c r="F652" s="343">
        <v>288</v>
      </c>
      <c r="G652" s="268" t="s">
        <v>341</v>
      </c>
      <c r="H652" s="211" t="str">
        <f>IFERROR(VLOOKUP(E652,名称!A:E,4,0),"")</f>
        <v>三代</v>
      </c>
      <c r="I652" s="268" t="str">
        <f t="shared" si="798"/>
        <v/>
      </c>
      <c r="J652" s="268" t="str">
        <f t="shared" si="799"/>
        <v/>
      </c>
      <c r="K652" s="268" t="str">
        <f t="shared" si="800"/>
        <v/>
      </c>
      <c r="L652" s="268" t="str">
        <f t="shared" si="801"/>
        <v/>
      </c>
      <c r="M652" s="268" t="str">
        <f t="shared" si="802"/>
        <v/>
      </c>
      <c r="N652" s="268" t="str">
        <f t="shared" si="803"/>
        <v/>
      </c>
      <c r="O652" s="268" t="str">
        <f t="shared" si="804"/>
        <v/>
      </c>
      <c r="P652" s="268" t="str">
        <f t="shared" si="805"/>
        <v/>
      </c>
      <c r="Q652" s="268" t="str">
        <f t="shared" si="806"/>
        <v/>
      </c>
      <c r="R652" s="268" t="str">
        <f t="shared" si="807"/>
        <v/>
      </c>
      <c r="S652" s="268" t="str">
        <f t="shared" si="808"/>
        <v/>
      </c>
      <c r="T652" s="268" t="str">
        <f t="shared" si="809"/>
        <v/>
      </c>
      <c r="U652" s="268" t="str">
        <f t="shared" si="810"/>
        <v/>
      </c>
      <c r="V652" s="268" t="str">
        <f t="shared" si="811"/>
        <v/>
      </c>
      <c r="W652" s="268" t="str">
        <f t="shared" si="812"/>
        <v/>
      </c>
      <c r="X652" s="268" t="str">
        <f t="shared" si="813"/>
        <v/>
      </c>
      <c r="Y652" s="268" t="str">
        <f t="shared" si="814"/>
        <v/>
      </c>
      <c r="Z652" s="268" t="str">
        <f t="shared" si="815"/>
        <v/>
      </c>
      <c r="AA652" s="268" t="str">
        <f t="shared" si="816"/>
        <v/>
      </c>
      <c r="AB652" s="268" t="str">
        <f t="shared" si="817"/>
        <v/>
      </c>
      <c r="AC652" s="268" t="str">
        <f t="shared" si="818"/>
        <v/>
      </c>
      <c r="AD652" s="268" t="str">
        <f t="shared" si="819"/>
        <v/>
      </c>
      <c r="AE652" s="268" t="str">
        <f t="shared" si="820"/>
        <v/>
      </c>
      <c r="AF652" s="268" t="str">
        <f t="shared" si="821"/>
        <v/>
      </c>
      <c r="AG652" s="268" t="str">
        <f t="shared" si="822"/>
        <v/>
      </c>
      <c r="AH652" s="268" t="str">
        <f t="shared" si="823"/>
        <v/>
      </c>
      <c r="AI652" s="268" t="str">
        <f t="shared" si="824"/>
        <v/>
      </c>
      <c r="AJ652" s="268" t="str">
        <f t="shared" si="825"/>
        <v/>
      </c>
      <c r="AK652" s="268" t="str">
        <f t="shared" si="826"/>
        <v/>
      </c>
      <c r="AL652" s="268" t="str">
        <f t="shared" si="827"/>
        <v/>
      </c>
      <c r="AM652" s="268" t="str">
        <f t="shared" si="828"/>
        <v/>
      </c>
      <c r="AN652" s="268" t="str">
        <f t="shared" si="829"/>
        <v/>
      </c>
      <c r="AO652" s="268" t="str">
        <f t="shared" si="830"/>
        <v/>
      </c>
      <c r="AP652" s="268" t="str">
        <f t="shared" si="831"/>
        <v/>
      </c>
      <c r="AQ652" s="268" t="str">
        <f t="shared" si="832"/>
        <v/>
      </c>
      <c r="AR652" s="268" t="str">
        <f t="shared" si="833"/>
        <v/>
      </c>
      <c r="AS652" s="268" t="str">
        <f t="shared" si="834"/>
        <v/>
      </c>
      <c r="AT652" s="268" t="str">
        <f t="shared" si="835"/>
        <v/>
      </c>
      <c r="AU652" s="268" t="str">
        <f t="shared" si="836"/>
        <v/>
      </c>
      <c r="AV652" s="268" t="str">
        <f t="shared" si="837"/>
        <v/>
      </c>
      <c r="AW652" s="268" t="str">
        <f t="shared" si="838"/>
        <v/>
      </c>
      <c r="AX652" s="268">
        <f t="shared" si="839"/>
        <v>288</v>
      </c>
      <c r="AY652" s="268" t="str">
        <f t="shared" si="840"/>
        <v/>
      </c>
      <c r="AZ652" s="268" t="str">
        <f t="shared" si="841"/>
        <v/>
      </c>
      <c r="BA652" s="268" t="str">
        <f t="shared" si="842"/>
        <v/>
      </c>
      <c r="BB652" s="268" t="str">
        <f t="shared" si="843"/>
        <v/>
      </c>
      <c r="BC652" s="268" t="str">
        <f t="shared" si="844"/>
        <v/>
      </c>
      <c r="BD652" s="268" t="str">
        <f t="shared" si="845"/>
        <v/>
      </c>
      <c r="BE652" s="268" t="str">
        <f t="shared" si="846"/>
        <v/>
      </c>
      <c r="BF652" s="268" t="str">
        <f t="shared" si="847"/>
        <v/>
      </c>
      <c r="BG652" s="268" t="str">
        <f t="shared" si="848"/>
        <v/>
      </c>
      <c r="BH652" s="268" t="str">
        <f t="shared" si="849"/>
        <v/>
      </c>
      <c r="BI652" s="268" t="str">
        <f t="shared" si="850"/>
        <v/>
      </c>
      <c r="BJ652" s="268" t="str">
        <f t="shared" si="851"/>
        <v/>
      </c>
      <c r="BK652" s="268" t="str">
        <f t="shared" ref="BK652:BS652" si="870">IF(OR($E652="",BK$1=""),"",IF(TRIM(LEFT($E652,MIN(IFERROR(FIND("CDU",UPPER($E652)),999),IFERROR(FIND("BULK",UPPER($E652)),999),IFERROR(FIND("-",$E652),999),IFERROR(FIND("（",$E652),999))-1))=BK$1,$F652,""))</f>
        <v/>
      </c>
      <c r="BL652" s="268" t="str">
        <f t="shared" si="870"/>
        <v/>
      </c>
      <c r="BM652" s="268" t="str">
        <f t="shared" si="870"/>
        <v/>
      </c>
      <c r="BN652" s="268" t="str">
        <f t="shared" si="870"/>
        <v/>
      </c>
      <c r="BO652" s="268" t="str">
        <f t="shared" si="870"/>
        <v/>
      </c>
      <c r="BP652" s="268" t="str">
        <f t="shared" si="870"/>
        <v/>
      </c>
      <c r="BQ652" s="268" t="str">
        <f t="shared" si="870"/>
        <v/>
      </c>
      <c r="BR652" s="268" t="str">
        <f t="shared" si="870"/>
        <v/>
      </c>
      <c r="BS652" s="268" t="str">
        <f t="shared" si="870"/>
        <v/>
      </c>
      <c r="BT652" s="268" t="str">
        <f t="shared" si="853"/>
        <v/>
      </c>
      <c r="BU652" s="268" t="str">
        <f t="shared" si="854"/>
        <v/>
      </c>
      <c r="BV652" s="247">
        <v>0.63</v>
      </c>
      <c r="BW652" s="729">
        <f t="shared" si="855"/>
        <v>181.44</v>
      </c>
      <c r="BX652" s="730">
        <f t="shared" si="856"/>
        <v>1406.16</v>
      </c>
      <c r="BY652" s="731" t="str">
        <f t="shared" si="857"/>
        <v>SR</v>
      </c>
    </row>
    <row r="653" s="698" customFormat="1" customHeight="1" spans="1:77">
      <c r="A653" s="208">
        <v>46139</v>
      </c>
      <c r="B653" s="208">
        <v>46199</v>
      </c>
      <c r="C653" s="268" t="s">
        <v>787</v>
      </c>
      <c r="D653" s="268" t="s">
        <v>788</v>
      </c>
      <c r="E653" s="268" t="s">
        <v>173</v>
      </c>
      <c r="F653" s="343">
        <v>288</v>
      </c>
      <c r="G653" s="268" t="s">
        <v>341</v>
      </c>
      <c r="H653" s="211" t="str">
        <f>IFERROR(VLOOKUP(E653,名称!A:E,4,0),"")</f>
        <v>三代</v>
      </c>
      <c r="I653" s="268" t="str">
        <f t="shared" si="798"/>
        <v/>
      </c>
      <c r="J653" s="268" t="str">
        <f t="shared" si="799"/>
        <v/>
      </c>
      <c r="K653" s="268" t="str">
        <f t="shared" si="800"/>
        <v/>
      </c>
      <c r="L653" s="268" t="str">
        <f t="shared" si="801"/>
        <v/>
      </c>
      <c r="M653" s="268" t="str">
        <f t="shared" si="802"/>
        <v/>
      </c>
      <c r="N653" s="268" t="str">
        <f t="shared" si="803"/>
        <v/>
      </c>
      <c r="O653" s="268" t="str">
        <f t="shared" si="804"/>
        <v/>
      </c>
      <c r="P653" s="268" t="str">
        <f t="shared" si="805"/>
        <v/>
      </c>
      <c r="Q653" s="268" t="str">
        <f t="shared" si="806"/>
        <v/>
      </c>
      <c r="R653" s="268" t="str">
        <f t="shared" si="807"/>
        <v/>
      </c>
      <c r="S653" s="268" t="str">
        <f t="shared" si="808"/>
        <v/>
      </c>
      <c r="T653" s="268" t="str">
        <f t="shared" si="809"/>
        <v/>
      </c>
      <c r="U653" s="268" t="str">
        <f t="shared" si="810"/>
        <v/>
      </c>
      <c r="V653" s="268" t="str">
        <f t="shared" si="811"/>
        <v/>
      </c>
      <c r="W653" s="268" t="str">
        <f t="shared" si="812"/>
        <v/>
      </c>
      <c r="X653" s="268" t="str">
        <f t="shared" si="813"/>
        <v/>
      </c>
      <c r="Y653" s="268" t="str">
        <f t="shared" si="814"/>
        <v/>
      </c>
      <c r="Z653" s="268" t="str">
        <f t="shared" si="815"/>
        <v/>
      </c>
      <c r="AA653" s="268" t="str">
        <f t="shared" si="816"/>
        <v/>
      </c>
      <c r="AB653" s="268" t="str">
        <f t="shared" si="817"/>
        <v/>
      </c>
      <c r="AC653" s="268" t="str">
        <f t="shared" si="818"/>
        <v/>
      </c>
      <c r="AD653" s="268" t="str">
        <f t="shared" si="819"/>
        <v/>
      </c>
      <c r="AE653" s="268" t="str">
        <f t="shared" si="820"/>
        <v/>
      </c>
      <c r="AF653" s="268" t="str">
        <f t="shared" si="821"/>
        <v/>
      </c>
      <c r="AG653" s="268" t="str">
        <f t="shared" si="822"/>
        <v/>
      </c>
      <c r="AH653" s="268" t="str">
        <f t="shared" si="823"/>
        <v/>
      </c>
      <c r="AI653" s="268" t="str">
        <f t="shared" si="824"/>
        <v/>
      </c>
      <c r="AJ653" s="268" t="str">
        <f t="shared" si="825"/>
        <v/>
      </c>
      <c r="AK653" s="268" t="str">
        <f t="shared" si="826"/>
        <v/>
      </c>
      <c r="AL653" s="268" t="str">
        <f t="shared" si="827"/>
        <v/>
      </c>
      <c r="AM653" s="268" t="str">
        <f t="shared" si="828"/>
        <v/>
      </c>
      <c r="AN653" s="268" t="str">
        <f t="shared" si="829"/>
        <v/>
      </c>
      <c r="AO653" s="268" t="str">
        <f t="shared" si="830"/>
        <v/>
      </c>
      <c r="AP653" s="268" t="str">
        <f t="shared" si="831"/>
        <v/>
      </c>
      <c r="AQ653" s="268" t="str">
        <f t="shared" si="832"/>
        <v/>
      </c>
      <c r="AR653" s="268" t="str">
        <f t="shared" si="833"/>
        <v/>
      </c>
      <c r="AS653" s="268" t="str">
        <f t="shared" si="834"/>
        <v/>
      </c>
      <c r="AT653" s="268" t="str">
        <f t="shared" si="835"/>
        <v/>
      </c>
      <c r="AU653" s="268" t="str">
        <f t="shared" si="836"/>
        <v/>
      </c>
      <c r="AV653" s="268" t="str">
        <f t="shared" si="837"/>
        <v/>
      </c>
      <c r="AW653" s="268" t="str">
        <f t="shared" si="838"/>
        <v/>
      </c>
      <c r="AX653" s="268">
        <f t="shared" si="839"/>
        <v>288</v>
      </c>
      <c r="AY653" s="268" t="str">
        <f t="shared" si="840"/>
        <v/>
      </c>
      <c r="AZ653" s="268" t="str">
        <f t="shared" si="841"/>
        <v/>
      </c>
      <c r="BA653" s="268" t="str">
        <f t="shared" si="842"/>
        <v/>
      </c>
      <c r="BB653" s="268" t="str">
        <f t="shared" si="843"/>
        <v/>
      </c>
      <c r="BC653" s="268" t="str">
        <f t="shared" si="844"/>
        <v/>
      </c>
      <c r="BD653" s="268" t="str">
        <f t="shared" si="845"/>
        <v/>
      </c>
      <c r="BE653" s="268" t="str">
        <f t="shared" si="846"/>
        <v/>
      </c>
      <c r="BF653" s="268" t="str">
        <f t="shared" si="847"/>
        <v/>
      </c>
      <c r="BG653" s="268" t="str">
        <f t="shared" si="848"/>
        <v/>
      </c>
      <c r="BH653" s="268" t="str">
        <f t="shared" si="849"/>
        <v/>
      </c>
      <c r="BI653" s="268" t="str">
        <f t="shared" si="850"/>
        <v/>
      </c>
      <c r="BJ653" s="268" t="str">
        <f t="shared" si="851"/>
        <v/>
      </c>
      <c r="BK653" s="268" t="str">
        <f t="shared" ref="BK653:BS653" si="871">IF(OR($E653="",BK$1=""),"",IF(TRIM(LEFT($E653,MIN(IFERROR(FIND("CDU",UPPER($E653)),999),IFERROR(FIND("BULK",UPPER($E653)),999),IFERROR(FIND("-",$E653),999),IFERROR(FIND("（",$E653),999))-1))=BK$1,$F653,""))</f>
        <v/>
      </c>
      <c r="BL653" s="268" t="str">
        <f t="shared" si="871"/>
        <v/>
      </c>
      <c r="BM653" s="268" t="str">
        <f t="shared" si="871"/>
        <v/>
      </c>
      <c r="BN653" s="268" t="str">
        <f t="shared" si="871"/>
        <v/>
      </c>
      <c r="BO653" s="268" t="str">
        <f t="shared" si="871"/>
        <v/>
      </c>
      <c r="BP653" s="268" t="str">
        <f t="shared" si="871"/>
        <v/>
      </c>
      <c r="BQ653" s="268" t="str">
        <f t="shared" si="871"/>
        <v/>
      </c>
      <c r="BR653" s="268" t="str">
        <f t="shared" si="871"/>
        <v/>
      </c>
      <c r="BS653" s="268" t="str">
        <f t="shared" si="871"/>
        <v/>
      </c>
      <c r="BT653" s="268" t="str">
        <f t="shared" si="853"/>
        <v/>
      </c>
      <c r="BU653" s="268" t="str">
        <f t="shared" si="854"/>
        <v/>
      </c>
      <c r="BV653" s="247">
        <v>0.63</v>
      </c>
      <c r="BW653" s="729">
        <f t="shared" si="855"/>
        <v>181.44</v>
      </c>
      <c r="BX653" s="730">
        <f t="shared" si="856"/>
        <v>1406.16</v>
      </c>
      <c r="BY653" s="731" t="str">
        <f t="shared" si="857"/>
        <v>SR</v>
      </c>
    </row>
    <row r="654" s="698" customFormat="1" customHeight="1" spans="1:77">
      <c r="A654" s="208">
        <v>46139</v>
      </c>
      <c r="B654" s="208">
        <v>46199</v>
      </c>
      <c r="C654" s="268" t="s">
        <v>787</v>
      </c>
      <c r="D654" s="268" t="s">
        <v>788</v>
      </c>
      <c r="E654" s="268" t="s">
        <v>174</v>
      </c>
      <c r="F654" s="343">
        <v>240</v>
      </c>
      <c r="G654" s="268" t="s">
        <v>341</v>
      </c>
      <c r="H654" s="211" t="str">
        <f>IFERROR(VLOOKUP(E654,名称!A:E,4,0),"")</f>
        <v>三代</v>
      </c>
      <c r="I654" s="268" t="str">
        <f t="shared" si="798"/>
        <v/>
      </c>
      <c r="J654" s="268" t="str">
        <f t="shared" si="799"/>
        <v/>
      </c>
      <c r="K654" s="268" t="str">
        <f t="shared" si="800"/>
        <v/>
      </c>
      <c r="L654" s="268" t="str">
        <f t="shared" si="801"/>
        <v/>
      </c>
      <c r="M654" s="268" t="str">
        <f t="shared" si="802"/>
        <v/>
      </c>
      <c r="N654" s="268" t="str">
        <f t="shared" si="803"/>
        <v/>
      </c>
      <c r="O654" s="268" t="str">
        <f t="shared" si="804"/>
        <v/>
      </c>
      <c r="P654" s="268" t="str">
        <f t="shared" si="805"/>
        <v/>
      </c>
      <c r="Q654" s="268" t="str">
        <f t="shared" si="806"/>
        <v/>
      </c>
      <c r="R654" s="268" t="str">
        <f t="shared" si="807"/>
        <v/>
      </c>
      <c r="S654" s="268" t="str">
        <f t="shared" si="808"/>
        <v/>
      </c>
      <c r="T654" s="268" t="str">
        <f t="shared" si="809"/>
        <v/>
      </c>
      <c r="U654" s="268" t="str">
        <f t="shared" si="810"/>
        <v/>
      </c>
      <c r="V654" s="268" t="str">
        <f t="shared" si="811"/>
        <v/>
      </c>
      <c r="W654" s="268" t="str">
        <f t="shared" si="812"/>
        <v/>
      </c>
      <c r="X654" s="268" t="str">
        <f t="shared" si="813"/>
        <v/>
      </c>
      <c r="Y654" s="268" t="str">
        <f t="shared" si="814"/>
        <v/>
      </c>
      <c r="Z654" s="268" t="str">
        <f t="shared" si="815"/>
        <v/>
      </c>
      <c r="AA654" s="268" t="str">
        <f t="shared" si="816"/>
        <v/>
      </c>
      <c r="AB654" s="268" t="str">
        <f t="shared" si="817"/>
        <v/>
      </c>
      <c r="AC654" s="268" t="str">
        <f t="shared" si="818"/>
        <v/>
      </c>
      <c r="AD654" s="268" t="str">
        <f t="shared" si="819"/>
        <v/>
      </c>
      <c r="AE654" s="268" t="str">
        <f t="shared" si="820"/>
        <v/>
      </c>
      <c r="AF654" s="268" t="str">
        <f t="shared" si="821"/>
        <v/>
      </c>
      <c r="AG654" s="268" t="str">
        <f t="shared" si="822"/>
        <v/>
      </c>
      <c r="AH654" s="268" t="str">
        <f t="shared" si="823"/>
        <v/>
      </c>
      <c r="AI654" s="268" t="str">
        <f t="shared" si="824"/>
        <v/>
      </c>
      <c r="AJ654" s="268" t="str">
        <f t="shared" si="825"/>
        <v/>
      </c>
      <c r="AK654" s="268" t="str">
        <f t="shared" si="826"/>
        <v/>
      </c>
      <c r="AL654" s="268" t="str">
        <f t="shared" si="827"/>
        <v/>
      </c>
      <c r="AM654" s="268" t="str">
        <f t="shared" si="828"/>
        <v/>
      </c>
      <c r="AN654" s="268" t="str">
        <f t="shared" si="829"/>
        <v/>
      </c>
      <c r="AO654" s="268" t="str">
        <f t="shared" si="830"/>
        <v/>
      </c>
      <c r="AP654" s="268" t="str">
        <f t="shared" si="831"/>
        <v/>
      </c>
      <c r="AQ654" s="268" t="str">
        <f t="shared" si="832"/>
        <v/>
      </c>
      <c r="AR654" s="268" t="str">
        <f t="shared" si="833"/>
        <v/>
      </c>
      <c r="AS654" s="268" t="str">
        <f t="shared" si="834"/>
        <v/>
      </c>
      <c r="AT654" s="268" t="str">
        <f t="shared" si="835"/>
        <v/>
      </c>
      <c r="AU654" s="268" t="str">
        <f t="shared" si="836"/>
        <v/>
      </c>
      <c r="AV654" s="268" t="str">
        <f t="shared" si="837"/>
        <v/>
      </c>
      <c r="AW654" s="268" t="str">
        <f t="shared" si="838"/>
        <v/>
      </c>
      <c r="AX654" s="268" t="str">
        <f t="shared" si="839"/>
        <v/>
      </c>
      <c r="AY654" s="268" t="str">
        <f t="shared" si="840"/>
        <v/>
      </c>
      <c r="AZ654" s="268">
        <f t="shared" si="841"/>
        <v>240</v>
      </c>
      <c r="BA654" s="268" t="str">
        <f t="shared" si="842"/>
        <v/>
      </c>
      <c r="BB654" s="268" t="str">
        <f t="shared" si="843"/>
        <v/>
      </c>
      <c r="BC654" s="268" t="str">
        <f t="shared" si="844"/>
        <v/>
      </c>
      <c r="BD654" s="268" t="str">
        <f t="shared" si="845"/>
        <v/>
      </c>
      <c r="BE654" s="268" t="str">
        <f t="shared" si="846"/>
        <v/>
      </c>
      <c r="BF654" s="268" t="str">
        <f t="shared" si="847"/>
        <v/>
      </c>
      <c r="BG654" s="268" t="str">
        <f t="shared" si="848"/>
        <v/>
      </c>
      <c r="BH654" s="268" t="str">
        <f t="shared" si="849"/>
        <v/>
      </c>
      <c r="BI654" s="268" t="str">
        <f t="shared" si="850"/>
        <v/>
      </c>
      <c r="BJ654" s="268" t="str">
        <f t="shared" si="851"/>
        <v/>
      </c>
      <c r="BK654" s="268" t="str">
        <f t="shared" ref="BK654:BS654" si="872">IF(OR($E654="",BK$1=""),"",IF(TRIM(LEFT($E654,MIN(IFERROR(FIND("CDU",UPPER($E654)),999),IFERROR(FIND("BULK",UPPER($E654)),999),IFERROR(FIND("-",$E654),999),IFERROR(FIND("（",$E654),999))-1))=BK$1,$F654,""))</f>
        <v/>
      </c>
      <c r="BL654" s="268" t="str">
        <f t="shared" si="872"/>
        <v/>
      </c>
      <c r="BM654" s="268" t="str">
        <f t="shared" si="872"/>
        <v/>
      </c>
      <c r="BN654" s="268" t="str">
        <f t="shared" si="872"/>
        <v/>
      </c>
      <c r="BO654" s="268" t="str">
        <f t="shared" si="872"/>
        <v/>
      </c>
      <c r="BP654" s="268" t="str">
        <f t="shared" si="872"/>
        <v/>
      </c>
      <c r="BQ654" s="268" t="str">
        <f t="shared" si="872"/>
        <v/>
      </c>
      <c r="BR654" s="268" t="str">
        <f t="shared" si="872"/>
        <v/>
      </c>
      <c r="BS654" s="268" t="str">
        <f t="shared" si="872"/>
        <v/>
      </c>
      <c r="BT654" s="268" t="str">
        <f t="shared" si="853"/>
        <v/>
      </c>
      <c r="BU654" s="268" t="str">
        <f t="shared" si="854"/>
        <v/>
      </c>
      <c r="BV654" s="247">
        <v>2.57</v>
      </c>
      <c r="BW654" s="729">
        <f t="shared" si="855"/>
        <v>616.8</v>
      </c>
      <c r="BX654" s="730">
        <f t="shared" si="856"/>
        <v>4780.2</v>
      </c>
      <c r="BY654" s="731" t="str">
        <f t="shared" si="857"/>
        <v>SR</v>
      </c>
    </row>
    <row r="655" s="697" customFormat="1" customHeight="1" spans="1:77">
      <c r="A655" s="116">
        <v>46139</v>
      </c>
      <c r="B655" s="116">
        <v>46199</v>
      </c>
      <c r="C655" s="418" t="s">
        <v>787</v>
      </c>
      <c r="D655" s="418" t="s">
        <v>788</v>
      </c>
      <c r="E655" s="418" t="s">
        <v>175</v>
      </c>
      <c r="F655" s="737">
        <v>96</v>
      </c>
      <c r="G655" s="418" t="s">
        <v>341</v>
      </c>
      <c r="H655" s="118" t="str">
        <f>IFERROR(VLOOKUP(E655,名称!A:E,4,0),"")</f>
        <v>三代</v>
      </c>
      <c r="I655" s="418" t="str">
        <f t="shared" si="798"/>
        <v/>
      </c>
      <c r="J655" s="418" t="str">
        <f t="shared" si="799"/>
        <v/>
      </c>
      <c r="K655" s="418" t="str">
        <f t="shared" si="800"/>
        <v/>
      </c>
      <c r="L655" s="418" t="str">
        <f t="shared" si="801"/>
        <v/>
      </c>
      <c r="M655" s="418" t="str">
        <f t="shared" si="802"/>
        <v/>
      </c>
      <c r="N655" s="418" t="str">
        <f t="shared" si="803"/>
        <v/>
      </c>
      <c r="O655" s="418" t="str">
        <f t="shared" si="804"/>
        <v/>
      </c>
      <c r="P655" s="418" t="str">
        <f t="shared" si="805"/>
        <v/>
      </c>
      <c r="Q655" s="418" t="str">
        <f t="shared" si="806"/>
        <v/>
      </c>
      <c r="R655" s="418" t="str">
        <f t="shared" si="807"/>
        <v/>
      </c>
      <c r="S655" s="418" t="str">
        <f t="shared" si="808"/>
        <v/>
      </c>
      <c r="T655" s="418" t="str">
        <f t="shared" si="809"/>
        <v/>
      </c>
      <c r="U655" s="418" t="str">
        <f t="shared" si="810"/>
        <v/>
      </c>
      <c r="V655" s="418" t="str">
        <f t="shared" si="811"/>
        <v/>
      </c>
      <c r="W655" s="418" t="str">
        <f t="shared" si="812"/>
        <v/>
      </c>
      <c r="X655" s="418" t="str">
        <f t="shared" si="813"/>
        <v/>
      </c>
      <c r="Y655" s="418" t="str">
        <f t="shared" si="814"/>
        <v/>
      </c>
      <c r="Z655" s="418" t="str">
        <f t="shared" si="815"/>
        <v/>
      </c>
      <c r="AA655" s="418" t="str">
        <f t="shared" si="816"/>
        <v/>
      </c>
      <c r="AB655" s="418" t="str">
        <f t="shared" si="817"/>
        <v/>
      </c>
      <c r="AC655" s="418" t="str">
        <f t="shared" si="818"/>
        <v/>
      </c>
      <c r="AD655" s="418" t="str">
        <f t="shared" si="819"/>
        <v/>
      </c>
      <c r="AE655" s="418" t="str">
        <f t="shared" si="820"/>
        <v/>
      </c>
      <c r="AF655" s="418" t="str">
        <f t="shared" si="821"/>
        <v/>
      </c>
      <c r="AG655" s="418" t="str">
        <f t="shared" si="822"/>
        <v/>
      </c>
      <c r="AH655" s="418" t="str">
        <f t="shared" si="823"/>
        <v/>
      </c>
      <c r="AI655" s="418" t="str">
        <f t="shared" si="824"/>
        <v/>
      </c>
      <c r="AJ655" s="418" t="str">
        <f t="shared" si="825"/>
        <v/>
      </c>
      <c r="AK655" s="418" t="str">
        <f t="shared" si="826"/>
        <v/>
      </c>
      <c r="AL655" s="418" t="str">
        <f t="shared" si="827"/>
        <v/>
      </c>
      <c r="AM655" s="418" t="str">
        <f t="shared" si="828"/>
        <v/>
      </c>
      <c r="AN655" s="418" t="str">
        <f t="shared" si="829"/>
        <v/>
      </c>
      <c r="AO655" s="418" t="str">
        <f t="shared" si="830"/>
        <v/>
      </c>
      <c r="AP655" s="418" t="str">
        <f t="shared" si="831"/>
        <v/>
      </c>
      <c r="AQ655" s="418" t="str">
        <f t="shared" si="832"/>
        <v/>
      </c>
      <c r="AR655" s="418" t="str">
        <f t="shared" si="833"/>
        <v/>
      </c>
      <c r="AS655" s="418" t="str">
        <f t="shared" si="834"/>
        <v/>
      </c>
      <c r="AT655" s="418" t="str">
        <f t="shared" si="835"/>
        <v/>
      </c>
      <c r="AU655" s="418" t="str">
        <f t="shared" si="836"/>
        <v/>
      </c>
      <c r="AV655" s="418" t="str">
        <f t="shared" si="837"/>
        <v/>
      </c>
      <c r="AW655" s="418" t="str">
        <f t="shared" si="838"/>
        <v/>
      </c>
      <c r="AX655" s="418" t="str">
        <f t="shared" si="839"/>
        <v/>
      </c>
      <c r="AY655" s="418" t="str">
        <f t="shared" si="840"/>
        <v/>
      </c>
      <c r="AZ655" s="418" t="str">
        <f t="shared" si="841"/>
        <v/>
      </c>
      <c r="BA655" s="418" t="str">
        <f t="shared" si="842"/>
        <v/>
      </c>
      <c r="BB655" s="418">
        <f t="shared" si="843"/>
        <v>96</v>
      </c>
      <c r="BC655" s="418" t="str">
        <f t="shared" si="844"/>
        <v/>
      </c>
      <c r="BD655" s="418" t="str">
        <f t="shared" si="845"/>
        <v/>
      </c>
      <c r="BE655" s="418" t="str">
        <f t="shared" si="846"/>
        <v/>
      </c>
      <c r="BF655" s="418" t="str">
        <f t="shared" si="847"/>
        <v/>
      </c>
      <c r="BG655" s="418" t="str">
        <f t="shared" si="848"/>
        <v/>
      </c>
      <c r="BH655" s="418" t="str">
        <f t="shared" si="849"/>
        <v/>
      </c>
      <c r="BI655" s="418" t="str">
        <f t="shared" si="850"/>
        <v/>
      </c>
      <c r="BJ655" s="418" t="str">
        <f t="shared" si="851"/>
        <v/>
      </c>
      <c r="BK655" s="418" t="str">
        <f t="shared" ref="BK655:BS655" si="873">IF(OR($E655="",BK$1=""),"",IF(TRIM(LEFT($E655,MIN(IFERROR(FIND("CDU",UPPER($E655)),999),IFERROR(FIND("BULK",UPPER($E655)),999),IFERROR(FIND("-",$E655),999),IFERROR(FIND("（",$E655),999))-1))=BK$1,$F655,""))</f>
        <v/>
      </c>
      <c r="BL655" s="418" t="str">
        <f t="shared" si="873"/>
        <v/>
      </c>
      <c r="BM655" s="418" t="str">
        <f t="shared" si="873"/>
        <v/>
      </c>
      <c r="BN655" s="418" t="str">
        <f t="shared" si="873"/>
        <v/>
      </c>
      <c r="BO655" s="418" t="str">
        <f t="shared" si="873"/>
        <v/>
      </c>
      <c r="BP655" s="418" t="str">
        <f t="shared" si="873"/>
        <v/>
      </c>
      <c r="BQ655" s="418" t="str">
        <f t="shared" si="873"/>
        <v/>
      </c>
      <c r="BR655" s="418" t="str">
        <f t="shared" si="873"/>
        <v/>
      </c>
      <c r="BS655" s="418" t="str">
        <f t="shared" si="873"/>
        <v/>
      </c>
      <c r="BT655" s="418" t="str">
        <f t="shared" si="853"/>
        <v/>
      </c>
      <c r="BU655" s="418" t="str">
        <f t="shared" si="854"/>
        <v/>
      </c>
      <c r="BV655" s="544">
        <v>1.3</v>
      </c>
      <c r="BW655" s="723">
        <f t="shared" si="855"/>
        <v>124.8</v>
      </c>
      <c r="BX655" s="724">
        <f t="shared" si="856"/>
        <v>967.2</v>
      </c>
      <c r="BY655" s="725" t="str">
        <f t="shared" si="857"/>
        <v>SR</v>
      </c>
    </row>
    <row r="656" s="697" customFormat="1" customHeight="1" spans="1:77">
      <c r="A656" s="116">
        <v>46139</v>
      </c>
      <c r="B656" s="116">
        <v>46199</v>
      </c>
      <c r="C656" s="418" t="s">
        <v>787</v>
      </c>
      <c r="D656" s="418" t="s">
        <v>788</v>
      </c>
      <c r="E656" s="418" t="s">
        <v>176</v>
      </c>
      <c r="F656" s="737">
        <v>96</v>
      </c>
      <c r="G656" s="418" t="s">
        <v>341</v>
      </c>
      <c r="H656" s="118" t="str">
        <f>IFERROR(VLOOKUP(E656,名称!A:E,4,0),"")</f>
        <v>三代</v>
      </c>
      <c r="I656" s="418" t="str">
        <f t="shared" si="798"/>
        <v/>
      </c>
      <c r="J656" s="418" t="str">
        <f t="shared" si="799"/>
        <v/>
      </c>
      <c r="K656" s="418" t="str">
        <f t="shared" si="800"/>
        <v/>
      </c>
      <c r="L656" s="418" t="str">
        <f t="shared" si="801"/>
        <v/>
      </c>
      <c r="M656" s="418" t="str">
        <f t="shared" si="802"/>
        <v/>
      </c>
      <c r="N656" s="418" t="str">
        <f t="shared" si="803"/>
        <v/>
      </c>
      <c r="O656" s="418" t="str">
        <f t="shared" si="804"/>
        <v/>
      </c>
      <c r="P656" s="418" t="str">
        <f t="shared" si="805"/>
        <v/>
      </c>
      <c r="Q656" s="418" t="str">
        <f t="shared" si="806"/>
        <v/>
      </c>
      <c r="R656" s="418" t="str">
        <f t="shared" si="807"/>
        <v/>
      </c>
      <c r="S656" s="418" t="str">
        <f t="shared" si="808"/>
        <v/>
      </c>
      <c r="T656" s="418" t="str">
        <f t="shared" si="809"/>
        <v/>
      </c>
      <c r="U656" s="418" t="str">
        <f t="shared" si="810"/>
        <v/>
      </c>
      <c r="V656" s="418" t="str">
        <f t="shared" si="811"/>
        <v/>
      </c>
      <c r="W656" s="418" t="str">
        <f t="shared" si="812"/>
        <v/>
      </c>
      <c r="X656" s="418" t="str">
        <f t="shared" si="813"/>
        <v/>
      </c>
      <c r="Y656" s="418" t="str">
        <f t="shared" si="814"/>
        <v/>
      </c>
      <c r="Z656" s="418" t="str">
        <f t="shared" si="815"/>
        <v/>
      </c>
      <c r="AA656" s="418" t="str">
        <f t="shared" si="816"/>
        <v/>
      </c>
      <c r="AB656" s="418" t="str">
        <f t="shared" si="817"/>
        <v/>
      </c>
      <c r="AC656" s="418" t="str">
        <f t="shared" si="818"/>
        <v/>
      </c>
      <c r="AD656" s="418" t="str">
        <f t="shared" si="819"/>
        <v/>
      </c>
      <c r="AE656" s="418" t="str">
        <f t="shared" si="820"/>
        <v/>
      </c>
      <c r="AF656" s="418" t="str">
        <f t="shared" si="821"/>
        <v/>
      </c>
      <c r="AG656" s="418" t="str">
        <f t="shared" si="822"/>
        <v/>
      </c>
      <c r="AH656" s="418" t="str">
        <f t="shared" si="823"/>
        <v/>
      </c>
      <c r="AI656" s="418" t="str">
        <f t="shared" si="824"/>
        <v/>
      </c>
      <c r="AJ656" s="418" t="str">
        <f t="shared" si="825"/>
        <v/>
      </c>
      <c r="AK656" s="418" t="str">
        <f t="shared" si="826"/>
        <v/>
      </c>
      <c r="AL656" s="418" t="str">
        <f t="shared" si="827"/>
        <v/>
      </c>
      <c r="AM656" s="418" t="str">
        <f t="shared" si="828"/>
        <v/>
      </c>
      <c r="AN656" s="418" t="str">
        <f t="shared" si="829"/>
        <v/>
      </c>
      <c r="AO656" s="418" t="str">
        <f t="shared" si="830"/>
        <v/>
      </c>
      <c r="AP656" s="418" t="str">
        <f t="shared" si="831"/>
        <v/>
      </c>
      <c r="AQ656" s="418" t="str">
        <f t="shared" si="832"/>
        <v/>
      </c>
      <c r="AR656" s="418" t="str">
        <f t="shared" si="833"/>
        <v/>
      </c>
      <c r="AS656" s="418" t="str">
        <f t="shared" si="834"/>
        <v/>
      </c>
      <c r="AT656" s="418" t="str">
        <f t="shared" si="835"/>
        <v/>
      </c>
      <c r="AU656" s="418" t="str">
        <f t="shared" si="836"/>
        <v/>
      </c>
      <c r="AV656" s="418" t="str">
        <f t="shared" si="837"/>
        <v/>
      </c>
      <c r="AW656" s="418" t="str">
        <f t="shared" si="838"/>
        <v/>
      </c>
      <c r="AX656" s="418" t="str">
        <f t="shared" si="839"/>
        <v/>
      </c>
      <c r="AY656" s="418" t="str">
        <f t="shared" si="840"/>
        <v/>
      </c>
      <c r="AZ656" s="418" t="str">
        <f t="shared" si="841"/>
        <v/>
      </c>
      <c r="BA656" s="418" t="str">
        <f t="shared" si="842"/>
        <v/>
      </c>
      <c r="BB656" s="418">
        <f t="shared" si="843"/>
        <v>96</v>
      </c>
      <c r="BC656" s="418" t="str">
        <f t="shared" si="844"/>
        <v/>
      </c>
      <c r="BD656" s="418" t="str">
        <f t="shared" si="845"/>
        <v/>
      </c>
      <c r="BE656" s="418" t="str">
        <f t="shared" si="846"/>
        <v/>
      </c>
      <c r="BF656" s="418" t="str">
        <f t="shared" si="847"/>
        <v/>
      </c>
      <c r="BG656" s="418" t="str">
        <f t="shared" si="848"/>
        <v/>
      </c>
      <c r="BH656" s="418" t="str">
        <f t="shared" si="849"/>
        <v/>
      </c>
      <c r="BI656" s="418" t="str">
        <f t="shared" si="850"/>
        <v/>
      </c>
      <c r="BJ656" s="418" t="str">
        <f t="shared" si="851"/>
        <v/>
      </c>
      <c r="BK656" s="418" t="str">
        <f t="shared" ref="BK656:BS656" si="874">IF(OR($E656="",BK$1=""),"",IF(TRIM(LEFT($E656,MIN(IFERROR(FIND("CDU",UPPER($E656)),999),IFERROR(FIND("BULK",UPPER($E656)),999),IFERROR(FIND("-",$E656),999),IFERROR(FIND("（",$E656),999))-1))=BK$1,$F656,""))</f>
        <v/>
      </c>
      <c r="BL656" s="418" t="str">
        <f t="shared" si="874"/>
        <v/>
      </c>
      <c r="BM656" s="418" t="str">
        <f t="shared" si="874"/>
        <v/>
      </c>
      <c r="BN656" s="418" t="str">
        <f t="shared" si="874"/>
        <v/>
      </c>
      <c r="BO656" s="418" t="str">
        <f t="shared" si="874"/>
        <v/>
      </c>
      <c r="BP656" s="418" t="str">
        <f t="shared" si="874"/>
        <v/>
      </c>
      <c r="BQ656" s="418" t="str">
        <f t="shared" si="874"/>
        <v/>
      </c>
      <c r="BR656" s="418" t="str">
        <f t="shared" si="874"/>
        <v/>
      </c>
      <c r="BS656" s="418" t="str">
        <f t="shared" si="874"/>
        <v/>
      </c>
      <c r="BT656" s="418" t="str">
        <f t="shared" si="853"/>
        <v/>
      </c>
      <c r="BU656" s="418" t="str">
        <f t="shared" si="854"/>
        <v/>
      </c>
      <c r="BV656" s="544">
        <v>1.3</v>
      </c>
      <c r="BW656" s="723">
        <f t="shared" si="855"/>
        <v>124.8</v>
      </c>
      <c r="BX656" s="724">
        <f t="shared" si="856"/>
        <v>967.2</v>
      </c>
      <c r="BY656" s="725" t="str">
        <f t="shared" si="857"/>
        <v>SR</v>
      </c>
    </row>
    <row r="657" s="697" customFormat="1" customHeight="1" spans="1:77">
      <c r="A657" s="116">
        <v>46139</v>
      </c>
      <c r="B657" s="116">
        <v>46199</v>
      </c>
      <c r="C657" s="418" t="s">
        <v>787</v>
      </c>
      <c r="D657" s="418" t="s">
        <v>788</v>
      </c>
      <c r="E657" s="418" t="s">
        <v>177</v>
      </c>
      <c r="F657" s="737">
        <v>96</v>
      </c>
      <c r="G657" s="418" t="s">
        <v>341</v>
      </c>
      <c r="H657" s="118" t="str">
        <f>IFERROR(VLOOKUP(E657,名称!A:E,4,0),"")</f>
        <v>三代</v>
      </c>
      <c r="I657" s="418" t="str">
        <f t="shared" si="798"/>
        <v/>
      </c>
      <c r="J657" s="418" t="str">
        <f t="shared" si="799"/>
        <v/>
      </c>
      <c r="K657" s="418" t="str">
        <f t="shared" si="800"/>
        <v/>
      </c>
      <c r="L657" s="418" t="str">
        <f t="shared" si="801"/>
        <v/>
      </c>
      <c r="M657" s="418" t="str">
        <f t="shared" si="802"/>
        <v/>
      </c>
      <c r="N657" s="418" t="str">
        <f t="shared" si="803"/>
        <v/>
      </c>
      <c r="O657" s="418" t="str">
        <f t="shared" si="804"/>
        <v/>
      </c>
      <c r="P657" s="418" t="str">
        <f t="shared" si="805"/>
        <v/>
      </c>
      <c r="Q657" s="418" t="str">
        <f t="shared" si="806"/>
        <v/>
      </c>
      <c r="R657" s="418" t="str">
        <f t="shared" si="807"/>
        <v/>
      </c>
      <c r="S657" s="418" t="str">
        <f t="shared" si="808"/>
        <v/>
      </c>
      <c r="T657" s="418" t="str">
        <f t="shared" si="809"/>
        <v/>
      </c>
      <c r="U657" s="418" t="str">
        <f t="shared" si="810"/>
        <v/>
      </c>
      <c r="V657" s="418" t="str">
        <f t="shared" si="811"/>
        <v/>
      </c>
      <c r="W657" s="418" t="str">
        <f t="shared" si="812"/>
        <v/>
      </c>
      <c r="X657" s="418" t="str">
        <f t="shared" si="813"/>
        <v/>
      </c>
      <c r="Y657" s="418" t="str">
        <f t="shared" si="814"/>
        <v/>
      </c>
      <c r="Z657" s="418" t="str">
        <f t="shared" si="815"/>
        <v/>
      </c>
      <c r="AA657" s="418" t="str">
        <f t="shared" si="816"/>
        <v/>
      </c>
      <c r="AB657" s="418" t="str">
        <f t="shared" si="817"/>
        <v/>
      </c>
      <c r="AC657" s="418" t="str">
        <f t="shared" si="818"/>
        <v/>
      </c>
      <c r="AD657" s="418" t="str">
        <f t="shared" si="819"/>
        <v/>
      </c>
      <c r="AE657" s="418" t="str">
        <f t="shared" si="820"/>
        <v/>
      </c>
      <c r="AF657" s="418" t="str">
        <f t="shared" si="821"/>
        <v/>
      </c>
      <c r="AG657" s="418" t="str">
        <f t="shared" si="822"/>
        <v/>
      </c>
      <c r="AH657" s="418" t="str">
        <f t="shared" si="823"/>
        <v/>
      </c>
      <c r="AI657" s="418" t="str">
        <f t="shared" si="824"/>
        <v/>
      </c>
      <c r="AJ657" s="418" t="str">
        <f t="shared" si="825"/>
        <v/>
      </c>
      <c r="AK657" s="418" t="str">
        <f t="shared" si="826"/>
        <v/>
      </c>
      <c r="AL657" s="418" t="str">
        <f t="shared" si="827"/>
        <v/>
      </c>
      <c r="AM657" s="418" t="str">
        <f t="shared" si="828"/>
        <v/>
      </c>
      <c r="AN657" s="418" t="str">
        <f t="shared" si="829"/>
        <v/>
      </c>
      <c r="AO657" s="418" t="str">
        <f t="shared" si="830"/>
        <v/>
      </c>
      <c r="AP657" s="418" t="str">
        <f t="shared" si="831"/>
        <v/>
      </c>
      <c r="AQ657" s="418" t="str">
        <f t="shared" si="832"/>
        <v/>
      </c>
      <c r="AR657" s="418" t="str">
        <f t="shared" si="833"/>
        <v/>
      </c>
      <c r="AS657" s="418" t="str">
        <f t="shared" si="834"/>
        <v/>
      </c>
      <c r="AT657" s="418" t="str">
        <f t="shared" si="835"/>
        <v/>
      </c>
      <c r="AU657" s="418" t="str">
        <f t="shared" si="836"/>
        <v/>
      </c>
      <c r="AV657" s="418" t="str">
        <f t="shared" si="837"/>
        <v/>
      </c>
      <c r="AW657" s="418" t="str">
        <f t="shared" si="838"/>
        <v/>
      </c>
      <c r="AX657" s="418" t="str">
        <f t="shared" si="839"/>
        <v/>
      </c>
      <c r="AY657" s="418" t="str">
        <f t="shared" si="840"/>
        <v/>
      </c>
      <c r="AZ657" s="418" t="str">
        <f t="shared" si="841"/>
        <v/>
      </c>
      <c r="BA657" s="418" t="str">
        <f t="shared" si="842"/>
        <v/>
      </c>
      <c r="BB657" s="418">
        <f t="shared" si="843"/>
        <v>96</v>
      </c>
      <c r="BC657" s="418" t="str">
        <f t="shared" si="844"/>
        <v/>
      </c>
      <c r="BD657" s="418" t="str">
        <f t="shared" si="845"/>
        <v/>
      </c>
      <c r="BE657" s="418" t="str">
        <f t="shared" si="846"/>
        <v/>
      </c>
      <c r="BF657" s="418" t="str">
        <f t="shared" si="847"/>
        <v/>
      </c>
      <c r="BG657" s="418" t="str">
        <f t="shared" si="848"/>
        <v/>
      </c>
      <c r="BH657" s="418" t="str">
        <f t="shared" si="849"/>
        <v/>
      </c>
      <c r="BI657" s="418" t="str">
        <f t="shared" si="850"/>
        <v/>
      </c>
      <c r="BJ657" s="418" t="str">
        <f t="shared" si="851"/>
        <v/>
      </c>
      <c r="BK657" s="418" t="str">
        <f t="shared" ref="BK657:BS657" si="875">IF(OR($E657="",BK$1=""),"",IF(TRIM(LEFT($E657,MIN(IFERROR(FIND("CDU",UPPER($E657)),999),IFERROR(FIND("BULK",UPPER($E657)),999),IFERROR(FIND("-",$E657),999),IFERROR(FIND("（",$E657),999))-1))=BK$1,$F657,""))</f>
        <v/>
      </c>
      <c r="BL657" s="418" t="str">
        <f t="shared" si="875"/>
        <v/>
      </c>
      <c r="BM657" s="418" t="str">
        <f t="shared" si="875"/>
        <v/>
      </c>
      <c r="BN657" s="418" t="str">
        <f t="shared" si="875"/>
        <v/>
      </c>
      <c r="BO657" s="418" t="str">
        <f t="shared" si="875"/>
        <v/>
      </c>
      <c r="BP657" s="418" t="str">
        <f t="shared" si="875"/>
        <v/>
      </c>
      <c r="BQ657" s="418" t="str">
        <f t="shared" si="875"/>
        <v/>
      </c>
      <c r="BR657" s="418" t="str">
        <f t="shared" si="875"/>
        <v/>
      </c>
      <c r="BS657" s="418" t="str">
        <f t="shared" si="875"/>
        <v/>
      </c>
      <c r="BT657" s="418" t="str">
        <f t="shared" si="853"/>
        <v/>
      </c>
      <c r="BU657" s="418" t="str">
        <f t="shared" si="854"/>
        <v/>
      </c>
      <c r="BV657" s="544">
        <v>1.3</v>
      </c>
      <c r="BW657" s="723">
        <f t="shared" si="855"/>
        <v>124.8</v>
      </c>
      <c r="BX657" s="724">
        <f t="shared" si="856"/>
        <v>967.2</v>
      </c>
      <c r="BY657" s="725" t="str">
        <f t="shared" si="857"/>
        <v>SR</v>
      </c>
    </row>
    <row r="658" s="697" customFormat="1" customHeight="1" spans="1:77">
      <c r="A658" s="116">
        <v>46139</v>
      </c>
      <c r="B658" s="116">
        <v>46199</v>
      </c>
      <c r="C658" s="418" t="s">
        <v>787</v>
      </c>
      <c r="D658" s="418" t="s">
        <v>788</v>
      </c>
      <c r="E658" s="418" t="s">
        <v>152</v>
      </c>
      <c r="F658" s="737">
        <v>192</v>
      </c>
      <c r="G658" s="418" t="s">
        <v>341</v>
      </c>
      <c r="H658" s="118" t="str">
        <f>IFERROR(VLOOKUP(E658,名称!A:E,4,0),"")</f>
        <v>三代</v>
      </c>
      <c r="I658" s="418" t="str">
        <f t="shared" si="798"/>
        <v/>
      </c>
      <c r="J658" s="418" t="str">
        <f t="shared" si="799"/>
        <v/>
      </c>
      <c r="K658" s="418" t="str">
        <f t="shared" si="800"/>
        <v/>
      </c>
      <c r="L658" s="418" t="str">
        <f t="shared" si="801"/>
        <v/>
      </c>
      <c r="M658" s="418" t="str">
        <f t="shared" si="802"/>
        <v/>
      </c>
      <c r="N658" s="418" t="str">
        <f t="shared" si="803"/>
        <v/>
      </c>
      <c r="O658" s="418" t="str">
        <f t="shared" si="804"/>
        <v/>
      </c>
      <c r="P658" s="418" t="str">
        <f t="shared" si="805"/>
        <v/>
      </c>
      <c r="Q658" s="418" t="str">
        <f t="shared" si="806"/>
        <v/>
      </c>
      <c r="R658" s="418" t="str">
        <f t="shared" si="807"/>
        <v/>
      </c>
      <c r="S658" s="418" t="str">
        <f t="shared" si="808"/>
        <v/>
      </c>
      <c r="T658" s="418" t="str">
        <f t="shared" si="809"/>
        <v/>
      </c>
      <c r="U658" s="418" t="str">
        <f t="shared" si="810"/>
        <v/>
      </c>
      <c r="V658" s="418" t="str">
        <f t="shared" si="811"/>
        <v/>
      </c>
      <c r="W658" s="418" t="str">
        <f t="shared" si="812"/>
        <v/>
      </c>
      <c r="X658" s="418" t="str">
        <f t="shared" si="813"/>
        <v/>
      </c>
      <c r="Y658" s="418" t="str">
        <f t="shared" si="814"/>
        <v/>
      </c>
      <c r="Z658" s="418" t="str">
        <f t="shared" si="815"/>
        <v/>
      </c>
      <c r="AA658" s="418" t="str">
        <f t="shared" si="816"/>
        <v/>
      </c>
      <c r="AB658" s="418" t="str">
        <f t="shared" si="817"/>
        <v/>
      </c>
      <c r="AC658" s="418" t="str">
        <f t="shared" si="818"/>
        <v/>
      </c>
      <c r="AD658" s="418" t="str">
        <f t="shared" si="819"/>
        <v/>
      </c>
      <c r="AE658" s="418" t="str">
        <f t="shared" si="820"/>
        <v/>
      </c>
      <c r="AF658" s="418" t="str">
        <f t="shared" si="821"/>
        <v/>
      </c>
      <c r="AG658" s="418" t="str">
        <f t="shared" si="822"/>
        <v/>
      </c>
      <c r="AH658" s="418" t="str">
        <f t="shared" si="823"/>
        <v/>
      </c>
      <c r="AI658" s="418" t="str">
        <f t="shared" si="824"/>
        <v/>
      </c>
      <c r="AJ658" s="418" t="str">
        <f t="shared" si="825"/>
        <v/>
      </c>
      <c r="AK658" s="418" t="str">
        <f t="shared" si="826"/>
        <v/>
      </c>
      <c r="AL658" s="418" t="str">
        <f t="shared" si="827"/>
        <v/>
      </c>
      <c r="AM658" s="418">
        <f t="shared" si="828"/>
        <v>192</v>
      </c>
      <c r="AN658" s="418" t="str">
        <f t="shared" si="829"/>
        <v/>
      </c>
      <c r="AO658" s="418" t="str">
        <f t="shared" si="830"/>
        <v/>
      </c>
      <c r="AP658" s="418" t="str">
        <f t="shared" si="831"/>
        <v/>
      </c>
      <c r="AQ658" s="418" t="str">
        <f t="shared" si="832"/>
        <v/>
      </c>
      <c r="AR658" s="418" t="str">
        <f t="shared" si="833"/>
        <v/>
      </c>
      <c r="AS658" s="418" t="str">
        <f t="shared" si="834"/>
        <v/>
      </c>
      <c r="AT658" s="418" t="str">
        <f t="shared" si="835"/>
        <v/>
      </c>
      <c r="AU658" s="418" t="str">
        <f t="shared" si="836"/>
        <v/>
      </c>
      <c r="AV658" s="418" t="str">
        <f t="shared" si="837"/>
        <v/>
      </c>
      <c r="AW658" s="418" t="str">
        <f t="shared" si="838"/>
        <v/>
      </c>
      <c r="AX658" s="418" t="str">
        <f t="shared" si="839"/>
        <v/>
      </c>
      <c r="AY658" s="418" t="str">
        <f t="shared" si="840"/>
        <v/>
      </c>
      <c r="AZ658" s="418" t="str">
        <f t="shared" si="841"/>
        <v/>
      </c>
      <c r="BA658" s="418" t="str">
        <f t="shared" si="842"/>
        <v/>
      </c>
      <c r="BB658" s="418" t="str">
        <f t="shared" si="843"/>
        <v/>
      </c>
      <c r="BC658" s="418" t="str">
        <f t="shared" si="844"/>
        <v/>
      </c>
      <c r="BD658" s="418" t="str">
        <f t="shared" si="845"/>
        <v/>
      </c>
      <c r="BE658" s="418" t="str">
        <f t="shared" si="846"/>
        <v/>
      </c>
      <c r="BF658" s="418" t="str">
        <f t="shared" si="847"/>
        <v/>
      </c>
      <c r="BG658" s="418" t="str">
        <f t="shared" si="848"/>
        <v/>
      </c>
      <c r="BH658" s="418" t="str">
        <f t="shared" si="849"/>
        <v/>
      </c>
      <c r="BI658" s="418" t="str">
        <f t="shared" si="850"/>
        <v/>
      </c>
      <c r="BJ658" s="418" t="str">
        <f t="shared" si="851"/>
        <v/>
      </c>
      <c r="BK658" s="418" t="str">
        <f t="shared" ref="BK658:BS658" si="876">IF(OR($E658="",BK$1=""),"",IF(TRIM(LEFT($E658,MIN(IFERROR(FIND("CDU",UPPER($E658)),999),IFERROR(FIND("BULK",UPPER($E658)),999),IFERROR(FIND("-",$E658),999),IFERROR(FIND("（",$E658),999))-1))=BK$1,$F658,""))</f>
        <v/>
      </c>
      <c r="BL658" s="418" t="str">
        <f t="shared" si="876"/>
        <v/>
      </c>
      <c r="BM658" s="418" t="str">
        <f t="shared" si="876"/>
        <v/>
      </c>
      <c r="BN658" s="418" t="str">
        <f t="shared" si="876"/>
        <v/>
      </c>
      <c r="BO658" s="418" t="str">
        <f t="shared" si="876"/>
        <v/>
      </c>
      <c r="BP658" s="418" t="str">
        <f t="shared" si="876"/>
        <v/>
      </c>
      <c r="BQ658" s="418" t="str">
        <f t="shared" si="876"/>
        <v/>
      </c>
      <c r="BR658" s="418" t="str">
        <f t="shared" si="876"/>
        <v/>
      </c>
      <c r="BS658" s="418" t="str">
        <f t="shared" si="876"/>
        <v/>
      </c>
      <c r="BT658" s="418" t="str">
        <f t="shared" si="853"/>
        <v/>
      </c>
      <c r="BU658" s="418" t="str">
        <f t="shared" si="854"/>
        <v/>
      </c>
      <c r="BV658" s="544">
        <v>1.27</v>
      </c>
      <c r="BW658" s="723">
        <f t="shared" si="855"/>
        <v>243.84</v>
      </c>
      <c r="BX658" s="724">
        <f t="shared" si="856"/>
        <v>1889.76</v>
      </c>
      <c r="BY658" s="725" t="str">
        <f t="shared" si="857"/>
        <v>SR</v>
      </c>
    </row>
    <row r="659" s="697" customFormat="1" customHeight="1" spans="1:77">
      <c r="A659" s="116">
        <v>46139</v>
      </c>
      <c r="B659" s="116">
        <v>46199</v>
      </c>
      <c r="C659" s="418" t="s">
        <v>787</v>
      </c>
      <c r="D659" s="418" t="s">
        <v>788</v>
      </c>
      <c r="E659" s="418" t="s">
        <v>153</v>
      </c>
      <c r="F659" s="737">
        <v>192</v>
      </c>
      <c r="G659" s="418" t="s">
        <v>341</v>
      </c>
      <c r="H659" s="118" t="str">
        <f>IFERROR(VLOOKUP(E659,名称!A:E,4,0),"")</f>
        <v>三代</v>
      </c>
      <c r="I659" s="418" t="str">
        <f t="shared" si="798"/>
        <v/>
      </c>
      <c r="J659" s="418" t="str">
        <f t="shared" si="799"/>
        <v/>
      </c>
      <c r="K659" s="418" t="str">
        <f t="shared" si="800"/>
        <v/>
      </c>
      <c r="L659" s="418" t="str">
        <f t="shared" si="801"/>
        <v/>
      </c>
      <c r="M659" s="418" t="str">
        <f t="shared" si="802"/>
        <v/>
      </c>
      <c r="N659" s="418" t="str">
        <f t="shared" si="803"/>
        <v/>
      </c>
      <c r="O659" s="418" t="str">
        <f t="shared" si="804"/>
        <v/>
      </c>
      <c r="P659" s="418" t="str">
        <f t="shared" si="805"/>
        <v/>
      </c>
      <c r="Q659" s="418" t="str">
        <f t="shared" si="806"/>
        <v/>
      </c>
      <c r="R659" s="418" t="str">
        <f t="shared" si="807"/>
        <v/>
      </c>
      <c r="S659" s="418" t="str">
        <f t="shared" si="808"/>
        <v/>
      </c>
      <c r="T659" s="418" t="str">
        <f t="shared" si="809"/>
        <v/>
      </c>
      <c r="U659" s="418" t="str">
        <f t="shared" si="810"/>
        <v/>
      </c>
      <c r="V659" s="418" t="str">
        <f t="shared" si="811"/>
        <v/>
      </c>
      <c r="W659" s="418" t="str">
        <f t="shared" si="812"/>
        <v/>
      </c>
      <c r="X659" s="418" t="str">
        <f t="shared" si="813"/>
        <v/>
      </c>
      <c r="Y659" s="418" t="str">
        <f t="shared" si="814"/>
        <v/>
      </c>
      <c r="Z659" s="418" t="str">
        <f t="shared" si="815"/>
        <v/>
      </c>
      <c r="AA659" s="418" t="str">
        <f t="shared" si="816"/>
        <v/>
      </c>
      <c r="AB659" s="418" t="str">
        <f t="shared" si="817"/>
        <v/>
      </c>
      <c r="AC659" s="418" t="str">
        <f t="shared" si="818"/>
        <v/>
      </c>
      <c r="AD659" s="418" t="str">
        <f t="shared" si="819"/>
        <v/>
      </c>
      <c r="AE659" s="418" t="str">
        <f t="shared" si="820"/>
        <v/>
      </c>
      <c r="AF659" s="418" t="str">
        <f t="shared" si="821"/>
        <v/>
      </c>
      <c r="AG659" s="418" t="str">
        <f t="shared" si="822"/>
        <v/>
      </c>
      <c r="AH659" s="418" t="str">
        <f t="shared" si="823"/>
        <v/>
      </c>
      <c r="AI659" s="418" t="str">
        <f t="shared" si="824"/>
        <v/>
      </c>
      <c r="AJ659" s="418" t="str">
        <f t="shared" si="825"/>
        <v/>
      </c>
      <c r="AK659" s="418" t="str">
        <f t="shared" si="826"/>
        <v/>
      </c>
      <c r="AL659" s="418" t="str">
        <f t="shared" si="827"/>
        <v/>
      </c>
      <c r="AM659" s="418">
        <f t="shared" si="828"/>
        <v>192</v>
      </c>
      <c r="AN659" s="418" t="str">
        <f t="shared" si="829"/>
        <v/>
      </c>
      <c r="AO659" s="418" t="str">
        <f t="shared" si="830"/>
        <v/>
      </c>
      <c r="AP659" s="418" t="str">
        <f t="shared" si="831"/>
        <v/>
      </c>
      <c r="AQ659" s="418" t="str">
        <f t="shared" si="832"/>
        <v/>
      </c>
      <c r="AR659" s="418" t="str">
        <f t="shared" si="833"/>
        <v/>
      </c>
      <c r="AS659" s="418" t="str">
        <f t="shared" si="834"/>
        <v/>
      </c>
      <c r="AT659" s="418" t="str">
        <f t="shared" si="835"/>
        <v/>
      </c>
      <c r="AU659" s="418" t="str">
        <f t="shared" si="836"/>
        <v/>
      </c>
      <c r="AV659" s="418" t="str">
        <f t="shared" si="837"/>
        <v/>
      </c>
      <c r="AW659" s="418" t="str">
        <f t="shared" si="838"/>
        <v/>
      </c>
      <c r="AX659" s="418" t="str">
        <f t="shared" si="839"/>
        <v/>
      </c>
      <c r="AY659" s="418" t="str">
        <f t="shared" si="840"/>
        <v/>
      </c>
      <c r="AZ659" s="418" t="str">
        <f t="shared" si="841"/>
        <v/>
      </c>
      <c r="BA659" s="418" t="str">
        <f t="shared" si="842"/>
        <v/>
      </c>
      <c r="BB659" s="418" t="str">
        <f t="shared" si="843"/>
        <v/>
      </c>
      <c r="BC659" s="418" t="str">
        <f t="shared" si="844"/>
        <v/>
      </c>
      <c r="BD659" s="418" t="str">
        <f t="shared" si="845"/>
        <v/>
      </c>
      <c r="BE659" s="418" t="str">
        <f t="shared" si="846"/>
        <v/>
      </c>
      <c r="BF659" s="418" t="str">
        <f t="shared" si="847"/>
        <v/>
      </c>
      <c r="BG659" s="418" t="str">
        <f t="shared" si="848"/>
        <v/>
      </c>
      <c r="BH659" s="418" t="str">
        <f t="shared" si="849"/>
        <v/>
      </c>
      <c r="BI659" s="418" t="str">
        <f t="shared" si="850"/>
        <v/>
      </c>
      <c r="BJ659" s="418" t="str">
        <f t="shared" si="851"/>
        <v/>
      </c>
      <c r="BK659" s="418" t="str">
        <f t="shared" ref="BK659:BS659" si="877">IF(OR($E659="",BK$1=""),"",IF(TRIM(LEFT($E659,MIN(IFERROR(FIND("CDU",UPPER($E659)),999),IFERROR(FIND("BULK",UPPER($E659)),999),IFERROR(FIND("-",$E659),999),IFERROR(FIND("（",$E659),999))-1))=BK$1,$F659,""))</f>
        <v/>
      </c>
      <c r="BL659" s="418" t="str">
        <f t="shared" si="877"/>
        <v/>
      </c>
      <c r="BM659" s="418" t="str">
        <f t="shared" si="877"/>
        <v/>
      </c>
      <c r="BN659" s="418" t="str">
        <f t="shared" si="877"/>
        <v/>
      </c>
      <c r="BO659" s="418" t="str">
        <f t="shared" si="877"/>
        <v/>
      </c>
      <c r="BP659" s="418" t="str">
        <f t="shared" si="877"/>
        <v/>
      </c>
      <c r="BQ659" s="418" t="str">
        <f t="shared" si="877"/>
        <v/>
      </c>
      <c r="BR659" s="418" t="str">
        <f t="shared" si="877"/>
        <v/>
      </c>
      <c r="BS659" s="418" t="str">
        <f t="shared" si="877"/>
        <v/>
      </c>
      <c r="BT659" s="418" t="str">
        <f t="shared" si="853"/>
        <v/>
      </c>
      <c r="BU659" s="418" t="str">
        <f t="shared" si="854"/>
        <v/>
      </c>
      <c r="BV659" s="544">
        <v>1.27</v>
      </c>
      <c r="BW659" s="723">
        <f t="shared" si="855"/>
        <v>243.84</v>
      </c>
      <c r="BX659" s="724">
        <f t="shared" si="856"/>
        <v>1889.76</v>
      </c>
      <c r="BY659" s="725" t="str">
        <f t="shared" si="857"/>
        <v>SR</v>
      </c>
    </row>
    <row r="660" s="697" customFormat="1" customHeight="1" spans="1:77">
      <c r="A660" s="116">
        <v>46139</v>
      </c>
      <c r="B660" s="116">
        <v>46199</v>
      </c>
      <c r="C660" s="418" t="s">
        <v>787</v>
      </c>
      <c r="D660" s="418" t="s">
        <v>788</v>
      </c>
      <c r="E660" s="418" t="s">
        <v>154</v>
      </c>
      <c r="F660" s="737">
        <v>192</v>
      </c>
      <c r="G660" s="418" t="s">
        <v>341</v>
      </c>
      <c r="H660" s="118" t="str">
        <f>IFERROR(VLOOKUP(E660,名称!A:E,4,0),"")</f>
        <v>三代</v>
      </c>
      <c r="I660" s="418" t="str">
        <f t="shared" si="798"/>
        <v/>
      </c>
      <c r="J660" s="418" t="str">
        <f t="shared" si="799"/>
        <v/>
      </c>
      <c r="K660" s="418" t="str">
        <f t="shared" si="800"/>
        <v/>
      </c>
      <c r="L660" s="418" t="str">
        <f t="shared" si="801"/>
        <v/>
      </c>
      <c r="M660" s="418" t="str">
        <f t="shared" si="802"/>
        <v/>
      </c>
      <c r="N660" s="418" t="str">
        <f t="shared" si="803"/>
        <v/>
      </c>
      <c r="O660" s="418" t="str">
        <f t="shared" si="804"/>
        <v/>
      </c>
      <c r="P660" s="418" t="str">
        <f t="shared" si="805"/>
        <v/>
      </c>
      <c r="Q660" s="418" t="str">
        <f t="shared" si="806"/>
        <v/>
      </c>
      <c r="R660" s="418" t="str">
        <f t="shared" si="807"/>
        <v/>
      </c>
      <c r="S660" s="418" t="str">
        <f t="shared" si="808"/>
        <v/>
      </c>
      <c r="T660" s="418" t="str">
        <f t="shared" si="809"/>
        <v/>
      </c>
      <c r="U660" s="418" t="str">
        <f t="shared" si="810"/>
        <v/>
      </c>
      <c r="V660" s="418" t="str">
        <f t="shared" si="811"/>
        <v/>
      </c>
      <c r="W660" s="418" t="str">
        <f t="shared" si="812"/>
        <v/>
      </c>
      <c r="X660" s="418" t="str">
        <f t="shared" si="813"/>
        <v/>
      </c>
      <c r="Y660" s="418" t="str">
        <f t="shared" si="814"/>
        <v/>
      </c>
      <c r="Z660" s="418" t="str">
        <f t="shared" si="815"/>
        <v/>
      </c>
      <c r="AA660" s="418" t="str">
        <f t="shared" si="816"/>
        <v/>
      </c>
      <c r="AB660" s="418" t="str">
        <f t="shared" si="817"/>
        <v/>
      </c>
      <c r="AC660" s="418" t="str">
        <f t="shared" si="818"/>
        <v/>
      </c>
      <c r="AD660" s="418" t="str">
        <f t="shared" si="819"/>
        <v/>
      </c>
      <c r="AE660" s="418" t="str">
        <f t="shared" si="820"/>
        <v/>
      </c>
      <c r="AF660" s="418" t="str">
        <f t="shared" si="821"/>
        <v/>
      </c>
      <c r="AG660" s="418" t="str">
        <f t="shared" si="822"/>
        <v/>
      </c>
      <c r="AH660" s="418" t="str">
        <f t="shared" si="823"/>
        <v/>
      </c>
      <c r="AI660" s="418" t="str">
        <f t="shared" si="824"/>
        <v/>
      </c>
      <c r="AJ660" s="418" t="str">
        <f t="shared" si="825"/>
        <v/>
      </c>
      <c r="AK660" s="418" t="str">
        <f t="shared" si="826"/>
        <v/>
      </c>
      <c r="AL660" s="418" t="str">
        <f t="shared" si="827"/>
        <v/>
      </c>
      <c r="AM660" s="418">
        <f t="shared" si="828"/>
        <v>192</v>
      </c>
      <c r="AN660" s="418" t="str">
        <f t="shared" si="829"/>
        <v/>
      </c>
      <c r="AO660" s="418" t="str">
        <f t="shared" si="830"/>
        <v/>
      </c>
      <c r="AP660" s="418" t="str">
        <f t="shared" si="831"/>
        <v/>
      </c>
      <c r="AQ660" s="418" t="str">
        <f t="shared" si="832"/>
        <v/>
      </c>
      <c r="AR660" s="418" t="str">
        <f t="shared" si="833"/>
        <v/>
      </c>
      <c r="AS660" s="418" t="str">
        <f t="shared" si="834"/>
        <v/>
      </c>
      <c r="AT660" s="418" t="str">
        <f t="shared" si="835"/>
        <v/>
      </c>
      <c r="AU660" s="418" t="str">
        <f t="shared" si="836"/>
        <v/>
      </c>
      <c r="AV660" s="418" t="str">
        <f t="shared" si="837"/>
        <v/>
      </c>
      <c r="AW660" s="418" t="str">
        <f t="shared" si="838"/>
        <v/>
      </c>
      <c r="AX660" s="418" t="str">
        <f t="shared" si="839"/>
        <v/>
      </c>
      <c r="AY660" s="418" t="str">
        <f t="shared" si="840"/>
        <v/>
      </c>
      <c r="AZ660" s="418" t="str">
        <f t="shared" si="841"/>
        <v/>
      </c>
      <c r="BA660" s="418" t="str">
        <f t="shared" si="842"/>
        <v/>
      </c>
      <c r="BB660" s="418" t="str">
        <f t="shared" si="843"/>
        <v/>
      </c>
      <c r="BC660" s="418" t="str">
        <f t="shared" si="844"/>
        <v/>
      </c>
      <c r="BD660" s="418" t="str">
        <f t="shared" si="845"/>
        <v/>
      </c>
      <c r="BE660" s="418" t="str">
        <f t="shared" si="846"/>
        <v/>
      </c>
      <c r="BF660" s="418" t="str">
        <f t="shared" si="847"/>
        <v/>
      </c>
      <c r="BG660" s="418" t="str">
        <f t="shared" si="848"/>
        <v/>
      </c>
      <c r="BH660" s="418" t="str">
        <f t="shared" si="849"/>
        <v/>
      </c>
      <c r="BI660" s="418" t="str">
        <f t="shared" si="850"/>
        <v/>
      </c>
      <c r="BJ660" s="418" t="str">
        <f t="shared" si="851"/>
        <v/>
      </c>
      <c r="BK660" s="418" t="str">
        <f t="shared" ref="BK660:BS660" si="878">IF(OR($E660="",BK$1=""),"",IF(TRIM(LEFT($E660,MIN(IFERROR(FIND("CDU",UPPER($E660)),999),IFERROR(FIND("BULK",UPPER($E660)),999),IFERROR(FIND("-",$E660),999),IFERROR(FIND("（",$E660),999))-1))=BK$1,$F660,""))</f>
        <v/>
      </c>
      <c r="BL660" s="418" t="str">
        <f t="shared" si="878"/>
        <v/>
      </c>
      <c r="BM660" s="418" t="str">
        <f t="shared" si="878"/>
        <v/>
      </c>
      <c r="BN660" s="418" t="str">
        <f t="shared" si="878"/>
        <v/>
      </c>
      <c r="BO660" s="418" t="str">
        <f t="shared" si="878"/>
        <v/>
      </c>
      <c r="BP660" s="418" t="str">
        <f t="shared" si="878"/>
        <v/>
      </c>
      <c r="BQ660" s="418" t="str">
        <f t="shared" si="878"/>
        <v/>
      </c>
      <c r="BR660" s="418" t="str">
        <f t="shared" si="878"/>
        <v/>
      </c>
      <c r="BS660" s="418" t="str">
        <f t="shared" si="878"/>
        <v/>
      </c>
      <c r="BT660" s="418" t="str">
        <f t="shared" si="853"/>
        <v/>
      </c>
      <c r="BU660" s="418" t="str">
        <f t="shared" si="854"/>
        <v/>
      </c>
      <c r="BV660" s="544">
        <v>1.27</v>
      </c>
      <c r="BW660" s="723">
        <f t="shared" si="855"/>
        <v>243.84</v>
      </c>
      <c r="BX660" s="724">
        <f t="shared" si="856"/>
        <v>1889.76</v>
      </c>
      <c r="BY660" s="725" t="str">
        <f t="shared" si="857"/>
        <v>SR</v>
      </c>
    </row>
    <row r="661" s="697" customFormat="1" customHeight="1" spans="1:77">
      <c r="A661" s="116">
        <v>46139</v>
      </c>
      <c r="B661" s="116">
        <v>46199</v>
      </c>
      <c r="C661" s="418" t="s">
        <v>787</v>
      </c>
      <c r="D661" s="418" t="s">
        <v>788</v>
      </c>
      <c r="E661" s="176" t="s">
        <v>160</v>
      </c>
      <c r="F661" s="142">
        <f>384/2+18</f>
        <v>210</v>
      </c>
      <c r="G661" s="418" t="s">
        <v>341</v>
      </c>
      <c r="H661" s="118" t="str">
        <f>IFERROR(VLOOKUP(E661,名称!A:E,4,0),"")</f>
        <v>三代</v>
      </c>
      <c r="I661" s="418" t="str">
        <f t="shared" si="798"/>
        <v/>
      </c>
      <c r="J661" s="418" t="str">
        <f t="shared" si="799"/>
        <v/>
      </c>
      <c r="K661" s="418" t="str">
        <f t="shared" si="800"/>
        <v/>
      </c>
      <c r="L661" s="418" t="str">
        <f t="shared" si="801"/>
        <v/>
      </c>
      <c r="M661" s="418" t="str">
        <f t="shared" si="802"/>
        <v/>
      </c>
      <c r="N661" s="418" t="str">
        <f t="shared" si="803"/>
        <v/>
      </c>
      <c r="O661" s="418" t="str">
        <f t="shared" si="804"/>
        <v/>
      </c>
      <c r="P661" s="418" t="str">
        <f t="shared" si="805"/>
        <v/>
      </c>
      <c r="Q661" s="418" t="str">
        <f t="shared" si="806"/>
        <v/>
      </c>
      <c r="R661" s="418" t="str">
        <f t="shared" si="807"/>
        <v/>
      </c>
      <c r="S661" s="418" t="str">
        <f t="shared" si="808"/>
        <v/>
      </c>
      <c r="T661" s="418" t="str">
        <f t="shared" si="809"/>
        <v/>
      </c>
      <c r="U661" s="418" t="str">
        <f t="shared" si="810"/>
        <v/>
      </c>
      <c r="V661" s="418" t="str">
        <f t="shared" si="811"/>
        <v/>
      </c>
      <c r="W661" s="418" t="str">
        <f t="shared" si="812"/>
        <v/>
      </c>
      <c r="X661" s="418" t="str">
        <f t="shared" si="813"/>
        <v/>
      </c>
      <c r="Y661" s="418" t="str">
        <f t="shared" si="814"/>
        <v/>
      </c>
      <c r="Z661" s="418" t="str">
        <f t="shared" si="815"/>
        <v/>
      </c>
      <c r="AA661" s="418" t="str">
        <f t="shared" si="816"/>
        <v/>
      </c>
      <c r="AB661" s="418" t="str">
        <f t="shared" si="817"/>
        <v/>
      </c>
      <c r="AC661" s="418" t="str">
        <f t="shared" si="818"/>
        <v/>
      </c>
      <c r="AD661" s="418" t="str">
        <f t="shared" si="819"/>
        <v/>
      </c>
      <c r="AE661" s="418" t="str">
        <f t="shared" si="820"/>
        <v/>
      </c>
      <c r="AF661" s="418" t="str">
        <f t="shared" si="821"/>
        <v/>
      </c>
      <c r="AG661" s="418" t="str">
        <f t="shared" si="822"/>
        <v/>
      </c>
      <c r="AH661" s="418" t="str">
        <f t="shared" si="823"/>
        <v/>
      </c>
      <c r="AI661" s="418" t="str">
        <f t="shared" si="824"/>
        <v/>
      </c>
      <c r="AJ661" s="418" t="str">
        <f t="shared" si="825"/>
        <v/>
      </c>
      <c r="AK661" s="418" t="str">
        <f t="shared" si="826"/>
        <v/>
      </c>
      <c r="AL661" s="418" t="str">
        <f t="shared" si="827"/>
        <v/>
      </c>
      <c r="AM661" s="418" t="str">
        <f t="shared" si="828"/>
        <v/>
      </c>
      <c r="AN661" s="418" t="str">
        <f t="shared" si="829"/>
        <v/>
      </c>
      <c r="AO661" s="418">
        <f t="shared" si="830"/>
        <v>210</v>
      </c>
      <c r="AP661" s="418" t="str">
        <f t="shared" si="831"/>
        <v/>
      </c>
      <c r="AQ661" s="418" t="str">
        <f t="shared" si="832"/>
        <v/>
      </c>
      <c r="AR661" s="418" t="str">
        <f t="shared" si="833"/>
        <v/>
      </c>
      <c r="AS661" s="418" t="str">
        <f t="shared" si="834"/>
        <v/>
      </c>
      <c r="AT661" s="418" t="str">
        <f t="shared" si="835"/>
        <v/>
      </c>
      <c r="AU661" s="418" t="str">
        <f t="shared" si="836"/>
        <v/>
      </c>
      <c r="AV661" s="418" t="str">
        <f t="shared" si="837"/>
        <v/>
      </c>
      <c r="AW661" s="418" t="str">
        <f t="shared" si="838"/>
        <v/>
      </c>
      <c r="AX661" s="418" t="str">
        <f t="shared" si="839"/>
        <v/>
      </c>
      <c r="AY661" s="418" t="str">
        <f t="shared" si="840"/>
        <v/>
      </c>
      <c r="AZ661" s="418" t="str">
        <f t="shared" si="841"/>
        <v/>
      </c>
      <c r="BA661" s="418" t="str">
        <f t="shared" si="842"/>
        <v/>
      </c>
      <c r="BB661" s="418" t="str">
        <f t="shared" si="843"/>
        <v/>
      </c>
      <c r="BC661" s="418" t="str">
        <f t="shared" si="844"/>
        <v/>
      </c>
      <c r="BD661" s="418" t="str">
        <f t="shared" si="845"/>
        <v/>
      </c>
      <c r="BE661" s="418" t="str">
        <f t="shared" si="846"/>
        <v/>
      </c>
      <c r="BF661" s="418" t="str">
        <f t="shared" si="847"/>
        <v/>
      </c>
      <c r="BG661" s="418" t="str">
        <f t="shared" si="848"/>
        <v/>
      </c>
      <c r="BH661" s="418" t="str">
        <f t="shared" si="849"/>
        <v/>
      </c>
      <c r="BI661" s="418" t="str">
        <f t="shared" si="850"/>
        <v/>
      </c>
      <c r="BJ661" s="418" t="str">
        <f t="shared" si="851"/>
        <v/>
      </c>
      <c r="BK661" s="418" t="str">
        <f t="shared" ref="BK661:BS661" si="879">IF(OR($E661="",BK$1=""),"",IF(TRIM(LEFT($E661,MIN(IFERROR(FIND("CDU",UPPER($E661)),999),IFERROR(FIND("BULK",UPPER($E661)),999),IFERROR(FIND("-",$E661),999),IFERROR(FIND("（",$E661),999))-1))=BK$1,$F661,""))</f>
        <v/>
      </c>
      <c r="BL661" s="418" t="str">
        <f t="shared" si="879"/>
        <v/>
      </c>
      <c r="BM661" s="418" t="str">
        <f t="shared" si="879"/>
        <v/>
      </c>
      <c r="BN661" s="418" t="str">
        <f t="shared" si="879"/>
        <v/>
      </c>
      <c r="BO661" s="418" t="str">
        <f t="shared" si="879"/>
        <v/>
      </c>
      <c r="BP661" s="418" t="str">
        <f t="shared" si="879"/>
        <v/>
      </c>
      <c r="BQ661" s="418" t="str">
        <f t="shared" si="879"/>
        <v/>
      </c>
      <c r="BR661" s="418" t="str">
        <f t="shared" si="879"/>
        <v/>
      </c>
      <c r="BS661" s="418" t="str">
        <f t="shared" si="879"/>
        <v/>
      </c>
      <c r="BT661" s="418" t="str">
        <f t="shared" si="853"/>
        <v/>
      </c>
      <c r="BU661" s="418" t="str">
        <f t="shared" si="854"/>
        <v/>
      </c>
      <c r="BV661" s="544">
        <v>0.65</v>
      </c>
      <c r="BW661" s="723">
        <f t="shared" si="855"/>
        <v>136.5</v>
      </c>
      <c r="BX661" s="724">
        <f t="shared" si="856"/>
        <v>1057.88</v>
      </c>
      <c r="BY661" s="725" t="str">
        <f t="shared" si="857"/>
        <v>SR</v>
      </c>
    </row>
    <row r="662" s="697" customFormat="1" customHeight="1" spans="1:77">
      <c r="A662" s="116">
        <v>46139</v>
      </c>
      <c r="B662" s="116">
        <v>46199</v>
      </c>
      <c r="C662" s="418" t="s">
        <v>787</v>
      </c>
      <c r="D662" s="418" t="s">
        <v>788</v>
      </c>
      <c r="E662" s="176" t="s">
        <v>178</v>
      </c>
      <c r="F662" s="142">
        <f>384/2+18</f>
        <v>210</v>
      </c>
      <c r="G662" s="418" t="s">
        <v>341</v>
      </c>
      <c r="H662" s="118" t="str">
        <f>IFERROR(VLOOKUP(E662,名称!A:E,4,0),"")</f>
        <v>三代</v>
      </c>
      <c r="I662" s="418" t="str">
        <f t="shared" si="798"/>
        <v/>
      </c>
      <c r="J662" s="418" t="str">
        <f t="shared" si="799"/>
        <v/>
      </c>
      <c r="K662" s="418" t="str">
        <f t="shared" si="800"/>
        <v/>
      </c>
      <c r="L662" s="418" t="str">
        <f t="shared" si="801"/>
        <v/>
      </c>
      <c r="M662" s="418" t="str">
        <f t="shared" si="802"/>
        <v/>
      </c>
      <c r="N662" s="418" t="str">
        <f t="shared" si="803"/>
        <v/>
      </c>
      <c r="O662" s="418" t="str">
        <f t="shared" si="804"/>
        <v/>
      </c>
      <c r="P662" s="418" t="str">
        <f t="shared" si="805"/>
        <v/>
      </c>
      <c r="Q662" s="418" t="str">
        <f t="shared" si="806"/>
        <v/>
      </c>
      <c r="R662" s="418" t="str">
        <f t="shared" si="807"/>
        <v/>
      </c>
      <c r="S662" s="418" t="str">
        <f t="shared" si="808"/>
        <v/>
      </c>
      <c r="T662" s="418" t="str">
        <f t="shared" si="809"/>
        <v/>
      </c>
      <c r="U662" s="418" t="str">
        <f t="shared" si="810"/>
        <v/>
      </c>
      <c r="V662" s="418" t="str">
        <f t="shared" si="811"/>
        <v/>
      </c>
      <c r="W662" s="418" t="str">
        <f t="shared" si="812"/>
        <v/>
      </c>
      <c r="X662" s="418" t="str">
        <f t="shared" si="813"/>
        <v/>
      </c>
      <c r="Y662" s="418" t="str">
        <f t="shared" si="814"/>
        <v/>
      </c>
      <c r="Z662" s="418" t="str">
        <f t="shared" si="815"/>
        <v/>
      </c>
      <c r="AA662" s="418" t="str">
        <f t="shared" si="816"/>
        <v/>
      </c>
      <c r="AB662" s="418" t="str">
        <f t="shared" si="817"/>
        <v/>
      </c>
      <c r="AC662" s="418" t="str">
        <f t="shared" si="818"/>
        <v/>
      </c>
      <c r="AD662" s="418" t="str">
        <f t="shared" si="819"/>
        <v/>
      </c>
      <c r="AE662" s="418" t="str">
        <f t="shared" si="820"/>
        <v/>
      </c>
      <c r="AF662" s="418" t="str">
        <f t="shared" si="821"/>
        <v/>
      </c>
      <c r="AG662" s="418" t="str">
        <f t="shared" si="822"/>
        <v/>
      </c>
      <c r="AH662" s="418" t="str">
        <f t="shared" si="823"/>
        <v/>
      </c>
      <c r="AI662" s="418" t="str">
        <f t="shared" si="824"/>
        <v/>
      </c>
      <c r="AJ662" s="418" t="str">
        <f t="shared" si="825"/>
        <v/>
      </c>
      <c r="AK662" s="418" t="str">
        <f t="shared" si="826"/>
        <v/>
      </c>
      <c r="AL662" s="418" t="str">
        <f t="shared" si="827"/>
        <v/>
      </c>
      <c r="AM662" s="418" t="str">
        <f t="shared" si="828"/>
        <v/>
      </c>
      <c r="AN662" s="418" t="str">
        <f t="shared" si="829"/>
        <v/>
      </c>
      <c r="AO662" s="418">
        <f t="shared" si="830"/>
        <v>210</v>
      </c>
      <c r="AP662" s="418" t="str">
        <f t="shared" si="831"/>
        <v/>
      </c>
      <c r="AQ662" s="418" t="str">
        <f t="shared" si="832"/>
        <v/>
      </c>
      <c r="AR662" s="418" t="str">
        <f t="shared" si="833"/>
        <v/>
      </c>
      <c r="AS662" s="418" t="str">
        <f t="shared" si="834"/>
        <v/>
      </c>
      <c r="AT662" s="418" t="str">
        <f t="shared" si="835"/>
        <v/>
      </c>
      <c r="AU662" s="418" t="str">
        <f t="shared" si="836"/>
        <v/>
      </c>
      <c r="AV662" s="418" t="str">
        <f t="shared" si="837"/>
        <v/>
      </c>
      <c r="AW662" s="418" t="str">
        <f t="shared" si="838"/>
        <v/>
      </c>
      <c r="AX662" s="418" t="str">
        <f t="shared" si="839"/>
        <v/>
      </c>
      <c r="AY662" s="418" t="str">
        <f t="shared" si="840"/>
        <v/>
      </c>
      <c r="AZ662" s="418" t="str">
        <f t="shared" si="841"/>
        <v/>
      </c>
      <c r="BA662" s="418" t="str">
        <f t="shared" si="842"/>
        <v/>
      </c>
      <c r="BB662" s="418" t="str">
        <f t="shared" si="843"/>
        <v/>
      </c>
      <c r="BC662" s="418" t="str">
        <f t="shared" si="844"/>
        <v/>
      </c>
      <c r="BD662" s="418" t="str">
        <f t="shared" si="845"/>
        <v/>
      </c>
      <c r="BE662" s="418" t="str">
        <f t="shared" si="846"/>
        <v/>
      </c>
      <c r="BF662" s="418" t="str">
        <f t="shared" si="847"/>
        <v/>
      </c>
      <c r="BG662" s="418" t="str">
        <f t="shared" si="848"/>
        <v/>
      </c>
      <c r="BH662" s="418" t="str">
        <f t="shared" si="849"/>
        <v/>
      </c>
      <c r="BI662" s="418" t="str">
        <f t="shared" si="850"/>
        <v/>
      </c>
      <c r="BJ662" s="418" t="str">
        <f t="shared" si="851"/>
        <v/>
      </c>
      <c r="BK662" s="418" t="str">
        <f t="shared" ref="BK662:BS662" si="880">IF(OR($E662="",BK$1=""),"",IF(TRIM(LEFT($E662,MIN(IFERROR(FIND("CDU",UPPER($E662)),999),IFERROR(FIND("BULK",UPPER($E662)),999),IFERROR(FIND("-",$E662),999),IFERROR(FIND("（",$E662),999))-1))=BK$1,$F662,""))</f>
        <v/>
      </c>
      <c r="BL662" s="418" t="str">
        <f t="shared" si="880"/>
        <v/>
      </c>
      <c r="BM662" s="418" t="str">
        <f t="shared" si="880"/>
        <v/>
      </c>
      <c r="BN662" s="418" t="str">
        <f t="shared" si="880"/>
        <v/>
      </c>
      <c r="BO662" s="418" t="str">
        <f t="shared" si="880"/>
        <v/>
      </c>
      <c r="BP662" s="418" t="str">
        <f t="shared" si="880"/>
        <v/>
      </c>
      <c r="BQ662" s="418" t="str">
        <f t="shared" si="880"/>
        <v/>
      </c>
      <c r="BR662" s="418" t="str">
        <f t="shared" si="880"/>
        <v/>
      </c>
      <c r="BS662" s="418" t="str">
        <f t="shared" si="880"/>
        <v/>
      </c>
      <c r="BT662" s="418" t="str">
        <f t="shared" si="853"/>
        <v/>
      </c>
      <c r="BU662" s="418" t="str">
        <f t="shared" si="854"/>
        <v/>
      </c>
      <c r="BV662" s="544">
        <v>0.65</v>
      </c>
      <c r="BW662" s="723">
        <f t="shared" si="855"/>
        <v>136.5</v>
      </c>
      <c r="BX662" s="724">
        <f t="shared" si="856"/>
        <v>1057.88</v>
      </c>
      <c r="BY662" s="725" t="str">
        <f t="shared" si="857"/>
        <v>SR</v>
      </c>
    </row>
    <row r="663" s="698" customFormat="1" customHeight="1" spans="1:77">
      <c r="A663" s="208">
        <v>46139</v>
      </c>
      <c r="B663" s="208">
        <v>46200</v>
      </c>
      <c r="C663" s="268" t="s">
        <v>789</v>
      </c>
      <c r="D663" s="268" t="s">
        <v>790</v>
      </c>
      <c r="E663" s="268" t="s">
        <v>129</v>
      </c>
      <c r="F663" s="343">
        <f>1332-12</f>
        <v>1320</v>
      </c>
      <c r="G663" s="268" t="s">
        <v>341</v>
      </c>
      <c r="H663" s="211" t="str">
        <f>IFERROR(VLOOKUP(E663,名称!A:E,4,0),"")</f>
        <v>蛋糕</v>
      </c>
      <c r="I663" s="268" t="str">
        <f t="shared" si="798"/>
        <v/>
      </c>
      <c r="J663" s="268" t="str">
        <f t="shared" si="799"/>
        <v/>
      </c>
      <c r="K663" s="268" t="str">
        <f t="shared" si="800"/>
        <v/>
      </c>
      <c r="L663" s="268" t="str">
        <f t="shared" si="801"/>
        <v/>
      </c>
      <c r="M663" s="268" t="str">
        <f t="shared" si="802"/>
        <v/>
      </c>
      <c r="N663" s="268" t="str">
        <f t="shared" si="803"/>
        <v/>
      </c>
      <c r="O663" s="268" t="str">
        <f t="shared" si="804"/>
        <v/>
      </c>
      <c r="P663" s="268" t="str">
        <f t="shared" si="805"/>
        <v/>
      </c>
      <c r="Q663" s="268" t="str">
        <f t="shared" si="806"/>
        <v/>
      </c>
      <c r="R663" s="268" t="str">
        <f t="shared" si="807"/>
        <v/>
      </c>
      <c r="S663" s="268" t="str">
        <f t="shared" si="808"/>
        <v/>
      </c>
      <c r="T663" s="268" t="str">
        <f t="shared" si="809"/>
        <v/>
      </c>
      <c r="U663" s="268" t="str">
        <f t="shared" si="810"/>
        <v/>
      </c>
      <c r="V663" s="268" t="str">
        <f t="shared" si="811"/>
        <v/>
      </c>
      <c r="W663" s="268" t="str">
        <f t="shared" si="812"/>
        <v/>
      </c>
      <c r="X663" s="268" t="str">
        <f t="shared" si="813"/>
        <v/>
      </c>
      <c r="Y663" s="268" t="str">
        <f t="shared" si="814"/>
        <v/>
      </c>
      <c r="Z663" s="268" t="str">
        <f t="shared" si="815"/>
        <v/>
      </c>
      <c r="AA663" s="268" t="str">
        <f t="shared" si="816"/>
        <v/>
      </c>
      <c r="AB663" s="268" t="str">
        <f t="shared" si="817"/>
        <v/>
      </c>
      <c r="AC663" s="268" t="str">
        <f t="shared" si="818"/>
        <v/>
      </c>
      <c r="AD663" s="268" t="str">
        <f t="shared" si="819"/>
        <v/>
      </c>
      <c r="AE663" s="268" t="str">
        <f t="shared" si="820"/>
        <v/>
      </c>
      <c r="AF663" s="268" t="str">
        <f t="shared" si="821"/>
        <v/>
      </c>
      <c r="AG663" s="268" t="str">
        <f t="shared" si="822"/>
        <v/>
      </c>
      <c r="AH663" s="268" t="str">
        <f t="shared" si="823"/>
        <v/>
      </c>
      <c r="AI663" s="268" t="str">
        <f t="shared" si="824"/>
        <v/>
      </c>
      <c r="AJ663" s="268" t="str">
        <f t="shared" si="825"/>
        <v/>
      </c>
      <c r="AK663" s="268" t="str">
        <f t="shared" si="826"/>
        <v/>
      </c>
      <c r="AL663" s="268" t="str">
        <f t="shared" si="827"/>
        <v/>
      </c>
      <c r="AM663" s="268" t="str">
        <f t="shared" si="828"/>
        <v/>
      </c>
      <c r="AN663" s="268" t="str">
        <f t="shared" si="829"/>
        <v/>
      </c>
      <c r="AO663" s="268" t="str">
        <f t="shared" si="830"/>
        <v/>
      </c>
      <c r="AP663" s="268" t="str">
        <f t="shared" si="831"/>
        <v/>
      </c>
      <c r="AQ663" s="268" t="str">
        <f t="shared" si="832"/>
        <v/>
      </c>
      <c r="AR663" s="268" t="str">
        <f t="shared" si="833"/>
        <v/>
      </c>
      <c r="AS663" s="268" t="str">
        <f t="shared" si="834"/>
        <v/>
      </c>
      <c r="AT663" s="268" t="str">
        <f t="shared" si="835"/>
        <v/>
      </c>
      <c r="AU663" s="268" t="str">
        <f t="shared" si="836"/>
        <v/>
      </c>
      <c r="AV663" s="268" t="str">
        <f t="shared" si="837"/>
        <v/>
      </c>
      <c r="AW663" s="268" t="str">
        <f t="shared" si="838"/>
        <v/>
      </c>
      <c r="AX663" s="268" t="str">
        <f t="shared" si="839"/>
        <v/>
      </c>
      <c r="AY663" s="268" t="str">
        <f t="shared" si="840"/>
        <v/>
      </c>
      <c r="AZ663" s="268" t="str">
        <f t="shared" si="841"/>
        <v/>
      </c>
      <c r="BA663" s="268" t="str">
        <f t="shared" si="842"/>
        <v/>
      </c>
      <c r="BB663" s="268" t="str">
        <f t="shared" si="843"/>
        <v/>
      </c>
      <c r="BC663" s="268" t="str">
        <f t="shared" si="844"/>
        <v/>
      </c>
      <c r="BD663" s="268" t="str">
        <f t="shared" si="845"/>
        <v/>
      </c>
      <c r="BE663" s="268" t="str">
        <f t="shared" si="846"/>
        <v/>
      </c>
      <c r="BF663" s="268" t="str">
        <f t="shared" si="847"/>
        <v/>
      </c>
      <c r="BG663" s="268">
        <f t="shared" si="848"/>
        <v>1320</v>
      </c>
      <c r="BH663" s="268" t="str">
        <f t="shared" si="849"/>
        <v/>
      </c>
      <c r="BI663" s="268" t="str">
        <f t="shared" si="850"/>
        <v/>
      </c>
      <c r="BJ663" s="268" t="str">
        <f t="shared" si="851"/>
        <v/>
      </c>
      <c r="BK663" s="268" t="str">
        <f t="shared" ref="BK663:BS663" si="881">IF(OR($E663="",BK$1=""),"",IF(TRIM(LEFT($E663,MIN(IFERROR(FIND("CDU",UPPER($E663)),999),IFERROR(FIND("BULK",UPPER($E663)),999),IFERROR(FIND("-",$E663),999),IFERROR(FIND("（",$E663),999))-1))=BK$1,$F663,""))</f>
        <v/>
      </c>
      <c r="BL663" s="268" t="str">
        <f t="shared" si="881"/>
        <v/>
      </c>
      <c r="BM663" s="268" t="str">
        <f t="shared" si="881"/>
        <v/>
      </c>
      <c r="BN663" s="268" t="str">
        <f t="shared" si="881"/>
        <v/>
      </c>
      <c r="BO663" s="268" t="str">
        <f t="shared" si="881"/>
        <v/>
      </c>
      <c r="BP663" s="268" t="str">
        <f t="shared" si="881"/>
        <v/>
      </c>
      <c r="BQ663" s="268" t="str">
        <f t="shared" si="881"/>
        <v/>
      </c>
      <c r="BR663" s="268" t="str">
        <f t="shared" si="881"/>
        <v/>
      </c>
      <c r="BS663" s="268" t="str">
        <f t="shared" si="881"/>
        <v/>
      </c>
      <c r="BT663" s="268" t="str">
        <f t="shared" si="853"/>
        <v/>
      </c>
      <c r="BU663" s="268" t="str">
        <f t="shared" si="854"/>
        <v/>
      </c>
      <c r="BV663" s="247">
        <v>1.57</v>
      </c>
      <c r="BW663" s="729">
        <f t="shared" si="855"/>
        <v>2072.4</v>
      </c>
      <c r="BX663" s="730">
        <f t="shared" si="856"/>
        <v>16061.1</v>
      </c>
      <c r="BY663" s="731" t="str">
        <f t="shared" si="857"/>
        <v>JC</v>
      </c>
    </row>
    <row r="664" s="698" customFormat="1" customHeight="1" spans="1:77">
      <c r="A664" s="208">
        <v>46139</v>
      </c>
      <c r="B664" s="208">
        <v>46200</v>
      </c>
      <c r="C664" s="268" t="s">
        <v>789</v>
      </c>
      <c r="D664" s="268" t="s">
        <v>790</v>
      </c>
      <c r="E664" s="268" t="s">
        <v>130</v>
      </c>
      <c r="F664" s="343">
        <f>1332-12</f>
        <v>1320</v>
      </c>
      <c r="G664" s="268" t="s">
        <v>341</v>
      </c>
      <c r="H664" s="211" t="str">
        <f>IFERROR(VLOOKUP(E664,名称!A:E,4,0),"")</f>
        <v>蛋糕</v>
      </c>
      <c r="I664" s="268" t="str">
        <f t="shared" si="798"/>
        <v/>
      </c>
      <c r="J664" s="268" t="str">
        <f t="shared" si="799"/>
        <v/>
      </c>
      <c r="K664" s="268" t="str">
        <f t="shared" si="800"/>
        <v/>
      </c>
      <c r="L664" s="268" t="str">
        <f t="shared" si="801"/>
        <v/>
      </c>
      <c r="M664" s="268" t="str">
        <f t="shared" si="802"/>
        <v/>
      </c>
      <c r="N664" s="268" t="str">
        <f t="shared" si="803"/>
        <v/>
      </c>
      <c r="O664" s="268" t="str">
        <f t="shared" si="804"/>
        <v/>
      </c>
      <c r="P664" s="268" t="str">
        <f t="shared" si="805"/>
        <v/>
      </c>
      <c r="Q664" s="268" t="str">
        <f t="shared" si="806"/>
        <v/>
      </c>
      <c r="R664" s="268" t="str">
        <f t="shared" si="807"/>
        <v/>
      </c>
      <c r="S664" s="268" t="str">
        <f t="shared" si="808"/>
        <v/>
      </c>
      <c r="T664" s="268" t="str">
        <f t="shared" si="809"/>
        <v/>
      </c>
      <c r="U664" s="268" t="str">
        <f t="shared" si="810"/>
        <v/>
      </c>
      <c r="V664" s="268" t="str">
        <f t="shared" si="811"/>
        <v/>
      </c>
      <c r="W664" s="268" t="str">
        <f t="shared" si="812"/>
        <v/>
      </c>
      <c r="X664" s="268" t="str">
        <f t="shared" si="813"/>
        <v/>
      </c>
      <c r="Y664" s="268" t="str">
        <f t="shared" si="814"/>
        <v/>
      </c>
      <c r="Z664" s="268" t="str">
        <f t="shared" si="815"/>
        <v/>
      </c>
      <c r="AA664" s="268" t="str">
        <f t="shared" si="816"/>
        <v/>
      </c>
      <c r="AB664" s="268" t="str">
        <f t="shared" si="817"/>
        <v/>
      </c>
      <c r="AC664" s="268" t="str">
        <f t="shared" si="818"/>
        <v/>
      </c>
      <c r="AD664" s="268" t="str">
        <f t="shared" si="819"/>
        <v/>
      </c>
      <c r="AE664" s="268" t="str">
        <f t="shared" si="820"/>
        <v/>
      </c>
      <c r="AF664" s="268" t="str">
        <f t="shared" si="821"/>
        <v/>
      </c>
      <c r="AG664" s="268" t="str">
        <f t="shared" si="822"/>
        <v/>
      </c>
      <c r="AH664" s="268" t="str">
        <f t="shared" si="823"/>
        <v/>
      </c>
      <c r="AI664" s="268" t="str">
        <f t="shared" si="824"/>
        <v/>
      </c>
      <c r="AJ664" s="268" t="str">
        <f t="shared" si="825"/>
        <v/>
      </c>
      <c r="AK664" s="268" t="str">
        <f t="shared" si="826"/>
        <v/>
      </c>
      <c r="AL664" s="268" t="str">
        <f t="shared" si="827"/>
        <v/>
      </c>
      <c r="AM664" s="268" t="str">
        <f t="shared" si="828"/>
        <v/>
      </c>
      <c r="AN664" s="268" t="str">
        <f t="shared" si="829"/>
        <v/>
      </c>
      <c r="AO664" s="268" t="str">
        <f t="shared" si="830"/>
        <v/>
      </c>
      <c r="AP664" s="268" t="str">
        <f t="shared" si="831"/>
        <v/>
      </c>
      <c r="AQ664" s="268" t="str">
        <f t="shared" si="832"/>
        <v/>
      </c>
      <c r="AR664" s="268" t="str">
        <f t="shared" si="833"/>
        <v/>
      </c>
      <c r="AS664" s="268" t="str">
        <f t="shared" si="834"/>
        <v/>
      </c>
      <c r="AT664" s="268" t="str">
        <f t="shared" si="835"/>
        <v/>
      </c>
      <c r="AU664" s="268" t="str">
        <f t="shared" si="836"/>
        <v/>
      </c>
      <c r="AV664" s="268" t="str">
        <f t="shared" si="837"/>
        <v/>
      </c>
      <c r="AW664" s="268" t="str">
        <f t="shared" si="838"/>
        <v/>
      </c>
      <c r="AX664" s="268" t="str">
        <f t="shared" si="839"/>
        <v/>
      </c>
      <c r="AY664" s="268" t="str">
        <f t="shared" si="840"/>
        <v/>
      </c>
      <c r="AZ664" s="268" t="str">
        <f t="shared" si="841"/>
        <v/>
      </c>
      <c r="BA664" s="268" t="str">
        <f t="shared" si="842"/>
        <v/>
      </c>
      <c r="BB664" s="268" t="str">
        <f t="shared" si="843"/>
        <v/>
      </c>
      <c r="BC664" s="268" t="str">
        <f t="shared" si="844"/>
        <v/>
      </c>
      <c r="BD664" s="268" t="str">
        <f t="shared" si="845"/>
        <v/>
      </c>
      <c r="BE664" s="268" t="str">
        <f t="shared" si="846"/>
        <v/>
      </c>
      <c r="BF664" s="268" t="str">
        <f t="shared" si="847"/>
        <v/>
      </c>
      <c r="BG664" s="268">
        <f t="shared" si="848"/>
        <v>1320</v>
      </c>
      <c r="BH664" s="268" t="str">
        <f t="shared" si="849"/>
        <v/>
      </c>
      <c r="BI664" s="268" t="str">
        <f t="shared" si="850"/>
        <v/>
      </c>
      <c r="BJ664" s="268" t="str">
        <f t="shared" si="851"/>
        <v/>
      </c>
      <c r="BK664" s="268" t="str">
        <f t="shared" ref="BK664:BS664" si="882">IF(OR($E664="",BK$1=""),"",IF(TRIM(LEFT($E664,MIN(IFERROR(FIND("CDU",UPPER($E664)),999),IFERROR(FIND("BULK",UPPER($E664)),999),IFERROR(FIND("-",$E664),999),IFERROR(FIND("（",$E664),999))-1))=BK$1,$F664,""))</f>
        <v/>
      </c>
      <c r="BL664" s="268" t="str">
        <f t="shared" si="882"/>
        <v/>
      </c>
      <c r="BM664" s="268" t="str">
        <f t="shared" si="882"/>
        <v/>
      </c>
      <c r="BN664" s="268" t="str">
        <f t="shared" si="882"/>
        <v/>
      </c>
      <c r="BO664" s="268" t="str">
        <f t="shared" si="882"/>
        <v/>
      </c>
      <c r="BP664" s="268" t="str">
        <f t="shared" si="882"/>
        <v/>
      </c>
      <c r="BQ664" s="268" t="str">
        <f t="shared" si="882"/>
        <v/>
      </c>
      <c r="BR664" s="268" t="str">
        <f t="shared" si="882"/>
        <v/>
      </c>
      <c r="BS664" s="268" t="str">
        <f t="shared" si="882"/>
        <v/>
      </c>
      <c r="BT664" s="268" t="str">
        <f t="shared" si="853"/>
        <v/>
      </c>
      <c r="BU664" s="268" t="str">
        <f t="shared" si="854"/>
        <v/>
      </c>
      <c r="BV664" s="247">
        <v>1.57</v>
      </c>
      <c r="BW664" s="729">
        <f t="shared" si="855"/>
        <v>2072.4</v>
      </c>
      <c r="BX664" s="730">
        <f t="shared" si="856"/>
        <v>16061.1</v>
      </c>
      <c r="BY664" s="731" t="str">
        <f t="shared" si="857"/>
        <v>JC</v>
      </c>
    </row>
    <row r="665" s="698" customFormat="1" customHeight="1" spans="1:77">
      <c r="A665" s="208">
        <v>46139</v>
      </c>
      <c r="B665" s="208">
        <v>46200</v>
      </c>
      <c r="C665" s="268" t="s">
        <v>789</v>
      </c>
      <c r="D665" s="268" t="s">
        <v>790</v>
      </c>
      <c r="E665" s="268" t="s">
        <v>131</v>
      </c>
      <c r="F665" s="343">
        <f>1044+6</f>
        <v>1050</v>
      </c>
      <c r="G665" s="268" t="s">
        <v>341</v>
      </c>
      <c r="H665" s="211" t="str">
        <f>IFERROR(VLOOKUP(E665,名称!A:E,4,0),"")</f>
        <v>蛋糕</v>
      </c>
      <c r="I665" s="268" t="str">
        <f t="shared" si="798"/>
        <v/>
      </c>
      <c r="J665" s="268" t="str">
        <f t="shared" si="799"/>
        <v/>
      </c>
      <c r="K665" s="268" t="str">
        <f t="shared" si="800"/>
        <v/>
      </c>
      <c r="L665" s="268" t="str">
        <f t="shared" si="801"/>
        <v/>
      </c>
      <c r="M665" s="268" t="str">
        <f t="shared" si="802"/>
        <v/>
      </c>
      <c r="N665" s="268" t="str">
        <f t="shared" si="803"/>
        <v/>
      </c>
      <c r="O665" s="268" t="str">
        <f t="shared" si="804"/>
        <v/>
      </c>
      <c r="P665" s="268" t="str">
        <f t="shared" si="805"/>
        <v/>
      </c>
      <c r="Q665" s="268" t="str">
        <f t="shared" si="806"/>
        <v/>
      </c>
      <c r="R665" s="268" t="str">
        <f t="shared" si="807"/>
        <v/>
      </c>
      <c r="S665" s="268" t="str">
        <f t="shared" si="808"/>
        <v/>
      </c>
      <c r="T665" s="268" t="str">
        <f t="shared" si="809"/>
        <v/>
      </c>
      <c r="U665" s="268" t="str">
        <f t="shared" si="810"/>
        <v/>
      </c>
      <c r="V665" s="268" t="str">
        <f t="shared" si="811"/>
        <v/>
      </c>
      <c r="W665" s="268" t="str">
        <f t="shared" si="812"/>
        <v/>
      </c>
      <c r="X665" s="268" t="str">
        <f t="shared" si="813"/>
        <v/>
      </c>
      <c r="Y665" s="268" t="str">
        <f t="shared" si="814"/>
        <v/>
      </c>
      <c r="Z665" s="268" t="str">
        <f t="shared" si="815"/>
        <v/>
      </c>
      <c r="AA665" s="268" t="str">
        <f t="shared" si="816"/>
        <v/>
      </c>
      <c r="AB665" s="268" t="str">
        <f t="shared" si="817"/>
        <v/>
      </c>
      <c r="AC665" s="268" t="str">
        <f t="shared" si="818"/>
        <v/>
      </c>
      <c r="AD665" s="268" t="str">
        <f t="shared" si="819"/>
        <v/>
      </c>
      <c r="AE665" s="268" t="str">
        <f t="shared" si="820"/>
        <v/>
      </c>
      <c r="AF665" s="268" t="str">
        <f t="shared" si="821"/>
        <v/>
      </c>
      <c r="AG665" s="268" t="str">
        <f t="shared" si="822"/>
        <v/>
      </c>
      <c r="AH665" s="268" t="str">
        <f t="shared" si="823"/>
        <v/>
      </c>
      <c r="AI665" s="268" t="str">
        <f t="shared" si="824"/>
        <v/>
      </c>
      <c r="AJ665" s="268" t="str">
        <f t="shared" si="825"/>
        <v/>
      </c>
      <c r="AK665" s="268" t="str">
        <f t="shared" si="826"/>
        <v/>
      </c>
      <c r="AL665" s="268" t="str">
        <f t="shared" si="827"/>
        <v/>
      </c>
      <c r="AM665" s="268" t="str">
        <f t="shared" si="828"/>
        <v/>
      </c>
      <c r="AN665" s="268" t="str">
        <f t="shared" si="829"/>
        <v/>
      </c>
      <c r="AO665" s="268" t="str">
        <f t="shared" si="830"/>
        <v/>
      </c>
      <c r="AP665" s="268" t="str">
        <f t="shared" si="831"/>
        <v/>
      </c>
      <c r="AQ665" s="268" t="str">
        <f t="shared" si="832"/>
        <v/>
      </c>
      <c r="AR665" s="268" t="str">
        <f t="shared" si="833"/>
        <v/>
      </c>
      <c r="AS665" s="268" t="str">
        <f t="shared" si="834"/>
        <v/>
      </c>
      <c r="AT665" s="268" t="str">
        <f t="shared" si="835"/>
        <v/>
      </c>
      <c r="AU665" s="268" t="str">
        <f t="shared" si="836"/>
        <v/>
      </c>
      <c r="AV665" s="268" t="str">
        <f t="shared" si="837"/>
        <v/>
      </c>
      <c r="AW665" s="268" t="str">
        <f t="shared" si="838"/>
        <v/>
      </c>
      <c r="AX665" s="268" t="str">
        <f t="shared" si="839"/>
        <v/>
      </c>
      <c r="AY665" s="268" t="str">
        <f t="shared" si="840"/>
        <v/>
      </c>
      <c r="AZ665" s="268" t="str">
        <f t="shared" si="841"/>
        <v/>
      </c>
      <c r="BA665" s="268" t="str">
        <f t="shared" si="842"/>
        <v/>
      </c>
      <c r="BB665" s="268" t="str">
        <f t="shared" si="843"/>
        <v/>
      </c>
      <c r="BC665" s="268" t="str">
        <f t="shared" si="844"/>
        <v/>
      </c>
      <c r="BD665" s="268" t="str">
        <f t="shared" si="845"/>
        <v/>
      </c>
      <c r="BE665" s="268" t="str">
        <f t="shared" si="846"/>
        <v/>
      </c>
      <c r="BF665" s="268" t="str">
        <f t="shared" si="847"/>
        <v/>
      </c>
      <c r="BG665" s="268">
        <f t="shared" si="848"/>
        <v>1050</v>
      </c>
      <c r="BH665" s="268" t="str">
        <f t="shared" si="849"/>
        <v/>
      </c>
      <c r="BI665" s="268" t="str">
        <f t="shared" si="850"/>
        <v/>
      </c>
      <c r="BJ665" s="268" t="str">
        <f t="shared" si="851"/>
        <v/>
      </c>
      <c r="BK665" s="268" t="str">
        <f t="shared" ref="BK665:BS665" si="883">IF(OR($E665="",BK$1=""),"",IF(TRIM(LEFT($E665,MIN(IFERROR(FIND("CDU",UPPER($E665)),999),IFERROR(FIND("BULK",UPPER($E665)),999),IFERROR(FIND("-",$E665),999),IFERROR(FIND("（",$E665),999))-1))=BK$1,$F665,""))</f>
        <v/>
      </c>
      <c r="BL665" s="268" t="str">
        <f t="shared" si="883"/>
        <v/>
      </c>
      <c r="BM665" s="268" t="str">
        <f t="shared" si="883"/>
        <v/>
      </c>
      <c r="BN665" s="268" t="str">
        <f t="shared" si="883"/>
        <v/>
      </c>
      <c r="BO665" s="268" t="str">
        <f t="shared" si="883"/>
        <v/>
      </c>
      <c r="BP665" s="268" t="str">
        <f t="shared" si="883"/>
        <v/>
      </c>
      <c r="BQ665" s="268" t="str">
        <f t="shared" si="883"/>
        <v/>
      </c>
      <c r="BR665" s="268" t="str">
        <f t="shared" si="883"/>
        <v/>
      </c>
      <c r="BS665" s="268" t="str">
        <f t="shared" si="883"/>
        <v/>
      </c>
      <c r="BT665" s="268" t="str">
        <f t="shared" si="853"/>
        <v/>
      </c>
      <c r="BU665" s="268" t="str">
        <f t="shared" si="854"/>
        <v/>
      </c>
      <c r="BV665" s="247">
        <v>1.57</v>
      </c>
      <c r="BW665" s="729">
        <f t="shared" si="855"/>
        <v>1648.5</v>
      </c>
      <c r="BX665" s="730">
        <f t="shared" si="856"/>
        <v>12775.88</v>
      </c>
      <c r="BY665" s="731" t="str">
        <f t="shared" si="857"/>
        <v>JC</v>
      </c>
    </row>
    <row r="666" s="698" customFormat="1" customHeight="1" spans="1:77">
      <c r="A666" s="208">
        <v>46139</v>
      </c>
      <c r="B666" s="208">
        <v>46200</v>
      </c>
      <c r="C666" s="268" t="s">
        <v>789</v>
      </c>
      <c r="D666" s="268" t="s">
        <v>790</v>
      </c>
      <c r="E666" s="268" t="s">
        <v>155</v>
      </c>
      <c r="F666" s="270">
        <f>1134-9</f>
        <v>1125</v>
      </c>
      <c r="G666" s="268" t="s">
        <v>341</v>
      </c>
      <c r="H666" s="211" t="str">
        <f>IFERROR(VLOOKUP(E666,名称!A:E,4,0),"")</f>
        <v>三代</v>
      </c>
      <c r="I666" s="268" t="str">
        <f t="shared" si="798"/>
        <v/>
      </c>
      <c r="J666" s="268" t="str">
        <f t="shared" si="799"/>
        <v/>
      </c>
      <c r="K666" s="268" t="str">
        <f t="shared" si="800"/>
        <v/>
      </c>
      <c r="L666" s="268" t="str">
        <f t="shared" si="801"/>
        <v/>
      </c>
      <c r="M666" s="268" t="str">
        <f t="shared" si="802"/>
        <v/>
      </c>
      <c r="N666" s="268" t="str">
        <f t="shared" si="803"/>
        <v/>
      </c>
      <c r="O666" s="268" t="str">
        <f t="shared" si="804"/>
        <v/>
      </c>
      <c r="P666" s="268" t="str">
        <f t="shared" si="805"/>
        <v/>
      </c>
      <c r="Q666" s="268" t="str">
        <f t="shared" si="806"/>
        <v/>
      </c>
      <c r="R666" s="268" t="str">
        <f t="shared" si="807"/>
        <v/>
      </c>
      <c r="S666" s="268" t="str">
        <f t="shared" si="808"/>
        <v/>
      </c>
      <c r="T666" s="268" t="str">
        <f t="shared" si="809"/>
        <v/>
      </c>
      <c r="U666" s="268" t="str">
        <f t="shared" si="810"/>
        <v/>
      </c>
      <c r="V666" s="268" t="str">
        <f t="shared" si="811"/>
        <v/>
      </c>
      <c r="W666" s="268" t="str">
        <f t="shared" si="812"/>
        <v/>
      </c>
      <c r="X666" s="268" t="str">
        <f t="shared" si="813"/>
        <v/>
      </c>
      <c r="Y666" s="268" t="str">
        <f t="shared" si="814"/>
        <v/>
      </c>
      <c r="Z666" s="268" t="str">
        <f t="shared" si="815"/>
        <v/>
      </c>
      <c r="AA666" s="268" t="str">
        <f t="shared" si="816"/>
        <v/>
      </c>
      <c r="AB666" s="268" t="str">
        <f t="shared" si="817"/>
        <v/>
      </c>
      <c r="AC666" s="268" t="str">
        <f t="shared" si="818"/>
        <v/>
      </c>
      <c r="AD666" s="268" t="str">
        <f t="shared" si="819"/>
        <v/>
      </c>
      <c r="AE666" s="268" t="str">
        <f t="shared" si="820"/>
        <v/>
      </c>
      <c r="AF666" s="268" t="str">
        <f t="shared" si="821"/>
        <v/>
      </c>
      <c r="AG666" s="268" t="str">
        <f t="shared" si="822"/>
        <v/>
      </c>
      <c r="AH666" s="268" t="str">
        <f t="shared" si="823"/>
        <v/>
      </c>
      <c r="AI666" s="268" t="str">
        <f t="shared" si="824"/>
        <v/>
      </c>
      <c r="AJ666" s="268" t="str">
        <f t="shared" si="825"/>
        <v/>
      </c>
      <c r="AK666" s="268" t="str">
        <f t="shared" si="826"/>
        <v/>
      </c>
      <c r="AL666" s="268" t="str">
        <f t="shared" si="827"/>
        <v/>
      </c>
      <c r="AM666" s="268" t="str">
        <f t="shared" si="828"/>
        <v/>
      </c>
      <c r="AN666" s="268">
        <f t="shared" si="829"/>
        <v>1125</v>
      </c>
      <c r="AO666" s="268" t="str">
        <f t="shared" si="830"/>
        <v/>
      </c>
      <c r="AP666" s="268" t="str">
        <f t="shared" si="831"/>
        <v/>
      </c>
      <c r="AQ666" s="268" t="str">
        <f t="shared" si="832"/>
        <v/>
      </c>
      <c r="AR666" s="268" t="str">
        <f t="shared" si="833"/>
        <v/>
      </c>
      <c r="AS666" s="268" t="str">
        <f t="shared" si="834"/>
        <v/>
      </c>
      <c r="AT666" s="268" t="str">
        <f t="shared" si="835"/>
        <v/>
      </c>
      <c r="AU666" s="268" t="str">
        <f t="shared" si="836"/>
        <v/>
      </c>
      <c r="AV666" s="268" t="str">
        <f t="shared" si="837"/>
        <v/>
      </c>
      <c r="AW666" s="268" t="str">
        <f t="shared" si="838"/>
        <v/>
      </c>
      <c r="AX666" s="268" t="str">
        <f t="shared" si="839"/>
        <v/>
      </c>
      <c r="AY666" s="268" t="str">
        <f t="shared" si="840"/>
        <v/>
      </c>
      <c r="AZ666" s="268" t="str">
        <f t="shared" si="841"/>
        <v/>
      </c>
      <c r="BA666" s="268" t="str">
        <f t="shared" si="842"/>
        <v/>
      </c>
      <c r="BB666" s="268" t="str">
        <f t="shared" si="843"/>
        <v/>
      </c>
      <c r="BC666" s="268" t="str">
        <f t="shared" si="844"/>
        <v/>
      </c>
      <c r="BD666" s="268" t="str">
        <f t="shared" si="845"/>
        <v/>
      </c>
      <c r="BE666" s="268" t="str">
        <f t="shared" si="846"/>
        <v/>
      </c>
      <c r="BF666" s="268" t="str">
        <f t="shared" si="847"/>
        <v/>
      </c>
      <c r="BG666" s="268" t="str">
        <f t="shared" si="848"/>
        <v/>
      </c>
      <c r="BH666" s="268" t="str">
        <f t="shared" si="849"/>
        <v/>
      </c>
      <c r="BI666" s="268" t="str">
        <f t="shared" si="850"/>
        <v/>
      </c>
      <c r="BJ666" s="268" t="str">
        <f t="shared" si="851"/>
        <v/>
      </c>
      <c r="BK666" s="268" t="str">
        <f t="shared" ref="BK666:BS666" si="884">IF(OR($E666="",BK$1=""),"",IF(TRIM(LEFT($E666,MIN(IFERROR(FIND("CDU",UPPER($E666)),999),IFERROR(FIND("BULK",UPPER($E666)),999),IFERROR(FIND("-",$E666),999),IFERROR(FIND("（",$E666),999))-1))=BK$1,$F666,""))</f>
        <v/>
      </c>
      <c r="BL666" s="268" t="str">
        <f t="shared" si="884"/>
        <v/>
      </c>
      <c r="BM666" s="268" t="str">
        <f t="shared" si="884"/>
        <v/>
      </c>
      <c r="BN666" s="268" t="str">
        <f t="shared" si="884"/>
        <v/>
      </c>
      <c r="BO666" s="268" t="str">
        <f t="shared" si="884"/>
        <v/>
      </c>
      <c r="BP666" s="268" t="str">
        <f t="shared" si="884"/>
        <v/>
      </c>
      <c r="BQ666" s="268" t="str">
        <f t="shared" si="884"/>
        <v/>
      </c>
      <c r="BR666" s="268" t="str">
        <f t="shared" si="884"/>
        <v/>
      </c>
      <c r="BS666" s="268" t="str">
        <f t="shared" si="884"/>
        <v/>
      </c>
      <c r="BT666" s="268" t="str">
        <f t="shared" si="853"/>
        <v/>
      </c>
      <c r="BU666" s="268" t="str">
        <f t="shared" si="854"/>
        <v/>
      </c>
      <c r="BV666" s="247">
        <v>1.56</v>
      </c>
      <c r="BW666" s="729">
        <f t="shared" si="855"/>
        <v>1755</v>
      </c>
      <c r="BX666" s="730">
        <f t="shared" si="856"/>
        <v>13601.25</v>
      </c>
      <c r="BY666" s="731" t="str">
        <f t="shared" si="857"/>
        <v>SR</v>
      </c>
    </row>
    <row r="667" s="698" customFormat="1" customHeight="1" spans="1:77">
      <c r="A667" s="208">
        <v>46139</v>
      </c>
      <c r="B667" s="208">
        <v>46200</v>
      </c>
      <c r="C667" s="268" t="s">
        <v>789</v>
      </c>
      <c r="D667" s="268" t="s">
        <v>790</v>
      </c>
      <c r="E667" s="268" t="s">
        <v>156</v>
      </c>
      <c r="F667" s="270">
        <f>1386-36</f>
        <v>1350</v>
      </c>
      <c r="G667" s="268" t="s">
        <v>341</v>
      </c>
      <c r="H667" s="211" t="str">
        <f>IFERROR(VLOOKUP(E667,名称!A:E,4,0),"")</f>
        <v>三代</v>
      </c>
      <c r="I667" s="268" t="str">
        <f t="shared" si="798"/>
        <v/>
      </c>
      <c r="J667" s="268" t="str">
        <f t="shared" si="799"/>
        <v/>
      </c>
      <c r="K667" s="268" t="str">
        <f t="shared" si="800"/>
        <v/>
      </c>
      <c r="L667" s="268" t="str">
        <f t="shared" si="801"/>
        <v/>
      </c>
      <c r="M667" s="268" t="str">
        <f t="shared" si="802"/>
        <v/>
      </c>
      <c r="N667" s="268" t="str">
        <f t="shared" si="803"/>
        <v/>
      </c>
      <c r="O667" s="268" t="str">
        <f t="shared" si="804"/>
        <v/>
      </c>
      <c r="P667" s="268" t="str">
        <f t="shared" si="805"/>
        <v/>
      </c>
      <c r="Q667" s="268" t="str">
        <f t="shared" si="806"/>
        <v/>
      </c>
      <c r="R667" s="268" t="str">
        <f t="shared" si="807"/>
        <v/>
      </c>
      <c r="S667" s="268" t="str">
        <f t="shared" si="808"/>
        <v/>
      </c>
      <c r="T667" s="268" t="str">
        <f t="shared" si="809"/>
        <v/>
      </c>
      <c r="U667" s="268" t="str">
        <f t="shared" si="810"/>
        <v/>
      </c>
      <c r="V667" s="268" t="str">
        <f t="shared" si="811"/>
        <v/>
      </c>
      <c r="W667" s="268" t="str">
        <f t="shared" si="812"/>
        <v/>
      </c>
      <c r="X667" s="268" t="str">
        <f t="shared" si="813"/>
        <v/>
      </c>
      <c r="Y667" s="268" t="str">
        <f t="shared" si="814"/>
        <v/>
      </c>
      <c r="Z667" s="268" t="str">
        <f t="shared" si="815"/>
        <v/>
      </c>
      <c r="AA667" s="268" t="str">
        <f t="shared" si="816"/>
        <v/>
      </c>
      <c r="AB667" s="268" t="str">
        <f t="shared" si="817"/>
        <v/>
      </c>
      <c r="AC667" s="268" t="str">
        <f t="shared" si="818"/>
        <v/>
      </c>
      <c r="AD667" s="268" t="str">
        <f t="shared" si="819"/>
        <v/>
      </c>
      <c r="AE667" s="268" t="str">
        <f t="shared" si="820"/>
        <v/>
      </c>
      <c r="AF667" s="268" t="str">
        <f t="shared" si="821"/>
        <v/>
      </c>
      <c r="AG667" s="268" t="str">
        <f t="shared" si="822"/>
        <v/>
      </c>
      <c r="AH667" s="268" t="str">
        <f t="shared" si="823"/>
        <v/>
      </c>
      <c r="AI667" s="268" t="str">
        <f t="shared" si="824"/>
        <v/>
      </c>
      <c r="AJ667" s="268" t="str">
        <f t="shared" si="825"/>
        <v/>
      </c>
      <c r="AK667" s="268" t="str">
        <f t="shared" si="826"/>
        <v/>
      </c>
      <c r="AL667" s="268" t="str">
        <f t="shared" si="827"/>
        <v/>
      </c>
      <c r="AM667" s="268" t="str">
        <f t="shared" si="828"/>
        <v/>
      </c>
      <c r="AN667" s="268">
        <f t="shared" si="829"/>
        <v>1350</v>
      </c>
      <c r="AO667" s="268" t="str">
        <f t="shared" si="830"/>
        <v/>
      </c>
      <c r="AP667" s="268" t="str">
        <f t="shared" si="831"/>
        <v/>
      </c>
      <c r="AQ667" s="268" t="str">
        <f t="shared" si="832"/>
        <v/>
      </c>
      <c r="AR667" s="268" t="str">
        <f t="shared" si="833"/>
        <v/>
      </c>
      <c r="AS667" s="268" t="str">
        <f t="shared" si="834"/>
        <v/>
      </c>
      <c r="AT667" s="268" t="str">
        <f t="shared" si="835"/>
        <v/>
      </c>
      <c r="AU667" s="268" t="str">
        <f t="shared" si="836"/>
        <v/>
      </c>
      <c r="AV667" s="268" t="str">
        <f t="shared" si="837"/>
        <v/>
      </c>
      <c r="AW667" s="268" t="str">
        <f t="shared" si="838"/>
        <v/>
      </c>
      <c r="AX667" s="268" t="str">
        <f t="shared" si="839"/>
        <v/>
      </c>
      <c r="AY667" s="268" t="str">
        <f t="shared" si="840"/>
        <v/>
      </c>
      <c r="AZ667" s="268" t="str">
        <f t="shared" si="841"/>
        <v/>
      </c>
      <c r="BA667" s="268" t="str">
        <f t="shared" si="842"/>
        <v/>
      </c>
      <c r="BB667" s="268" t="str">
        <f t="shared" si="843"/>
        <v/>
      </c>
      <c r="BC667" s="268" t="str">
        <f t="shared" si="844"/>
        <v/>
      </c>
      <c r="BD667" s="268" t="str">
        <f t="shared" si="845"/>
        <v/>
      </c>
      <c r="BE667" s="268" t="str">
        <f t="shared" si="846"/>
        <v/>
      </c>
      <c r="BF667" s="268" t="str">
        <f t="shared" si="847"/>
        <v/>
      </c>
      <c r="BG667" s="268" t="str">
        <f t="shared" si="848"/>
        <v/>
      </c>
      <c r="BH667" s="268" t="str">
        <f t="shared" si="849"/>
        <v/>
      </c>
      <c r="BI667" s="268" t="str">
        <f t="shared" si="850"/>
        <v/>
      </c>
      <c r="BJ667" s="268" t="str">
        <f t="shared" si="851"/>
        <v/>
      </c>
      <c r="BK667" s="268" t="str">
        <f t="shared" ref="BK667:BS667" si="885">IF(OR($E667="",BK$1=""),"",IF(TRIM(LEFT($E667,MIN(IFERROR(FIND("CDU",UPPER($E667)),999),IFERROR(FIND("BULK",UPPER($E667)),999),IFERROR(FIND("-",$E667),999),IFERROR(FIND("（",$E667),999))-1))=BK$1,$F667,""))</f>
        <v/>
      </c>
      <c r="BL667" s="268" t="str">
        <f t="shared" si="885"/>
        <v/>
      </c>
      <c r="BM667" s="268" t="str">
        <f t="shared" si="885"/>
        <v/>
      </c>
      <c r="BN667" s="268" t="str">
        <f t="shared" si="885"/>
        <v/>
      </c>
      <c r="BO667" s="268" t="str">
        <f t="shared" si="885"/>
        <v/>
      </c>
      <c r="BP667" s="268" t="str">
        <f t="shared" si="885"/>
        <v/>
      </c>
      <c r="BQ667" s="268" t="str">
        <f t="shared" si="885"/>
        <v/>
      </c>
      <c r="BR667" s="268" t="str">
        <f t="shared" si="885"/>
        <v/>
      </c>
      <c r="BS667" s="268" t="str">
        <f t="shared" si="885"/>
        <v/>
      </c>
      <c r="BT667" s="268" t="str">
        <f t="shared" si="853"/>
        <v/>
      </c>
      <c r="BU667" s="268" t="str">
        <f t="shared" si="854"/>
        <v/>
      </c>
      <c r="BV667" s="247">
        <v>1.56</v>
      </c>
      <c r="BW667" s="729">
        <f t="shared" si="855"/>
        <v>2106</v>
      </c>
      <c r="BX667" s="730">
        <f t="shared" si="856"/>
        <v>16321.5</v>
      </c>
      <c r="BY667" s="731" t="str">
        <f t="shared" si="857"/>
        <v>SR</v>
      </c>
    </row>
    <row r="668" s="698" customFormat="1" customHeight="1" spans="1:77">
      <c r="A668" s="208">
        <v>46139</v>
      </c>
      <c r="B668" s="208">
        <v>46200</v>
      </c>
      <c r="C668" s="268" t="s">
        <v>789</v>
      </c>
      <c r="D668" s="268" t="s">
        <v>790</v>
      </c>
      <c r="E668" s="268" t="s">
        <v>157</v>
      </c>
      <c r="F668" s="270">
        <f>1134-9</f>
        <v>1125</v>
      </c>
      <c r="G668" s="268" t="s">
        <v>341</v>
      </c>
      <c r="H668" s="211" t="str">
        <f>IFERROR(VLOOKUP(E668,名称!A:E,4,0),"")</f>
        <v>三代</v>
      </c>
      <c r="I668" s="268" t="str">
        <f t="shared" si="798"/>
        <v/>
      </c>
      <c r="J668" s="268" t="str">
        <f t="shared" si="799"/>
        <v/>
      </c>
      <c r="K668" s="268" t="str">
        <f t="shared" si="800"/>
        <v/>
      </c>
      <c r="L668" s="268" t="str">
        <f t="shared" si="801"/>
        <v/>
      </c>
      <c r="M668" s="268" t="str">
        <f t="shared" si="802"/>
        <v/>
      </c>
      <c r="N668" s="268" t="str">
        <f t="shared" si="803"/>
        <v/>
      </c>
      <c r="O668" s="268" t="str">
        <f t="shared" si="804"/>
        <v/>
      </c>
      <c r="P668" s="268" t="str">
        <f t="shared" si="805"/>
        <v/>
      </c>
      <c r="Q668" s="268" t="str">
        <f t="shared" si="806"/>
        <v/>
      </c>
      <c r="R668" s="268" t="str">
        <f t="shared" si="807"/>
        <v/>
      </c>
      <c r="S668" s="268" t="str">
        <f t="shared" si="808"/>
        <v/>
      </c>
      <c r="T668" s="268" t="str">
        <f t="shared" si="809"/>
        <v/>
      </c>
      <c r="U668" s="268" t="str">
        <f t="shared" si="810"/>
        <v/>
      </c>
      <c r="V668" s="268" t="str">
        <f t="shared" si="811"/>
        <v/>
      </c>
      <c r="W668" s="268" t="str">
        <f t="shared" si="812"/>
        <v/>
      </c>
      <c r="X668" s="268" t="str">
        <f t="shared" si="813"/>
        <v/>
      </c>
      <c r="Y668" s="268" t="str">
        <f t="shared" si="814"/>
        <v/>
      </c>
      <c r="Z668" s="268" t="str">
        <f t="shared" si="815"/>
        <v/>
      </c>
      <c r="AA668" s="268" t="str">
        <f t="shared" si="816"/>
        <v/>
      </c>
      <c r="AB668" s="268" t="str">
        <f t="shared" si="817"/>
        <v/>
      </c>
      <c r="AC668" s="268" t="str">
        <f t="shared" si="818"/>
        <v/>
      </c>
      <c r="AD668" s="268" t="str">
        <f t="shared" si="819"/>
        <v/>
      </c>
      <c r="AE668" s="268" t="str">
        <f t="shared" si="820"/>
        <v/>
      </c>
      <c r="AF668" s="268" t="str">
        <f t="shared" si="821"/>
        <v/>
      </c>
      <c r="AG668" s="268" t="str">
        <f t="shared" si="822"/>
        <v/>
      </c>
      <c r="AH668" s="268" t="str">
        <f t="shared" si="823"/>
        <v/>
      </c>
      <c r="AI668" s="268" t="str">
        <f t="shared" si="824"/>
        <v/>
      </c>
      <c r="AJ668" s="268" t="str">
        <f t="shared" si="825"/>
        <v/>
      </c>
      <c r="AK668" s="268" t="str">
        <f t="shared" si="826"/>
        <v/>
      </c>
      <c r="AL668" s="268" t="str">
        <f t="shared" si="827"/>
        <v/>
      </c>
      <c r="AM668" s="268" t="str">
        <f t="shared" si="828"/>
        <v/>
      </c>
      <c r="AN668" s="268">
        <f t="shared" si="829"/>
        <v>1125</v>
      </c>
      <c r="AO668" s="268" t="str">
        <f t="shared" si="830"/>
        <v/>
      </c>
      <c r="AP668" s="268" t="str">
        <f t="shared" si="831"/>
        <v/>
      </c>
      <c r="AQ668" s="268" t="str">
        <f t="shared" si="832"/>
        <v/>
      </c>
      <c r="AR668" s="268" t="str">
        <f t="shared" si="833"/>
        <v/>
      </c>
      <c r="AS668" s="268" t="str">
        <f t="shared" si="834"/>
        <v/>
      </c>
      <c r="AT668" s="268" t="str">
        <f t="shared" si="835"/>
        <v/>
      </c>
      <c r="AU668" s="268" t="str">
        <f t="shared" si="836"/>
        <v/>
      </c>
      <c r="AV668" s="268" t="str">
        <f t="shared" si="837"/>
        <v/>
      </c>
      <c r="AW668" s="268" t="str">
        <f t="shared" si="838"/>
        <v/>
      </c>
      <c r="AX668" s="268" t="str">
        <f t="shared" si="839"/>
        <v/>
      </c>
      <c r="AY668" s="268" t="str">
        <f t="shared" si="840"/>
        <v/>
      </c>
      <c r="AZ668" s="268" t="str">
        <f t="shared" si="841"/>
        <v/>
      </c>
      <c r="BA668" s="268" t="str">
        <f t="shared" si="842"/>
        <v/>
      </c>
      <c r="BB668" s="268" t="str">
        <f t="shared" si="843"/>
        <v/>
      </c>
      <c r="BC668" s="268" t="str">
        <f t="shared" si="844"/>
        <v/>
      </c>
      <c r="BD668" s="268" t="str">
        <f t="shared" si="845"/>
        <v/>
      </c>
      <c r="BE668" s="268" t="str">
        <f t="shared" si="846"/>
        <v/>
      </c>
      <c r="BF668" s="268" t="str">
        <f t="shared" si="847"/>
        <v/>
      </c>
      <c r="BG668" s="268" t="str">
        <f t="shared" si="848"/>
        <v/>
      </c>
      <c r="BH668" s="268" t="str">
        <f t="shared" si="849"/>
        <v/>
      </c>
      <c r="BI668" s="268" t="str">
        <f t="shared" si="850"/>
        <v/>
      </c>
      <c r="BJ668" s="268" t="str">
        <f t="shared" si="851"/>
        <v/>
      </c>
      <c r="BK668" s="268" t="str">
        <f t="shared" ref="BK668:BS668" si="886">IF(OR($E668="",BK$1=""),"",IF(TRIM(LEFT($E668,MIN(IFERROR(FIND("CDU",UPPER($E668)),999),IFERROR(FIND("BULK",UPPER($E668)),999),IFERROR(FIND("-",$E668),999),IFERROR(FIND("（",$E668),999))-1))=BK$1,$F668,""))</f>
        <v/>
      </c>
      <c r="BL668" s="268" t="str">
        <f t="shared" si="886"/>
        <v/>
      </c>
      <c r="BM668" s="268" t="str">
        <f t="shared" si="886"/>
        <v/>
      </c>
      <c r="BN668" s="268" t="str">
        <f t="shared" si="886"/>
        <v/>
      </c>
      <c r="BO668" s="268" t="str">
        <f t="shared" si="886"/>
        <v/>
      </c>
      <c r="BP668" s="268" t="str">
        <f t="shared" si="886"/>
        <v/>
      </c>
      <c r="BQ668" s="268" t="str">
        <f t="shared" si="886"/>
        <v/>
      </c>
      <c r="BR668" s="268" t="str">
        <f t="shared" si="886"/>
        <v/>
      </c>
      <c r="BS668" s="268" t="str">
        <f t="shared" si="886"/>
        <v/>
      </c>
      <c r="BT668" s="268" t="str">
        <f t="shared" si="853"/>
        <v/>
      </c>
      <c r="BU668" s="268" t="str">
        <f t="shared" si="854"/>
        <v/>
      </c>
      <c r="BV668" s="247">
        <v>1.56</v>
      </c>
      <c r="BW668" s="729">
        <f t="shared" si="855"/>
        <v>1755</v>
      </c>
      <c r="BX668" s="730">
        <f t="shared" si="856"/>
        <v>13601.25</v>
      </c>
      <c r="BY668" s="731" t="str">
        <f t="shared" si="857"/>
        <v>SR</v>
      </c>
    </row>
    <row r="669" s="698" customFormat="1" customHeight="1" spans="1:77">
      <c r="A669" s="208">
        <v>46139</v>
      </c>
      <c r="B669" s="208">
        <v>46200</v>
      </c>
      <c r="C669" s="268" t="s">
        <v>789</v>
      </c>
      <c r="D669" s="268" t="s">
        <v>790</v>
      </c>
      <c r="E669" s="268" t="s">
        <v>158</v>
      </c>
      <c r="F669" s="270">
        <f>1638+12</f>
        <v>1650</v>
      </c>
      <c r="G669" s="268" t="s">
        <v>341</v>
      </c>
      <c r="H669" s="211" t="str">
        <f>IFERROR(VLOOKUP(E669,名称!A:E,4,0),"")</f>
        <v>三代</v>
      </c>
      <c r="I669" s="268" t="str">
        <f t="shared" si="798"/>
        <v/>
      </c>
      <c r="J669" s="268" t="str">
        <f t="shared" si="799"/>
        <v/>
      </c>
      <c r="K669" s="268" t="str">
        <f t="shared" si="800"/>
        <v/>
      </c>
      <c r="L669" s="268" t="str">
        <f t="shared" si="801"/>
        <v/>
      </c>
      <c r="M669" s="268" t="str">
        <f t="shared" si="802"/>
        <v/>
      </c>
      <c r="N669" s="268" t="str">
        <f t="shared" si="803"/>
        <v/>
      </c>
      <c r="O669" s="268" t="str">
        <f t="shared" si="804"/>
        <v/>
      </c>
      <c r="P669" s="268" t="str">
        <f t="shared" si="805"/>
        <v/>
      </c>
      <c r="Q669" s="268" t="str">
        <f t="shared" si="806"/>
        <v/>
      </c>
      <c r="R669" s="268" t="str">
        <f t="shared" si="807"/>
        <v/>
      </c>
      <c r="S669" s="268" t="str">
        <f t="shared" si="808"/>
        <v/>
      </c>
      <c r="T669" s="268" t="str">
        <f t="shared" si="809"/>
        <v/>
      </c>
      <c r="U669" s="268" t="str">
        <f t="shared" si="810"/>
        <v/>
      </c>
      <c r="V669" s="268" t="str">
        <f t="shared" si="811"/>
        <v/>
      </c>
      <c r="W669" s="268" t="str">
        <f t="shared" si="812"/>
        <v/>
      </c>
      <c r="X669" s="268" t="str">
        <f t="shared" si="813"/>
        <v/>
      </c>
      <c r="Y669" s="268" t="str">
        <f t="shared" si="814"/>
        <v/>
      </c>
      <c r="Z669" s="268" t="str">
        <f t="shared" si="815"/>
        <v/>
      </c>
      <c r="AA669" s="268" t="str">
        <f t="shared" si="816"/>
        <v/>
      </c>
      <c r="AB669" s="268" t="str">
        <f t="shared" si="817"/>
        <v/>
      </c>
      <c r="AC669" s="268" t="str">
        <f t="shared" si="818"/>
        <v/>
      </c>
      <c r="AD669" s="268" t="str">
        <f t="shared" si="819"/>
        <v/>
      </c>
      <c r="AE669" s="268" t="str">
        <f t="shared" si="820"/>
        <v/>
      </c>
      <c r="AF669" s="268" t="str">
        <f t="shared" si="821"/>
        <v/>
      </c>
      <c r="AG669" s="268" t="str">
        <f t="shared" si="822"/>
        <v/>
      </c>
      <c r="AH669" s="268" t="str">
        <f t="shared" si="823"/>
        <v/>
      </c>
      <c r="AI669" s="268" t="str">
        <f t="shared" si="824"/>
        <v/>
      </c>
      <c r="AJ669" s="268" t="str">
        <f t="shared" si="825"/>
        <v/>
      </c>
      <c r="AK669" s="268" t="str">
        <f t="shared" si="826"/>
        <v/>
      </c>
      <c r="AL669" s="268" t="str">
        <f t="shared" si="827"/>
        <v/>
      </c>
      <c r="AM669" s="268" t="str">
        <f t="shared" si="828"/>
        <v/>
      </c>
      <c r="AN669" s="268">
        <f t="shared" si="829"/>
        <v>1650</v>
      </c>
      <c r="AO669" s="268" t="str">
        <f t="shared" si="830"/>
        <v/>
      </c>
      <c r="AP669" s="268" t="str">
        <f t="shared" si="831"/>
        <v/>
      </c>
      <c r="AQ669" s="268" t="str">
        <f t="shared" si="832"/>
        <v/>
      </c>
      <c r="AR669" s="268" t="str">
        <f t="shared" si="833"/>
        <v/>
      </c>
      <c r="AS669" s="268" t="str">
        <f t="shared" si="834"/>
        <v/>
      </c>
      <c r="AT669" s="268" t="str">
        <f t="shared" si="835"/>
        <v/>
      </c>
      <c r="AU669" s="268" t="str">
        <f t="shared" si="836"/>
        <v/>
      </c>
      <c r="AV669" s="268" t="str">
        <f t="shared" si="837"/>
        <v/>
      </c>
      <c r="AW669" s="268" t="str">
        <f t="shared" si="838"/>
        <v/>
      </c>
      <c r="AX669" s="268" t="str">
        <f t="shared" si="839"/>
        <v/>
      </c>
      <c r="AY669" s="268" t="str">
        <f t="shared" si="840"/>
        <v/>
      </c>
      <c r="AZ669" s="268" t="str">
        <f t="shared" si="841"/>
        <v/>
      </c>
      <c r="BA669" s="268" t="str">
        <f t="shared" si="842"/>
        <v/>
      </c>
      <c r="BB669" s="268" t="str">
        <f t="shared" si="843"/>
        <v/>
      </c>
      <c r="BC669" s="268" t="str">
        <f t="shared" si="844"/>
        <v/>
      </c>
      <c r="BD669" s="268" t="str">
        <f t="shared" si="845"/>
        <v/>
      </c>
      <c r="BE669" s="268" t="str">
        <f t="shared" si="846"/>
        <v/>
      </c>
      <c r="BF669" s="268" t="str">
        <f t="shared" si="847"/>
        <v/>
      </c>
      <c r="BG669" s="268" t="str">
        <f t="shared" si="848"/>
        <v/>
      </c>
      <c r="BH669" s="268" t="str">
        <f t="shared" si="849"/>
        <v/>
      </c>
      <c r="BI669" s="268" t="str">
        <f t="shared" si="850"/>
        <v/>
      </c>
      <c r="BJ669" s="268" t="str">
        <f t="shared" si="851"/>
        <v/>
      </c>
      <c r="BK669" s="268" t="str">
        <f t="shared" ref="BK669:BS669" si="887">IF(OR($E669="",BK$1=""),"",IF(TRIM(LEFT($E669,MIN(IFERROR(FIND("CDU",UPPER($E669)),999),IFERROR(FIND("BULK",UPPER($E669)),999),IFERROR(FIND("-",$E669),999),IFERROR(FIND("（",$E669),999))-1))=BK$1,$F669,""))</f>
        <v/>
      </c>
      <c r="BL669" s="268" t="str">
        <f t="shared" si="887"/>
        <v/>
      </c>
      <c r="BM669" s="268" t="str">
        <f t="shared" si="887"/>
        <v/>
      </c>
      <c r="BN669" s="268" t="str">
        <f t="shared" si="887"/>
        <v/>
      </c>
      <c r="BO669" s="268" t="str">
        <f t="shared" si="887"/>
        <v/>
      </c>
      <c r="BP669" s="268" t="str">
        <f t="shared" si="887"/>
        <v/>
      </c>
      <c r="BQ669" s="268" t="str">
        <f t="shared" si="887"/>
        <v/>
      </c>
      <c r="BR669" s="268" t="str">
        <f t="shared" si="887"/>
        <v/>
      </c>
      <c r="BS669" s="268" t="str">
        <f t="shared" si="887"/>
        <v/>
      </c>
      <c r="BT669" s="268" t="str">
        <f t="shared" si="853"/>
        <v/>
      </c>
      <c r="BU669" s="268" t="str">
        <f t="shared" si="854"/>
        <v/>
      </c>
      <c r="BV669" s="247">
        <v>1.56</v>
      </c>
      <c r="BW669" s="729">
        <f t="shared" si="855"/>
        <v>2574</v>
      </c>
      <c r="BX669" s="730">
        <f t="shared" si="856"/>
        <v>19948.5</v>
      </c>
      <c r="BY669" s="731" t="str">
        <f t="shared" si="857"/>
        <v>SR</v>
      </c>
    </row>
    <row r="670" s="698" customFormat="1" customHeight="1" spans="1:77">
      <c r="A670" s="208">
        <v>46139</v>
      </c>
      <c r="B670" s="208">
        <v>46200</v>
      </c>
      <c r="C670" s="268" t="s">
        <v>789</v>
      </c>
      <c r="D670" s="268" t="s">
        <v>790</v>
      </c>
      <c r="E670" s="268" t="s">
        <v>159</v>
      </c>
      <c r="F670" s="270">
        <f>1386-36</f>
        <v>1350</v>
      </c>
      <c r="G670" s="268" t="s">
        <v>341</v>
      </c>
      <c r="H670" s="211" t="str">
        <f>IFERROR(VLOOKUP(E670,名称!A:E,4,0),"")</f>
        <v>三代</v>
      </c>
      <c r="I670" s="268" t="str">
        <f t="shared" si="798"/>
        <v/>
      </c>
      <c r="J670" s="268" t="str">
        <f t="shared" si="799"/>
        <v/>
      </c>
      <c r="K670" s="268" t="str">
        <f t="shared" si="800"/>
        <v/>
      </c>
      <c r="L670" s="268" t="str">
        <f t="shared" si="801"/>
        <v/>
      </c>
      <c r="M670" s="268" t="str">
        <f t="shared" si="802"/>
        <v/>
      </c>
      <c r="N670" s="268" t="str">
        <f t="shared" si="803"/>
        <v/>
      </c>
      <c r="O670" s="268" t="str">
        <f t="shared" si="804"/>
        <v/>
      </c>
      <c r="P670" s="268" t="str">
        <f t="shared" si="805"/>
        <v/>
      </c>
      <c r="Q670" s="268" t="str">
        <f t="shared" si="806"/>
        <v/>
      </c>
      <c r="R670" s="268" t="str">
        <f t="shared" si="807"/>
        <v/>
      </c>
      <c r="S670" s="268" t="str">
        <f t="shared" si="808"/>
        <v/>
      </c>
      <c r="T670" s="268" t="str">
        <f t="shared" si="809"/>
        <v/>
      </c>
      <c r="U670" s="268" t="str">
        <f t="shared" si="810"/>
        <v/>
      </c>
      <c r="V670" s="268" t="str">
        <f t="shared" si="811"/>
        <v/>
      </c>
      <c r="W670" s="268" t="str">
        <f t="shared" si="812"/>
        <v/>
      </c>
      <c r="X670" s="268" t="str">
        <f t="shared" si="813"/>
        <v/>
      </c>
      <c r="Y670" s="268" t="str">
        <f t="shared" si="814"/>
        <v/>
      </c>
      <c r="Z670" s="268" t="str">
        <f t="shared" si="815"/>
        <v/>
      </c>
      <c r="AA670" s="268" t="str">
        <f t="shared" si="816"/>
        <v/>
      </c>
      <c r="AB670" s="268" t="str">
        <f t="shared" si="817"/>
        <v/>
      </c>
      <c r="AC670" s="268" t="str">
        <f t="shared" si="818"/>
        <v/>
      </c>
      <c r="AD670" s="268" t="str">
        <f t="shared" si="819"/>
        <v/>
      </c>
      <c r="AE670" s="268" t="str">
        <f t="shared" si="820"/>
        <v/>
      </c>
      <c r="AF670" s="268" t="str">
        <f t="shared" si="821"/>
        <v/>
      </c>
      <c r="AG670" s="268" t="str">
        <f t="shared" si="822"/>
        <v/>
      </c>
      <c r="AH670" s="268" t="str">
        <f t="shared" si="823"/>
        <v/>
      </c>
      <c r="AI670" s="268" t="str">
        <f t="shared" si="824"/>
        <v/>
      </c>
      <c r="AJ670" s="268" t="str">
        <f t="shared" si="825"/>
        <v/>
      </c>
      <c r="AK670" s="268" t="str">
        <f t="shared" si="826"/>
        <v/>
      </c>
      <c r="AL670" s="268" t="str">
        <f t="shared" si="827"/>
        <v/>
      </c>
      <c r="AM670" s="268" t="str">
        <f t="shared" si="828"/>
        <v/>
      </c>
      <c r="AN670" s="268">
        <f t="shared" si="829"/>
        <v>1350</v>
      </c>
      <c r="AO670" s="268" t="str">
        <f t="shared" si="830"/>
        <v/>
      </c>
      <c r="AP670" s="268" t="str">
        <f t="shared" si="831"/>
        <v/>
      </c>
      <c r="AQ670" s="268" t="str">
        <f t="shared" si="832"/>
        <v/>
      </c>
      <c r="AR670" s="268" t="str">
        <f t="shared" si="833"/>
        <v/>
      </c>
      <c r="AS670" s="268" t="str">
        <f t="shared" si="834"/>
        <v/>
      </c>
      <c r="AT670" s="268" t="str">
        <f t="shared" si="835"/>
        <v/>
      </c>
      <c r="AU670" s="268" t="str">
        <f t="shared" si="836"/>
        <v/>
      </c>
      <c r="AV670" s="268" t="str">
        <f t="shared" si="837"/>
        <v/>
      </c>
      <c r="AW670" s="268" t="str">
        <f t="shared" si="838"/>
        <v/>
      </c>
      <c r="AX670" s="268" t="str">
        <f t="shared" si="839"/>
        <v/>
      </c>
      <c r="AY670" s="268" t="str">
        <f t="shared" si="840"/>
        <v/>
      </c>
      <c r="AZ670" s="268" t="str">
        <f t="shared" si="841"/>
        <v/>
      </c>
      <c r="BA670" s="268" t="str">
        <f t="shared" si="842"/>
        <v/>
      </c>
      <c r="BB670" s="268" t="str">
        <f t="shared" si="843"/>
        <v/>
      </c>
      <c r="BC670" s="268" t="str">
        <f t="shared" si="844"/>
        <v/>
      </c>
      <c r="BD670" s="268" t="str">
        <f t="shared" si="845"/>
        <v/>
      </c>
      <c r="BE670" s="268" t="str">
        <f t="shared" si="846"/>
        <v/>
      </c>
      <c r="BF670" s="268" t="str">
        <f t="shared" si="847"/>
        <v/>
      </c>
      <c r="BG670" s="268" t="str">
        <f t="shared" si="848"/>
        <v/>
      </c>
      <c r="BH670" s="268" t="str">
        <f t="shared" si="849"/>
        <v/>
      </c>
      <c r="BI670" s="268" t="str">
        <f t="shared" si="850"/>
        <v/>
      </c>
      <c r="BJ670" s="268" t="str">
        <f t="shared" si="851"/>
        <v/>
      </c>
      <c r="BK670" s="268" t="str">
        <f t="shared" ref="BK670:BS670" si="888">IF(OR($E670="",BK$1=""),"",IF(TRIM(LEFT($E670,MIN(IFERROR(FIND("CDU",UPPER($E670)),999),IFERROR(FIND("BULK",UPPER($E670)),999),IFERROR(FIND("-",$E670),999),IFERROR(FIND("（",$E670),999))-1))=BK$1,$F670,""))</f>
        <v/>
      </c>
      <c r="BL670" s="268" t="str">
        <f t="shared" si="888"/>
        <v/>
      </c>
      <c r="BM670" s="268" t="str">
        <f t="shared" si="888"/>
        <v/>
      </c>
      <c r="BN670" s="268" t="str">
        <f t="shared" si="888"/>
        <v/>
      </c>
      <c r="BO670" s="268" t="str">
        <f t="shared" si="888"/>
        <v/>
      </c>
      <c r="BP670" s="268" t="str">
        <f t="shared" si="888"/>
        <v/>
      </c>
      <c r="BQ670" s="268" t="str">
        <f t="shared" si="888"/>
        <v/>
      </c>
      <c r="BR670" s="268" t="str">
        <f t="shared" si="888"/>
        <v/>
      </c>
      <c r="BS670" s="268" t="str">
        <f t="shared" si="888"/>
        <v/>
      </c>
      <c r="BT670" s="268" t="str">
        <f t="shared" si="853"/>
        <v/>
      </c>
      <c r="BU670" s="268" t="str">
        <f t="shared" si="854"/>
        <v/>
      </c>
      <c r="BV670" s="247">
        <v>1.56</v>
      </c>
      <c r="BW670" s="729">
        <f t="shared" si="855"/>
        <v>2106</v>
      </c>
      <c r="BX670" s="730">
        <f t="shared" si="856"/>
        <v>16321.5</v>
      </c>
      <c r="BY670" s="731" t="str">
        <f t="shared" si="857"/>
        <v>SR</v>
      </c>
    </row>
    <row r="671" s="697" customFormat="1" customHeight="1" spans="1:77">
      <c r="A671" s="116">
        <v>46139</v>
      </c>
      <c r="B671" s="116">
        <v>46200</v>
      </c>
      <c r="C671" s="418" t="s">
        <v>789</v>
      </c>
      <c r="D671" s="418" t="s">
        <v>790</v>
      </c>
      <c r="E671" s="418" t="s">
        <v>166</v>
      </c>
      <c r="F671" s="737">
        <f>5292-42</f>
        <v>5250</v>
      </c>
      <c r="G671" s="418" t="s">
        <v>341</v>
      </c>
      <c r="H671" s="118" t="str">
        <f>IFERROR(VLOOKUP(E671,名称!A:E,4,0),"")</f>
        <v>三代</v>
      </c>
      <c r="I671" s="418" t="str">
        <f t="shared" si="798"/>
        <v/>
      </c>
      <c r="J671" s="418" t="str">
        <f t="shared" si="799"/>
        <v/>
      </c>
      <c r="K671" s="418" t="str">
        <f t="shared" si="800"/>
        <v/>
      </c>
      <c r="L671" s="418" t="str">
        <f t="shared" si="801"/>
        <v/>
      </c>
      <c r="M671" s="418" t="str">
        <f t="shared" si="802"/>
        <v/>
      </c>
      <c r="N671" s="418" t="str">
        <f t="shared" si="803"/>
        <v/>
      </c>
      <c r="O671" s="418" t="str">
        <f t="shared" si="804"/>
        <v/>
      </c>
      <c r="P671" s="418" t="str">
        <f t="shared" si="805"/>
        <v/>
      </c>
      <c r="Q671" s="418" t="str">
        <f t="shared" si="806"/>
        <v/>
      </c>
      <c r="R671" s="418" t="str">
        <f t="shared" si="807"/>
        <v/>
      </c>
      <c r="S671" s="418" t="str">
        <f t="shared" si="808"/>
        <v/>
      </c>
      <c r="T671" s="418" t="str">
        <f t="shared" si="809"/>
        <v/>
      </c>
      <c r="U671" s="418" t="str">
        <f t="shared" si="810"/>
        <v/>
      </c>
      <c r="V671" s="418" t="str">
        <f t="shared" si="811"/>
        <v/>
      </c>
      <c r="W671" s="418" t="str">
        <f t="shared" si="812"/>
        <v/>
      </c>
      <c r="X671" s="418" t="str">
        <f t="shared" si="813"/>
        <v/>
      </c>
      <c r="Y671" s="418" t="str">
        <f t="shared" si="814"/>
        <v/>
      </c>
      <c r="Z671" s="418" t="str">
        <f t="shared" si="815"/>
        <v/>
      </c>
      <c r="AA671" s="418" t="str">
        <f t="shared" si="816"/>
        <v/>
      </c>
      <c r="AB671" s="418" t="str">
        <f t="shared" si="817"/>
        <v/>
      </c>
      <c r="AC671" s="418" t="str">
        <f t="shared" si="818"/>
        <v/>
      </c>
      <c r="AD671" s="418" t="str">
        <f t="shared" si="819"/>
        <v/>
      </c>
      <c r="AE671" s="418" t="str">
        <f t="shared" si="820"/>
        <v/>
      </c>
      <c r="AF671" s="418" t="str">
        <f t="shared" si="821"/>
        <v/>
      </c>
      <c r="AG671" s="418" t="str">
        <f t="shared" si="822"/>
        <v/>
      </c>
      <c r="AH671" s="418" t="str">
        <f t="shared" si="823"/>
        <v/>
      </c>
      <c r="AI671" s="418" t="str">
        <f t="shared" si="824"/>
        <v/>
      </c>
      <c r="AJ671" s="418" t="str">
        <f t="shared" si="825"/>
        <v/>
      </c>
      <c r="AK671" s="418" t="str">
        <f t="shared" si="826"/>
        <v/>
      </c>
      <c r="AL671" s="418" t="str">
        <f t="shared" si="827"/>
        <v/>
      </c>
      <c r="AM671" s="418" t="str">
        <f t="shared" si="828"/>
        <v/>
      </c>
      <c r="AN671" s="418" t="str">
        <f t="shared" si="829"/>
        <v/>
      </c>
      <c r="AO671" s="418" t="str">
        <f t="shared" si="830"/>
        <v/>
      </c>
      <c r="AP671" s="418" t="str">
        <f t="shared" si="831"/>
        <v/>
      </c>
      <c r="AQ671" s="418" t="str">
        <f t="shared" si="832"/>
        <v/>
      </c>
      <c r="AR671" s="418" t="str">
        <f t="shared" si="833"/>
        <v/>
      </c>
      <c r="AS671" s="418" t="str">
        <f t="shared" si="834"/>
        <v/>
      </c>
      <c r="AT671" s="418">
        <f t="shared" si="835"/>
        <v>5250</v>
      </c>
      <c r="AU671" s="418" t="str">
        <f t="shared" si="836"/>
        <v/>
      </c>
      <c r="AV671" s="418" t="str">
        <f t="shared" si="837"/>
        <v/>
      </c>
      <c r="AW671" s="418" t="str">
        <f t="shared" si="838"/>
        <v/>
      </c>
      <c r="AX671" s="418" t="str">
        <f t="shared" si="839"/>
        <v/>
      </c>
      <c r="AY671" s="418" t="str">
        <f t="shared" si="840"/>
        <v/>
      </c>
      <c r="AZ671" s="418" t="str">
        <f t="shared" si="841"/>
        <v/>
      </c>
      <c r="BA671" s="418" t="str">
        <f t="shared" si="842"/>
        <v/>
      </c>
      <c r="BB671" s="418" t="str">
        <f t="shared" si="843"/>
        <v/>
      </c>
      <c r="BC671" s="418" t="str">
        <f t="shared" si="844"/>
        <v/>
      </c>
      <c r="BD671" s="418" t="str">
        <f t="shared" si="845"/>
        <v/>
      </c>
      <c r="BE671" s="418" t="str">
        <f t="shared" si="846"/>
        <v/>
      </c>
      <c r="BF671" s="418" t="str">
        <f t="shared" si="847"/>
        <v/>
      </c>
      <c r="BG671" s="418" t="str">
        <f t="shared" si="848"/>
        <v/>
      </c>
      <c r="BH671" s="418" t="str">
        <f t="shared" si="849"/>
        <v/>
      </c>
      <c r="BI671" s="418" t="str">
        <f t="shared" si="850"/>
        <v/>
      </c>
      <c r="BJ671" s="418" t="str">
        <f t="shared" si="851"/>
        <v/>
      </c>
      <c r="BK671" s="418" t="str">
        <f t="shared" ref="BK671:BS671" si="889">IF(OR($E671="",BK$1=""),"",IF(TRIM(LEFT($E671,MIN(IFERROR(FIND("CDU",UPPER($E671)),999),IFERROR(FIND("BULK",UPPER($E671)),999),IFERROR(FIND("-",$E671),999),IFERROR(FIND("（",$E671),999))-1))=BK$1,$F671,""))</f>
        <v/>
      </c>
      <c r="BL671" s="418" t="str">
        <f t="shared" si="889"/>
        <v/>
      </c>
      <c r="BM671" s="418" t="str">
        <f t="shared" si="889"/>
        <v/>
      </c>
      <c r="BN671" s="418" t="str">
        <f t="shared" si="889"/>
        <v/>
      </c>
      <c r="BO671" s="418" t="str">
        <f t="shared" si="889"/>
        <v/>
      </c>
      <c r="BP671" s="418" t="str">
        <f t="shared" si="889"/>
        <v/>
      </c>
      <c r="BQ671" s="418" t="str">
        <f t="shared" si="889"/>
        <v/>
      </c>
      <c r="BR671" s="418" t="str">
        <f t="shared" si="889"/>
        <v/>
      </c>
      <c r="BS671" s="418" t="str">
        <f t="shared" si="889"/>
        <v/>
      </c>
      <c r="BT671" s="418" t="str">
        <f t="shared" si="853"/>
        <v/>
      </c>
      <c r="BU671" s="418" t="str">
        <f t="shared" si="854"/>
        <v/>
      </c>
      <c r="BV671" s="544">
        <v>0.61</v>
      </c>
      <c r="BW671" s="723">
        <f t="shared" si="855"/>
        <v>3202.5</v>
      </c>
      <c r="BX671" s="724">
        <f t="shared" si="856"/>
        <v>24819.38</v>
      </c>
      <c r="BY671" s="725" t="str">
        <f t="shared" si="857"/>
        <v>SR</v>
      </c>
    </row>
    <row r="672" s="698" customFormat="1" customHeight="1" spans="1:77">
      <c r="A672" s="208">
        <v>46139</v>
      </c>
      <c r="B672" s="208">
        <v>46200</v>
      </c>
      <c r="C672" s="268" t="s">
        <v>789</v>
      </c>
      <c r="D672" s="268" t="s">
        <v>790</v>
      </c>
      <c r="E672" s="268" t="s">
        <v>168</v>
      </c>
      <c r="F672" s="343">
        <v>3264</v>
      </c>
      <c r="G672" s="268" t="s">
        <v>341</v>
      </c>
      <c r="H672" s="211" t="str">
        <f>IFERROR(VLOOKUP(E672,名称!A:E,4,0),"")</f>
        <v>三代</v>
      </c>
      <c r="I672" s="268" t="str">
        <f t="shared" ref="I672:I711" si="890">IF(OR($E672="",I$1=""),"",IF(TRIM(LEFT($E672,MIN(IFERROR(FIND("CDU",UPPER($E672)),999),IFERROR(FIND("BULK",UPPER($E672)),999),IFERROR(FIND("-",$E672),999),IFERROR(FIND("（",$E672),999))-1))=I$1,$F672,""))</f>
        <v/>
      </c>
      <c r="J672" s="268" t="str">
        <f t="shared" ref="J672:J711" si="891">IF(OR($E672="",J$1=""),"",IF(TRIM(LEFT($E672,MIN(IFERROR(FIND("CDU",UPPER($E672)),999),IFERROR(FIND("BULK",UPPER($E672)),999),IFERROR(FIND("-",$E672),999),IFERROR(FIND("（",$E672),999))-1))=J$1,$F672,""))</f>
        <v/>
      </c>
      <c r="K672" s="268" t="str">
        <f t="shared" ref="K672:K711" si="892">IF(OR($E672="",K$1=""),"",IF(TRIM(LEFT($E672,MIN(IFERROR(FIND("CDU",UPPER($E672)),999),IFERROR(FIND("BULK",UPPER($E672)),999),IFERROR(FIND("-",$E672),999),IFERROR(FIND("（",$E672),999))-1))=K$1,$F672,""))</f>
        <v/>
      </c>
      <c r="L672" s="268" t="str">
        <f t="shared" ref="L672:L711" si="893">IF(OR($E672="",L$1=""),"",IF(TRIM(LEFT($E672,MIN(IFERROR(FIND("CDU",UPPER($E672)),999),IFERROR(FIND("BULK",UPPER($E672)),999),IFERROR(FIND("-",$E672),999),IFERROR(FIND("（",$E672),999))-1))=L$1,$F672,""))</f>
        <v/>
      </c>
      <c r="M672" s="268" t="str">
        <f t="shared" ref="M672:M711" si="894">IF(OR($E672="",M$1=""),"",IF(TRIM(LEFT($E672,MIN(IFERROR(FIND("CDU",UPPER($E672)),999),IFERROR(FIND("BULK",UPPER($E672)),999),IFERROR(FIND("-",$E672),999),IFERROR(FIND("（",$E672),999))-1))=M$1,$F672,""))</f>
        <v/>
      </c>
      <c r="N672" s="268" t="str">
        <f t="shared" ref="N672:N711" si="895">IF(OR($E672="",N$1=""),"",IF(TRIM(LEFT($E672,MIN(IFERROR(FIND("CDU",UPPER($E672)),999),IFERROR(FIND("BULK",UPPER($E672)),999),IFERROR(FIND("-",$E672),999),IFERROR(FIND("（",$E672),999))-1))=N$1,$F672,""))</f>
        <v/>
      </c>
      <c r="O672" s="268" t="str">
        <f t="shared" ref="O672:O711" si="896">IF(OR($E672="",O$1=""),"",IF(TRIM(LEFT($E672,MIN(IFERROR(FIND("CDU",UPPER($E672)),999),IFERROR(FIND("BULK",UPPER($E672)),999),IFERROR(FIND("-",$E672),999),IFERROR(FIND("（",$E672),999))-1))=O$1,$F672,""))</f>
        <v/>
      </c>
      <c r="P672" s="268" t="str">
        <f t="shared" ref="P672:P711" si="897">IF(OR($E672="",P$1=""),"",IF(TRIM(LEFT($E672,MIN(IFERROR(FIND("CDU",UPPER($E672)),999),IFERROR(FIND("BULK",UPPER($E672)),999),IFERROR(FIND("-",$E672),999),IFERROR(FIND("（",$E672),999))-1))=P$1,$F672,""))</f>
        <v/>
      </c>
      <c r="Q672" s="268" t="str">
        <f t="shared" ref="Q672:Q711" si="898">IF(OR($E672="",Q$1=""),"",IF(TRIM(LEFT($E672,MIN(IFERROR(FIND("CDU",UPPER($E672)),999),IFERROR(FIND("BULK",UPPER($E672)),999),IFERROR(FIND("-",$E672),999),IFERROR(FIND("（",$E672),999))-1))=Q$1,$F672,""))</f>
        <v/>
      </c>
      <c r="R672" s="268" t="str">
        <f t="shared" ref="R672:R711" si="899">IF(OR($E672="",R$1=""),"",IF(TRIM(LEFT($E672,MIN(IFERROR(FIND("CDU",UPPER($E672)),999),IFERROR(FIND("BULK",UPPER($E672)),999),IFERROR(FIND("-",$E672),999),IFERROR(FIND("（",$E672),999))-1))=R$1,$F672,""))</f>
        <v/>
      </c>
      <c r="S672" s="268" t="str">
        <f t="shared" ref="S672:S711" si="900">IF(OR($E672="",S$1=""),"",IF(TRIM(LEFT($E672,MIN(IFERROR(FIND("CDU",UPPER($E672)),999),IFERROR(FIND("BULK",UPPER($E672)),999),IFERROR(FIND("-",$E672),999),IFERROR(FIND("（",$E672),999))-1))=S$1,$F672,""))</f>
        <v/>
      </c>
      <c r="T672" s="268" t="str">
        <f t="shared" ref="T672:T711" si="901">IF(OR($E672="",T$1=""),"",IF(TRIM(LEFT($E672,MIN(IFERROR(FIND("CDU",UPPER($E672)),999),IFERROR(FIND("BULK",UPPER($E672)),999),IFERROR(FIND("-",$E672),999),IFERROR(FIND("（",$E672),999))-1))=T$1,$F672,""))</f>
        <v/>
      </c>
      <c r="U672" s="268" t="str">
        <f t="shared" ref="U672:U711" si="902">IF(OR($E672="",U$1=""),"",IF(TRIM(LEFT($E672,MIN(IFERROR(FIND("CDU",UPPER($E672)),999),IFERROR(FIND("BULK",UPPER($E672)),999),IFERROR(FIND("-",$E672),999),IFERROR(FIND("（",$E672),999))-1))=U$1,$F672,""))</f>
        <v/>
      </c>
      <c r="V672" s="268" t="str">
        <f t="shared" ref="V672:V711" si="903">IF(OR($E672="",V$1=""),"",IF(TRIM(LEFT($E672,MIN(IFERROR(FIND("CDU",UPPER($E672)),999),IFERROR(FIND("BULK",UPPER($E672)),999),IFERROR(FIND("-",$E672),999),IFERROR(FIND("（",$E672),999))-1))=V$1,$F672,""))</f>
        <v/>
      </c>
      <c r="W672" s="268" t="str">
        <f t="shared" ref="W672:W711" si="904">IF(OR($E672="",W$1=""),"",IF(TRIM(LEFT($E672,MIN(IFERROR(FIND("CDU",UPPER($E672)),999),IFERROR(FIND("BULK",UPPER($E672)),999),IFERROR(FIND("-",$E672),999),IFERROR(FIND("（",$E672),999))-1))=W$1,$F672,""))</f>
        <v/>
      </c>
      <c r="X672" s="268" t="str">
        <f t="shared" ref="X672:X711" si="905">IF(OR($E672="",X$1=""),"",IF(TRIM(LEFT($E672,MIN(IFERROR(FIND("CDU",UPPER($E672)),999),IFERROR(FIND("BULK",UPPER($E672)),999),IFERROR(FIND("-",$E672),999),IFERROR(FIND("（",$E672),999))-1))=X$1,$F672,""))</f>
        <v/>
      </c>
      <c r="Y672" s="268" t="str">
        <f t="shared" ref="Y672:Y711" si="906">IF(OR($E672="",Y$1=""),"",IF(TRIM(LEFT($E672,MIN(IFERROR(FIND("CDU",UPPER($E672)),999),IFERROR(FIND("BULK",UPPER($E672)),999),IFERROR(FIND("-",$E672),999),IFERROR(FIND("（",$E672),999))-1))=Y$1,$F672,""))</f>
        <v/>
      </c>
      <c r="Z672" s="268" t="str">
        <f t="shared" ref="Z672:Z711" si="907">IF(OR($E672="",Z$1=""),"",IF(TRIM(LEFT($E672,MIN(IFERROR(FIND("CDU",UPPER($E672)),999),IFERROR(FIND("BULK",UPPER($E672)),999),IFERROR(FIND("-",$E672),999),IFERROR(FIND("（",$E672),999))-1))=Z$1,$F672,""))</f>
        <v/>
      </c>
      <c r="AA672" s="268" t="str">
        <f t="shared" ref="AA672:AA711" si="908">IF(OR($E672="",AA$1=""),"",IF(TRIM(LEFT($E672,MIN(IFERROR(FIND("CDU",UPPER($E672)),999),IFERROR(FIND("BULK",UPPER($E672)),999),IFERROR(FIND("-",$E672),999),IFERROR(FIND("（",$E672),999))-1))=AA$1,$F672,""))</f>
        <v/>
      </c>
      <c r="AB672" s="268" t="str">
        <f t="shared" ref="AB672:AB711" si="909">IF(OR($E672="",AB$1=""),"",IF(TRIM(LEFT($E672,MIN(IFERROR(FIND("CDU",UPPER($E672)),999),IFERROR(FIND("BULK",UPPER($E672)),999),IFERROR(FIND("-",$E672),999),IFERROR(FIND("（",$E672),999))-1))=AB$1,$F672,""))</f>
        <v/>
      </c>
      <c r="AC672" s="268" t="str">
        <f t="shared" ref="AC672:AC711" si="910">IF(OR($E672="",AC$1=""),"",IF(TRIM(LEFT($E672,MIN(IFERROR(FIND("CDU",UPPER($E672)),999),IFERROR(FIND("BULK",UPPER($E672)),999),IFERROR(FIND("-",$E672),999),IFERROR(FIND("（",$E672),999))-1))=AC$1,$F672,""))</f>
        <v/>
      </c>
      <c r="AD672" s="268" t="str">
        <f t="shared" ref="AD672:AD711" si="911">IF(OR($E672="",AD$1=""),"",IF(TRIM(LEFT($E672,MIN(IFERROR(FIND("CDU",UPPER($E672)),999),IFERROR(FIND("BULK",UPPER($E672)),999),IFERROR(FIND("-",$E672),999),IFERROR(FIND("（",$E672),999))-1))=AD$1,$F672,""))</f>
        <v/>
      </c>
      <c r="AE672" s="268" t="str">
        <f t="shared" ref="AE672:AE711" si="912">IF(OR($E672="",AE$1=""),"",IF(TRIM(LEFT($E672,MIN(IFERROR(FIND("CDU",UPPER($E672)),999),IFERROR(FIND("BULK",UPPER($E672)),999),IFERROR(FIND("-",$E672),999),IFERROR(FIND("（",$E672),999))-1))=AE$1,$F672,""))</f>
        <v/>
      </c>
      <c r="AF672" s="268" t="str">
        <f t="shared" ref="AF672:AF711" si="913">IF(OR($E672="",AF$1=""),"",IF(TRIM(LEFT($E672,MIN(IFERROR(FIND("CDU",UPPER($E672)),999),IFERROR(FIND("BULK",UPPER($E672)),999),IFERROR(FIND("-",$E672),999),IFERROR(FIND("（",$E672),999))-1))=AF$1,$F672,""))</f>
        <v/>
      </c>
      <c r="AG672" s="268" t="str">
        <f t="shared" ref="AG672:AG711" si="914">IF(OR($E672="",AG$1=""),"",IF(TRIM(LEFT($E672,MIN(IFERROR(FIND("CDU",UPPER($E672)),999),IFERROR(FIND("BULK",UPPER($E672)),999),IFERROR(FIND("-",$E672),999),IFERROR(FIND("（",$E672),999))-1))=AG$1,$F672,""))</f>
        <v/>
      </c>
      <c r="AH672" s="268" t="str">
        <f t="shared" ref="AH672:AH711" si="915">IF(OR($E672="",AH$1=""),"",IF(TRIM(LEFT($E672,MIN(IFERROR(FIND("CDU",UPPER($E672)),999),IFERROR(FIND("BULK",UPPER($E672)),999),IFERROR(FIND("-",$E672),999),IFERROR(FIND("（",$E672),999))-1))=AH$1,$F672,""))</f>
        <v/>
      </c>
      <c r="AI672" s="268" t="str">
        <f t="shared" ref="AI672:AI711" si="916">IF(OR($E672="",AI$1=""),"",IF(TRIM(LEFT($E672,MIN(IFERROR(FIND("CDU",UPPER($E672)),999),IFERROR(FIND("BULK",UPPER($E672)),999),IFERROR(FIND("-",$E672),999),IFERROR(FIND("（",$E672),999))-1))=AI$1,$F672,""))</f>
        <v/>
      </c>
      <c r="AJ672" s="268" t="str">
        <f t="shared" ref="AJ672:AJ711" si="917">IF(OR($E672="",AJ$1=""),"",IF(TRIM(LEFT($E672,MIN(IFERROR(FIND("CDU",UPPER($E672)),999),IFERROR(FIND("BULK",UPPER($E672)),999),IFERROR(FIND("-",$E672),999),IFERROR(FIND("（",$E672),999))-1))=AJ$1,$F672,""))</f>
        <v/>
      </c>
      <c r="AK672" s="268" t="str">
        <f t="shared" ref="AK672:AK711" si="918">IF(OR($E672="",AK$1=""),"",IF(TRIM(LEFT($E672,MIN(IFERROR(FIND("CDU",UPPER($E672)),999),IFERROR(FIND("BULK",UPPER($E672)),999),IFERROR(FIND("-",$E672),999),IFERROR(FIND("（",$E672),999))-1))=AK$1,$F672,""))</f>
        <v/>
      </c>
      <c r="AL672" s="268" t="str">
        <f t="shared" ref="AL672:AL711" si="919">IF(OR($E672="",AL$1=""),"",IF(TRIM(LEFT($E672,MIN(IFERROR(FIND("CDU",UPPER($E672)),999),IFERROR(FIND("BULK",UPPER($E672)),999),IFERROR(FIND("-",$E672),999),IFERROR(FIND("（",$E672),999))-1))=AL$1,$F672,""))</f>
        <v/>
      </c>
      <c r="AM672" s="268" t="str">
        <f t="shared" ref="AM672:AM711" si="920">IF(OR($E672="",AM$1=""),"",IF(TRIM(LEFT($E672,MIN(IFERROR(FIND("CDU",UPPER($E672)),999),IFERROR(FIND("BULK",UPPER($E672)),999),IFERROR(FIND("-",$E672),999),IFERROR(FIND("（",$E672),999))-1))=AM$1,$F672,""))</f>
        <v/>
      </c>
      <c r="AN672" s="268" t="str">
        <f t="shared" ref="AN672:AN711" si="921">IF(OR($E672="",AN$1=""),"",IF(TRIM(LEFT($E672,MIN(IFERROR(FIND("CDU",UPPER($E672)),999),IFERROR(FIND("BULK",UPPER($E672)),999),IFERROR(FIND("-",$E672),999),IFERROR(FIND("（",$E672),999))-1))=AN$1,$F672,""))</f>
        <v/>
      </c>
      <c r="AO672" s="268" t="str">
        <f t="shared" ref="AO672:AO711" si="922">IF(OR($E672="",AO$1=""),"",IF(TRIM(LEFT($E672,MIN(IFERROR(FIND("CDU",UPPER($E672)),999),IFERROR(FIND("BULK",UPPER($E672)),999),IFERROR(FIND("-",$E672),999),IFERROR(FIND("（",$E672),999))-1))=AO$1,$F672,""))</f>
        <v/>
      </c>
      <c r="AP672" s="268" t="str">
        <f t="shared" ref="AP672:AP711" si="923">IF(OR($E672="",AP$1=""),"",IF(TRIM(LEFT($E672,MIN(IFERROR(FIND("CDU",UPPER($E672)),999),IFERROR(FIND("BULK",UPPER($E672)),999),IFERROR(FIND("-",$E672),999),IFERROR(FIND("（",$E672),999))-1))=AP$1,$F672,""))</f>
        <v/>
      </c>
      <c r="AQ672" s="268" t="str">
        <f t="shared" ref="AQ672:AQ711" si="924">IF(OR($E672="",AQ$1=""),"",IF(TRIM(LEFT($E672,MIN(IFERROR(FIND("CDU",UPPER($E672)),999),IFERROR(FIND("BULK",UPPER($E672)),999),IFERROR(FIND("-",$E672),999),IFERROR(FIND("（",$E672),999))-1))=AQ$1,$F672,""))</f>
        <v/>
      </c>
      <c r="AR672" s="268" t="str">
        <f t="shared" ref="AR672:AR711" si="925">IF(OR($E672="",AR$1=""),"",IF(TRIM(LEFT($E672,MIN(IFERROR(FIND("CDU",UPPER($E672)),999),IFERROR(FIND("BULK",UPPER($E672)),999),IFERROR(FIND("-",$E672),999),IFERROR(FIND("（",$E672),999))-1))=AR$1,$F672,""))</f>
        <v/>
      </c>
      <c r="AS672" s="268" t="str">
        <f t="shared" ref="AS672:AS711" si="926">IF(OR($E672="",AS$1=""),"",IF(TRIM(LEFT($E672,MIN(IFERROR(FIND("CDU",UPPER($E672)),999),IFERROR(FIND("BULK",UPPER($E672)),999),IFERROR(FIND("-",$E672),999),IFERROR(FIND("（",$E672),999))-1))=AS$1,$F672,""))</f>
        <v/>
      </c>
      <c r="AT672" s="268" t="str">
        <f t="shared" ref="AT672:AT711" si="927">IF(OR($E672="",AT$1=""),"",IF(TRIM(LEFT($E672,MIN(IFERROR(FIND("CDU",UPPER($E672)),999),IFERROR(FIND("BULK",UPPER($E672)),999),IFERROR(FIND("-",$E672),999),IFERROR(FIND("（",$E672),999))-1))=AT$1,$F672,""))</f>
        <v/>
      </c>
      <c r="AU672" s="268" t="str">
        <f t="shared" ref="AU672:AU711" si="928">IF(OR($E672="",AU$1=""),"",IF(TRIM(LEFT($E672,MIN(IFERROR(FIND("CDU",UPPER($E672)),999),IFERROR(FIND("BULK",UPPER($E672)),999),IFERROR(FIND("-",$E672),999),IFERROR(FIND("（",$E672),999))-1))=AU$1,$F672,""))</f>
        <v/>
      </c>
      <c r="AV672" s="268" t="str">
        <f t="shared" ref="AV672:AV711" si="929">IF(OR($E672="",AV$1=""),"",IF(TRIM(LEFT($E672,MIN(IFERROR(FIND("CDU",UPPER($E672)),999),IFERROR(FIND("BULK",UPPER($E672)),999),IFERROR(FIND("-",$E672),999),IFERROR(FIND("（",$E672),999))-1))=AV$1,$F672,""))</f>
        <v/>
      </c>
      <c r="AW672" s="268">
        <f t="shared" ref="AW672:AW711" si="930">IF(OR($E672="",AW$1=""),"",IF(TRIM(LEFT($E672,MIN(IFERROR(FIND("CDU",UPPER($E672)),999),IFERROR(FIND("BULK",UPPER($E672)),999),IFERROR(FIND("-",$E672),999),IFERROR(FIND("（",$E672),999))-1))=AW$1,$F672,""))</f>
        <v>3264</v>
      </c>
      <c r="AX672" s="268" t="str">
        <f t="shared" ref="AX672:AX711" si="931">IF(OR($E672="",AX$1=""),"",IF(TRIM(LEFT($E672,MIN(IFERROR(FIND("CDU",UPPER($E672)),999),IFERROR(FIND("BULK",UPPER($E672)),999),IFERROR(FIND("-",$E672),999),IFERROR(FIND("（",$E672),999))-1))=AX$1,$F672,""))</f>
        <v/>
      </c>
      <c r="AY672" s="268" t="str">
        <f t="shared" ref="AY672:AY711" si="932">IF(OR($E672="",AY$1=""),"",IF(TRIM(LEFT($E672,MIN(IFERROR(FIND("CDU",UPPER($E672)),999),IFERROR(FIND("BULK",UPPER($E672)),999),IFERROR(FIND("-",$E672),999),IFERROR(FIND("（",$E672),999))-1))=AY$1,$F672,""))</f>
        <v/>
      </c>
      <c r="AZ672" s="268" t="str">
        <f t="shared" ref="AZ672:AZ711" si="933">IF(OR($E672="",AZ$1=""),"",IF(TRIM(LEFT($E672,MIN(IFERROR(FIND("CDU",UPPER($E672)),999),IFERROR(FIND("BULK",UPPER($E672)),999),IFERROR(FIND("-",$E672),999),IFERROR(FIND("（",$E672),999))-1))=AZ$1,$F672,""))</f>
        <v/>
      </c>
      <c r="BA672" s="268" t="str">
        <f t="shared" ref="BA672:BA711" si="934">IF(OR($E672="",BA$1=""),"",IF(TRIM(LEFT($E672,MIN(IFERROR(FIND("CDU",UPPER($E672)),999),IFERROR(FIND("BULK",UPPER($E672)),999),IFERROR(FIND("-",$E672),999),IFERROR(FIND("（",$E672),999))-1))=BA$1,$F672,""))</f>
        <v/>
      </c>
      <c r="BB672" s="268" t="str">
        <f t="shared" ref="BB672:BB711" si="935">IF(OR($E672="",BB$1=""),"",IF(TRIM(LEFT($E672,MIN(IFERROR(FIND("CDU",UPPER($E672)),999),IFERROR(FIND("BULK",UPPER($E672)),999),IFERROR(FIND("-",$E672),999),IFERROR(FIND("（",$E672),999))-1))=BB$1,$F672,""))</f>
        <v/>
      </c>
      <c r="BC672" s="268" t="str">
        <f t="shared" ref="BC672:BC711" si="936">IF(OR($E672="",BC$1=""),"",IF(TRIM(LEFT($E672,MIN(IFERROR(FIND("CDU",UPPER($E672)),999),IFERROR(FIND("BULK",UPPER($E672)),999),IFERROR(FIND("-",$E672),999),IFERROR(FIND("（",$E672),999))-1))=BC$1,$F672,""))</f>
        <v/>
      </c>
      <c r="BD672" s="268" t="str">
        <f t="shared" ref="BD672:BD711" si="937">IF(OR($E672="",BD$1=""),"",IF(TRIM(LEFT($E672,MIN(IFERROR(FIND("CDU",UPPER($E672)),999),IFERROR(FIND("BULK",UPPER($E672)),999),IFERROR(FIND("-",$E672),999),IFERROR(FIND("（",$E672),999))-1))=BD$1,$F672,""))</f>
        <v/>
      </c>
      <c r="BE672" s="268" t="str">
        <f t="shared" ref="BE672:BE711" si="938">IF(OR($E672="",BE$1=""),"",IF(TRIM(LEFT($E672,MIN(IFERROR(FIND("CDU",UPPER($E672)),999),IFERROR(FIND("BULK",UPPER($E672)),999),IFERROR(FIND("-",$E672),999),IFERROR(FIND("（",$E672),999))-1))=BE$1,$F672,""))</f>
        <v/>
      </c>
      <c r="BF672" s="268" t="str">
        <f t="shared" ref="BF672:BF711" si="939">IF(OR($E672="",BF$1=""),"",IF(TRIM(LEFT($E672,MIN(IFERROR(FIND("CDU",UPPER($E672)),999),IFERROR(FIND("BULK",UPPER($E672)),999),IFERROR(FIND("-",$E672),999),IFERROR(FIND("（",$E672),999))-1))=BF$1,$F672,""))</f>
        <v/>
      </c>
      <c r="BG672" s="268" t="str">
        <f t="shared" ref="BG672:BG711" si="940">IF(OR($E672="",BG$1=""),"",IF(TRIM(LEFT($E672,MIN(IFERROR(FIND("CDU",UPPER($E672)),999),IFERROR(FIND("BULK",UPPER($E672)),999),IFERROR(FIND("-",$E672),999),IFERROR(FIND("（",$E672),999))-1))=BG$1,$F672,""))</f>
        <v/>
      </c>
      <c r="BH672" s="268" t="str">
        <f t="shared" ref="BH672:BH711" si="941">IF(OR($E672="",BH$1=""),"",IF(TRIM(LEFT($E672,MIN(IFERROR(FIND("CDU",UPPER($E672)),999),IFERROR(FIND("BULK",UPPER($E672)),999),IFERROR(FIND("-",$E672),999),IFERROR(FIND("（",$E672),999))-1))=BH$1,$F672,""))</f>
        <v/>
      </c>
      <c r="BI672" s="268" t="str">
        <f t="shared" ref="BI672:BI711" si="942">IF(OR($E672="",BI$1=""),"",IF(TRIM(LEFT($E672,MIN(IFERROR(FIND("CDU",UPPER($E672)),999),IFERROR(FIND("BULK",UPPER($E672)),999),IFERROR(FIND("-",$E672),999),IFERROR(FIND("（",$E672),999))-1))=BI$1,$F672,""))</f>
        <v/>
      </c>
      <c r="BJ672" s="268" t="str">
        <f t="shared" ref="BJ672:BJ711" si="943">IF(OR($E672="",BJ$1=""),"",IF(TRIM(LEFT($E672,MIN(IFERROR(FIND("CDU",UPPER($E672)),999),IFERROR(FIND("BULK",UPPER($E672)),999),IFERROR(FIND("-",$E672),999),IFERROR(FIND("（",$E672),999))-1))=BJ$1,$F672,""))</f>
        <v/>
      </c>
      <c r="BK672" s="268" t="str">
        <f t="shared" ref="BK672:BS672" si="944">IF(OR($E672="",BK$1=""),"",IF(TRIM(LEFT($E672,MIN(IFERROR(FIND("CDU",UPPER($E672)),999),IFERROR(FIND("BULK",UPPER($E672)),999),IFERROR(FIND("-",$E672),999),IFERROR(FIND("（",$E672),999))-1))=BK$1,$F672,""))</f>
        <v/>
      </c>
      <c r="BL672" s="268" t="str">
        <f t="shared" si="944"/>
        <v/>
      </c>
      <c r="BM672" s="268" t="str">
        <f t="shared" si="944"/>
        <v/>
      </c>
      <c r="BN672" s="268" t="str">
        <f t="shared" si="944"/>
        <v/>
      </c>
      <c r="BO672" s="268" t="str">
        <f t="shared" si="944"/>
        <v/>
      </c>
      <c r="BP672" s="268" t="str">
        <f t="shared" si="944"/>
        <v/>
      </c>
      <c r="BQ672" s="268" t="str">
        <f t="shared" si="944"/>
        <v/>
      </c>
      <c r="BR672" s="268" t="str">
        <f t="shared" si="944"/>
        <v/>
      </c>
      <c r="BS672" s="268" t="str">
        <f t="shared" si="944"/>
        <v/>
      </c>
      <c r="BT672" s="268" t="str">
        <f t="shared" ref="BT672:BT714" si="945">IF(OR($E672="",BT$1=""),"",IF(TRIM(LEFT($E672,MIN(IFERROR(FIND("CDU",UPPER($E672)),999),IFERROR(FIND("BULK",UPPER($E672)),999),IFERROR(FIND("-",$E672),999),IFERROR(FIND("（",$E672),999))-1))=BT$1,$F672,""))</f>
        <v/>
      </c>
      <c r="BU672" s="268" t="str">
        <f t="shared" ref="BU672:BU711" si="946">IF(OR($E672="",BU$1=""),"",IF(TRIM(LEFT($E672,MIN(IFERROR(FIND("CDU",UPPER($E672)),999),IFERROR(FIND("BULK",UPPER($E672)),999),IFERROR(FIND("-",$E672),999),IFERROR(FIND("（",$E672),999))-1))=BU$1,$F672,""))</f>
        <v/>
      </c>
      <c r="BV672" s="247">
        <v>1.33</v>
      </c>
      <c r="BW672" s="729">
        <f t="shared" ref="BW672:BW705" si="947">SUM(I672:BU672)*BV672</f>
        <v>4341.12</v>
      </c>
      <c r="BX672" s="730">
        <f t="shared" ref="BX672:BX705" si="948">BW672*7.75</f>
        <v>33643.68</v>
      </c>
      <c r="BY672" s="731" t="str">
        <f t="shared" ref="BY672:BY705" si="949">MID(E672,1,2)</f>
        <v>SR</v>
      </c>
    </row>
    <row r="673" s="698" customFormat="1" customHeight="1" spans="1:77">
      <c r="A673" s="208">
        <v>46139</v>
      </c>
      <c r="B673" s="208">
        <v>46200</v>
      </c>
      <c r="C673" s="268" t="s">
        <v>789</v>
      </c>
      <c r="D673" s="268" t="s">
        <v>790</v>
      </c>
      <c r="E673" s="268" t="s">
        <v>169</v>
      </c>
      <c r="F673" s="343">
        <v>3264</v>
      </c>
      <c r="G673" s="268" t="s">
        <v>341</v>
      </c>
      <c r="H673" s="211" t="str">
        <f>IFERROR(VLOOKUP(E673,名称!A:E,4,0),"")</f>
        <v>三代</v>
      </c>
      <c r="I673" s="268" t="str">
        <f t="shared" si="890"/>
        <v/>
      </c>
      <c r="J673" s="268" t="str">
        <f t="shared" si="891"/>
        <v/>
      </c>
      <c r="K673" s="268" t="str">
        <f t="shared" si="892"/>
        <v/>
      </c>
      <c r="L673" s="268" t="str">
        <f t="shared" si="893"/>
        <v/>
      </c>
      <c r="M673" s="268" t="str">
        <f t="shared" si="894"/>
        <v/>
      </c>
      <c r="N673" s="268" t="str">
        <f t="shared" si="895"/>
        <v/>
      </c>
      <c r="O673" s="268" t="str">
        <f t="shared" si="896"/>
        <v/>
      </c>
      <c r="P673" s="268" t="str">
        <f t="shared" si="897"/>
        <v/>
      </c>
      <c r="Q673" s="268" t="str">
        <f t="shared" si="898"/>
        <v/>
      </c>
      <c r="R673" s="268" t="str">
        <f t="shared" si="899"/>
        <v/>
      </c>
      <c r="S673" s="268" t="str">
        <f t="shared" si="900"/>
        <v/>
      </c>
      <c r="T673" s="268" t="str">
        <f t="shared" si="901"/>
        <v/>
      </c>
      <c r="U673" s="268" t="str">
        <f t="shared" si="902"/>
        <v/>
      </c>
      <c r="V673" s="268" t="str">
        <f t="shared" si="903"/>
        <v/>
      </c>
      <c r="W673" s="268" t="str">
        <f t="shared" si="904"/>
        <v/>
      </c>
      <c r="X673" s="268" t="str">
        <f t="shared" si="905"/>
        <v/>
      </c>
      <c r="Y673" s="268" t="str">
        <f t="shared" si="906"/>
        <v/>
      </c>
      <c r="Z673" s="268" t="str">
        <f t="shared" si="907"/>
        <v/>
      </c>
      <c r="AA673" s="268" t="str">
        <f t="shared" si="908"/>
        <v/>
      </c>
      <c r="AB673" s="268" t="str">
        <f t="shared" si="909"/>
        <v/>
      </c>
      <c r="AC673" s="268" t="str">
        <f t="shared" si="910"/>
        <v/>
      </c>
      <c r="AD673" s="268" t="str">
        <f t="shared" si="911"/>
        <v/>
      </c>
      <c r="AE673" s="268" t="str">
        <f t="shared" si="912"/>
        <v/>
      </c>
      <c r="AF673" s="268" t="str">
        <f t="shared" si="913"/>
        <v/>
      </c>
      <c r="AG673" s="268" t="str">
        <f t="shared" si="914"/>
        <v/>
      </c>
      <c r="AH673" s="268" t="str">
        <f t="shared" si="915"/>
        <v/>
      </c>
      <c r="AI673" s="268" t="str">
        <f t="shared" si="916"/>
        <v/>
      </c>
      <c r="AJ673" s="268" t="str">
        <f t="shared" si="917"/>
        <v/>
      </c>
      <c r="AK673" s="268" t="str">
        <f t="shared" si="918"/>
        <v/>
      </c>
      <c r="AL673" s="268" t="str">
        <f t="shared" si="919"/>
        <v/>
      </c>
      <c r="AM673" s="268" t="str">
        <f t="shared" si="920"/>
        <v/>
      </c>
      <c r="AN673" s="268" t="str">
        <f t="shared" si="921"/>
        <v/>
      </c>
      <c r="AO673" s="268" t="str">
        <f t="shared" si="922"/>
        <v/>
      </c>
      <c r="AP673" s="268" t="str">
        <f t="shared" si="923"/>
        <v/>
      </c>
      <c r="AQ673" s="268" t="str">
        <f t="shared" si="924"/>
        <v/>
      </c>
      <c r="AR673" s="268" t="str">
        <f t="shared" si="925"/>
        <v/>
      </c>
      <c r="AS673" s="268" t="str">
        <f t="shared" si="926"/>
        <v/>
      </c>
      <c r="AT673" s="268" t="str">
        <f t="shared" si="927"/>
        <v/>
      </c>
      <c r="AU673" s="268" t="str">
        <f t="shared" si="928"/>
        <v/>
      </c>
      <c r="AV673" s="268" t="str">
        <f t="shared" si="929"/>
        <v/>
      </c>
      <c r="AW673" s="268">
        <f t="shared" si="930"/>
        <v>3264</v>
      </c>
      <c r="AX673" s="268" t="str">
        <f t="shared" si="931"/>
        <v/>
      </c>
      <c r="AY673" s="268" t="str">
        <f t="shared" si="932"/>
        <v/>
      </c>
      <c r="AZ673" s="268" t="str">
        <f t="shared" si="933"/>
        <v/>
      </c>
      <c r="BA673" s="268" t="str">
        <f t="shared" si="934"/>
        <v/>
      </c>
      <c r="BB673" s="268" t="str">
        <f t="shared" si="935"/>
        <v/>
      </c>
      <c r="BC673" s="268" t="str">
        <f t="shared" si="936"/>
        <v/>
      </c>
      <c r="BD673" s="268" t="str">
        <f t="shared" si="937"/>
        <v/>
      </c>
      <c r="BE673" s="268" t="str">
        <f t="shared" si="938"/>
        <v/>
      </c>
      <c r="BF673" s="268" t="str">
        <f t="shared" si="939"/>
        <v/>
      </c>
      <c r="BG673" s="268" t="str">
        <f t="shared" si="940"/>
        <v/>
      </c>
      <c r="BH673" s="268" t="str">
        <f t="shared" si="941"/>
        <v/>
      </c>
      <c r="BI673" s="268" t="str">
        <f t="shared" si="942"/>
        <v/>
      </c>
      <c r="BJ673" s="268" t="str">
        <f t="shared" si="943"/>
        <v/>
      </c>
      <c r="BK673" s="268" t="str">
        <f t="shared" ref="BK673:BS673" si="950">IF(OR($E673="",BK$1=""),"",IF(TRIM(LEFT($E673,MIN(IFERROR(FIND("CDU",UPPER($E673)),999),IFERROR(FIND("BULK",UPPER($E673)),999),IFERROR(FIND("-",$E673),999),IFERROR(FIND("（",$E673),999))-1))=BK$1,$F673,""))</f>
        <v/>
      </c>
      <c r="BL673" s="268" t="str">
        <f t="shared" si="950"/>
        <v/>
      </c>
      <c r="BM673" s="268" t="str">
        <f t="shared" si="950"/>
        <v/>
      </c>
      <c r="BN673" s="268" t="str">
        <f t="shared" si="950"/>
        <v/>
      </c>
      <c r="BO673" s="268" t="str">
        <f t="shared" si="950"/>
        <v/>
      </c>
      <c r="BP673" s="268" t="str">
        <f t="shared" si="950"/>
        <v/>
      </c>
      <c r="BQ673" s="268" t="str">
        <f t="shared" si="950"/>
        <v/>
      </c>
      <c r="BR673" s="268" t="str">
        <f t="shared" si="950"/>
        <v/>
      </c>
      <c r="BS673" s="268" t="str">
        <f t="shared" si="950"/>
        <v/>
      </c>
      <c r="BT673" s="268" t="str">
        <f t="shared" si="945"/>
        <v/>
      </c>
      <c r="BU673" s="268" t="str">
        <f t="shared" si="946"/>
        <v/>
      </c>
      <c r="BV673" s="247">
        <v>1.33</v>
      </c>
      <c r="BW673" s="729">
        <f t="shared" si="947"/>
        <v>4341.12</v>
      </c>
      <c r="BX673" s="730">
        <f t="shared" si="948"/>
        <v>33643.68</v>
      </c>
      <c r="BY673" s="731" t="str">
        <f t="shared" si="949"/>
        <v>SR</v>
      </c>
    </row>
    <row r="674" s="698" customFormat="1" customHeight="1" spans="1:77">
      <c r="A674" s="208">
        <v>46139</v>
      </c>
      <c r="B674" s="208">
        <v>46200</v>
      </c>
      <c r="C674" s="268" t="s">
        <v>789</v>
      </c>
      <c r="D674" s="268" t="s">
        <v>790</v>
      </c>
      <c r="E674" s="268" t="s">
        <v>170</v>
      </c>
      <c r="F674" s="343">
        <v>3264</v>
      </c>
      <c r="G674" s="268" t="s">
        <v>341</v>
      </c>
      <c r="H674" s="211" t="str">
        <f>IFERROR(VLOOKUP(E674,名称!A:E,4,0),"")</f>
        <v>三代</v>
      </c>
      <c r="I674" s="268" t="str">
        <f t="shared" si="890"/>
        <v/>
      </c>
      <c r="J674" s="268" t="str">
        <f t="shared" si="891"/>
        <v/>
      </c>
      <c r="K674" s="268" t="str">
        <f t="shared" si="892"/>
        <v/>
      </c>
      <c r="L674" s="268" t="str">
        <f t="shared" si="893"/>
        <v/>
      </c>
      <c r="M674" s="268" t="str">
        <f t="shared" si="894"/>
        <v/>
      </c>
      <c r="N674" s="268" t="str">
        <f t="shared" si="895"/>
        <v/>
      </c>
      <c r="O674" s="268" t="str">
        <f t="shared" si="896"/>
        <v/>
      </c>
      <c r="P674" s="268" t="str">
        <f t="shared" si="897"/>
        <v/>
      </c>
      <c r="Q674" s="268" t="str">
        <f t="shared" si="898"/>
        <v/>
      </c>
      <c r="R674" s="268" t="str">
        <f t="shared" si="899"/>
        <v/>
      </c>
      <c r="S674" s="268" t="str">
        <f t="shared" si="900"/>
        <v/>
      </c>
      <c r="T674" s="268" t="str">
        <f t="shared" si="901"/>
        <v/>
      </c>
      <c r="U674" s="268" t="str">
        <f t="shared" si="902"/>
        <v/>
      </c>
      <c r="V674" s="268" t="str">
        <f t="shared" si="903"/>
        <v/>
      </c>
      <c r="W674" s="268" t="str">
        <f t="shared" si="904"/>
        <v/>
      </c>
      <c r="X674" s="268" t="str">
        <f t="shared" si="905"/>
        <v/>
      </c>
      <c r="Y674" s="268" t="str">
        <f t="shared" si="906"/>
        <v/>
      </c>
      <c r="Z674" s="268" t="str">
        <f t="shared" si="907"/>
        <v/>
      </c>
      <c r="AA674" s="268" t="str">
        <f t="shared" si="908"/>
        <v/>
      </c>
      <c r="AB674" s="268" t="str">
        <f t="shared" si="909"/>
        <v/>
      </c>
      <c r="AC674" s="268" t="str">
        <f t="shared" si="910"/>
        <v/>
      </c>
      <c r="AD674" s="268" t="str">
        <f t="shared" si="911"/>
        <v/>
      </c>
      <c r="AE674" s="268" t="str">
        <f t="shared" si="912"/>
        <v/>
      </c>
      <c r="AF674" s="268" t="str">
        <f t="shared" si="913"/>
        <v/>
      </c>
      <c r="AG674" s="268" t="str">
        <f t="shared" si="914"/>
        <v/>
      </c>
      <c r="AH674" s="268" t="str">
        <f t="shared" si="915"/>
        <v/>
      </c>
      <c r="AI674" s="268" t="str">
        <f t="shared" si="916"/>
        <v/>
      </c>
      <c r="AJ674" s="268" t="str">
        <f t="shared" si="917"/>
        <v/>
      </c>
      <c r="AK674" s="268" t="str">
        <f t="shared" si="918"/>
        <v/>
      </c>
      <c r="AL674" s="268" t="str">
        <f t="shared" si="919"/>
        <v/>
      </c>
      <c r="AM674" s="268" t="str">
        <f t="shared" si="920"/>
        <v/>
      </c>
      <c r="AN674" s="268" t="str">
        <f t="shared" si="921"/>
        <v/>
      </c>
      <c r="AO674" s="268" t="str">
        <f t="shared" si="922"/>
        <v/>
      </c>
      <c r="AP674" s="268" t="str">
        <f t="shared" si="923"/>
        <v/>
      </c>
      <c r="AQ674" s="268" t="str">
        <f t="shared" si="924"/>
        <v/>
      </c>
      <c r="AR674" s="268" t="str">
        <f t="shared" si="925"/>
        <v/>
      </c>
      <c r="AS674" s="268" t="str">
        <f t="shared" si="926"/>
        <v/>
      </c>
      <c r="AT674" s="268" t="str">
        <f t="shared" si="927"/>
        <v/>
      </c>
      <c r="AU674" s="268" t="str">
        <f t="shared" si="928"/>
        <v/>
      </c>
      <c r="AV674" s="268" t="str">
        <f t="shared" si="929"/>
        <v/>
      </c>
      <c r="AW674" s="268">
        <f t="shared" si="930"/>
        <v>3264</v>
      </c>
      <c r="AX674" s="268" t="str">
        <f t="shared" si="931"/>
        <v/>
      </c>
      <c r="AY674" s="268" t="str">
        <f t="shared" si="932"/>
        <v/>
      </c>
      <c r="AZ674" s="268" t="str">
        <f t="shared" si="933"/>
        <v/>
      </c>
      <c r="BA674" s="268" t="str">
        <f t="shared" si="934"/>
        <v/>
      </c>
      <c r="BB674" s="268" t="str">
        <f t="shared" si="935"/>
        <v/>
      </c>
      <c r="BC674" s="268" t="str">
        <f t="shared" si="936"/>
        <v/>
      </c>
      <c r="BD674" s="268" t="str">
        <f t="shared" si="937"/>
        <v/>
      </c>
      <c r="BE674" s="268" t="str">
        <f t="shared" si="938"/>
        <v/>
      </c>
      <c r="BF674" s="268" t="str">
        <f t="shared" si="939"/>
        <v/>
      </c>
      <c r="BG674" s="268" t="str">
        <f t="shared" si="940"/>
        <v/>
      </c>
      <c r="BH674" s="268" t="str">
        <f t="shared" si="941"/>
        <v/>
      </c>
      <c r="BI674" s="268" t="str">
        <f t="shared" si="942"/>
        <v/>
      </c>
      <c r="BJ674" s="268" t="str">
        <f t="shared" si="943"/>
        <v/>
      </c>
      <c r="BK674" s="268" t="str">
        <f t="shared" ref="BK674:BS674" si="951">IF(OR($E674="",BK$1=""),"",IF(TRIM(LEFT($E674,MIN(IFERROR(FIND("CDU",UPPER($E674)),999),IFERROR(FIND("BULK",UPPER($E674)),999),IFERROR(FIND("-",$E674),999),IFERROR(FIND("（",$E674),999))-1))=BK$1,$F674,""))</f>
        <v/>
      </c>
      <c r="BL674" s="268" t="str">
        <f t="shared" si="951"/>
        <v/>
      </c>
      <c r="BM674" s="268" t="str">
        <f t="shared" si="951"/>
        <v/>
      </c>
      <c r="BN674" s="268" t="str">
        <f t="shared" si="951"/>
        <v/>
      </c>
      <c r="BO674" s="268" t="str">
        <f t="shared" si="951"/>
        <v/>
      </c>
      <c r="BP674" s="268" t="str">
        <f t="shared" si="951"/>
        <v/>
      </c>
      <c r="BQ674" s="268" t="str">
        <f t="shared" si="951"/>
        <v/>
      </c>
      <c r="BR674" s="268" t="str">
        <f t="shared" si="951"/>
        <v/>
      </c>
      <c r="BS674" s="268" t="str">
        <f t="shared" si="951"/>
        <v/>
      </c>
      <c r="BT674" s="268" t="str">
        <f t="shared" si="945"/>
        <v/>
      </c>
      <c r="BU674" s="268" t="str">
        <f t="shared" si="946"/>
        <v/>
      </c>
      <c r="BV674" s="247">
        <v>1.33</v>
      </c>
      <c r="BW674" s="729">
        <f t="shared" si="947"/>
        <v>4341.12</v>
      </c>
      <c r="BX674" s="730">
        <f t="shared" si="948"/>
        <v>33643.68</v>
      </c>
      <c r="BY674" s="731" t="str">
        <f t="shared" si="949"/>
        <v>SR</v>
      </c>
    </row>
    <row r="675" s="697" customFormat="1" customHeight="1" spans="1:77">
      <c r="A675" s="116">
        <v>46139</v>
      </c>
      <c r="B675" s="116">
        <v>46200</v>
      </c>
      <c r="C675" s="418" t="s">
        <v>789</v>
      </c>
      <c r="D675" s="418" t="s">
        <v>790</v>
      </c>
      <c r="E675" s="418" t="s">
        <v>167</v>
      </c>
      <c r="F675" s="737">
        <v>6744</v>
      </c>
      <c r="G675" s="418" t="s">
        <v>341</v>
      </c>
      <c r="H675" s="118" t="str">
        <f>IFERROR(VLOOKUP(E675,名称!A:E,4,0),"")</f>
        <v>三代</v>
      </c>
      <c r="I675" s="418" t="str">
        <f t="shared" si="890"/>
        <v/>
      </c>
      <c r="J675" s="418" t="str">
        <f t="shared" si="891"/>
        <v/>
      </c>
      <c r="K675" s="418" t="str">
        <f t="shared" si="892"/>
        <v/>
      </c>
      <c r="L675" s="418" t="str">
        <f t="shared" si="893"/>
        <v/>
      </c>
      <c r="M675" s="418" t="str">
        <f t="shared" si="894"/>
        <v/>
      </c>
      <c r="N675" s="418" t="str">
        <f t="shared" si="895"/>
        <v/>
      </c>
      <c r="O675" s="418" t="str">
        <f t="shared" si="896"/>
        <v/>
      </c>
      <c r="P675" s="418" t="str">
        <f t="shared" si="897"/>
        <v/>
      </c>
      <c r="Q675" s="418" t="str">
        <f t="shared" si="898"/>
        <v/>
      </c>
      <c r="R675" s="418" t="str">
        <f t="shared" si="899"/>
        <v/>
      </c>
      <c r="S675" s="418" t="str">
        <f t="shared" si="900"/>
        <v/>
      </c>
      <c r="T675" s="418" t="str">
        <f t="shared" si="901"/>
        <v/>
      </c>
      <c r="U675" s="418" t="str">
        <f t="shared" si="902"/>
        <v/>
      </c>
      <c r="V675" s="418" t="str">
        <f t="shared" si="903"/>
        <v/>
      </c>
      <c r="W675" s="418" t="str">
        <f t="shared" si="904"/>
        <v/>
      </c>
      <c r="X675" s="418" t="str">
        <f t="shared" si="905"/>
        <v/>
      </c>
      <c r="Y675" s="418" t="str">
        <f t="shared" si="906"/>
        <v/>
      </c>
      <c r="Z675" s="418" t="str">
        <f t="shared" si="907"/>
        <v/>
      </c>
      <c r="AA675" s="418" t="str">
        <f t="shared" si="908"/>
        <v/>
      </c>
      <c r="AB675" s="418" t="str">
        <f t="shared" si="909"/>
        <v/>
      </c>
      <c r="AC675" s="418" t="str">
        <f t="shared" si="910"/>
        <v/>
      </c>
      <c r="AD675" s="418" t="str">
        <f t="shared" si="911"/>
        <v/>
      </c>
      <c r="AE675" s="418" t="str">
        <f t="shared" si="912"/>
        <v/>
      </c>
      <c r="AF675" s="418" t="str">
        <f t="shared" si="913"/>
        <v/>
      </c>
      <c r="AG675" s="418" t="str">
        <f t="shared" si="914"/>
        <v/>
      </c>
      <c r="AH675" s="418" t="str">
        <f t="shared" si="915"/>
        <v/>
      </c>
      <c r="AI675" s="418" t="str">
        <f t="shared" si="916"/>
        <v/>
      </c>
      <c r="AJ675" s="418" t="str">
        <f t="shared" si="917"/>
        <v/>
      </c>
      <c r="AK675" s="418" t="str">
        <f t="shared" si="918"/>
        <v/>
      </c>
      <c r="AL675" s="418" t="str">
        <f t="shared" si="919"/>
        <v/>
      </c>
      <c r="AM675" s="418" t="str">
        <f t="shared" si="920"/>
        <v/>
      </c>
      <c r="AN675" s="418" t="str">
        <f t="shared" si="921"/>
        <v/>
      </c>
      <c r="AO675" s="418" t="str">
        <f t="shared" si="922"/>
        <v/>
      </c>
      <c r="AP675" s="418" t="str">
        <f t="shared" si="923"/>
        <v/>
      </c>
      <c r="AQ675" s="418" t="str">
        <f t="shared" si="924"/>
        <v/>
      </c>
      <c r="AR675" s="418" t="str">
        <f t="shared" si="925"/>
        <v/>
      </c>
      <c r="AS675" s="418" t="str">
        <f t="shared" si="926"/>
        <v/>
      </c>
      <c r="AT675" s="418" t="str">
        <f t="shared" si="927"/>
        <v/>
      </c>
      <c r="AU675" s="418">
        <f t="shared" si="928"/>
        <v>6744</v>
      </c>
      <c r="AV675" s="418" t="str">
        <f t="shared" si="929"/>
        <v/>
      </c>
      <c r="AW675" s="418" t="str">
        <f t="shared" si="930"/>
        <v/>
      </c>
      <c r="AX675" s="418" t="str">
        <f t="shared" si="931"/>
        <v/>
      </c>
      <c r="AY675" s="418" t="str">
        <f t="shared" si="932"/>
        <v/>
      </c>
      <c r="AZ675" s="418" t="str">
        <f t="shared" si="933"/>
        <v/>
      </c>
      <c r="BA675" s="418" t="str">
        <f t="shared" si="934"/>
        <v/>
      </c>
      <c r="BB675" s="418" t="str">
        <f t="shared" si="935"/>
        <v/>
      </c>
      <c r="BC675" s="418" t="str">
        <f t="shared" si="936"/>
        <v/>
      </c>
      <c r="BD675" s="418" t="str">
        <f t="shared" si="937"/>
        <v/>
      </c>
      <c r="BE675" s="418" t="str">
        <f t="shared" si="938"/>
        <v/>
      </c>
      <c r="BF675" s="418" t="str">
        <f t="shared" si="939"/>
        <v/>
      </c>
      <c r="BG675" s="418" t="str">
        <f t="shared" si="940"/>
        <v/>
      </c>
      <c r="BH675" s="418" t="str">
        <f t="shared" si="941"/>
        <v/>
      </c>
      <c r="BI675" s="418" t="str">
        <f t="shared" si="942"/>
        <v/>
      </c>
      <c r="BJ675" s="418" t="str">
        <f t="shared" si="943"/>
        <v/>
      </c>
      <c r="BK675" s="418" t="str">
        <f t="shared" ref="BK675:BS675" si="952">IF(OR($E675="",BK$1=""),"",IF(TRIM(LEFT($E675,MIN(IFERROR(FIND("CDU",UPPER($E675)),999),IFERROR(FIND("BULK",UPPER($E675)),999),IFERROR(FIND("-",$E675),999),IFERROR(FIND("（",$E675),999))-1))=BK$1,$F675,""))</f>
        <v/>
      </c>
      <c r="BL675" s="418" t="str">
        <f t="shared" si="952"/>
        <v/>
      </c>
      <c r="BM675" s="418" t="str">
        <f t="shared" si="952"/>
        <v/>
      </c>
      <c r="BN675" s="418" t="str">
        <f t="shared" si="952"/>
        <v/>
      </c>
      <c r="BO675" s="418" t="str">
        <f t="shared" si="952"/>
        <v/>
      </c>
      <c r="BP675" s="418" t="str">
        <f t="shared" si="952"/>
        <v/>
      </c>
      <c r="BQ675" s="418" t="str">
        <f t="shared" si="952"/>
        <v/>
      </c>
      <c r="BR675" s="418" t="str">
        <f t="shared" si="952"/>
        <v/>
      </c>
      <c r="BS675" s="418" t="str">
        <f t="shared" si="952"/>
        <v/>
      </c>
      <c r="BT675" s="418" t="str">
        <f t="shared" si="945"/>
        <v/>
      </c>
      <c r="BU675" s="418" t="str">
        <f t="shared" si="946"/>
        <v/>
      </c>
      <c r="BV675" s="544">
        <v>1.67</v>
      </c>
      <c r="BW675" s="723">
        <f t="shared" si="947"/>
        <v>11262.48</v>
      </c>
      <c r="BX675" s="724">
        <f t="shared" si="948"/>
        <v>87284.22</v>
      </c>
      <c r="BY675" s="725" t="str">
        <f t="shared" si="949"/>
        <v>SR</v>
      </c>
    </row>
    <row r="676" s="697" customFormat="1" customHeight="1" spans="1:77">
      <c r="A676" s="116">
        <v>46139</v>
      </c>
      <c r="B676" s="116">
        <v>46200</v>
      </c>
      <c r="C676" s="418" t="s">
        <v>789</v>
      </c>
      <c r="D676" s="418" t="s">
        <v>790</v>
      </c>
      <c r="E676" s="418" t="s">
        <v>132</v>
      </c>
      <c r="F676" s="737">
        <v>360</v>
      </c>
      <c r="G676" s="418" t="s">
        <v>341</v>
      </c>
      <c r="H676" s="118" t="str">
        <f>IFERROR(VLOOKUP(E676,名称!A:E,4,0),"")</f>
        <v>三代</v>
      </c>
      <c r="I676" s="418" t="str">
        <f t="shared" si="890"/>
        <v/>
      </c>
      <c r="J676" s="418" t="str">
        <f t="shared" si="891"/>
        <v/>
      </c>
      <c r="K676" s="418" t="str">
        <f t="shared" si="892"/>
        <v/>
      </c>
      <c r="L676" s="418" t="str">
        <f t="shared" si="893"/>
        <v/>
      </c>
      <c r="M676" s="418" t="str">
        <f t="shared" si="894"/>
        <v/>
      </c>
      <c r="N676" s="418" t="str">
        <f t="shared" si="895"/>
        <v/>
      </c>
      <c r="O676" s="418" t="str">
        <f t="shared" si="896"/>
        <v/>
      </c>
      <c r="P676" s="418" t="str">
        <f t="shared" si="897"/>
        <v/>
      </c>
      <c r="Q676" s="418" t="str">
        <f t="shared" si="898"/>
        <v/>
      </c>
      <c r="R676" s="418" t="str">
        <f t="shared" si="899"/>
        <v/>
      </c>
      <c r="S676" s="418" t="str">
        <f t="shared" si="900"/>
        <v/>
      </c>
      <c r="T676" s="418" t="str">
        <f t="shared" si="901"/>
        <v/>
      </c>
      <c r="U676" s="418" t="str">
        <f t="shared" si="902"/>
        <v/>
      </c>
      <c r="V676" s="418" t="str">
        <f t="shared" si="903"/>
        <v/>
      </c>
      <c r="W676" s="418" t="str">
        <f t="shared" si="904"/>
        <v/>
      </c>
      <c r="X676" s="418" t="str">
        <f t="shared" si="905"/>
        <v/>
      </c>
      <c r="Y676" s="418" t="str">
        <f t="shared" si="906"/>
        <v/>
      </c>
      <c r="Z676" s="418" t="str">
        <f t="shared" si="907"/>
        <v/>
      </c>
      <c r="AA676" s="418" t="str">
        <f t="shared" si="908"/>
        <v/>
      </c>
      <c r="AB676" s="418" t="str">
        <f t="shared" si="909"/>
        <v/>
      </c>
      <c r="AC676" s="418" t="str">
        <f t="shared" si="910"/>
        <v/>
      </c>
      <c r="AD676" s="418" t="str">
        <f t="shared" si="911"/>
        <v/>
      </c>
      <c r="AE676" s="418" t="str">
        <f t="shared" si="912"/>
        <v/>
      </c>
      <c r="AF676" s="418" t="str">
        <f t="shared" si="913"/>
        <v/>
      </c>
      <c r="AG676" s="418" t="str">
        <f t="shared" si="914"/>
        <v/>
      </c>
      <c r="AH676" s="418" t="str">
        <f t="shared" si="915"/>
        <v/>
      </c>
      <c r="AI676" s="418" t="str">
        <f t="shared" si="916"/>
        <v/>
      </c>
      <c r="AJ676" s="418" t="str">
        <f t="shared" si="917"/>
        <v/>
      </c>
      <c r="AK676" s="418" t="str">
        <f t="shared" si="918"/>
        <v/>
      </c>
      <c r="AL676" s="418" t="str">
        <f t="shared" si="919"/>
        <v/>
      </c>
      <c r="AM676" s="418" t="str">
        <f t="shared" si="920"/>
        <v/>
      </c>
      <c r="AN676" s="418" t="str">
        <f t="shared" si="921"/>
        <v/>
      </c>
      <c r="AO676" s="418" t="str">
        <f t="shared" si="922"/>
        <v/>
      </c>
      <c r="AP676" s="418" t="str">
        <f t="shared" si="923"/>
        <v/>
      </c>
      <c r="AQ676" s="418" t="str">
        <f t="shared" si="924"/>
        <v/>
      </c>
      <c r="AR676" s="418" t="str">
        <f t="shared" si="925"/>
        <v/>
      </c>
      <c r="AS676" s="418" t="str">
        <f t="shared" si="926"/>
        <v/>
      </c>
      <c r="AT676" s="418" t="str">
        <f t="shared" si="927"/>
        <v/>
      </c>
      <c r="AU676" s="418" t="str">
        <f t="shared" si="928"/>
        <v/>
      </c>
      <c r="AV676" s="418" t="str">
        <f t="shared" si="929"/>
        <v/>
      </c>
      <c r="AW676" s="418" t="str">
        <f t="shared" si="930"/>
        <v/>
      </c>
      <c r="AX676" s="418" t="str">
        <f t="shared" si="931"/>
        <v/>
      </c>
      <c r="AY676" s="418" t="str">
        <f t="shared" si="932"/>
        <v/>
      </c>
      <c r="AZ676" s="418" t="str">
        <f t="shared" si="933"/>
        <v/>
      </c>
      <c r="BA676" s="418" t="str">
        <f t="shared" si="934"/>
        <v/>
      </c>
      <c r="BB676" s="418" t="str">
        <f t="shared" si="935"/>
        <v/>
      </c>
      <c r="BC676" s="418" t="str">
        <f t="shared" si="936"/>
        <v/>
      </c>
      <c r="BD676" s="418" t="str">
        <f t="shared" si="937"/>
        <v/>
      </c>
      <c r="BE676" s="418" t="str">
        <f t="shared" si="938"/>
        <v/>
      </c>
      <c r="BF676" s="418" t="str">
        <f t="shared" si="939"/>
        <v/>
      </c>
      <c r="BG676" s="418" t="str">
        <f t="shared" si="940"/>
        <v/>
      </c>
      <c r="BH676" s="418" t="str">
        <f t="shared" si="941"/>
        <v/>
      </c>
      <c r="BI676" s="418" t="str">
        <f t="shared" si="942"/>
        <v/>
      </c>
      <c r="BJ676" s="418" t="str">
        <f t="shared" si="943"/>
        <v/>
      </c>
      <c r="BK676" s="418" t="str">
        <f t="shared" ref="BK676:BS676" si="953">IF(OR($E676="",BK$1=""),"",IF(TRIM(LEFT($E676,MIN(IFERROR(FIND("CDU",UPPER($E676)),999),IFERROR(FIND("BULK",UPPER($E676)),999),IFERROR(FIND("-",$E676),999),IFERROR(FIND("（",$E676),999))-1))=BK$1,$F676,""))</f>
        <v/>
      </c>
      <c r="BL676" s="418" t="str">
        <f t="shared" si="953"/>
        <v/>
      </c>
      <c r="BM676" s="418">
        <f t="shared" si="953"/>
        <v>360</v>
      </c>
      <c r="BN676" s="418" t="str">
        <f t="shared" si="953"/>
        <v/>
      </c>
      <c r="BO676" s="418" t="str">
        <f t="shared" si="953"/>
        <v/>
      </c>
      <c r="BP676" s="418" t="str">
        <f t="shared" si="953"/>
        <v/>
      </c>
      <c r="BQ676" s="418" t="str">
        <f t="shared" si="953"/>
        <v/>
      </c>
      <c r="BR676" s="418" t="str">
        <f t="shared" si="953"/>
        <v/>
      </c>
      <c r="BS676" s="418" t="str">
        <f t="shared" si="953"/>
        <v/>
      </c>
      <c r="BT676" s="418" t="str">
        <f t="shared" si="945"/>
        <v/>
      </c>
      <c r="BU676" s="418" t="str">
        <f t="shared" si="946"/>
        <v/>
      </c>
      <c r="BV676" s="544">
        <v>0.6</v>
      </c>
      <c r="BW676" s="723">
        <f t="shared" si="947"/>
        <v>216</v>
      </c>
      <c r="BX676" s="724">
        <f t="shared" si="948"/>
        <v>1674</v>
      </c>
      <c r="BY676" s="725" t="str">
        <f t="shared" si="949"/>
        <v>JS</v>
      </c>
    </row>
    <row r="677" s="697" customFormat="1" customHeight="1" spans="1:77">
      <c r="A677" s="116">
        <v>46139</v>
      </c>
      <c r="B677" s="116">
        <v>46200</v>
      </c>
      <c r="C677" s="418" t="s">
        <v>789</v>
      </c>
      <c r="D677" s="418" t="s">
        <v>790</v>
      </c>
      <c r="E677" s="418" t="s">
        <v>133</v>
      </c>
      <c r="F677" s="737">
        <v>360</v>
      </c>
      <c r="G677" s="418" t="s">
        <v>341</v>
      </c>
      <c r="H677" s="118" t="str">
        <f>IFERROR(VLOOKUP(E677,名称!A:E,4,0),"")</f>
        <v>三代</v>
      </c>
      <c r="I677" s="418" t="str">
        <f t="shared" si="890"/>
        <v/>
      </c>
      <c r="J677" s="418" t="str">
        <f t="shared" si="891"/>
        <v/>
      </c>
      <c r="K677" s="418" t="str">
        <f t="shared" si="892"/>
        <v/>
      </c>
      <c r="L677" s="418" t="str">
        <f t="shared" si="893"/>
        <v/>
      </c>
      <c r="M677" s="418" t="str">
        <f t="shared" si="894"/>
        <v/>
      </c>
      <c r="N677" s="418" t="str">
        <f t="shared" si="895"/>
        <v/>
      </c>
      <c r="O677" s="418" t="str">
        <f t="shared" si="896"/>
        <v/>
      </c>
      <c r="P677" s="418" t="str">
        <f t="shared" si="897"/>
        <v/>
      </c>
      <c r="Q677" s="418" t="str">
        <f t="shared" si="898"/>
        <v/>
      </c>
      <c r="R677" s="418" t="str">
        <f t="shared" si="899"/>
        <v/>
      </c>
      <c r="S677" s="418" t="str">
        <f t="shared" si="900"/>
        <v/>
      </c>
      <c r="T677" s="418" t="str">
        <f t="shared" si="901"/>
        <v/>
      </c>
      <c r="U677" s="418" t="str">
        <f t="shared" si="902"/>
        <v/>
      </c>
      <c r="V677" s="418" t="str">
        <f t="shared" si="903"/>
        <v/>
      </c>
      <c r="W677" s="418" t="str">
        <f t="shared" si="904"/>
        <v/>
      </c>
      <c r="X677" s="418" t="str">
        <f t="shared" si="905"/>
        <v/>
      </c>
      <c r="Y677" s="418" t="str">
        <f t="shared" si="906"/>
        <v/>
      </c>
      <c r="Z677" s="418" t="str">
        <f t="shared" si="907"/>
        <v/>
      </c>
      <c r="AA677" s="418" t="str">
        <f t="shared" si="908"/>
        <v/>
      </c>
      <c r="AB677" s="418" t="str">
        <f t="shared" si="909"/>
        <v/>
      </c>
      <c r="AC677" s="418" t="str">
        <f t="shared" si="910"/>
        <v/>
      </c>
      <c r="AD677" s="418" t="str">
        <f t="shared" si="911"/>
        <v/>
      </c>
      <c r="AE677" s="418" t="str">
        <f t="shared" si="912"/>
        <v/>
      </c>
      <c r="AF677" s="418" t="str">
        <f t="shared" si="913"/>
        <v/>
      </c>
      <c r="AG677" s="418" t="str">
        <f t="shared" si="914"/>
        <v/>
      </c>
      <c r="AH677" s="418" t="str">
        <f t="shared" si="915"/>
        <v/>
      </c>
      <c r="AI677" s="418" t="str">
        <f t="shared" si="916"/>
        <v/>
      </c>
      <c r="AJ677" s="418" t="str">
        <f t="shared" si="917"/>
        <v/>
      </c>
      <c r="AK677" s="418" t="str">
        <f t="shared" si="918"/>
        <v/>
      </c>
      <c r="AL677" s="418" t="str">
        <f t="shared" si="919"/>
        <v/>
      </c>
      <c r="AM677" s="418" t="str">
        <f t="shared" si="920"/>
        <v/>
      </c>
      <c r="AN677" s="418" t="str">
        <f t="shared" si="921"/>
        <v/>
      </c>
      <c r="AO677" s="418" t="str">
        <f t="shared" si="922"/>
        <v/>
      </c>
      <c r="AP677" s="418" t="str">
        <f t="shared" si="923"/>
        <v/>
      </c>
      <c r="AQ677" s="418" t="str">
        <f t="shared" si="924"/>
        <v/>
      </c>
      <c r="AR677" s="418" t="str">
        <f t="shared" si="925"/>
        <v/>
      </c>
      <c r="AS677" s="418" t="str">
        <f t="shared" si="926"/>
        <v/>
      </c>
      <c r="AT677" s="418" t="str">
        <f t="shared" si="927"/>
        <v/>
      </c>
      <c r="AU677" s="418" t="str">
        <f t="shared" si="928"/>
        <v/>
      </c>
      <c r="AV677" s="418" t="str">
        <f t="shared" si="929"/>
        <v/>
      </c>
      <c r="AW677" s="418" t="str">
        <f t="shared" si="930"/>
        <v/>
      </c>
      <c r="AX677" s="418" t="str">
        <f t="shared" si="931"/>
        <v/>
      </c>
      <c r="AY677" s="418" t="str">
        <f t="shared" si="932"/>
        <v/>
      </c>
      <c r="AZ677" s="418" t="str">
        <f t="shared" si="933"/>
        <v/>
      </c>
      <c r="BA677" s="418" t="str">
        <f t="shared" si="934"/>
        <v/>
      </c>
      <c r="BB677" s="418" t="str">
        <f t="shared" si="935"/>
        <v/>
      </c>
      <c r="BC677" s="418" t="str">
        <f t="shared" si="936"/>
        <v/>
      </c>
      <c r="BD677" s="418" t="str">
        <f t="shared" si="937"/>
        <v/>
      </c>
      <c r="BE677" s="418" t="str">
        <f t="shared" si="938"/>
        <v/>
      </c>
      <c r="BF677" s="418" t="str">
        <f t="shared" si="939"/>
        <v/>
      </c>
      <c r="BG677" s="418" t="str">
        <f t="shared" si="940"/>
        <v/>
      </c>
      <c r="BH677" s="418" t="str">
        <f t="shared" si="941"/>
        <v/>
      </c>
      <c r="BI677" s="418" t="str">
        <f t="shared" si="942"/>
        <v/>
      </c>
      <c r="BJ677" s="418" t="str">
        <f t="shared" si="943"/>
        <v/>
      </c>
      <c r="BK677" s="418" t="str">
        <f t="shared" ref="BK677:BS677" si="954">IF(OR($E677="",BK$1=""),"",IF(TRIM(LEFT($E677,MIN(IFERROR(FIND("CDU",UPPER($E677)),999),IFERROR(FIND("BULK",UPPER($E677)),999),IFERROR(FIND("-",$E677),999),IFERROR(FIND("（",$E677),999))-1))=BK$1,$F677,""))</f>
        <v/>
      </c>
      <c r="BL677" s="418" t="str">
        <f t="shared" si="954"/>
        <v/>
      </c>
      <c r="BM677" s="418">
        <f t="shared" si="954"/>
        <v>360</v>
      </c>
      <c r="BN677" s="418" t="str">
        <f t="shared" si="954"/>
        <v/>
      </c>
      <c r="BO677" s="418" t="str">
        <f t="shared" si="954"/>
        <v/>
      </c>
      <c r="BP677" s="418" t="str">
        <f t="shared" si="954"/>
        <v/>
      </c>
      <c r="BQ677" s="418" t="str">
        <f t="shared" si="954"/>
        <v/>
      </c>
      <c r="BR677" s="418" t="str">
        <f t="shared" si="954"/>
        <v/>
      </c>
      <c r="BS677" s="418" t="str">
        <f t="shared" si="954"/>
        <v/>
      </c>
      <c r="BT677" s="418" t="str">
        <f t="shared" si="945"/>
        <v/>
      </c>
      <c r="BU677" s="418" t="str">
        <f t="shared" si="946"/>
        <v/>
      </c>
      <c r="BV677" s="544">
        <v>0.6</v>
      </c>
      <c r="BW677" s="723">
        <f t="shared" si="947"/>
        <v>216</v>
      </c>
      <c r="BX677" s="724">
        <f t="shared" si="948"/>
        <v>1674</v>
      </c>
      <c r="BY677" s="725" t="str">
        <f t="shared" si="949"/>
        <v>JS</v>
      </c>
    </row>
    <row r="678" s="697" customFormat="1" customHeight="1" spans="1:77">
      <c r="A678" s="116">
        <v>46139</v>
      </c>
      <c r="B678" s="116">
        <v>46200</v>
      </c>
      <c r="C678" s="418" t="s">
        <v>789</v>
      </c>
      <c r="D678" s="418" t="s">
        <v>790</v>
      </c>
      <c r="E678" s="418" t="s">
        <v>134</v>
      </c>
      <c r="F678" s="737">
        <v>360</v>
      </c>
      <c r="G678" s="418" t="s">
        <v>341</v>
      </c>
      <c r="H678" s="118" t="str">
        <f>IFERROR(VLOOKUP(E678,名称!A:E,4,0),"")</f>
        <v>三代</v>
      </c>
      <c r="I678" s="418" t="str">
        <f t="shared" si="890"/>
        <v/>
      </c>
      <c r="J678" s="418" t="str">
        <f t="shared" si="891"/>
        <v/>
      </c>
      <c r="K678" s="418" t="str">
        <f t="shared" si="892"/>
        <v/>
      </c>
      <c r="L678" s="418" t="str">
        <f t="shared" si="893"/>
        <v/>
      </c>
      <c r="M678" s="418" t="str">
        <f t="shared" si="894"/>
        <v/>
      </c>
      <c r="N678" s="418" t="str">
        <f t="shared" si="895"/>
        <v/>
      </c>
      <c r="O678" s="418" t="str">
        <f t="shared" si="896"/>
        <v/>
      </c>
      <c r="P678" s="418" t="str">
        <f t="shared" si="897"/>
        <v/>
      </c>
      <c r="Q678" s="418" t="str">
        <f t="shared" si="898"/>
        <v/>
      </c>
      <c r="R678" s="418" t="str">
        <f t="shared" si="899"/>
        <v/>
      </c>
      <c r="S678" s="418" t="str">
        <f t="shared" si="900"/>
        <v/>
      </c>
      <c r="T678" s="418" t="str">
        <f t="shared" si="901"/>
        <v/>
      </c>
      <c r="U678" s="418" t="str">
        <f t="shared" si="902"/>
        <v/>
      </c>
      <c r="V678" s="418" t="str">
        <f t="shared" si="903"/>
        <v/>
      </c>
      <c r="W678" s="418" t="str">
        <f t="shared" si="904"/>
        <v/>
      </c>
      <c r="X678" s="418" t="str">
        <f t="shared" si="905"/>
        <v/>
      </c>
      <c r="Y678" s="418" t="str">
        <f t="shared" si="906"/>
        <v/>
      </c>
      <c r="Z678" s="418" t="str">
        <f t="shared" si="907"/>
        <v/>
      </c>
      <c r="AA678" s="418" t="str">
        <f t="shared" si="908"/>
        <v/>
      </c>
      <c r="AB678" s="418" t="str">
        <f t="shared" si="909"/>
        <v/>
      </c>
      <c r="AC678" s="418" t="str">
        <f t="shared" si="910"/>
        <v/>
      </c>
      <c r="AD678" s="418" t="str">
        <f t="shared" si="911"/>
        <v/>
      </c>
      <c r="AE678" s="418" t="str">
        <f t="shared" si="912"/>
        <v/>
      </c>
      <c r="AF678" s="418" t="str">
        <f t="shared" si="913"/>
        <v/>
      </c>
      <c r="AG678" s="418" t="str">
        <f t="shared" si="914"/>
        <v/>
      </c>
      <c r="AH678" s="418" t="str">
        <f t="shared" si="915"/>
        <v/>
      </c>
      <c r="AI678" s="418" t="str">
        <f t="shared" si="916"/>
        <v/>
      </c>
      <c r="AJ678" s="418" t="str">
        <f t="shared" si="917"/>
        <v/>
      </c>
      <c r="AK678" s="418" t="str">
        <f t="shared" si="918"/>
        <v/>
      </c>
      <c r="AL678" s="418" t="str">
        <f t="shared" si="919"/>
        <v/>
      </c>
      <c r="AM678" s="418" t="str">
        <f t="shared" si="920"/>
        <v/>
      </c>
      <c r="AN678" s="418" t="str">
        <f t="shared" si="921"/>
        <v/>
      </c>
      <c r="AO678" s="418" t="str">
        <f t="shared" si="922"/>
        <v/>
      </c>
      <c r="AP678" s="418" t="str">
        <f t="shared" si="923"/>
        <v/>
      </c>
      <c r="AQ678" s="418" t="str">
        <f t="shared" si="924"/>
        <v/>
      </c>
      <c r="AR678" s="418" t="str">
        <f t="shared" si="925"/>
        <v/>
      </c>
      <c r="AS678" s="418" t="str">
        <f t="shared" si="926"/>
        <v/>
      </c>
      <c r="AT678" s="418" t="str">
        <f t="shared" si="927"/>
        <v/>
      </c>
      <c r="AU678" s="418" t="str">
        <f t="shared" si="928"/>
        <v/>
      </c>
      <c r="AV678" s="418" t="str">
        <f t="shared" si="929"/>
        <v/>
      </c>
      <c r="AW678" s="418" t="str">
        <f t="shared" si="930"/>
        <v/>
      </c>
      <c r="AX678" s="418" t="str">
        <f t="shared" si="931"/>
        <v/>
      </c>
      <c r="AY678" s="418" t="str">
        <f t="shared" si="932"/>
        <v/>
      </c>
      <c r="AZ678" s="418" t="str">
        <f t="shared" si="933"/>
        <v/>
      </c>
      <c r="BA678" s="418" t="str">
        <f t="shared" si="934"/>
        <v/>
      </c>
      <c r="BB678" s="418" t="str">
        <f t="shared" si="935"/>
        <v/>
      </c>
      <c r="BC678" s="418" t="str">
        <f t="shared" si="936"/>
        <v/>
      </c>
      <c r="BD678" s="418" t="str">
        <f t="shared" si="937"/>
        <v/>
      </c>
      <c r="BE678" s="418" t="str">
        <f t="shared" si="938"/>
        <v/>
      </c>
      <c r="BF678" s="418" t="str">
        <f t="shared" si="939"/>
        <v/>
      </c>
      <c r="BG678" s="418" t="str">
        <f t="shared" si="940"/>
        <v/>
      </c>
      <c r="BH678" s="418" t="str">
        <f t="shared" si="941"/>
        <v/>
      </c>
      <c r="BI678" s="418" t="str">
        <f t="shared" si="942"/>
        <v/>
      </c>
      <c r="BJ678" s="418" t="str">
        <f t="shared" si="943"/>
        <v/>
      </c>
      <c r="BK678" s="418" t="str">
        <f t="shared" ref="BK678:BS678" si="955">IF(OR($E678="",BK$1=""),"",IF(TRIM(LEFT($E678,MIN(IFERROR(FIND("CDU",UPPER($E678)),999),IFERROR(FIND("BULK",UPPER($E678)),999),IFERROR(FIND("-",$E678),999),IFERROR(FIND("（",$E678),999))-1))=BK$1,$F678,""))</f>
        <v/>
      </c>
      <c r="BL678" s="418" t="str">
        <f t="shared" si="955"/>
        <v/>
      </c>
      <c r="BM678" s="418">
        <f t="shared" si="955"/>
        <v>360</v>
      </c>
      <c r="BN678" s="418" t="str">
        <f t="shared" si="955"/>
        <v/>
      </c>
      <c r="BO678" s="418" t="str">
        <f t="shared" si="955"/>
        <v/>
      </c>
      <c r="BP678" s="418" t="str">
        <f t="shared" si="955"/>
        <v/>
      </c>
      <c r="BQ678" s="418" t="str">
        <f t="shared" si="955"/>
        <v/>
      </c>
      <c r="BR678" s="418" t="str">
        <f t="shared" si="955"/>
        <v/>
      </c>
      <c r="BS678" s="418" t="str">
        <f t="shared" si="955"/>
        <v/>
      </c>
      <c r="BT678" s="418" t="str">
        <f t="shared" si="945"/>
        <v/>
      </c>
      <c r="BU678" s="418" t="str">
        <f t="shared" si="946"/>
        <v/>
      </c>
      <c r="BV678" s="544">
        <v>0.6</v>
      </c>
      <c r="BW678" s="723">
        <f t="shared" si="947"/>
        <v>216</v>
      </c>
      <c r="BX678" s="724">
        <f t="shared" si="948"/>
        <v>1674</v>
      </c>
      <c r="BY678" s="725" t="str">
        <f t="shared" si="949"/>
        <v>JS</v>
      </c>
    </row>
    <row r="679" s="697" customFormat="1" customHeight="1" spans="1:77">
      <c r="A679" s="116">
        <v>46139</v>
      </c>
      <c r="B679" s="116">
        <v>46200</v>
      </c>
      <c r="C679" s="418" t="s">
        <v>789</v>
      </c>
      <c r="D679" s="418" t="s">
        <v>790</v>
      </c>
      <c r="E679" s="418" t="s">
        <v>135</v>
      </c>
      <c r="F679" s="737">
        <v>360</v>
      </c>
      <c r="G679" s="418" t="s">
        <v>341</v>
      </c>
      <c r="H679" s="118" t="str">
        <f>IFERROR(VLOOKUP(E679,名称!A:E,4,0),"")</f>
        <v>三代</v>
      </c>
      <c r="I679" s="418" t="str">
        <f t="shared" si="890"/>
        <v/>
      </c>
      <c r="J679" s="418" t="str">
        <f t="shared" si="891"/>
        <v/>
      </c>
      <c r="K679" s="418" t="str">
        <f t="shared" si="892"/>
        <v/>
      </c>
      <c r="L679" s="418" t="str">
        <f t="shared" si="893"/>
        <v/>
      </c>
      <c r="M679" s="418" t="str">
        <f t="shared" si="894"/>
        <v/>
      </c>
      <c r="N679" s="418" t="str">
        <f t="shared" si="895"/>
        <v/>
      </c>
      <c r="O679" s="418" t="str">
        <f t="shared" si="896"/>
        <v/>
      </c>
      <c r="P679" s="418" t="str">
        <f t="shared" si="897"/>
        <v/>
      </c>
      <c r="Q679" s="418" t="str">
        <f t="shared" si="898"/>
        <v/>
      </c>
      <c r="R679" s="418" t="str">
        <f t="shared" si="899"/>
        <v/>
      </c>
      <c r="S679" s="418" t="str">
        <f t="shared" si="900"/>
        <v/>
      </c>
      <c r="T679" s="418" t="str">
        <f t="shared" si="901"/>
        <v/>
      </c>
      <c r="U679" s="418" t="str">
        <f t="shared" si="902"/>
        <v/>
      </c>
      <c r="V679" s="418" t="str">
        <f t="shared" si="903"/>
        <v/>
      </c>
      <c r="W679" s="418" t="str">
        <f t="shared" si="904"/>
        <v/>
      </c>
      <c r="X679" s="418" t="str">
        <f t="shared" si="905"/>
        <v/>
      </c>
      <c r="Y679" s="418" t="str">
        <f t="shared" si="906"/>
        <v/>
      </c>
      <c r="Z679" s="418" t="str">
        <f t="shared" si="907"/>
        <v/>
      </c>
      <c r="AA679" s="418" t="str">
        <f t="shared" si="908"/>
        <v/>
      </c>
      <c r="AB679" s="418" t="str">
        <f t="shared" si="909"/>
        <v/>
      </c>
      <c r="AC679" s="418" t="str">
        <f t="shared" si="910"/>
        <v/>
      </c>
      <c r="AD679" s="418" t="str">
        <f t="shared" si="911"/>
        <v/>
      </c>
      <c r="AE679" s="418" t="str">
        <f t="shared" si="912"/>
        <v/>
      </c>
      <c r="AF679" s="418" t="str">
        <f t="shared" si="913"/>
        <v/>
      </c>
      <c r="AG679" s="418" t="str">
        <f t="shared" si="914"/>
        <v/>
      </c>
      <c r="AH679" s="418" t="str">
        <f t="shared" si="915"/>
        <v/>
      </c>
      <c r="AI679" s="418" t="str">
        <f t="shared" si="916"/>
        <v/>
      </c>
      <c r="AJ679" s="418" t="str">
        <f t="shared" si="917"/>
        <v/>
      </c>
      <c r="AK679" s="418" t="str">
        <f t="shared" si="918"/>
        <v/>
      </c>
      <c r="AL679" s="418" t="str">
        <f t="shared" si="919"/>
        <v/>
      </c>
      <c r="AM679" s="418" t="str">
        <f t="shared" si="920"/>
        <v/>
      </c>
      <c r="AN679" s="418" t="str">
        <f t="shared" si="921"/>
        <v/>
      </c>
      <c r="AO679" s="418" t="str">
        <f t="shared" si="922"/>
        <v/>
      </c>
      <c r="AP679" s="418" t="str">
        <f t="shared" si="923"/>
        <v/>
      </c>
      <c r="AQ679" s="418" t="str">
        <f t="shared" si="924"/>
        <v/>
      </c>
      <c r="AR679" s="418" t="str">
        <f t="shared" si="925"/>
        <v/>
      </c>
      <c r="AS679" s="418" t="str">
        <f t="shared" si="926"/>
        <v/>
      </c>
      <c r="AT679" s="418" t="str">
        <f t="shared" si="927"/>
        <v/>
      </c>
      <c r="AU679" s="418" t="str">
        <f t="shared" si="928"/>
        <v/>
      </c>
      <c r="AV679" s="418" t="str">
        <f t="shared" si="929"/>
        <v/>
      </c>
      <c r="AW679" s="418" t="str">
        <f t="shared" si="930"/>
        <v/>
      </c>
      <c r="AX679" s="418" t="str">
        <f t="shared" si="931"/>
        <v/>
      </c>
      <c r="AY679" s="418" t="str">
        <f t="shared" si="932"/>
        <v/>
      </c>
      <c r="AZ679" s="418" t="str">
        <f t="shared" si="933"/>
        <v/>
      </c>
      <c r="BA679" s="418" t="str">
        <f t="shared" si="934"/>
        <v/>
      </c>
      <c r="BB679" s="418" t="str">
        <f t="shared" si="935"/>
        <v/>
      </c>
      <c r="BC679" s="418" t="str">
        <f t="shared" si="936"/>
        <v/>
      </c>
      <c r="BD679" s="418" t="str">
        <f t="shared" si="937"/>
        <v/>
      </c>
      <c r="BE679" s="418" t="str">
        <f t="shared" si="938"/>
        <v/>
      </c>
      <c r="BF679" s="418" t="str">
        <f t="shared" si="939"/>
        <v/>
      </c>
      <c r="BG679" s="418" t="str">
        <f t="shared" si="940"/>
        <v/>
      </c>
      <c r="BH679" s="418" t="str">
        <f t="shared" si="941"/>
        <v/>
      </c>
      <c r="BI679" s="418" t="str">
        <f t="shared" si="942"/>
        <v/>
      </c>
      <c r="BJ679" s="418" t="str">
        <f t="shared" si="943"/>
        <v/>
      </c>
      <c r="BK679" s="418" t="str">
        <f t="shared" ref="BK679:BS679" si="956">IF(OR($E679="",BK$1=""),"",IF(TRIM(LEFT($E679,MIN(IFERROR(FIND("CDU",UPPER($E679)),999),IFERROR(FIND("BULK",UPPER($E679)),999),IFERROR(FIND("-",$E679),999),IFERROR(FIND("（",$E679),999))-1))=BK$1,$F679,""))</f>
        <v/>
      </c>
      <c r="BL679" s="418" t="str">
        <f t="shared" si="956"/>
        <v/>
      </c>
      <c r="BM679" s="418">
        <f t="shared" si="956"/>
        <v>360</v>
      </c>
      <c r="BN679" s="418" t="str">
        <f t="shared" si="956"/>
        <v/>
      </c>
      <c r="BO679" s="418" t="str">
        <f t="shared" si="956"/>
        <v/>
      </c>
      <c r="BP679" s="418" t="str">
        <f t="shared" si="956"/>
        <v/>
      </c>
      <c r="BQ679" s="418" t="str">
        <f t="shared" si="956"/>
        <v/>
      </c>
      <c r="BR679" s="418" t="str">
        <f t="shared" si="956"/>
        <v/>
      </c>
      <c r="BS679" s="418" t="str">
        <f t="shared" si="956"/>
        <v/>
      </c>
      <c r="BT679" s="418" t="str">
        <f t="shared" si="945"/>
        <v/>
      </c>
      <c r="BU679" s="418" t="str">
        <f t="shared" si="946"/>
        <v/>
      </c>
      <c r="BV679" s="544">
        <v>0.6</v>
      </c>
      <c r="BW679" s="723">
        <f t="shared" si="947"/>
        <v>216</v>
      </c>
      <c r="BX679" s="724">
        <f t="shared" si="948"/>
        <v>1674</v>
      </c>
      <c r="BY679" s="725" t="str">
        <f t="shared" si="949"/>
        <v>JS</v>
      </c>
    </row>
    <row r="680" s="698" customFormat="1" customHeight="1" spans="1:77">
      <c r="A680" s="208">
        <v>46139</v>
      </c>
      <c r="B680" s="208">
        <v>46200</v>
      </c>
      <c r="C680" s="268" t="s">
        <v>789</v>
      </c>
      <c r="D680" s="268" t="s">
        <v>790</v>
      </c>
      <c r="E680" s="268" t="s">
        <v>136</v>
      </c>
      <c r="F680" s="343">
        <v>1872</v>
      </c>
      <c r="G680" s="268" t="s">
        <v>341</v>
      </c>
      <c r="H680" s="211" t="str">
        <f>IFERROR(VLOOKUP(E680,名称!A:E,4,0),"")</f>
        <v>三代</v>
      </c>
      <c r="I680" s="268" t="str">
        <f t="shared" si="890"/>
        <v/>
      </c>
      <c r="J680" s="268" t="str">
        <f t="shared" si="891"/>
        <v/>
      </c>
      <c r="K680" s="268" t="str">
        <f t="shared" si="892"/>
        <v/>
      </c>
      <c r="L680" s="268" t="str">
        <f t="shared" si="893"/>
        <v/>
      </c>
      <c r="M680" s="268" t="str">
        <f t="shared" si="894"/>
        <v/>
      </c>
      <c r="N680" s="268" t="str">
        <f t="shared" si="895"/>
        <v/>
      </c>
      <c r="O680" s="268" t="str">
        <f t="shared" si="896"/>
        <v/>
      </c>
      <c r="P680" s="268" t="str">
        <f t="shared" si="897"/>
        <v/>
      </c>
      <c r="Q680" s="268" t="str">
        <f t="shared" si="898"/>
        <v/>
      </c>
      <c r="R680" s="268" t="str">
        <f t="shared" si="899"/>
        <v/>
      </c>
      <c r="S680" s="268" t="str">
        <f t="shared" si="900"/>
        <v/>
      </c>
      <c r="T680" s="268" t="str">
        <f t="shared" si="901"/>
        <v/>
      </c>
      <c r="U680" s="268" t="str">
        <f t="shared" si="902"/>
        <v/>
      </c>
      <c r="V680" s="268" t="str">
        <f t="shared" si="903"/>
        <v/>
      </c>
      <c r="W680" s="268" t="str">
        <f t="shared" si="904"/>
        <v/>
      </c>
      <c r="X680" s="268" t="str">
        <f t="shared" si="905"/>
        <v/>
      </c>
      <c r="Y680" s="268" t="str">
        <f t="shared" si="906"/>
        <v/>
      </c>
      <c r="Z680" s="268" t="str">
        <f t="shared" si="907"/>
        <v/>
      </c>
      <c r="AA680" s="268" t="str">
        <f t="shared" si="908"/>
        <v/>
      </c>
      <c r="AB680" s="268" t="str">
        <f t="shared" si="909"/>
        <v/>
      </c>
      <c r="AC680" s="268">
        <f t="shared" si="910"/>
        <v>1872</v>
      </c>
      <c r="AD680" s="268" t="str">
        <f t="shared" si="911"/>
        <v/>
      </c>
      <c r="AE680" s="268" t="str">
        <f t="shared" si="912"/>
        <v/>
      </c>
      <c r="AF680" s="268" t="str">
        <f t="shared" si="913"/>
        <v/>
      </c>
      <c r="AG680" s="268" t="str">
        <f t="shared" si="914"/>
        <v/>
      </c>
      <c r="AH680" s="268" t="str">
        <f t="shared" si="915"/>
        <v/>
      </c>
      <c r="AI680" s="268" t="str">
        <f t="shared" si="916"/>
        <v/>
      </c>
      <c r="AJ680" s="268" t="str">
        <f t="shared" si="917"/>
        <v/>
      </c>
      <c r="AK680" s="268" t="str">
        <f t="shared" si="918"/>
        <v/>
      </c>
      <c r="AL680" s="268" t="str">
        <f t="shared" si="919"/>
        <v/>
      </c>
      <c r="AM680" s="268" t="str">
        <f t="shared" si="920"/>
        <v/>
      </c>
      <c r="AN680" s="268" t="str">
        <f t="shared" si="921"/>
        <v/>
      </c>
      <c r="AO680" s="268" t="str">
        <f t="shared" si="922"/>
        <v/>
      </c>
      <c r="AP680" s="268" t="str">
        <f t="shared" si="923"/>
        <v/>
      </c>
      <c r="AQ680" s="268" t="str">
        <f t="shared" si="924"/>
        <v/>
      </c>
      <c r="AR680" s="268" t="str">
        <f t="shared" si="925"/>
        <v/>
      </c>
      <c r="AS680" s="268" t="str">
        <f t="shared" si="926"/>
        <v/>
      </c>
      <c r="AT680" s="268" t="str">
        <f t="shared" si="927"/>
        <v/>
      </c>
      <c r="AU680" s="268" t="str">
        <f t="shared" si="928"/>
        <v/>
      </c>
      <c r="AV680" s="268" t="str">
        <f t="shared" si="929"/>
        <v/>
      </c>
      <c r="AW680" s="268" t="str">
        <f t="shared" si="930"/>
        <v/>
      </c>
      <c r="AX680" s="268" t="str">
        <f t="shared" si="931"/>
        <v/>
      </c>
      <c r="AY680" s="268" t="str">
        <f t="shared" si="932"/>
        <v/>
      </c>
      <c r="AZ680" s="268" t="str">
        <f t="shared" si="933"/>
        <v/>
      </c>
      <c r="BA680" s="268" t="str">
        <f t="shared" si="934"/>
        <v/>
      </c>
      <c r="BB680" s="268" t="str">
        <f t="shared" si="935"/>
        <v/>
      </c>
      <c r="BC680" s="268" t="str">
        <f t="shared" si="936"/>
        <v/>
      </c>
      <c r="BD680" s="268" t="str">
        <f t="shared" si="937"/>
        <v/>
      </c>
      <c r="BE680" s="268" t="str">
        <f t="shared" si="938"/>
        <v/>
      </c>
      <c r="BF680" s="268" t="str">
        <f t="shared" si="939"/>
        <v/>
      </c>
      <c r="BG680" s="268" t="str">
        <f t="shared" si="940"/>
        <v/>
      </c>
      <c r="BH680" s="268" t="str">
        <f t="shared" si="941"/>
        <v/>
      </c>
      <c r="BI680" s="268" t="str">
        <f t="shared" si="942"/>
        <v/>
      </c>
      <c r="BJ680" s="268" t="str">
        <f t="shared" si="943"/>
        <v/>
      </c>
      <c r="BK680" s="268" t="str">
        <f t="shared" ref="BK680:BS680" si="957">IF(OR($E680="",BK$1=""),"",IF(TRIM(LEFT($E680,MIN(IFERROR(FIND("CDU",UPPER($E680)),999),IFERROR(FIND("BULK",UPPER($E680)),999),IFERROR(FIND("-",$E680),999),IFERROR(FIND("（",$E680),999))-1))=BK$1,$F680,""))</f>
        <v/>
      </c>
      <c r="BL680" s="268" t="str">
        <f t="shared" si="957"/>
        <v/>
      </c>
      <c r="BM680" s="268" t="str">
        <f t="shared" si="957"/>
        <v/>
      </c>
      <c r="BN680" s="268" t="str">
        <f t="shared" si="957"/>
        <v/>
      </c>
      <c r="BO680" s="268" t="str">
        <f t="shared" si="957"/>
        <v/>
      </c>
      <c r="BP680" s="268" t="str">
        <f t="shared" si="957"/>
        <v/>
      </c>
      <c r="BQ680" s="268" t="str">
        <f t="shared" si="957"/>
        <v/>
      </c>
      <c r="BR680" s="268" t="str">
        <f t="shared" si="957"/>
        <v/>
      </c>
      <c r="BS680" s="268" t="str">
        <f t="shared" si="957"/>
        <v/>
      </c>
      <c r="BT680" s="268" t="str">
        <f t="shared" si="945"/>
        <v/>
      </c>
      <c r="BU680" s="268" t="str">
        <f t="shared" si="946"/>
        <v/>
      </c>
      <c r="BV680" s="247">
        <v>0.63</v>
      </c>
      <c r="BW680" s="729">
        <f t="shared" si="947"/>
        <v>1179.36</v>
      </c>
      <c r="BX680" s="730">
        <f t="shared" si="948"/>
        <v>9140.04</v>
      </c>
      <c r="BY680" s="731" t="str">
        <f t="shared" si="949"/>
        <v>SR</v>
      </c>
    </row>
    <row r="681" s="697" customFormat="1" customHeight="1" spans="1:77">
      <c r="A681" s="116">
        <v>46139</v>
      </c>
      <c r="B681" s="116">
        <v>46200</v>
      </c>
      <c r="C681" s="418" t="s">
        <v>789</v>
      </c>
      <c r="D681" s="418" t="s">
        <v>790</v>
      </c>
      <c r="E681" s="418" t="s">
        <v>137</v>
      </c>
      <c r="F681" s="737">
        <v>2160</v>
      </c>
      <c r="G681" s="418" t="s">
        <v>341</v>
      </c>
      <c r="H681" s="118" t="str">
        <f>IFERROR(VLOOKUP(E681,名称!A:E,4,0),"")</f>
        <v>三代</v>
      </c>
      <c r="I681" s="418" t="str">
        <f t="shared" si="890"/>
        <v/>
      </c>
      <c r="J681" s="418" t="str">
        <f t="shared" si="891"/>
        <v/>
      </c>
      <c r="K681" s="418" t="str">
        <f t="shared" si="892"/>
        <v/>
      </c>
      <c r="L681" s="418" t="str">
        <f t="shared" si="893"/>
        <v/>
      </c>
      <c r="M681" s="418" t="str">
        <f t="shared" si="894"/>
        <v/>
      </c>
      <c r="N681" s="418" t="str">
        <f t="shared" si="895"/>
        <v/>
      </c>
      <c r="O681" s="418" t="str">
        <f t="shared" si="896"/>
        <v/>
      </c>
      <c r="P681" s="418" t="str">
        <f t="shared" si="897"/>
        <v/>
      </c>
      <c r="Q681" s="418" t="str">
        <f t="shared" si="898"/>
        <v/>
      </c>
      <c r="R681" s="418" t="str">
        <f t="shared" si="899"/>
        <v/>
      </c>
      <c r="S681" s="418" t="str">
        <f t="shared" si="900"/>
        <v/>
      </c>
      <c r="T681" s="418" t="str">
        <f t="shared" si="901"/>
        <v/>
      </c>
      <c r="U681" s="418" t="str">
        <f t="shared" si="902"/>
        <v/>
      </c>
      <c r="V681" s="418" t="str">
        <f t="shared" si="903"/>
        <v/>
      </c>
      <c r="W681" s="418" t="str">
        <f t="shared" si="904"/>
        <v/>
      </c>
      <c r="X681" s="418" t="str">
        <f t="shared" si="905"/>
        <v/>
      </c>
      <c r="Y681" s="418" t="str">
        <f t="shared" si="906"/>
        <v/>
      </c>
      <c r="Z681" s="418" t="str">
        <f t="shared" si="907"/>
        <v/>
      </c>
      <c r="AA681" s="418" t="str">
        <f t="shared" si="908"/>
        <v/>
      </c>
      <c r="AB681" s="418" t="str">
        <f t="shared" si="909"/>
        <v/>
      </c>
      <c r="AC681" s="418">
        <f t="shared" si="910"/>
        <v>2160</v>
      </c>
      <c r="AD681" s="418" t="str">
        <f t="shared" si="911"/>
        <v/>
      </c>
      <c r="AE681" s="418" t="str">
        <f t="shared" si="912"/>
        <v/>
      </c>
      <c r="AF681" s="418" t="str">
        <f t="shared" si="913"/>
        <v/>
      </c>
      <c r="AG681" s="418" t="str">
        <f t="shared" si="914"/>
        <v/>
      </c>
      <c r="AH681" s="418" t="str">
        <f t="shared" si="915"/>
        <v/>
      </c>
      <c r="AI681" s="418" t="str">
        <f t="shared" si="916"/>
        <v/>
      </c>
      <c r="AJ681" s="418" t="str">
        <f t="shared" si="917"/>
        <v/>
      </c>
      <c r="AK681" s="418" t="str">
        <f t="shared" si="918"/>
        <v/>
      </c>
      <c r="AL681" s="418" t="str">
        <f t="shared" si="919"/>
        <v/>
      </c>
      <c r="AM681" s="418" t="str">
        <f t="shared" si="920"/>
        <v/>
      </c>
      <c r="AN681" s="418" t="str">
        <f t="shared" si="921"/>
        <v/>
      </c>
      <c r="AO681" s="418" t="str">
        <f t="shared" si="922"/>
        <v/>
      </c>
      <c r="AP681" s="418" t="str">
        <f t="shared" si="923"/>
        <v/>
      </c>
      <c r="AQ681" s="418" t="str">
        <f t="shared" si="924"/>
        <v/>
      </c>
      <c r="AR681" s="418" t="str">
        <f t="shared" si="925"/>
        <v/>
      </c>
      <c r="AS681" s="418" t="str">
        <f t="shared" si="926"/>
        <v/>
      </c>
      <c r="AT681" s="418" t="str">
        <f t="shared" si="927"/>
        <v/>
      </c>
      <c r="AU681" s="418" t="str">
        <f t="shared" si="928"/>
        <v/>
      </c>
      <c r="AV681" s="418" t="str">
        <f t="shared" si="929"/>
        <v/>
      </c>
      <c r="AW681" s="418" t="str">
        <f t="shared" si="930"/>
        <v/>
      </c>
      <c r="AX681" s="418" t="str">
        <f t="shared" si="931"/>
        <v/>
      </c>
      <c r="AY681" s="418" t="str">
        <f t="shared" si="932"/>
        <v/>
      </c>
      <c r="AZ681" s="418" t="str">
        <f t="shared" si="933"/>
        <v/>
      </c>
      <c r="BA681" s="418" t="str">
        <f t="shared" si="934"/>
        <v/>
      </c>
      <c r="BB681" s="418" t="str">
        <f t="shared" si="935"/>
        <v/>
      </c>
      <c r="BC681" s="418" t="str">
        <f t="shared" si="936"/>
        <v/>
      </c>
      <c r="BD681" s="418" t="str">
        <f t="shared" si="937"/>
        <v/>
      </c>
      <c r="BE681" s="418" t="str">
        <f t="shared" si="938"/>
        <v/>
      </c>
      <c r="BF681" s="418" t="str">
        <f t="shared" si="939"/>
        <v/>
      </c>
      <c r="BG681" s="418" t="str">
        <f t="shared" si="940"/>
        <v/>
      </c>
      <c r="BH681" s="418" t="str">
        <f t="shared" si="941"/>
        <v/>
      </c>
      <c r="BI681" s="418" t="str">
        <f t="shared" si="942"/>
        <v/>
      </c>
      <c r="BJ681" s="418" t="str">
        <f t="shared" si="943"/>
        <v/>
      </c>
      <c r="BK681" s="418" t="str">
        <f t="shared" ref="BK681:BS681" si="958">IF(OR($E681="",BK$1=""),"",IF(TRIM(LEFT($E681,MIN(IFERROR(FIND("CDU",UPPER($E681)),999),IFERROR(FIND("BULK",UPPER($E681)),999),IFERROR(FIND("-",$E681),999),IFERROR(FIND("（",$E681),999))-1))=BK$1,$F681,""))</f>
        <v/>
      </c>
      <c r="BL681" s="418" t="str">
        <f t="shared" si="958"/>
        <v/>
      </c>
      <c r="BM681" s="418" t="str">
        <f t="shared" si="958"/>
        <v/>
      </c>
      <c r="BN681" s="418" t="str">
        <f t="shared" si="958"/>
        <v/>
      </c>
      <c r="BO681" s="418" t="str">
        <f t="shared" si="958"/>
        <v/>
      </c>
      <c r="BP681" s="418" t="str">
        <f t="shared" si="958"/>
        <v/>
      </c>
      <c r="BQ681" s="418" t="str">
        <f t="shared" si="958"/>
        <v/>
      </c>
      <c r="BR681" s="418" t="str">
        <f t="shared" si="958"/>
        <v/>
      </c>
      <c r="BS681" s="418" t="str">
        <f t="shared" si="958"/>
        <v/>
      </c>
      <c r="BT681" s="418" t="str">
        <f t="shared" si="945"/>
        <v/>
      </c>
      <c r="BU681" s="418" t="str">
        <f t="shared" si="946"/>
        <v/>
      </c>
      <c r="BV681" s="544">
        <v>0.64</v>
      </c>
      <c r="BW681" s="723">
        <f t="shared" si="947"/>
        <v>1382.4</v>
      </c>
      <c r="BX681" s="724">
        <f t="shared" si="948"/>
        <v>10713.6</v>
      </c>
      <c r="BY681" s="725" t="str">
        <f t="shared" si="949"/>
        <v>SR</v>
      </c>
    </row>
    <row r="682" s="697" customFormat="1" customHeight="1" spans="1:77">
      <c r="A682" s="116">
        <v>46139</v>
      </c>
      <c r="B682" s="116">
        <v>46200</v>
      </c>
      <c r="C682" s="418" t="s">
        <v>789</v>
      </c>
      <c r="D682" s="418" t="s">
        <v>790</v>
      </c>
      <c r="E682" s="418" t="s">
        <v>138</v>
      </c>
      <c r="F682" s="737">
        <v>1152</v>
      </c>
      <c r="G682" s="418" t="s">
        <v>341</v>
      </c>
      <c r="H682" s="118" t="str">
        <f>IFERROR(VLOOKUP(E682,名称!A:E,4,0),"")</f>
        <v>三代</v>
      </c>
      <c r="I682" s="418" t="str">
        <f t="shared" si="890"/>
        <v/>
      </c>
      <c r="J682" s="418" t="str">
        <f t="shared" si="891"/>
        <v/>
      </c>
      <c r="K682" s="418" t="str">
        <f t="shared" si="892"/>
        <v/>
      </c>
      <c r="L682" s="418" t="str">
        <f t="shared" si="893"/>
        <v/>
      </c>
      <c r="M682" s="418" t="str">
        <f t="shared" si="894"/>
        <v/>
      </c>
      <c r="N682" s="418" t="str">
        <f t="shared" si="895"/>
        <v/>
      </c>
      <c r="O682" s="418" t="str">
        <f t="shared" si="896"/>
        <v/>
      </c>
      <c r="P682" s="418" t="str">
        <f t="shared" si="897"/>
        <v/>
      </c>
      <c r="Q682" s="418" t="str">
        <f t="shared" si="898"/>
        <v/>
      </c>
      <c r="R682" s="418" t="str">
        <f t="shared" si="899"/>
        <v/>
      </c>
      <c r="S682" s="418" t="str">
        <f t="shared" si="900"/>
        <v/>
      </c>
      <c r="T682" s="418" t="str">
        <f t="shared" si="901"/>
        <v/>
      </c>
      <c r="U682" s="418" t="str">
        <f t="shared" si="902"/>
        <v/>
      </c>
      <c r="V682" s="418" t="str">
        <f t="shared" si="903"/>
        <v/>
      </c>
      <c r="W682" s="418" t="str">
        <f t="shared" si="904"/>
        <v/>
      </c>
      <c r="X682" s="418" t="str">
        <f t="shared" si="905"/>
        <v/>
      </c>
      <c r="Y682" s="418" t="str">
        <f t="shared" si="906"/>
        <v/>
      </c>
      <c r="Z682" s="418" t="str">
        <f t="shared" si="907"/>
        <v/>
      </c>
      <c r="AA682" s="418" t="str">
        <f t="shared" si="908"/>
        <v/>
      </c>
      <c r="AB682" s="418" t="str">
        <f t="shared" si="909"/>
        <v/>
      </c>
      <c r="AC682" s="418">
        <f t="shared" si="910"/>
        <v>1152</v>
      </c>
      <c r="AD682" s="418" t="str">
        <f t="shared" si="911"/>
        <v/>
      </c>
      <c r="AE682" s="418" t="str">
        <f t="shared" si="912"/>
        <v/>
      </c>
      <c r="AF682" s="418" t="str">
        <f t="shared" si="913"/>
        <v/>
      </c>
      <c r="AG682" s="418" t="str">
        <f t="shared" si="914"/>
        <v/>
      </c>
      <c r="AH682" s="418" t="str">
        <f t="shared" si="915"/>
        <v/>
      </c>
      <c r="AI682" s="418" t="str">
        <f t="shared" si="916"/>
        <v/>
      </c>
      <c r="AJ682" s="418" t="str">
        <f t="shared" si="917"/>
        <v/>
      </c>
      <c r="AK682" s="418" t="str">
        <f t="shared" si="918"/>
        <v/>
      </c>
      <c r="AL682" s="418" t="str">
        <f t="shared" si="919"/>
        <v/>
      </c>
      <c r="AM682" s="418" t="str">
        <f t="shared" si="920"/>
        <v/>
      </c>
      <c r="AN682" s="418" t="str">
        <f t="shared" si="921"/>
        <v/>
      </c>
      <c r="AO682" s="418" t="str">
        <f t="shared" si="922"/>
        <v/>
      </c>
      <c r="AP682" s="418" t="str">
        <f t="shared" si="923"/>
        <v/>
      </c>
      <c r="AQ682" s="418" t="str">
        <f t="shared" si="924"/>
        <v/>
      </c>
      <c r="AR682" s="418" t="str">
        <f t="shared" si="925"/>
        <v/>
      </c>
      <c r="AS682" s="418" t="str">
        <f t="shared" si="926"/>
        <v/>
      </c>
      <c r="AT682" s="418" t="str">
        <f t="shared" si="927"/>
        <v/>
      </c>
      <c r="AU682" s="418" t="str">
        <f t="shared" si="928"/>
        <v/>
      </c>
      <c r="AV682" s="418" t="str">
        <f t="shared" si="929"/>
        <v/>
      </c>
      <c r="AW682" s="418" t="str">
        <f t="shared" si="930"/>
        <v/>
      </c>
      <c r="AX682" s="418" t="str">
        <f t="shared" si="931"/>
        <v/>
      </c>
      <c r="AY682" s="418" t="str">
        <f t="shared" si="932"/>
        <v/>
      </c>
      <c r="AZ682" s="418" t="str">
        <f t="shared" si="933"/>
        <v/>
      </c>
      <c r="BA682" s="418" t="str">
        <f t="shared" si="934"/>
        <v/>
      </c>
      <c r="BB682" s="418" t="str">
        <f t="shared" si="935"/>
        <v/>
      </c>
      <c r="BC682" s="418" t="str">
        <f t="shared" si="936"/>
        <v/>
      </c>
      <c r="BD682" s="418" t="str">
        <f t="shared" si="937"/>
        <v/>
      </c>
      <c r="BE682" s="418" t="str">
        <f t="shared" si="938"/>
        <v/>
      </c>
      <c r="BF682" s="418" t="str">
        <f t="shared" si="939"/>
        <v/>
      </c>
      <c r="BG682" s="418" t="str">
        <f t="shared" si="940"/>
        <v/>
      </c>
      <c r="BH682" s="418" t="str">
        <f t="shared" si="941"/>
        <v/>
      </c>
      <c r="BI682" s="418" t="str">
        <f t="shared" si="942"/>
        <v/>
      </c>
      <c r="BJ682" s="418" t="str">
        <f t="shared" si="943"/>
        <v/>
      </c>
      <c r="BK682" s="418" t="str">
        <f t="shared" ref="BK682:BS682" si="959">IF(OR($E682="",BK$1=""),"",IF(TRIM(LEFT($E682,MIN(IFERROR(FIND("CDU",UPPER($E682)),999),IFERROR(FIND("BULK",UPPER($E682)),999),IFERROR(FIND("-",$E682),999),IFERROR(FIND("（",$E682),999))-1))=BK$1,$F682,""))</f>
        <v/>
      </c>
      <c r="BL682" s="418" t="str">
        <f t="shared" si="959"/>
        <v/>
      </c>
      <c r="BM682" s="418" t="str">
        <f t="shared" si="959"/>
        <v/>
      </c>
      <c r="BN682" s="418" t="str">
        <f t="shared" si="959"/>
        <v/>
      </c>
      <c r="BO682" s="418" t="str">
        <f t="shared" si="959"/>
        <v/>
      </c>
      <c r="BP682" s="418" t="str">
        <f t="shared" si="959"/>
        <v/>
      </c>
      <c r="BQ682" s="418" t="str">
        <f t="shared" si="959"/>
        <v/>
      </c>
      <c r="BR682" s="418" t="str">
        <f t="shared" si="959"/>
        <v/>
      </c>
      <c r="BS682" s="418" t="str">
        <f t="shared" si="959"/>
        <v/>
      </c>
      <c r="BT682" s="418" t="str">
        <f t="shared" si="945"/>
        <v/>
      </c>
      <c r="BU682" s="418" t="str">
        <f t="shared" si="946"/>
        <v/>
      </c>
      <c r="BV682" s="544">
        <v>0.64</v>
      </c>
      <c r="BW682" s="723">
        <f t="shared" si="947"/>
        <v>737.28</v>
      </c>
      <c r="BX682" s="724">
        <f t="shared" si="948"/>
        <v>5713.92</v>
      </c>
      <c r="BY682" s="725" t="str">
        <f t="shared" si="949"/>
        <v>SR</v>
      </c>
    </row>
    <row r="683" s="697" customFormat="1" customHeight="1" spans="1:77">
      <c r="A683" s="116">
        <v>46139</v>
      </c>
      <c r="B683" s="116">
        <v>46200</v>
      </c>
      <c r="C683" s="418" t="s">
        <v>789</v>
      </c>
      <c r="D683" s="418" t="s">
        <v>790</v>
      </c>
      <c r="E683" s="418" t="s">
        <v>139</v>
      </c>
      <c r="F683" s="737">
        <v>720</v>
      </c>
      <c r="G683" s="418" t="s">
        <v>341</v>
      </c>
      <c r="H683" s="118" t="str">
        <f>IFERROR(VLOOKUP(E683,名称!A:E,4,0),"")</f>
        <v>三代</v>
      </c>
      <c r="I683" s="418" t="str">
        <f t="shared" si="890"/>
        <v/>
      </c>
      <c r="J683" s="418" t="str">
        <f t="shared" si="891"/>
        <v/>
      </c>
      <c r="K683" s="418" t="str">
        <f t="shared" si="892"/>
        <v/>
      </c>
      <c r="L683" s="418" t="str">
        <f t="shared" si="893"/>
        <v/>
      </c>
      <c r="M683" s="418" t="str">
        <f t="shared" si="894"/>
        <v/>
      </c>
      <c r="N683" s="418" t="str">
        <f t="shared" si="895"/>
        <v/>
      </c>
      <c r="O683" s="418" t="str">
        <f t="shared" si="896"/>
        <v/>
      </c>
      <c r="P683" s="418" t="str">
        <f t="shared" si="897"/>
        <v/>
      </c>
      <c r="Q683" s="418" t="str">
        <f t="shared" si="898"/>
        <v/>
      </c>
      <c r="R683" s="418" t="str">
        <f t="shared" si="899"/>
        <v/>
      </c>
      <c r="S683" s="418" t="str">
        <f t="shared" si="900"/>
        <v/>
      </c>
      <c r="T683" s="418" t="str">
        <f t="shared" si="901"/>
        <v/>
      </c>
      <c r="U683" s="418" t="str">
        <f t="shared" si="902"/>
        <v/>
      </c>
      <c r="V683" s="418" t="str">
        <f t="shared" si="903"/>
        <v/>
      </c>
      <c r="W683" s="418" t="str">
        <f t="shared" si="904"/>
        <v/>
      </c>
      <c r="X683" s="418" t="str">
        <f t="shared" si="905"/>
        <v/>
      </c>
      <c r="Y683" s="418" t="str">
        <f t="shared" si="906"/>
        <v/>
      </c>
      <c r="Z683" s="418" t="str">
        <f t="shared" si="907"/>
        <v/>
      </c>
      <c r="AA683" s="418" t="str">
        <f t="shared" si="908"/>
        <v/>
      </c>
      <c r="AB683" s="418" t="str">
        <f t="shared" si="909"/>
        <v/>
      </c>
      <c r="AC683" s="418">
        <f t="shared" si="910"/>
        <v>720</v>
      </c>
      <c r="AD683" s="418" t="str">
        <f t="shared" si="911"/>
        <v/>
      </c>
      <c r="AE683" s="418" t="str">
        <f t="shared" si="912"/>
        <v/>
      </c>
      <c r="AF683" s="418" t="str">
        <f t="shared" si="913"/>
        <v/>
      </c>
      <c r="AG683" s="418" t="str">
        <f t="shared" si="914"/>
        <v/>
      </c>
      <c r="AH683" s="418" t="str">
        <f t="shared" si="915"/>
        <v/>
      </c>
      <c r="AI683" s="418" t="str">
        <f t="shared" si="916"/>
        <v/>
      </c>
      <c r="AJ683" s="418" t="str">
        <f t="shared" si="917"/>
        <v/>
      </c>
      <c r="AK683" s="418" t="str">
        <f t="shared" si="918"/>
        <v/>
      </c>
      <c r="AL683" s="418" t="str">
        <f t="shared" si="919"/>
        <v/>
      </c>
      <c r="AM683" s="418" t="str">
        <f t="shared" si="920"/>
        <v/>
      </c>
      <c r="AN683" s="418" t="str">
        <f t="shared" si="921"/>
        <v/>
      </c>
      <c r="AO683" s="418" t="str">
        <f t="shared" si="922"/>
        <v/>
      </c>
      <c r="AP683" s="418" t="str">
        <f t="shared" si="923"/>
        <v/>
      </c>
      <c r="AQ683" s="418" t="str">
        <f t="shared" si="924"/>
        <v/>
      </c>
      <c r="AR683" s="418" t="str">
        <f t="shared" si="925"/>
        <v/>
      </c>
      <c r="AS683" s="418" t="str">
        <f t="shared" si="926"/>
        <v/>
      </c>
      <c r="AT683" s="418" t="str">
        <f t="shared" si="927"/>
        <v/>
      </c>
      <c r="AU683" s="418" t="str">
        <f t="shared" si="928"/>
        <v/>
      </c>
      <c r="AV683" s="418" t="str">
        <f t="shared" si="929"/>
        <v/>
      </c>
      <c r="AW683" s="418" t="str">
        <f t="shared" si="930"/>
        <v/>
      </c>
      <c r="AX683" s="418" t="str">
        <f t="shared" si="931"/>
        <v/>
      </c>
      <c r="AY683" s="418" t="str">
        <f t="shared" si="932"/>
        <v/>
      </c>
      <c r="AZ683" s="418" t="str">
        <f t="shared" si="933"/>
        <v/>
      </c>
      <c r="BA683" s="418" t="str">
        <f t="shared" si="934"/>
        <v/>
      </c>
      <c r="BB683" s="418" t="str">
        <f t="shared" si="935"/>
        <v/>
      </c>
      <c r="BC683" s="418" t="str">
        <f t="shared" si="936"/>
        <v/>
      </c>
      <c r="BD683" s="418" t="str">
        <f t="shared" si="937"/>
        <v/>
      </c>
      <c r="BE683" s="418" t="str">
        <f t="shared" si="938"/>
        <v/>
      </c>
      <c r="BF683" s="418" t="str">
        <f t="shared" si="939"/>
        <v/>
      </c>
      <c r="BG683" s="418" t="str">
        <f t="shared" si="940"/>
        <v/>
      </c>
      <c r="BH683" s="418" t="str">
        <f t="shared" si="941"/>
        <v/>
      </c>
      <c r="BI683" s="418" t="str">
        <f t="shared" si="942"/>
        <v/>
      </c>
      <c r="BJ683" s="418" t="str">
        <f t="shared" si="943"/>
        <v/>
      </c>
      <c r="BK683" s="418" t="str">
        <f t="shared" ref="BK683:BS683" si="960">IF(OR($E683="",BK$1=""),"",IF(TRIM(LEFT($E683,MIN(IFERROR(FIND("CDU",UPPER($E683)),999),IFERROR(FIND("BULK",UPPER($E683)),999),IFERROR(FIND("-",$E683),999),IFERROR(FIND("（",$E683),999))-1))=BK$1,$F683,""))</f>
        <v/>
      </c>
      <c r="BL683" s="418" t="str">
        <f t="shared" si="960"/>
        <v/>
      </c>
      <c r="BM683" s="418" t="str">
        <f t="shared" si="960"/>
        <v/>
      </c>
      <c r="BN683" s="418" t="str">
        <f t="shared" si="960"/>
        <v/>
      </c>
      <c r="BO683" s="418" t="str">
        <f t="shared" si="960"/>
        <v/>
      </c>
      <c r="BP683" s="418" t="str">
        <f t="shared" si="960"/>
        <v/>
      </c>
      <c r="BQ683" s="418" t="str">
        <f t="shared" si="960"/>
        <v/>
      </c>
      <c r="BR683" s="418" t="str">
        <f t="shared" si="960"/>
        <v/>
      </c>
      <c r="BS683" s="418" t="str">
        <f t="shared" si="960"/>
        <v/>
      </c>
      <c r="BT683" s="418" t="str">
        <f t="shared" si="945"/>
        <v/>
      </c>
      <c r="BU683" s="418" t="str">
        <f t="shared" si="946"/>
        <v/>
      </c>
      <c r="BV683" s="544">
        <v>0.64</v>
      </c>
      <c r="BW683" s="723">
        <f t="shared" si="947"/>
        <v>460.8</v>
      </c>
      <c r="BX683" s="724">
        <f t="shared" si="948"/>
        <v>3571.2</v>
      </c>
      <c r="BY683" s="725" t="str">
        <f t="shared" si="949"/>
        <v>SR</v>
      </c>
    </row>
    <row r="684" s="697" customFormat="1" customHeight="1" spans="1:77">
      <c r="A684" s="116">
        <v>46139</v>
      </c>
      <c r="B684" s="116">
        <v>46200</v>
      </c>
      <c r="C684" s="418" t="s">
        <v>789</v>
      </c>
      <c r="D684" s="418" t="s">
        <v>790</v>
      </c>
      <c r="E684" s="418" t="s">
        <v>140</v>
      </c>
      <c r="F684" s="737">
        <v>1584</v>
      </c>
      <c r="G684" s="418" t="s">
        <v>341</v>
      </c>
      <c r="H684" s="118" t="str">
        <f>IFERROR(VLOOKUP(E684,名称!A:E,4,0),"")</f>
        <v>三代</v>
      </c>
      <c r="I684" s="418" t="str">
        <f t="shared" si="890"/>
        <v/>
      </c>
      <c r="J684" s="418" t="str">
        <f t="shared" si="891"/>
        <v/>
      </c>
      <c r="K684" s="418" t="str">
        <f t="shared" si="892"/>
        <v/>
      </c>
      <c r="L684" s="418" t="str">
        <f t="shared" si="893"/>
        <v/>
      </c>
      <c r="M684" s="418" t="str">
        <f t="shared" si="894"/>
        <v/>
      </c>
      <c r="N684" s="418" t="str">
        <f t="shared" si="895"/>
        <v/>
      </c>
      <c r="O684" s="418" t="str">
        <f t="shared" si="896"/>
        <v/>
      </c>
      <c r="P684" s="418" t="str">
        <f t="shared" si="897"/>
        <v/>
      </c>
      <c r="Q684" s="418" t="str">
        <f t="shared" si="898"/>
        <v/>
      </c>
      <c r="R684" s="418" t="str">
        <f t="shared" si="899"/>
        <v/>
      </c>
      <c r="S684" s="418" t="str">
        <f t="shared" si="900"/>
        <v/>
      </c>
      <c r="T684" s="418" t="str">
        <f t="shared" si="901"/>
        <v/>
      </c>
      <c r="U684" s="418" t="str">
        <f t="shared" si="902"/>
        <v/>
      </c>
      <c r="V684" s="418" t="str">
        <f t="shared" si="903"/>
        <v/>
      </c>
      <c r="W684" s="418" t="str">
        <f t="shared" si="904"/>
        <v/>
      </c>
      <c r="X684" s="418" t="str">
        <f t="shared" si="905"/>
        <v/>
      </c>
      <c r="Y684" s="418" t="str">
        <f t="shared" si="906"/>
        <v/>
      </c>
      <c r="Z684" s="418" t="str">
        <f t="shared" si="907"/>
        <v/>
      </c>
      <c r="AA684" s="418" t="str">
        <f t="shared" si="908"/>
        <v/>
      </c>
      <c r="AB684" s="418" t="str">
        <f t="shared" si="909"/>
        <v/>
      </c>
      <c r="AC684" s="418">
        <f t="shared" si="910"/>
        <v>1584</v>
      </c>
      <c r="AD684" s="418" t="str">
        <f t="shared" si="911"/>
        <v/>
      </c>
      <c r="AE684" s="418" t="str">
        <f t="shared" si="912"/>
        <v/>
      </c>
      <c r="AF684" s="418" t="str">
        <f t="shared" si="913"/>
        <v/>
      </c>
      <c r="AG684" s="418" t="str">
        <f t="shared" si="914"/>
        <v/>
      </c>
      <c r="AH684" s="418" t="str">
        <f t="shared" si="915"/>
        <v/>
      </c>
      <c r="AI684" s="418" t="str">
        <f t="shared" si="916"/>
        <v/>
      </c>
      <c r="AJ684" s="418" t="str">
        <f t="shared" si="917"/>
        <v/>
      </c>
      <c r="AK684" s="418" t="str">
        <f t="shared" si="918"/>
        <v/>
      </c>
      <c r="AL684" s="418" t="str">
        <f t="shared" si="919"/>
        <v/>
      </c>
      <c r="AM684" s="418" t="str">
        <f t="shared" si="920"/>
        <v/>
      </c>
      <c r="AN684" s="418" t="str">
        <f t="shared" si="921"/>
        <v/>
      </c>
      <c r="AO684" s="418" t="str">
        <f t="shared" si="922"/>
        <v/>
      </c>
      <c r="AP684" s="418" t="str">
        <f t="shared" si="923"/>
        <v/>
      </c>
      <c r="AQ684" s="418" t="str">
        <f t="shared" si="924"/>
        <v/>
      </c>
      <c r="AR684" s="418" t="str">
        <f t="shared" si="925"/>
        <v/>
      </c>
      <c r="AS684" s="418" t="str">
        <f t="shared" si="926"/>
        <v/>
      </c>
      <c r="AT684" s="418" t="str">
        <f t="shared" si="927"/>
        <v/>
      </c>
      <c r="AU684" s="418" t="str">
        <f t="shared" si="928"/>
        <v/>
      </c>
      <c r="AV684" s="418" t="str">
        <f t="shared" si="929"/>
        <v/>
      </c>
      <c r="AW684" s="418" t="str">
        <f t="shared" si="930"/>
        <v/>
      </c>
      <c r="AX684" s="418" t="str">
        <f t="shared" si="931"/>
        <v/>
      </c>
      <c r="AY684" s="418" t="str">
        <f t="shared" si="932"/>
        <v/>
      </c>
      <c r="AZ684" s="418" t="str">
        <f t="shared" si="933"/>
        <v/>
      </c>
      <c r="BA684" s="418" t="str">
        <f t="shared" si="934"/>
        <v/>
      </c>
      <c r="BB684" s="418" t="str">
        <f t="shared" si="935"/>
        <v/>
      </c>
      <c r="BC684" s="418" t="str">
        <f t="shared" si="936"/>
        <v/>
      </c>
      <c r="BD684" s="418" t="str">
        <f t="shared" si="937"/>
        <v/>
      </c>
      <c r="BE684" s="418" t="str">
        <f t="shared" si="938"/>
        <v/>
      </c>
      <c r="BF684" s="418" t="str">
        <f t="shared" si="939"/>
        <v/>
      </c>
      <c r="BG684" s="418" t="str">
        <f t="shared" si="940"/>
        <v/>
      </c>
      <c r="BH684" s="418" t="str">
        <f t="shared" si="941"/>
        <v/>
      </c>
      <c r="BI684" s="418" t="str">
        <f t="shared" si="942"/>
        <v/>
      </c>
      <c r="BJ684" s="418" t="str">
        <f t="shared" si="943"/>
        <v/>
      </c>
      <c r="BK684" s="418" t="str">
        <f t="shared" ref="BK684:BS684" si="961">IF(OR($E684="",BK$1=""),"",IF(TRIM(LEFT($E684,MIN(IFERROR(FIND("CDU",UPPER($E684)),999),IFERROR(FIND("BULK",UPPER($E684)),999),IFERROR(FIND("-",$E684),999),IFERROR(FIND("（",$E684),999))-1))=BK$1,$F684,""))</f>
        <v/>
      </c>
      <c r="BL684" s="418" t="str">
        <f t="shared" si="961"/>
        <v/>
      </c>
      <c r="BM684" s="418" t="str">
        <f t="shared" si="961"/>
        <v/>
      </c>
      <c r="BN684" s="418" t="str">
        <f t="shared" si="961"/>
        <v/>
      </c>
      <c r="BO684" s="418" t="str">
        <f t="shared" si="961"/>
        <v/>
      </c>
      <c r="BP684" s="418" t="str">
        <f t="shared" si="961"/>
        <v/>
      </c>
      <c r="BQ684" s="418" t="str">
        <f t="shared" si="961"/>
        <v/>
      </c>
      <c r="BR684" s="418" t="str">
        <f t="shared" si="961"/>
        <v/>
      </c>
      <c r="BS684" s="418" t="str">
        <f t="shared" si="961"/>
        <v/>
      </c>
      <c r="BT684" s="418" t="str">
        <f t="shared" si="945"/>
        <v/>
      </c>
      <c r="BU684" s="418" t="str">
        <f t="shared" si="946"/>
        <v/>
      </c>
      <c r="BV684" s="544">
        <v>0.64</v>
      </c>
      <c r="BW684" s="723">
        <f t="shared" si="947"/>
        <v>1013.76</v>
      </c>
      <c r="BX684" s="724">
        <f t="shared" si="948"/>
        <v>7856.64</v>
      </c>
      <c r="BY684" s="725" t="str">
        <f t="shared" si="949"/>
        <v>SR</v>
      </c>
    </row>
    <row r="685" s="698" customFormat="1" customHeight="1" spans="1:77">
      <c r="A685" s="208">
        <v>46139</v>
      </c>
      <c r="B685" s="208">
        <v>46200</v>
      </c>
      <c r="C685" s="268" t="s">
        <v>789</v>
      </c>
      <c r="D685" s="268" t="s">
        <v>790</v>
      </c>
      <c r="E685" s="268" t="s">
        <v>141</v>
      </c>
      <c r="F685" s="343">
        <v>1440</v>
      </c>
      <c r="G685" s="268" t="s">
        <v>341</v>
      </c>
      <c r="H685" s="211" t="str">
        <f>IFERROR(VLOOKUP(E685,名称!A:E,4,0),"")</f>
        <v>三代</v>
      </c>
      <c r="I685" s="268" t="str">
        <f t="shared" si="890"/>
        <v/>
      </c>
      <c r="J685" s="268" t="str">
        <f t="shared" si="891"/>
        <v/>
      </c>
      <c r="K685" s="268" t="str">
        <f t="shared" si="892"/>
        <v/>
      </c>
      <c r="L685" s="268" t="str">
        <f t="shared" si="893"/>
        <v/>
      </c>
      <c r="M685" s="268" t="str">
        <f t="shared" si="894"/>
        <v/>
      </c>
      <c r="N685" s="268" t="str">
        <f t="shared" si="895"/>
        <v/>
      </c>
      <c r="O685" s="268" t="str">
        <f t="shared" si="896"/>
        <v/>
      </c>
      <c r="P685" s="268" t="str">
        <f t="shared" si="897"/>
        <v/>
      </c>
      <c r="Q685" s="268" t="str">
        <f t="shared" si="898"/>
        <v/>
      </c>
      <c r="R685" s="268" t="str">
        <f t="shared" si="899"/>
        <v/>
      </c>
      <c r="S685" s="268" t="str">
        <f t="shared" si="900"/>
        <v/>
      </c>
      <c r="T685" s="268" t="str">
        <f t="shared" si="901"/>
        <v/>
      </c>
      <c r="U685" s="268" t="str">
        <f t="shared" si="902"/>
        <v/>
      </c>
      <c r="V685" s="268" t="str">
        <f t="shared" si="903"/>
        <v/>
      </c>
      <c r="W685" s="268" t="str">
        <f t="shared" si="904"/>
        <v/>
      </c>
      <c r="X685" s="268" t="str">
        <f t="shared" si="905"/>
        <v/>
      </c>
      <c r="Y685" s="268" t="str">
        <f t="shared" si="906"/>
        <v/>
      </c>
      <c r="Z685" s="268" t="str">
        <f t="shared" si="907"/>
        <v/>
      </c>
      <c r="AA685" s="268" t="str">
        <f t="shared" si="908"/>
        <v/>
      </c>
      <c r="AB685" s="268" t="str">
        <f t="shared" si="909"/>
        <v/>
      </c>
      <c r="AC685" s="268">
        <f t="shared" si="910"/>
        <v>1440</v>
      </c>
      <c r="AD685" s="268" t="str">
        <f t="shared" si="911"/>
        <v/>
      </c>
      <c r="AE685" s="268" t="str">
        <f t="shared" si="912"/>
        <v/>
      </c>
      <c r="AF685" s="268" t="str">
        <f t="shared" si="913"/>
        <v/>
      </c>
      <c r="AG685" s="268" t="str">
        <f t="shared" si="914"/>
        <v/>
      </c>
      <c r="AH685" s="268" t="str">
        <f t="shared" si="915"/>
        <v/>
      </c>
      <c r="AI685" s="268" t="str">
        <f t="shared" si="916"/>
        <v/>
      </c>
      <c r="AJ685" s="268" t="str">
        <f t="shared" si="917"/>
        <v/>
      </c>
      <c r="AK685" s="268" t="str">
        <f t="shared" si="918"/>
        <v/>
      </c>
      <c r="AL685" s="268" t="str">
        <f t="shared" si="919"/>
        <v/>
      </c>
      <c r="AM685" s="268" t="str">
        <f t="shared" si="920"/>
        <v/>
      </c>
      <c r="AN685" s="268" t="str">
        <f t="shared" si="921"/>
        <v/>
      </c>
      <c r="AO685" s="268" t="str">
        <f t="shared" si="922"/>
        <v/>
      </c>
      <c r="AP685" s="268" t="str">
        <f t="shared" si="923"/>
        <v/>
      </c>
      <c r="AQ685" s="268" t="str">
        <f t="shared" si="924"/>
        <v/>
      </c>
      <c r="AR685" s="268" t="str">
        <f t="shared" si="925"/>
        <v/>
      </c>
      <c r="AS685" s="268" t="str">
        <f t="shared" si="926"/>
        <v/>
      </c>
      <c r="AT685" s="268" t="str">
        <f t="shared" si="927"/>
        <v/>
      </c>
      <c r="AU685" s="268" t="str">
        <f t="shared" si="928"/>
        <v/>
      </c>
      <c r="AV685" s="268" t="str">
        <f t="shared" si="929"/>
        <v/>
      </c>
      <c r="AW685" s="268" t="str">
        <f t="shared" si="930"/>
        <v/>
      </c>
      <c r="AX685" s="268" t="str">
        <f t="shared" si="931"/>
        <v/>
      </c>
      <c r="AY685" s="268" t="str">
        <f t="shared" si="932"/>
        <v/>
      </c>
      <c r="AZ685" s="268" t="str">
        <f t="shared" si="933"/>
        <v/>
      </c>
      <c r="BA685" s="268" t="str">
        <f t="shared" si="934"/>
        <v/>
      </c>
      <c r="BB685" s="268" t="str">
        <f t="shared" si="935"/>
        <v/>
      </c>
      <c r="BC685" s="268" t="str">
        <f t="shared" si="936"/>
        <v/>
      </c>
      <c r="BD685" s="268" t="str">
        <f t="shared" si="937"/>
        <v/>
      </c>
      <c r="BE685" s="268" t="str">
        <f t="shared" si="938"/>
        <v/>
      </c>
      <c r="BF685" s="268" t="str">
        <f t="shared" si="939"/>
        <v/>
      </c>
      <c r="BG685" s="268" t="str">
        <f t="shared" si="940"/>
        <v/>
      </c>
      <c r="BH685" s="268" t="str">
        <f t="shared" si="941"/>
        <v/>
      </c>
      <c r="BI685" s="268" t="str">
        <f t="shared" si="942"/>
        <v/>
      </c>
      <c r="BJ685" s="268" t="str">
        <f t="shared" si="943"/>
        <v/>
      </c>
      <c r="BK685" s="268" t="str">
        <f t="shared" ref="BK685:BS685" si="962">IF(OR($E685="",BK$1=""),"",IF(TRIM(LEFT($E685,MIN(IFERROR(FIND("CDU",UPPER($E685)),999),IFERROR(FIND("BULK",UPPER($E685)),999),IFERROR(FIND("-",$E685),999),IFERROR(FIND("（",$E685),999))-1))=BK$1,$F685,""))</f>
        <v/>
      </c>
      <c r="BL685" s="268" t="str">
        <f t="shared" si="962"/>
        <v/>
      </c>
      <c r="BM685" s="268" t="str">
        <f t="shared" si="962"/>
        <v/>
      </c>
      <c r="BN685" s="268" t="str">
        <f t="shared" si="962"/>
        <v/>
      </c>
      <c r="BO685" s="268" t="str">
        <f t="shared" si="962"/>
        <v/>
      </c>
      <c r="BP685" s="268" t="str">
        <f t="shared" si="962"/>
        <v/>
      </c>
      <c r="BQ685" s="268" t="str">
        <f t="shared" si="962"/>
        <v/>
      </c>
      <c r="BR685" s="268" t="str">
        <f t="shared" si="962"/>
        <v/>
      </c>
      <c r="BS685" s="268" t="str">
        <f t="shared" si="962"/>
        <v/>
      </c>
      <c r="BT685" s="268" t="str">
        <f t="shared" si="945"/>
        <v/>
      </c>
      <c r="BU685" s="268" t="str">
        <f t="shared" si="946"/>
        <v/>
      </c>
      <c r="BV685" s="247">
        <v>0.63</v>
      </c>
      <c r="BW685" s="729">
        <f t="shared" si="947"/>
        <v>907.2</v>
      </c>
      <c r="BX685" s="730">
        <f t="shared" si="948"/>
        <v>7030.8</v>
      </c>
      <c r="BY685" s="731" t="str">
        <f t="shared" si="949"/>
        <v>SR</v>
      </c>
    </row>
    <row r="686" s="697" customFormat="1" customHeight="1" spans="1:77">
      <c r="A686" s="116">
        <v>46139</v>
      </c>
      <c r="B686" s="116">
        <v>46200</v>
      </c>
      <c r="C686" s="418" t="s">
        <v>789</v>
      </c>
      <c r="D686" s="418" t="s">
        <v>790</v>
      </c>
      <c r="E686" s="418" t="s">
        <v>146</v>
      </c>
      <c r="F686" s="737">
        <v>384</v>
      </c>
      <c r="G686" s="418" t="s">
        <v>341</v>
      </c>
      <c r="H686" s="118" t="str">
        <f>IFERROR(VLOOKUP(E686,名称!A:E,4,0),"")</f>
        <v>三代</v>
      </c>
      <c r="I686" s="418" t="str">
        <f t="shared" si="890"/>
        <v/>
      </c>
      <c r="J686" s="418" t="str">
        <f t="shared" si="891"/>
        <v/>
      </c>
      <c r="K686" s="418" t="str">
        <f t="shared" si="892"/>
        <v/>
      </c>
      <c r="L686" s="418" t="str">
        <f t="shared" si="893"/>
        <v/>
      </c>
      <c r="M686" s="418" t="str">
        <f t="shared" si="894"/>
        <v/>
      </c>
      <c r="N686" s="418" t="str">
        <f t="shared" si="895"/>
        <v/>
      </c>
      <c r="O686" s="418" t="str">
        <f t="shared" si="896"/>
        <v/>
      </c>
      <c r="P686" s="418" t="str">
        <f t="shared" si="897"/>
        <v/>
      </c>
      <c r="Q686" s="418" t="str">
        <f t="shared" si="898"/>
        <v/>
      </c>
      <c r="R686" s="418" t="str">
        <f t="shared" si="899"/>
        <v/>
      </c>
      <c r="S686" s="418" t="str">
        <f t="shared" si="900"/>
        <v/>
      </c>
      <c r="T686" s="418" t="str">
        <f t="shared" si="901"/>
        <v/>
      </c>
      <c r="U686" s="418" t="str">
        <f t="shared" si="902"/>
        <v/>
      </c>
      <c r="V686" s="418" t="str">
        <f t="shared" si="903"/>
        <v/>
      </c>
      <c r="W686" s="418" t="str">
        <f t="shared" si="904"/>
        <v/>
      </c>
      <c r="X686" s="418" t="str">
        <f t="shared" si="905"/>
        <v/>
      </c>
      <c r="Y686" s="418" t="str">
        <f t="shared" si="906"/>
        <v/>
      </c>
      <c r="Z686" s="418" t="str">
        <f t="shared" si="907"/>
        <v/>
      </c>
      <c r="AA686" s="418" t="str">
        <f t="shared" si="908"/>
        <v/>
      </c>
      <c r="AB686" s="418" t="str">
        <f t="shared" si="909"/>
        <v/>
      </c>
      <c r="AC686" s="418" t="str">
        <f t="shared" si="910"/>
        <v/>
      </c>
      <c r="AD686" s="418" t="str">
        <f t="shared" si="911"/>
        <v/>
      </c>
      <c r="AE686" s="418" t="str">
        <f t="shared" si="912"/>
        <v/>
      </c>
      <c r="AF686" s="418" t="str">
        <f t="shared" si="913"/>
        <v/>
      </c>
      <c r="AG686" s="418" t="str">
        <f t="shared" si="914"/>
        <v/>
      </c>
      <c r="AH686" s="418" t="str">
        <f t="shared" si="915"/>
        <v/>
      </c>
      <c r="AI686" s="418" t="str">
        <f t="shared" si="916"/>
        <v/>
      </c>
      <c r="AJ686" s="418" t="str">
        <f t="shared" si="917"/>
        <v/>
      </c>
      <c r="AK686" s="418" t="str">
        <f t="shared" si="918"/>
        <v/>
      </c>
      <c r="AL686" s="418">
        <f t="shared" si="919"/>
        <v>384</v>
      </c>
      <c r="AM686" s="418" t="str">
        <f t="shared" si="920"/>
        <v/>
      </c>
      <c r="AN686" s="418" t="str">
        <f t="shared" si="921"/>
        <v/>
      </c>
      <c r="AO686" s="418" t="str">
        <f t="shared" si="922"/>
        <v/>
      </c>
      <c r="AP686" s="418" t="str">
        <f t="shared" si="923"/>
        <v/>
      </c>
      <c r="AQ686" s="418" t="str">
        <f t="shared" si="924"/>
        <v/>
      </c>
      <c r="AR686" s="418" t="str">
        <f t="shared" si="925"/>
        <v/>
      </c>
      <c r="AS686" s="418" t="str">
        <f t="shared" si="926"/>
        <v/>
      </c>
      <c r="AT686" s="418" t="str">
        <f t="shared" si="927"/>
        <v/>
      </c>
      <c r="AU686" s="418" t="str">
        <f t="shared" si="928"/>
        <v/>
      </c>
      <c r="AV686" s="418" t="str">
        <f t="shared" si="929"/>
        <v/>
      </c>
      <c r="AW686" s="418" t="str">
        <f t="shared" si="930"/>
        <v/>
      </c>
      <c r="AX686" s="418" t="str">
        <f t="shared" si="931"/>
        <v/>
      </c>
      <c r="AY686" s="418" t="str">
        <f t="shared" si="932"/>
        <v/>
      </c>
      <c r="AZ686" s="418" t="str">
        <f t="shared" si="933"/>
        <v/>
      </c>
      <c r="BA686" s="418" t="str">
        <f t="shared" si="934"/>
        <v/>
      </c>
      <c r="BB686" s="418" t="str">
        <f t="shared" si="935"/>
        <v/>
      </c>
      <c r="BC686" s="418" t="str">
        <f t="shared" si="936"/>
        <v/>
      </c>
      <c r="BD686" s="418" t="str">
        <f t="shared" si="937"/>
        <v/>
      </c>
      <c r="BE686" s="418" t="str">
        <f t="shared" si="938"/>
        <v/>
      </c>
      <c r="BF686" s="418" t="str">
        <f t="shared" si="939"/>
        <v/>
      </c>
      <c r="BG686" s="418" t="str">
        <f t="shared" si="940"/>
        <v/>
      </c>
      <c r="BH686" s="418" t="str">
        <f t="shared" si="941"/>
        <v/>
      </c>
      <c r="BI686" s="418" t="str">
        <f t="shared" si="942"/>
        <v/>
      </c>
      <c r="BJ686" s="418" t="str">
        <f t="shared" si="943"/>
        <v/>
      </c>
      <c r="BK686" s="418" t="str">
        <f t="shared" ref="BK686:BS686" si="963">IF(OR($E686="",BK$1=""),"",IF(TRIM(LEFT($E686,MIN(IFERROR(FIND("CDU",UPPER($E686)),999),IFERROR(FIND("BULK",UPPER($E686)),999),IFERROR(FIND("-",$E686),999),IFERROR(FIND("（",$E686),999))-1))=BK$1,$F686,""))</f>
        <v/>
      </c>
      <c r="BL686" s="418" t="str">
        <f t="shared" si="963"/>
        <v/>
      </c>
      <c r="BM686" s="418" t="str">
        <f t="shared" si="963"/>
        <v/>
      </c>
      <c r="BN686" s="418" t="str">
        <f t="shared" si="963"/>
        <v/>
      </c>
      <c r="BO686" s="418" t="str">
        <f t="shared" si="963"/>
        <v/>
      </c>
      <c r="BP686" s="418" t="str">
        <f t="shared" si="963"/>
        <v/>
      </c>
      <c r="BQ686" s="418" t="str">
        <f t="shared" si="963"/>
        <v/>
      </c>
      <c r="BR686" s="418" t="str">
        <f t="shared" si="963"/>
        <v/>
      </c>
      <c r="BS686" s="418" t="str">
        <f t="shared" si="963"/>
        <v/>
      </c>
      <c r="BT686" s="418" t="str">
        <f t="shared" si="945"/>
        <v/>
      </c>
      <c r="BU686" s="418" t="str">
        <f t="shared" si="946"/>
        <v/>
      </c>
      <c r="BV686" s="544">
        <v>1.3</v>
      </c>
      <c r="BW686" s="723">
        <f t="shared" si="947"/>
        <v>499.2</v>
      </c>
      <c r="BX686" s="724">
        <f t="shared" si="948"/>
        <v>3868.8</v>
      </c>
      <c r="BY686" s="725" t="str">
        <f t="shared" si="949"/>
        <v>SR</v>
      </c>
    </row>
    <row r="687" s="697" customFormat="1" customHeight="1" spans="1:77">
      <c r="A687" s="116">
        <v>46139</v>
      </c>
      <c r="B687" s="116">
        <v>46200</v>
      </c>
      <c r="C687" s="418" t="s">
        <v>789</v>
      </c>
      <c r="D687" s="418" t="s">
        <v>790</v>
      </c>
      <c r="E687" s="418" t="s">
        <v>147</v>
      </c>
      <c r="F687" s="737">
        <v>384</v>
      </c>
      <c r="G687" s="418" t="s">
        <v>341</v>
      </c>
      <c r="H687" s="118" t="str">
        <f>IFERROR(VLOOKUP(E687,名称!A:E,4,0),"")</f>
        <v>三代</v>
      </c>
      <c r="I687" s="418" t="str">
        <f t="shared" si="890"/>
        <v/>
      </c>
      <c r="J687" s="418" t="str">
        <f t="shared" si="891"/>
        <v/>
      </c>
      <c r="K687" s="418" t="str">
        <f t="shared" si="892"/>
        <v/>
      </c>
      <c r="L687" s="418" t="str">
        <f t="shared" si="893"/>
        <v/>
      </c>
      <c r="M687" s="418" t="str">
        <f t="shared" si="894"/>
        <v/>
      </c>
      <c r="N687" s="418" t="str">
        <f t="shared" si="895"/>
        <v/>
      </c>
      <c r="O687" s="418" t="str">
        <f t="shared" si="896"/>
        <v/>
      </c>
      <c r="P687" s="418" t="str">
        <f t="shared" si="897"/>
        <v/>
      </c>
      <c r="Q687" s="418" t="str">
        <f t="shared" si="898"/>
        <v/>
      </c>
      <c r="R687" s="418" t="str">
        <f t="shared" si="899"/>
        <v/>
      </c>
      <c r="S687" s="418" t="str">
        <f t="shared" si="900"/>
        <v/>
      </c>
      <c r="T687" s="418" t="str">
        <f t="shared" si="901"/>
        <v/>
      </c>
      <c r="U687" s="418" t="str">
        <f t="shared" si="902"/>
        <v/>
      </c>
      <c r="V687" s="418" t="str">
        <f t="shared" si="903"/>
        <v/>
      </c>
      <c r="W687" s="418" t="str">
        <f t="shared" si="904"/>
        <v/>
      </c>
      <c r="X687" s="418" t="str">
        <f t="shared" si="905"/>
        <v/>
      </c>
      <c r="Y687" s="418" t="str">
        <f t="shared" si="906"/>
        <v/>
      </c>
      <c r="Z687" s="418" t="str">
        <f t="shared" si="907"/>
        <v/>
      </c>
      <c r="AA687" s="418" t="str">
        <f t="shared" si="908"/>
        <v/>
      </c>
      <c r="AB687" s="418" t="str">
        <f t="shared" si="909"/>
        <v/>
      </c>
      <c r="AC687" s="418" t="str">
        <f t="shared" si="910"/>
        <v/>
      </c>
      <c r="AD687" s="418" t="str">
        <f t="shared" si="911"/>
        <v/>
      </c>
      <c r="AE687" s="418" t="str">
        <f t="shared" si="912"/>
        <v/>
      </c>
      <c r="AF687" s="418" t="str">
        <f t="shared" si="913"/>
        <v/>
      </c>
      <c r="AG687" s="418" t="str">
        <f t="shared" si="914"/>
        <v/>
      </c>
      <c r="AH687" s="418" t="str">
        <f t="shared" si="915"/>
        <v/>
      </c>
      <c r="AI687" s="418" t="str">
        <f t="shared" si="916"/>
        <v/>
      </c>
      <c r="AJ687" s="418" t="str">
        <f t="shared" si="917"/>
        <v/>
      </c>
      <c r="AK687" s="418" t="str">
        <f t="shared" si="918"/>
        <v/>
      </c>
      <c r="AL687" s="418">
        <f t="shared" si="919"/>
        <v>384</v>
      </c>
      <c r="AM687" s="418" t="str">
        <f t="shared" si="920"/>
        <v/>
      </c>
      <c r="AN687" s="418" t="str">
        <f t="shared" si="921"/>
        <v/>
      </c>
      <c r="AO687" s="418" t="str">
        <f t="shared" si="922"/>
        <v/>
      </c>
      <c r="AP687" s="418" t="str">
        <f t="shared" si="923"/>
        <v/>
      </c>
      <c r="AQ687" s="418" t="str">
        <f t="shared" si="924"/>
        <v/>
      </c>
      <c r="AR687" s="418" t="str">
        <f t="shared" si="925"/>
        <v/>
      </c>
      <c r="AS687" s="418" t="str">
        <f t="shared" si="926"/>
        <v/>
      </c>
      <c r="AT687" s="418" t="str">
        <f t="shared" si="927"/>
        <v/>
      </c>
      <c r="AU687" s="418" t="str">
        <f t="shared" si="928"/>
        <v/>
      </c>
      <c r="AV687" s="418" t="str">
        <f t="shared" si="929"/>
        <v/>
      </c>
      <c r="AW687" s="418" t="str">
        <f t="shared" si="930"/>
        <v/>
      </c>
      <c r="AX687" s="418" t="str">
        <f t="shared" si="931"/>
        <v/>
      </c>
      <c r="AY687" s="418" t="str">
        <f t="shared" si="932"/>
        <v/>
      </c>
      <c r="AZ687" s="418" t="str">
        <f t="shared" si="933"/>
        <v/>
      </c>
      <c r="BA687" s="418" t="str">
        <f t="shared" si="934"/>
        <v/>
      </c>
      <c r="BB687" s="418" t="str">
        <f t="shared" si="935"/>
        <v/>
      </c>
      <c r="BC687" s="418" t="str">
        <f t="shared" si="936"/>
        <v/>
      </c>
      <c r="BD687" s="418" t="str">
        <f t="shared" si="937"/>
        <v/>
      </c>
      <c r="BE687" s="418" t="str">
        <f t="shared" si="938"/>
        <v/>
      </c>
      <c r="BF687" s="418" t="str">
        <f t="shared" si="939"/>
        <v/>
      </c>
      <c r="BG687" s="418" t="str">
        <f t="shared" si="940"/>
        <v/>
      </c>
      <c r="BH687" s="418" t="str">
        <f t="shared" si="941"/>
        <v/>
      </c>
      <c r="BI687" s="418" t="str">
        <f t="shared" si="942"/>
        <v/>
      </c>
      <c r="BJ687" s="418" t="str">
        <f t="shared" si="943"/>
        <v/>
      </c>
      <c r="BK687" s="418" t="str">
        <f t="shared" ref="BK687:BS687" si="964">IF(OR($E687="",BK$1=""),"",IF(TRIM(LEFT($E687,MIN(IFERROR(FIND("CDU",UPPER($E687)),999),IFERROR(FIND("BULK",UPPER($E687)),999),IFERROR(FIND("-",$E687),999),IFERROR(FIND("（",$E687),999))-1))=BK$1,$F687,""))</f>
        <v/>
      </c>
      <c r="BL687" s="418" t="str">
        <f t="shared" si="964"/>
        <v/>
      </c>
      <c r="BM687" s="418" t="str">
        <f t="shared" si="964"/>
        <v/>
      </c>
      <c r="BN687" s="418" t="str">
        <f t="shared" si="964"/>
        <v/>
      </c>
      <c r="BO687" s="418" t="str">
        <f t="shared" si="964"/>
        <v/>
      </c>
      <c r="BP687" s="418" t="str">
        <f t="shared" si="964"/>
        <v/>
      </c>
      <c r="BQ687" s="418" t="str">
        <f t="shared" si="964"/>
        <v/>
      </c>
      <c r="BR687" s="418" t="str">
        <f t="shared" si="964"/>
        <v/>
      </c>
      <c r="BS687" s="418" t="str">
        <f t="shared" si="964"/>
        <v/>
      </c>
      <c r="BT687" s="418" t="str">
        <f t="shared" si="945"/>
        <v/>
      </c>
      <c r="BU687" s="418" t="str">
        <f t="shared" si="946"/>
        <v/>
      </c>
      <c r="BV687" s="544">
        <v>1.3</v>
      </c>
      <c r="BW687" s="723">
        <f t="shared" si="947"/>
        <v>499.2</v>
      </c>
      <c r="BX687" s="724">
        <f t="shared" si="948"/>
        <v>3868.8</v>
      </c>
      <c r="BY687" s="725" t="str">
        <f t="shared" si="949"/>
        <v>SR</v>
      </c>
    </row>
    <row r="688" s="697" customFormat="1" customHeight="1" spans="1:77">
      <c r="A688" s="116">
        <v>46139</v>
      </c>
      <c r="B688" s="116">
        <v>46200</v>
      </c>
      <c r="C688" s="418" t="s">
        <v>789</v>
      </c>
      <c r="D688" s="418" t="s">
        <v>790</v>
      </c>
      <c r="E688" s="418" t="s">
        <v>148</v>
      </c>
      <c r="F688" s="737">
        <v>672</v>
      </c>
      <c r="G688" s="418" t="s">
        <v>341</v>
      </c>
      <c r="H688" s="118" t="str">
        <f>IFERROR(VLOOKUP(E688,名称!A:E,4,0),"")</f>
        <v>三代</v>
      </c>
      <c r="I688" s="418" t="str">
        <f t="shared" si="890"/>
        <v/>
      </c>
      <c r="J688" s="418" t="str">
        <f t="shared" si="891"/>
        <v/>
      </c>
      <c r="K688" s="418" t="str">
        <f t="shared" si="892"/>
        <v/>
      </c>
      <c r="L688" s="418" t="str">
        <f t="shared" si="893"/>
        <v/>
      </c>
      <c r="M688" s="418" t="str">
        <f t="shared" si="894"/>
        <v/>
      </c>
      <c r="N688" s="418" t="str">
        <f t="shared" si="895"/>
        <v/>
      </c>
      <c r="O688" s="418" t="str">
        <f t="shared" si="896"/>
        <v/>
      </c>
      <c r="P688" s="418" t="str">
        <f t="shared" si="897"/>
        <v/>
      </c>
      <c r="Q688" s="418" t="str">
        <f t="shared" si="898"/>
        <v/>
      </c>
      <c r="R688" s="418" t="str">
        <f t="shared" si="899"/>
        <v/>
      </c>
      <c r="S688" s="418" t="str">
        <f t="shared" si="900"/>
        <v/>
      </c>
      <c r="T688" s="418" t="str">
        <f t="shared" si="901"/>
        <v/>
      </c>
      <c r="U688" s="418" t="str">
        <f t="shared" si="902"/>
        <v/>
      </c>
      <c r="V688" s="418" t="str">
        <f t="shared" si="903"/>
        <v/>
      </c>
      <c r="W688" s="418" t="str">
        <f t="shared" si="904"/>
        <v/>
      </c>
      <c r="X688" s="418" t="str">
        <f t="shared" si="905"/>
        <v/>
      </c>
      <c r="Y688" s="418" t="str">
        <f t="shared" si="906"/>
        <v/>
      </c>
      <c r="Z688" s="418" t="str">
        <f t="shared" si="907"/>
        <v/>
      </c>
      <c r="AA688" s="418" t="str">
        <f t="shared" si="908"/>
        <v/>
      </c>
      <c r="AB688" s="418" t="str">
        <f t="shared" si="909"/>
        <v/>
      </c>
      <c r="AC688" s="418" t="str">
        <f t="shared" si="910"/>
        <v/>
      </c>
      <c r="AD688" s="418" t="str">
        <f t="shared" si="911"/>
        <v/>
      </c>
      <c r="AE688" s="418" t="str">
        <f t="shared" si="912"/>
        <v/>
      </c>
      <c r="AF688" s="418" t="str">
        <f t="shared" si="913"/>
        <v/>
      </c>
      <c r="AG688" s="418" t="str">
        <f t="shared" si="914"/>
        <v/>
      </c>
      <c r="AH688" s="418" t="str">
        <f t="shared" si="915"/>
        <v/>
      </c>
      <c r="AI688" s="418" t="str">
        <f t="shared" si="916"/>
        <v/>
      </c>
      <c r="AJ688" s="418" t="str">
        <f t="shared" si="917"/>
        <v/>
      </c>
      <c r="AK688" s="418" t="str">
        <f t="shared" si="918"/>
        <v/>
      </c>
      <c r="AL688" s="418">
        <f t="shared" si="919"/>
        <v>672</v>
      </c>
      <c r="AM688" s="418" t="str">
        <f t="shared" si="920"/>
        <v/>
      </c>
      <c r="AN688" s="418" t="str">
        <f t="shared" si="921"/>
        <v/>
      </c>
      <c r="AO688" s="418" t="str">
        <f t="shared" si="922"/>
        <v/>
      </c>
      <c r="AP688" s="418" t="str">
        <f t="shared" si="923"/>
        <v/>
      </c>
      <c r="AQ688" s="418" t="str">
        <f t="shared" si="924"/>
        <v/>
      </c>
      <c r="AR688" s="418" t="str">
        <f t="shared" si="925"/>
        <v/>
      </c>
      <c r="AS688" s="418" t="str">
        <f t="shared" si="926"/>
        <v/>
      </c>
      <c r="AT688" s="418" t="str">
        <f t="shared" si="927"/>
        <v/>
      </c>
      <c r="AU688" s="418" t="str">
        <f t="shared" si="928"/>
        <v/>
      </c>
      <c r="AV688" s="418" t="str">
        <f t="shared" si="929"/>
        <v/>
      </c>
      <c r="AW688" s="418" t="str">
        <f t="shared" si="930"/>
        <v/>
      </c>
      <c r="AX688" s="418" t="str">
        <f t="shared" si="931"/>
        <v/>
      </c>
      <c r="AY688" s="418" t="str">
        <f t="shared" si="932"/>
        <v/>
      </c>
      <c r="AZ688" s="418" t="str">
        <f t="shared" si="933"/>
        <v/>
      </c>
      <c r="BA688" s="418" t="str">
        <f t="shared" si="934"/>
        <v/>
      </c>
      <c r="BB688" s="418" t="str">
        <f t="shared" si="935"/>
        <v/>
      </c>
      <c r="BC688" s="418" t="str">
        <f t="shared" si="936"/>
        <v/>
      </c>
      <c r="BD688" s="418" t="str">
        <f t="shared" si="937"/>
        <v/>
      </c>
      <c r="BE688" s="418" t="str">
        <f t="shared" si="938"/>
        <v/>
      </c>
      <c r="BF688" s="418" t="str">
        <f t="shared" si="939"/>
        <v/>
      </c>
      <c r="BG688" s="418" t="str">
        <f t="shared" si="940"/>
        <v/>
      </c>
      <c r="BH688" s="418" t="str">
        <f t="shared" si="941"/>
        <v/>
      </c>
      <c r="BI688" s="418" t="str">
        <f t="shared" si="942"/>
        <v/>
      </c>
      <c r="BJ688" s="418" t="str">
        <f t="shared" si="943"/>
        <v/>
      </c>
      <c r="BK688" s="418" t="str">
        <f t="shared" ref="BK688:BS688" si="965">IF(OR($E688="",BK$1=""),"",IF(TRIM(LEFT($E688,MIN(IFERROR(FIND("CDU",UPPER($E688)),999),IFERROR(FIND("BULK",UPPER($E688)),999),IFERROR(FIND("-",$E688),999),IFERROR(FIND("（",$E688),999))-1))=BK$1,$F688,""))</f>
        <v/>
      </c>
      <c r="BL688" s="418" t="str">
        <f t="shared" si="965"/>
        <v/>
      </c>
      <c r="BM688" s="418" t="str">
        <f t="shared" si="965"/>
        <v/>
      </c>
      <c r="BN688" s="418" t="str">
        <f t="shared" si="965"/>
        <v/>
      </c>
      <c r="BO688" s="418" t="str">
        <f t="shared" si="965"/>
        <v/>
      </c>
      <c r="BP688" s="418" t="str">
        <f t="shared" si="965"/>
        <v/>
      </c>
      <c r="BQ688" s="418" t="str">
        <f t="shared" si="965"/>
        <v/>
      </c>
      <c r="BR688" s="418" t="str">
        <f t="shared" si="965"/>
        <v/>
      </c>
      <c r="BS688" s="418" t="str">
        <f t="shared" si="965"/>
        <v/>
      </c>
      <c r="BT688" s="418" t="str">
        <f t="shared" si="945"/>
        <v/>
      </c>
      <c r="BU688" s="418" t="str">
        <f t="shared" si="946"/>
        <v/>
      </c>
      <c r="BV688" s="544">
        <v>1.3</v>
      </c>
      <c r="BW688" s="723">
        <f t="shared" si="947"/>
        <v>873.6</v>
      </c>
      <c r="BX688" s="724">
        <f t="shared" si="948"/>
        <v>6770.4</v>
      </c>
      <c r="BY688" s="725" t="str">
        <f t="shared" si="949"/>
        <v>SR</v>
      </c>
    </row>
    <row r="689" s="697" customFormat="1" customHeight="1" spans="1:77">
      <c r="A689" s="116">
        <v>46139</v>
      </c>
      <c r="B689" s="116">
        <v>46200</v>
      </c>
      <c r="C689" s="418" t="s">
        <v>789</v>
      </c>
      <c r="D689" s="418" t="s">
        <v>790</v>
      </c>
      <c r="E689" s="418" t="s">
        <v>149</v>
      </c>
      <c r="F689" s="737">
        <v>672</v>
      </c>
      <c r="G689" s="418" t="s">
        <v>341</v>
      </c>
      <c r="H689" s="118" t="str">
        <f>IFERROR(VLOOKUP(E689,名称!A:E,4,0),"")</f>
        <v>三代</v>
      </c>
      <c r="I689" s="418" t="str">
        <f t="shared" si="890"/>
        <v/>
      </c>
      <c r="J689" s="418" t="str">
        <f t="shared" si="891"/>
        <v/>
      </c>
      <c r="K689" s="418" t="str">
        <f t="shared" si="892"/>
        <v/>
      </c>
      <c r="L689" s="418" t="str">
        <f t="shared" si="893"/>
        <v/>
      </c>
      <c r="M689" s="418" t="str">
        <f t="shared" si="894"/>
        <v/>
      </c>
      <c r="N689" s="418" t="str">
        <f t="shared" si="895"/>
        <v/>
      </c>
      <c r="O689" s="418" t="str">
        <f t="shared" si="896"/>
        <v/>
      </c>
      <c r="P689" s="418" t="str">
        <f t="shared" si="897"/>
        <v/>
      </c>
      <c r="Q689" s="418" t="str">
        <f t="shared" si="898"/>
        <v/>
      </c>
      <c r="R689" s="418" t="str">
        <f t="shared" si="899"/>
        <v/>
      </c>
      <c r="S689" s="418" t="str">
        <f t="shared" si="900"/>
        <v/>
      </c>
      <c r="T689" s="418" t="str">
        <f t="shared" si="901"/>
        <v/>
      </c>
      <c r="U689" s="418" t="str">
        <f t="shared" si="902"/>
        <v/>
      </c>
      <c r="V689" s="418" t="str">
        <f t="shared" si="903"/>
        <v/>
      </c>
      <c r="W689" s="418" t="str">
        <f t="shared" si="904"/>
        <v/>
      </c>
      <c r="X689" s="418" t="str">
        <f t="shared" si="905"/>
        <v/>
      </c>
      <c r="Y689" s="418" t="str">
        <f t="shared" si="906"/>
        <v/>
      </c>
      <c r="Z689" s="418" t="str">
        <f t="shared" si="907"/>
        <v/>
      </c>
      <c r="AA689" s="418" t="str">
        <f t="shared" si="908"/>
        <v/>
      </c>
      <c r="AB689" s="418" t="str">
        <f t="shared" si="909"/>
        <v/>
      </c>
      <c r="AC689" s="418" t="str">
        <f t="shared" si="910"/>
        <v/>
      </c>
      <c r="AD689" s="418" t="str">
        <f t="shared" si="911"/>
        <v/>
      </c>
      <c r="AE689" s="418" t="str">
        <f t="shared" si="912"/>
        <v/>
      </c>
      <c r="AF689" s="418" t="str">
        <f t="shared" si="913"/>
        <v/>
      </c>
      <c r="AG689" s="418" t="str">
        <f t="shared" si="914"/>
        <v/>
      </c>
      <c r="AH689" s="418" t="str">
        <f t="shared" si="915"/>
        <v/>
      </c>
      <c r="AI689" s="418" t="str">
        <f t="shared" si="916"/>
        <v/>
      </c>
      <c r="AJ689" s="418" t="str">
        <f t="shared" si="917"/>
        <v/>
      </c>
      <c r="AK689" s="418" t="str">
        <f t="shared" si="918"/>
        <v/>
      </c>
      <c r="AL689" s="418">
        <f t="shared" si="919"/>
        <v>672</v>
      </c>
      <c r="AM689" s="418" t="str">
        <f t="shared" si="920"/>
        <v/>
      </c>
      <c r="AN689" s="418" t="str">
        <f t="shared" si="921"/>
        <v/>
      </c>
      <c r="AO689" s="418" t="str">
        <f t="shared" si="922"/>
        <v/>
      </c>
      <c r="AP689" s="418" t="str">
        <f t="shared" si="923"/>
        <v/>
      </c>
      <c r="AQ689" s="418" t="str">
        <f t="shared" si="924"/>
        <v/>
      </c>
      <c r="AR689" s="418" t="str">
        <f t="shared" si="925"/>
        <v/>
      </c>
      <c r="AS689" s="418" t="str">
        <f t="shared" si="926"/>
        <v/>
      </c>
      <c r="AT689" s="418" t="str">
        <f t="shared" si="927"/>
        <v/>
      </c>
      <c r="AU689" s="418" t="str">
        <f t="shared" si="928"/>
        <v/>
      </c>
      <c r="AV689" s="418" t="str">
        <f t="shared" si="929"/>
        <v/>
      </c>
      <c r="AW689" s="418" t="str">
        <f t="shared" si="930"/>
        <v/>
      </c>
      <c r="AX689" s="418" t="str">
        <f t="shared" si="931"/>
        <v/>
      </c>
      <c r="AY689" s="418" t="str">
        <f t="shared" si="932"/>
        <v/>
      </c>
      <c r="AZ689" s="418" t="str">
        <f t="shared" si="933"/>
        <v/>
      </c>
      <c r="BA689" s="418" t="str">
        <f t="shared" si="934"/>
        <v/>
      </c>
      <c r="BB689" s="418" t="str">
        <f t="shared" si="935"/>
        <v/>
      </c>
      <c r="BC689" s="418" t="str">
        <f t="shared" si="936"/>
        <v/>
      </c>
      <c r="BD689" s="418" t="str">
        <f t="shared" si="937"/>
        <v/>
      </c>
      <c r="BE689" s="418" t="str">
        <f t="shared" si="938"/>
        <v/>
      </c>
      <c r="BF689" s="418" t="str">
        <f t="shared" si="939"/>
        <v/>
      </c>
      <c r="BG689" s="418" t="str">
        <f t="shared" si="940"/>
        <v/>
      </c>
      <c r="BH689" s="418" t="str">
        <f t="shared" si="941"/>
        <v/>
      </c>
      <c r="BI689" s="418" t="str">
        <f t="shared" si="942"/>
        <v/>
      </c>
      <c r="BJ689" s="418" t="str">
        <f t="shared" si="943"/>
        <v/>
      </c>
      <c r="BK689" s="418" t="str">
        <f t="shared" ref="BK689:BS689" si="966">IF(OR($E689="",BK$1=""),"",IF(TRIM(LEFT($E689,MIN(IFERROR(FIND("CDU",UPPER($E689)),999),IFERROR(FIND("BULK",UPPER($E689)),999),IFERROR(FIND("-",$E689),999),IFERROR(FIND("（",$E689),999))-1))=BK$1,$F689,""))</f>
        <v/>
      </c>
      <c r="BL689" s="418" t="str">
        <f t="shared" si="966"/>
        <v/>
      </c>
      <c r="BM689" s="418" t="str">
        <f t="shared" si="966"/>
        <v/>
      </c>
      <c r="BN689" s="418" t="str">
        <f t="shared" si="966"/>
        <v/>
      </c>
      <c r="BO689" s="418" t="str">
        <f t="shared" si="966"/>
        <v/>
      </c>
      <c r="BP689" s="418" t="str">
        <f t="shared" si="966"/>
        <v/>
      </c>
      <c r="BQ689" s="418" t="str">
        <f t="shared" si="966"/>
        <v/>
      </c>
      <c r="BR689" s="418" t="str">
        <f t="shared" si="966"/>
        <v/>
      </c>
      <c r="BS689" s="418" t="str">
        <f t="shared" si="966"/>
        <v/>
      </c>
      <c r="BT689" s="418" t="str">
        <f t="shared" si="945"/>
        <v/>
      </c>
      <c r="BU689" s="418" t="str">
        <f t="shared" si="946"/>
        <v/>
      </c>
      <c r="BV689" s="544">
        <v>1.3</v>
      </c>
      <c r="BW689" s="723">
        <f t="shared" si="947"/>
        <v>873.6</v>
      </c>
      <c r="BX689" s="724">
        <f t="shared" si="948"/>
        <v>6770.4</v>
      </c>
      <c r="BY689" s="725" t="str">
        <f t="shared" si="949"/>
        <v>SR</v>
      </c>
    </row>
    <row r="690" s="697" customFormat="1" customHeight="1" spans="1:77">
      <c r="A690" s="116">
        <v>46139</v>
      </c>
      <c r="B690" s="116">
        <v>46200</v>
      </c>
      <c r="C690" s="418" t="s">
        <v>789</v>
      </c>
      <c r="D690" s="418" t="s">
        <v>790</v>
      </c>
      <c r="E690" s="418" t="s">
        <v>150</v>
      </c>
      <c r="F690" s="737">
        <v>288</v>
      </c>
      <c r="G690" s="418" t="s">
        <v>341</v>
      </c>
      <c r="H690" s="118" t="str">
        <f>IFERROR(VLOOKUP(E690,名称!A:E,4,0),"")</f>
        <v>三代</v>
      </c>
      <c r="I690" s="418" t="str">
        <f t="shared" si="890"/>
        <v/>
      </c>
      <c r="J690" s="418" t="str">
        <f t="shared" si="891"/>
        <v/>
      </c>
      <c r="K690" s="418" t="str">
        <f t="shared" si="892"/>
        <v/>
      </c>
      <c r="L690" s="418" t="str">
        <f t="shared" si="893"/>
        <v/>
      </c>
      <c r="M690" s="418" t="str">
        <f t="shared" si="894"/>
        <v/>
      </c>
      <c r="N690" s="418" t="str">
        <f t="shared" si="895"/>
        <v/>
      </c>
      <c r="O690" s="418" t="str">
        <f t="shared" si="896"/>
        <v/>
      </c>
      <c r="P690" s="418" t="str">
        <f t="shared" si="897"/>
        <v/>
      </c>
      <c r="Q690" s="418" t="str">
        <f t="shared" si="898"/>
        <v/>
      </c>
      <c r="R690" s="418" t="str">
        <f t="shared" si="899"/>
        <v/>
      </c>
      <c r="S690" s="418" t="str">
        <f t="shared" si="900"/>
        <v/>
      </c>
      <c r="T690" s="418" t="str">
        <f t="shared" si="901"/>
        <v/>
      </c>
      <c r="U690" s="418" t="str">
        <f t="shared" si="902"/>
        <v/>
      </c>
      <c r="V690" s="418" t="str">
        <f t="shared" si="903"/>
        <v/>
      </c>
      <c r="W690" s="418" t="str">
        <f t="shared" si="904"/>
        <v/>
      </c>
      <c r="X690" s="418" t="str">
        <f t="shared" si="905"/>
        <v/>
      </c>
      <c r="Y690" s="418" t="str">
        <f t="shared" si="906"/>
        <v/>
      </c>
      <c r="Z690" s="418" t="str">
        <f t="shared" si="907"/>
        <v/>
      </c>
      <c r="AA690" s="418" t="str">
        <f t="shared" si="908"/>
        <v/>
      </c>
      <c r="AB690" s="418" t="str">
        <f t="shared" si="909"/>
        <v/>
      </c>
      <c r="AC690" s="418" t="str">
        <f t="shared" si="910"/>
        <v/>
      </c>
      <c r="AD690" s="418" t="str">
        <f t="shared" si="911"/>
        <v/>
      </c>
      <c r="AE690" s="418" t="str">
        <f t="shared" si="912"/>
        <v/>
      </c>
      <c r="AF690" s="418" t="str">
        <f t="shared" si="913"/>
        <v/>
      </c>
      <c r="AG690" s="418" t="str">
        <f t="shared" si="914"/>
        <v/>
      </c>
      <c r="AH690" s="418" t="str">
        <f t="shared" si="915"/>
        <v/>
      </c>
      <c r="AI690" s="418" t="str">
        <f t="shared" si="916"/>
        <v/>
      </c>
      <c r="AJ690" s="418" t="str">
        <f t="shared" si="917"/>
        <v/>
      </c>
      <c r="AK690" s="418" t="str">
        <f t="shared" si="918"/>
        <v/>
      </c>
      <c r="AL690" s="418">
        <f t="shared" si="919"/>
        <v>288</v>
      </c>
      <c r="AM690" s="418" t="str">
        <f t="shared" si="920"/>
        <v/>
      </c>
      <c r="AN690" s="418" t="str">
        <f t="shared" si="921"/>
        <v/>
      </c>
      <c r="AO690" s="418" t="str">
        <f t="shared" si="922"/>
        <v/>
      </c>
      <c r="AP690" s="418" t="str">
        <f t="shared" si="923"/>
        <v/>
      </c>
      <c r="AQ690" s="418" t="str">
        <f t="shared" si="924"/>
        <v/>
      </c>
      <c r="AR690" s="418" t="str">
        <f t="shared" si="925"/>
        <v/>
      </c>
      <c r="AS690" s="418" t="str">
        <f t="shared" si="926"/>
        <v/>
      </c>
      <c r="AT690" s="418" t="str">
        <f t="shared" si="927"/>
        <v/>
      </c>
      <c r="AU690" s="418" t="str">
        <f t="shared" si="928"/>
        <v/>
      </c>
      <c r="AV690" s="418" t="str">
        <f t="shared" si="929"/>
        <v/>
      </c>
      <c r="AW690" s="418" t="str">
        <f t="shared" si="930"/>
        <v/>
      </c>
      <c r="AX690" s="418" t="str">
        <f t="shared" si="931"/>
        <v/>
      </c>
      <c r="AY690" s="418" t="str">
        <f t="shared" si="932"/>
        <v/>
      </c>
      <c r="AZ690" s="418" t="str">
        <f t="shared" si="933"/>
        <v/>
      </c>
      <c r="BA690" s="418" t="str">
        <f t="shared" si="934"/>
        <v/>
      </c>
      <c r="BB690" s="418" t="str">
        <f t="shared" si="935"/>
        <v/>
      </c>
      <c r="BC690" s="418" t="str">
        <f t="shared" si="936"/>
        <v/>
      </c>
      <c r="BD690" s="418" t="str">
        <f t="shared" si="937"/>
        <v/>
      </c>
      <c r="BE690" s="418" t="str">
        <f t="shared" si="938"/>
        <v/>
      </c>
      <c r="BF690" s="418" t="str">
        <f t="shared" si="939"/>
        <v/>
      </c>
      <c r="BG690" s="418" t="str">
        <f t="shared" si="940"/>
        <v/>
      </c>
      <c r="BH690" s="418" t="str">
        <f t="shared" si="941"/>
        <v/>
      </c>
      <c r="BI690" s="418" t="str">
        <f t="shared" si="942"/>
        <v/>
      </c>
      <c r="BJ690" s="418" t="str">
        <f t="shared" si="943"/>
        <v/>
      </c>
      <c r="BK690" s="418" t="str">
        <f t="shared" ref="BK690:BS690" si="967">IF(OR($E690="",BK$1=""),"",IF(TRIM(LEFT($E690,MIN(IFERROR(FIND("CDU",UPPER($E690)),999),IFERROR(FIND("BULK",UPPER($E690)),999),IFERROR(FIND("-",$E690),999),IFERROR(FIND("（",$E690),999))-1))=BK$1,$F690,""))</f>
        <v/>
      </c>
      <c r="BL690" s="418" t="str">
        <f t="shared" si="967"/>
        <v/>
      </c>
      <c r="BM690" s="418" t="str">
        <f t="shared" si="967"/>
        <v/>
      </c>
      <c r="BN690" s="418" t="str">
        <f t="shared" si="967"/>
        <v/>
      </c>
      <c r="BO690" s="418" t="str">
        <f t="shared" si="967"/>
        <v/>
      </c>
      <c r="BP690" s="418" t="str">
        <f t="shared" si="967"/>
        <v/>
      </c>
      <c r="BQ690" s="418" t="str">
        <f t="shared" si="967"/>
        <v/>
      </c>
      <c r="BR690" s="418" t="str">
        <f t="shared" si="967"/>
        <v/>
      </c>
      <c r="BS690" s="418" t="str">
        <f t="shared" si="967"/>
        <v/>
      </c>
      <c r="BT690" s="418" t="str">
        <f t="shared" si="945"/>
        <v/>
      </c>
      <c r="BU690" s="418" t="str">
        <f t="shared" si="946"/>
        <v/>
      </c>
      <c r="BV690" s="544">
        <v>1.3</v>
      </c>
      <c r="BW690" s="723">
        <f t="shared" si="947"/>
        <v>374.4</v>
      </c>
      <c r="BX690" s="724">
        <f t="shared" si="948"/>
        <v>2901.6</v>
      </c>
      <c r="BY690" s="725" t="str">
        <f t="shared" si="949"/>
        <v>SR</v>
      </c>
    </row>
    <row r="691" s="697" customFormat="1" customHeight="1" spans="1:77">
      <c r="A691" s="116">
        <v>46139</v>
      </c>
      <c r="B691" s="116">
        <v>46200</v>
      </c>
      <c r="C691" s="418" t="s">
        <v>789</v>
      </c>
      <c r="D691" s="418" t="s">
        <v>790</v>
      </c>
      <c r="E691" s="418" t="s">
        <v>151</v>
      </c>
      <c r="F691" s="737">
        <v>960</v>
      </c>
      <c r="G691" s="418" t="s">
        <v>341</v>
      </c>
      <c r="H691" s="118" t="str">
        <f>IFERROR(VLOOKUP(E691,名称!A:E,4,0),"")</f>
        <v>三代</v>
      </c>
      <c r="I691" s="418" t="str">
        <f t="shared" si="890"/>
        <v/>
      </c>
      <c r="J691" s="418" t="str">
        <f t="shared" si="891"/>
        <v/>
      </c>
      <c r="K691" s="418" t="str">
        <f t="shared" si="892"/>
        <v/>
      </c>
      <c r="L691" s="418" t="str">
        <f t="shared" si="893"/>
        <v/>
      </c>
      <c r="M691" s="418" t="str">
        <f t="shared" si="894"/>
        <v/>
      </c>
      <c r="N691" s="418" t="str">
        <f t="shared" si="895"/>
        <v/>
      </c>
      <c r="O691" s="418" t="str">
        <f t="shared" si="896"/>
        <v/>
      </c>
      <c r="P691" s="418" t="str">
        <f t="shared" si="897"/>
        <v/>
      </c>
      <c r="Q691" s="418" t="str">
        <f t="shared" si="898"/>
        <v/>
      </c>
      <c r="R691" s="418" t="str">
        <f t="shared" si="899"/>
        <v/>
      </c>
      <c r="S691" s="418" t="str">
        <f t="shared" si="900"/>
        <v/>
      </c>
      <c r="T691" s="418" t="str">
        <f t="shared" si="901"/>
        <v/>
      </c>
      <c r="U691" s="418" t="str">
        <f t="shared" si="902"/>
        <v/>
      </c>
      <c r="V691" s="418" t="str">
        <f t="shared" si="903"/>
        <v/>
      </c>
      <c r="W691" s="418" t="str">
        <f t="shared" si="904"/>
        <v/>
      </c>
      <c r="X691" s="418" t="str">
        <f t="shared" si="905"/>
        <v/>
      </c>
      <c r="Y691" s="418" t="str">
        <f t="shared" si="906"/>
        <v/>
      </c>
      <c r="Z691" s="418" t="str">
        <f t="shared" si="907"/>
        <v/>
      </c>
      <c r="AA691" s="418" t="str">
        <f t="shared" si="908"/>
        <v/>
      </c>
      <c r="AB691" s="418" t="str">
        <f t="shared" si="909"/>
        <v/>
      </c>
      <c r="AC691" s="418" t="str">
        <f t="shared" si="910"/>
        <v/>
      </c>
      <c r="AD691" s="418" t="str">
        <f t="shared" si="911"/>
        <v/>
      </c>
      <c r="AE691" s="418" t="str">
        <f t="shared" si="912"/>
        <v/>
      </c>
      <c r="AF691" s="418" t="str">
        <f t="shared" si="913"/>
        <v/>
      </c>
      <c r="AG691" s="418" t="str">
        <f t="shared" si="914"/>
        <v/>
      </c>
      <c r="AH691" s="418" t="str">
        <f t="shared" si="915"/>
        <v/>
      </c>
      <c r="AI691" s="418" t="str">
        <f t="shared" si="916"/>
        <v/>
      </c>
      <c r="AJ691" s="418" t="str">
        <f t="shared" si="917"/>
        <v/>
      </c>
      <c r="AK691" s="418" t="str">
        <f t="shared" si="918"/>
        <v/>
      </c>
      <c r="AL691" s="418">
        <f t="shared" si="919"/>
        <v>960</v>
      </c>
      <c r="AM691" s="418" t="str">
        <f t="shared" si="920"/>
        <v/>
      </c>
      <c r="AN691" s="418" t="str">
        <f t="shared" si="921"/>
        <v/>
      </c>
      <c r="AO691" s="418" t="str">
        <f t="shared" si="922"/>
        <v/>
      </c>
      <c r="AP691" s="418" t="str">
        <f t="shared" si="923"/>
        <v/>
      </c>
      <c r="AQ691" s="418" t="str">
        <f t="shared" si="924"/>
        <v/>
      </c>
      <c r="AR691" s="418" t="str">
        <f t="shared" si="925"/>
        <v/>
      </c>
      <c r="AS691" s="418" t="str">
        <f t="shared" si="926"/>
        <v/>
      </c>
      <c r="AT691" s="418" t="str">
        <f t="shared" si="927"/>
        <v/>
      </c>
      <c r="AU691" s="418" t="str">
        <f t="shared" si="928"/>
        <v/>
      </c>
      <c r="AV691" s="418" t="str">
        <f t="shared" si="929"/>
        <v/>
      </c>
      <c r="AW691" s="418" t="str">
        <f t="shared" si="930"/>
        <v/>
      </c>
      <c r="AX691" s="418" t="str">
        <f t="shared" si="931"/>
        <v/>
      </c>
      <c r="AY691" s="418" t="str">
        <f t="shared" si="932"/>
        <v/>
      </c>
      <c r="AZ691" s="418" t="str">
        <f t="shared" si="933"/>
        <v/>
      </c>
      <c r="BA691" s="418" t="str">
        <f t="shared" si="934"/>
        <v/>
      </c>
      <c r="BB691" s="418" t="str">
        <f t="shared" si="935"/>
        <v/>
      </c>
      <c r="BC691" s="418" t="str">
        <f t="shared" si="936"/>
        <v/>
      </c>
      <c r="BD691" s="418" t="str">
        <f t="shared" si="937"/>
        <v/>
      </c>
      <c r="BE691" s="418" t="str">
        <f t="shared" si="938"/>
        <v/>
      </c>
      <c r="BF691" s="418" t="str">
        <f t="shared" si="939"/>
        <v/>
      </c>
      <c r="BG691" s="418" t="str">
        <f t="shared" si="940"/>
        <v/>
      </c>
      <c r="BH691" s="418" t="str">
        <f t="shared" si="941"/>
        <v/>
      </c>
      <c r="BI691" s="418" t="str">
        <f t="shared" si="942"/>
        <v/>
      </c>
      <c r="BJ691" s="418" t="str">
        <f t="shared" si="943"/>
        <v/>
      </c>
      <c r="BK691" s="418" t="str">
        <f t="shared" ref="BK691:BS691" si="968">IF(OR($E691="",BK$1=""),"",IF(TRIM(LEFT($E691,MIN(IFERROR(FIND("CDU",UPPER($E691)),999),IFERROR(FIND("BULK",UPPER($E691)),999),IFERROR(FIND("-",$E691),999),IFERROR(FIND("（",$E691),999))-1))=BK$1,$F691,""))</f>
        <v/>
      </c>
      <c r="BL691" s="418" t="str">
        <f t="shared" si="968"/>
        <v/>
      </c>
      <c r="BM691" s="418" t="str">
        <f t="shared" si="968"/>
        <v/>
      </c>
      <c r="BN691" s="418" t="str">
        <f t="shared" si="968"/>
        <v/>
      </c>
      <c r="BO691" s="418" t="str">
        <f t="shared" si="968"/>
        <v/>
      </c>
      <c r="BP691" s="418" t="str">
        <f t="shared" si="968"/>
        <v/>
      </c>
      <c r="BQ691" s="418" t="str">
        <f t="shared" si="968"/>
        <v/>
      </c>
      <c r="BR691" s="418" t="str">
        <f t="shared" si="968"/>
        <v/>
      </c>
      <c r="BS691" s="418" t="str">
        <f t="shared" si="968"/>
        <v/>
      </c>
      <c r="BT691" s="418" t="str">
        <f t="shared" si="945"/>
        <v/>
      </c>
      <c r="BU691" s="418" t="str">
        <f t="shared" si="946"/>
        <v/>
      </c>
      <c r="BV691" s="544">
        <v>1.3</v>
      </c>
      <c r="BW691" s="723">
        <f t="shared" si="947"/>
        <v>1248</v>
      </c>
      <c r="BX691" s="724">
        <f t="shared" si="948"/>
        <v>9672</v>
      </c>
      <c r="BY691" s="725" t="str">
        <f t="shared" si="949"/>
        <v>SR</v>
      </c>
    </row>
    <row r="692" s="698" customFormat="1" customHeight="1" spans="1:77">
      <c r="A692" s="208">
        <v>46139</v>
      </c>
      <c r="B692" s="208">
        <v>46200</v>
      </c>
      <c r="C692" s="268" t="s">
        <v>789</v>
      </c>
      <c r="D692" s="268" t="s">
        <v>790</v>
      </c>
      <c r="E692" s="268" t="s">
        <v>142</v>
      </c>
      <c r="F692" s="343">
        <v>10968</v>
      </c>
      <c r="G692" s="268" t="s">
        <v>341</v>
      </c>
      <c r="H692" s="211" t="str">
        <f>IFERROR(VLOOKUP(E692,名称!A:E,4,0),"")</f>
        <v>三代</v>
      </c>
      <c r="I692" s="268" t="str">
        <f t="shared" si="890"/>
        <v/>
      </c>
      <c r="J692" s="268" t="str">
        <f t="shared" si="891"/>
        <v/>
      </c>
      <c r="K692" s="268" t="str">
        <f t="shared" si="892"/>
        <v/>
      </c>
      <c r="L692" s="268" t="str">
        <f t="shared" si="893"/>
        <v/>
      </c>
      <c r="M692" s="268" t="str">
        <f t="shared" si="894"/>
        <v/>
      </c>
      <c r="N692" s="268" t="str">
        <f t="shared" si="895"/>
        <v/>
      </c>
      <c r="O692" s="268" t="str">
        <f t="shared" si="896"/>
        <v/>
      </c>
      <c r="P692" s="268" t="str">
        <f t="shared" si="897"/>
        <v/>
      </c>
      <c r="Q692" s="268" t="str">
        <f t="shared" si="898"/>
        <v/>
      </c>
      <c r="R692" s="268" t="str">
        <f t="shared" si="899"/>
        <v/>
      </c>
      <c r="S692" s="268" t="str">
        <f t="shared" si="900"/>
        <v/>
      </c>
      <c r="T692" s="268" t="str">
        <f t="shared" si="901"/>
        <v/>
      </c>
      <c r="U692" s="268" t="str">
        <f t="shared" si="902"/>
        <v/>
      </c>
      <c r="V692" s="268" t="str">
        <f t="shared" si="903"/>
        <v/>
      </c>
      <c r="W692" s="268" t="str">
        <f t="shared" si="904"/>
        <v/>
      </c>
      <c r="X692" s="268" t="str">
        <f t="shared" si="905"/>
        <v/>
      </c>
      <c r="Y692" s="268" t="str">
        <f t="shared" si="906"/>
        <v/>
      </c>
      <c r="Z692" s="268" t="str">
        <f t="shared" si="907"/>
        <v/>
      </c>
      <c r="AA692" s="268" t="str">
        <f t="shared" si="908"/>
        <v/>
      </c>
      <c r="AB692" s="268" t="str">
        <f t="shared" si="909"/>
        <v/>
      </c>
      <c r="AC692" s="268" t="str">
        <f t="shared" si="910"/>
        <v/>
      </c>
      <c r="AD692" s="268" t="str">
        <f t="shared" si="911"/>
        <v/>
      </c>
      <c r="AE692" s="268" t="str">
        <f t="shared" si="912"/>
        <v/>
      </c>
      <c r="AF692" s="268" t="str">
        <f t="shared" si="913"/>
        <v/>
      </c>
      <c r="AG692" s="268">
        <f t="shared" si="914"/>
        <v>10968</v>
      </c>
      <c r="AH692" s="268" t="str">
        <f t="shared" si="915"/>
        <v/>
      </c>
      <c r="AI692" s="268" t="str">
        <f t="shared" si="916"/>
        <v/>
      </c>
      <c r="AJ692" s="268" t="str">
        <f t="shared" si="917"/>
        <v/>
      </c>
      <c r="AK692" s="268" t="str">
        <f t="shared" si="918"/>
        <v/>
      </c>
      <c r="AL692" s="268" t="str">
        <f t="shared" si="919"/>
        <v/>
      </c>
      <c r="AM692" s="268" t="str">
        <f t="shared" si="920"/>
        <v/>
      </c>
      <c r="AN692" s="268" t="str">
        <f t="shared" si="921"/>
        <v/>
      </c>
      <c r="AO692" s="268" t="str">
        <f t="shared" si="922"/>
        <v/>
      </c>
      <c r="AP692" s="268" t="str">
        <f t="shared" si="923"/>
        <v/>
      </c>
      <c r="AQ692" s="268" t="str">
        <f t="shared" si="924"/>
        <v/>
      </c>
      <c r="AR692" s="268" t="str">
        <f t="shared" si="925"/>
        <v/>
      </c>
      <c r="AS692" s="268" t="str">
        <f t="shared" si="926"/>
        <v/>
      </c>
      <c r="AT692" s="268" t="str">
        <f t="shared" si="927"/>
        <v/>
      </c>
      <c r="AU692" s="268" t="str">
        <f t="shared" si="928"/>
        <v/>
      </c>
      <c r="AV692" s="268" t="str">
        <f t="shared" si="929"/>
        <v/>
      </c>
      <c r="AW692" s="268" t="str">
        <f t="shared" si="930"/>
        <v/>
      </c>
      <c r="AX692" s="268" t="str">
        <f t="shared" si="931"/>
        <v/>
      </c>
      <c r="AY692" s="268" t="str">
        <f t="shared" si="932"/>
        <v/>
      </c>
      <c r="AZ692" s="268" t="str">
        <f t="shared" si="933"/>
        <v/>
      </c>
      <c r="BA692" s="268" t="str">
        <f t="shared" si="934"/>
        <v/>
      </c>
      <c r="BB692" s="268" t="str">
        <f t="shared" si="935"/>
        <v/>
      </c>
      <c r="BC692" s="268" t="str">
        <f t="shared" si="936"/>
        <v/>
      </c>
      <c r="BD692" s="268" t="str">
        <f t="shared" si="937"/>
        <v/>
      </c>
      <c r="BE692" s="268" t="str">
        <f t="shared" si="938"/>
        <v/>
      </c>
      <c r="BF692" s="268" t="str">
        <f t="shared" si="939"/>
        <v/>
      </c>
      <c r="BG692" s="268" t="str">
        <f t="shared" si="940"/>
        <v/>
      </c>
      <c r="BH692" s="268" t="str">
        <f t="shared" si="941"/>
        <v/>
      </c>
      <c r="BI692" s="268" t="str">
        <f t="shared" si="942"/>
        <v/>
      </c>
      <c r="BJ692" s="268" t="str">
        <f t="shared" si="943"/>
        <v/>
      </c>
      <c r="BK692" s="268" t="str">
        <f t="shared" ref="BK692:BS692" si="969">IF(OR($E692="",BK$1=""),"",IF(TRIM(LEFT($E692,MIN(IFERROR(FIND("CDU",UPPER($E692)),999),IFERROR(FIND("BULK",UPPER($E692)),999),IFERROR(FIND("-",$E692),999),IFERROR(FIND("（",$E692),999))-1))=BK$1,$F692,""))</f>
        <v/>
      </c>
      <c r="BL692" s="268" t="str">
        <f t="shared" si="969"/>
        <v/>
      </c>
      <c r="BM692" s="268" t="str">
        <f t="shared" si="969"/>
        <v/>
      </c>
      <c r="BN692" s="268" t="str">
        <f t="shared" si="969"/>
        <v/>
      </c>
      <c r="BO692" s="268" t="str">
        <f t="shared" si="969"/>
        <v/>
      </c>
      <c r="BP692" s="268" t="str">
        <f t="shared" si="969"/>
        <v/>
      </c>
      <c r="BQ692" s="268" t="str">
        <f t="shared" si="969"/>
        <v/>
      </c>
      <c r="BR692" s="268" t="str">
        <f t="shared" si="969"/>
        <v/>
      </c>
      <c r="BS692" s="268" t="str">
        <f t="shared" si="969"/>
        <v/>
      </c>
      <c r="BT692" s="268" t="str">
        <f t="shared" si="945"/>
        <v/>
      </c>
      <c r="BU692" s="268" t="str">
        <f t="shared" si="946"/>
        <v/>
      </c>
      <c r="BV692" s="247">
        <v>1.65</v>
      </c>
      <c r="BW692" s="729">
        <f t="shared" si="947"/>
        <v>18097.2</v>
      </c>
      <c r="BX692" s="730">
        <f t="shared" si="948"/>
        <v>140253.3</v>
      </c>
      <c r="BY692" s="731" t="str">
        <f t="shared" si="949"/>
        <v>SR</v>
      </c>
    </row>
    <row r="693" s="697" customFormat="1" customHeight="1" spans="1:77">
      <c r="A693" s="116">
        <v>46139</v>
      </c>
      <c r="B693" s="116">
        <v>46200</v>
      </c>
      <c r="C693" s="418" t="s">
        <v>789</v>
      </c>
      <c r="D693" s="418" t="s">
        <v>790</v>
      </c>
      <c r="E693" s="418" t="s">
        <v>143</v>
      </c>
      <c r="F693" s="737">
        <v>4680</v>
      </c>
      <c r="G693" s="418" t="s">
        <v>341</v>
      </c>
      <c r="H693" s="118" t="str">
        <f>IFERROR(VLOOKUP(E693,名称!A:E,4,0),"")</f>
        <v>三代</v>
      </c>
      <c r="I693" s="418" t="str">
        <f t="shared" si="890"/>
        <v/>
      </c>
      <c r="J693" s="418" t="str">
        <f t="shared" si="891"/>
        <v/>
      </c>
      <c r="K693" s="418" t="str">
        <f t="shared" si="892"/>
        <v/>
      </c>
      <c r="L693" s="418" t="str">
        <f t="shared" si="893"/>
        <v/>
      </c>
      <c r="M693" s="418" t="str">
        <f t="shared" si="894"/>
        <v/>
      </c>
      <c r="N693" s="418" t="str">
        <f t="shared" si="895"/>
        <v/>
      </c>
      <c r="O693" s="418" t="str">
        <f t="shared" si="896"/>
        <v/>
      </c>
      <c r="P693" s="418" t="str">
        <f t="shared" si="897"/>
        <v/>
      </c>
      <c r="Q693" s="418" t="str">
        <f t="shared" si="898"/>
        <v/>
      </c>
      <c r="R693" s="418" t="str">
        <f t="shared" si="899"/>
        <v/>
      </c>
      <c r="S693" s="418" t="str">
        <f t="shared" si="900"/>
        <v/>
      </c>
      <c r="T693" s="418" t="str">
        <f t="shared" si="901"/>
        <v/>
      </c>
      <c r="U693" s="418" t="str">
        <f t="shared" si="902"/>
        <v/>
      </c>
      <c r="V693" s="418" t="str">
        <f t="shared" si="903"/>
        <v/>
      </c>
      <c r="W693" s="418" t="str">
        <f t="shared" si="904"/>
        <v/>
      </c>
      <c r="X693" s="418" t="str">
        <f t="shared" si="905"/>
        <v/>
      </c>
      <c r="Y693" s="418" t="str">
        <f t="shared" si="906"/>
        <v/>
      </c>
      <c r="Z693" s="418" t="str">
        <f t="shared" si="907"/>
        <v/>
      </c>
      <c r="AA693" s="418" t="str">
        <f t="shared" si="908"/>
        <v/>
      </c>
      <c r="AB693" s="418" t="str">
        <f t="shared" si="909"/>
        <v/>
      </c>
      <c r="AC693" s="418" t="str">
        <f t="shared" si="910"/>
        <v/>
      </c>
      <c r="AD693" s="418" t="str">
        <f t="shared" si="911"/>
        <v/>
      </c>
      <c r="AE693" s="418" t="str">
        <f t="shared" si="912"/>
        <v/>
      </c>
      <c r="AF693" s="418" t="str">
        <f t="shared" si="913"/>
        <v/>
      </c>
      <c r="AG693" s="418" t="str">
        <f t="shared" si="914"/>
        <v/>
      </c>
      <c r="AH693" s="418">
        <f t="shared" si="915"/>
        <v>4680</v>
      </c>
      <c r="AI693" s="418" t="str">
        <f t="shared" si="916"/>
        <v/>
      </c>
      <c r="AJ693" s="418" t="str">
        <f t="shared" si="917"/>
        <v/>
      </c>
      <c r="AK693" s="418" t="str">
        <f t="shared" si="918"/>
        <v/>
      </c>
      <c r="AL693" s="418" t="str">
        <f t="shared" si="919"/>
        <v/>
      </c>
      <c r="AM693" s="418" t="str">
        <f t="shared" si="920"/>
        <v/>
      </c>
      <c r="AN693" s="418" t="str">
        <f t="shared" si="921"/>
        <v/>
      </c>
      <c r="AO693" s="418" t="str">
        <f t="shared" si="922"/>
        <v/>
      </c>
      <c r="AP693" s="418" t="str">
        <f t="shared" si="923"/>
        <v/>
      </c>
      <c r="AQ693" s="418" t="str">
        <f t="shared" si="924"/>
        <v/>
      </c>
      <c r="AR693" s="418" t="str">
        <f t="shared" si="925"/>
        <v/>
      </c>
      <c r="AS693" s="418" t="str">
        <f t="shared" si="926"/>
        <v/>
      </c>
      <c r="AT693" s="418" t="str">
        <f t="shared" si="927"/>
        <v/>
      </c>
      <c r="AU693" s="418" t="str">
        <f t="shared" si="928"/>
        <v/>
      </c>
      <c r="AV693" s="418" t="str">
        <f t="shared" si="929"/>
        <v/>
      </c>
      <c r="AW693" s="418" t="str">
        <f t="shared" si="930"/>
        <v/>
      </c>
      <c r="AX693" s="418" t="str">
        <f t="shared" si="931"/>
        <v/>
      </c>
      <c r="AY693" s="418" t="str">
        <f t="shared" si="932"/>
        <v/>
      </c>
      <c r="AZ693" s="418" t="str">
        <f t="shared" si="933"/>
        <v/>
      </c>
      <c r="BA693" s="418" t="str">
        <f t="shared" si="934"/>
        <v/>
      </c>
      <c r="BB693" s="418" t="str">
        <f t="shared" si="935"/>
        <v/>
      </c>
      <c r="BC693" s="418" t="str">
        <f t="shared" si="936"/>
        <v/>
      </c>
      <c r="BD693" s="418" t="str">
        <f t="shared" si="937"/>
        <v/>
      </c>
      <c r="BE693" s="418" t="str">
        <f t="shared" si="938"/>
        <v/>
      </c>
      <c r="BF693" s="418" t="str">
        <f t="shared" si="939"/>
        <v/>
      </c>
      <c r="BG693" s="418" t="str">
        <f t="shared" si="940"/>
        <v/>
      </c>
      <c r="BH693" s="418" t="str">
        <f t="shared" si="941"/>
        <v/>
      </c>
      <c r="BI693" s="418" t="str">
        <f t="shared" si="942"/>
        <v/>
      </c>
      <c r="BJ693" s="418" t="str">
        <f t="shared" si="943"/>
        <v/>
      </c>
      <c r="BK693" s="418" t="str">
        <f t="shared" ref="BK693:BS693" si="970">IF(OR($E693="",BK$1=""),"",IF(TRIM(LEFT($E693,MIN(IFERROR(FIND("CDU",UPPER($E693)),999),IFERROR(FIND("BULK",UPPER($E693)),999),IFERROR(FIND("-",$E693),999),IFERROR(FIND("（",$E693),999))-1))=BK$1,$F693,""))</f>
        <v/>
      </c>
      <c r="BL693" s="418" t="str">
        <f t="shared" si="970"/>
        <v/>
      </c>
      <c r="BM693" s="418" t="str">
        <f t="shared" si="970"/>
        <v/>
      </c>
      <c r="BN693" s="418" t="str">
        <f t="shared" si="970"/>
        <v/>
      </c>
      <c r="BO693" s="418" t="str">
        <f t="shared" si="970"/>
        <v/>
      </c>
      <c r="BP693" s="418" t="str">
        <f t="shared" si="970"/>
        <v/>
      </c>
      <c r="BQ693" s="418" t="str">
        <f t="shared" si="970"/>
        <v/>
      </c>
      <c r="BR693" s="418" t="str">
        <f t="shared" si="970"/>
        <v/>
      </c>
      <c r="BS693" s="418" t="str">
        <f t="shared" si="970"/>
        <v/>
      </c>
      <c r="BT693" s="418" t="str">
        <f t="shared" si="945"/>
        <v/>
      </c>
      <c r="BU693" s="418" t="str">
        <f t="shared" si="946"/>
        <v/>
      </c>
      <c r="BV693" s="544">
        <v>2.57</v>
      </c>
      <c r="BW693" s="723">
        <f t="shared" si="947"/>
        <v>12027.6</v>
      </c>
      <c r="BX693" s="724">
        <f t="shared" si="948"/>
        <v>93213.9</v>
      </c>
      <c r="BY693" s="725" t="str">
        <f t="shared" si="949"/>
        <v>SR</v>
      </c>
    </row>
    <row r="694" s="697" customFormat="1" customHeight="1" spans="1:77">
      <c r="A694" s="116">
        <v>46139</v>
      </c>
      <c r="B694" s="116">
        <v>46200</v>
      </c>
      <c r="C694" s="418" t="s">
        <v>789</v>
      </c>
      <c r="D694" s="418" t="s">
        <v>790</v>
      </c>
      <c r="E694" s="619" t="s">
        <v>144</v>
      </c>
      <c r="F694" s="737">
        <v>618</v>
      </c>
      <c r="G694" s="418" t="s">
        <v>341</v>
      </c>
      <c r="H694" s="118" t="str">
        <f>IFERROR(VLOOKUP(E694,名称!A:E,4,0),"")</f>
        <v>三代</v>
      </c>
      <c r="I694" s="418" t="str">
        <f t="shared" si="890"/>
        <v/>
      </c>
      <c r="J694" s="418" t="str">
        <f t="shared" si="891"/>
        <v/>
      </c>
      <c r="K694" s="418" t="str">
        <f t="shared" si="892"/>
        <v/>
      </c>
      <c r="L694" s="418" t="str">
        <f t="shared" si="893"/>
        <v/>
      </c>
      <c r="M694" s="418" t="str">
        <f t="shared" si="894"/>
        <v/>
      </c>
      <c r="N694" s="418" t="str">
        <f t="shared" si="895"/>
        <v/>
      </c>
      <c r="O694" s="418" t="str">
        <f t="shared" si="896"/>
        <v/>
      </c>
      <c r="P694" s="418" t="str">
        <f t="shared" si="897"/>
        <v/>
      </c>
      <c r="Q694" s="418" t="str">
        <f t="shared" si="898"/>
        <v/>
      </c>
      <c r="R694" s="418" t="str">
        <f t="shared" si="899"/>
        <v/>
      </c>
      <c r="S694" s="418" t="str">
        <f t="shared" si="900"/>
        <v/>
      </c>
      <c r="T694" s="418" t="str">
        <f t="shared" si="901"/>
        <v/>
      </c>
      <c r="U694" s="418" t="str">
        <f t="shared" si="902"/>
        <v/>
      </c>
      <c r="V694" s="418" t="str">
        <f t="shared" si="903"/>
        <v/>
      </c>
      <c r="W694" s="418" t="str">
        <f t="shared" si="904"/>
        <v/>
      </c>
      <c r="X694" s="418" t="str">
        <f t="shared" si="905"/>
        <v/>
      </c>
      <c r="Y694" s="418" t="str">
        <f t="shared" si="906"/>
        <v/>
      </c>
      <c r="Z694" s="418" t="str">
        <f t="shared" si="907"/>
        <v/>
      </c>
      <c r="AA694" s="418" t="str">
        <f t="shared" si="908"/>
        <v/>
      </c>
      <c r="AB694" s="418" t="str">
        <f t="shared" si="909"/>
        <v/>
      </c>
      <c r="AC694" s="418" t="str">
        <f t="shared" si="910"/>
        <v/>
      </c>
      <c r="AD694" s="418" t="str">
        <f t="shared" si="911"/>
        <v/>
      </c>
      <c r="AE694" s="418" t="str">
        <f t="shared" si="912"/>
        <v/>
      </c>
      <c r="AF694" s="418" t="str">
        <f t="shared" si="913"/>
        <v/>
      </c>
      <c r="AG694" s="418" t="str">
        <f t="shared" si="914"/>
        <v/>
      </c>
      <c r="AH694" s="418" t="str">
        <f t="shared" si="915"/>
        <v/>
      </c>
      <c r="AI694" s="418">
        <f t="shared" si="916"/>
        <v>618</v>
      </c>
      <c r="AJ694" s="418" t="str">
        <f t="shared" si="917"/>
        <v/>
      </c>
      <c r="AK694" s="418" t="str">
        <f t="shared" si="918"/>
        <v/>
      </c>
      <c r="AL694" s="418" t="str">
        <f t="shared" si="919"/>
        <v/>
      </c>
      <c r="AM694" s="418" t="str">
        <f t="shared" si="920"/>
        <v/>
      </c>
      <c r="AN694" s="418" t="str">
        <f t="shared" si="921"/>
        <v/>
      </c>
      <c r="AO694" s="418" t="str">
        <f t="shared" si="922"/>
        <v/>
      </c>
      <c r="AP694" s="418" t="str">
        <f t="shared" si="923"/>
        <v/>
      </c>
      <c r="AQ694" s="418" t="str">
        <f t="shared" si="924"/>
        <v/>
      </c>
      <c r="AR694" s="418" t="str">
        <f t="shared" si="925"/>
        <v/>
      </c>
      <c r="AS694" s="418" t="str">
        <f t="shared" si="926"/>
        <v/>
      </c>
      <c r="AT694" s="418" t="str">
        <f t="shared" si="927"/>
        <v/>
      </c>
      <c r="AU694" s="418" t="str">
        <f t="shared" si="928"/>
        <v/>
      </c>
      <c r="AV694" s="418" t="str">
        <f t="shared" si="929"/>
        <v/>
      </c>
      <c r="AW694" s="418" t="str">
        <f t="shared" si="930"/>
        <v/>
      </c>
      <c r="AX694" s="418" t="str">
        <f t="shared" si="931"/>
        <v/>
      </c>
      <c r="AY694" s="418" t="str">
        <f t="shared" si="932"/>
        <v/>
      </c>
      <c r="AZ694" s="418" t="str">
        <f t="shared" si="933"/>
        <v/>
      </c>
      <c r="BA694" s="418" t="str">
        <f t="shared" si="934"/>
        <v/>
      </c>
      <c r="BB694" s="418" t="str">
        <f t="shared" si="935"/>
        <v/>
      </c>
      <c r="BC694" s="418" t="str">
        <f t="shared" si="936"/>
        <v/>
      </c>
      <c r="BD694" s="418" t="str">
        <f t="shared" si="937"/>
        <v/>
      </c>
      <c r="BE694" s="418" t="str">
        <f t="shared" si="938"/>
        <v/>
      </c>
      <c r="BF694" s="418" t="str">
        <f t="shared" si="939"/>
        <v/>
      </c>
      <c r="BG694" s="418" t="str">
        <f t="shared" si="940"/>
        <v/>
      </c>
      <c r="BH694" s="418" t="str">
        <f t="shared" si="941"/>
        <v/>
      </c>
      <c r="BI694" s="418" t="str">
        <f t="shared" si="942"/>
        <v/>
      </c>
      <c r="BJ694" s="418" t="str">
        <f t="shared" si="943"/>
        <v/>
      </c>
      <c r="BK694" s="418" t="str">
        <f t="shared" ref="BK694:BS694" si="971">IF(OR($E694="",BK$1=""),"",IF(TRIM(LEFT($E694,MIN(IFERROR(FIND("CDU",UPPER($E694)),999),IFERROR(FIND("BULK",UPPER($E694)),999),IFERROR(FIND("-",$E694),999),IFERROR(FIND("（",$E694),999))-1))=BK$1,$F694,""))</f>
        <v/>
      </c>
      <c r="BL694" s="418" t="str">
        <f t="shared" si="971"/>
        <v/>
      </c>
      <c r="BM694" s="418" t="str">
        <f t="shared" si="971"/>
        <v/>
      </c>
      <c r="BN694" s="418" t="str">
        <f t="shared" si="971"/>
        <v/>
      </c>
      <c r="BO694" s="418" t="str">
        <f t="shared" si="971"/>
        <v/>
      </c>
      <c r="BP694" s="418" t="str">
        <f t="shared" si="971"/>
        <v/>
      </c>
      <c r="BQ694" s="418" t="str">
        <f t="shared" si="971"/>
        <v/>
      </c>
      <c r="BR694" s="418" t="str">
        <f t="shared" si="971"/>
        <v/>
      </c>
      <c r="BS694" s="418" t="str">
        <f t="shared" si="971"/>
        <v/>
      </c>
      <c r="BT694" s="418" t="str">
        <f t="shared" si="945"/>
        <v/>
      </c>
      <c r="BU694" s="418" t="str">
        <f t="shared" si="946"/>
        <v/>
      </c>
      <c r="BV694" s="544">
        <v>8.98</v>
      </c>
      <c r="BW694" s="723">
        <f t="shared" si="947"/>
        <v>5549.64</v>
      </c>
      <c r="BX694" s="724">
        <f t="shared" si="948"/>
        <v>43009.71</v>
      </c>
      <c r="BY694" s="725" t="str">
        <f t="shared" si="949"/>
        <v>SR</v>
      </c>
    </row>
    <row r="695" s="697" customFormat="1" customHeight="1" spans="1:77">
      <c r="A695" s="116">
        <v>46139</v>
      </c>
      <c r="B695" s="116">
        <v>46200</v>
      </c>
      <c r="C695" s="418" t="s">
        <v>789</v>
      </c>
      <c r="D695" s="418" t="s">
        <v>790</v>
      </c>
      <c r="E695" s="619" t="s">
        <v>145</v>
      </c>
      <c r="F695" s="737">
        <v>552</v>
      </c>
      <c r="G695" s="418" t="s">
        <v>341</v>
      </c>
      <c r="H695" s="118" t="str">
        <f>IFERROR(VLOOKUP(E695,名称!A:E,4,0),"")</f>
        <v>三代</v>
      </c>
      <c r="I695" s="418" t="str">
        <f t="shared" si="890"/>
        <v/>
      </c>
      <c r="J695" s="418" t="str">
        <f t="shared" si="891"/>
        <v/>
      </c>
      <c r="K695" s="418" t="str">
        <f t="shared" si="892"/>
        <v/>
      </c>
      <c r="L695" s="418" t="str">
        <f t="shared" si="893"/>
        <v/>
      </c>
      <c r="M695" s="418" t="str">
        <f t="shared" si="894"/>
        <v/>
      </c>
      <c r="N695" s="418" t="str">
        <f t="shared" si="895"/>
        <v/>
      </c>
      <c r="O695" s="418" t="str">
        <f t="shared" si="896"/>
        <v/>
      </c>
      <c r="P695" s="418" t="str">
        <f t="shared" si="897"/>
        <v/>
      </c>
      <c r="Q695" s="418" t="str">
        <f t="shared" si="898"/>
        <v/>
      </c>
      <c r="R695" s="418" t="str">
        <f t="shared" si="899"/>
        <v/>
      </c>
      <c r="S695" s="418" t="str">
        <f t="shared" si="900"/>
        <v/>
      </c>
      <c r="T695" s="418" t="str">
        <f t="shared" si="901"/>
        <v/>
      </c>
      <c r="U695" s="418" t="str">
        <f t="shared" si="902"/>
        <v/>
      </c>
      <c r="V695" s="418" t="str">
        <f t="shared" si="903"/>
        <v/>
      </c>
      <c r="W695" s="418" t="str">
        <f t="shared" si="904"/>
        <v/>
      </c>
      <c r="X695" s="418" t="str">
        <f t="shared" si="905"/>
        <v/>
      </c>
      <c r="Y695" s="418" t="str">
        <f t="shared" si="906"/>
        <v/>
      </c>
      <c r="Z695" s="418" t="str">
        <f t="shared" si="907"/>
        <v/>
      </c>
      <c r="AA695" s="418" t="str">
        <f t="shared" si="908"/>
        <v/>
      </c>
      <c r="AB695" s="418" t="str">
        <f t="shared" si="909"/>
        <v/>
      </c>
      <c r="AC695" s="418" t="str">
        <f t="shared" si="910"/>
        <v/>
      </c>
      <c r="AD695" s="418" t="str">
        <f t="shared" si="911"/>
        <v/>
      </c>
      <c r="AE695" s="418" t="str">
        <f t="shared" si="912"/>
        <v/>
      </c>
      <c r="AF695" s="418" t="str">
        <f t="shared" si="913"/>
        <v/>
      </c>
      <c r="AG695" s="418" t="str">
        <f t="shared" si="914"/>
        <v/>
      </c>
      <c r="AH695" s="418" t="str">
        <f t="shared" si="915"/>
        <v/>
      </c>
      <c r="AI695" s="418">
        <f t="shared" si="916"/>
        <v>552</v>
      </c>
      <c r="AJ695" s="418" t="str">
        <f t="shared" si="917"/>
        <v/>
      </c>
      <c r="AK695" s="418" t="str">
        <f t="shared" si="918"/>
        <v/>
      </c>
      <c r="AL695" s="418" t="str">
        <f t="shared" si="919"/>
        <v/>
      </c>
      <c r="AM695" s="418" t="str">
        <f t="shared" si="920"/>
        <v/>
      </c>
      <c r="AN695" s="418" t="str">
        <f t="shared" si="921"/>
        <v/>
      </c>
      <c r="AO695" s="418" t="str">
        <f t="shared" si="922"/>
        <v/>
      </c>
      <c r="AP695" s="418" t="str">
        <f t="shared" si="923"/>
        <v/>
      </c>
      <c r="AQ695" s="418" t="str">
        <f t="shared" si="924"/>
        <v/>
      </c>
      <c r="AR695" s="418" t="str">
        <f t="shared" si="925"/>
        <v/>
      </c>
      <c r="AS695" s="418" t="str">
        <f t="shared" si="926"/>
        <v/>
      </c>
      <c r="AT695" s="418" t="str">
        <f t="shared" si="927"/>
        <v/>
      </c>
      <c r="AU695" s="418" t="str">
        <f t="shared" si="928"/>
        <v/>
      </c>
      <c r="AV695" s="418" t="str">
        <f t="shared" si="929"/>
        <v/>
      </c>
      <c r="AW695" s="418" t="str">
        <f t="shared" si="930"/>
        <v/>
      </c>
      <c r="AX695" s="418" t="str">
        <f t="shared" si="931"/>
        <v/>
      </c>
      <c r="AY695" s="418" t="str">
        <f t="shared" si="932"/>
        <v/>
      </c>
      <c r="AZ695" s="418" t="str">
        <f t="shared" si="933"/>
        <v/>
      </c>
      <c r="BA695" s="418" t="str">
        <f t="shared" si="934"/>
        <v/>
      </c>
      <c r="BB695" s="418" t="str">
        <f t="shared" si="935"/>
        <v/>
      </c>
      <c r="BC695" s="418" t="str">
        <f t="shared" si="936"/>
        <v/>
      </c>
      <c r="BD695" s="418" t="str">
        <f t="shared" si="937"/>
        <v/>
      </c>
      <c r="BE695" s="418" t="str">
        <f t="shared" si="938"/>
        <v/>
      </c>
      <c r="BF695" s="418" t="str">
        <f t="shared" si="939"/>
        <v/>
      </c>
      <c r="BG695" s="418" t="str">
        <f t="shared" si="940"/>
        <v/>
      </c>
      <c r="BH695" s="418" t="str">
        <f t="shared" si="941"/>
        <v/>
      </c>
      <c r="BI695" s="418" t="str">
        <f t="shared" si="942"/>
        <v/>
      </c>
      <c r="BJ695" s="418" t="str">
        <f t="shared" si="943"/>
        <v/>
      </c>
      <c r="BK695" s="418" t="str">
        <f t="shared" ref="BK695:BS695" si="972">IF(OR($E695="",BK$1=""),"",IF(TRIM(LEFT($E695,MIN(IFERROR(FIND("CDU",UPPER($E695)),999),IFERROR(FIND("BULK",UPPER($E695)),999),IFERROR(FIND("-",$E695),999),IFERROR(FIND("（",$E695),999))-1))=BK$1,$F695,""))</f>
        <v/>
      </c>
      <c r="BL695" s="418" t="str">
        <f t="shared" si="972"/>
        <v/>
      </c>
      <c r="BM695" s="418" t="str">
        <f t="shared" si="972"/>
        <v/>
      </c>
      <c r="BN695" s="418" t="str">
        <f t="shared" si="972"/>
        <v/>
      </c>
      <c r="BO695" s="418" t="str">
        <f t="shared" si="972"/>
        <v/>
      </c>
      <c r="BP695" s="418" t="str">
        <f t="shared" si="972"/>
        <v/>
      </c>
      <c r="BQ695" s="418" t="str">
        <f t="shared" si="972"/>
        <v/>
      </c>
      <c r="BR695" s="418" t="str">
        <f t="shared" si="972"/>
        <v/>
      </c>
      <c r="BS695" s="418" t="str">
        <f t="shared" si="972"/>
        <v/>
      </c>
      <c r="BT695" s="418" t="str">
        <f t="shared" si="945"/>
        <v/>
      </c>
      <c r="BU695" s="418" t="str">
        <f t="shared" si="946"/>
        <v/>
      </c>
      <c r="BV695" s="544">
        <v>8.98</v>
      </c>
      <c r="BW695" s="723">
        <f t="shared" si="947"/>
        <v>4956.96</v>
      </c>
      <c r="BX695" s="724">
        <f t="shared" si="948"/>
        <v>38416.44</v>
      </c>
      <c r="BY695" s="725" t="str">
        <f t="shared" si="949"/>
        <v>SR</v>
      </c>
    </row>
    <row r="696" s="697" customFormat="1" customHeight="1" spans="1:77">
      <c r="A696" s="116">
        <v>46139</v>
      </c>
      <c r="B696" s="116">
        <v>46200</v>
      </c>
      <c r="C696" s="418" t="s">
        <v>789</v>
      </c>
      <c r="D696" s="418" t="s">
        <v>790</v>
      </c>
      <c r="E696" s="123" t="s">
        <v>201</v>
      </c>
      <c r="F696" s="593">
        <f>576+24</f>
        <v>600</v>
      </c>
      <c r="G696" s="418" t="s">
        <v>341</v>
      </c>
      <c r="H696" s="118" t="str">
        <f>IFERROR(VLOOKUP(E696,名称!A:E,4,0),"")</f>
        <v>三代</v>
      </c>
      <c r="I696" s="418" t="str">
        <f t="shared" si="890"/>
        <v/>
      </c>
      <c r="J696" s="418" t="str">
        <f t="shared" si="891"/>
        <v/>
      </c>
      <c r="K696" s="418" t="str">
        <f t="shared" si="892"/>
        <v/>
      </c>
      <c r="L696" s="418" t="str">
        <f t="shared" si="893"/>
        <v/>
      </c>
      <c r="M696" s="418" t="str">
        <f t="shared" si="894"/>
        <v/>
      </c>
      <c r="N696" s="418" t="str">
        <f t="shared" si="895"/>
        <v/>
      </c>
      <c r="O696" s="418" t="str">
        <f t="shared" si="896"/>
        <v/>
      </c>
      <c r="P696" s="418" t="str">
        <f t="shared" si="897"/>
        <v/>
      </c>
      <c r="Q696" s="418" t="str">
        <f t="shared" si="898"/>
        <v/>
      </c>
      <c r="R696" s="418" t="str">
        <f t="shared" si="899"/>
        <v/>
      </c>
      <c r="S696" s="418" t="str">
        <f t="shared" si="900"/>
        <v/>
      </c>
      <c r="T696" s="418" t="str">
        <f t="shared" si="901"/>
        <v/>
      </c>
      <c r="U696" s="418" t="str">
        <f t="shared" si="902"/>
        <v/>
      </c>
      <c r="V696" s="418" t="str">
        <f t="shared" si="903"/>
        <v/>
      </c>
      <c r="W696" s="418" t="str">
        <f t="shared" si="904"/>
        <v/>
      </c>
      <c r="X696" s="418" t="str">
        <f t="shared" si="905"/>
        <v/>
      </c>
      <c r="Y696" s="418" t="str">
        <f t="shared" si="906"/>
        <v/>
      </c>
      <c r="Z696" s="418" t="str">
        <f t="shared" si="907"/>
        <v/>
      </c>
      <c r="AA696" s="418" t="str">
        <f t="shared" si="908"/>
        <v/>
      </c>
      <c r="AB696" s="418" t="str">
        <f t="shared" si="909"/>
        <v/>
      </c>
      <c r="AC696" s="418" t="str">
        <f t="shared" si="910"/>
        <v/>
      </c>
      <c r="AD696" s="418" t="str">
        <f t="shared" si="911"/>
        <v/>
      </c>
      <c r="AE696" s="418" t="str">
        <f t="shared" si="912"/>
        <v/>
      </c>
      <c r="AF696" s="418" t="str">
        <f t="shared" si="913"/>
        <v/>
      </c>
      <c r="AG696" s="418" t="str">
        <f t="shared" si="914"/>
        <v/>
      </c>
      <c r="AH696" s="418" t="str">
        <f t="shared" si="915"/>
        <v/>
      </c>
      <c r="AI696" s="418" t="str">
        <f t="shared" si="916"/>
        <v/>
      </c>
      <c r="AJ696" s="418" t="str">
        <f t="shared" si="917"/>
        <v/>
      </c>
      <c r="AK696" s="418" t="str">
        <f t="shared" si="918"/>
        <v/>
      </c>
      <c r="AL696" s="418" t="str">
        <f t="shared" si="919"/>
        <v/>
      </c>
      <c r="AM696" s="418" t="str">
        <f t="shared" si="920"/>
        <v/>
      </c>
      <c r="AN696" s="418" t="str">
        <f t="shared" si="921"/>
        <v/>
      </c>
      <c r="AO696" s="418" t="str">
        <f t="shared" si="922"/>
        <v/>
      </c>
      <c r="AP696" s="418" t="str">
        <f t="shared" si="923"/>
        <v/>
      </c>
      <c r="AQ696" s="418" t="str">
        <f t="shared" si="924"/>
        <v/>
      </c>
      <c r="AR696" s="418" t="str">
        <f t="shared" si="925"/>
        <v/>
      </c>
      <c r="AS696" s="418" t="str">
        <f t="shared" si="926"/>
        <v/>
      </c>
      <c r="AT696" s="418" t="str">
        <f t="shared" si="927"/>
        <v/>
      </c>
      <c r="AU696" s="418" t="str">
        <f t="shared" si="928"/>
        <v/>
      </c>
      <c r="AV696" s="418" t="str">
        <f t="shared" si="929"/>
        <v/>
      </c>
      <c r="AW696" s="418" t="str">
        <f t="shared" si="930"/>
        <v/>
      </c>
      <c r="AX696" s="418" t="str">
        <f t="shared" si="931"/>
        <v/>
      </c>
      <c r="AY696" s="418" t="str">
        <f t="shared" si="932"/>
        <v/>
      </c>
      <c r="AZ696" s="418" t="str">
        <f t="shared" si="933"/>
        <v/>
      </c>
      <c r="BA696" s="418" t="str">
        <f t="shared" si="934"/>
        <v/>
      </c>
      <c r="BB696" s="418" t="str">
        <f t="shared" si="935"/>
        <v/>
      </c>
      <c r="BC696" s="418" t="str">
        <f t="shared" si="936"/>
        <v/>
      </c>
      <c r="BD696" s="418" t="str">
        <f t="shared" si="937"/>
        <v/>
      </c>
      <c r="BE696" s="418" t="str">
        <f t="shared" si="938"/>
        <v/>
      </c>
      <c r="BF696" s="418" t="str">
        <f t="shared" si="939"/>
        <v/>
      </c>
      <c r="BG696" s="418" t="str">
        <f t="shared" si="940"/>
        <v/>
      </c>
      <c r="BH696" s="418" t="str">
        <f t="shared" si="941"/>
        <v/>
      </c>
      <c r="BI696" s="418" t="str">
        <f t="shared" si="942"/>
        <v/>
      </c>
      <c r="BJ696" s="418" t="str">
        <f t="shared" si="943"/>
        <v/>
      </c>
      <c r="BK696" s="418">
        <f t="shared" ref="BK696:BS696" si="973">IF(OR($E696="",BK$1=""),"",IF(TRIM(LEFT($E696,MIN(IFERROR(FIND("CDU",UPPER($E696)),999),IFERROR(FIND("BULK",UPPER($E696)),999),IFERROR(FIND("-",$E696),999),IFERROR(FIND("（",$E696),999))-1))=BK$1,$F696,""))</f>
        <v>600</v>
      </c>
      <c r="BL696" s="418" t="str">
        <f t="shared" si="973"/>
        <v/>
      </c>
      <c r="BM696" s="418" t="str">
        <f t="shared" si="973"/>
        <v/>
      </c>
      <c r="BN696" s="418" t="str">
        <f t="shared" si="973"/>
        <v/>
      </c>
      <c r="BO696" s="418" t="str">
        <f t="shared" si="973"/>
        <v/>
      </c>
      <c r="BP696" s="418" t="str">
        <f t="shared" si="973"/>
        <v/>
      </c>
      <c r="BQ696" s="418" t="str">
        <f t="shared" si="973"/>
        <v/>
      </c>
      <c r="BR696" s="418" t="str">
        <f t="shared" si="973"/>
        <v/>
      </c>
      <c r="BS696" s="418" t="str">
        <f t="shared" si="973"/>
        <v/>
      </c>
      <c r="BT696" s="418" t="str">
        <f t="shared" si="945"/>
        <v/>
      </c>
      <c r="BU696" s="418" t="str">
        <f t="shared" si="946"/>
        <v/>
      </c>
      <c r="BV696" s="544">
        <v>1.58</v>
      </c>
      <c r="BW696" s="723">
        <f t="shared" si="947"/>
        <v>948</v>
      </c>
      <c r="BX696" s="724">
        <f t="shared" si="948"/>
        <v>7347</v>
      </c>
      <c r="BY696" s="725" t="str">
        <f t="shared" si="949"/>
        <v>SR</v>
      </c>
    </row>
    <row r="697" s="697" customFormat="1" customHeight="1" spans="1:77">
      <c r="A697" s="116">
        <v>46139</v>
      </c>
      <c r="B697" s="116">
        <v>46200</v>
      </c>
      <c r="C697" s="418" t="s">
        <v>789</v>
      </c>
      <c r="D697" s="418" t="s">
        <v>790</v>
      </c>
      <c r="E697" s="418" t="s">
        <v>162</v>
      </c>
      <c r="F697" s="737">
        <v>1152</v>
      </c>
      <c r="G697" s="418" t="s">
        <v>341</v>
      </c>
      <c r="H697" s="118" t="str">
        <f>IFERROR(VLOOKUP(E697,名称!A:E,4,0),"")</f>
        <v>三代</v>
      </c>
      <c r="I697" s="418" t="str">
        <f t="shared" si="890"/>
        <v/>
      </c>
      <c r="J697" s="418" t="str">
        <f t="shared" si="891"/>
        <v/>
      </c>
      <c r="K697" s="418" t="str">
        <f t="shared" si="892"/>
        <v/>
      </c>
      <c r="L697" s="418" t="str">
        <f t="shared" si="893"/>
        <v/>
      </c>
      <c r="M697" s="418" t="str">
        <f t="shared" si="894"/>
        <v/>
      </c>
      <c r="N697" s="418" t="str">
        <f t="shared" si="895"/>
        <v/>
      </c>
      <c r="O697" s="418" t="str">
        <f t="shared" si="896"/>
        <v/>
      </c>
      <c r="P697" s="418" t="str">
        <f t="shared" si="897"/>
        <v/>
      </c>
      <c r="Q697" s="418" t="str">
        <f t="shared" si="898"/>
        <v/>
      </c>
      <c r="R697" s="418" t="str">
        <f t="shared" si="899"/>
        <v/>
      </c>
      <c r="S697" s="418" t="str">
        <f t="shared" si="900"/>
        <v/>
      </c>
      <c r="T697" s="418" t="str">
        <f t="shared" si="901"/>
        <v/>
      </c>
      <c r="U697" s="418" t="str">
        <f t="shared" si="902"/>
        <v/>
      </c>
      <c r="V697" s="418" t="str">
        <f t="shared" si="903"/>
        <v/>
      </c>
      <c r="W697" s="418" t="str">
        <f t="shared" si="904"/>
        <v/>
      </c>
      <c r="X697" s="418" t="str">
        <f t="shared" si="905"/>
        <v/>
      </c>
      <c r="Y697" s="418" t="str">
        <f t="shared" si="906"/>
        <v/>
      </c>
      <c r="Z697" s="418" t="str">
        <f t="shared" si="907"/>
        <v/>
      </c>
      <c r="AA697" s="418" t="str">
        <f t="shared" si="908"/>
        <v/>
      </c>
      <c r="AB697" s="418" t="str">
        <f t="shared" si="909"/>
        <v/>
      </c>
      <c r="AC697" s="418" t="str">
        <f t="shared" si="910"/>
        <v/>
      </c>
      <c r="AD697" s="418" t="str">
        <f t="shared" si="911"/>
        <v/>
      </c>
      <c r="AE697" s="418" t="str">
        <f t="shared" si="912"/>
        <v/>
      </c>
      <c r="AF697" s="418" t="str">
        <f t="shared" si="913"/>
        <v/>
      </c>
      <c r="AG697" s="418" t="str">
        <f t="shared" si="914"/>
        <v/>
      </c>
      <c r="AH697" s="418" t="str">
        <f t="shared" si="915"/>
        <v/>
      </c>
      <c r="AI697" s="418" t="str">
        <f t="shared" si="916"/>
        <v/>
      </c>
      <c r="AJ697" s="418" t="str">
        <f t="shared" si="917"/>
        <v/>
      </c>
      <c r="AK697" s="418" t="str">
        <f t="shared" si="918"/>
        <v/>
      </c>
      <c r="AL697" s="418" t="str">
        <f t="shared" si="919"/>
        <v/>
      </c>
      <c r="AM697" s="418" t="str">
        <f t="shared" si="920"/>
        <v/>
      </c>
      <c r="AN697" s="418" t="str">
        <f t="shared" si="921"/>
        <v/>
      </c>
      <c r="AO697" s="418" t="str">
        <f t="shared" si="922"/>
        <v/>
      </c>
      <c r="AP697" s="418" t="str">
        <f t="shared" si="923"/>
        <v/>
      </c>
      <c r="AQ697" s="418" t="str">
        <f t="shared" si="924"/>
        <v/>
      </c>
      <c r="AR697" s="418">
        <f t="shared" si="925"/>
        <v>1152</v>
      </c>
      <c r="AS697" s="418" t="str">
        <f t="shared" si="926"/>
        <v/>
      </c>
      <c r="AT697" s="418" t="str">
        <f t="shared" si="927"/>
        <v/>
      </c>
      <c r="AU697" s="418" t="str">
        <f t="shared" si="928"/>
        <v/>
      </c>
      <c r="AV697" s="418" t="str">
        <f t="shared" si="929"/>
        <v/>
      </c>
      <c r="AW697" s="418" t="str">
        <f t="shared" si="930"/>
        <v/>
      </c>
      <c r="AX697" s="418" t="str">
        <f t="shared" si="931"/>
        <v/>
      </c>
      <c r="AY697" s="418" t="str">
        <f t="shared" si="932"/>
        <v/>
      </c>
      <c r="AZ697" s="418" t="str">
        <f t="shared" si="933"/>
        <v/>
      </c>
      <c r="BA697" s="418" t="str">
        <f t="shared" si="934"/>
        <v/>
      </c>
      <c r="BB697" s="418" t="str">
        <f t="shared" si="935"/>
        <v/>
      </c>
      <c r="BC697" s="418" t="str">
        <f t="shared" si="936"/>
        <v/>
      </c>
      <c r="BD697" s="418" t="str">
        <f t="shared" si="937"/>
        <v/>
      </c>
      <c r="BE697" s="418" t="str">
        <f t="shared" si="938"/>
        <v/>
      </c>
      <c r="BF697" s="418" t="str">
        <f t="shared" si="939"/>
        <v/>
      </c>
      <c r="BG697" s="418" t="str">
        <f t="shared" si="940"/>
        <v/>
      </c>
      <c r="BH697" s="418" t="str">
        <f t="shared" si="941"/>
        <v/>
      </c>
      <c r="BI697" s="418" t="str">
        <f t="shared" si="942"/>
        <v/>
      </c>
      <c r="BJ697" s="418" t="str">
        <f t="shared" si="943"/>
        <v/>
      </c>
      <c r="BK697" s="418" t="str">
        <f t="shared" ref="BK697:BS697" si="974">IF(OR($E697="",BK$1=""),"",IF(TRIM(LEFT($E697,MIN(IFERROR(FIND("CDU",UPPER($E697)),999),IFERROR(FIND("BULK",UPPER($E697)),999),IFERROR(FIND("-",$E697),999),IFERROR(FIND("（",$E697),999))-1))=BK$1,$F697,""))</f>
        <v/>
      </c>
      <c r="BL697" s="418" t="str">
        <f t="shared" si="974"/>
        <v/>
      </c>
      <c r="BM697" s="418" t="str">
        <f t="shared" si="974"/>
        <v/>
      </c>
      <c r="BN697" s="418" t="str">
        <f t="shared" si="974"/>
        <v/>
      </c>
      <c r="BO697" s="418" t="str">
        <f t="shared" si="974"/>
        <v/>
      </c>
      <c r="BP697" s="418" t="str">
        <f t="shared" si="974"/>
        <v/>
      </c>
      <c r="BQ697" s="418" t="str">
        <f t="shared" si="974"/>
        <v/>
      </c>
      <c r="BR697" s="418" t="str">
        <f t="shared" si="974"/>
        <v/>
      </c>
      <c r="BS697" s="418" t="str">
        <f t="shared" si="974"/>
        <v/>
      </c>
      <c r="BT697" s="418" t="str">
        <f t="shared" si="945"/>
        <v/>
      </c>
      <c r="BU697" s="418" t="str">
        <f t="shared" si="946"/>
        <v/>
      </c>
      <c r="BV697" s="544">
        <v>1.27</v>
      </c>
      <c r="BW697" s="723">
        <f t="shared" si="947"/>
        <v>1463.04</v>
      </c>
      <c r="BX697" s="724">
        <f t="shared" si="948"/>
        <v>11338.56</v>
      </c>
      <c r="BY697" s="725" t="str">
        <f t="shared" si="949"/>
        <v>SR</v>
      </c>
    </row>
    <row r="698" s="697" customFormat="1" customHeight="1" spans="1:77">
      <c r="A698" s="116">
        <v>46139</v>
      </c>
      <c r="B698" s="116">
        <v>46200</v>
      </c>
      <c r="C698" s="418" t="s">
        <v>789</v>
      </c>
      <c r="D698" s="418" t="s">
        <v>790</v>
      </c>
      <c r="E698" s="418" t="s">
        <v>163</v>
      </c>
      <c r="F698" s="737">
        <v>1152</v>
      </c>
      <c r="G698" s="418" t="s">
        <v>341</v>
      </c>
      <c r="H698" s="118" t="str">
        <f>IFERROR(VLOOKUP(E698,名称!A:E,4,0),"")</f>
        <v>三代</v>
      </c>
      <c r="I698" s="418" t="str">
        <f t="shared" si="890"/>
        <v/>
      </c>
      <c r="J698" s="418" t="str">
        <f t="shared" si="891"/>
        <v/>
      </c>
      <c r="K698" s="418" t="str">
        <f t="shared" si="892"/>
        <v/>
      </c>
      <c r="L698" s="418" t="str">
        <f t="shared" si="893"/>
        <v/>
      </c>
      <c r="M698" s="418" t="str">
        <f t="shared" si="894"/>
        <v/>
      </c>
      <c r="N698" s="418" t="str">
        <f t="shared" si="895"/>
        <v/>
      </c>
      <c r="O698" s="418" t="str">
        <f t="shared" si="896"/>
        <v/>
      </c>
      <c r="P698" s="418" t="str">
        <f t="shared" si="897"/>
        <v/>
      </c>
      <c r="Q698" s="418" t="str">
        <f t="shared" si="898"/>
        <v/>
      </c>
      <c r="R698" s="418" t="str">
        <f t="shared" si="899"/>
        <v/>
      </c>
      <c r="S698" s="418" t="str">
        <f t="shared" si="900"/>
        <v/>
      </c>
      <c r="T698" s="418" t="str">
        <f t="shared" si="901"/>
        <v/>
      </c>
      <c r="U698" s="418" t="str">
        <f t="shared" si="902"/>
        <v/>
      </c>
      <c r="V698" s="418" t="str">
        <f t="shared" si="903"/>
        <v/>
      </c>
      <c r="W698" s="418" t="str">
        <f t="shared" si="904"/>
        <v/>
      </c>
      <c r="X698" s="418" t="str">
        <f t="shared" si="905"/>
        <v/>
      </c>
      <c r="Y698" s="418" t="str">
        <f t="shared" si="906"/>
        <v/>
      </c>
      <c r="Z698" s="418" t="str">
        <f t="shared" si="907"/>
        <v/>
      </c>
      <c r="AA698" s="418" t="str">
        <f t="shared" si="908"/>
        <v/>
      </c>
      <c r="AB698" s="418" t="str">
        <f t="shared" si="909"/>
        <v/>
      </c>
      <c r="AC698" s="418" t="str">
        <f t="shared" si="910"/>
        <v/>
      </c>
      <c r="AD698" s="418" t="str">
        <f t="shared" si="911"/>
        <v/>
      </c>
      <c r="AE698" s="418" t="str">
        <f t="shared" si="912"/>
        <v/>
      </c>
      <c r="AF698" s="418" t="str">
        <f t="shared" si="913"/>
        <v/>
      </c>
      <c r="AG698" s="418" t="str">
        <f t="shared" si="914"/>
        <v/>
      </c>
      <c r="AH698" s="418" t="str">
        <f t="shared" si="915"/>
        <v/>
      </c>
      <c r="AI698" s="418" t="str">
        <f t="shared" si="916"/>
        <v/>
      </c>
      <c r="AJ698" s="418" t="str">
        <f t="shared" si="917"/>
        <v/>
      </c>
      <c r="AK698" s="418" t="str">
        <f t="shared" si="918"/>
        <v/>
      </c>
      <c r="AL698" s="418" t="str">
        <f t="shared" si="919"/>
        <v/>
      </c>
      <c r="AM698" s="418" t="str">
        <f t="shared" si="920"/>
        <v/>
      </c>
      <c r="AN698" s="418" t="str">
        <f t="shared" si="921"/>
        <v/>
      </c>
      <c r="AO698" s="418" t="str">
        <f t="shared" si="922"/>
        <v/>
      </c>
      <c r="AP698" s="418" t="str">
        <f t="shared" si="923"/>
        <v/>
      </c>
      <c r="AQ698" s="418" t="str">
        <f t="shared" si="924"/>
        <v/>
      </c>
      <c r="AR698" s="418">
        <f t="shared" si="925"/>
        <v>1152</v>
      </c>
      <c r="AS698" s="418" t="str">
        <f t="shared" si="926"/>
        <v/>
      </c>
      <c r="AT698" s="418" t="str">
        <f t="shared" si="927"/>
        <v/>
      </c>
      <c r="AU698" s="418" t="str">
        <f t="shared" si="928"/>
        <v/>
      </c>
      <c r="AV698" s="418" t="str">
        <f t="shared" si="929"/>
        <v/>
      </c>
      <c r="AW698" s="418" t="str">
        <f t="shared" si="930"/>
        <v/>
      </c>
      <c r="AX698" s="418" t="str">
        <f t="shared" si="931"/>
        <v/>
      </c>
      <c r="AY698" s="418" t="str">
        <f t="shared" si="932"/>
        <v/>
      </c>
      <c r="AZ698" s="418" t="str">
        <f t="shared" si="933"/>
        <v/>
      </c>
      <c r="BA698" s="418" t="str">
        <f t="shared" si="934"/>
        <v/>
      </c>
      <c r="BB698" s="418" t="str">
        <f t="shared" si="935"/>
        <v/>
      </c>
      <c r="BC698" s="418" t="str">
        <f t="shared" si="936"/>
        <v/>
      </c>
      <c r="BD698" s="418" t="str">
        <f t="shared" si="937"/>
        <v/>
      </c>
      <c r="BE698" s="418" t="str">
        <f t="shared" si="938"/>
        <v/>
      </c>
      <c r="BF698" s="418" t="str">
        <f t="shared" si="939"/>
        <v/>
      </c>
      <c r="BG698" s="418" t="str">
        <f t="shared" si="940"/>
        <v/>
      </c>
      <c r="BH698" s="418" t="str">
        <f t="shared" si="941"/>
        <v/>
      </c>
      <c r="BI698" s="418" t="str">
        <f t="shared" si="942"/>
        <v/>
      </c>
      <c r="BJ698" s="418" t="str">
        <f t="shared" si="943"/>
        <v/>
      </c>
      <c r="BK698" s="418" t="str">
        <f t="shared" ref="BK698:BS698" si="975">IF(OR($E698="",BK$1=""),"",IF(TRIM(LEFT($E698,MIN(IFERROR(FIND("CDU",UPPER($E698)),999),IFERROR(FIND("BULK",UPPER($E698)),999),IFERROR(FIND("-",$E698),999),IFERROR(FIND("（",$E698),999))-1))=BK$1,$F698,""))</f>
        <v/>
      </c>
      <c r="BL698" s="418" t="str">
        <f t="shared" si="975"/>
        <v/>
      </c>
      <c r="BM698" s="418" t="str">
        <f t="shared" si="975"/>
        <v/>
      </c>
      <c r="BN698" s="418" t="str">
        <f t="shared" si="975"/>
        <v/>
      </c>
      <c r="BO698" s="418" t="str">
        <f t="shared" si="975"/>
        <v/>
      </c>
      <c r="BP698" s="418" t="str">
        <f t="shared" si="975"/>
        <v/>
      </c>
      <c r="BQ698" s="418" t="str">
        <f t="shared" si="975"/>
        <v/>
      </c>
      <c r="BR698" s="418" t="str">
        <f t="shared" si="975"/>
        <v/>
      </c>
      <c r="BS698" s="418" t="str">
        <f t="shared" si="975"/>
        <v/>
      </c>
      <c r="BT698" s="418" t="str">
        <f t="shared" si="945"/>
        <v/>
      </c>
      <c r="BU698" s="418" t="str">
        <f t="shared" si="946"/>
        <v/>
      </c>
      <c r="BV698" s="544">
        <v>1.27</v>
      </c>
      <c r="BW698" s="723">
        <f t="shared" si="947"/>
        <v>1463.04</v>
      </c>
      <c r="BX698" s="724">
        <f t="shared" si="948"/>
        <v>11338.56</v>
      </c>
      <c r="BY698" s="725" t="str">
        <f t="shared" si="949"/>
        <v>SR</v>
      </c>
    </row>
    <row r="699" s="697" customFormat="1" customHeight="1" spans="1:77">
      <c r="A699" s="116">
        <v>46139</v>
      </c>
      <c r="B699" s="116">
        <v>46200</v>
      </c>
      <c r="C699" s="418" t="s">
        <v>789</v>
      </c>
      <c r="D699" s="418" t="s">
        <v>790</v>
      </c>
      <c r="E699" s="418" t="s">
        <v>164</v>
      </c>
      <c r="F699" s="737">
        <v>1152</v>
      </c>
      <c r="G699" s="418" t="s">
        <v>341</v>
      </c>
      <c r="H699" s="118" t="str">
        <f>IFERROR(VLOOKUP(E699,名称!A:E,4,0),"")</f>
        <v>三代</v>
      </c>
      <c r="I699" s="418" t="str">
        <f t="shared" si="890"/>
        <v/>
      </c>
      <c r="J699" s="418" t="str">
        <f t="shared" si="891"/>
        <v/>
      </c>
      <c r="K699" s="418" t="str">
        <f t="shared" si="892"/>
        <v/>
      </c>
      <c r="L699" s="418" t="str">
        <f t="shared" si="893"/>
        <v/>
      </c>
      <c r="M699" s="418" t="str">
        <f t="shared" si="894"/>
        <v/>
      </c>
      <c r="N699" s="418" t="str">
        <f t="shared" si="895"/>
        <v/>
      </c>
      <c r="O699" s="418" t="str">
        <f t="shared" si="896"/>
        <v/>
      </c>
      <c r="P699" s="418" t="str">
        <f t="shared" si="897"/>
        <v/>
      </c>
      <c r="Q699" s="418" t="str">
        <f t="shared" si="898"/>
        <v/>
      </c>
      <c r="R699" s="418" t="str">
        <f t="shared" si="899"/>
        <v/>
      </c>
      <c r="S699" s="418" t="str">
        <f t="shared" si="900"/>
        <v/>
      </c>
      <c r="T699" s="418" t="str">
        <f t="shared" si="901"/>
        <v/>
      </c>
      <c r="U699" s="418" t="str">
        <f t="shared" si="902"/>
        <v/>
      </c>
      <c r="V699" s="418" t="str">
        <f t="shared" si="903"/>
        <v/>
      </c>
      <c r="W699" s="418" t="str">
        <f t="shared" si="904"/>
        <v/>
      </c>
      <c r="X699" s="418" t="str">
        <f t="shared" si="905"/>
        <v/>
      </c>
      <c r="Y699" s="418" t="str">
        <f t="shared" si="906"/>
        <v/>
      </c>
      <c r="Z699" s="418" t="str">
        <f t="shared" si="907"/>
        <v/>
      </c>
      <c r="AA699" s="418" t="str">
        <f t="shared" si="908"/>
        <v/>
      </c>
      <c r="AB699" s="418" t="str">
        <f t="shared" si="909"/>
        <v/>
      </c>
      <c r="AC699" s="418" t="str">
        <f t="shared" si="910"/>
        <v/>
      </c>
      <c r="AD699" s="418" t="str">
        <f t="shared" si="911"/>
        <v/>
      </c>
      <c r="AE699" s="418" t="str">
        <f t="shared" si="912"/>
        <v/>
      </c>
      <c r="AF699" s="418" t="str">
        <f t="shared" si="913"/>
        <v/>
      </c>
      <c r="AG699" s="418" t="str">
        <f t="shared" si="914"/>
        <v/>
      </c>
      <c r="AH699" s="418" t="str">
        <f t="shared" si="915"/>
        <v/>
      </c>
      <c r="AI699" s="418" t="str">
        <f t="shared" si="916"/>
        <v/>
      </c>
      <c r="AJ699" s="418" t="str">
        <f t="shared" si="917"/>
        <v/>
      </c>
      <c r="AK699" s="418" t="str">
        <f t="shared" si="918"/>
        <v/>
      </c>
      <c r="AL699" s="418" t="str">
        <f t="shared" si="919"/>
        <v/>
      </c>
      <c r="AM699" s="418" t="str">
        <f t="shared" si="920"/>
        <v/>
      </c>
      <c r="AN699" s="418" t="str">
        <f t="shared" si="921"/>
        <v/>
      </c>
      <c r="AO699" s="418" t="str">
        <f t="shared" si="922"/>
        <v/>
      </c>
      <c r="AP699" s="418" t="str">
        <f t="shared" si="923"/>
        <v/>
      </c>
      <c r="AQ699" s="418" t="str">
        <f t="shared" si="924"/>
        <v/>
      </c>
      <c r="AR699" s="418">
        <f t="shared" si="925"/>
        <v>1152</v>
      </c>
      <c r="AS699" s="418" t="str">
        <f t="shared" si="926"/>
        <v/>
      </c>
      <c r="AT699" s="418" t="str">
        <f t="shared" si="927"/>
        <v/>
      </c>
      <c r="AU699" s="418" t="str">
        <f t="shared" si="928"/>
        <v/>
      </c>
      <c r="AV699" s="418" t="str">
        <f t="shared" si="929"/>
        <v/>
      </c>
      <c r="AW699" s="418" t="str">
        <f t="shared" si="930"/>
        <v/>
      </c>
      <c r="AX699" s="418" t="str">
        <f t="shared" si="931"/>
        <v/>
      </c>
      <c r="AY699" s="418" t="str">
        <f t="shared" si="932"/>
        <v/>
      </c>
      <c r="AZ699" s="418" t="str">
        <f t="shared" si="933"/>
        <v/>
      </c>
      <c r="BA699" s="418" t="str">
        <f t="shared" si="934"/>
        <v/>
      </c>
      <c r="BB699" s="418" t="str">
        <f t="shared" si="935"/>
        <v/>
      </c>
      <c r="BC699" s="418" t="str">
        <f t="shared" si="936"/>
        <v/>
      </c>
      <c r="BD699" s="418" t="str">
        <f t="shared" si="937"/>
        <v/>
      </c>
      <c r="BE699" s="418" t="str">
        <f t="shared" si="938"/>
        <v/>
      </c>
      <c r="BF699" s="418" t="str">
        <f t="shared" si="939"/>
        <v/>
      </c>
      <c r="BG699" s="418" t="str">
        <f t="shared" si="940"/>
        <v/>
      </c>
      <c r="BH699" s="418" t="str">
        <f t="shared" si="941"/>
        <v/>
      </c>
      <c r="BI699" s="418" t="str">
        <f t="shared" si="942"/>
        <v/>
      </c>
      <c r="BJ699" s="418" t="str">
        <f t="shared" si="943"/>
        <v/>
      </c>
      <c r="BK699" s="418" t="str">
        <f t="shared" ref="BK699:BS699" si="976">IF(OR($E699="",BK$1=""),"",IF(TRIM(LEFT($E699,MIN(IFERROR(FIND("CDU",UPPER($E699)),999),IFERROR(FIND("BULK",UPPER($E699)),999),IFERROR(FIND("-",$E699),999),IFERROR(FIND("（",$E699),999))-1))=BK$1,$F699,""))</f>
        <v/>
      </c>
      <c r="BL699" s="418" t="str">
        <f t="shared" si="976"/>
        <v/>
      </c>
      <c r="BM699" s="418" t="str">
        <f t="shared" si="976"/>
        <v/>
      </c>
      <c r="BN699" s="418" t="str">
        <f t="shared" si="976"/>
        <v/>
      </c>
      <c r="BO699" s="418" t="str">
        <f t="shared" si="976"/>
        <v/>
      </c>
      <c r="BP699" s="418" t="str">
        <f t="shared" si="976"/>
        <v/>
      </c>
      <c r="BQ699" s="418" t="str">
        <f t="shared" si="976"/>
        <v/>
      </c>
      <c r="BR699" s="418" t="str">
        <f t="shared" si="976"/>
        <v/>
      </c>
      <c r="BS699" s="418" t="str">
        <f t="shared" si="976"/>
        <v/>
      </c>
      <c r="BT699" s="418" t="str">
        <f t="shared" si="945"/>
        <v/>
      </c>
      <c r="BU699" s="418" t="str">
        <f t="shared" si="946"/>
        <v/>
      </c>
      <c r="BV699" s="544">
        <v>1.27</v>
      </c>
      <c r="BW699" s="723">
        <f t="shared" si="947"/>
        <v>1463.04</v>
      </c>
      <c r="BX699" s="724">
        <f t="shared" si="948"/>
        <v>11338.56</v>
      </c>
      <c r="BY699" s="725" t="str">
        <f t="shared" si="949"/>
        <v>SR</v>
      </c>
    </row>
    <row r="700" s="697" customFormat="1" customHeight="1" spans="1:77">
      <c r="A700" s="116">
        <v>46139</v>
      </c>
      <c r="B700" s="116">
        <v>46200</v>
      </c>
      <c r="C700" s="418" t="s">
        <v>789</v>
      </c>
      <c r="D700" s="418" t="s">
        <v>790</v>
      </c>
      <c r="E700" s="418" t="s">
        <v>161</v>
      </c>
      <c r="F700" s="737">
        <v>378</v>
      </c>
      <c r="G700" s="418" t="s">
        <v>341</v>
      </c>
      <c r="H700" s="118" t="str">
        <f>IFERROR(VLOOKUP(E700,名称!A:E,4,0),"")</f>
        <v>三代</v>
      </c>
      <c r="I700" s="418" t="str">
        <f t="shared" si="890"/>
        <v/>
      </c>
      <c r="J700" s="418" t="str">
        <f t="shared" si="891"/>
        <v/>
      </c>
      <c r="K700" s="418" t="str">
        <f t="shared" si="892"/>
        <v/>
      </c>
      <c r="L700" s="418" t="str">
        <f t="shared" si="893"/>
        <v/>
      </c>
      <c r="M700" s="418" t="str">
        <f t="shared" si="894"/>
        <v/>
      </c>
      <c r="N700" s="418" t="str">
        <f t="shared" si="895"/>
        <v/>
      </c>
      <c r="O700" s="418" t="str">
        <f t="shared" si="896"/>
        <v/>
      </c>
      <c r="P700" s="418" t="str">
        <f t="shared" si="897"/>
        <v/>
      </c>
      <c r="Q700" s="418" t="str">
        <f t="shared" si="898"/>
        <v/>
      </c>
      <c r="R700" s="418" t="str">
        <f t="shared" si="899"/>
        <v/>
      </c>
      <c r="S700" s="418" t="str">
        <f t="shared" si="900"/>
        <v/>
      </c>
      <c r="T700" s="418" t="str">
        <f t="shared" si="901"/>
        <v/>
      </c>
      <c r="U700" s="418" t="str">
        <f t="shared" si="902"/>
        <v/>
      </c>
      <c r="V700" s="418" t="str">
        <f t="shared" si="903"/>
        <v/>
      </c>
      <c r="W700" s="418" t="str">
        <f t="shared" si="904"/>
        <v/>
      </c>
      <c r="X700" s="418" t="str">
        <f t="shared" si="905"/>
        <v/>
      </c>
      <c r="Y700" s="418" t="str">
        <f t="shared" si="906"/>
        <v/>
      </c>
      <c r="Z700" s="418" t="str">
        <f t="shared" si="907"/>
        <v/>
      </c>
      <c r="AA700" s="418" t="str">
        <f t="shared" si="908"/>
        <v/>
      </c>
      <c r="AB700" s="418" t="str">
        <f t="shared" si="909"/>
        <v/>
      </c>
      <c r="AC700" s="418" t="str">
        <f t="shared" si="910"/>
        <v/>
      </c>
      <c r="AD700" s="418" t="str">
        <f t="shared" si="911"/>
        <v/>
      </c>
      <c r="AE700" s="418" t="str">
        <f t="shared" si="912"/>
        <v/>
      </c>
      <c r="AF700" s="418" t="str">
        <f t="shared" si="913"/>
        <v/>
      </c>
      <c r="AG700" s="418" t="str">
        <f t="shared" si="914"/>
        <v/>
      </c>
      <c r="AH700" s="418" t="str">
        <f t="shared" si="915"/>
        <v/>
      </c>
      <c r="AI700" s="418" t="str">
        <f t="shared" si="916"/>
        <v/>
      </c>
      <c r="AJ700" s="418" t="str">
        <f t="shared" si="917"/>
        <v/>
      </c>
      <c r="AK700" s="418" t="str">
        <f t="shared" si="918"/>
        <v/>
      </c>
      <c r="AL700" s="418" t="str">
        <f t="shared" si="919"/>
        <v/>
      </c>
      <c r="AM700" s="418" t="str">
        <f t="shared" si="920"/>
        <v/>
      </c>
      <c r="AN700" s="418" t="str">
        <f t="shared" si="921"/>
        <v/>
      </c>
      <c r="AO700" s="418" t="str">
        <f t="shared" si="922"/>
        <v/>
      </c>
      <c r="AP700" s="418" t="str">
        <f t="shared" si="923"/>
        <v/>
      </c>
      <c r="AQ700" s="418">
        <f t="shared" si="924"/>
        <v>378</v>
      </c>
      <c r="AR700" s="418" t="str">
        <f t="shared" si="925"/>
        <v/>
      </c>
      <c r="AS700" s="418" t="str">
        <f t="shared" si="926"/>
        <v/>
      </c>
      <c r="AT700" s="418" t="str">
        <f t="shared" si="927"/>
        <v/>
      </c>
      <c r="AU700" s="418" t="str">
        <f t="shared" si="928"/>
        <v/>
      </c>
      <c r="AV700" s="418" t="str">
        <f t="shared" si="929"/>
        <v/>
      </c>
      <c r="AW700" s="418" t="str">
        <f t="shared" si="930"/>
        <v/>
      </c>
      <c r="AX700" s="418" t="str">
        <f t="shared" si="931"/>
        <v/>
      </c>
      <c r="AY700" s="418" t="str">
        <f t="shared" si="932"/>
        <v/>
      </c>
      <c r="AZ700" s="418" t="str">
        <f t="shared" si="933"/>
        <v/>
      </c>
      <c r="BA700" s="418" t="str">
        <f t="shared" si="934"/>
        <v/>
      </c>
      <c r="BB700" s="418" t="str">
        <f t="shared" si="935"/>
        <v/>
      </c>
      <c r="BC700" s="418" t="str">
        <f t="shared" si="936"/>
        <v/>
      </c>
      <c r="BD700" s="418" t="str">
        <f t="shared" si="937"/>
        <v/>
      </c>
      <c r="BE700" s="418" t="str">
        <f t="shared" si="938"/>
        <v/>
      </c>
      <c r="BF700" s="418" t="str">
        <f t="shared" si="939"/>
        <v/>
      </c>
      <c r="BG700" s="418" t="str">
        <f t="shared" si="940"/>
        <v/>
      </c>
      <c r="BH700" s="418" t="str">
        <f t="shared" si="941"/>
        <v/>
      </c>
      <c r="BI700" s="418" t="str">
        <f t="shared" si="942"/>
        <v/>
      </c>
      <c r="BJ700" s="418" t="str">
        <f t="shared" si="943"/>
        <v/>
      </c>
      <c r="BK700" s="418" t="str">
        <f t="shared" ref="BK700:BS700" si="977">IF(OR($E700="",BK$1=""),"",IF(TRIM(LEFT($E700,MIN(IFERROR(FIND("CDU",UPPER($E700)),999),IFERROR(FIND("BULK",UPPER($E700)),999),IFERROR(FIND("-",$E700),999),IFERROR(FIND("（",$E700),999))-1))=BK$1,$F700,""))</f>
        <v/>
      </c>
      <c r="BL700" s="418" t="str">
        <f t="shared" si="977"/>
        <v/>
      </c>
      <c r="BM700" s="418" t="str">
        <f t="shared" si="977"/>
        <v/>
      </c>
      <c r="BN700" s="418" t="str">
        <f t="shared" si="977"/>
        <v/>
      </c>
      <c r="BO700" s="418" t="str">
        <f t="shared" si="977"/>
        <v/>
      </c>
      <c r="BP700" s="418" t="str">
        <f t="shared" si="977"/>
        <v/>
      </c>
      <c r="BQ700" s="418" t="str">
        <f t="shared" si="977"/>
        <v/>
      </c>
      <c r="BR700" s="418" t="str">
        <f t="shared" si="977"/>
        <v/>
      </c>
      <c r="BS700" s="418" t="str">
        <f t="shared" si="977"/>
        <v/>
      </c>
      <c r="BT700" s="418" t="str">
        <f t="shared" si="945"/>
        <v/>
      </c>
      <c r="BU700" s="418" t="str">
        <f t="shared" si="946"/>
        <v/>
      </c>
      <c r="BV700" s="544">
        <v>9.15</v>
      </c>
      <c r="BW700" s="723">
        <f t="shared" si="947"/>
        <v>3458.7</v>
      </c>
      <c r="BX700" s="724">
        <f t="shared" si="948"/>
        <v>26804.93</v>
      </c>
      <c r="BY700" s="725" t="str">
        <f t="shared" si="949"/>
        <v>SR</v>
      </c>
    </row>
    <row r="701" s="697" customFormat="1" customHeight="1" spans="1:77">
      <c r="A701" s="116">
        <v>46139</v>
      </c>
      <c r="B701" s="116">
        <v>46200</v>
      </c>
      <c r="C701" s="418" t="s">
        <v>789</v>
      </c>
      <c r="D701" s="418" t="s">
        <v>790</v>
      </c>
      <c r="E701" s="418" t="s">
        <v>171</v>
      </c>
      <c r="F701" s="737">
        <v>720</v>
      </c>
      <c r="G701" s="418" t="s">
        <v>341</v>
      </c>
      <c r="H701" s="118" t="str">
        <f>IFERROR(VLOOKUP(E701,名称!A:E,4,0),"")</f>
        <v>三代</v>
      </c>
      <c r="I701" s="418" t="str">
        <f t="shared" si="890"/>
        <v/>
      </c>
      <c r="J701" s="418" t="str">
        <f t="shared" si="891"/>
        <v/>
      </c>
      <c r="K701" s="418" t="str">
        <f t="shared" si="892"/>
        <v/>
      </c>
      <c r="L701" s="418" t="str">
        <f t="shared" si="893"/>
        <v/>
      </c>
      <c r="M701" s="418" t="str">
        <f t="shared" si="894"/>
        <v/>
      </c>
      <c r="N701" s="418" t="str">
        <f t="shared" si="895"/>
        <v/>
      </c>
      <c r="O701" s="418" t="str">
        <f t="shared" si="896"/>
        <v/>
      </c>
      <c r="P701" s="418" t="str">
        <f t="shared" si="897"/>
        <v/>
      </c>
      <c r="Q701" s="418" t="str">
        <f t="shared" si="898"/>
        <v/>
      </c>
      <c r="R701" s="418" t="str">
        <f t="shared" si="899"/>
        <v/>
      </c>
      <c r="S701" s="418" t="str">
        <f t="shared" si="900"/>
        <v/>
      </c>
      <c r="T701" s="418" t="str">
        <f t="shared" si="901"/>
        <v/>
      </c>
      <c r="U701" s="418" t="str">
        <f t="shared" si="902"/>
        <v/>
      </c>
      <c r="V701" s="418" t="str">
        <f t="shared" si="903"/>
        <v/>
      </c>
      <c r="W701" s="418" t="str">
        <f t="shared" si="904"/>
        <v/>
      </c>
      <c r="X701" s="418" t="str">
        <f t="shared" si="905"/>
        <v/>
      </c>
      <c r="Y701" s="418" t="str">
        <f t="shared" si="906"/>
        <v/>
      </c>
      <c r="Z701" s="418" t="str">
        <f t="shared" si="907"/>
        <v/>
      </c>
      <c r="AA701" s="418" t="str">
        <f t="shared" si="908"/>
        <v/>
      </c>
      <c r="AB701" s="418" t="str">
        <f t="shared" si="909"/>
        <v/>
      </c>
      <c r="AC701" s="418" t="str">
        <f t="shared" si="910"/>
        <v/>
      </c>
      <c r="AD701" s="418" t="str">
        <f t="shared" si="911"/>
        <v/>
      </c>
      <c r="AE701" s="418" t="str">
        <f t="shared" si="912"/>
        <v/>
      </c>
      <c r="AF701" s="418" t="str">
        <f t="shared" si="913"/>
        <v/>
      </c>
      <c r="AG701" s="418" t="str">
        <f t="shared" si="914"/>
        <v/>
      </c>
      <c r="AH701" s="418" t="str">
        <f t="shared" si="915"/>
        <v/>
      </c>
      <c r="AI701" s="418" t="str">
        <f t="shared" si="916"/>
        <v/>
      </c>
      <c r="AJ701" s="418" t="str">
        <f t="shared" si="917"/>
        <v/>
      </c>
      <c r="AK701" s="418" t="str">
        <f t="shared" si="918"/>
        <v/>
      </c>
      <c r="AL701" s="418" t="str">
        <f t="shared" si="919"/>
        <v/>
      </c>
      <c r="AM701" s="418" t="str">
        <f t="shared" si="920"/>
        <v/>
      </c>
      <c r="AN701" s="418" t="str">
        <f t="shared" si="921"/>
        <v/>
      </c>
      <c r="AO701" s="418" t="str">
        <f t="shared" si="922"/>
        <v/>
      </c>
      <c r="AP701" s="418" t="str">
        <f t="shared" si="923"/>
        <v/>
      </c>
      <c r="AQ701" s="418" t="str">
        <f t="shared" si="924"/>
        <v/>
      </c>
      <c r="AR701" s="418" t="str">
        <f t="shared" si="925"/>
        <v/>
      </c>
      <c r="AS701" s="418" t="str">
        <f t="shared" si="926"/>
        <v/>
      </c>
      <c r="AT701" s="418" t="str">
        <f t="shared" si="927"/>
        <v/>
      </c>
      <c r="AU701" s="418" t="str">
        <f t="shared" si="928"/>
        <v/>
      </c>
      <c r="AV701" s="418" t="str">
        <f t="shared" si="929"/>
        <v/>
      </c>
      <c r="AW701" s="418" t="str">
        <f t="shared" si="930"/>
        <v/>
      </c>
      <c r="AX701" s="418">
        <f t="shared" si="931"/>
        <v>720</v>
      </c>
      <c r="AY701" s="418" t="str">
        <f t="shared" si="932"/>
        <v/>
      </c>
      <c r="AZ701" s="418" t="str">
        <f t="shared" si="933"/>
        <v/>
      </c>
      <c r="BA701" s="418" t="str">
        <f t="shared" si="934"/>
        <v/>
      </c>
      <c r="BB701" s="418" t="str">
        <f t="shared" si="935"/>
        <v/>
      </c>
      <c r="BC701" s="418" t="str">
        <f t="shared" si="936"/>
        <v/>
      </c>
      <c r="BD701" s="418" t="str">
        <f t="shared" si="937"/>
        <v/>
      </c>
      <c r="BE701" s="418" t="str">
        <f t="shared" si="938"/>
        <v/>
      </c>
      <c r="BF701" s="418" t="str">
        <f t="shared" si="939"/>
        <v/>
      </c>
      <c r="BG701" s="418" t="str">
        <f t="shared" si="940"/>
        <v/>
      </c>
      <c r="BH701" s="418" t="str">
        <f t="shared" si="941"/>
        <v/>
      </c>
      <c r="BI701" s="418" t="str">
        <f t="shared" si="942"/>
        <v/>
      </c>
      <c r="BJ701" s="418" t="str">
        <f t="shared" si="943"/>
        <v/>
      </c>
      <c r="BK701" s="418" t="str">
        <f t="shared" ref="BK701:BS701" si="978">IF(OR($E701="",BK$1=""),"",IF(TRIM(LEFT($E701,MIN(IFERROR(FIND("CDU",UPPER($E701)),999),IFERROR(FIND("BULK",UPPER($E701)),999),IFERROR(FIND("-",$E701),999),IFERROR(FIND("（",$E701),999))-1))=BK$1,$F701,""))</f>
        <v/>
      </c>
      <c r="BL701" s="418" t="str">
        <f t="shared" si="978"/>
        <v/>
      </c>
      <c r="BM701" s="418" t="str">
        <f t="shared" si="978"/>
        <v/>
      </c>
      <c r="BN701" s="418" t="str">
        <f t="shared" si="978"/>
        <v/>
      </c>
      <c r="BO701" s="418" t="str">
        <f t="shared" si="978"/>
        <v/>
      </c>
      <c r="BP701" s="418" t="str">
        <f t="shared" si="978"/>
        <v/>
      </c>
      <c r="BQ701" s="418" t="str">
        <f t="shared" si="978"/>
        <v/>
      </c>
      <c r="BR701" s="418" t="str">
        <f t="shared" si="978"/>
        <v/>
      </c>
      <c r="BS701" s="418" t="str">
        <f t="shared" si="978"/>
        <v/>
      </c>
      <c r="BT701" s="418" t="str">
        <f t="shared" si="945"/>
        <v/>
      </c>
      <c r="BU701" s="418" t="str">
        <f t="shared" si="946"/>
        <v/>
      </c>
      <c r="BV701" s="544">
        <v>0.64</v>
      </c>
      <c r="BW701" s="723">
        <f t="shared" si="947"/>
        <v>460.8</v>
      </c>
      <c r="BX701" s="724">
        <f t="shared" si="948"/>
        <v>3571.2</v>
      </c>
      <c r="BY701" s="725" t="str">
        <f t="shared" si="949"/>
        <v>SR</v>
      </c>
    </row>
    <row r="702" s="697" customFormat="1" customHeight="1" spans="1:77">
      <c r="A702" s="116">
        <v>46139</v>
      </c>
      <c r="B702" s="116">
        <v>46200</v>
      </c>
      <c r="C702" s="418" t="s">
        <v>789</v>
      </c>
      <c r="D702" s="418" t="s">
        <v>790</v>
      </c>
      <c r="E702" s="418" t="s">
        <v>172</v>
      </c>
      <c r="F702" s="737">
        <v>720</v>
      </c>
      <c r="G702" s="418" t="s">
        <v>341</v>
      </c>
      <c r="H702" s="118" t="str">
        <f>IFERROR(VLOOKUP(E702,名称!A:E,4,0),"")</f>
        <v>三代</v>
      </c>
      <c r="I702" s="418" t="str">
        <f t="shared" si="890"/>
        <v/>
      </c>
      <c r="J702" s="418" t="str">
        <f t="shared" si="891"/>
        <v/>
      </c>
      <c r="K702" s="418" t="str">
        <f t="shared" si="892"/>
        <v/>
      </c>
      <c r="L702" s="418" t="str">
        <f t="shared" si="893"/>
        <v/>
      </c>
      <c r="M702" s="418" t="str">
        <f t="shared" si="894"/>
        <v/>
      </c>
      <c r="N702" s="418" t="str">
        <f t="shared" si="895"/>
        <v/>
      </c>
      <c r="O702" s="418" t="str">
        <f t="shared" si="896"/>
        <v/>
      </c>
      <c r="P702" s="418" t="str">
        <f t="shared" si="897"/>
        <v/>
      </c>
      <c r="Q702" s="418" t="str">
        <f t="shared" si="898"/>
        <v/>
      </c>
      <c r="R702" s="418" t="str">
        <f t="shared" si="899"/>
        <v/>
      </c>
      <c r="S702" s="418" t="str">
        <f t="shared" si="900"/>
        <v/>
      </c>
      <c r="T702" s="418" t="str">
        <f t="shared" si="901"/>
        <v/>
      </c>
      <c r="U702" s="418" t="str">
        <f t="shared" si="902"/>
        <v/>
      </c>
      <c r="V702" s="418" t="str">
        <f t="shared" si="903"/>
        <v/>
      </c>
      <c r="W702" s="418" t="str">
        <f t="shared" si="904"/>
        <v/>
      </c>
      <c r="X702" s="418" t="str">
        <f t="shared" si="905"/>
        <v/>
      </c>
      <c r="Y702" s="418" t="str">
        <f t="shared" si="906"/>
        <v/>
      </c>
      <c r="Z702" s="418" t="str">
        <f t="shared" si="907"/>
        <v/>
      </c>
      <c r="AA702" s="418" t="str">
        <f t="shared" si="908"/>
        <v/>
      </c>
      <c r="AB702" s="418" t="str">
        <f t="shared" si="909"/>
        <v/>
      </c>
      <c r="AC702" s="418" t="str">
        <f t="shared" si="910"/>
        <v/>
      </c>
      <c r="AD702" s="418" t="str">
        <f t="shared" si="911"/>
        <v/>
      </c>
      <c r="AE702" s="418" t="str">
        <f t="shared" si="912"/>
        <v/>
      </c>
      <c r="AF702" s="418" t="str">
        <f t="shared" si="913"/>
        <v/>
      </c>
      <c r="AG702" s="418" t="str">
        <f t="shared" si="914"/>
        <v/>
      </c>
      <c r="AH702" s="418" t="str">
        <f t="shared" si="915"/>
        <v/>
      </c>
      <c r="AI702" s="418" t="str">
        <f t="shared" si="916"/>
        <v/>
      </c>
      <c r="AJ702" s="418" t="str">
        <f t="shared" si="917"/>
        <v/>
      </c>
      <c r="AK702" s="418" t="str">
        <f t="shared" si="918"/>
        <v/>
      </c>
      <c r="AL702" s="418" t="str">
        <f t="shared" si="919"/>
        <v/>
      </c>
      <c r="AM702" s="418" t="str">
        <f t="shared" si="920"/>
        <v/>
      </c>
      <c r="AN702" s="418" t="str">
        <f t="shared" si="921"/>
        <v/>
      </c>
      <c r="AO702" s="418" t="str">
        <f t="shared" si="922"/>
        <v/>
      </c>
      <c r="AP702" s="418" t="str">
        <f t="shared" si="923"/>
        <v/>
      </c>
      <c r="AQ702" s="418" t="str">
        <f t="shared" si="924"/>
        <v/>
      </c>
      <c r="AR702" s="418" t="str">
        <f t="shared" si="925"/>
        <v/>
      </c>
      <c r="AS702" s="418" t="str">
        <f t="shared" si="926"/>
        <v/>
      </c>
      <c r="AT702" s="418" t="str">
        <f t="shared" si="927"/>
        <v/>
      </c>
      <c r="AU702" s="418" t="str">
        <f t="shared" si="928"/>
        <v/>
      </c>
      <c r="AV702" s="418" t="str">
        <f t="shared" si="929"/>
        <v/>
      </c>
      <c r="AW702" s="418" t="str">
        <f t="shared" si="930"/>
        <v/>
      </c>
      <c r="AX702" s="418">
        <f t="shared" si="931"/>
        <v>720</v>
      </c>
      <c r="AY702" s="418" t="str">
        <f t="shared" si="932"/>
        <v/>
      </c>
      <c r="AZ702" s="418" t="str">
        <f t="shared" si="933"/>
        <v/>
      </c>
      <c r="BA702" s="418" t="str">
        <f t="shared" si="934"/>
        <v/>
      </c>
      <c r="BB702" s="418" t="str">
        <f t="shared" si="935"/>
        <v/>
      </c>
      <c r="BC702" s="418" t="str">
        <f t="shared" si="936"/>
        <v/>
      </c>
      <c r="BD702" s="418" t="str">
        <f t="shared" si="937"/>
        <v/>
      </c>
      <c r="BE702" s="418" t="str">
        <f t="shared" si="938"/>
        <v/>
      </c>
      <c r="BF702" s="418" t="str">
        <f t="shared" si="939"/>
        <v/>
      </c>
      <c r="BG702" s="418" t="str">
        <f t="shared" si="940"/>
        <v/>
      </c>
      <c r="BH702" s="418" t="str">
        <f t="shared" si="941"/>
        <v/>
      </c>
      <c r="BI702" s="418" t="str">
        <f t="shared" si="942"/>
        <v/>
      </c>
      <c r="BJ702" s="418" t="str">
        <f t="shared" si="943"/>
        <v/>
      </c>
      <c r="BK702" s="418" t="str">
        <f t="shared" ref="BK702:BS702" si="979">IF(OR($E702="",BK$1=""),"",IF(TRIM(LEFT($E702,MIN(IFERROR(FIND("CDU",UPPER($E702)),999),IFERROR(FIND("BULK",UPPER($E702)),999),IFERROR(FIND("-",$E702),999),IFERROR(FIND("（",$E702),999))-1))=BK$1,$F702,""))</f>
        <v/>
      </c>
      <c r="BL702" s="418" t="str">
        <f t="shared" si="979"/>
        <v/>
      </c>
      <c r="BM702" s="418" t="str">
        <f t="shared" si="979"/>
        <v/>
      </c>
      <c r="BN702" s="418" t="str">
        <f t="shared" si="979"/>
        <v/>
      </c>
      <c r="BO702" s="418" t="str">
        <f t="shared" si="979"/>
        <v/>
      </c>
      <c r="BP702" s="418" t="str">
        <f t="shared" si="979"/>
        <v/>
      </c>
      <c r="BQ702" s="418" t="str">
        <f t="shared" si="979"/>
        <v/>
      </c>
      <c r="BR702" s="418" t="str">
        <f t="shared" si="979"/>
        <v/>
      </c>
      <c r="BS702" s="418" t="str">
        <f t="shared" si="979"/>
        <v/>
      </c>
      <c r="BT702" s="418" t="str">
        <f t="shared" si="945"/>
        <v/>
      </c>
      <c r="BU702" s="418" t="str">
        <f t="shared" si="946"/>
        <v/>
      </c>
      <c r="BV702" s="544">
        <v>0.64</v>
      </c>
      <c r="BW702" s="723">
        <f t="shared" si="947"/>
        <v>460.8</v>
      </c>
      <c r="BX702" s="724">
        <f t="shared" si="948"/>
        <v>3571.2</v>
      </c>
      <c r="BY702" s="725" t="str">
        <f t="shared" si="949"/>
        <v>SR</v>
      </c>
    </row>
    <row r="703" s="697" customFormat="1" customHeight="1" spans="1:77">
      <c r="A703" s="116">
        <v>46139</v>
      </c>
      <c r="B703" s="116">
        <v>46200</v>
      </c>
      <c r="C703" s="418" t="s">
        <v>789</v>
      </c>
      <c r="D703" s="418" t="s">
        <v>790</v>
      </c>
      <c r="E703" s="418" t="s">
        <v>173</v>
      </c>
      <c r="F703" s="737">
        <v>720</v>
      </c>
      <c r="G703" s="418" t="s">
        <v>341</v>
      </c>
      <c r="H703" s="118" t="str">
        <f>IFERROR(VLOOKUP(E703,名称!A:E,4,0),"")</f>
        <v>三代</v>
      </c>
      <c r="I703" s="418" t="str">
        <f t="shared" si="890"/>
        <v/>
      </c>
      <c r="J703" s="418" t="str">
        <f t="shared" si="891"/>
        <v/>
      </c>
      <c r="K703" s="418" t="str">
        <f t="shared" si="892"/>
        <v/>
      </c>
      <c r="L703" s="418" t="str">
        <f t="shared" si="893"/>
        <v/>
      </c>
      <c r="M703" s="418" t="str">
        <f t="shared" si="894"/>
        <v/>
      </c>
      <c r="N703" s="418" t="str">
        <f t="shared" si="895"/>
        <v/>
      </c>
      <c r="O703" s="418" t="str">
        <f t="shared" si="896"/>
        <v/>
      </c>
      <c r="P703" s="418" t="str">
        <f t="shared" si="897"/>
        <v/>
      </c>
      <c r="Q703" s="418" t="str">
        <f t="shared" si="898"/>
        <v/>
      </c>
      <c r="R703" s="418" t="str">
        <f t="shared" si="899"/>
        <v/>
      </c>
      <c r="S703" s="418" t="str">
        <f t="shared" si="900"/>
        <v/>
      </c>
      <c r="T703" s="418" t="str">
        <f t="shared" si="901"/>
        <v/>
      </c>
      <c r="U703" s="418" t="str">
        <f t="shared" si="902"/>
        <v/>
      </c>
      <c r="V703" s="418" t="str">
        <f t="shared" si="903"/>
        <v/>
      </c>
      <c r="W703" s="418" t="str">
        <f t="shared" si="904"/>
        <v/>
      </c>
      <c r="X703" s="418" t="str">
        <f t="shared" si="905"/>
        <v/>
      </c>
      <c r="Y703" s="418" t="str">
        <f t="shared" si="906"/>
        <v/>
      </c>
      <c r="Z703" s="418" t="str">
        <f t="shared" si="907"/>
        <v/>
      </c>
      <c r="AA703" s="418" t="str">
        <f t="shared" si="908"/>
        <v/>
      </c>
      <c r="AB703" s="418" t="str">
        <f t="shared" si="909"/>
        <v/>
      </c>
      <c r="AC703" s="418" t="str">
        <f t="shared" si="910"/>
        <v/>
      </c>
      <c r="AD703" s="418" t="str">
        <f t="shared" si="911"/>
        <v/>
      </c>
      <c r="AE703" s="418" t="str">
        <f t="shared" si="912"/>
        <v/>
      </c>
      <c r="AF703" s="418" t="str">
        <f t="shared" si="913"/>
        <v/>
      </c>
      <c r="AG703" s="418" t="str">
        <f t="shared" si="914"/>
        <v/>
      </c>
      <c r="AH703" s="418" t="str">
        <f t="shared" si="915"/>
        <v/>
      </c>
      <c r="AI703" s="418" t="str">
        <f t="shared" si="916"/>
        <v/>
      </c>
      <c r="AJ703" s="418" t="str">
        <f t="shared" si="917"/>
        <v/>
      </c>
      <c r="AK703" s="418" t="str">
        <f t="shared" si="918"/>
        <v/>
      </c>
      <c r="AL703" s="418" t="str">
        <f t="shared" si="919"/>
        <v/>
      </c>
      <c r="AM703" s="418" t="str">
        <f t="shared" si="920"/>
        <v/>
      </c>
      <c r="AN703" s="418" t="str">
        <f t="shared" si="921"/>
        <v/>
      </c>
      <c r="AO703" s="418" t="str">
        <f t="shared" si="922"/>
        <v/>
      </c>
      <c r="AP703" s="418" t="str">
        <f t="shared" si="923"/>
        <v/>
      </c>
      <c r="AQ703" s="418" t="str">
        <f t="shared" si="924"/>
        <v/>
      </c>
      <c r="AR703" s="418" t="str">
        <f t="shared" si="925"/>
        <v/>
      </c>
      <c r="AS703" s="418" t="str">
        <f t="shared" si="926"/>
        <v/>
      </c>
      <c r="AT703" s="418" t="str">
        <f t="shared" si="927"/>
        <v/>
      </c>
      <c r="AU703" s="418" t="str">
        <f t="shared" si="928"/>
        <v/>
      </c>
      <c r="AV703" s="418" t="str">
        <f t="shared" si="929"/>
        <v/>
      </c>
      <c r="AW703" s="418" t="str">
        <f t="shared" si="930"/>
        <v/>
      </c>
      <c r="AX703" s="418">
        <f t="shared" si="931"/>
        <v>720</v>
      </c>
      <c r="AY703" s="418" t="str">
        <f t="shared" si="932"/>
        <v/>
      </c>
      <c r="AZ703" s="418" t="str">
        <f t="shared" si="933"/>
        <v/>
      </c>
      <c r="BA703" s="418" t="str">
        <f t="shared" si="934"/>
        <v/>
      </c>
      <c r="BB703" s="418" t="str">
        <f t="shared" si="935"/>
        <v/>
      </c>
      <c r="BC703" s="418" t="str">
        <f t="shared" si="936"/>
        <v/>
      </c>
      <c r="BD703" s="418" t="str">
        <f t="shared" si="937"/>
        <v/>
      </c>
      <c r="BE703" s="418" t="str">
        <f t="shared" si="938"/>
        <v/>
      </c>
      <c r="BF703" s="418" t="str">
        <f t="shared" si="939"/>
        <v/>
      </c>
      <c r="BG703" s="418" t="str">
        <f t="shared" si="940"/>
        <v/>
      </c>
      <c r="BH703" s="418" t="str">
        <f t="shared" si="941"/>
        <v/>
      </c>
      <c r="BI703" s="418" t="str">
        <f t="shared" si="942"/>
        <v/>
      </c>
      <c r="BJ703" s="418" t="str">
        <f t="shared" si="943"/>
        <v/>
      </c>
      <c r="BK703" s="418" t="str">
        <f t="shared" ref="BK703:BS703" si="980">IF(OR($E703="",BK$1=""),"",IF(TRIM(LEFT($E703,MIN(IFERROR(FIND("CDU",UPPER($E703)),999),IFERROR(FIND("BULK",UPPER($E703)),999),IFERROR(FIND("-",$E703),999),IFERROR(FIND("（",$E703),999))-1))=BK$1,$F703,""))</f>
        <v/>
      </c>
      <c r="BL703" s="418" t="str">
        <f t="shared" si="980"/>
        <v/>
      </c>
      <c r="BM703" s="418" t="str">
        <f t="shared" si="980"/>
        <v/>
      </c>
      <c r="BN703" s="418" t="str">
        <f t="shared" si="980"/>
        <v/>
      </c>
      <c r="BO703" s="418" t="str">
        <f t="shared" si="980"/>
        <v/>
      </c>
      <c r="BP703" s="418" t="str">
        <f t="shared" si="980"/>
        <v/>
      </c>
      <c r="BQ703" s="418" t="str">
        <f t="shared" si="980"/>
        <v/>
      </c>
      <c r="BR703" s="418" t="str">
        <f t="shared" si="980"/>
        <v/>
      </c>
      <c r="BS703" s="418" t="str">
        <f t="shared" si="980"/>
        <v/>
      </c>
      <c r="BT703" s="418" t="str">
        <f t="shared" si="945"/>
        <v/>
      </c>
      <c r="BU703" s="418" t="str">
        <f t="shared" si="946"/>
        <v/>
      </c>
      <c r="BV703" s="544">
        <v>0.64</v>
      </c>
      <c r="BW703" s="723">
        <f t="shared" si="947"/>
        <v>460.8</v>
      </c>
      <c r="BX703" s="724">
        <f t="shared" si="948"/>
        <v>3571.2</v>
      </c>
      <c r="BY703" s="725" t="str">
        <f t="shared" si="949"/>
        <v>SR</v>
      </c>
    </row>
    <row r="704" s="697" customFormat="1" customHeight="1" spans="1:77">
      <c r="A704" s="116">
        <v>46139</v>
      </c>
      <c r="B704" s="116">
        <v>46200</v>
      </c>
      <c r="C704" s="418" t="s">
        <v>789</v>
      </c>
      <c r="D704" s="418" t="s">
        <v>790</v>
      </c>
      <c r="E704" s="418" t="s">
        <v>174</v>
      </c>
      <c r="F704" s="737">
        <v>720</v>
      </c>
      <c r="G704" s="418" t="s">
        <v>341</v>
      </c>
      <c r="H704" s="118" t="str">
        <f>IFERROR(VLOOKUP(E704,名称!A:E,4,0),"")</f>
        <v>三代</v>
      </c>
      <c r="I704" s="418" t="str">
        <f t="shared" si="890"/>
        <v/>
      </c>
      <c r="J704" s="418" t="str">
        <f t="shared" si="891"/>
        <v/>
      </c>
      <c r="K704" s="418" t="str">
        <f t="shared" si="892"/>
        <v/>
      </c>
      <c r="L704" s="418" t="str">
        <f t="shared" si="893"/>
        <v/>
      </c>
      <c r="M704" s="418" t="str">
        <f t="shared" si="894"/>
        <v/>
      </c>
      <c r="N704" s="418" t="str">
        <f t="shared" si="895"/>
        <v/>
      </c>
      <c r="O704" s="418" t="str">
        <f t="shared" si="896"/>
        <v/>
      </c>
      <c r="P704" s="418" t="str">
        <f t="shared" si="897"/>
        <v/>
      </c>
      <c r="Q704" s="418" t="str">
        <f t="shared" si="898"/>
        <v/>
      </c>
      <c r="R704" s="418" t="str">
        <f t="shared" si="899"/>
        <v/>
      </c>
      <c r="S704" s="418" t="str">
        <f t="shared" si="900"/>
        <v/>
      </c>
      <c r="T704" s="418" t="str">
        <f t="shared" si="901"/>
        <v/>
      </c>
      <c r="U704" s="418" t="str">
        <f t="shared" si="902"/>
        <v/>
      </c>
      <c r="V704" s="418" t="str">
        <f t="shared" si="903"/>
        <v/>
      </c>
      <c r="W704" s="418" t="str">
        <f t="shared" si="904"/>
        <v/>
      </c>
      <c r="X704" s="418" t="str">
        <f t="shared" si="905"/>
        <v/>
      </c>
      <c r="Y704" s="418" t="str">
        <f t="shared" si="906"/>
        <v/>
      </c>
      <c r="Z704" s="418" t="str">
        <f t="shared" si="907"/>
        <v/>
      </c>
      <c r="AA704" s="418" t="str">
        <f t="shared" si="908"/>
        <v/>
      </c>
      <c r="AB704" s="418" t="str">
        <f t="shared" si="909"/>
        <v/>
      </c>
      <c r="AC704" s="418" t="str">
        <f t="shared" si="910"/>
        <v/>
      </c>
      <c r="AD704" s="418" t="str">
        <f t="shared" si="911"/>
        <v/>
      </c>
      <c r="AE704" s="418" t="str">
        <f t="shared" si="912"/>
        <v/>
      </c>
      <c r="AF704" s="418" t="str">
        <f t="shared" si="913"/>
        <v/>
      </c>
      <c r="AG704" s="418" t="str">
        <f t="shared" si="914"/>
        <v/>
      </c>
      <c r="AH704" s="418" t="str">
        <f t="shared" si="915"/>
        <v/>
      </c>
      <c r="AI704" s="418" t="str">
        <f t="shared" si="916"/>
        <v/>
      </c>
      <c r="AJ704" s="418" t="str">
        <f t="shared" si="917"/>
        <v/>
      </c>
      <c r="AK704" s="418" t="str">
        <f t="shared" si="918"/>
        <v/>
      </c>
      <c r="AL704" s="418" t="str">
        <f t="shared" si="919"/>
        <v/>
      </c>
      <c r="AM704" s="418" t="str">
        <f t="shared" si="920"/>
        <v/>
      </c>
      <c r="AN704" s="418" t="str">
        <f t="shared" si="921"/>
        <v/>
      </c>
      <c r="AO704" s="418" t="str">
        <f t="shared" si="922"/>
        <v/>
      </c>
      <c r="AP704" s="418" t="str">
        <f t="shared" si="923"/>
        <v/>
      </c>
      <c r="AQ704" s="418" t="str">
        <f t="shared" si="924"/>
        <v/>
      </c>
      <c r="AR704" s="418" t="str">
        <f t="shared" si="925"/>
        <v/>
      </c>
      <c r="AS704" s="418" t="str">
        <f t="shared" si="926"/>
        <v/>
      </c>
      <c r="AT704" s="418" t="str">
        <f t="shared" si="927"/>
        <v/>
      </c>
      <c r="AU704" s="418" t="str">
        <f t="shared" si="928"/>
        <v/>
      </c>
      <c r="AV704" s="418" t="str">
        <f t="shared" si="929"/>
        <v/>
      </c>
      <c r="AW704" s="418" t="str">
        <f t="shared" si="930"/>
        <v/>
      </c>
      <c r="AX704" s="418" t="str">
        <f t="shared" si="931"/>
        <v/>
      </c>
      <c r="AY704" s="418" t="str">
        <f t="shared" si="932"/>
        <v/>
      </c>
      <c r="AZ704" s="418">
        <f t="shared" si="933"/>
        <v>720</v>
      </c>
      <c r="BA704" s="418" t="str">
        <f t="shared" si="934"/>
        <v/>
      </c>
      <c r="BB704" s="418" t="str">
        <f t="shared" si="935"/>
        <v/>
      </c>
      <c r="BC704" s="418" t="str">
        <f t="shared" si="936"/>
        <v/>
      </c>
      <c r="BD704" s="418" t="str">
        <f t="shared" si="937"/>
        <v/>
      </c>
      <c r="BE704" s="418" t="str">
        <f t="shared" si="938"/>
        <v/>
      </c>
      <c r="BF704" s="418" t="str">
        <f t="shared" si="939"/>
        <v/>
      </c>
      <c r="BG704" s="418" t="str">
        <f t="shared" si="940"/>
        <v/>
      </c>
      <c r="BH704" s="418" t="str">
        <f t="shared" si="941"/>
        <v/>
      </c>
      <c r="BI704" s="418" t="str">
        <f t="shared" si="942"/>
        <v/>
      </c>
      <c r="BJ704" s="418" t="str">
        <f t="shared" si="943"/>
        <v/>
      </c>
      <c r="BK704" s="418" t="str">
        <f t="shared" ref="BK704:BS704" si="981">IF(OR($E704="",BK$1=""),"",IF(TRIM(LEFT($E704,MIN(IFERROR(FIND("CDU",UPPER($E704)),999),IFERROR(FIND("BULK",UPPER($E704)),999),IFERROR(FIND("-",$E704),999),IFERROR(FIND("（",$E704),999))-1))=BK$1,$F704,""))</f>
        <v/>
      </c>
      <c r="BL704" s="418" t="str">
        <f t="shared" si="981"/>
        <v/>
      </c>
      <c r="BM704" s="418" t="str">
        <f t="shared" si="981"/>
        <v/>
      </c>
      <c r="BN704" s="418" t="str">
        <f t="shared" si="981"/>
        <v/>
      </c>
      <c r="BO704" s="418" t="str">
        <f t="shared" si="981"/>
        <v/>
      </c>
      <c r="BP704" s="418" t="str">
        <f t="shared" si="981"/>
        <v/>
      </c>
      <c r="BQ704" s="418" t="str">
        <f t="shared" si="981"/>
        <v/>
      </c>
      <c r="BR704" s="418" t="str">
        <f t="shared" si="981"/>
        <v/>
      </c>
      <c r="BS704" s="418" t="str">
        <f t="shared" si="981"/>
        <v/>
      </c>
      <c r="BT704" s="418" t="str">
        <f t="shared" si="945"/>
        <v/>
      </c>
      <c r="BU704" s="418" t="str">
        <f t="shared" si="946"/>
        <v/>
      </c>
      <c r="BV704" s="544">
        <v>2.57</v>
      </c>
      <c r="BW704" s="723">
        <f t="shared" si="947"/>
        <v>1850.4</v>
      </c>
      <c r="BX704" s="724">
        <f t="shared" si="948"/>
        <v>14340.6</v>
      </c>
      <c r="BY704" s="725" t="str">
        <f t="shared" si="949"/>
        <v>SR</v>
      </c>
    </row>
    <row r="705" s="697" customFormat="1" customHeight="1" spans="1:77">
      <c r="A705" s="116">
        <v>46139</v>
      </c>
      <c r="B705" s="116">
        <v>46200</v>
      </c>
      <c r="C705" s="418" t="s">
        <v>789</v>
      </c>
      <c r="D705" s="418" t="s">
        <v>790</v>
      </c>
      <c r="E705" s="418" t="s">
        <v>175</v>
      </c>
      <c r="F705" s="737">
        <v>384</v>
      </c>
      <c r="G705" s="418" t="s">
        <v>341</v>
      </c>
      <c r="H705" s="118" t="str">
        <f>IFERROR(VLOOKUP(E705,名称!A:E,4,0),"")</f>
        <v>三代</v>
      </c>
      <c r="I705" s="418" t="str">
        <f t="shared" si="890"/>
        <v/>
      </c>
      <c r="J705" s="418" t="str">
        <f t="shared" si="891"/>
        <v/>
      </c>
      <c r="K705" s="418" t="str">
        <f t="shared" si="892"/>
        <v/>
      </c>
      <c r="L705" s="418" t="str">
        <f t="shared" si="893"/>
        <v/>
      </c>
      <c r="M705" s="418" t="str">
        <f t="shared" si="894"/>
        <v/>
      </c>
      <c r="N705" s="418" t="str">
        <f t="shared" si="895"/>
        <v/>
      </c>
      <c r="O705" s="418" t="str">
        <f t="shared" si="896"/>
        <v/>
      </c>
      <c r="P705" s="418" t="str">
        <f t="shared" si="897"/>
        <v/>
      </c>
      <c r="Q705" s="418" t="str">
        <f t="shared" si="898"/>
        <v/>
      </c>
      <c r="R705" s="418" t="str">
        <f t="shared" si="899"/>
        <v/>
      </c>
      <c r="S705" s="418" t="str">
        <f t="shared" si="900"/>
        <v/>
      </c>
      <c r="T705" s="418" t="str">
        <f t="shared" si="901"/>
        <v/>
      </c>
      <c r="U705" s="418" t="str">
        <f t="shared" si="902"/>
        <v/>
      </c>
      <c r="V705" s="418" t="str">
        <f t="shared" si="903"/>
        <v/>
      </c>
      <c r="W705" s="418" t="str">
        <f t="shared" si="904"/>
        <v/>
      </c>
      <c r="X705" s="418" t="str">
        <f t="shared" si="905"/>
        <v/>
      </c>
      <c r="Y705" s="418" t="str">
        <f t="shared" si="906"/>
        <v/>
      </c>
      <c r="Z705" s="418" t="str">
        <f t="shared" si="907"/>
        <v/>
      </c>
      <c r="AA705" s="418" t="str">
        <f t="shared" si="908"/>
        <v/>
      </c>
      <c r="AB705" s="418" t="str">
        <f t="shared" si="909"/>
        <v/>
      </c>
      <c r="AC705" s="418" t="str">
        <f t="shared" si="910"/>
        <v/>
      </c>
      <c r="AD705" s="418" t="str">
        <f t="shared" si="911"/>
        <v/>
      </c>
      <c r="AE705" s="418" t="str">
        <f t="shared" si="912"/>
        <v/>
      </c>
      <c r="AF705" s="418" t="str">
        <f t="shared" si="913"/>
        <v/>
      </c>
      <c r="AG705" s="418" t="str">
        <f t="shared" si="914"/>
        <v/>
      </c>
      <c r="AH705" s="418" t="str">
        <f t="shared" si="915"/>
        <v/>
      </c>
      <c r="AI705" s="418" t="str">
        <f t="shared" si="916"/>
        <v/>
      </c>
      <c r="AJ705" s="418" t="str">
        <f t="shared" si="917"/>
        <v/>
      </c>
      <c r="AK705" s="418" t="str">
        <f t="shared" si="918"/>
        <v/>
      </c>
      <c r="AL705" s="418" t="str">
        <f t="shared" si="919"/>
        <v/>
      </c>
      <c r="AM705" s="418" t="str">
        <f t="shared" si="920"/>
        <v/>
      </c>
      <c r="AN705" s="418" t="str">
        <f t="shared" si="921"/>
        <v/>
      </c>
      <c r="AO705" s="418" t="str">
        <f t="shared" si="922"/>
        <v/>
      </c>
      <c r="AP705" s="418" t="str">
        <f t="shared" si="923"/>
        <v/>
      </c>
      <c r="AQ705" s="418" t="str">
        <f t="shared" si="924"/>
        <v/>
      </c>
      <c r="AR705" s="418" t="str">
        <f t="shared" si="925"/>
        <v/>
      </c>
      <c r="AS705" s="418" t="str">
        <f t="shared" si="926"/>
        <v/>
      </c>
      <c r="AT705" s="418" t="str">
        <f t="shared" si="927"/>
        <v/>
      </c>
      <c r="AU705" s="418" t="str">
        <f t="shared" si="928"/>
        <v/>
      </c>
      <c r="AV705" s="418" t="str">
        <f t="shared" si="929"/>
        <v/>
      </c>
      <c r="AW705" s="418" t="str">
        <f t="shared" si="930"/>
        <v/>
      </c>
      <c r="AX705" s="418" t="str">
        <f t="shared" si="931"/>
        <v/>
      </c>
      <c r="AY705" s="418" t="str">
        <f t="shared" si="932"/>
        <v/>
      </c>
      <c r="AZ705" s="418" t="str">
        <f t="shared" si="933"/>
        <v/>
      </c>
      <c r="BA705" s="418" t="str">
        <f t="shared" si="934"/>
        <v/>
      </c>
      <c r="BB705" s="418">
        <f t="shared" si="935"/>
        <v>384</v>
      </c>
      <c r="BC705" s="418" t="str">
        <f t="shared" si="936"/>
        <v/>
      </c>
      <c r="BD705" s="418" t="str">
        <f t="shared" si="937"/>
        <v/>
      </c>
      <c r="BE705" s="418" t="str">
        <f t="shared" si="938"/>
        <v/>
      </c>
      <c r="BF705" s="418" t="str">
        <f t="shared" si="939"/>
        <v/>
      </c>
      <c r="BG705" s="418" t="str">
        <f t="shared" si="940"/>
        <v/>
      </c>
      <c r="BH705" s="418" t="str">
        <f t="shared" si="941"/>
        <v/>
      </c>
      <c r="BI705" s="418" t="str">
        <f t="shared" si="942"/>
        <v/>
      </c>
      <c r="BJ705" s="418" t="str">
        <f t="shared" si="943"/>
        <v/>
      </c>
      <c r="BK705" s="418" t="str">
        <f t="shared" ref="BK705:BS705" si="982">IF(OR($E705="",BK$1=""),"",IF(TRIM(LEFT($E705,MIN(IFERROR(FIND("CDU",UPPER($E705)),999),IFERROR(FIND("BULK",UPPER($E705)),999),IFERROR(FIND("-",$E705),999),IFERROR(FIND("（",$E705),999))-1))=BK$1,$F705,""))</f>
        <v/>
      </c>
      <c r="BL705" s="418" t="str">
        <f t="shared" si="982"/>
        <v/>
      </c>
      <c r="BM705" s="418" t="str">
        <f t="shared" si="982"/>
        <v/>
      </c>
      <c r="BN705" s="418" t="str">
        <f t="shared" si="982"/>
        <v/>
      </c>
      <c r="BO705" s="418" t="str">
        <f t="shared" si="982"/>
        <v/>
      </c>
      <c r="BP705" s="418" t="str">
        <f t="shared" si="982"/>
        <v/>
      </c>
      <c r="BQ705" s="418" t="str">
        <f t="shared" si="982"/>
        <v/>
      </c>
      <c r="BR705" s="418" t="str">
        <f t="shared" si="982"/>
        <v/>
      </c>
      <c r="BS705" s="418" t="str">
        <f t="shared" si="982"/>
        <v/>
      </c>
      <c r="BT705" s="418" t="str">
        <f t="shared" si="945"/>
        <v/>
      </c>
      <c r="BU705" s="418" t="str">
        <f t="shared" si="946"/>
        <v/>
      </c>
      <c r="BV705" s="544">
        <v>1.3</v>
      </c>
      <c r="BW705" s="723">
        <f t="shared" si="947"/>
        <v>499.2</v>
      </c>
      <c r="BX705" s="724">
        <f t="shared" si="948"/>
        <v>3868.8</v>
      </c>
      <c r="BY705" s="725" t="str">
        <f t="shared" si="949"/>
        <v>SR</v>
      </c>
    </row>
    <row r="706" s="697" customFormat="1" customHeight="1" spans="1:77">
      <c r="A706" s="116">
        <v>46139</v>
      </c>
      <c r="B706" s="116">
        <v>46200</v>
      </c>
      <c r="C706" s="418" t="s">
        <v>789</v>
      </c>
      <c r="D706" s="418" t="s">
        <v>790</v>
      </c>
      <c r="E706" s="418" t="s">
        <v>176</v>
      </c>
      <c r="F706" s="737">
        <v>384</v>
      </c>
      <c r="G706" s="418" t="s">
        <v>341</v>
      </c>
      <c r="H706" s="118" t="str">
        <f>IFERROR(VLOOKUP(E706,名称!A:E,4,0),"")</f>
        <v>三代</v>
      </c>
      <c r="I706" s="418" t="str">
        <f t="shared" si="890"/>
        <v/>
      </c>
      <c r="J706" s="418" t="str">
        <f t="shared" si="891"/>
        <v/>
      </c>
      <c r="K706" s="418" t="str">
        <f t="shared" si="892"/>
        <v/>
      </c>
      <c r="L706" s="418" t="str">
        <f t="shared" si="893"/>
        <v/>
      </c>
      <c r="M706" s="418" t="str">
        <f t="shared" si="894"/>
        <v/>
      </c>
      <c r="N706" s="418" t="str">
        <f t="shared" si="895"/>
        <v/>
      </c>
      <c r="O706" s="418" t="str">
        <f t="shared" si="896"/>
        <v/>
      </c>
      <c r="P706" s="418" t="str">
        <f t="shared" si="897"/>
        <v/>
      </c>
      <c r="Q706" s="418" t="str">
        <f t="shared" si="898"/>
        <v/>
      </c>
      <c r="R706" s="418" t="str">
        <f t="shared" si="899"/>
        <v/>
      </c>
      <c r="S706" s="418" t="str">
        <f t="shared" si="900"/>
        <v/>
      </c>
      <c r="T706" s="418" t="str">
        <f t="shared" si="901"/>
        <v/>
      </c>
      <c r="U706" s="418" t="str">
        <f t="shared" si="902"/>
        <v/>
      </c>
      <c r="V706" s="418" t="str">
        <f t="shared" si="903"/>
        <v/>
      </c>
      <c r="W706" s="418" t="str">
        <f t="shared" si="904"/>
        <v/>
      </c>
      <c r="X706" s="418" t="str">
        <f t="shared" si="905"/>
        <v/>
      </c>
      <c r="Y706" s="418" t="str">
        <f t="shared" si="906"/>
        <v/>
      </c>
      <c r="Z706" s="418" t="str">
        <f t="shared" si="907"/>
        <v/>
      </c>
      <c r="AA706" s="418" t="str">
        <f t="shared" si="908"/>
        <v/>
      </c>
      <c r="AB706" s="418" t="str">
        <f t="shared" si="909"/>
        <v/>
      </c>
      <c r="AC706" s="418" t="str">
        <f t="shared" si="910"/>
        <v/>
      </c>
      <c r="AD706" s="418" t="str">
        <f t="shared" si="911"/>
        <v/>
      </c>
      <c r="AE706" s="418" t="str">
        <f t="shared" si="912"/>
        <v/>
      </c>
      <c r="AF706" s="418" t="str">
        <f t="shared" si="913"/>
        <v/>
      </c>
      <c r="AG706" s="418" t="str">
        <f t="shared" si="914"/>
        <v/>
      </c>
      <c r="AH706" s="418" t="str">
        <f t="shared" si="915"/>
        <v/>
      </c>
      <c r="AI706" s="418" t="str">
        <f t="shared" si="916"/>
        <v/>
      </c>
      <c r="AJ706" s="418" t="str">
        <f t="shared" si="917"/>
        <v/>
      </c>
      <c r="AK706" s="418" t="str">
        <f t="shared" si="918"/>
        <v/>
      </c>
      <c r="AL706" s="418" t="str">
        <f t="shared" si="919"/>
        <v/>
      </c>
      <c r="AM706" s="418" t="str">
        <f t="shared" si="920"/>
        <v/>
      </c>
      <c r="AN706" s="418" t="str">
        <f t="shared" si="921"/>
        <v/>
      </c>
      <c r="AO706" s="418" t="str">
        <f t="shared" si="922"/>
        <v/>
      </c>
      <c r="AP706" s="418" t="str">
        <f t="shared" si="923"/>
        <v/>
      </c>
      <c r="AQ706" s="418" t="str">
        <f t="shared" si="924"/>
        <v/>
      </c>
      <c r="AR706" s="418" t="str">
        <f t="shared" si="925"/>
        <v/>
      </c>
      <c r="AS706" s="418" t="str">
        <f t="shared" si="926"/>
        <v/>
      </c>
      <c r="AT706" s="418" t="str">
        <f t="shared" si="927"/>
        <v/>
      </c>
      <c r="AU706" s="418" t="str">
        <f t="shared" si="928"/>
        <v/>
      </c>
      <c r="AV706" s="418" t="str">
        <f t="shared" si="929"/>
        <v/>
      </c>
      <c r="AW706" s="418" t="str">
        <f t="shared" si="930"/>
        <v/>
      </c>
      <c r="AX706" s="418" t="str">
        <f t="shared" si="931"/>
        <v/>
      </c>
      <c r="AY706" s="418" t="str">
        <f t="shared" si="932"/>
        <v/>
      </c>
      <c r="AZ706" s="418" t="str">
        <f t="shared" si="933"/>
        <v/>
      </c>
      <c r="BA706" s="418" t="str">
        <f t="shared" si="934"/>
        <v/>
      </c>
      <c r="BB706" s="418">
        <f t="shared" si="935"/>
        <v>384</v>
      </c>
      <c r="BC706" s="418" t="str">
        <f t="shared" si="936"/>
        <v/>
      </c>
      <c r="BD706" s="418" t="str">
        <f t="shared" si="937"/>
        <v/>
      </c>
      <c r="BE706" s="418" t="str">
        <f t="shared" si="938"/>
        <v/>
      </c>
      <c r="BF706" s="418" t="str">
        <f t="shared" si="939"/>
        <v/>
      </c>
      <c r="BG706" s="418" t="str">
        <f t="shared" si="940"/>
        <v/>
      </c>
      <c r="BH706" s="418" t="str">
        <f t="shared" si="941"/>
        <v/>
      </c>
      <c r="BI706" s="418" t="str">
        <f t="shared" si="942"/>
        <v/>
      </c>
      <c r="BJ706" s="418" t="str">
        <f t="shared" si="943"/>
        <v/>
      </c>
      <c r="BK706" s="418" t="str">
        <f t="shared" ref="BK706:BS706" si="983">IF(OR($E706="",BK$1=""),"",IF(TRIM(LEFT($E706,MIN(IFERROR(FIND("CDU",UPPER($E706)),999),IFERROR(FIND("BULK",UPPER($E706)),999),IFERROR(FIND("-",$E706),999),IFERROR(FIND("（",$E706),999))-1))=BK$1,$F706,""))</f>
        <v/>
      </c>
      <c r="BL706" s="418" t="str">
        <f t="shared" si="983"/>
        <v/>
      </c>
      <c r="BM706" s="418" t="str">
        <f t="shared" si="983"/>
        <v/>
      </c>
      <c r="BN706" s="418" t="str">
        <f t="shared" si="983"/>
        <v/>
      </c>
      <c r="BO706" s="418" t="str">
        <f t="shared" si="983"/>
        <v/>
      </c>
      <c r="BP706" s="418" t="str">
        <f t="shared" si="983"/>
        <v/>
      </c>
      <c r="BQ706" s="418" t="str">
        <f t="shared" si="983"/>
        <v/>
      </c>
      <c r="BR706" s="418" t="str">
        <f t="shared" si="983"/>
        <v/>
      </c>
      <c r="BS706" s="418" t="str">
        <f t="shared" si="983"/>
        <v/>
      </c>
      <c r="BT706" s="418" t="str">
        <f t="shared" si="945"/>
        <v/>
      </c>
      <c r="BU706" s="418" t="str">
        <f t="shared" si="946"/>
        <v/>
      </c>
      <c r="BV706" s="544">
        <v>1.3</v>
      </c>
      <c r="BW706" s="723">
        <f t="shared" ref="BW706:BW711" si="984">SUM(I706:BU706)*BV706</f>
        <v>499.2</v>
      </c>
      <c r="BX706" s="724">
        <f t="shared" ref="BX706:BX711" si="985">BW706*7.75</f>
        <v>3868.8</v>
      </c>
      <c r="BY706" s="725" t="str">
        <f t="shared" ref="BY706:BY711" si="986">MID(E706,1,2)</f>
        <v>SR</v>
      </c>
    </row>
    <row r="707" s="697" customFormat="1" customHeight="1" spans="1:77">
      <c r="A707" s="116">
        <v>46139</v>
      </c>
      <c r="B707" s="116">
        <v>46200</v>
      </c>
      <c r="C707" s="418" t="s">
        <v>789</v>
      </c>
      <c r="D707" s="418" t="s">
        <v>790</v>
      </c>
      <c r="E707" s="418" t="s">
        <v>177</v>
      </c>
      <c r="F707" s="737">
        <v>384</v>
      </c>
      <c r="G707" s="418" t="s">
        <v>341</v>
      </c>
      <c r="H707" s="118" t="str">
        <f>IFERROR(VLOOKUP(E707,名称!A:E,4,0),"")</f>
        <v>三代</v>
      </c>
      <c r="I707" s="418" t="str">
        <f t="shared" si="890"/>
        <v/>
      </c>
      <c r="J707" s="418" t="str">
        <f t="shared" si="891"/>
        <v/>
      </c>
      <c r="K707" s="418" t="str">
        <f t="shared" si="892"/>
        <v/>
      </c>
      <c r="L707" s="418" t="str">
        <f t="shared" si="893"/>
        <v/>
      </c>
      <c r="M707" s="418" t="str">
        <f t="shared" si="894"/>
        <v/>
      </c>
      <c r="N707" s="418" t="str">
        <f t="shared" si="895"/>
        <v/>
      </c>
      <c r="O707" s="418" t="str">
        <f t="shared" si="896"/>
        <v/>
      </c>
      <c r="P707" s="418" t="str">
        <f t="shared" si="897"/>
        <v/>
      </c>
      <c r="Q707" s="418" t="str">
        <f t="shared" si="898"/>
        <v/>
      </c>
      <c r="R707" s="418" t="str">
        <f t="shared" si="899"/>
        <v/>
      </c>
      <c r="S707" s="418" t="str">
        <f t="shared" si="900"/>
        <v/>
      </c>
      <c r="T707" s="418" t="str">
        <f t="shared" si="901"/>
        <v/>
      </c>
      <c r="U707" s="418" t="str">
        <f t="shared" si="902"/>
        <v/>
      </c>
      <c r="V707" s="418" t="str">
        <f t="shared" si="903"/>
        <v/>
      </c>
      <c r="W707" s="418" t="str">
        <f t="shared" si="904"/>
        <v/>
      </c>
      <c r="X707" s="418" t="str">
        <f t="shared" si="905"/>
        <v/>
      </c>
      <c r="Y707" s="418" t="str">
        <f t="shared" si="906"/>
        <v/>
      </c>
      <c r="Z707" s="418" t="str">
        <f t="shared" si="907"/>
        <v/>
      </c>
      <c r="AA707" s="418" t="str">
        <f t="shared" si="908"/>
        <v/>
      </c>
      <c r="AB707" s="418" t="str">
        <f t="shared" si="909"/>
        <v/>
      </c>
      <c r="AC707" s="418" t="str">
        <f t="shared" si="910"/>
        <v/>
      </c>
      <c r="AD707" s="418" t="str">
        <f t="shared" si="911"/>
        <v/>
      </c>
      <c r="AE707" s="418" t="str">
        <f t="shared" si="912"/>
        <v/>
      </c>
      <c r="AF707" s="418" t="str">
        <f t="shared" si="913"/>
        <v/>
      </c>
      <c r="AG707" s="418" t="str">
        <f t="shared" si="914"/>
        <v/>
      </c>
      <c r="AH707" s="418" t="str">
        <f t="shared" si="915"/>
        <v/>
      </c>
      <c r="AI707" s="418" t="str">
        <f t="shared" si="916"/>
        <v/>
      </c>
      <c r="AJ707" s="418" t="str">
        <f t="shared" si="917"/>
        <v/>
      </c>
      <c r="AK707" s="418" t="str">
        <f t="shared" si="918"/>
        <v/>
      </c>
      <c r="AL707" s="418" t="str">
        <f t="shared" si="919"/>
        <v/>
      </c>
      <c r="AM707" s="418" t="str">
        <f t="shared" si="920"/>
        <v/>
      </c>
      <c r="AN707" s="418" t="str">
        <f t="shared" si="921"/>
        <v/>
      </c>
      <c r="AO707" s="418" t="str">
        <f t="shared" si="922"/>
        <v/>
      </c>
      <c r="AP707" s="418" t="str">
        <f t="shared" si="923"/>
        <v/>
      </c>
      <c r="AQ707" s="418" t="str">
        <f t="shared" si="924"/>
        <v/>
      </c>
      <c r="AR707" s="418" t="str">
        <f t="shared" si="925"/>
        <v/>
      </c>
      <c r="AS707" s="418" t="str">
        <f t="shared" si="926"/>
        <v/>
      </c>
      <c r="AT707" s="418" t="str">
        <f t="shared" si="927"/>
        <v/>
      </c>
      <c r="AU707" s="418" t="str">
        <f t="shared" si="928"/>
        <v/>
      </c>
      <c r="AV707" s="418" t="str">
        <f t="shared" si="929"/>
        <v/>
      </c>
      <c r="AW707" s="418" t="str">
        <f t="shared" si="930"/>
        <v/>
      </c>
      <c r="AX707" s="418" t="str">
        <f t="shared" si="931"/>
        <v/>
      </c>
      <c r="AY707" s="418" t="str">
        <f t="shared" si="932"/>
        <v/>
      </c>
      <c r="AZ707" s="418" t="str">
        <f t="shared" si="933"/>
        <v/>
      </c>
      <c r="BA707" s="418" t="str">
        <f t="shared" si="934"/>
        <v/>
      </c>
      <c r="BB707" s="418">
        <f t="shared" si="935"/>
        <v>384</v>
      </c>
      <c r="BC707" s="418" t="str">
        <f t="shared" si="936"/>
        <v/>
      </c>
      <c r="BD707" s="418" t="str">
        <f t="shared" si="937"/>
        <v/>
      </c>
      <c r="BE707" s="418" t="str">
        <f t="shared" si="938"/>
        <v/>
      </c>
      <c r="BF707" s="418" t="str">
        <f t="shared" si="939"/>
        <v/>
      </c>
      <c r="BG707" s="418" t="str">
        <f t="shared" si="940"/>
        <v/>
      </c>
      <c r="BH707" s="418" t="str">
        <f t="shared" si="941"/>
        <v/>
      </c>
      <c r="BI707" s="418" t="str">
        <f t="shared" si="942"/>
        <v/>
      </c>
      <c r="BJ707" s="418" t="str">
        <f t="shared" si="943"/>
        <v/>
      </c>
      <c r="BK707" s="418" t="str">
        <f t="shared" ref="BK707:BS707" si="987">IF(OR($E707="",BK$1=""),"",IF(TRIM(LEFT($E707,MIN(IFERROR(FIND("CDU",UPPER($E707)),999),IFERROR(FIND("BULK",UPPER($E707)),999),IFERROR(FIND("-",$E707),999),IFERROR(FIND("（",$E707),999))-1))=BK$1,$F707,""))</f>
        <v/>
      </c>
      <c r="BL707" s="418" t="str">
        <f t="shared" si="987"/>
        <v/>
      </c>
      <c r="BM707" s="418" t="str">
        <f t="shared" si="987"/>
        <v/>
      </c>
      <c r="BN707" s="418" t="str">
        <f t="shared" si="987"/>
        <v/>
      </c>
      <c r="BO707" s="418" t="str">
        <f t="shared" si="987"/>
        <v/>
      </c>
      <c r="BP707" s="418" t="str">
        <f t="shared" si="987"/>
        <v/>
      </c>
      <c r="BQ707" s="418" t="str">
        <f t="shared" si="987"/>
        <v/>
      </c>
      <c r="BR707" s="418" t="str">
        <f t="shared" si="987"/>
        <v/>
      </c>
      <c r="BS707" s="418" t="str">
        <f t="shared" si="987"/>
        <v/>
      </c>
      <c r="BT707" s="418" t="str">
        <f t="shared" si="945"/>
        <v/>
      </c>
      <c r="BU707" s="418" t="str">
        <f t="shared" si="946"/>
        <v/>
      </c>
      <c r="BV707" s="544">
        <v>1.3</v>
      </c>
      <c r="BW707" s="723">
        <f t="shared" si="984"/>
        <v>499.2</v>
      </c>
      <c r="BX707" s="724">
        <f t="shared" si="985"/>
        <v>3868.8</v>
      </c>
      <c r="BY707" s="725" t="str">
        <f t="shared" si="986"/>
        <v>SR</v>
      </c>
    </row>
    <row r="708" s="697" customFormat="1" customHeight="1" spans="1:77">
      <c r="A708" s="116">
        <v>46139</v>
      </c>
      <c r="B708" s="116">
        <v>46200</v>
      </c>
      <c r="C708" s="418" t="s">
        <v>789</v>
      </c>
      <c r="D708" s="418" t="s">
        <v>790</v>
      </c>
      <c r="E708" s="418" t="s">
        <v>152</v>
      </c>
      <c r="F708" s="737">
        <v>576</v>
      </c>
      <c r="G708" s="418" t="s">
        <v>341</v>
      </c>
      <c r="H708" s="118" t="str">
        <f>IFERROR(VLOOKUP(E708,名称!A:E,4,0),"")</f>
        <v>三代</v>
      </c>
      <c r="I708" s="418" t="str">
        <f t="shared" si="890"/>
        <v/>
      </c>
      <c r="J708" s="418" t="str">
        <f t="shared" si="891"/>
        <v/>
      </c>
      <c r="K708" s="418" t="str">
        <f t="shared" si="892"/>
        <v/>
      </c>
      <c r="L708" s="418" t="str">
        <f t="shared" si="893"/>
        <v/>
      </c>
      <c r="M708" s="418" t="str">
        <f t="shared" si="894"/>
        <v/>
      </c>
      <c r="N708" s="418" t="str">
        <f t="shared" si="895"/>
        <v/>
      </c>
      <c r="O708" s="418" t="str">
        <f t="shared" si="896"/>
        <v/>
      </c>
      <c r="P708" s="418" t="str">
        <f t="shared" si="897"/>
        <v/>
      </c>
      <c r="Q708" s="418" t="str">
        <f t="shared" si="898"/>
        <v/>
      </c>
      <c r="R708" s="418" t="str">
        <f t="shared" si="899"/>
        <v/>
      </c>
      <c r="S708" s="418" t="str">
        <f t="shared" si="900"/>
        <v/>
      </c>
      <c r="T708" s="418" t="str">
        <f t="shared" si="901"/>
        <v/>
      </c>
      <c r="U708" s="418" t="str">
        <f t="shared" si="902"/>
        <v/>
      </c>
      <c r="V708" s="418" t="str">
        <f t="shared" si="903"/>
        <v/>
      </c>
      <c r="W708" s="418" t="str">
        <f t="shared" si="904"/>
        <v/>
      </c>
      <c r="X708" s="418" t="str">
        <f t="shared" si="905"/>
        <v/>
      </c>
      <c r="Y708" s="418" t="str">
        <f t="shared" si="906"/>
        <v/>
      </c>
      <c r="Z708" s="418" t="str">
        <f t="shared" si="907"/>
        <v/>
      </c>
      <c r="AA708" s="418" t="str">
        <f t="shared" si="908"/>
        <v/>
      </c>
      <c r="AB708" s="418" t="str">
        <f t="shared" si="909"/>
        <v/>
      </c>
      <c r="AC708" s="418" t="str">
        <f t="shared" si="910"/>
        <v/>
      </c>
      <c r="AD708" s="418" t="str">
        <f t="shared" si="911"/>
        <v/>
      </c>
      <c r="AE708" s="418" t="str">
        <f t="shared" si="912"/>
        <v/>
      </c>
      <c r="AF708" s="418" t="str">
        <f t="shared" si="913"/>
        <v/>
      </c>
      <c r="AG708" s="418" t="str">
        <f t="shared" si="914"/>
        <v/>
      </c>
      <c r="AH708" s="418" t="str">
        <f t="shared" si="915"/>
        <v/>
      </c>
      <c r="AI708" s="418" t="str">
        <f t="shared" si="916"/>
        <v/>
      </c>
      <c r="AJ708" s="418" t="str">
        <f t="shared" si="917"/>
        <v/>
      </c>
      <c r="AK708" s="418" t="str">
        <f t="shared" si="918"/>
        <v/>
      </c>
      <c r="AL708" s="418" t="str">
        <f t="shared" si="919"/>
        <v/>
      </c>
      <c r="AM708" s="418">
        <f t="shared" si="920"/>
        <v>576</v>
      </c>
      <c r="AN708" s="418" t="str">
        <f t="shared" si="921"/>
        <v/>
      </c>
      <c r="AO708" s="418" t="str">
        <f t="shared" si="922"/>
        <v/>
      </c>
      <c r="AP708" s="418" t="str">
        <f t="shared" si="923"/>
        <v/>
      </c>
      <c r="AQ708" s="418" t="str">
        <f t="shared" si="924"/>
        <v/>
      </c>
      <c r="AR708" s="418" t="str">
        <f t="shared" si="925"/>
        <v/>
      </c>
      <c r="AS708" s="418" t="str">
        <f t="shared" si="926"/>
        <v/>
      </c>
      <c r="AT708" s="418" t="str">
        <f t="shared" si="927"/>
        <v/>
      </c>
      <c r="AU708" s="418" t="str">
        <f t="shared" si="928"/>
        <v/>
      </c>
      <c r="AV708" s="418" t="str">
        <f t="shared" si="929"/>
        <v/>
      </c>
      <c r="AW708" s="418" t="str">
        <f t="shared" si="930"/>
        <v/>
      </c>
      <c r="AX708" s="418" t="str">
        <f t="shared" si="931"/>
        <v/>
      </c>
      <c r="AY708" s="418" t="str">
        <f t="shared" si="932"/>
        <v/>
      </c>
      <c r="AZ708" s="418" t="str">
        <f t="shared" si="933"/>
        <v/>
      </c>
      <c r="BA708" s="418" t="str">
        <f t="shared" si="934"/>
        <v/>
      </c>
      <c r="BB708" s="418" t="str">
        <f t="shared" si="935"/>
        <v/>
      </c>
      <c r="BC708" s="418" t="str">
        <f t="shared" si="936"/>
        <v/>
      </c>
      <c r="BD708" s="418" t="str">
        <f t="shared" si="937"/>
        <v/>
      </c>
      <c r="BE708" s="418" t="str">
        <f t="shared" si="938"/>
        <v/>
      </c>
      <c r="BF708" s="418" t="str">
        <f t="shared" si="939"/>
        <v/>
      </c>
      <c r="BG708" s="418" t="str">
        <f t="shared" si="940"/>
        <v/>
      </c>
      <c r="BH708" s="418" t="str">
        <f t="shared" si="941"/>
        <v/>
      </c>
      <c r="BI708" s="418" t="str">
        <f t="shared" si="942"/>
        <v/>
      </c>
      <c r="BJ708" s="418" t="str">
        <f t="shared" si="943"/>
        <v/>
      </c>
      <c r="BK708" s="418" t="str">
        <f t="shared" ref="BK708:BS708" si="988">IF(OR($E708="",BK$1=""),"",IF(TRIM(LEFT($E708,MIN(IFERROR(FIND("CDU",UPPER($E708)),999),IFERROR(FIND("BULK",UPPER($E708)),999),IFERROR(FIND("-",$E708),999),IFERROR(FIND("（",$E708),999))-1))=BK$1,$F708,""))</f>
        <v/>
      </c>
      <c r="BL708" s="418" t="str">
        <f t="shared" si="988"/>
        <v/>
      </c>
      <c r="BM708" s="418" t="str">
        <f t="shared" si="988"/>
        <v/>
      </c>
      <c r="BN708" s="418" t="str">
        <f t="shared" si="988"/>
        <v/>
      </c>
      <c r="BO708" s="418" t="str">
        <f t="shared" si="988"/>
        <v/>
      </c>
      <c r="BP708" s="418" t="str">
        <f t="shared" si="988"/>
        <v/>
      </c>
      <c r="BQ708" s="418" t="str">
        <f t="shared" si="988"/>
        <v/>
      </c>
      <c r="BR708" s="418" t="str">
        <f t="shared" si="988"/>
        <v/>
      </c>
      <c r="BS708" s="418" t="str">
        <f t="shared" si="988"/>
        <v/>
      </c>
      <c r="BT708" s="418" t="str">
        <f t="shared" si="945"/>
        <v/>
      </c>
      <c r="BU708" s="418" t="str">
        <f t="shared" si="946"/>
        <v/>
      </c>
      <c r="BV708" s="544">
        <v>1.27</v>
      </c>
      <c r="BW708" s="723">
        <f t="shared" si="984"/>
        <v>731.52</v>
      </c>
      <c r="BX708" s="724">
        <f t="shared" si="985"/>
        <v>5669.28</v>
      </c>
      <c r="BY708" s="725" t="str">
        <f t="shared" si="986"/>
        <v>SR</v>
      </c>
    </row>
    <row r="709" s="697" customFormat="1" customHeight="1" spans="1:77">
      <c r="A709" s="116">
        <v>46139</v>
      </c>
      <c r="B709" s="116">
        <v>46200</v>
      </c>
      <c r="C709" s="418" t="s">
        <v>789</v>
      </c>
      <c r="D709" s="418" t="s">
        <v>790</v>
      </c>
      <c r="E709" s="418" t="s">
        <v>153</v>
      </c>
      <c r="F709" s="737">
        <v>576</v>
      </c>
      <c r="G709" s="418" t="s">
        <v>341</v>
      </c>
      <c r="H709" s="118" t="str">
        <f>IFERROR(VLOOKUP(E709,名称!A:E,4,0),"")</f>
        <v>三代</v>
      </c>
      <c r="I709" s="418" t="str">
        <f t="shared" si="890"/>
        <v/>
      </c>
      <c r="J709" s="418" t="str">
        <f t="shared" si="891"/>
        <v/>
      </c>
      <c r="K709" s="418" t="str">
        <f t="shared" si="892"/>
        <v/>
      </c>
      <c r="L709" s="418" t="str">
        <f t="shared" si="893"/>
        <v/>
      </c>
      <c r="M709" s="418" t="str">
        <f t="shared" si="894"/>
        <v/>
      </c>
      <c r="N709" s="418" t="str">
        <f t="shared" si="895"/>
        <v/>
      </c>
      <c r="O709" s="418" t="str">
        <f t="shared" si="896"/>
        <v/>
      </c>
      <c r="P709" s="418" t="str">
        <f t="shared" si="897"/>
        <v/>
      </c>
      <c r="Q709" s="418" t="str">
        <f t="shared" si="898"/>
        <v/>
      </c>
      <c r="R709" s="418" t="str">
        <f t="shared" si="899"/>
        <v/>
      </c>
      <c r="S709" s="418" t="str">
        <f t="shared" si="900"/>
        <v/>
      </c>
      <c r="T709" s="418" t="str">
        <f t="shared" si="901"/>
        <v/>
      </c>
      <c r="U709" s="418" t="str">
        <f t="shared" si="902"/>
        <v/>
      </c>
      <c r="V709" s="418" t="str">
        <f t="shared" si="903"/>
        <v/>
      </c>
      <c r="W709" s="418" t="str">
        <f t="shared" si="904"/>
        <v/>
      </c>
      <c r="X709" s="418" t="str">
        <f t="shared" si="905"/>
        <v/>
      </c>
      <c r="Y709" s="418" t="str">
        <f t="shared" si="906"/>
        <v/>
      </c>
      <c r="Z709" s="418" t="str">
        <f t="shared" si="907"/>
        <v/>
      </c>
      <c r="AA709" s="418" t="str">
        <f t="shared" si="908"/>
        <v/>
      </c>
      <c r="AB709" s="418" t="str">
        <f t="shared" si="909"/>
        <v/>
      </c>
      <c r="AC709" s="418" t="str">
        <f t="shared" si="910"/>
        <v/>
      </c>
      <c r="AD709" s="418" t="str">
        <f t="shared" si="911"/>
        <v/>
      </c>
      <c r="AE709" s="418" t="str">
        <f t="shared" si="912"/>
        <v/>
      </c>
      <c r="AF709" s="418" t="str">
        <f t="shared" si="913"/>
        <v/>
      </c>
      <c r="AG709" s="418" t="str">
        <f t="shared" si="914"/>
        <v/>
      </c>
      <c r="AH709" s="418" t="str">
        <f t="shared" si="915"/>
        <v/>
      </c>
      <c r="AI709" s="418" t="str">
        <f t="shared" si="916"/>
        <v/>
      </c>
      <c r="AJ709" s="418" t="str">
        <f t="shared" si="917"/>
        <v/>
      </c>
      <c r="AK709" s="418" t="str">
        <f t="shared" si="918"/>
        <v/>
      </c>
      <c r="AL709" s="418" t="str">
        <f t="shared" si="919"/>
        <v/>
      </c>
      <c r="AM709" s="418">
        <f t="shared" si="920"/>
        <v>576</v>
      </c>
      <c r="AN709" s="418" t="str">
        <f t="shared" si="921"/>
        <v/>
      </c>
      <c r="AO709" s="418" t="str">
        <f t="shared" si="922"/>
        <v/>
      </c>
      <c r="AP709" s="418" t="str">
        <f t="shared" si="923"/>
        <v/>
      </c>
      <c r="AQ709" s="418" t="str">
        <f t="shared" si="924"/>
        <v/>
      </c>
      <c r="AR709" s="418" t="str">
        <f t="shared" si="925"/>
        <v/>
      </c>
      <c r="AS709" s="418" t="str">
        <f t="shared" si="926"/>
        <v/>
      </c>
      <c r="AT709" s="418" t="str">
        <f t="shared" si="927"/>
        <v/>
      </c>
      <c r="AU709" s="418" t="str">
        <f t="shared" si="928"/>
        <v/>
      </c>
      <c r="AV709" s="418" t="str">
        <f t="shared" si="929"/>
        <v/>
      </c>
      <c r="AW709" s="418" t="str">
        <f t="shared" si="930"/>
        <v/>
      </c>
      <c r="AX709" s="418" t="str">
        <f t="shared" si="931"/>
        <v/>
      </c>
      <c r="AY709" s="418" t="str">
        <f t="shared" si="932"/>
        <v/>
      </c>
      <c r="AZ709" s="418" t="str">
        <f t="shared" si="933"/>
        <v/>
      </c>
      <c r="BA709" s="418" t="str">
        <f t="shared" si="934"/>
        <v/>
      </c>
      <c r="BB709" s="418" t="str">
        <f t="shared" si="935"/>
        <v/>
      </c>
      <c r="BC709" s="418" t="str">
        <f t="shared" si="936"/>
        <v/>
      </c>
      <c r="BD709" s="418" t="str">
        <f t="shared" si="937"/>
        <v/>
      </c>
      <c r="BE709" s="418" t="str">
        <f t="shared" si="938"/>
        <v/>
      </c>
      <c r="BF709" s="418" t="str">
        <f t="shared" si="939"/>
        <v/>
      </c>
      <c r="BG709" s="418" t="str">
        <f t="shared" si="940"/>
        <v/>
      </c>
      <c r="BH709" s="418" t="str">
        <f t="shared" si="941"/>
        <v/>
      </c>
      <c r="BI709" s="418" t="str">
        <f t="shared" si="942"/>
        <v/>
      </c>
      <c r="BJ709" s="418" t="str">
        <f t="shared" si="943"/>
        <v/>
      </c>
      <c r="BK709" s="418" t="str">
        <f t="shared" ref="BK709:BS709" si="989">IF(OR($E709="",BK$1=""),"",IF(TRIM(LEFT($E709,MIN(IFERROR(FIND("CDU",UPPER($E709)),999),IFERROR(FIND("BULK",UPPER($E709)),999),IFERROR(FIND("-",$E709),999),IFERROR(FIND("（",$E709),999))-1))=BK$1,$F709,""))</f>
        <v/>
      </c>
      <c r="BL709" s="418" t="str">
        <f t="shared" si="989"/>
        <v/>
      </c>
      <c r="BM709" s="418" t="str">
        <f t="shared" si="989"/>
        <v/>
      </c>
      <c r="BN709" s="418" t="str">
        <f t="shared" si="989"/>
        <v/>
      </c>
      <c r="BO709" s="418" t="str">
        <f t="shared" si="989"/>
        <v/>
      </c>
      <c r="BP709" s="418" t="str">
        <f t="shared" si="989"/>
        <v/>
      </c>
      <c r="BQ709" s="418" t="str">
        <f t="shared" si="989"/>
        <v/>
      </c>
      <c r="BR709" s="418" t="str">
        <f t="shared" si="989"/>
        <v/>
      </c>
      <c r="BS709" s="418" t="str">
        <f t="shared" si="989"/>
        <v/>
      </c>
      <c r="BT709" s="418" t="str">
        <f t="shared" si="945"/>
        <v/>
      </c>
      <c r="BU709" s="418" t="str">
        <f t="shared" si="946"/>
        <v/>
      </c>
      <c r="BV709" s="544">
        <v>1.27</v>
      </c>
      <c r="BW709" s="723">
        <f t="shared" si="984"/>
        <v>731.52</v>
      </c>
      <c r="BX709" s="724">
        <f t="shared" si="985"/>
        <v>5669.28</v>
      </c>
      <c r="BY709" s="725" t="str">
        <f t="shared" si="986"/>
        <v>SR</v>
      </c>
    </row>
    <row r="710" s="697" customFormat="1" customHeight="1" spans="1:77">
      <c r="A710" s="116">
        <v>46139</v>
      </c>
      <c r="B710" s="116">
        <v>46200</v>
      </c>
      <c r="C710" s="418" t="s">
        <v>789</v>
      </c>
      <c r="D710" s="418" t="s">
        <v>790</v>
      </c>
      <c r="E710" s="418" t="s">
        <v>154</v>
      </c>
      <c r="F710" s="737">
        <v>576</v>
      </c>
      <c r="G710" s="418" t="s">
        <v>341</v>
      </c>
      <c r="H710" s="118" t="str">
        <f>IFERROR(VLOOKUP(E710,名称!A:E,4,0),"")</f>
        <v>三代</v>
      </c>
      <c r="I710" s="418" t="str">
        <f t="shared" si="890"/>
        <v/>
      </c>
      <c r="J710" s="418" t="str">
        <f t="shared" si="891"/>
        <v/>
      </c>
      <c r="K710" s="418" t="str">
        <f t="shared" si="892"/>
        <v/>
      </c>
      <c r="L710" s="418" t="str">
        <f t="shared" si="893"/>
        <v/>
      </c>
      <c r="M710" s="418" t="str">
        <f t="shared" si="894"/>
        <v/>
      </c>
      <c r="N710" s="418" t="str">
        <f t="shared" si="895"/>
        <v/>
      </c>
      <c r="O710" s="418" t="str">
        <f t="shared" si="896"/>
        <v/>
      </c>
      <c r="P710" s="418" t="str">
        <f t="shared" si="897"/>
        <v/>
      </c>
      <c r="Q710" s="418" t="str">
        <f t="shared" si="898"/>
        <v/>
      </c>
      <c r="R710" s="418" t="str">
        <f t="shared" si="899"/>
        <v/>
      </c>
      <c r="S710" s="418" t="str">
        <f t="shared" si="900"/>
        <v/>
      </c>
      <c r="T710" s="418" t="str">
        <f t="shared" si="901"/>
        <v/>
      </c>
      <c r="U710" s="418" t="str">
        <f t="shared" si="902"/>
        <v/>
      </c>
      <c r="V710" s="418" t="str">
        <f t="shared" si="903"/>
        <v/>
      </c>
      <c r="W710" s="418" t="str">
        <f t="shared" si="904"/>
        <v/>
      </c>
      <c r="X710" s="418" t="str">
        <f t="shared" si="905"/>
        <v/>
      </c>
      <c r="Y710" s="418" t="str">
        <f t="shared" si="906"/>
        <v/>
      </c>
      <c r="Z710" s="418" t="str">
        <f t="shared" si="907"/>
        <v/>
      </c>
      <c r="AA710" s="418" t="str">
        <f t="shared" si="908"/>
        <v/>
      </c>
      <c r="AB710" s="418" t="str">
        <f t="shared" si="909"/>
        <v/>
      </c>
      <c r="AC710" s="418" t="str">
        <f t="shared" si="910"/>
        <v/>
      </c>
      <c r="AD710" s="418" t="str">
        <f t="shared" si="911"/>
        <v/>
      </c>
      <c r="AE710" s="418" t="str">
        <f t="shared" si="912"/>
        <v/>
      </c>
      <c r="AF710" s="418" t="str">
        <f t="shared" si="913"/>
        <v/>
      </c>
      <c r="AG710" s="418" t="str">
        <f t="shared" si="914"/>
        <v/>
      </c>
      <c r="AH710" s="418" t="str">
        <f t="shared" si="915"/>
        <v/>
      </c>
      <c r="AI710" s="418" t="str">
        <f t="shared" si="916"/>
        <v/>
      </c>
      <c r="AJ710" s="418" t="str">
        <f t="shared" si="917"/>
        <v/>
      </c>
      <c r="AK710" s="418" t="str">
        <f t="shared" si="918"/>
        <v/>
      </c>
      <c r="AL710" s="418" t="str">
        <f t="shared" si="919"/>
        <v/>
      </c>
      <c r="AM710" s="418">
        <f t="shared" si="920"/>
        <v>576</v>
      </c>
      <c r="AN710" s="418" t="str">
        <f t="shared" si="921"/>
        <v/>
      </c>
      <c r="AO710" s="418" t="str">
        <f t="shared" si="922"/>
        <v/>
      </c>
      <c r="AP710" s="418" t="str">
        <f t="shared" si="923"/>
        <v/>
      </c>
      <c r="AQ710" s="418" t="str">
        <f t="shared" si="924"/>
        <v/>
      </c>
      <c r="AR710" s="418" t="str">
        <f t="shared" si="925"/>
        <v/>
      </c>
      <c r="AS710" s="418" t="str">
        <f t="shared" si="926"/>
        <v/>
      </c>
      <c r="AT710" s="418" t="str">
        <f t="shared" si="927"/>
        <v/>
      </c>
      <c r="AU710" s="418" t="str">
        <f t="shared" si="928"/>
        <v/>
      </c>
      <c r="AV710" s="418" t="str">
        <f t="shared" si="929"/>
        <v/>
      </c>
      <c r="AW710" s="418" t="str">
        <f t="shared" si="930"/>
        <v/>
      </c>
      <c r="AX710" s="418" t="str">
        <f t="shared" si="931"/>
        <v/>
      </c>
      <c r="AY710" s="418" t="str">
        <f t="shared" si="932"/>
        <v/>
      </c>
      <c r="AZ710" s="418" t="str">
        <f t="shared" si="933"/>
        <v/>
      </c>
      <c r="BA710" s="418" t="str">
        <f t="shared" si="934"/>
        <v/>
      </c>
      <c r="BB710" s="418" t="str">
        <f t="shared" si="935"/>
        <v/>
      </c>
      <c r="BC710" s="418" t="str">
        <f t="shared" si="936"/>
        <v/>
      </c>
      <c r="BD710" s="418" t="str">
        <f t="shared" si="937"/>
        <v/>
      </c>
      <c r="BE710" s="418" t="str">
        <f t="shared" si="938"/>
        <v/>
      </c>
      <c r="BF710" s="418" t="str">
        <f t="shared" si="939"/>
        <v/>
      </c>
      <c r="BG710" s="418" t="str">
        <f t="shared" si="940"/>
        <v/>
      </c>
      <c r="BH710" s="418" t="str">
        <f t="shared" si="941"/>
        <v/>
      </c>
      <c r="BI710" s="418" t="str">
        <f t="shared" si="942"/>
        <v/>
      </c>
      <c r="BJ710" s="418" t="str">
        <f t="shared" si="943"/>
        <v/>
      </c>
      <c r="BK710" s="418" t="str">
        <f t="shared" ref="BK710:BS710" si="990">IF(OR($E710="",BK$1=""),"",IF(TRIM(LEFT($E710,MIN(IFERROR(FIND("CDU",UPPER($E710)),999),IFERROR(FIND("BULK",UPPER($E710)),999),IFERROR(FIND("-",$E710),999),IFERROR(FIND("（",$E710),999))-1))=BK$1,$F710,""))</f>
        <v/>
      </c>
      <c r="BL710" s="418" t="str">
        <f t="shared" si="990"/>
        <v/>
      </c>
      <c r="BM710" s="418" t="str">
        <f t="shared" si="990"/>
        <v/>
      </c>
      <c r="BN710" s="418" t="str">
        <f t="shared" si="990"/>
        <v/>
      </c>
      <c r="BO710" s="418" t="str">
        <f t="shared" si="990"/>
        <v/>
      </c>
      <c r="BP710" s="418" t="str">
        <f t="shared" si="990"/>
        <v/>
      </c>
      <c r="BQ710" s="418" t="str">
        <f t="shared" si="990"/>
        <v/>
      </c>
      <c r="BR710" s="418" t="str">
        <f t="shared" si="990"/>
        <v/>
      </c>
      <c r="BS710" s="418" t="str">
        <f t="shared" si="990"/>
        <v/>
      </c>
      <c r="BT710" s="418" t="str">
        <f t="shared" si="945"/>
        <v/>
      </c>
      <c r="BU710" s="418" t="str">
        <f t="shared" si="946"/>
        <v/>
      </c>
      <c r="BV710" s="544">
        <v>1.27</v>
      </c>
      <c r="BW710" s="723">
        <f t="shared" si="984"/>
        <v>731.52</v>
      </c>
      <c r="BX710" s="724">
        <f t="shared" si="985"/>
        <v>5669.28</v>
      </c>
      <c r="BY710" s="725" t="str">
        <f t="shared" si="986"/>
        <v>SR</v>
      </c>
    </row>
    <row r="711" s="697" customFormat="1" customHeight="1" spans="1:77">
      <c r="A711" s="116">
        <v>46139</v>
      </c>
      <c r="B711" s="116">
        <v>46200</v>
      </c>
      <c r="C711" s="418" t="s">
        <v>789</v>
      </c>
      <c r="D711" s="418" t="s">
        <v>790</v>
      </c>
      <c r="E711" s="176" t="s">
        <v>160</v>
      </c>
      <c r="F711" s="142">
        <f>1152/2-16</f>
        <v>560</v>
      </c>
      <c r="G711" s="418" t="s">
        <v>341</v>
      </c>
      <c r="H711" s="118" t="str">
        <f>IFERROR(VLOOKUP(E711,名称!A:E,4,0),"")</f>
        <v>三代</v>
      </c>
      <c r="I711" s="418" t="str">
        <f t="shared" si="890"/>
        <v/>
      </c>
      <c r="J711" s="418" t="str">
        <f t="shared" si="891"/>
        <v/>
      </c>
      <c r="K711" s="418" t="str">
        <f t="shared" si="892"/>
        <v/>
      </c>
      <c r="L711" s="418" t="str">
        <f t="shared" si="893"/>
        <v/>
      </c>
      <c r="M711" s="418" t="str">
        <f t="shared" si="894"/>
        <v/>
      </c>
      <c r="N711" s="418" t="str">
        <f t="shared" si="895"/>
        <v/>
      </c>
      <c r="O711" s="418" t="str">
        <f t="shared" si="896"/>
        <v/>
      </c>
      <c r="P711" s="418" t="str">
        <f t="shared" si="897"/>
        <v/>
      </c>
      <c r="Q711" s="418" t="str">
        <f t="shared" si="898"/>
        <v/>
      </c>
      <c r="R711" s="418" t="str">
        <f t="shared" si="899"/>
        <v/>
      </c>
      <c r="S711" s="418" t="str">
        <f t="shared" si="900"/>
        <v/>
      </c>
      <c r="T711" s="418" t="str">
        <f t="shared" si="901"/>
        <v/>
      </c>
      <c r="U711" s="418" t="str">
        <f t="shared" si="902"/>
        <v/>
      </c>
      <c r="V711" s="418" t="str">
        <f t="shared" si="903"/>
        <v/>
      </c>
      <c r="W711" s="418" t="str">
        <f t="shared" si="904"/>
        <v/>
      </c>
      <c r="X711" s="418" t="str">
        <f t="shared" si="905"/>
        <v/>
      </c>
      <c r="Y711" s="418" t="str">
        <f t="shared" si="906"/>
        <v/>
      </c>
      <c r="Z711" s="418" t="str">
        <f t="shared" si="907"/>
        <v/>
      </c>
      <c r="AA711" s="418" t="str">
        <f t="shared" si="908"/>
        <v/>
      </c>
      <c r="AB711" s="418" t="str">
        <f t="shared" si="909"/>
        <v/>
      </c>
      <c r="AC711" s="418" t="str">
        <f t="shared" si="910"/>
        <v/>
      </c>
      <c r="AD711" s="418" t="str">
        <f t="shared" si="911"/>
        <v/>
      </c>
      <c r="AE711" s="418" t="str">
        <f t="shared" si="912"/>
        <v/>
      </c>
      <c r="AF711" s="418" t="str">
        <f t="shared" si="913"/>
        <v/>
      </c>
      <c r="AG711" s="418" t="str">
        <f t="shared" si="914"/>
        <v/>
      </c>
      <c r="AH711" s="418" t="str">
        <f t="shared" si="915"/>
        <v/>
      </c>
      <c r="AI711" s="418" t="str">
        <f t="shared" si="916"/>
        <v/>
      </c>
      <c r="AJ711" s="418" t="str">
        <f t="shared" si="917"/>
        <v/>
      </c>
      <c r="AK711" s="418" t="str">
        <f t="shared" si="918"/>
        <v/>
      </c>
      <c r="AL711" s="418" t="str">
        <f t="shared" si="919"/>
        <v/>
      </c>
      <c r="AM711" s="418" t="str">
        <f t="shared" si="920"/>
        <v/>
      </c>
      <c r="AN711" s="418" t="str">
        <f t="shared" si="921"/>
        <v/>
      </c>
      <c r="AO711" s="418">
        <f t="shared" si="922"/>
        <v>560</v>
      </c>
      <c r="AP711" s="418" t="str">
        <f t="shared" si="923"/>
        <v/>
      </c>
      <c r="AQ711" s="418" t="str">
        <f t="shared" si="924"/>
        <v/>
      </c>
      <c r="AR711" s="418" t="str">
        <f t="shared" si="925"/>
        <v/>
      </c>
      <c r="AS711" s="418" t="str">
        <f t="shared" si="926"/>
        <v/>
      </c>
      <c r="AT711" s="418" t="str">
        <f t="shared" si="927"/>
        <v/>
      </c>
      <c r="AU711" s="418" t="str">
        <f t="shared" si="928"/>
        <v/>
      </c>
      <c r="AV711" s="418" t="str">
        <f t="shared" si="929"/>
        <v/>
      </c>
      <c r="AW711" s="418" t="str">
        <f t="shared" si="930"/>
        <v/>
      </c>
      <c r="AX711" s="418" t="str">
        <f t="shared" si="931"/>
        <v/>
      </c>
      <c r="AY711" s="418" t="str">
        <f t="shared" si="932"/>
        <v/>
      </c>
      <c r="AZ711" s="418" t="str">
        <f t="shared" si="933"/>
        <v/>
      </c>
      <c r="BA711" s="418" t="str">
        <f t="shared" si="934"/>
        <v/>
      </c>
      <c r="BB711" s="418" t="str">
        <f t="shared" si="935"/>
        <v/>
      </c>
      <c r="BC711" s="418" t="str">
        <f t="shared" si="936"/>
        <v/>
      </c>
      <c r="BD711" s="418" t="str">
        <f t="shared" si="937"/>
        <v/>
      </c>
      <c r="BE711" s="418" t="str">
        <f t="shared" si="938"/>
        <v/>
      </c>
      <c r="BF711" s="418" t="str">
        <f t="shared" si="939"/>
        <v/>
      </c>
      <c r="BG711" s="418" t="str">
        <f t="shared" si="940"/>
        <v/>
      </c>
      <c r="BH711" s="418" t="str">
        <f t="shared" si="941"/>
        <v/>
      </c>
      <c r="BI711" s="418" t="str">
        <f t="shared" si="942"/>
        <v/>
      </c>
      <c r="BJ711" s="418" t="str">
        <f t="shared" si="943"/>
        <v/>
      </c>
      <c r="BK711" s="418" t="str">
        <f t="shared" ref="BK711:BS711" si="991">IF(OR($E711="",BK$1=""),"",IF(TRIM(LEFT($E711,MIN(IFERROR(FIND("CDU",UPPER($E711)),999),IFERROR(FIND("BULK",UPPER($E711)),999),IFERROR(FIND("-",$E711),999),IFERROR(FIND("（",$E711),999))-1))=BK$1,$F711,""))</f>
        <v/>
      </c>
      <c r="BL711" s="418" t="str">
        <f t="shared" si="991"/>
        <v/>
      </c>
      <c r="BM711" s="418" t="str">
        <f t="shared" si="991"/>
        <v/>
      </c>
      <c r="BN711" s="418" t="str">
        <f t="shared" si="991"/>
        <v/>
      </c>
      <c r="BO711" s="418" t="str">
        <f t="shared" si="991"/>
        <v/>
      </c>
      <c r="BP711" s="418" t="str">
        <f t="shared" si="991"/>
        <v/>
      </c>
      <c r="BQ711" s="418" t="str">
        <f t="shared" si="991"/>
        <v/>
      </c>
      <c r="BR711" s="418" t="str">
        <f t="shared" si="991"/>
        <v/>
      </c>
      <c r="BS711" s="418" t="str">
        <f t="shared" si="991"/>
        <v/>
      </c>
      <c r="BT711" s="418" t="str">
        <f t="shared" si="945"/>
        <v/>
      </c>
      <c r="BU711" s="418" t="str">
        <f t="shared" si="946"/>
        <v/>
      </c>
      <c r="BV711" s="544">
        <v>0.65</v>
      </c>
      <c r="BW711" s="723">
        <f t="shared" si="984"/>
        <v>364</v>
      </c>
      <c r="BX711" s="724">
        <f t="shared" si="985"/>
        <v>2821</v>
      </c>
      <c r="BY711" s="725" t="str">
        <f t="shared" si="986"/>
        <v>SR</v>
      </c>
    </row>
    <row r="712" s="697" customFormat="1" customHeight="1" spans="1:77">
      <c r="A712" s="116">
        <v>46139</v>
      </c>
      <c r="B712" s="116">
        <v>46200</v>
      </c>
      <c r="C712" s="418" t="s">
        <v>789</v>
      </c>
      <c r="D712" s="418" t="s">
        <v>790</v>
      </c>
      <c r="E712" s="176" t="s">
        <v>178</v>
      </c>
      <c r="F712" s="142">
        <f>1152/2-16</f>
        <v>560</v>
      </c>
      <c r="G712" s="418" t="s">
        <v>341</v>
      </c>
      <c r="H712" s="118" t="str">
        <f>IFERROR(VLOOKUP(E712,名称!A:E,4,0),"")</f>
        <v>三代</v>
      </c>
      <c r="I712" s="418" t="str">
        <f t="shared" ref="I712:I716" si="992">IF(OR($E712="",I$1=""),"",IF(TRIM(LEFT($E712,MIN(IFERROR(FIND("CDU",UPPER($E712)),999),IFERROR(FIND("BULK",UPPER($E712)),999),IFERROR(FIND("-",$E712),999),IFERROR(FIND("（",$E712),999))-1))=I$1,$F712,""))</f>
        <v/>
      </c>
      <c r="J712" s="418" t="str">
        <f t="shared" ref="J712:J716" si="993">IF(OR($E712="",J$1=""),"",IF(TRIM(LEFT($E712,MIN(IFERROR(FIND("CDU",UPPER($E712)),999),IFERROR(FIND("BULK",UPPER($E712)),999),IFERROR(FIND("-",$E712),999),IFERROR(FIND("（",$E712),999))-1))=J$1,$F712,""))</f>
        <v/>
      </c>
      <c r="K712" s="418" t="str">
        <f t="shared" ref="K712:K716" si="994">IF(OR($E712="",K$1=""),"",IF(TRIM(LEFT($E712,MIN(IFERROR(FIND("CDU",UPPER($E712)),999),IFERROR(FIND("BULK",UPPER($E712)),999),IFERROR(FIND("-",$E712),999),IFERROR(FIND("（",$E712),999))-1))=K$1,$F712,""))</f>
        <v/>
      </c>
      <c r="L712" s="418" t="str">
        <f t="shared" ref="L712:L716" si="995">IF(OR($E712="",L$1=""),"",IF(TRIM(LEFT($E712,MIN(IFERROR(FIND("CDU",UPPER($E712)),999),IFERROR(FIND("BULK",UPPER($E712)),999),IFERROR(FIND("-",$E712),999),IFERROR(FIND("（",$E712),999))-1))=L$1,$F712,""))</f>
        <v/>
      </c>
      <c r="M712" s="418" t="str">
        <f t="shared" ref="M712:M716" si="996">IF(OR($E712="",M$1=""),"",IF(TRIM(LEFT($E712,MIN(IFERROR(FIND("CDU",UPPER($E712)),999),IFERROR(FIND("BULK",UPPER($E712)),999),IFERROR(FIND("-",$E712),999),IFERROR(FIND("（",$E712),999))-1))=M$1,$F712,""))</f>
        <v/>
      </c>
      <c r="N712" s="418" t="str">
        <f t="shared" ref="N712:N716" si="997">IF(OR($E712="",N$1=""),"",IF(TRIM(LEFT($E712,MIN(IFERROR(FIND("CDU",UPPER($E712)),999),IFERROR(FIND("BULK",UPPER($E712)),999),IFERROR(FIND("-",$E712),999),IFERROR(FIND("（",$E712),999))-1))=N$1,$F712,""))</f>
        <v/>
      </c>
      <c r="O712" s="418" t="str">
        <f t="shared" ref="O712:O716" si="998">IF(OR($E712="",O$1=""),"",IF(TRIM(LEFT($E712,MIN(IFERROR(FIND("CDU",UPPER($E712)),999),IFERROR(FIND("BULK",UPPER($E712)),999),IFERROR(FIND("-",$E712),999),IFERROR(FIND("（",$E712),999))-1))=O$1,$F712,""))</f>
        <v/>
      </c>
      <c r="P712" s="418" t="str">
        <f t="shared" ref="P712:P716" si="999">IF(OR($E712="",P$1=""),"",IF(TRIM(LEFT($E712,MIN(IFERROR(FIND("CDU",UPPER($E712)),999),IFERROR(FIND("BULK",UPPER($E712)),999),IFERROR(FIND("-",$E712),999),IFERROR(FIND("（",$E712),999))-1))=P$1,$F712,""))</f>
        <v/>
      </c>
      <c r="Q712" s="418" t="str">
        <f t="shared" ref="Q712:Q716" si="1000">IF(OR($E712="",Q$1=""),"",IF(TRIM(LEFT($E712,MIN(IFERROR(FIND("CDU",UPPER($E712)),999),IFERROR(FIND("BULK",UPPER($E712)),999),IFERROR(FIND("-",$E712),999),IFERROR(FIND("（",$E712),999))-1))=Q$1,$F712,""))</f>
        <v/>
      </c>
      <c r="R712" s="418" t="str">
        <f t="shared" ref="R712:R716" si="1001">IF(OR($E712="",R$1=""),"",IF(TRIM(LEFT($E712,MIN(IFERROR(FIND("CDU",UPPER($E712)),999),IFERROR(FIND("BULK",UPPER($E712)),999),IFERROR(FIND("-",$E712),999),IFERROR(FIND("（",$E712),999))-1))=R$1,$F712,""))</f>
        <v/>
      </c>
      <c r="S712" s="418" t="str">
        <f t="shared" ref="S712:S716" si="1002">IF(OR($E712="",S$1=""),"",IF(TRIM(LEFT($E712,MIN(IFERROR(FIND("CDU",UPPER($E712)),999),IFERROR(FIND("BULK",UPPER($E712)),999),IFERROR(FIND("-",$E712),999),IFERROR(FIND("（",$E712),999))-1))=S$1,$F712,""))</f>
        <v/>
      </c>
      <c r="T712" s="418" t="str">
        <f t="shared" ref="T712:T716" si="1003">IF(OR($E712="",T$1=""),"",IF(TRIM(LEFT($E712,MIN(IFERROR(FIND("CDU",UPPER($E712)),999),IFERROR(FIND("BULK",UPPER($E712)),999),IFERROR(FIND("-",$E712),999),IFERROR(FIND("（",$E712),999))-1))=T$1,$F712,""))</f>
        <v/>
      </c>
      <c r="U712" s="418" t="str">
        <f t="shared" ref="U712:U716" si="1004">IF(OR($E712="",U$1=""),"",IF(TRIM(LEFT($E712,MIN(IFERROR(FIND("CDU",UPPER($E712)),999),IFERROR(FIND("BULK",UPPER($E712)),999),IFERROR(FIND("-",$E712),999),IFERROR(FIND("（",$E712),999))-1))=U$1,$F712,""))</f>
        <v/>
      </c>
      <c r="V712" s="418" t="str">
        <f t="shared" ref="V712:V716" si="1005">IF(OR($E712="",V$1=""),"",IF(TRIM(LEFT($E712,MIN(IFERROR(FIND("CDU",UPPER($E712)),999),IFERROR(FIND("BULK",UPPER($E712)),999),IFERROR(FIND("-",$E712),999),IFERROR(FIND("（",$E712),999))-1))=V$1,$F712,""))</f>
        <v/>
      </c>
      <c r="W712" s="418" t="str">
        <f t="shared" ref="W712:W716" si="1006">IF(OR($E712="",W$1=""),"",IF(TRIM(LEFT($E712,MIN(IFERROR(FIND("CDU",UPPER($E712)),999),IFERROR(FIND("BULK",UPPER($E712)),999),IFERROR(FIND("-",$E712),999),IFERROR(FIND("（",$E712),999))-1))=W$1,$F712,""))</f>
        <v/>
      </c>
      <c r="X712" s="418" t="str">
        <f t="shared" ref="X712:X716" si="1007">IF(OR($E712="",X$1=""),"",IF(TRIM(LEFT($E712,MIN(IFERROR(FIND("CDU",UPPER($E712)),999),IFERROR(FIND("BULK",UPPER($E712)),999),IFERROR(FIND("-",$E712),999),IFERROR(FIND("（",$E712),999))-1))=X$1,$F712,""))</f>
        <v/>
      </c>
      <c r="Y712" s="418" t="str">
        <f t="shared" ref="Y712:Y716" si="1008">IF(OR($E712="",Y$1=""),"",IF(TRIM(LEFT($E712,MIN(IFERROR(FIND("CDU",UPPER($E712)),999),IFERROR(FIND("BULK",UPPER($E712)),999),IFERROR(FIND("-",$E712),999),IFERROR(FIND("（",$E712),999))-1))=Y$1,$F712,""))</f>
        <v/>
      </c>
      <c r="Z712" s="418" t="str">
        <f t="shared" ref="Z712:Z716" si="1009">IF(OR($E712="",Z$1=""),"",IF(TRIM(LEFT($E712,MIN(IFERROR(FIND("CDU",UPPER($E712)),999),IFERROR(FIND("BULK",UPPER($E712)),999),IFERROR(FIND("-",$E712),999),IFERROR(FIND("（",$E712),999))-1))=Z$1,$F712,""))</f>
        <v/>
      </c>
      <c r="AA712" s="418" t="str">
        <f t="shared" ref="AA712:AA716" si="1010">IF(OR($E712="",AA$1=""),"",IF(TRIM(LEFT($E712,MIN(IFERROR(FIND("CDU",UPPER($E712)),999),IFERROR(FIND("BULK",UPPER($E712)),999),IFERROR(FIND("-",$E712),999),IFERROR(FIND("（",$E712),999))-1))=AA$1,$F712,""))</f>
        <v/>
      </c>
      <c r="AB712" s="418" t="str">
        <f t="shared" ref="AB712:AB716" si="1011">IF(OR($E712="",AB$1=""),"",IF(TRIM(LEFT($E712,MIN(IFERROR(FIND("CDU",UPPER($E712)),999),IFERROR(FIND("BULK",UPPER($E712)),999),IFERROR(FIND("-",$E712),999),IFERROR(FIND("（",$E712),999))-1))=AB$1,$F712,""))</f>
        <v/>
      </c>
      <c r="AC712" s="418" t="str">
        <f t="shared" ref="AC712:AC716" si="1012">IF(OR($E712="",AC$1=""),"",IF(TRIM(LEFT($E712,MIN(IFERROR(FIND("CDU",UPPER($E712)),999),IFERROR(FIND("BULK",UPPER($E712)),999),IFERROR(FIND("-",$E712),999),IFERROR(FIND("（",$E712),999))-1))=AC$1,$F712,""))</f>
        <v/>
      </c>
      <c r="AD712" s="418" t="str">
        <f t="shared" ref="AD712:AD716" si="1013">IF(OR($E712="",AD$1=""),"",IF(TRIM(LEFT($E712,MIN(IFERROR(FIND("CDU",UPPER($E712)),999),IFERROR(FIND("BULK",UPPER($E712)),999),IFERROR(FIND("-",$E712),999),IFERROR(FIND("（",$E712),999))-1))=AD$1,$F712,""))</f>
        <v/>
      </c>
      <c r="AE712" s="418" t="str">
        <f t="shared" ref="AE712:AE716" si="1014">IF(OR($E712="",AE$1=""),"",IF(TRIM(LEFT($E712,MIN(IFERROR(FIND("CDU",UPPER($E712)),999),IFERROR(FIND("BULK",UPPER($E712)),999),IFERROR(FIND("-",$E712),999),IFERROR(FIND("（",$E712),999))-1))=AE$1,$F712,""))</f>
        <v/>
      </c>
      <c r="AF712" s="418" t="str">
        <f t="shared" ref="AF712:AF716" si="1015">IF(OR($E712="",AF$1=""),"",IF(TRIM(LEFT($E712,MIN(IFERROR(FIND("CDU",UPPER($E712)),999),IFERROR(FIND("BULK",UPPER($E712)),999),IFERROR(FIND("-",$E712),999),IFERROR(FIND("（",$E712),999))-1))=AF$1,$F712,""))</f>
        <v/>
      </c>
      <c r="AG712" s="418" t="str">
        <f t="shared" ref="AG712:AG716" si="1016">IF(OR($E712="",AG$1=""),"",IF(TRIM(LEFT($E712,MIN(IFERROR(FIND("CDU",UPPER($E712)),999),IFERROR(FIND("BULK",UPPER($E712)),999),IFERROR(FIND("-",$E712),999),IFERROR(FIND("（",$E712),999))-1))=AG$1,$F712,""))</f>
        <v/>
      </c>
      <c r="AH712" s="418" t="str">
        <f t="shared" ref="AH712:AH716" si="1017">IF(OR($E712="",AH$1=""),"",IF(TRIM(LEFT($E712,MIN(IFERROR(FIND("CDU",UPPER($E712)),999),IFERROR(FIND("BULK",UPPER($E712)),999),IFERROR(FIND("-",$E712),999),IFERROR(FIND("（",$E712),999))-1))=AH$1,$F712,""))</f>
        <v/>
      </c>
      <c r="AI712" s="418" t="str">
        <f t="shared" ref="AI712:AI716" si="1018">IF(OR($E712="",AI$1=""),"",IF(TRIM(LEFT($E712,MIN(IFERROR(FIND("CDU",UPPER($E712)),999),IFERROR(FIND("BULK",UPPER($E712)),999),IFERROR(FIND("-",$E712),999),IFERROR(FIND("（",$E712),999))-1))=AI$1,$F712,""))</f>
        <v/>
      </c>
      <c r="AJ712" s="418" t="str">
        <f t="shared" ref="AJ712:AJ716" si="1019">IF(OR($E712="",AJ$1=""),"",IF(TRIM(LEFT($E712,MIN(IFERROR(FIND("CDU",UPPER($E712)),999),IFERROR(FIND("BULK",UPPER($E712)),999),IFERROR(FIND("-",$E712),999),IFERROR(FIND("（",$E712),999))-1))=AJ$1,$F712,""))</f>
        <v/>
      </c>
      <c r="AK712" s="418" t="str">
        <f t="shared" ref="AK712:AK716" si="1020">IF(OR($E712="",AK$1=""),"",IF(TRIM(LEFT($E712,MIN(IFERROR(FIND("CDU",UPPER($E712)),999),IFERROR(FIND("BULK",UPPER($E712)),999),IFERROR(FIND("-",$E712),999),IFERROR(FIND("（",$E712),999))-1))=AK$1,$F712,""))</f>
        <v/>
      </c>
      <c r="AL712" s="418" t="str">
        <f t="shared" ref="AL712:AL716" si="1021">IF(OR($E712="",AL$1=""),"",IF(TRIM(LEFT($E712,MIN(IFERROR(FIND("CDU",UPPER($E712)),999),IFERROR(FIND("BULK",UPPER($E712)),999),IFERROR(FIND("-",$E712),999),IFERROR(FIND("（",$E712),999))-1))=AL$1,$F712,""))</f>
        <v/>
      </c>
      <c r="AM712" s="418" t="str">
        <f t="shared" ref="AM712:AM716" si="1022">IF(OR($E712="",AM$1=""),"",IF(TRIM(LEFT($E712,MIN(IFERROR(FIND("CDU",UPPER($E712)),999),IFERROR(FIND("BULK",UPPER($E712)),999),IFERROR(FIND("-",$E712),999),IFERROR(FIND("（",$E712),999))-1))=AM$1,$F712,""))</f>
        <v/>
      </c>
      <c r="AN712" s="418" t="str">
        <f t="shared" ref="AN712:AN716" si="1023">IF(OR($E712="",AN$1=""),"",IF(TRIM(LEFT($E712,MIN(IFERROR(FIND("CDU",UPPER($E712)),999),IFERROR(FIND("BULK",UPPER($E712)),999),IFERROR(FIND("-",$E712),999),IFERROR(FIND("（",$E712),999))-1))=AN$1,$F712,""))</f>
        <v/>
      </c>
      <c r="AO712" s="418">
        <f t="shared" ref="AO712:AO716" si="1024">IF(OR($E712="",AO$1=""),"",IF(TRIM(LEFT($E712,MIN(IFERROR(FIND("CDU",UPPER($E712)),999),IFERROR(FIND("BULK",UPPER($E712)),999),IFERROR(FIND("-",$E712),999),IFERROR(FIND("（",$E712),999))-1))=AO$1,$F712,""))</f>
        <v>560</v>
      </c>
      <c r="AP712" s="418" t="str">
        <f t="shared" ref="AP712:AP716" si="1025">IF(OR($E712="",AP$1=""),"",IF(TRIM(LEFT($E712,MIN(IFERROR(FIND("CDU",UPPER($E712)),999),IFERROR(FIND("BULK",UPPER($E712)),999),IFERROR(FIND("-",$E712),999),IFERROR(FIND("（",$E712),999))-1))=AP$1,$F712,""))</f>
        <v/>
      </c>
      <c r="AQ712" s="418" t="str">
        <f t="shared" ref="AQ712:AQ716" si="1026">IF(OR($E712="",AQ$1=""),"",IF(TRIM(LEFT($E712,MIN(IFERROR(FIND("CDU",UPPER($E712)),999),IFERROR(FIND("BULK",UPPER($E712)),999),IFERROR(FIND("-",$E712),999),IFERROR(FIND("（",$E712),999))-1))=AQ$1,$F712,""))</f>
        <v/>
      </c>
      <c r="AR712" s="418" t="str">
        <f t="shared" ref="AR712:AR716" si="1027">IF(OR($E712="",AR$1=""),"",IF(TRIM(LEFT($E712,MIN(IFERROR(FIND("CDU",UPPER($E712)),999),IFERROR(FIND("BULK",UPPER($E712)),999),IFERROR(FIND("-",$E712),999),IFERROR(FIND("（",$E712),999))-1))=AR$1,$F712,""))</f>
        <v/>
      </c>
      <c r="AS712" s="418" t="str">
        <f t="shared" ref="AS712:AS716" si="1028">IF(OR($E712="",AS$1=""),"",IF(TRIM(LEFT($E712,MIN(IFERROR(FIND("CDU",UPPER($E712)),999),IFERROR(FIND("BULK",UPPER($E712)),999),IFERROR(FIND("-",$E712),999),IFERROR(FIND("（",$E712),999))-1))=AS$1,$F712,""))</f>
        <v/>
      </c>
      <c r="AT712" s="418" t="str">
        <f t="shared" ref="AT712:AT716" si="1029">IF(OR($E712="",AT$1=""),"",IF(TRIM(LEFT($E712,MIN(IFERROR(FIND("CDU",UPPER($E712)),999),IFERROR(FIND("BULK",UPPER($E712)),999),IFERROR(FIND("-",$E712),999),IFERROR(FIND("（",$E712),999))-1))=AT$1,$F712,""))</f>
        <v/>
      </c>
      <c r="AU712" s="418" t="str">
        <f t="shared" ref="AU712:AU716" si="1030">IF(OR($E712="",AU$1=""),"",IF(TRIM(LEFT($E712,MIN(IFERROR(FIND("CDU",UPPER($E712)),999),IFERROR(FIND("BULK",UPPER($E712)),999),IFERROR(FIND("-",$E712),999),IFERROR(FIND("（",$E712),999))-1))=AU$1,$F712,""))</f>
        <v/>
      </c>
      <c r="AV712" s="418" t="str">
        <f t="shared" ref="AV712:AV716" si="1031">IF(OR($E712="",AV$1=""),"",IF(TRIM(LEFT($E712,MIN(IFERROR(FIND("CDU",UPPER($E712)),999),IFERROR(FIND("BULK",UPPER($E712)),999),IFERROR(FIND("-",$E712),999),IFERROR(FIND("（",$E712),999))-1))=AV$1,$F712,""))</f>
        <v/>
      </c>
      <c r="AW712" s="418" t="str">
        <f t="shared" ref="AW712:AW716" si="1032">IF(OR($E712="",AW$1=""),"",IF(TRIM(LEFT($E712,MIN(IFERROR(FIND("CDU",UPPER($E712)),999),IFERROR(FIND("BULK",UPPER($E712)),999),IFERROR(FIND("-",$E712),999),IFERROR(FIND("（",$E712),999))-1))=AW$1,$F712,""))</f>
        <v/>
      </c>
      <c r="AX712" s="418" t="str">
        <f t="shared" ref="AX712:AX716" si="1033">IF(OR($E712="",AX$1=""),"",IF(TRIM(LEFT($E712,MIN(IFERROR(FIND("CDU",UPPER($E712)),999),IFERROR(FIND("BULK",UPPER($E712)),999),IFERROR(FIND("-",$E712),999),IFERROR(FIND("（",$E712),999))-1))=AX$1,$F712,""))</f>
        <v/>
      </c>
      <c r="AY712" s="418" t="str">
        <f t="shared" ref="AY712:AY716" si="1034">IF(OR($E712="",AY$1=""),"",IF(TRIM(LEFT($E712,MIN(IFERROR(FIND("CDU",UPPER($E712)),999),IFERROR(FIND("BULK",UPPER($E712)),999),IFERROR(FIND("-",$E712),999),IFERROR(FIND("（",$E712),999))-1))=AY$1,$F712,""))</f>
        <v/>
      </c>
      <c r="AZ712" s="418" t="str">
        <f t="shared" ref="AZ712:AZ716" si="1035">IF(OR($E712="",AZ$1=""),"",IF(TRIM(LEFT($E712,MIN(IFERROR(FIND("CDU",UPPER($E712)),999),IFERROR(FIND("BULK",UPPER($E712)),999),IFERROR(FIND("-",$E712),999),IFERROR(FIND("（",$E712),999))-1))=AZ$1,$F712,""))</f>
        <v/>
      </c>
      <c r="BA712" s="418" t="str">
        <f t="shared" ref="BA712:BA716" si="1036">IF(OR($E712="",BA$1=""),"",IF(TRIM(LEFT($E712,MIN(IFERROR(FIND("CDU",UPPER($E712)),999),IFERROR(FIND("BULK",UPPER($E712)),999),IFERROR(FIND("-",$E712),999),IFERROR(FIND("（",$E712),999))-1))=BA$1,$F712,""))</f>
        <v/>
      </c>
      <c r="BB712" s="418" t="str">
        <f t="shared" ref="BB712:BB716" si="1037">IF(OR($E712="",BB$1=""),"",IF(TRIM(LEFT($E712,MIN(IFERROR(FIND("CDU",UPPER($E712)),999),IFERROR(FIND("BULK",UPPER($E712)),999),IFERROR(FIND("-",$E712),999),IFERROR(FIND("（",$E712),999))-1))=BB$1,$F712,""))</f>
        <v/>
      </c>
      <c r="BC712" s="418" t="str">
        <f t="shared" ref="BC712:BC716" si="1038">IF(OR($E712="",BC$1=""),"",IF(TRIM(LEFT($E712,MIN(IFERROR(FIND("CDU",UPPER($E712)),999),IFERROR(FIND("BULK",UPPER($E712)),999),IFERROR(FIND("-",$E712),999),IFERROR(FIND("（",$E712),999))-1))=BC$1,$F712,""))</f>
        <v/>
      </c>
      <c r="BD712" s="418" t="str">
        <f t="shared" ref="BD712:BD716" si="1039">IF(OR($E712="",BD$1=""),"",IF(TRIM(LEFT($E712,MIN(IFERROR(FIND("CDU",UPPER($E712)),999),IFERROR(FIND("BULK",UPPER($E712)),999),IFERROR(FIND("-",$E712),999),IFERROR(FIND("（",$E712),999))-1))=BD$1,$F712,""))</f>
        <v/>
      </c>
      <c r="BE712" s="418" t="str">
        <f t="shared" ref="BE712:BE716" si="1040">IF(OR($E712="",BE$1=""),"",IF(TRIM(LEFT($E712,MIN(IFERROR(FIND("CDU",UPPER($E712)),999),IFERROR(FIND("BULK",UPPER($E712)),999),IFERROR(FIND("-",$E712),999),IFERROR(FIND("（",$E712),999))-1))=BE$1,$F712,""))</f>
        <v/>
      </c>
      <c r="BF712" s="418" t="str">
        <f t="shared" ref="BF712:BF716" si="1041">IF(OR($E712="",BF$1=""),"",IF(TRIM(LEFT($E712,MIN(IFERROR(FIND("CDU",UPPER($E712)),999),IFERROR(FIND("BULK",UPPER($E712)),999),IFERROR(FIND("-",$E712),999),IFERROR(FIND("（",$E712),999))-1))=BF$1,$F712,""))</f>
        <v/>
      </c>
      <c r="BG712" s="418" t="str">
        <f t="shared" ref="BG712:BG716" si="1042">IF(OR($E712="",BG$1=""),"",IF(TRIM(LEFT($E712,MIN(IFERROR(FIND("CDU",UPPER($E712)),999),IFERROR(FIND("BULK",UPPER($E712)),999),IFERROR(FIND("-",$E712),999),IFERROR(FIND("（",$E712),999))-1))=BG$1,$F712,""))</f>
        <v/>
      </c>
      <c r="BH712" s="418" t="str">
        <f t="shared" ref="BH712:BH716" si="1043">IF(OR($E712="",BH$1=""),"",IF(TRIM(LEFT($E712,MIN(IFERROR(FIND("CDU",UPPER($E712)),999),IFERROR(FIND("BULK",UPPER($E712)),999),IFERROR(FIND("-",$E712),999),IFERROR(FIND("（",$E712),999))-1))=BH$1,$F712,""))</f>
        <v/>
      </c>
      <c r="BI712" s="418" t="str">
        <f t="shared" ref="BI712:BI716" si="1044">IF(OR($E712="",BI$1=""),"",IF(TRIM(LEFT($E712,MIN(IFERROR(FIND("CDU",UPPER($E712)),999),IFERROR(FIND("BULK",UPPER($E712)),999),IFERROR(FIND("-",$E712),999),IFERROR(FIND("（",$E712),999))-1))=BI$1,$F712,""))</f>
        <v/>
      </c>
      <c r="BJ712" s="418" t="str">
        <f t="shared" ref="BJ712:BJ716" si="1045">IF(OR($E712="",BJ$1=""),"",IF(TRIM(LEFT($E712,MIN(IFERROR(FIND("CDU",UPPER($E712)),999),IFERROR(FIND("BULK",UPPER($E712)),999),IFERROR(FIND("-",$E712),999),IFERROR(FIND("（",$E712),999))-1))=BJ$1,$F712,""))</f>
        <v/>
      </c>
      <c r="BK712" s="418" t="str">
        <f t="shared" ref="BK712:BS712" si="1046">IF(OR($E712="",BK$1=""),"",IF(TRIM(LEFT($E712,MIN(IFERROR(FIND("CDU",UPPER($E712)),999),IFERROR(FIND("BULK",UPPER($E712)),999),IFERROR(FIND("-",$E712),999),IFERROR(FIND("（",$E712),999))-1))=BK$1,$F712,""))</f>
        <v/>
      </c>
      <c r="BL712" s="418" t="str">
        <f t="shared" si="1046"/>
        <v/>
      </c>
      <c r="BM712" s="418" t="str">
        <f t="shared" si="1046"/>
        <v/>
      </c>
      <c r="BN712" s="418" t="str">
        <f t="shared" si="1046"/>
        <v/>
      </c>
      <c r="BO712" s="418" t="str">
        <f t="shared" si="1046"/>
        <v/>
      </c>
      <c r="BP712" s="418" t="str">
        <f t="shared" si="1046"/>
        <v/>
      </c>
      <c r="BQ712" s="418" t="str">
        <f t="shared" si="1046"/>
        <v/>
      </c>
      <c r="BR712" s="418" t="str">
        <f t="shared" si="1046"/>
        <v/>
      </c>
      <c r="BS712" s="418" t="str">
        <f t="shared" si="1046"/>
        <v/>
      </c>
      <c r="BT712" s="418" t="str">
        <f t="shared" si="945"/>
        <v/>
      </c>
      <c r="BU712" s="418" t="str">
        <f t="shared" ref="BU712:BU721" si="1047">IF(OR($E712="",BU$1=""),"",IF(TRIM(LEFT($E712,MIN(IFERROR(FIND("CDU",UPPER($E712)),999),IFERROR(FIND("BULK",UPPER($E712)),999),IFERROR(FIND("-",$E712),999),IFERROR(FIND("（",$E712),999))-1))=BU$1,$F712,""))</f>
        <v/>
      </c>
      <c r="BV712" s="544">
        <v>0.65</v>
      </c>
      <c r="BW712" s="723">
        <f t="shared" ref="BW712:BW720" si="1048">SUM(I712:BU712)*BV712</f>
        <v>364</v>
      </c>
      <c r="BX712" s="724">
        <f t="shared" ref="BX712:BX720" si="1049">BW712*7.75</f>
        <v>2821</v>
      </c>
      <c r="BY712" s="725" t="str">
        <f t="shared" ref="BY712:BY720" si="1050">MID(E712,1,2)</f>
        <v>SR</v>
      </c>
    </row>
    <row r="713" s="698" customFormat="1" customHeight="1" spans="1:77">
      <c r="A713" s="208">
        <v>46139</v>
      </c>
      <c r="B713" s="208">
        <v>46200</v>
      </c>
      <c r="C713" s="268" t="s">
        <v>791</v>
      </c>
      <c r="D713" s="268" t="s">
        <v>792</v>
      </c>
      <c r="E713" s="268" t="s">
        <v>129</v>
      </c>
      <c r="F713" s="343">
        <v>7020</v>
      </c>
      <c r="G713" s="268" t="s">
        <v>341</v>
      </c>
      <c r="H713" s="211" t="str">
        <f>IFERROR(VLOOKUP(E713,名称!A:E,4,0),"")</f>
        <v>蛋糕</v>
      </c>
      <c r="I713" s="268" t="str">
        <f t="shared" si="992"/>
        <v/>
      </c>
      <c r="J713" s="268" t="str">
        <f t="shared" si="993"/>
        <v/>
      </c>
      <c r="K713" s="268" t="str">
        <f t="shared" si="994"/>
        <v/>
      </c>
      <c r="L713" s="268" t="str">
        <f t="shared" si="995"/>
        <v/>
      </c>
      <c r="M713" s="268" t="str">
        <f t="shared" si="996"/>
        <v/>
      </c>
      <c r="N713" s="268" t="str">
        <f t="shared" si="997"/>
        <v/>
      </c>
      <c r="O713" s="268" t="str">
        <f t="shared" si="998"/>
        <v/>
      </c>
      <c r="P713" s="268" t="str">
        <f t="shared" si="999"/>
        <v/>
      </c>
      <c r="Q713" s="268" t="str">
        <f t="shared" si="1000"/>
        <v/>
      </c>
      <c r="R713" s="268" t="str">
        <f t="shared" si="1001"/>
        <v/>
      </c>
      <c r="S713" s="268" t="str">
        <f t="shared" si="1002"/>
        <v/>
      </c>
      <c r="T713" s="268" t="str">
        <f t="shared" si="1003"/>
        <v/>
      </c>
      <c r="U713" s="268" t="str">
        <f t="shared" si="1004"/>
        <v/>
      </c>
      <c r="V713" s="268" t="str">
        <f t="shared" si="1005"/>
        <v/>
      </c>
      <c r="W713" s="268" t="str">
        <f t="shared" si="1006"/>
        <v/>
      </c>
      <c r="X713" s="268" t="str">
        <f t="shared" si="1007"/>
        <v/>
      </c>
      <c r="Y713" s="268" t="str">
        <f t="shared" si="1008"/>
        <v/>
      </c>
      <c r="Z713" s="268" t="str">
        <f t="shared" si="1009"/>
        <v/>
      </c>
      <c r="AA713" s="268" t="str">
        <f t="shared" si="1010"/>
        <v/>
      </c>
      <c r="AB713" s="268" t="str">
        <f t="shared" si="1011"/>
        <v/>
      </c>
      <c r="AC713" s="268" t="str">
        <f t="shared" si="1012"/>
        <v/>
      </c>
      <c r="AD713" s="268" t="str">
        <f t="shared" si="1013"/>
        <v/>
      </c>
      <c r="AE713" s="268" t="str">
        <f t="shared" si="1014"/>
        <v/>
      </c>
      <c r="AF713" s="268" t="str">
        <f t="shared" si="1015"/>
        <v/>
      </c>
      <c r="AG713" s="268" t="str">
        <f t="shared" si="1016"/>
        <v/>
      </c>
      <c r="AH713" s="268" t="str">
        <f t="shared" si="1017"/>
        <v/>
      </c>
      <c r="AI713" s="268" t="str">
        <f t="shared" si="1018"/>
        <v/>
      </c>
      <c r="AJ713" s="268" t="str">
        <f t="shared" si="1019"/>
        <v/>
      </c>
      <c r="AK713" s="268" t="str">
        <f t="shared" si="1020"/>
        <v/>
      </c>
      <c r="AL713" s="268" t="str">
        <f t="shared" si="1021"/>
        <v/>
      </c>
      <c r="AM713" s="268" t="str">
        <f t="shared" si="1022"/>
        <v/>
      </c>
      <c r="AN713" s="268" t="str">
        <f t="shared" si="1023"/>
        <v/>
      </c>
      <c r="AO713" s="268" t="str">
        <f t="shared" si="1024"/>
        <v/>
      </c>
      <c r="AP713" s="268" t="str">
        <f t="shared" si="1025"/>
        <v/>
      </c>
      <c r="AQ713" s="268" t="str">
        <f t="shared" si="1026"/>
        <v/>
      </c>
      <c r="AR713" s="268" t="str">
        <f t="shared" si="1027"/>
        <v/>
      </c>
      <c r="AS713" s="268" t="str">
        <f t="shared" si="1028"/>
        <v/>
      </c>
      <c r="AT713" s="268" t="str">
        <f t="shared" si="1029"/>
        <v/>
      </c>
      <c r="AU713" s="268" t="str">
        <f t="shared" si="1030"/>
        <v/>
      </c>
      <c r="AV713" s="268" t="str">
        <f t="shared" si="1031"/>
        <v/>
      </c>
      <c r="AW713" s="268" t="str">
        <f t="shared" si="1032"/>
        <v/>
      </c>
      <c r="AX713" s="268" t="str">
        <f t="shared" si="1033"/>
        <v/>
      </c>
      <c r="AY713" s="268" t="str">
        <f t="shared" si="1034"/>
        <v/>
      </c>
      <c r="AZ713" s="268" t="str">
        <f t="shared" si="1035"/>
        <v/>
      </c>
      <c r="BA713" s="268" t="str">
        <f t="shared" si="1036"/>
        <v/>
      </c>
      <c r="BB713" s="268" t="str">
        <f t="shared" si="1037"/>
        <v/>
      </c>
      <c r="BC713" s="268" t="str">
        <f t="shared" si="1038"/>
        <v/>
      </c>
      <c r="BD713" s="268" t="str">
        <f t="shared" si="1039"/>
        <v/>
      </c>
      <c r="BE713" s="268" t="str">
        <f t="shared" si="1040"/>
        <v/>
      </c>
      <c r="BF713" s="268" t="str">
        <f t="shared" si="1041"/>
        <v/>
      </c>
      <c r="BG713" s="268">
        <f t="shared" si="1042"/>
        <v>7020</v>
      </c>
      <c r="BH713" s="268" t="str">
        <f t="shared" si="1043"/>
        <v/>
      </c>
      <c r="BI713" s="268" t="str">
        <f t="shared" si="1044"/>
        <v/>
      </c>
      <c r="BJ713" s="268" t="str">
        <f t="shared" si="1045"/>
        <v/>
      </c>
      <c r="BK713" s="268" t="str">
        <f t="shared" ref="BK713:BS713" si="1051">IF(OR($E713="",BK$1=""),"",IF(TRIM(LEFT($E713,MIN(IFERROR(FIND("CDU",UPPER($E713)),999),IFERROR(FIND("BULK",UPPER($E713)),999),IFERROR(FIND("-",$E713),999),IFERROR(FIND("（",$E713),999))-1))=BK$1,$F713,""))</f>
        <v/>
      </c>
      <c r="BL713" s="268" t="str">
        <f t="shared" si="1051"/>
        <v/>
      </c>
      <c r="BM713" s="268" t="str">
        <f t="shared" si="1051"/>
        <v/>
      </c>
      <c r="BN713" s="268" t="str">
        <f t="shared" si="1051"/>
        <v/>
      </c>
      <c r="BO713" s="268" t="str">
        <f t="shared" si="1051"/>
        <v/>
      </c>
      <c r="BP713" s="268" t="str">
        <f t="shared" si="1051"/>
        <v/>
      </c>
      <c r="BQ713" s="268" t="str">
        <f t="shared" si="1051"/>
        <v/>
      </c>
      <c r="BR713" s="268" t="str">
        <f t="shared" si="1051"/>
        <v/>
      </c>
      <c r="BS713" s="268" t="str">
        <f t="shared" si="1051"/>
        <v/>
      </c>
      <c r="BT713" s="268" t="str">
        <f t="shared" si="945"/>
        <v/>
      </c>
      <c r="BU713" s="268" t="str">
        <f t="shared" si="1047"/>
        <v/>
      </c>
      <c r="BV713" s="247">
        <v>1.59</v>
      </c>
      <c r="BW713" s="729">
        <f t="shared" si="1048"/>
        <v>11161.8</v>
      </c>
      <c r="BX713" s="730">
        <f t="shared" si="1049"/>
        <v>86503.95</v>
      </c>
      <c r="BY713" s="731" t="str">
        <f t="shared" si="1050"/>
        <v>JC</v>
      </c>
    </row>
    <row r="714" s="698" customFormat="1" customHeight="1" spans="1:77">
      <c r="A714" s="208">
        <v>46139</v>
      </c>
      <c r="B714" s="208">
        <v>46200</v>
      </c>
      <c r="C714" s="268" t="s">
        <v>791</v>
      </c>
      <c r="D714" s="268" t="s">
        <v>792</v>
      </c>
      <c r="E714" s="268" t="s">
        <v>130</v>
      </c>
      <c r="F714" s="343">
        <v>7020</v>
      </c>
      <c r="G714" s="268" t="s">
        <v>341</v>
      </c>
      <c r="H714" s="211" t="str">
        <f>IFERROR(VLOOKUP(E714,名称!A:E,4,0),"")</f>
        <v>蛋糕</v>
      </c>
      <c r="I714" s="268" t="str">
        <f t="shared" si="992"/>
        <v/>
      </c>
      <c r="J714" s="268" t="str">
        <f t="shared" si="993"/>
        <v/>
      </c>
      <c r="K714" s="268" t="str">
        <f t="shared" si="994"/>
        <v/>
      </c>
      <c r="L714" s="268" t="str">
        <f t="shared" si="995"/>
        <v/>
      </c>
      <c r="M714" s="268" t="str">
        <f t="shared" si="996"/>
        <v/>
      </c>
      <c r="N714" s="268" t="str">
        <f t="shared" si="997"/>
        <v/>
      </c>
      <c r="O714" s="268" t="str">
        <f t="shared" si="998"/>
        <v/>
      </c>
      <c r="P714" s="268" t="str">
        <f t="shared" si="999"/>
        <v/>
      </c>
      <c r="Q714" s="268" t="str">
        <f t="shared" si="1000"/>
        <v/>
      </c>
      <c r="R714" s="268" t="str">
        <f t="shared" si="1001"/>
        <v/>
      </c>
      <c r="S714" s="268" t="str">
        <f t="shared" si="1002"/>
        <v/>
      </c>
      <c r="T714" s="268" t="str">
        <f t="shared" si="1003"/>
        <v/>
      </c>
      <c r="U714" s="268" t="str">
        <f t="shared" si="1004"/>
        <v/>
      </c>
      <c r="V714" s="268" t="str">
        <f t="shared" si="1005"/>
        <v/>
      </c>
      <c r="W714" s="268" t="str">
        <f t="shared" si="1006"/>
        <v/>
      </c>
      <c r="X714" s="268" t="str">
        <f t="shared" si="1007"/>
        <v/>
      </c>
      <c r="Y714" s="268" t="str">
        <f t="shared" si="1008"/>
        <v/>
      </c>
      <c r="Z714" s="268" t="str">
        <f t="shared" si="1009"/>
        <v/>
      </c>
      <c r="AA714" s="268" t="str">
        <f t="shared" si="1010"/>
        <v/>
      </c>
      <c r="AB714" s="268" t="str">
        <f t="shared" si="1011"/>
        <v/>
      </c>
      <c r="AC714" s="268" t="str">
        <f t="shared" si="1012"/>
        <v/>
      </c>
      <c r="AD714" s="268" t="str">
        <f t="shared" si="1013"/>
        <v/>
      </c>
      <c r="AE714" s="268" t="str">
        <f t="shared" si="1014"/>
        <v/>
      </c>
      <c r="AF714" s="268" t="str">
        <f t="shared" si="1015"/>
        <v/>
      </c>
      <c r="AG714" s="268" t="str">
        <f t="shared" si="1016"/>
        <v/>
      </c>
      <c r="AH714" s="268" t="str">
        <f t="shared" si="1017"/>
        <v/>
      </c>
      <c r="AI714" s="268" t="str">
        <f t="shared" si="1018"/>
        <v/>
      </c>
      <c r="AJ714" s="268" t="str">
        <f t="shared" si="1019"/>
        <v/>
      </c>
      <c r="AK714" s="268" t="str">
        <f t="shared" si="1020"/>
        <v/>
      </c>
      <c r="AL714" s="268" t="str">
        <f t="shared" si="1021"/>
        <v/>
      </c>
      <c r="AM714" s="268" t="str">
        <f t="shared" si="1022"/>
        <v/>
      </c>
      <c r="AN714" s="268" t="str">
        <f t="shared" si="1023"/>
        <v/>
      </c>
      <c r="AO714" s="268" t="str">
        <f t="shared" si="1024"/>
        <v/>
      </c>
      <c r="AP714" s="268" t="str">
        <f t="shared" si="1025"/>
        <v/>
      </c>
      <c r="AQ714" s="268" t="str">
        <f t="shared" si="1026"/>
        <v/>
      </c>
      <c r="AR714" s="268" t="str">
        <f t="shared" si="1027"/>
        <v/>
      </c>
      <c r="AS714" s="268" t="str">
        <f t="shared" si="1028"/>
        <v/>
      </c>
      <c r="AT714" s="268" t="str">
        <f t="shared" si="1029"/>
        <v/>
      </c>
      <c r="AU714" s="268" t="str">
        <f t="shared" si="1030"/>
        <v/>
      </c>
      <c r="AV714" s="268" t="str">
        <f t="shared" si="1031"/>
        <v/>
      </c>
      <c r="AW714" s="268" t="str">
        <f t="shared" si="1032"/>
        <v/>
      </c>
      <c r="AX714" s="268" t="str">
        <f t="shared" si="1033"/>
        <v/>
      </c>
      <c r="AY714" s="268" t="str">
        <f t="shared" si="1034"/>
        <v/>
      </c>
      <c r="AZ714" s="268" t="str">
        <f t="shared" si="1035"/>
        <v/>
      </c>
      <c r="BA714" s="268" t="str">
        <f t="shared" si="1036"/>
        <v/>
      </c>
      <c r="BB714" s="268" t="str">
        <f t="shared" si="1037"/>
        <v/>
      </c>
      <c r="BC714" s="268" t="str">
        <f t="shared" si="1038"/>
        <v/>
      </c>
      <c r="BD714" s="268" t="str">
        <f t="shared" si="1039"/>
        <v/>
      </c>
      <c r="BE714" s="268" t="str">
        <f t="shared" si="1040"/>
        <v/>
      </c>
      <c r="BF714" s="268" t="str">
        <f t="shared" si="1041"/>
        <v/>
      </c>
      <c r="BG714" s="268">
        <f t="shared" si="1042"/>
        <v>7020</v>
      </c>
      <c r="BH714" s="268" t="str">
        <f t="shared" si="1043"/>
        <v/>
      </c>
      <c r="BI714" s="268" t="str">
        <f t="shared" si="1044"/>
        <v/>
      </c>
      <c r="BJ714" s="268" t="str">
        <f t="shared" si="1045"/>
        <v/>
      </c>
      <c r="BK714" s="268" t="str">
        <f t="shared" ref="BK714:BS714" si="1052">IF(OR($E714="",BK$1=""),"",IF(TRIM(LEFT($E714,MIN(IFERROR(FIND("CDU",UPPER($E714)),999),IFERROR(FIND("BULK",UPPER($E714)),999),IFERROR(FIND("-",$E714),999),IFERROR(FIND("（",$E714),999))-1))=BK$1,$F714,""))</f>
        <v/>
      </c>
      <c r="BL714" s="268" t="str">
        <f t="shared" si="1052"/>
        <v/>
      </c>
      <c r="BM714" s="268" t="str">
        <f t="shared" si="1052"/>
        <v/>
      </c>
      <c r="BN714" s="268" t="str">
        <f t="shared" si="1052"/>
        <v/>
      </c>
      <c r="BO714" s="268" t="str">
        <f t="shared" si="1052"/>
        <v/>
      </c>
      <c r="BP714" s="268" t="str">
        <f t="shared" si="1052"/>
        <v/>
      </c>
      <c r="BQ714" s="268" t="str">
        <f t="shared" si="1052"/>
        <v/>
      </c>
      <c r="BR714" s="268" t="str">
        <f t="shared" si="1052"/>
        <v/>
      </c>
      <c r="BS714" s="268" t="str">
        <f t="shared" si="1052"/>
        <v/>
      </c>
      <c r="BT714" s="268" t="str">
        <f t="shared" si="945"/>
        <v/>
      </c>
      <c r="BU714" s="268" t="str">
        <f t="shared" si="1047"/>
        <v/>
      </c>
      <c r="BV714" s="247">
        <v>1.59</v>
      </c>
      <c r="BW714" s="729">
        <f t="shared" si="1048"/>
        <v>11161.8</v>
      </c>
      <c r="BX714" s="730">
        <f t="shared" si="1049"/>
        <v>86503.95</v>
      </c>
      <c r="BY714" s="731" t="str">
        <f t="shared" si="1050"/>
        <v>JC</v>
      </c>
    </row>
    <row r="715" s="698" customFormat="1" customHeight="1" spans="1:77">
      <c r="A715" s="208">
        <v>46139</v>
      </c>
      <c r="B715" s="208">
        <v>46200</v>
      </c>
      <c r="C715" s="268" t="s">
        <v>791</v>
      </c>
      <c r="D715" s="268" t="s">
        <v>792</v>
      </c>
      <c r="E715" s="268" t="s">
        <v>131</v>
      </c>
      <c r="F715" s="343">
        <v>5160</v>
      </c>
      <c r="G715" s="268" t="s">
        <v>341</v>
      </c>
      <c r="H715" s="211" t="str">
        <f>IFERROR(VLOOKUP(E715,名称!A:E,4,0),"")</f>
        <v>蛋糕</v>
      </c>
      <c r="I715" s="268" t="str">
        <f t="shared" si="992"/>
        <v/>
      </c>
      <c r="J715" s="268" t="str">
        <f t="shared" si="993"/>
        <v/>
      </c>
      <c r="K715" s="268" t="str">
        <f t="shared" si="994"/>
        <v/>
      </c>
      <c r="L715" s="268" t="str">
        <f t="shared" si="995"/>
        <v/>
      </c>
      <c r="M715" s="268" t="str">
        <f t="shared" si="996"/>
        <v/>
      </c>
      <c r="N715" s="268" t="str">
        <f t="shared" si="997"/>
        <v/>
      </c>
      <c r="O715" s="268" t="str">
        <f t="shared" si="998"/>
        <v/>
      </c>
      <c r="P715" s="268" t="str">
        <f t="shared" si="999"/>
        <v/>
      </c>
      <c r="Q715" s="268" t="str">
        <f t="shared" si="1000"/>
        <v/>
      </c>
      <c r="R715" s="268" t="str">
        <f t="shared" si="1001"/>
        <v/>
      </c>
      <c r="S715" s="268" t="str">
        <f t="shared" si="1002"/>
        <v/>
      </c>
      <c r="T715" s="268" t="str">
        <f t="shared" si="1003"/>
        <v/>
      </c>
      <c r="U715" s="268" t="str">
        <f t="shared" si="1004"/>
        <v/>
      </c>
      <c r="V715" s="268" t="str">
        <f t="shared" si="1005"/>
        <v/>
      </c>
      <c r="W715" s="268" t="str">
        <f t="shared" si="1006"/>
        <v/>
      </c>
      <c r="X715" s="268" t="str">
        <f t="shared" si="1007"/>
        <v/>
      </c>
      <c r="Y715" s="268" t="str">
        <f t="shared" si="1008"/>
        <v/>
      </c>
      <c r="Z715" s="268" t="str">
        <f t="shared" si="1009"/>
        <v/>
      </c>
      <c r="AA715" s="268" t="str">
        <f t="shared" si="1010"/>
        <v/>
      </c>
      <c r="AB715" s="268" t="str">
        <f t="shared" si="1011"/>
        <v/>
      </c>
      <c r="AC715" s="268" t="str">
        <f t="shared" si="1012"/>
        <v/>
      </c>
      <c r="AD715" s="268" t="str">
        <f t="shared" si="1013"/>
        <v/>
      </c>
      <c r="AE715" s="268" t="str">
        <f t="shared" si="1014"/>
        <v/>
      </c>
      <c r="AF715" s="268" t="str">
        <f t="shared" si="1015"/>
        <v/>
      </c>
      <c r="AG715" s="268" t="str">
        <f t="shared" si="1016"/>
        <v/>
      </c>
      <c r="AH715" s="268" t="str">
        <f t="shared" si="1017"/>
        <v/>
      </c>
      <c r="AI715" s="268" t="str">
        <f t="shared" si="1018"/>
        <v/>
      </c>
      <c r="AJ715" s="268" t="str">
        <f t="shared" si="1019"/>
        <v/>
      </c>
      <c r="AK715" s="268" t="str">
        <f t="shared" si="1020"/>
        <v/>
      </c>
      <c r="AL715" s="268" t="str">
        <f t="shared" si="1021"/>
        <v/>
      </c>
      <c r="AM715" s="268" t="str">
        <f t="shared" si="1022"/>
        <v/>
      </c>
      <c r="AN715" s="268" t="str">
        <f t="shared" si="1023"/>
        <v/>
      </c>
      <c r="AO715" s="268" t="str">
        <f t="shared" si="1024"/>
        <v/>
      </c>
      <c r="AP715" s="268" t="str">
        <f t="shared" si="1025"/>
        <v/>
      </c>
      <c r="AQ715" s="268" t="str">
        <f t="shared" si="1026"/>
        <v/>
      </c>
      <c r="AR715" s="268" t="str">
        <f t="shared" si="1027"/>
        <v/>
      </c>
      <c r="AS715" s="268" t="str">
        <f t="shared" si="1028"/>
        <v/>
      </c>
      <c r="AT715" s="268" t="str">
        <f t="shared" si="1029"/>
        <v/>
      </c>
      <c r="AU715" s="268" t="str">
        <f t="shared" si="1030"/>
        <v/>
      </c>
      <c r="AV715" s="268" t="str">
        <f t="shared" si="1031"/>
        <v/>
      </c>
      <c r="AW715" s="268" t="str">
        <f t="shared" si="1032"/>
        <v/>
      </c>
      <c r="AX715" s="268" t="str">
        <f t="shared" si="1033"/>
        <v/>
      </c>
      <c r="AY715" s="268" t="str">
        <f t="shared" si="1034"/>
        <v/>
      </c>
      <c r="AZ715" s="268" t="str">
        <f t="shared" si="1035"/>
        <v/>
      </c>
      <c r="BA715" s="268" t="str">
        <f t="shared" si="1036"/>
        <v/>
      </c>
      <c r="BB715" s="268" t="str">
        <f t="shared" si="1037"/>
        <v/>
      </c>
      <c r="BC715" s="268" t="str">
        <f t="shared" si="1038"/>
        <v/>
      </c>
      <c r="BD715" s="268" t="str">
        <f t="shared" si="1039"/>
        <v/>
      </c>
      <c r="BE715" s="268" t="str">
        <f t="shared" si="1040"/>
        <v/>
      </c>
      <c r="BF715" s="268" t="str">
        <f t="shared" si="1041"/>
        <v/>
      </c>
      <c r="BG715" s="268">
        <f t="shared" si="1042"/>
        <v>5160</v>
      </c>
      <c r="BH715" s="268" t="str">
        <f t="shared" si="1043"/>
        <v/>
      </c>
      <c r="BI715" s="268" t="str">
        <f t="shared" si="1044"/>
        <v/>
      </c>
      <c r="BJ715" s="268" t="str">
        <f t="shared" si="1045"/>
        <v/>
      </c>
      <c r="BK715" s="268" t="str">
        <f t="shared" ref="BK715:BU715" si="1053">IF(OR($E715="",BK$1=""),"",IF(TRIM(LEFT($E715,MIN(IFERROR(FIND("CDU",UPPER($E715)),999),IFERROR(FIND("BULK",UPPER($E715)),999),IFERROR(FIND("-",$E715),999),IFERROR(FIND("（",$E715),999))-1))=BK$1,$F715,""))</f>
        <v/>
      </c>
      <c r="BL715" s="268" t="str">
        <f t="shared" si="1053"/>
        <v/>
      </c>
      <c r="BM715" s="268" t="str">
        <f t="shared" si="1053"/>
        <v/>
      </c>
      <c r="BN715" s="268" t="str">
        <f t="shared" si="1053"/>
        <v/>
      </c>
      <c r="BO715" s="268" t="str">
        <f t="shared" si="1053"/>
        <v/>
      </c>
      <c r="BP715" s="268" t="str">
        <f t="shared" si="1053"/>
        <v/>
      </c>
      <c r="BQ715" s="268" t="str">
        <f t="shared" si="1053"/>
        <v/>
      </c>
      <c r="BR715" s="268" t="str">
        <f t="shared" si="1053"/>
        <v/>
      </c>
      <c r="BS715" s="268" t="str">
        <f t="shared" si="1053"/>
        <v/>
      </c>
      <c r="BT715" s="268" t="str">
        <f t="shared" si="1053"/>
        <v/>
      </c>
      <c r="BU715" s="268" t="str">
        <f t="shared" si="1053"/>
        <v/>
      </c>
      <c r="BV715" s="247">
        <v>1.59</v>
      </c>
      <c r="BW715" s="729">
        <f t="shared" si="1048"/>
        <v>8204.4</v>
      </c>
      <c r="BX715" s="730">
        <f t="shared" si="1049"/>
        <v>63584.1</v>
      </c>
      <c r="BY715" s="731" t="str">
        <f t="shared" si="1050"/>
        <v>JC</v>
      </c>
    </row>
    <row r="716" s="697" customFormat="1" customHeight="1" spans="1:77">
      <c r="A716" s="116">
        <v>46139</v>
      </c>
      <c r="B716" s="116">
        <v>46200</v>
      </c>
      <c r="C716" s="418" t="s">
        <v>791</v>
      </c>
      <c r="D716" s="418" t="s">
        <v>792</v>
      </c>
      <c r="E716" s="418" t="s">
        <v>131</v>
      </c>
      <c r="F716" s="737">
        <f>5580-5160</f>
        <v>420</v>
      </c>
      <c r="G716" s="418" t="s">
        <v>341</v>
      </c>
      <c r="H716" s="118" t="str">
        <f>IFERROR(VLOOKUP(E716,名称!A:E,4,0),"")</f>
        <v>蛋糕</v>
      </c>
      <c r="I716" s="418" t="str">
        <f t="shared" si="992"/>
        <v/>
      </c>
      <c r="J716" s="418" t="str">
        <f t="shared" si="993"/>
        <v/>
      </c>
      <c r="K716" s="418" t="str">
        <f t="shared" si="994"/>
        <v/>
      </c>
      <c r="L716" s="418" t="str">
        <f t="shared" si="995"/>
        <v/>
      </c>
      <c r="M716" s="418" t="str">
        <f t="shared" si="996"/>
        <v/>
      </c>
      <c r="N716" s="418" t="str">
        <f t="shared" si="997"/>
        <v/>
      </c>
      <c r="O716" s="418" t="str">
        <f t="shared" si="998"/>
        <v/>
      </c>
      <c r="P716" s="418" t="str">
        <f t="shared" si="999"/>
        <v/>
      </c>
      <c r="Q716" s="418" t="str">
        <f t="shared" si="1000"/>
        <v/>
      </c>
      <c r="R716" s="418" t="str">
        <f t="shared" si="1001"/>
        <v/>
      </c>
      <c r="S716" s="418" t="str">
        <f t="shared" si="1002"/>
        <v/>
      </c>
      <c r="T716" s="418" t="str">
        <f t="shared" si="1003"/>
        <v/>
      </c>
      <c r="U716" s="418" t="str">
        <f t="shared" si="1004"/>
        <v/>
      </c>
      <c r="V716" s="418" t="str">
        <f t="shared" si="1005"/>
        <v/>
      </c>
      <c r="W716" s="418" t="str">
        <f t="shared" si="1006"/>
        <v/>
      </c>
      <c r="X716" s="418" t="str">
        <f t="shared" si="1007"/>
        <v/>
      </c>
      <c r="Y716" s="418" t="str">
        <f t="shared" si="1008"/>
        <v/>
      </c>
      <c r="Z716" s="418" t="str">
        <f t="shared" si="1009"/>
        <v/>
      </c>
      <c r="AA716" s="418" t="str">
        <f t="shared" si="1010"/>
        <v/>
      </c>
      <c r="AB716" s="418" t="str">
        <f t="shared" si="1011"/>
        <v/>
      </c>
      <c r="AC716" s="418" t="str">
        <f t="shared" si="1012"/>
        <v/>
      </c>
      <c r="AD716" s="418" t="str">
        <f t="shared" si="1013"/>
        <v/>
      </c>
      <c r="AE716" s="418" t="str">
        <f t="shared" si="1014"/>
        <v/>
      </c>
      <c r="AF716" s="418" t="str">
        <f t="shared" si="1015"/>
        <v/>
      </c>
      <c r="AG716" s="418" t="str">
        <f t="shared" si="1016"/>
        <v/>
      </c>
      <c r="AH716" s="418" t="str">
        <f t="shared" si="1017"/>
        <v/>
      </c>
      <c r="AI716" s="418" t="str">
        <f t="shared" si="1018"/>
        <v/>
      </c>
      <c r="AJ716" s="418" t="str">
        <f t="shared" si="1019"/>
        <v/>
      </c>
      <c r="AK716" s="418" t="str">
        <f t="shared" si="1020"/>
        <v/>
      </c>
      <c r="AL716" s="418" t="str">
        <f t="shared" si="1021"/>
        <v/>
      </c>
      <c r="AM716" s="418" t="str">
        <f t="shared" si="1022"/>
        <v/>
      </c>
      <c r="AN716" s="418" t="str">
        <f t="shared" si="1023"/>
        <v/>
      </c>
      <c r="AO716" s="418" t="str">
        <f t="shared" si="1024"/>
        <v/>
      </c>
      <c r="AP716" s="418" t="str">
        <f t="shared" si="1025"/>
        <v/>
      </c>
      <c r="AQ716" s="418" t="str">
        <f t="shared" si="1026"/>
        <v/>
      </c>
      <c r="AR716" s="418" t="str">
        <f t="shared" si="1027"/>
        <v/>
      </c>
      <c r="AS716" s="418" t="str">
        <f t="shared" si="1028"/>
        <v/>
      </c>
      <c r="AT716" s="418" t="str">
        <f t="shared" si="1029"/>
        <v/>
      </c>
      <c r="AU716" s="418" t="str">
        <f t="shared" si="1030"/>
        <v/>
      </c>
      <c r="AV716" s="418" t="str">
        <f t="shared" si="1031"/>
        <v/>
      </c>
      <c r="AW716" s="418" t="str">
        <f t="shared" si="1032"/>
        <v/>
      </c>
      <c r="AX716" s="418" t="str">
        <f t="shared" si="1033"/>
        <v/>
      </c>
      <c r="AY716" s="418" t="str">
        <f t="shared" si="1034"/>
        <v/>
      </c>
      <c r="AZ716" s="418" t="str">
        <f t="shared" si="1035"/>
        <v/>
      </c>
      <c r="BA716" s="418" t="str">
        <f t="shared" si="1036"/>
        <v/>
      </c>
      <c r="BB716" s="418" t="str">
        <f t="shared" si="1037"/>
        <v/>
      </c>
      <c r="BC716" s="418" t="str">
        <f t="shared" si="1038"/>
        <v/>
      </c>
      <c r="BD716" s="418" t="str">
        <f t="shared" si="1039"/>
        <v/>
      </c>
      <c r="BE716" s="418" t="str">
        <f t="shared" si="1040"/>
        <v/>
      </c>
      <c r="BF716" s="418" t="str">
        <f t="shared" si="1041"/>
        <v/>
      </c>
      <c r="BG716" s="418">
        <f t="shared" si="1042"/>
        <v>420</v>
      </c>
      <c r="BH716" s="418" t="str">
        <f t="shared" si="1043"/>
        <v/>
      </c>
      <c r="BI716" s="418" t="str">
        <f t="shared" si="1044"/>
        <v/>
      </c>
      <c r="BJ716" s="418" t="str">
        <f t="shared" si="1045"/>
        <v/>
      </c>
      <c r="BK716" s="418" t="str">
        <f t="shared" ref="BK716:BT716" si="1054">IF(OR($E716="",BK$1=""),"",IF(TRIM(LEFT($E716,MIN(IFERROR(FIND("CDU",UPPER($E716)),999),IFERROR(FIND("BULK",UPPER($E716)),999),IFERROR(FIND("-",$E716),999),IFERROR(FIND("（",$E716),999))-1))=BK$1,$F716,""))</f>
        <v/>
      </c>
      <c r="BL716" s="418" t="str">
        <f t="shared" si="1054"/>
        <v/>
      </c>
      <c r="BM716" s="418" t="str">
        <f t="shared" si="1054"/>
        <v/>
      </c>
      <c r="BN716" s="418" t="str">
        <f t="shared" si="1054"/>
        <v/>
      </c>
      <c r="BO716" s="418" t="str">
        <f t="shared" si="1054"/>
        <v/>
      </c>
      <c r="BP716" s="418" t="str">
        <f t="shared" si="1054"/>
        <v/>
      </c>
      <c r="BQ716" s="418" t="str">
        <f t="shared" si="1054"/>
        <v/>
      </c>
      <c r="BR716" s="418" t="str">
        <f t="shared" si="1054"/>
        <v/>
      </c>
      <c r="BS716" s="418" t="str">
        <f t="shared" si="1054"/>
        <v/>
      </c>
      <c r="BT716" s="418" t="str">
        <f t="shared" si="1054"/>
        <v/>
      </c>
      <c r="BU716" s="418" t="str">
        <f t="shared" si="1047"/>
        <v/>
      </c>
      <c r="BV716" s="544">
        <v>1.2</v>
      </c>
      <c r="BW716" s="723">
        <f t="shared" si="1048"/>
        <v>504</v>
      </c>
      <c r="BX716" s="724">
        <f t="shared" si="1049"/>
        <v>3906</v>
      </c>
      <c r="BY716" s="725" t="str">
        <f t="shared" si="1050"/>
        <v>JC</v>
      </c>
    </row>
    <row r="717" s="698" customFormat="1" customHeight="1" spans="1:77">
      <c r="A717" s="208">
        <v>46139</v>
      </c>
      <c r="B717" s="208">
        <v>46200</v>
      </c>
      <c r="C717" s="268" t="s">
        <v>791</v>
      </c>
      <c r="D717" s="268" t="s">
        <v>792</v>
      </c>
      <c r="E717" s="268" t="s">
        <v>155</v>
      </c>
      <c r="F717" s="270">
        <v>5400</v>
      </c>
      <c r="G717" s="268" t="s">
        <v>341</v>
      </c>
      <c r="H717" s="211" t="str">
        <f>IFERROR(VLOOKUP(E717,名称!A:E,4,0),"")</f>
        <v>三代</v>
      </c>
      <c r="I717" s="268" t="str">
        <f t="shared" ref="I717:BT717" si="1055">IF(OR($E717="",I$1=""),"",IF(TRIM(LEFT($E717,MIN(IFERROR(FIND("CDU",UPPER($E717)),999),IFERROR(FIND("BULK",UPPER($E717)),999),IFERROR(FIND("-",$E717),999),IFERROR(FIND("（",$E717),999))-1))=I$1,$F717,""))</f>
        <v/>
      </c>
      <c r="J717" s="268" t="str">
        <f t="shared" si="1055"/>
        <v/>
      </c>
      <c r="K717" s="268" t="str">
        <f t="shared" si="1055"/>
        <v/>
      </c>
      <c r="L717" s="268" t="str">
        <f t="shared" si="1055"/>
        <v/>
      </c>
      <c r="M717" s="268" t="str">
        <f t="shared" si="1055"/>
        <v/>
      </c>
      <c r="N717" s="268" t="str">
        <f t="shared" si="1055"/>
        <v/>
      </c>
      <c r="O717" s="268" t="str">
        <f t="shared" si="1055"/>
        <v/>
      </c>
      <c r="P717" s="268" t="str">
        <f t="shared" si="1055"/>
        <v/>
      </c>
      <c r="Q717" s="268" t="str">
        <f t="shared" si="1055"/>
        <v/>
      </c>
      <c r="R717" s="268" t="str">
        <f t="shared" si="1055"/>
        <v/>
      </c>
      <c r="S717" s="268" t="str">
        <f t="shared" si="1055"/>
        <v/>
      </c>
      <c r="T717" s="268" t="str">
        <f t="shared" si="1055"/>
        <v/>
      </c>
      <c r="U717" s="268" t="str">
        <f t="shared" si="1055"/>
        <v/>
      </c>
      <c r="V717" s="268" t="str">
        <f t="shared" si="1055"/>
        <v/>
      </c>
      <c r="W717" s="268" t="str">
        <f t="shared" si="1055"/>
        <v/>
      </c>
      <c r="X717" s="268" t="str">
        <f t="shared" si="1055"/>
        <v/>
      </c>
      <c r="Y717" s="268" t="str">
        <f t="shared" si="1055"/>
        <v/>
      </c>
      <c r="Z717" s="268" t="str">
        <f t="shared" si="1055"/>
        <v/>
      </c>
      <c r="AA717" s="268" t="str">
        <f t="shared" si="1055"/>
        <v/>
      </c>
      <c r="AB717" s="268" t="str">
        <f t="shared" si="1055"/>
        <v/>
      </c>
      <c r="AC717" s="268" t="str">
        <f t="shared" si="1055"/>
        <v/>
      </c>
      <c r="AD717" s="268" t="str">
        <f t="shared" si="1055"/>
        <v/>
      </c>
      <c r="AE717" s="268" t="str">
        <f t="shared" si="1055"/>
        <v/>
      </c>
      <c r="AF717" s="268" t="str">
        <f t="shared" si="1055"/>
        <v/>
      </c>
      <c r="AG717" s="268" t="str">
        <f t="shared" si="1055"/>
        <v/>
      </c>
      <c r="AH717" s="268" t="str">
        <f t="shared" si="1055"/>
        <v/>
      </c>
      <c r="AI717" s="268" t="str">
        <f t="shared" si="1055"/>
        <v/>
      </c>
      <c r="AJ717" s="268" t="str">
        <f t="shared" si="1055"/>
        <v/>
      </c>
      <c r="AK717" s="268" t="str">
        <f t="shared" si="1055"/>
        <v/>
      </c>
      <c r="AL717" s="268" t="str">
        <f t="shared" si="1055"/>
        <v/>
      </c>
      <c r="AM717" s="268" t="str">
        <f t="shared" si="1055"/>
        <v/>
      </c>
      <c r="AN717" s="268">
        <f t="shared" si="1055"/>
        <v>5400</v>
      </c>
      <c r="AO717" s="268" t="str">
        <f t="shared" si="1055"/>
        <v/>
      </c>
      <c r="AP717" s="268" t="str">
        <f t="shared" si="1055"/>
        <v/>
      </c>
      <c r="AQ717" s="268" t="str">
        <f t="shared" si="1055"/>
        <v/>
      </c>
      <c r="AR717" s="268" t="str">
        <f t="shared" si="1055"/>
        <v/>
      </c>
      <c r="AS717" s="268" t="str">
        <f t="shared" si="1055"/>
        <v/>
      </c>
      <c r="AT717" s="268" t="str">
        <f t="shared" si="1055"/>
        <v/>
      </c>
      <c r="AU717" s="268" t="str">
        <f t="shared" si="1055"/>
        <v/>
      </c>
      <c r="AV717" s="268" t="str">
        <f t="shared" si="1055"/>
        <v/>
      </c>
      <c r="AW717" s="268" t="str">
        <f t="shared" si="1055"/>
        <v/>
      </c>
      <c r="AX717" s="268" t="str">
        <f t="shared" si="1055"/>
        <v/>
      </c>
      <c r="AY717" s="268" t="str">
        <f t="shared" si="1055"/>
        <v/>
      </c>
      <c r="AZ717" s="268" t="str">
        <f t="shared" si="1055"/>
        <v/>
      </c>
      <c r="BA717" s="268" t="str">
        <f t="shared" si="1055"/>
        <v/>
      </c>
      <c r="BB717" s="268" t="str">
        <f t="shared" si="1055"/>
        <v/>
      </c>
      <c r="BC717" s="268" t="str">
        <f t="shared" si="1055"/>
        <v/>
      </c>
      <c r="BD717" s="268" t="str">
        <f t="shared" si="1055"/>
        <v/>
      </c>
      <c r="BE717" s="268" t="str">
        <f t="shared" si="1055"/>
        <v/>
      </c>
      <c r="BF717" s="268" t="str">
        <f t="shared" si="1055"/>
        <v/>
      </c>
      <c r="BG717" s="268" t="str">
        <f t="shared" si="1055"/>
        <v/>
      </c>
      <c r="BH717" s="268" t="str">
        <f t="shared" si="1055"/>
        <v/>
      </c>
      <c r="BI717" s="268" t="str">
        <f t="shared" si="1055"/>
        <v/>
      </c>
      <c r="BJ717" s="268" t="str">
        <f t="shared" si="1055"/>
        <v/>
      </c>
      <c r="BK717" s="268" t="str">
        <f t="shared" si="1055"/>
        <v/>
      </c>
      <c r="BL717" s="268" t="str">
        <f t="shared" si="1055"/>
        <v/>
      </c>
      <c r="BM717" s="268" t="str">
        <f t="shared" si="1055"/>
        <v/>
      </c>
      <c r="BN717" s="268" t="str">
        <f t="shared" si="1055"/>
        <v/>
      </c>
      <c r="BO717" s="268" t="str">
        <f t="shared" si="1055"/>
        <v/>
      </c>
      <c r="BP717" s="268" t="str">
        <f t="shared" si="1055"/>
        <v/>
      </c>
      <c r="BQ717" s="268" t="str">
        <f t="shared" si="1055"/>
        <v/>
      </c>
      <c r="BR717" s="268" t="str">
        <f t="shared" si="1055"/>
        <v/>
      </c>
      <c r="BS717" s="268" t="str">
        <f t="shared" si="1055"/>
        <v/>
      </c>
      <c r="BT717" s="268" t="str">
        <f t="shared" si="1055"/>
        <v/>
      </c>
      <c r="BU717" s="268" t="str">
        <f t="shared" si="1047"/>
        <v/>
      </c>
      <c r="BV717" s="247">
        <v>1.57</v>
      </c>
      <c r="BW717" s="729">
        <f t="shared" si="1048"/>
        <v>8478</v>
      </c>
      <c r="BX717" s="730">
        <f t="shared" si="1049"/>
        <v>65704.5</v>
      </c>
      <c r="BY717" s="731" t="str">
        <f t="shared" si="1050"/>
        <v>SR</v>
      </c>
    </row>
    <row r="718" s="698" customFormat="1" customHeight="1" spans="1:77">
      <c r="A718" s="208">
        <v>46139</v>
      </c>
      <c r="B718" s="208">
        <v>46200</v>
      </c>
      <c r="C718" s="268" t="s">
        <v>791</v>
      </c>
      <c r="D718" s="268" t="s">
        <v>792</v>
      </c>
      <c r="E718" s="268" t="s">
        <v>156</v>
      </c>
      <c r="F718" s="270">
        <v>6300</v>
      </c>
      <c r="G718" s="268" t="s">
        <v>341</v>
      </c>
      <c r="H718" s="211" t="str">
        <f>IFERROR(VLOOKUP(E718,名称!A:E,4,0),"")</f>
        <v>三代</v>
      </c>
      <c r="I718" s="268" t="str">
        <f t="shared" ref="I718:BT718" si="1056">IF(OR($E718="",I$1=""),"",IF(TRIM(LEFT($E718,MIN(IFERROR(FIND("CDU",UPPER($E718)),999),IFERROR(FIND("BULK",UPPER($E718)),999),IFERROR(FIND("-",$E718),999),IFERROR(FIND("（",$E718),999))-1))=I$1,$F718,""))</f>
        <v/>
      </c>
      <c r="J718" s="268" t="str">
        <f t="shared" si="1056"/>
        <v/>
      </c>
      <c r="K718" s="268" t="str">
        <f t="shared" si="1056"/>
        <v/>
      </c>
      <c r="L718" s="268" t="str">
        <f t="shared" si="1056"/>
        <v/>
      </c>
      <c r="M718" s="268" t="str">
        <f t="shared" si="1056"/>
        <v/>
      </c>
      <c r="N718" s="268" t="str">
        <f t="shared" si="1056"/>
        <v/>
      </c>
      <c r="O718" s="268" t="str">
        <f t="shared" si="1056"/>
        <v/>
      </c>
      <c r="P718" s="268" t="str">
        <f t="shared" si="1056"/>
        <v/>
      </c>
      <c r="Q718" s="268" t="str">
        <f t="shared" si="1056"/>
        <v/>
      </c>
      <c r="R718" s="268" t="str">
        <f t="shared" si="1056"/>
        <v/>
      </c>
      <c r="S718" s="268" t="str">
        <f t="shared" si="1056"/>
        <v/>
      </c>
      <c r="T718" s="268" t="str">
        <f t="shared" si="1056"/>
        <v/>
      </c>
      <c r="U718" s="268" t="str">
        <f t="shared" si="1056"/>
        <v/>
      </c>
      <c r="V718" s="268" t="str">
        <f t="shared" si="1056"/>
        <v/>
      </c>
      <c r="W718" s="268" t="str">
        <f t="shared" si="1056"/>
        <v/>
      </c>
      <c r="X718" s="268" t="str">
        <f t="shared" si="1056"/>
        <v/>
      </c>
      <c r="Y718" s="268" t="str">
        <f t="shared" si="1056"/>
        <v/>
      </c>
      <c r="Z718" s="268" t="str">
        <f t="shared" si="1056"/>
        <v/>
      </c>
      <c r="AA718" s="268" t="str">
        <f t="shared" si="1056"/>
        <v/>
      </c>
      <c r="AB718" s="268" t="str">
        <f t="shared" si="1056"/>
        <v/>
      </c>
      <c r="AC718" s="268" t="str">
        <f t="shared" si="1056"/>
        <v/>
      </c>
      <c r="AD718" s="268" t="str">
        <f t="shared" si="1056"/>
        <v/>
      </c>
      <c r="AE718" s="268" t="str">
        <f t="shared" si="1056"/>
        <v/>
      </c>
      <c r="AF718" s="268" t="str">
        <f t="shared" si="1056"/>
        <v/>
      </c>
      <c r="AG718" s="268" t="str">
        <f t="shared" si="1056"/>
        <v/>
      </c>
      <c r="AH718" s="268" t="str">
        <f t="shared" si="1056"/>
        <v/>
      </c>
      <c r="AI718" s="268" t="str">
        <f t="shared" si="1056"/>
        <v/>
      </c>
      <c r="AJ718" s="268" t="str">
        <f t="shared" si="1056"/>
        <v/>
      </c>
      <c r="AK718" s="268" t="str">
        <f t="shared" si="1056"/>
        <v/>
      </c>
      <c r="AL718" s="268" t="str">
        <f t="shared" si="1056"/>
        <v/>
      </c>
      <c r="AM718" s="268" t="str">
        <f t="shared" si="1056"/>
        <v/>
      </c>
      <c r="AN718" s="268">
        <f t="shared" si="1056"/>
        <v>6300</v>
      </c>
      <c r="AO718" s="268" t="str">
        <f t="shared" si="1056"/>
        <v/>
      </c>
      <c r="AP718" s="268" t="str">
        <f t="shared" si="1056"/>
        <v/>
      </c>
      <c r="AQ718" s="268" t="str">
        <f t="shared" si="1056"/>
        <v/>
      </c>
      <c r="AR718" s="268" t="str">
        <f t="shared" si="1056"/>
        <v/>
      </c>
      <c r="AS718" s="268" t="str">
        <f t="shared" si="1056"/>
        <v/>
      </c>
      <c r="AT718" s="268" t="str">
        <f t="shared" si="1056"/>
        <v/>
      </c>
      <c r="AU718" s="268" t="str">
        <f t="shared" si="1056"/>
        <v/>
      </c>
      <c r="AV718" s="268" t="str">
        <f t="shared" si="1056"/>
        <v/>
      </c>
      <c r="AW718" s="268" t="str">
        <f t="shared" si="1056"/>
        <v/>
      </c>
      <c r="AX718" s="268" t="str">
        <f t="shared" si="1056"/>
        <v/>
      </c>
      <c r="AY718" s="268" t="str">
        <f t="shared" si="1056"/>
        <v/>
      </c>
      <c r="AZ718" s="268" t="str">
        <f t="shared" si="1056"/>
        <v/>
      </c>
      <c r="BA718" s="268" t="str">
        <f t="shared" si="1056"/>
        <v/>
      </c>
      <c r="BB718" s="268" t="str">
        <f t="shared" si="1056"/>
        <v/>
      </c>
      <c r="BC718" s="268" t="str">
        <f t="shared" si="1056"/>
        <v/>
      </c>
      <c r="BD718" s="268" t="str">
        <f t="shared" si="1056"/>
        <v/>
      </c>
      <c r="BE718" s="268" t="str">
        <f t="shared" si="1056"/>
        <v/>
      </c>
      <c r="BF718" s="268" t="str">
        <f t="shared" si="1056"/>
        <v/>
      </c>
      <c r="BG718" s="268" t="str">
        <f t="shared" si="1056"/>
        <v/>
      </c>
      <c r="BH718" s="268" t="str">
        <f t="shared" si="1056"/>
        <v/>
      </c>
      <c r="BI718" s="268" t="str">
        <f t="shared" si="1056"/>
        <v/>
      </c>
      <c r="BJ718" s="268" t="str">
        <f t="shared" si="1056"/>
        <v/>
      </c>
      <c r="BK718" s="268" t="str">
        <f t="shared" si="1056"/>
        <v/>
      </c>
      <c r="BL718" s="268" t="str">
        <f t="shared" si="1056"/>
        <v/>
      </c>
      <c r="BM718" s="268" t="str">
        <f t="shared" si="1056"/>
        <v/>
      </c>
      <c r="BN718" s="268" t="str">
        <f t="shared" si="1056"/>
        <v/>
      </c>
      <c r="BO718" s="268" t="str">
        <f t="shared" si="1056"/>
        <v/>
      </c>
      <c r="BP718" s="268" t="str">
        <f t="shared" si="1056"/>
        <v/>
      </c>
      <c r="BQ718" s="268" t="str">
        <f t="shared" si="1056"/>
        <v/>
      </c>
      <c r="BR718" s="268" t="str">
        <f t="shared" si="1056"/>
        <v/>
      </c>
      <c r="BS718" s="268" t="str">
        <f t="shared" si="1056"/>
        <v/>
      </c>
      <c r="BT718" s="268" t="str">
        <f t="shared" si="1056"/>
        <v/>
      </c>
      <c r="BU718" s="268" t="str">
        <f t="shared" si="1047"/>
        <v/>
      </c>
      <c r="BV718" s="247">
        <v>1.57</v>
      </c>
      <c r="BW718" s="729">
        <f t="shared" si="1048"/>
        <v>9891</v>
      </c>
      <c r="BX718" s="730">
        <f t="shared" si="1049"/>
        <v>76655.25</v>
      </c>
      <c r="BY718" s="731" t="str">
        <f t="shared" si="1050"/>
        <v>SR</v>
      </c>
    </row>
    <row r="719" s="698" customFormat="1" customHeight="1" spans="1:77">
      <c r="A719" s="208">
        <v>46139</v>
      </c>
      <c r="B719" s="208">
        <v>46200</v>
      </c>
      <c r="C719" s="268" t="s">
        <v>791</v>
      </c>
      <c r="D719" s="268" t="s">
        <v>792</v>
      </c>
      <c r="E719" s="268" t="s">
        <v>157</v>
      </c>
      <c r="F719" s="270">
        <v>2100</v>
      </c>
      <c r="G719" s="268" t="s">
        <v>341</v>
      </c>
      <c r="H719" s="211" t="str">
        <f>IFERROR(VLOOKUP(E719,名称!A:E,4,0),"")</f>
        <v>三代</v>
      </c>
      <c r="I719" s="268" t="str">
        <f t="shared" ref="I719:BT719" si="1057">IF(OR($E719="",I$1=""),"",IF(TRIM(LEFT($E719,MIN(IFERROR(FIND("CDU",UPPER($E719)),999),IFERROR(FIND("BULK",UPPER($E719)),999),IFERROR(FIND("-",$E719),999),IFERROR(FIND("（",$E719),999))-1))=I$1,$F719,""))</f>
        <v/>
      </c>
      <c r="J719" s="268" t="str">
        <f t="shared" si="1057"/>
        <v/>
      </c>
      <c r="K719" s="268" t="str">
        <f t="shared" si="1057"/>
        <v/>
      </c>
      <c r="L719" s="268" t="str">
        <f t="shared" si="1057"/>
        <v/>
      </c>
      <c r="M719" s="268" t="str">
        <f t="shared" si="1057"/>
        <v/>
      </c>
      <c r="N719" s="268" t="str">
        <f t="shared" si="1057"/>
        <v/>
      </c>
      <c r="O719" s="268" t="str">
        <f t="shared" si="1057"/>
        <v/>
      </c>
      <c r="P719" s="268" t="str">
        <f t="shared" si="1057"/>
        <v/>
      </c>
      <c r="Q719" s="268" t="str">
        <f t="shared" si="1057"/>
        <v/>
      </c>
      <c r="R719" s="268" t="str">
        <f t="shared" si="1057"/>
        <v/>
      </c>
      <c r="S719" s="268" t="str">
        <f t="shared" si="1057"/>
        <v/>
      </c>
      <c r="T719" s="268" t="str">
        <f t="shared" si="1057"/>
        <v/>
      </c>
      <c r="U719" s="268" t="str">
        <f t="shared" si="1057"/>
        <v/>
      </c>
      <c r="V719" s="268" t="str">
        <f t="shared" si="1057"/>
        <v/>
      </c>
      <c r="W719" s="268" t="str">
        <f t="shared" si="1057"/>
        <v/>
      </c>
      <c r="X719" s="268" t="str">
        <f t="shared" si="1057"/>
        <v/>
      </c>
      <c r="Y719" s="268" t="str">
        <f t="shared" si="1057"/>
        <v/>
      </c>
      <c r="Z719" s="268" t="str">
        <f t="shared" si="1057"/>
        <v/>
      </c>
      <c r="AA719" s="268" t="str">
        <f t="shared" si="1057"/>
        <v/>
      </c>
      <c r="AB719" s="268" t="str">
        <f t="shared" si="1057"/>
        <v/>
      </c>
      <c r="AC719" s="268" t="str">
        <f t="shared" si="1057"/>
        <v/>
      </c>
      <c r="AD719" s="268" t="str">
        <f t="shared" si="1057"/>
        <v/>
      </c>
      <c r="AE719" s="268" t="str">
        <f t="shared" si="1057"/>
        <v/>
      </c>
      <c r="AF719" s="268" t="str">
        <f t="shared" si="1057"/>
        <v/>
      </c>
      <c r="AG719" s="268" t="str">
        <f t="shared" si="1057"/>
        <v/>
      </c>
      <c r="AH719" s="268" t="str">
        <f t="shared" si="1057"/>
        <v/>
      </c>
      <c r="AI719" s="268" t="str">
        <f t="shared" si="1057"/>
        <v/>
      </c>
      <c r="AJ719" s="268" t="str">
        <f t="shared" si="1057"/>
        <v/>
      </c>
      <c r="AK719" s="268" t="str">
        <f t="shared" si="1057"/>
        <v/>
      </c>
      <c r="AL719" s="268" t="str">
        <f t="shared" si="1057"/>
        <v/>
      </c>
      <c r="AM719" s="268" t="str">
        <f t="shared" si="1057"/>
        <v/>
      </c>
      <c r="AN719" s="268">
        <f t="shared" si="1057"/>
        <v>2100</v>
      </c>
      <c r="AO719" s="268" t="str">
        <f t="shared" si="1057"/>
        <v/>
      </c>
      <c r="AP719" s="268" t="str">
        <f t="shared" si="1057"/>
        <v/>
      </c>
      <c r="AQ719" s="268" t="str">
        <f t="shared" si="1057"/>
        <v/>
      </c>
      <c r="AR719" s="268" t="str">
        <f t="shared" si="1057"/>
        <v/>
      </c>
      <c r="AS719" s="268" t="str">
        <f t="shared" si="1057"/>
        <v/>
      </c>
      <c r="AT719" s="268" t="str">
        <f t="shared" si="1057"/>
        <v/>
      </c>
      <c r="AU719" s="268" t="str">
        <f t="shared" si="1057"/>
        <v/>
      </c>
      <c r="AV719" s="268" t="str">
        <f t="shared" si="1057"/>
        <v/>
      </c>
      <c r="AW719" s="268" t="str">
        <f t="shared" si="1057"/>
        <v/>
      </c>
      <c r="AX719" s="268" t="str">
        <f t="shared" si="1057"/>
        <v/>
      </c>
      <c r="AY719" s="268" t="str">
        <f t="shared" si="1057"/>
        <v/>
      </c>
      <c r="AZ719" s="268" t="str">
        <f t="shared" si="1057"/>
        <v/>
      </c>
      <c r="BA719" s="268" t="str">
        <f t="shared" si="1057"/>
        <v/>
      </c>
      <c r="BB719" s="268" t="str">
        <f t="shared" si="1057"/>
        <v/>
      </c>
      <c r="BC719" s="268" t="str">
        <f t="shared" si="1057"/>
        <v/>
      </c>
      <c r="BD719" s="268" t="str">
        <f t="shared" si="1057"/>
        <v/>
      </c>
      <c r="BE719" s="268" t="str">
        <f t="shared" si="1057"/>
        <v/>
      </c>
      <c r="BF719" s="268" t="str">
        <f t="shared" si="1057"/>
        <v/>
      </c>
      <c r="BG719" s="268" t="str">
        <f t="shared" si="1057"/>
        <v/>
      </c>
      <c r="BH719" s="268" t="str">
        <f t="shared" si="1057"/>
        <v/>
      </c>
      <c r="BI719" s="268" t="str">
        <f t="shared" si="1057"/>
        <v/>
      </c>
      <c r="BJ719" s="268" t="str">
        <f t="shared" si="1057"/>
        <v/>
      </c>
      <c r="BK719" s="268" t="str">
        <f t="shared" si="1057"/>
        <v/>
      </c>
      <c r="BL719" s="268" t="str">
        <f t="shared" si="1057"/>
        <v/>
      </c>
      <c r="BM719" s="268" t="str">
        <f t="shared" si="1057"/>
        <v/>
      </c>
      <c r="BN719" s="268" t="str">
        <f t="shared" si="1057"/>
        <v/>
      </c>
      <c r="BO719" s="268" t="str">
        <f t="shared" si="1057"/>
        <v/>
      </c>
      <c r="BP719" s="268" t="str">
        <f t="shared" si="1057"/>
        <v/>
      </c>
      <c r="BQ719" s="268" t="str">
        <f t="shared" si="1057"/>
        <v/>
      </c>
      <c r="BR719" s="268" t="str">
        <f t="shared" si="1057"/>
        <v/>
      </c>
      <c r="BS719" s="268" t="str">
        <f t="shared" si="1057"/>
        <v/>
      </c>
      <c r="BT719" s="268" t="str">
        <f t="shared" si="1057"/>
        <v/>
      </c>
      <c r="BU719" s="268" t="str">
        <f t="shared" si="1047"/>
        <v/>
      </c>
      <c r="BV719" s="247">
        <v>1.57</v>
      </c>
      <c r="BW719" s="729">
        <f t="shared" si="1048"/>
        <v>3297</v>
      </c>
      <c r="BX719" s="730">
        <f t="shared" si="1049"/>
        <v>25551.75</v>
      </c>
      <c r="BY719" s="731" t="str">
        <f t="shared" si="1050"/>
        <v>SR</v>
      </c>
    </row>
    <row r="720" s="698" customFormat="1" customHeight="1" spans="1:77">
      <c r="A720" s="208">
        <v>46139</v>
      </c>
      <c r="B720" s="208">
        <v>46200</v>
      </c>
      <c r="C720" s="268" t="s">
        <v>791</v>
      </c>
      <c r="D720" s="268" t="s">
        <v>792</v>
      </c>
      <c r="E720" s="268" t="s">
        <v>159</v>
      </c>
      <c r="F720" s="270">
        <v>6300</v>
      </c>
      <c r="G720" s="268" t="s">
        <v>341</v>
      </c>
      <c r="H720" s="211" t="str">
        <f>IFERROR(VLOOKUP(E720,名称!A:E,4,0),"")</f>
        <v>三代</v>
      </c>
      <c r="I720" s="268" t="str">
        <f t="shared" ref="I720:BT720" si="1058">IF(OR($E720="",I$1=""),"",IF(TRIM(LEFT($E720,MIN(IFERROR(FIND("CDU",UPPER($E720)),999),IFERROR(FIND("BULK",UPPER($E720)),999),IFERROR(FIND("-",$E720),999),IFERROR(FIND("（",$E720),999))-1))=I$1,$F720,""))</f>
        <v/>
      </c>
      <c r="J720" s="268" t="str">
        <f t="shared" si="1058"/>
        <v/>
      </c>
      <c r="K720" s="268" t="str">
        <f t="shared" si="1058"/>
        <v/>
      </c>
      <c r="L720" s="268" t="str">
        <f t="shared" si="1058"/>
        <v/>
      </c>
      <c r="M720" s="268" t="str">
        <f t="shared" si="1058"/>
        <v/>
      </c>
      <c r="N720" s="268" t="str">
        <f t="shared" si="1058"/>
        <v/>
      </c>
      <c r="O720" s="268" t="str">
        <f t="shared" si="1058"/>
        <v/>
      </c>
      <c r="P720" s="268" t="str">
        <f t="shared" si="1058"/>
        <v/>
      </c>
      <c r="Q720" s="268" t="str">
        <f t="shared" si="1058"/>
        <v/>
      </c>
      <c r="R720" s="268" t="str">
        <f t="shared" si="1058"/>
        <v/>
      </c>
      <c r="S720" s="268" t="str">
        <f t="shared" si="1058"/>
        <v/>
      </c>
      <c r="T720" s="268" t="str">
        <f t="shared" si="1058"/>
        <v/>
      </c>
      <c r="U720" s="268" t="str">
        <f t="shared" si="1058"/>
        <v/>
      </c>
      <c r="V720" s="268" t="str">
        <f t="shared" si="1058"/>
        <v/>
      </c>
      <c r="W720" s="268" t="str">
        <f t="shared" si="1058"/>
        <v/>
      </c>
      <c r="X720" s="268" t="str">
        <f t="shared" si="1058"/>
        <v/>
      </c>
      <c r="Y720" s="268" t="str">
        <f t="shared" si="1058"/>
        <v/>
      </c>
      <c r="Z720" s="268" t="str">
        <f t="shared" si="1058"/>
        <v/>
      </c>
      <c r="AA720" s="268" t="str">
        <f t="shared" si="1058"/>
        <v/>
      </c>
      <c r="AB720" s="268" t="str">
        <f t="shared" si="1058"/>
        <v/>
      </c>
      <c r="AC720" s="268" t="str">
        <f t="shared" si="1058"/>
        <v/>
      </c>
      <c r="AD720" s="268" t="str">
        <f t="shared" si="1058"/>
        <v/>
      </c>
      <c r="AE720" s="268" t="str">
        <f t="shared" si="1058"/>
        <v/>
      </c>
      <c r="AF720" s="268" t="str">
        <f t="shared" si="1058"/>
        <v/>
      </c>
      <c r="AG720" s="268" t="str">
        <f t="shared" si="1058"/>
        <v/>
      </c>
      <c r="AH720" s="268" t="str">
        <f t="shared" si="1058"/>
        <v/>
      </c>
      <c r="AI720" s="268" t="str">
        <f t="shared" si="1058"/>
        <v/>
      </c>
      <c r="AJ720" s="268" t="str">
        <f t="shared" si="1058"/>
        <v/>
      </c>
      <c r="AK720" s="268" t="str">
        <f t="shared" si="1058"/>
        <v/>
      </c>
      <c r="AL720" s="268" t="str">
        <f t="shared" si="1058"/>
        <v/>
      </c>
      <c r="AM720" s="268" t="str">
        <f t="shared" si="1058"/>
        <v/>
      </c>
      <c r="AN720" s="268">
        <f t="shared" si="1058"/>
        <v>6300</v>
      </c>
      <c r="AO720" s="268" t="str">
        <f t="shared" si="1058"/>
        <v/>
      </c>
      <c r="AP720" s="268" t="str">
        <f t="shared" si="1058"/>
        <v/>
      </c>
      <c r="AQ720" s="268" t="str">
        <f t="shared" si="1058"/>
        <v/>
      </c>
      <c r="AR720" s="268" t="str">
        <f t="shared" si="1058"/>
        <v/>
      </c>
      <c r="AS720" s="268" t="str">
        <f t="shared" si="1058"/>
        <v/>
      </c>
      <c r="AT720" s="268" t="str">
        <f t="shared" si="1058"/>
        <v/>
      </c>
      <c r="AU720" s="268" t="str">
        <f t="shared" si="1058"/>
        <v/>
      </c>
      <c r="AV720" s="268" t="str">
        <f t="shared" si="1058"/>
        <v/>
      </c>
      <c r="AW720" s="268" t="str">
        <f t="shared" si="1058"/>
        <v/>
      </c>
      <c r="AX720" s="268" t="str">
        <f t="shared" si="1058"/>
        <v/>
      </c>
      <c r="AY720" s="268" t="str">
        <f t="shared" si="1058"/>
        <v/>
      </c>
      <c r="AZ720" s="268" t="str">
        <f t="shared" si="1058"/>
        <v/>
      </c>
      <c r="BA720" s="268" t="str">
        <f t="shared" si="1058"/>
        <v/>
      </c>
      <c r="BB720" s="268" t="str">
        <f t="shared" si="1058"/>
        <v/>
      </c>
      <c r="BC720" s="268" t="str">
        <f t="shared" si="1058"/>
        <v/>
      </c>
      <c r="BD720" s="268" t="str">
        <f t="shared" si="1058"/>
        <v/>
      </c>
      <c r="BE720" s="268" t="str">
        <f t="shared" si="1058"/>
        <v/>
      </c>
      <c r="BF720" s="268" t="str">
        <f t="shared" si="1058"/>
        <v/>
      </c>
      <c r="BG720" s="268" t="str">
        <f t="shared" si="1058"/>
        <v/>
      </c>
      <c r="BH720" s="268" t="str">
        <f t="shared" si="1058"/>
        <v/>
      </c>
      <c r="BI720" s="268" t="str">
        <f t="shared" si="1058"/>
        <v/>
      </c>
      <c r="BJ720" s="268" t="str">
        <f t="shared" si="1058"/>
        <v/>
      </c>
      <c r="BK720" s="268" t="str">
        <f t="shared" si="1058"/>
        <v/>
      </c>
      <c r="BL720" s="268" t="str">
        <f t="shared" si="1058"/>
        <v/>
      </c>
      <c r="BM720" s="268" t="str">
        <f t="shared" si="1058"/>
        <v/>
      </c>
      <c r="BN720" s="268" t="str">
        <f t="shared" si="1058"/>
        <v/>
      </c>
      <c r="BO720" s="268" t="str">
        <f t="shared" si="1058"/>
        <v/>
      </c>
      <c r="BP720" s="268" t="str">
        <f t="shared" si="1058"/>
        <v/>
      </c>
      <c r="BQ720" s="268" t="str">
        <f t="shared" si="1058"/>
        <v/>
      </c>
      <c r="BR720" s="268" t="str">
        <f t="shared" si="1058"/>
        <v/>
      </c>
      <c r="BS720" s="268" t="str">
        <f t="shared" si="1058"/>
        <v/>
      </c>
      <c r="BT720" s="268" t="str">
        <f t="shared" si="1058"/>
        <v/>
      </c>
      <c r="BU720" s="268" t="str">
        <f t="shared" si="1047"/>
        <v/>
      </c>
      <c r="BV720" s="247">
        <v>1.57</v>
      </c>
      <c r="BW720" s="729">
        <f t="shared" si="1048"/>
        <v>9891</v>
      </c>
      <c r="BX720" s="730">
        <f t="shared" si="1049"/>
        <v>76655.25</v>
      </c>
      <c r="BY720" s="731" t="str">
        <f t="shared" si="1050"/>
        <v>SR</v>
      </c>
    </row>
    <row r="721" s="697" customFormat="1" customHeight="1" spans="1:77">
      <c r="A721" s="116">
        <v>46139</v>
      </c>
      <c r="B721" s="116">
        <v>46200</v>
      </c>
      <c r="C721" s="418" t="s">
        <v>791</v>
      </c>
      <c r="D721" s="418" t="s">
        <v>792</v>
      </c>
      <c r="E721" s="418" t="s">
        <v>155</v>
      </c>
      <c r="F721" s="592">
        <f>5670+30-5400</f>
        <v>300</v>
      </c>
      <c r="G721" s="418" t="s">
        <v>341</v>
      </c>
      <c r="H721" s="118" t="str">
        <f>IFERROR(VLOOKUP(E721,名称!A:E,4,0),"")</f>
        <v>三代</v>
      </c>
      <c r="I721" s="418" t="str">
        <f t="shared" ref="I721:I741" si="1059">IF(OR($E721="",I$1=""),"",IF(TRIM(LEFT($E721,MIN(IFERROR(FIND("CDU",UPPER($E721)),999),IFERROR(FIND("BULK",UPPER($E721)),999),IFERROR(FIND("-",$E721),999),IFERROR(FIND("（",$E721),999))-1))=I$1,$F721,""))</f>
        <v/>
      </c>
      <c r="J721" s="418" t="str">
        <f t="shared" ref="J721:J741" si="1060">IF(OR($E721="",J$1=""),"",IF(TRIM(LEFT($E721,MIN(IFERROR(FIND("CDU",UPPER($E721)),999),IFERROR(FIND("BULK",UPPER($E721)),999),IFERROR(FIND("-",$E721),999),IFERROR(FIND("（",$E721),999))-1))=J$1,$F721,""))</f>
        <v/>
      </c>
      <c r="K721" s="418" t="str">
        <f t="shared" ref="K721:K741" si="1061">IF(OR($E721="",K$1=""),"",IF(TRIM(LEFT($E721,MIN(IFERROR(FIND("CDU",UPPER($E721)),999),IFERROR(FIND("BULK",UPPER($E721)),999),IFERROR(FIND("-",$E721),999),IFERROR(FIND("（",$E721),999))-1))=K$1,$F721,""))</f>
        <v/>
      </c>
      <c r="L721" s="418" t="str">
        <f t="shared" ref="L721:L741" si="1062">IF(OR($E721="",L$1=""),"",IF(TRIM(LEFT($E721,MIN(IFERROR(FIND("CDU",UPPER($E721)),999),IFERROR(FIND("BULK",UPPER($E721)),999),IFERROR(FIND("-",$E721),999),IFERROR(FIND("（",$E721),999))-1))=L$1,$F721,""))</f>
        <v/>
      </c>
      <c r="M721" s="418" t="str">
        <f t="shared" ref="M721:M741" si="1063">IF(OR($E721="",M$1=""),"",IF(TRIM(LEFT($E721,MIN(IFERROR(FIND("CDU",UPPER($E721)),999),IFERROR(FIND("BULK",UPPER($E721)),999),IFERROR(FIND("-",$E721),999),IFERROR(FIND("（",$E721),999))-1))=M$1,$F721,""))</f>
        <v/>
      </c>
      <c r="N721" s="418" t="str">
        <f t="shared" ref="N721:N741" si="1064">IF(OR($E721="",N$1=""),"",IF(TRIM(LEFT($E721,MIN(IFERROR(FIND("CDU",UPPER($E721)),999),IFERROR(FIND("BULK",UPPER($E721)),999),IFERROR(FIND("-",$E721),999),IFERROR(FIND("（",$E721),999))-1))=N$1,$F721,""))</f>
        <v/>
      </c>
      <c r="O721" s="418" t="str">
        <f t="shared" ref="O721:O741" si="1065">IF(OR($E721="",O$1=""),"",IF(TRIM(LEFT($E721,MIN(IFERROR(FIND("CDU",UPPER($E721)),999),IFERROR(FIND("BULK",UPPER($E721)),999),IFERROR(FIND("-",$E721),999),IFERROR(FIND("（",$E721),999))-1))=O$1,$F721,""))</f>
        <v/>
      </c>
      <c r="P721" s="418" t="str">
        <f t="shared" ref="P721:P741" si="1066">IF(OR($E721="",P$1=""),"",IF(TRIM(LEFT($E721,MIN(IFERROR(FIND("CDU",UPPER($E721)),999),IFERROR(FIND("BULK",UPPER($E721)),999),IFERROR(FIND("-",$E721),999),IFERROR(FIND("（",$E721),999))-1))=P$1,$F721,""))</f>
        <v/>
      </c>
      <c r="Q721" s="418" t="str">
        <f t="shared" ref="Q721:Q741" si="1067">IF(OR($E721="",Q$1=""),"",IF(TRIM(LEFT($E721,MIN(IFERROR(FIND("CDU",UPPER($E721)),999),IFERROR(FIND("BULK",UPPER($E721)),999),IFERROR(FIND("-",$E721),999),IFERROR(FIND("（",$E721),999))-1))=Q$1,$F721,""))</f>
        <v/>
      </c>
      <c r="R721" s="418" t="str">
        <f t="shared" ref="R721:R741" si="1068">IF(OR($E721="",R$1=""),"",IF(TRIM(LEFT($E721,MIN(IFERROR(FIND("CDU",UPPER($E721)),999),IFERROR(FIND("BULK",UPPER($E721)),999),IFERROR(FIND("-",$E721),999),IFERROR(FIND("（",$E721),999))-1))=R$1,$F721,""))</f>
        <v/>
      </c>
      <c r="S721" s="418" t="str">
        <f t="shared" ref="S721:S741" si="1069">IF(OR($E721="",S$1=""),"",IF(TRIM(LEFT($E721,MIN(IFERROR(FIND("CDU",UPPER($E721)),999),IFERROR(FIND("BULK",UPPER($E721)),999),IFERROR(FIND("-",$E721),999),IFERROR(FIND("（",$E721),999))-1))=S$1,$F721,""))</f>
        <v/>
      </c>
      <c r="T721" s="418" t="str">
        <f t="shared" ref="T721:T741" si="1070">IF(OR($E721="",T$1=""),"",IF(TRIM(LEFT($E721,MIN(IFERROR(FIND("CDU",UPPER($E721)),999),IFERROR(FIND("BULK",UPPER($E721)),999),IFERROR(FIND("-",$E721),999),IFERROR(FIND("（",$E721),999))-1))=T$1,$F721,""))</f>
        <v/>
      </c>
      <c r="U721" s="418" t="str">
        <f t="shared" ref="U721:U741" si="1071">IF(OR($E721="",U$1=""),"",IF(TRIM(LEFT($E721,MIN(IFERROR(FIND("CDU",UPPER($E721)),999),IFERROR(FIND("BULK",UPPER($E721)),999),IFERROR(FIND("-",$E721),999),IFERROR(FIND("（",$E721),999))-1))=U$1,$F721,""))</f>
        <v/>
      </c>
      <c r="V721" s="418" t="str">
        <f t="shared" ref="V721:V741" si="1072">IF(OR($E721="",V$1=""),"",IF(TRIM(LEFT($E721,MIN(IFERROR(FIND("CDU",UPPER($E721)),999),IFERROR(FIND("BULK",UPPER($E721)),999),IFERROR(FIND("-",$E721),999),IFERROR(FIND("（",$E721),999))-1))=V$1,$F721,""))</f>
        <v/>
      </c>
      <c r="W721" s="418" t="str">
        <f t="shared" ref="W721:W741" si="1073">IF(OR($E721="",W$1=""),"",IF(TRIM(LEFT($E721,MIN(IFERROR(FIND("CDU",UPPER($E721)),999),IFERROR(FIND("BULK",UPPER($E721)),999),IFERROR(FIND("-",$E721),999),IFERROR(FIND("（",$E721),999))-1))=W$1,$F721,""))</f>
        <v/>
      </c>
      <c r="X721" s="418" t="str">
        <f t="shared" ref="X721:X741" si="1074">IF(OR($E721="",X$1=""),"",IF(TRIM(LEFT($E721,MIN(IFERROR(FIND("CDU",UPPER($E721)),999),IFERROR(FIND("BULK",UPPER($E721)),999),IFERROR(FIND("-",$E721),999),IFERROR(FIND("（",$E721),999))-1))=X$1,$F721,""))</f>
        <v/>
      </c>
      <c r="Y721" s="418" t="str">
        <f t="shared" ref="Y721:Y741" si="1075">IF(OR($E721="",Y$1=""),"",IF(TRIM(LEFT($E721,MIN(IFERROR(FIND("CDU",UPPER($E721)),999),IFERROR(FIND("BULK",UPPER($E721)),999),IFERROR(FIND("-",$E721),999),IFERROR(FIND("（",$E721),999))-1))=Y$1,$F721,""))</f>
        <v/>
      </c>
      <c r="Z721" s="418" t="str">
        <f t="shared" ref="Z721:Z741" si="1076">IF(OR($E721="",Z$1=""),"",IF(TRIM(LEFT($E721,MIN(IFERROR(FIND("CDU",UPPER($E721)),999),IFERROR(FIND("BULK",UPPER($E721)),999),IFERROR(FIND("-",$E721),999),IFERROR(FIND("（",$E721),999))-1))=Z$1,$F721,""))</f>
        <v/>
      </c>
      <c r="AA721" s="418" t="str">
        <f t="shared" ref="AA721:AA741" si="1077">IF(OR($E721="",AA$1=""),"",IF(TRIM(LEFT($E721,MIN(IFERROR(FIND("CDU",UPPER($E721)),999),IFERROR(FIND("BULK",UPPER($E721)),999),IFERROR(FIND("-",$E721),999),IFERROR(FIND("（",$E721),999))-1))=AA$1,$F721,""))</f>
        <v/>
      </c>
      <c r="AB721" s="418" t="str">
        <f t="shared" ref="AB721:AB741" si="1078">IF(OR($E721="",AB$1=""),"",IF(TRIM(LEFT($E721,MIN(IFERROR(FIND("CDU",UPPER($E721)),999),IFERROR(FIND("BULK",UPPER($E721)),999),IFERROR(FIND("-",$E721),999),IFERROR(FIND("（",$E721),999))-1))=AB$1,$F721,""))</f>
        <v/>
      </c>
      <c r="AC721" s="418" t="str">
        <f t="shared" ref="AC721:AC741" si="1079">IF(OR($E721="",AC$1=""),"",IF(TRIM(LEFT($E721,MIN(IFERROR(FIND("CDU",UPPER($E721)),999),IFERROR(FIND("BULK",UPPER($E721)),999),IFERROR(FIND("-",$E721),999),IFERROR(FIND("（",$E721),999))-1))=AC$1,$F721,""))</f>
        <v/>
      </c>
      <c r="AD721" s="418" t="str">
        <f t="shared" ref="AD721:AD741" si="1080">IF(OR($E721="",AD$1=""),"",IF(TRIM(LEFT($E721,MIN(IFERROR(FIND("CDU",UPPER($E721)),999),IFERROR(FIND("BULK",UPPER($E721)),999),IFERROR(FIND("-",$E721),999),IFERROR(FIND("（",$E721),999))-1))=AD$1,$F721,""))</f>
        <v/>
      </c>
      <c r="AE721" s="418" t="str">
        <f t="shared" ref="AE721:AE741" si="1081">IF(OR($E721="",AE$1=""),"",IF(TRIM(LEFT($E721,MIN(IFERROR(FIND("CDU",UPPER($E721)),999),IFERROR(FIND("BULK",UPPER($E721)),999),IFERROR(FIND("-",$E721),999),IFERROR(FIND("（",$E721),999))-1))=AE$1,$F721,""))</f>
        <v/>
      </c>
      <c r="AF721" s="418" t="str">
        <f t="shared" ref="AF721:AF741" si="1082">IF(OR($E721="",AF$1=""),"",IF(TRIM(LEFT($E721,MIN(IFERROR(FIND("CDU",UPPER($E721)),999),IFERROR(FIND("BULK",UPPER($E721)),999),IFERROR(FIND("-",$E721),999),IFERROR(FIND("（",$E721),999))-1))=AF$1,$F721,""))</f>
        <v/>
      </c>
      <c r="AG721" s="418" t="str">
        <f t="shared" ref="AG721:AG741" si="1083">IF(OR($E721="",AG$1=""),"",IF(TRIM(LEFT($E721,MIN(IFERROR(FIND("CDU",UPPER($E721)),999),IFERROR(FIND("BULK",UPPER($E721)),999),IFERROR(FIND("-",$E721),999),IFERROR(FIND("（",$E721),999))-1))=AG$1,$F721,""))</f>
        <v/>
      </c>
      <c r="AH721" s="418" t="str">
        <f t="shared" ref="AH721:AH741" si="1084">IF(OR($E721="",AH$1=""),"",IF(TRIM(LEFT($E721,MIN(IFERROR(FIND("CDU",UPPER($E721)),999),IFERROR(FIND("BULK",UPPER($E721)),999),IFERROR(FIND("-",$E721),999),IFERROR(FIND("（",$E721),999))-1))=AH$1,$F721,""))</f>
        <v/>
      </c>
      <c r="AI721" s="418" t="str">
        <f t="shared" ref="AI721:AI741" si="1085">IF(OR($E721="",AI$1=""),"",IF(TRIM(LEFT($E721,MIN(IFERROR(FIND("CDU",UPPER($E721)),999),IFERROR(FIND("BULK",UPPER($E721)),999),IFERROR(FIND("-",$E721),999),IFERROR(FIND("（",$E721),999))-1))=AI$1,$F721,""))</f>
        <v/>
      </c>
      <c r="AJ721" s="418" t="str">
        <f t="shared" ref="AJ721:AJ741" si="1086">IF(OR($E721="",AJ$1=""),"",IF(TRIM(LEFT($E721,MIN(IFERROR(FIND("CDU",UPPER($E721)),999),IFERROR(FIND("BULK",UPPER($E721)),999),IFERROR(FIND("-",$E721),999),IFERROR(FIND("（",$E721),999))-1))=AJ$1,$F721,""))</f>
        <v/>
      </c>
      <c r="AK721" s="418" t="str">
        <f t="shared" ref="AK721:AK741" si="1087">IF(OR($E721="",AK$1=""),"",IF(TRIM(LEFT($E721,MIN(IFERROR(FIND("CDU",UPPER($E721)),999),IFERROR(FIND("BULK",UPPER($E721)),999),IFERROR(FIND("-",$E721),999),IFERROR(FIND("（",$E721),999))-1))=AK$1,$F721,""))</f>
        <v/>
      </c>
      <c r="AL721" s="418" t="str">
        <f t="shared" ref="AL721:AL741" si="1088">IF(OR($E721="",AL$1=""),"",IF(TRIM(LEFT($E721,MIN(IFERROR(FIND("CDU",UPPER($E721)),999),IFERROR(FIND("BULK",UPPER($E721)),999),IFERROR(FIND("-",$E721),999),IFERROR(FIND("（",$E721),999))-1))=AL$1,$F721,""))</f>
        <v/>
      </c>
      <c r="AM721" s="418" t="str">
        <f t="shared" ref="AM721:AM741" si="1089">IF(OR($E721="",AM$1=""),"",IF(TRIM(LEFT($E721,MIN(IFERROR(FIND("CDU",UPPER($E721)),999),IFERROR(FIND("BULK",UPPER($E721)),999),IFERROR(FIND("-",$E721),999),IFERROR(FIND("（",$E721),999))-1))=AM$1,$F721,""))</f>
        <v/>
      </c>
      <c r="AN721" s="418">
        <f t="shared" ref="AN721:AN741" si="1090">IF(OR($E721="",AN$1=""),"",IF(TRIM(LEFT($E721,MIN(IFERROR(FIND("CDU",UPPER($E721)),999),IFERROR(FIND("BULK",UPPER($E721)),999),IFERROR(FIND("-",$E721),999),IFERROR(FIND("（",$E721),999))-1))=AN$1,$F721,""))</f>
        <v>300</v>
      </c>
      <c r="AO721" s="418" t="str">
        <f t="shared" ref="AO721:AO741" si="1091">IF(OR($E721="",AO$1=""),"",IF(TRIM(LEFT($E721,MIN(IFERROR(FIND("CDU",UPPER($E721)),999),IFERROR(FIND("BULK",UPPER($E721)),999),IFERROR(FIND("-",$E721),999),IFERROR(FIND("（",$E721),999))-1))=AO$1,$F721,""))</f>
        <v/>
      </c>
      <c r="AP721" s="418" t="str">
        <f t="shared" ref="AP721:AP741" si="1092">IF(OR($E721="",AP$1=""),"",IF(TRIM(LEFT($E721,MIN(IFERROR(FIND("CDU",UPPER($E721)),999),IFERROR(FIND("BULK",UPPER($E721)),999),IFERROR(FIND("-",$E721),999),IFERROR(FIND("（",$E721),999))-1))=AP$1,$F721,""))</f>
        <v/>
      </c>
      <c r="AQ721" s="418" t="str">
        <f t="shared" ref="AQ721:AQ741" si="1093">IF(OR($E721="",AQ$1=""),"",IF(TRIM(LEFT($E721,MIN(IFERROR(FIND("CDU",UPPER($E721)),999),IFERROR(FIND("BULK",UPPER($E721)),999),IFERROR(FIND("-",$E721),999),IFERROR(FIND("（",$E721),999))-1))=AQ$1,$F721,""))</f>
        <v/>
      </c>
      <c r="AR721" s="418" t="str">
        <f t="shared" ref="AR721:AR741" si="1094">IF(OR($E721="",AR$1=""),"",IF(TRIM(LEFT($E721,MIN(IFERROR(FIND("CDU",UPPER($E721)),999),IFERROR(FIND("BULK",UPPER($E721)),999),IFERROR(FIND("-",$E721),999),IFERROR(FIND("（",$E721),999))-1))=AR$1,$F721,""))</f>
        <v/>
      </c>
      <c r="AS721" s="418" t="str">
        <f t="shared" ref="AS721:AS741" si="1095">IF(OR($E721="",AS$1=""),"",IF(TRIM(LEFT($E721,MIN(IFERROR(FIND("CDU",UPPER($E721)),999),IFERROR(FIND("BULK",UPPER($E721)),999),IFERROR(FIND("-",$E721),999),IFERROR(FIND("（",$E721),999))-1))=AS$1,$F721,""))</f>
        <v/>
      </c>
      <c r="AT721" s="418" t="str">
        <f t="shared" ref="AT721:AT741" si="1096">IF(OR($E721="",AT$1=""),"",IF(TRIM(LEFT($E721,MIN(IFERROR(FIND("CDU",UPPER($E721)),999),IFERROR(FIND("BULK",UPPER($E721)),999),IFERROR(FIND("-",$E721),999),IFERROR(FIND("（",$E721),999))-1))=AT$1,$F721,""))</f>
        <v/>
      </c>
      <c r="AU721" s="418" t="str">
        <f t="shared" ref="AU721:AU741" si="1097">IF(OR($E721="",AU$1=""),"",IF(TRIM(LEFT($E721,MIN(IFERROR(FIND("CDU",UPPER($E721)),999),IFERROR(FIND("BULK",UPPER($E721)),999),IFERROR(FIND("-",$E721),999),IFERROR(FIND("（",$E721),999))-1))=AU$1,$F721,""))</f>
        <v/>
      </c>
      <c r="AV721" s="418" t="str">
        <f t="shared" ref="AV721:AV741" si="1098">IF(OR($E721="",AV$1=""),"",IF(TRIM(LEFT($E721,MIN(IFERROR(FIND("CDU",UPPER($E721)),999),IFERROR(FIND("BULK",UPPER($E721)),999),IFERROR(FIND("-",$E721),999),IFERROR(FIND("（",$E721),999))-1))=AV$1,$F721,""))</f>
        <v/>
      </c>
      <c r="AW721" s="418" t="str">
        <f t="shared" ref="AW721:AW741" si="1099">IF(OR($E721="",AW$1=""),"",IF(TRIM(LEFT($E721,MIN(IFERROR(FIND("CDU",UPPER($E721)),999),IFERROR(FIND("BULK",UPPER($E721)),999),IFERROR(FIND("-",$E721),999),IFERROR(FIND("（",$E721),999))-1))=AW$1,$F721,""))</f>
        <v/>
      </c>
      <c r="AX721" s="418" t="str">
        <f t="shared" ref="AX721:AX741" si="1100">IF(OR($E721="",AX$1=""),"",IF(TRIM(LEFT($E721,MIN(IFERROR(FIND("CDU",UPPER($E721)),999),IFERROR(FIND("BULK",UPPER($E721)),999),IFERROR(FIND("-",$E721),999),IFERROR(FIND("（",$E721),999))-1))=AX$1,$F721,""))</f>
        <v/>
      </c>
      <c r="AY721" s="418" t="str">
        <f t="shared" ref="AY721:AY741" si="1101">IF(OR($E721="",AY$1=""),"",IF(TRIM(LEFT($E721,MIN(IFERROR(FIND("CDU",UPPER($E721)),999),IFERROR(FIND("BULK",UPPER($E721)),999),IFERROR(FIND("-",$E721),999),IFERROR(FIND("（",$E721),999))-1))=AY$1,$F721,""))</f>
        <v/>
      </c>
      <c r="AZ721" s="418" t="str">
        <f t="shared" ref="AZ721:AZ741" si="1102">IF(OR($E721="",AZ$1=""),"",IF(TRIM(LEFT($E721,MIN(IFERROR(FIND("CDU",UPPER($E721)),999),IFERROR(FIND("BULK",UPPER($E721)),999),IFERROR(FIND("-",$E721),999),IFERROR(FIND("（",$E721),999))-1))=AZ$1,$F721,""))</f>
        <v/>
      </c>
      <c r="BA721" s="418" t="str">
        <f t="shared" ref="BA721:BA741" si="1103">IF(OR($E721="",BA$1=""),"",IF(TRIM(LEFT($E721,MIN(IFERROR(FIND("CDU",UPPER($E721)),999),IFERROR(FIND("BULK",UPPER($E721)),999),IFERROR(FIND("-",$E721),999),IFERROR(FIND("（",$E721),999))-1))=BA$1,$F721,""))</f>
        <v/>
      </c>
      <c r="BB721" s="418" t="str">
        <f t="shared" ref="BB721:BB741" si="1104">IF(OR($E721="",BB$1=""),"",IF(TRIM(LEFT($E721,MIN(IFERROR(FIND("CDU",UPPER($E721)),999),IFERROR(FIND("BULK",UPPER($E721)),999),IFERROR(FIND("-",$E721),999),IFERROR(FIND("（",$E721),999))-1))=BB$1,$F721,""))</f>
        <v/>
      </c>
      <c r="BC721" s="418" t="str">
        <f t="shared" ref="BC721:BC741" si="1105">IF(OR($E721="",BC$1=""),"",IF(TRIM(LEFT($E721,MIN(IFERROR(FIND("CDU",UPPER($E721)),999),IFERROR(FIND("BULK",UPPER($E721)),999),IFERROR(FIND("-",$E721),999),IFERROR(FIND("（",$E721),999))-1))=BC$1,$F721,""))</f>
        <v/>
      </c>
      <c r="BD721" s="418" t="str">
        <f t="shared" ref="BD721:BD741" si="1106">IF(OR($E721="",BD$1=""),"",IF(TRIM(LEFT($E721,MIN(IFERROR(FIND("CDU",UPPER($E721)),999),IFERROR(FIND("BULK",UPPER($E721)),999),IFERROR(FIND("-",$E721),999),IFERROR(FIND("（",$E721),999))-1))=BD$1,$F721,""))</f>
        <v/>
      </c>
      <c r="BE721" s="418" t="str">
        <f t="shared" ref="BE721:BE741" si="1107">IF(OR($E721="",BE$1=""),"",IF(TRIM(LEFT($E721,MIN(IFERROR(FIND("CDU",UPPER($E721)),999),IFERROR(FIND("BULK",UPPER($E721)),999),IFERROR(FIND("-",$E721),999),IFERROR(FIND("（",$E721),999))-1))=BE$1,$F721,""))</f>
        <v/>
      </c>
      <c r="BF721" s="418" t="str">
        <f t="shared" ref="BF721:BF741" si="1108">IF(OR($E721="",BF$1=""),"",IF(TRIM(LEFT($E721,MIN(IFERROR(FIND("CDU",UPPER($E721)),999),IFERROR(FIND("BULK",UPPER($E721)),999),IFERROR(FIND("-",$E721),999),IFERROR(FIND("（",$E721),999))-1))=BF$1,$F721,""))</f>
        <v/>
      </c>
      <c r="BG721" s="418" t="str">
        <f t="shared" ref="BG721:BG741" si="1109">IF(OR($E721="",BG$1=""),"",IF(TRIM(LEFT($E721,MIN(IFERROR(FIND("CDU",UPPER($E721)),999),IFERROR(FIND("BULK",UPPER($E721)),999),IFERROR(FIND("-",$E721),999),IFERROR(FIND("（",$E721),999))-1))=BG$1,$F721,""))</f>
        <v/>
      </c>
      <c r="BH721" s="418" t="str">
        <f t="shared" ref="BH721:BH741" si="1110">IF(OR($E721="",BH$1=""),"",IF(TRIM(LEFT($E721,MIN(IFERROR(FIND("CDU",UPPER($E721)),999),IFERROR(FIND("BULK",UPPER($E721)),999),IFERROR(FIND("-",$E721),999),IFERROR(FIND("（",$E721),999))-1))=BH$1,$F721,""))</f>
        <v/>
      </c>
      <c r="BI721" s="418" t="str">
        <f t="shared" ref="BI721:BI741" si="1111">IF(OR($E721="",BI$1=""),"",IF(TRIM(LEFT($E721,MIN(IFERROR(FIND("CDU",UPPER($E721)),999),IFERROR(FIND("BULK",UPPER($E721)),999),IFERROR(FIND("-",$E721),999),IFERROR(FIND("（",$E721),999))-1))=BI$1,$F721,""))</f>
        <v/>
      </c>
      <c r="BJ721" s="418" t="str">
        <f t="shared" ref="BJ721:BJ741" si="1112">IF(OR($E721="",BJ$1=""),"",IF(TRIM(LEFT($E721,MIN(IFERROR(FIND("CDU",UPPER($E721)),999),IFERROR(FIND("BULK",UPPER($E721)),999),IFERROR(FIND("-",$E721),999),IFERROR(FIND("（",$E721),999))-1))=BJ$1,$F721,""))</f>
        <v/>
      </c>
      <c r="BK721" s="418" t="str">
        <f t="shared" ref="BK721:BS721" si="1113">IF(OR($E721="",BK$1=""),"",IF(TRIM(LEFT($E721,MIN(IFERROR(FIND("CDU",UPPER($E721)),999),IFERROR(FIND("BULK",UPPER($E721)),999),IFERROR(FIND("-",$E721),999),IFERROR(FIND("（",$E721),999))-1))=BK$1,$F721,""))</f>
        <v/>
      </c>
      <c r="BL721" s="418" t="str">
        <f t="shared" si="1113"/>
        <v/>
      </c>
      <c r="BM721" s="418" t="str">
        <f t="shared" si="1113"/>
        <v/>
      </c>
      <c r="BN721" s="418" t="str">
        <f t="shared" si="1113"/>
        <v/>
      </c>
      <c r="BO721" s="418" t="str">
        <f t="shared" si="1113"/>
        <v/>
      </c>
      <c r="BP721" s="418" t="str">
        <f t="shared" si="1113"/>
        <v/>
      </c>
      <c r="BQ721" s="418" t="str">
        <f t="shared" si="1113"/>
        <v/>
      </c>
      <c r="BR721" s="418" t="str">
        <f t="shared" si="1113"/>
        <v/>
      </c>
      <c r="BS721" s="418" t="str">
        <f t="shared" si="1113"/>
        <v/>
      </c>
      <c r="BT721" s="418" t="str">
        <f t="shared" ref="BT721:BT741" si="1114">IF(OR($E721="",BT$1=""),"",IF(TRIM(LEFT($E721,MIN(IFERROR(FIND("CDU",UPPER($E721)),999),IFERROR(FIND("BULK",UPPER($E721)),999),IFERROR(FIND("-",$E721),999),IFERROR(FIND("（",$E721),999))-1))=BT$1,$F721,""))</f>
        <v/>
      </c>
      <c r="BU721" s="418" t="str">
        <f t="shared" ref="BU721:BU741" si="1115">IF(OR($E721="",BU$1=""),"",IF(TRIM(LEFT($E721,MIN(IFERROR(FIND("CDU",UPPER($E721)),999),IFERROR(FIND("BULK",UPPER($E721)),999),IFERROR(FIND("-",$E721),999),IFERROR(FIND("（",$E721),999))-1))=BU$1,$F721,""))</f>
        <v/>
      </c>
      <c r="BV721" s="544">
        <v>0.83</v>
      </c>
      <c r="BW721" s="723">
        <f t="shared" ref="BW721:BW760" si="1116">SUM(I721:BU721)*BV721</f>
        <v>249</v>
      </c>
      <c r="BX721" s="724">
        <f t="shared" ref="BX721:BX760" si="1117">BW721*7.75</f>
        <v>1929.75</v>
      </c>
      <c r="BY721" s="725" t="str">
        <f t="shared" ref="BY721:BY760" si="1118">MID(E721,1,2)</f>
        <v>SR</v>
      </c>
    </row>
    <row r="722" s="697" customFormat="1" customHeight="1" spans="1:77">
      <c r="A722" s="116">
        <v>46139</v>
      </c>
      <c r="B722" s="116">
        <v>46200</v>
      </c>
      <c r="C722" s="418" t="s">
        <v>791</v>
      </c>
      <c r="D722" s="418" t="s">
        <v>792</v>
      </c>
      <c r="E722" s="418" t="s">
        <v>156</v>
      </c>
      <c r="F722" s="592">
        <f>7056-6-6300</f>
        <v>750</v>
      </c>
      <c r="G722" s="418" t="s">
        <v>341</v>
      </c>
      <c r="H722" s="118" t="str">
        <f>IFERROR(VLOOKUP(E722,名称!A:E,4,0),"")</f>
        <v>三代</v>
      </c>
      <c r="I722" s="418" t="str">
        <f t="shared" si="1059"/>
        <v/>
      </c>
      <c r="J722" s="418" t="str">
        <f t="shared" si="1060"/>
        <v/>
      </c>
      <c r="K722" s="418" t="str">
        <f t="shared" si="1061"/>
        <v/>
      </c>
      <c r="L722" s="418" t="str">
        <f t="shared" si="1062"/>
        <v/>
      </c>
      <c r="M722" s="418" t="str">
        <f t="shared" si="1063"/>
        <v/>
      </c>
      <c r="N722" s="418" t="str">
        <f t="shared" si="1064"/>
        <v/>
      </c>
      <c r="O722" s="418" t="str">
        <f t="shared" si="1065"/>
        <v/>
      </c>
      <c r="P722" s="418" t="str">
        <f t="shared" si="1066"/>
        <v/>
      </c>
      <c r="Q722" s="418" t="str">
        <f t="shared" si="1067"/>
        <v/>
      </c>
      <c r="R722" s="418" t="str">
        <f t="shared" si="1068"/>
        <v/>
      </c>
      <c r="S722" s="418" t="str">
        <f t="shared" si="1069"/>
        <v/>
      </c>
      <c r="T722" s="418" t="str">
        <f t="shared" si="1070"/>
        <v/>
      </c>
      <c r="U722" s="418" t="str">
        <f t="shared" si="1071"/>
        <v/>
      </c>
      <c r="V722" s="418" t="str">
        <f t="shared" si="1072"/>
        <v/>
      </c>
      <c r="W722" s="418" t="str">
        <f t="shared" si="1073"/>
        <v/>
      </c>
      <c r="X722" s="418" t="str">
        <f t="shared" si="1074"/>
        <v/>
      </c>
      <c r="Y722" s="418" t="str">
        <f t="shared" si="1075"/>
        <v/>
      </c>
      <c r="Z722" s="418" t="str">
        <f t="shared" si="1076"/>
        <v/>
      </c>
      <c r="AA722" s="418" t="str">
        <f t="shared" si="1077"/>
        <v/>
      </c>
      <c r="AB722" s="418" t="str">
        <f t="shared" si="1078"/>
        <v/>
      </c>
      <c r="AC722" s="418" t="str">
        <f t="shared" si="1079"/>
        <v/>
      </c>
      <c r="AD722" s="418" t="str">
        <f t="shared" si="1080"/>
        <v/>
      </c>
      <c r="AE722" s="418" t="str">
        <f t="shared" si="1081"/>
        <v/>
      </c>
      <c r="AF722" s="418" t="str">
        <f t="shared" si="1082"/>
        <v/>
      </c>
      <c r="AG722" s="418" t="str">
        <f t="shared" si="1083"/>
        <v/>
      </c>
      <c r="AH722" s="418" t="str">
        <f t="shared" si="1084"/>
        <v/>
      </c>
      <c r="AI722" s="418" t="str">
        <f t="shared" si="1085"/>
        <v/>
      </c>
      <c r="AJ722" s="418" t="str">
        <f t="shared" si="1086"/>
        <v/>
      </c>
      <c r="AK722" s="418" t="str">
        <f t="shared" si="1087"/>
        <v/>
      </c>
      <c r="AL722" s="418" t="str">
        <f t="shared" si="1088"/>
        <v/>
      </c>
      <c r="AM722" s="418" t="str">
        <f t="shared" si="1089"/>
        <v/>
      </c>
      <c r="AN722" s="418">
        <f t="shared" si="1090"/>
        <v>750</v>
      </c>
      <c r="AO722" s="418" t="str">
        <f t="shared" si="1091"/>
        <v/>
      </c>
      <c r="AP722" s="418" t="str">
        <f t="shared" si="1092"/>
        <v/>
      </c>
      <c r="AQ722" s="418" t="str">
        <f t="shared" si="1093"/>
        <v/>
      </c>
      <c r="AR722" s="418" t="str">
        <f t="shared" si="1094"/>
        <v/>
      </c>
      <c r="AS722" s="418" t="str">
        <f t="shared" si="1095"/>
        <v/>
      </c>
      <c r="AT722" s="418" t="str">
        <f t="shared" si="1096"/>
        <v/>
      </c>
      <c r="AU722" s="418" t="str">
        <f t="shared" si="1097"/>
        <v/>
      </c>
      <c r="AV722" s="418" t="str">
        <f t="shared" si="1098"/>
        <v/>
      </c>
      <c r="AW722" s="418" t="str">
        <f t="shared" si="1099"/>
        <v/>
      </c>
      <c r="AX722" s="418" t="str">
        <f t="shared" si="1100"/>
        <v/>
      </c>
      <c r="AY722" s="418" t="str">
        <f t="shared" si="1101"/>
        <v/>
      </c>
      <c r="AZ722" s="418" t="str">
        <f t="shared" si="1102"/>
        <v/>
      </c>
      <c r="BA722" s="418" t="str">
        <f t="shared" si="1103"/>
        <v/>
      </c>
      <c r="BB722" s="418" t="str">
        <f t="shared" si="1104"/>
        <v/>
      </c>
      <c r="BC722" s="418" t="str">
        <f t="shared" si="1105"/>
        <v/>
      </c>
      <c r="BD722" s="418" t="str">
        <f t="shared" si="1106"/>
        <v/>
      </c>
      <c r="BE722" s="418" t="str">
        <f t="shared" si="1107"/>
        <v/>
      </c>
      <c r="BF722" s="418" t="str">
        <f t="shared" si="1108"/>
        <v/>
      </c>
      <c r="BG722" s="418" t="str">
        <f t="shared" si="1109"/>
        <v/>
      </c>
      <c r="BH722" s="418" t="str">
        <f t="shared" si="1110"/>
        <v/>
      </c>
      <c r="BI722" s="418" t="str">
        <f t="shared" si="1111"/>
        <v/>
      </c>
      <c r="BJ722" s="418" t="str">
        <f t="shared" si="1112"/>
        <v/>
      </c>
      <c r="BK722" s="418" t="str">
        <f t="shared" ref="BK722:BS722" si="1119">IF(OR($E722="",BK$1=""),"",IF(TRIM(LEFT($E722,MIN(IFERROR(FIND("CDU",UPPER($E722)),999),IFERROR(FIND("BULK",UPPER($E722)),999),IFERROR(FIND("-",$E722),999),IFERROR(FIND("（",$E722),999))-1))=BK$1,$F722,""))</f>
        <v/>
      </c>
      <c r="BL722" s="418" t="str">
        <f t="shared" si="1119"/>
        <v/>
      </c>
      <c r="BM722" s="418" t="str">
        <f t="shared" si="1119"/>
        <v/>
      </c>
      <c r="BN722" s="418" t="str">
        <f t="shared" si="1119"/>
        <v/>
      </c>
      <c r="BO722" s="418" t="str">
        <f t="shared" si="1119"/>
        <v/>
      </c>
      <c r="BP722" s="418" t="str">
        <f t="shared" si="1119"/>
        <v/>
      </c>
      <c r="BQ722" s="418" t="str">
        <f t="shared" si="1119"/>
        <v/>
      </c>
      <c r="BR722" s="418" t="str">
        <f t="shared" si="1119"/>
        <v/>
      </c>
      <c r="BS722" s="418" t="str">
        <f t="shared" si="1119"/>
        <v/>
      </c>
      <c r="BT722" s="418" t="str">
        <f t="shared" si="1114"/>
        <v/>
      </c>
      <c r="BU722" s="418" t="str">
        <f t="shared" si="1115"/>
        <v/>
      </c>
      <c r="BV722" s="544">
        <v>0.83</v>
      </c>
      <c r="BW722" s="723">
        <f t="shared" si="1116"/>
        <v>622.5</v>
      </c>
      <c r="BX722" s="724">
        <f t="shared" si="1117"/>
        <v>4824.38</v>
      </c>
      <c r="BY722" s="725" t="str">
        <f t="shared" si="1118"/>
        <v>SR</v>
      </c>
    </row>
    <row r="723" s="697" customFormat="1" customHeight="1" spans="1:77">
      <c r="A723" s="116">
        <v>46139</v>
      </c>
      <c r="B723" s="116">
        <v>46200</v>
      </c>
      <c r="C723" s="418" t="s">
        <v>791</v>
      </c>
      <c r="D723" s="418" t="s">
        <v>792</v>
      </c>
      <c r="E723" s="418" t="s">
        <v>157</v>
      </c>
      <c r="F723" s="592">
        <f>5670+30-2100</f>
        <v>3600</v>
      </c>
      <c r="G723" s="418" t="s">
        <v>341</v>
      </c>
      <c r="H723" s="118" t="str">
        <f>IFERROR(VLOOKUP(E723,名称!A:E,4,0),"")</f>
        <v>三代</v>
      </c>
      <c r="I723" s="418" t="str">
        <f t="shared" si="1059"/>
        <v/>
      </c>
      <c r="J723" s="418" t="str">
        <f t="shared" si="1060"/>
        <v/>
      </c>
      <c r="K723" s="418" t="str">
        <f t="shared" si="1061"/>
        <v/>
      </c>
      <c r="L723" s="418" t="str">
        <f t="shared" si="1062"/>
        <v/>
      </c>
      <c r="M723" s="418" t="str">
        <f t="shared" si="1063"/>
        <v/>
      </c>
      <c r="N723" s="418" t="str">
        <f t="shared" si="1064"/>
        <v/>
      </c>
      <c r="O723" s="418" t="str">
        <f t="shared" si="1065"/>
        <v/>
      </c>
      <c r="P723" s="418" t="str">
        <f t="shared" si="1066"/>
        <v/>
      </c>
      <c r="Q723" s="418" t="str">
        <f t="shared" si="1067"/>
        <v/>
      </c>
      <c r="R723" s="418" t="str">
        <f t="shared" si="1068"/>
        <v/>
      </c>
      <c r="S723" s="418" t="str">
        <f t="shared" si="1069"/>
        <v/>
      </c>
      <c r="T723" s="418" t="str">
        <f t="shared" si="1070"/>
        <v/>
      </c>
      <c r="U723" s="418" t="str">
        <f t="shared" si="1071"/>
        <v/>
      </c>
      <c r="V723" s="418" t="str">
        <f t="shared" si="1072"/>
        <v/>
      </c>
      <c r="W723" s="418" t="str">
        <f t="shared" si="1073"/>
        <v/>
      </c>
      <c r="X723" s="418" t="str">
        <f t="shared" si="1074"/>
        <v/>
      </c>
      <c r="Y723" s="418" t="str">
        <f t="shared" si="1075"/>
        <v/>
      </c>
      <c r="Z723" s="418" t="str">
        <f t="shared" si="1076"/>
        <v/>
      </c>
      <c r="AA723" s="418" t="str">
        <f t="shared" si="1077"/>
        <v/>
      </c>
      <c r="AB723" s="418" t="str">
        <f t="shared" si="1078"/>
        <v/>
      </c>
      <c r="AC723" s="418" t="str">
        <f t="shared" si="1079"/>
        <v/>
      </c>
      <c r="AD723" s="418" t="str">
        <f t="shared" si="1080"/>
        <v/>
      </c>
      <c r="AE723" s="418" t="str">
        <f t="shared" si="1081"/>
        <v/>
      </c>
      <c r="AF723" s="418" t="str">
        <f t="shared" si="1082"/>
        <v/>
      </c>
      <c r="AG723" s="418" t="str">
        <f t="shared" si="1083"/>
        <v/>
      </c>
      <c r="AH723" s="418" t="str">
        <f t="shared" si="1084"/>
        <v/>
      </c>
      <c r="AI723" s="418" t="str">
        <f t="shared" si="1085"/>
        <v/>
      </c>
      <c r="AJ723" s="418" t="str">
        <f t="shared" si="1086"/>
        <v/>
      </c>
      <c r="AK723" s="418" t="str">
        <f t="shared" si="1087"/>
        <v/>
      </c>
      <c r="AL723" s="418" t="str">
        <f t="shared" si="1088"/>
        <v/>
      </c>
      <c r="AM723" s="418" t="str">
        <f t="shared" si="1089"/>
        <v/>
      </c>
      <c r="AN723" s="418">
        <f t="shared" si="1090"/>
        <v>3600</v>
      </c>
      <c r="AO723" s="418" t="str">
        <f t="shared" si="1091"/>
        <v/>
      </c>
      <c r="AP723" s="418" t="str">
        <f t="shared" si="1092"/>
        <v/>
      </c>
      <c r="AQ723" s="418" t="str">
        <f t="shared" si="1093"/>
        <v/>
      </c>
      <c r="AR723" s="418" t="str">
        <f t="shared" si="1094"/>
        <v/>
      </c>
      <c r="AS723" s="418" t="str">
        <f t="shared" si="1095"/>
        <v/>
      </c>
      <c r="AT723" s="418" t="str">
        <f t="shared" si="1096"/>
        <v/>
      </c>
      <c r="AU723" s="418" t="str">
        <f t="shared" si="1097"/>
        <v/>
      </c>
      <c r="AV723" s="418" t="str">
        <f t="shared" si="1098"/>
        <v/>
      </c>
      <c r="AW723" s="418" t="str">
        <f t="shared" si="1099"/>
        <v/>
      </c>
      <c r="AX723" s="418" t="str">
        <f t="shared" si="1100"/>
        <v/>
      </c>
      <c r="AY723" s="418" t="str">
        <f t="shared" si="1101"/>
        <v/>
      </c>
      <c r="AZ723" s="418" t="str">
        <f t="shared" si="1102"/>
        <v/>
      </c>
      <c r="BA723" s="418" t="str">
        <f t="shared" si="1103"/>
        <v/>
      </c>
      <c r="BB723" s="418" t="str">
        <f t="shared" si="1104"/>
        <v/>
      </c>
      <c r="BC723" s="418" t="str">
        <f t="shared" si="1105"/>
        <v/>
      </c>
      <c r="BD723" s="418" t="str">
        <f t="shared" si="1106"/>
        <v/>
      </c>
      <c r="BE723" s="418" t="str">
        <f t="shared" si="1107"/>
        <v/>
      </c>
      <c r="BF723" s="418" t="str">
        <f t="shared" si="1108"/>
        <v/>
      </c>
      <c r="BG723" s="418" t="str">
        <f t="shared" si="1109"/>
        <v/>
      </c>
      <c r="BH723" s="418" t="str">
        <f t="shared" si="1110"/>
        <v/>
      </c>
      <c r="BI723" s="418" t="str">
        <f t="shared" si="1111"/>
        <v/>
      </c>
      <c r="BJ723" s="418" t="str">
        <f t="shared" si="1112"/>
        <v/>
      </c>
      <c r="BK723" s="418" t="str">
        <f t="shared" ref="BK723:BS723" si="1120">IF(OR($E723="",BK$1=""),"",IF(TRIM(LEFT($E723,MIN(IFERROR(FIND("CDU",UPPER($E723)),999),IFERROR(FIND("BULK",UPPER($E723)),999),IFERROR(FIND("-",$E723),999),IFERROR(FIND("（",$E723),999))-1))=BK$1,$F723,""))</f>
        <v/>
      </c>
      <c r="BL723" s="418" t="str">
        <f t="shared" si="1120"/>
        <v/>
      </c>
      <c r="BM723" s="418" t="str">
        <f t="shared" si="1120"/>
        <v/>
      </c>
      <c r="BN723" s="418" t="str">
        <f t="shared" si="1120"/>
        <v/>
      </c>
      <c r="BO723" s="418" t="str">
        <f t="shared" si="1120"/>
        <v/>
      </c>
      <c r="BP723" s="418" t="str">
        <f t="shared" si="1120"/>
        <v/>
      </c>
      <c r="BQ723" s="418" t="str">
        <f t="shared" si="1120"/>
        <v/>
      </c>
      <c r="BR723" s="418" t="str">
        <f t="shared" si="1120"/>
        <v/>
      </c>
      <c r="BS723" s="418" t="str">
        <f t="shared" si="1120"/>
        <v/>
      </c>
      <c r="BT723" s="418" t="str">
        <f t="shared" si="1114"/>
        <v/>
      </c>
      <c r="BU723" s="418" t="str">
        <f t="shared" si="1115"/>
        <v/>
      </c>
      <c r="BV723" s="544">
        <v>0.83</v>
      </c>
      <c r="BW723" s="723">
        <f t="shared" si="1116"/>
        <v>2988</v>
      </c>
      <c r="BX723" s="724">
        <f t="shared" si="1117"/>
        <v>23157</v>
      </c>
      <c r="BY723" s="725" t="str">
        <f t="shared" si="1118"/>
        <v>SR</v>
      </c>
    </row>
    <row r="724" s="697" customFormat="1" customHeight="1" spans="1:77">
      <c r="A724" s="116">
        <v>46139</v>
      </c>
      <c r="B724" s="116">
        <v>46200</v>
      </c>
      <c r="C724" s="418" t="s">
        <v>791</v>
      </c>
      <c r="D724" s="418" t="s">
        <v>792</v>
      </c>
      <c r="E724" s="418" t="s">
        <v>158</v>
      </c>
      <c r="F724" s="592">
        <f>9072+3</f>
        <v>9075</v>
      </c>
      <c r="G724" s="418" t="s">
        <v>341</v>
      </c>
      <c r="H724" s="118" t="str">
        <f>IFERROR(VLOOKUP(E724,名称!A:E,4,0),"")</f>
        <v>三代</v>
      </c>
      <c r="I724" s="418" t="str">
        <f t="shared" si="1059"/>
        <v/>
      </c>
      <c r="J724" s="418" t="str">
        <f t="shared" si="1060"/>
        <v/>
      </c>
      <c r="K724" s="418" t="str">
        <f t="shared" si="1061"/>
        <v/>
      </c>
      <c r="L724" s="418" t="str">
        <f t="shared" si="1062"/>
        <v/>
      </c>
      <c r="M724" s="418" t="str">
        <f t="shared" si="1063"/>
        <v/>
      </c>
      <c r="N724" s="418" t="str">
        <f t="shared" si="1064"/>
        <v/>
      </c>
      <c r="O724" s="418" t="str">
        <f t="shared" si="1065"/>
        <v/>
      </c>
      <c r="P724" s="418" t="str">
        <f t="shared" si="1066"/>
        <v/>
      </c>
      <c r="Q724" s="418" t="str">
        <f t="shared" si="1067"/>
        <v/>
      </c>
      <c r="R724" s="418" t="str">
        <f t="shared" si="1068"/>
        <v/>
      </c>
      <c r="S724" s="418" t="str">
        <f t="shared" si="1069"/>
        <v/>
      </c>
      <c r="T724" s="418" t="str">
        <f t="shared" si="1070"/>
        <v/>
      </c>
      <c r="U724" s="418" t="str">
        <f t="shared" si="1071"/>
        <v/>
      </c>
      <c r="V724" s="418" t="str">
        <f t="shared" si="1072"/>
        <v/>
      </c>
      <c r="W724" s="418" t="str">
        <f t="shared" si="1073"/>
        <v/>
      </c>
      <c r="X724" s="418" t="str">
        <f t="shared" si="1074"/>
        <v/>
      </c>
      <c r="Y724" s="418" t="str">
        <f t="shared" si="1075"/>
        <v/>
      </c>
      <c r="Z724" s="418" t="str">
        <f t="shared" si="1076"/>
        <v/>
      </c>
      <c r="AA724" s="418" t="str">
        <f t="shared" si="1077"/>
        <v/>
      </c>
      <c r="AB724" s="418" t="str">
        <f t="shared" si="1078"/>
        <v/>
      </c>
      <c r="AC724" s="418" t="str">
        <f t="shared" si="1079"/>
        <v/>
      </c>
      <c r="AD724" s="418" t="str">
        <f t="shared" si="1080"/>
        <v/>
      </c>
      <c r="AE724" s="418" t="str">
        <f t="shared" si="1081"/>
        <v/>
      </c>
      <c r="AF724" s="418" t="str">
        <f t="shared" si="1082"/>
        <v/>
      </c>
      <c r="AG724" s="418" t="str">
        <f t="shared" si="1083"/>
        <v/>
      </c>
      <c r="AH724" s="418" t="str">
        <f t="shared" si="1084"/>
        <v/>
      </c>
      <c r="AI724" s="418" t="str">
        <f t="shared" si="1085"/>
        <v/>
      </c>
      <c r="AJ724" s="418" t="str">
        <f t="shared" si="1086"/>
        <v/>
      </c>
      <c r="AK724" s="418" t="str">
        <f t="shared" si="1087"/>
        <v/>
      </c>
      <c r="AL724" s="418" t="str">
        <f t="shared" si="1088"/>
        <v/>
      </c>
      <c r="AM724" s="418" t="str">
        <f t="shared" si="1089"/>
        <v/>
      </c>
      <c r="AN724" s="418">
        <f t="shared" si="1090"/>
        <v>9075</v>
      </c>
      <c r="AO724" s="418" t="str">
        <f t="shared" si="1091"/>
        <v/>
      </c>
      <c r="AP724" s="418" t="str">
        <f t="shared" si="1092"/>
        <v/>
      </c>
      <c r="AQ724" s="418" t="str">
        <f t="shared" si="1093"/>
        <v/>
      </c>
      <c r="AR724" s="418" t="str">
        <f t="shared" si="1094"/>
        <v/>
      </c>
      <c r="AS724" s="418" t="str">
        <f t="shared" si="1095"/>
        <v/>
      </c>
      <c r="AT724" s="418" t="str">
        <f t="shared" si="1096"/>
        <v/>
      </c>
      <c r="AU724" s="418" t="str">
        <f t="shared" si="1097"/>
        <v/>
      </c>
      <c r="AV724" s="418" t="str">
        <f t="shared" si="1098"/>
        <v/>
      </c>
      <c r="AW724" s="418" t="str">
        <f t="shared" si="1099"/>
        <v/>
      </c>
      <c r="AX724" s="418" t="str">
        <f t="shared" si="1100"/>
        <v/>
      </c>
      <c r="AY724" s="418" t="str">
        <f t="shared" si="1101"/>
        <v/>
      </c>
      <c r="AZ724" s="418" t="str">
        <f t="shared" si="1102"/>
        <v/>
      </c>
      <c r="BA724" s="418" t="str">
        <f t="shared" si="1103"/>
        <v/>
      </c>
      <c r="BB724" s="418" t="str">
        <f t="shared" si="1104"/>
        <v/>
      </c>
      <c r="BC724" s="418" t="str">
        <f t="shared" si="1105"/>
        <v/>
      </c>
      <c r="BD724" s="418" t="str">
        <f t="shared" si="1106"/>
        <v/>
      </c>
      <c r="BE724" s="418" t="str">
        <f t="shared" si="1107"/>
        <v/>
      </c>
      <c r="BF724" s="418" t="str">
        <f t="shared" si="1108"/>
        <v/>
      </c>
      <c r="BG724" s="418" t="str">
        <f t="shared" si="1109"/>
        <v/>
      </c>
      <c r="BH724" s="418" t="str">
        <f t="shared" si="1110"/>
        <v/>
      </c>
      <c r="BI724" s="418" t="str">
        <f t="shared" si="1111"/>
        <v/>
      </c>
      <c r="BJ724" s="418" t="str">
        <f t="shared" si="1112"/>
        <v/>
      </c>
      <c r="BK724" s="418" t="str">
        <f t="shared" ref="BK724:BS724" si="1121">IF(OR($E724="",BK$1=""),"",IF(TRIM(LEFT($E724,MIN(IFERROR(FIND("CDU",UPPER($E724)),999),IFERROR(FIND("BULK",UPPER($E724)),999),IFERROR(FIND("-",$E724),999),IFERROR(FIND("（",$E724),999))-1))=BK$1,$F724,""))</f>
        <v/>
      </c>
      <c r="BL724" s="418" t="str">
        <f t="shared" si="1121"/>
        <v/>
      </c>
      <c r="BM724" s="418" t="str">
        <f t="shared" si="1121"/>
        <v/>
      </c>
      <c r="BN724" s="418" t="str">
        <f t="shared" si="1121"/>
        <v/>
      </c>
      <c r="BO724" s="418" t="str">
        <f t="shared" si="1121"/>
        <v/>
      </c>
      <c r="BP724" s="418" t="str">
        <f t="shared" si="1121"/>
        <v/>
      </c>
      <c r="BQ724" s="418" t="str">
        <f t="shared" si="1121"/>
        <v/>
      </c>
      <c r="BR724" s="418" t="str">
        <f t="shared" si="1121"/>
        <v/>
      </c>
      <c r="BS724" s="418" t="str">
        <f t="shared" si="1121"/>
        <v/>
      </c>
      <c r="BT724" s="418" t="str">
        <f t="shared" si="1114"/>
        <v/>
      </c>
      <c r="BU724" s="418" t="str">
        <f t="shared" si="1115"/>
        <v/>
      </c>
      <c r="BV724" s="544">
        <v>0.83</v>
      </c>
      <c r="BW724" s="723">
        <f t="shared" si="1116"/>
        <v>7532.25</v>
      </c>
      <c r="BX724" s="724">
        <f t="shared" si="1117"/>
        <v>58374.94</v>
      </c>
      <c r="BY724" s="725" t="str">
        <f t="shared" si="1118"/>
        <v>SR</v>
      </c>
    </row>
    <row r="725" s="697" customFormat="1" customHeight="1" spans="1:77">
      <c r="A725" s="116">
        <v>46139</v>
      </c>
      <c r="B725" s="116">
        <v>46200</v>
      </c>
      <c r="C725" s="418" t="s">
        <v>791</v>
      </c>
      <c r="D725" s="418" t="s">
        <v>792</v>
      </c>
      <c r="E725" s="418" t="s">
        <v>159</v>
      </c>
      <c r="F725" s="592">
        <f>7056-6-6300</f>
        <v>750</v>
      </c>
      <c r="G725" s="418" t="s">
        <v>341</v>
      </c>
      <c r="H725" s="118" t="str">
        <f>IFERROR(VLOOKUP(E725,名称!A:E,4,0),"")</f>
        <v>三代</v>
      </c>
      <c r="I725" s="418" t="str">
        <f t="shared" si="1059"/>
        <v/>
      </c>
      <c r="J725" s="418" t="str">
        <f t="shared" si="1060"/>
        <v/>
      </c>
      <c r="K725" s="418" t="str">
        <f t="shared" si="1061"/>
        <v/>
      </c>
      <c r="L725" s="418" t="str">
        <f t="shared" si="1062"/>
        <v/>
      </c>
      <c r="M725" s="418" t="str">
        <f t="shared" si="1063"/>
        <v/>
      </c>
      <c r="N725" s="418" t="str">
        <f t="shared" si="1064"/>
        <v/>
      </c>
      <c r="O725" s="418" t="str">
        <f t="shared" si="1065"/>
        <v/>
      </c>
      <c r="P725" s="418" t="str">
        <f t="shared" si="1066"/>
        <v/>
      </c>
      <c r="Q725" s="418" t="str">
        <f t="shared" si="1067"/>
        <v/>
      </c>
      <c r="R725" s="418" t="str">
        <f t="shared" si="1068"/>
        <v/>
      </c>
      <c r="S725" s="418" t="str">
        <f t="shared" si="1069"/>
        <v/>
      </c>
      <c r="T725" s="418" t="str">
        <f t="shared" si="1070"/>
        <v/>
      </c>
      <c r="U725" s="418" t="str">
        <f t="shared" si="1071"/>
        <v/>
      </c>
      <c r="V725" s="418" t="str">
        <f t="shared" si="1072"/>
        <v/>
      </c>
      <c r="W725" s="418" t="str">
        <f t="shared" si="1073"/>
        <v/>
      </c>
      <c r="X725" s="418" t="str">
        <f t="shared" si="1074"/>
        <v/>
      </c>
      <c r="Y725" s="418" t="str">
        <f t="shared" si="1075"/>
        <v/>
      </c>
      <c r="Z725" s="418" t="str">
        <f t="shared" si="1076"/>
        <v/>
      </c>
      <c r="AA725" s="418" t="str">
        <f t="shared" si="1077"/>
        <v/>
      </c>
      <c r="AB725" s="418" t="str">
        <f t="shared" si="1078"/>
        <v/>
      </c>
      <c r="AC725" s="418" t="str">
        <f t="shared" si="1079"/>
        <v/>
      </c>
      <c r="AD725" s="418" t="str">
        <f t="shared" si="1080"/>
        <v/>
      </c>
      <c r="AE725" s="418" t="str">
        <f t="shared" si="1081"/>
        <v/>
      </c>
      <c r="AF725" s="418" t="str">
        <f t="shared" si="1082"/>
        <v/>
      </c>
      <c r="AG725" s="418" t="str">
        <f t="shared" si="1083"/>
        <v/>
      </c>
      <c r="AH725" s="418" t="str">
        <f t="shared" si="1084"/>
        <v/>
      </c>
      <c r="AI725" s="418" t="str">
        <f t="shared" si="1085"/>
        <v/>
      </c>
      <c r="AJ725" s="418" t="str">
        <f t="shared" si="1086"/>
        <v/>
      </c>
      <c r="AK725" s="418" t="str">
        <f t="shared" si="1087"/>
        <v/>
      </c>
      <c r="AL725" s="418" t="str">
        <f t="shared" si="1088"/>
        <v/>
      </c>
      <c r="AM725" s="418" t="str">
        <f t="shared" si="1089"/>
        <v/>
      </c>
      <c r="AN725" s="418">
        <f t="shared" si="1090"/>
        <v>750</v>
      </c>
      <c r="AO725" s="418" t="str">
        <f t="shared" si="1091"/>
        <v/>
      </c>
      <c r="AP725" s="418" t="str">
        <f t="shared" si="1092"/>
        <v/>
      </c>
      <c r="AQ725" s="418" t="str">
        <f t="shared" si="1093"/>
        <v/>
      </c>
      <c r="AR725" s="418" t="str">
        <f t="shared" si="1094"/>
        <v/>
      </c>
      <c r="AS725" s="418" t="str">
        <f t="shared" si="1095"/>
        <v/>
      </c>
      <c r="AT725" s="418" t="str">
        <f t="shared" si="1096"/>
        <v/>
      </c>
      <c r="AU725" s="418" t="str">
        <f t="shared" si="1097"/>
        <v/>
      </c>
      <c r="AV725" s="418" t="str">
        <f t="shared" si="1098"/>
        <v/>
      </c>
      <c r="AW725" s="418" t="str">
        <f t="shared" si="1099"/>
        <v/>
      </c>
      <c r="AX725" s="418" t="str">
        <f t="shared" si="1100"/>
        <v/>
      </c>
      <c r="AY725" s="418" t="str">
        <f t="shared" si="1101"/>
        <v/>
      </c>
      <c r="AZ725" s="418" t="str">
        <f t="shared" si="1102"/>
        <v/>
      </c>
      <c r="BA725" s="418" t="str">
        <f t="shared" si="1103"/>
        <v/>
      </c>
      <c r="BB725" s="418" t="str">
        <f t="shared" si="1104"/>
        <v/>
      </c>
      <c r="BC725" s="418" t="str">
        <f t="shared" si="1105"/>
        <v/>
      </c>
      <c r="BD725" s="418" t="str">
        <f t="shared" si="1106"/>
        <v/>
      </c>
      <c r="BE725" s="418" t="str">
        <f t="shared" si="1107"/>
        <v/>
      </c>
      <c r="BF725" s="418" t="str">
        <f t="shared" si="1108"/>
        <v/>
      </c>
      <c r="BG725" s="418" t="str">
        <f t="shared" si="1109"/>
        <v/>
      </c>
      <c r="BH725" s="418" t="str">
        <f t="shared" si="1110"/>
        <v/>
      </c>
      <c r="BI725" s="418" t="str">
        <f t="shared" si="1111"/>
        <v/>
      </c>
      <c r="BJ725" s="418" t="str">
        <f t="shared" si="1112"/>
        <v/>
      </c>
      <c r="BK725" s="418" t="str">
        <f t="shared" ref="BK725:BS725" si="1122">IF(OR($E725="",BK$1=""),"",IF(TRIM(LEFT($E725,MIN(IFERROR(FIND("CDU",UPPER($E725)),999),IFERROR(FIND("BULK",UPPER($E725)),999),IFERROR(FIND("-",$E725),999),IFERROR(FIND("（",$E725),999))-1))=BK$1,$F725,""))</f>
        <v/>
      </c>
      <c r="BL725" s="418" t="str">
        <f t="shared" si="1122"/>
        <v/>
      </c>
      <c r="BM725" s="418" t="str">
        <f t="shared" si="1122"/>
        <v/>
      </c>
      <c r="BN725" s="418" t="str">
        <f t="shared" si="1122"/>
        <v/>
      </c>
      <c r="BO725" s="418" t="str">
        <f t="shared" si="1122"/>
        <v/>
      </c>
      <c r="BP725" s="418" t="str">
        <f t="shared" si="1122"/>
        <v/>
      </c>
      <c r="BQ725" s="418" t="str">
        <f t="shared" si="1122"/>
        <v/>
      </c>
      <c r="BR725" s="418" t="str">
        <f t="shared" si="1122"/>
        <v/>
      </c>
      <c r="BS725" s="418" t="str">
        <f t="shared" si="1122"/>
        <v/>
      </c>
      <c r="BT725" s="418" t="str">
        <f t="shared" si="1114"/>
        <v/>
      </c>
      <c r="BU725" s="418" t="str">
        <f t="shared" si="1115"/>
        <v/>
      </c>
      <c r="BV725" s="544">
        <v>0.83</v>
      </c>
      <c r="BW725" s="723">
        <f t="shared" si="1116"/>
        <v>622.5</v>
      </c>
      <c r="BX725" s="724">
        <f t="shared" si="1117"/>
        <v>4824.38</v>
      </c>
      <c r="BY725" s="725" t="str">
        <f t="shared" si="1118"/>
        <v>SR</v>
      </c>
    </row>
    <row r="726" s="697" customFormat="1" customHeight="1" spans="1:77">
      <c r="A726" s="116">
        <v>46139</v>
      </c>
      <c r="B726" s="116">
        <v>46200</v>
      </c>
      <c r="C726" s="418" t="s">
        <v>791</v>
      </c>
      <c r="D726" s="418" t="s">
        <v>792</v>
      </c>
      <c r="E726" s="418" t="s">
        <v>166</v>
      </c>
      <c r="F726" s="737">
        <f>27972+3</f>
        <v>27975</v>
      </c>
      <c r="G726" s="418" t="s">
        <v>341</v>
      </c>
      <c r="H726" s="118" t="str">
        <f>IFERROR(VLOOKUP(E726,名称!A:E,4,0),"")</f>
        <v>三代</v>
      </c>
      <c r="I726" s="418" t="str">
        <f t="shared" si="1059"/>
        <v/>
      </c>
      <c r="J726" s="418" t="str">
        <f t="shared" si="1060"/>
        <v/>
      </c>
      <c r="K726" s="418" t="str">
        <f t="shared" si="1061"/>
        <v/>
      </c>
      <c r="L726" s="418" t="str">
        <f t="shared" si="1062"/>
        <v/>
      </c>
      <c r="M726" s="418" t="str">
        <f t="shared" si="1063"/>
        <v/>
      </c>
      <c r="N726" s="418" t="str">
        <f t="shared" si="1064"/>
        <v/>
      </c>
      <c r="O726" s="418" t="str">
        <f t="shared" si="1065"/>
        <v/>
      </c>
      <c r="P726" s="418" t="str">
        <f t="shared" si="1066"/>
        <v/>
      </c>
      <c r="Q726" s="418" t="str">
        <f t="shared" si="1067"/>
        <v/>
      </c>
      <c r="R726" s="418" t="str">
        <f t="shared" si="1068"/>
        <v/>
      </c>
      <c r="S726" s="418" t="str">
        <f t="shared" si="1069"/>
        <v/>
      </c>
      <c r="T726" s="418" t="str">
        <f t="shared" si="1070"/>
        <v/>
      </c>
      <c r="U726" s="418" t="str">
        <f t="shared" si="1071"/>
        <v/>
      </c>
      <c r="V726" s="418" t="str">
        <f t="shared" si="1072"/>
        <v/>
      </c>
      <c r="W726" s="418" t="str">
        <f t="shared" si="1073"/>
        <v/>
      </c>
      <c r="X726" s="418" t="str">
        <f t="shared" si="1074"/>
        <v/>
      </c>
      <c r="Y726" s="418" t="str">
        <f t="shared" si="1075"/>
        <v/>
      </c>
      <c r="Z726" s="418" t="str">
        <f t="shared" si="1076"/>
        <v/>
      </c>
      <c r="AA726" s="418" t="str">
        <f t="shared" si="1077"/>
        <v/>
      </c>
      <c r="AB726" s="418" t="str">
        <f t="shared" si="1078"/>
        <v/>
      </c>
      <c r="AC726" s="418" t="str">
        <f t="shared" si="1079"/>
        <v/>
      </c>
      <c r="AD726" s="418" t="str">
        <f t="shared" si="1080"/>
        <v/>
      </c>
      <c r="AE726" s="418" t="str">
        <f t="shared" si="1081"/>
        <v/>
      </c>
      <c r="AF726" s="418" t="str">
        <f t="shared" si="1082"/>
        <v/>
      </c>
      <c r="AG726" s="418" t="str">
        <f t="shared" si="1083"/>
        <v/>
      </c>
      <c r="AH726" s="418" t="str">
        <f t="shared" si="1084"/>
        <v/>
      </c>
      <c r="AI726" s="418" t="str">
        <f t="shared" si="1085"/>
        <v/>
      </c>
      <c r="AJ726" s="418" t="str">
        <f t="shared" si="1086"/>
        <v/>
      </c>
      <c r="AK726" s="418" t="str">
        <f t="shared" si="1087"/>
        <v/>
      </c>
      <c r="AL726" s="418" t="str">
        <f t="shared" si="1088"/>
        <v/>
      </c>
      <c r="AM726" s="418" t="str">
        <f t="shared" si="1089"/>
        <v/>
      </c>
      <c r="AN726" s="418" t="str">
        <f t="shared" si="1090"/>
        <v/>
      </c>
      <c r="AO726" s="418" t="str">
        <f t="shared" si="1091"/>
        <v/>
      </c>
      <c r="AP726" s="418" t="str">
        <f t="shared" si="1092"/>
        <v/>
      </c>
      <c r="AQ726" s="418" t="str">
        <f t="shared" si="1093"/>
        <v/>
      </c>
      <c r="AR726" s="418" t="str">
        <f t="shared" si="1094"/>
        <v/>
      </c>
      <c r="AS726" s="418" t="str">
        <f t="shared" si="1095"/>
        <v/>
      </c>
      <c r="AT726" s="418">
        <f t="shared" si="1096"/>
        <v>27975</v>
      </c>
      <c r="AU726" s="418" t="str">
        <f t="shared" si="1097"/>
        <v/>
      </c>
      <c r="AV726" s="418" t="str">
        <f t="shared" si="1098"/>
        <v/>
      </c>
      <c r="AW726" s="418" t="str">
        <f t="shared" si="1099"/>
        <v/>
      </c>
      <c r="AX726" s="418" t="str">
        <f t="shared" si="1100"/>
        <v/>
      </c>
      <c r="AY726" s="418" t="str">
        <f t="shared" si="1101"/>
        <v/>
      </c>
      <c r="AZ726" s="418" t="str">
        <f t="shared" si="1102"/>
        <v/>
      </c>
      <c r="BA726" s="418" t="str">
        <f t="shared" si="1103"/>
        <v/>
      </c>
      <c r="BB726" s="418" t="str">
        <f t="shared" si="1104"/>
        <v/>
      </c>
      <c r="BC726" s="418" t="str">
        <f t="shared" si="1105"/>
        <v/>
      </c>
      <c r="BD726" s="418" t="str">
        <f t="shared" si="1106"/>
        <v/>
      </c>
      <c r="BE726" s="418" t="str">
        <f t="shared" si="1107"/>
        <v/>
      </c>
      <c r="BF726" s="418" t="str">
        <f t="shared" si="1108"/>
        <v/>
      </c>
      <c r="BG726" s="418" t="str">
        <f t="shared" si="1109"/>
        <v/>
      </c>
      <c r="BH726" s="418" t="str">
        <f t="shared" si="1110"/>
        <v/>
      </c>
      <c r="BI726" s="418" t="str">
        <f t="shared" si="1111"/>
        <v/>
      </c>
      <c r="BJ726" s="418" t="str">
        <f t="shared" si="1112"/>
        <v/>
      </c>
      <c r="BK726" s="418" t="str">
        <f t="shared" ref="BK726:BS726" si="1123">IF(OR($E726="",BK$1=""),"",IF(TRIM(LEFT($E726,MIN(IFERROR(FIND("CDU",UPPER($E726)),999),IFERROR(FIND("BULK",UPPER($E726)),999),IFERROR(FIND("-",$E726),999),IFERROR(FIND("（",$E726),999))-1))=BK$1,$F726,""))</f>
        <v/>
      </c>
      <c r="BL726" s="418" t="str">
        <f t="shared" si="1123"/>
        <v/>
      </c>
      <c r="BM726" s="418" t="str">
        <f t="shared" si="1123"/>
        <v/>
      </c>
      <c r="BN726" s="418" t="str">
        <f t="shared" si="1123"/>
        <v/>
      </c>
      <c r="BO726" s="418" t="str">
        <f t="shared" si="1123"/>
        <v/>
      </c>
      <c r="BP726" s="418" t="str">
        <f t="shared" si="1123"/>
        <v/>
      </c>
      <c r="BQ726" s="418" t="str">
        <f t="shared" si="1123"/>
        <v/>
      </c>
      <c r="BR726" s="418" t="str">
        <f t="shared" si="1123"/>
        <v/>
      </c>
      <c r="BS726" s="418" t="str">
        <f t="shared" si="1123"/>
        <v/>
      </c>
      <c r="BT726" s="418" t="str">
        <f t="shared" si="1114"/>
        <v/>
      </c>
      <c r="BU726" s="418" t="str">
        <f t="shared" si="1115"/>
        <v/>
      </c>
      <c r="BV726" s="544">
        <v>0.61</v>
      </c>
      <c r="BW726" s="723">
        <f t="shared" si="1116"/>
        <v>17064.75</v>
      </c>
      <c r="BX726" s="724">
        <f t="shared" si="1117"/>
        <v>132251.81</v>
      </c>
      <c r="BY726" s="725" t="str">
        <f t="shared" si="1118"/>
        <v>SR</v>
      </c>
    </row>
    <row r="727" s="698" customFormat="1" customHeight="1" spans="1:77">
      <c r="A727" s="208">
        <v>46139</v>
      </c>
      <c r="B727" s="208">
        <v>46200</v>
      </c>
      <c r="C727" s="268" t="s">
        <v>791</v>
      </c>
      <c r="D727" s="268" t="s">
        <v>792</v>
      </c>
      <c r="E727" s="268" t="s">
        <v>168</v>
      </c>
      <c r="F727" s="343">
        <v>17664</v>
      </c>
      <c r="G727" s="268" t="s">
        <v>341</v>
      </c>
      <c r="H727" s="211" t="str">
        <f>IFERROR(VLOOKUP(E727,名称!A:E,4,0),"")</f>
        <v>三代</v>
      </c>
      <c r="I727" s="268" t="str">
        <f t="shared" si="1059"/>
        <v/>
      </c>
      <c r="J727" s="268" t="str">
        <f t="shared" si="1060"/>
        <v/>
      </c>
      <c r="K727" s="268" t="str">
        <f t="shared" si="1061"/>
        <v/>
      </c>
      <c r="L727" s="268" t="str">
        <f t="shared" si="1062"/>
        <v/>
      </c>
      <c r="M727" s="268" t="str">
        <f t="shared" si="1063"/>
        <v/>
      </c>
      <c r="N727" s="268" t="str">
        <f t="shared" si="1064"/>
        <v/>
      </c>
      <c r="O727" s="268" t="str">
        <f t="shared" si="1065"/>
        <v/>
      </c>
      <c r="P727" s="268" t="str">
        <f t="shared" si="1066"/>
        <v/>
      </c>
      <c r="Q727" s="268" t="str">
        <f t="shared" si="1067"/>
        <v/>
      </c>
      <c r="R727" s="268" t="str">
        <f t="shared" si="1068"/>
        <v/>
      </c>
      <c r="S727" s="268" t="str">
        <f t="shared" si="1069"/>
        <v/>
      </c>
      <c r="T727" s="268" t="str">
        <f t="shared" si="1070"/>
        <v/>
      </c>
      <c r="U727" s="268" t="str">
        <f t="shared" si="1071"/>
        <v/>
      </c>
      <c r="V727" s="268" t="str">
        <f t="shared" si="1072"/>
        <v/>
      </c>
      <c r="W727" s="268" t="str">
        <f t="shared" si="1073"/>
        <v/>
      </c>
      <c r="X727" s="268" t="str">
        <f t="shared" si="1074"/>
        <v/>
      </c>
      <c r="Y727" s="268" t="str">
        <f t="shared" si="1075"/>
        <v/>
      </c>
      <c r="Z727" s="268" t="str">
        <f t="shared" si="1076"/>
        <v/>
      </c>
      <c r="AA727" s="268" t="str">
        <f t="shared" si="1077"/>
        <v/>
      </c>
      <c r="AB727" s="268" t="str">
        <f t="shared" si="1078"/>
        <v/>
      </c>
      <c r="AC727" s="268" t="str">
        <f t="shared" si="1079"/>
        <v/>
      </c>
      <c r="AD727" s="268" t="str">
        <f t="shared" si="1080"/>
        <v/>
      </c>
      <c r="AE727" s="268" t="str">
        <f t="shared" si="1081"/>
        <v/>
      </c>
      <c r="AF727" s="268" t="str">
        <f t="shared" si="1082"/>
        <v/>
      </c>
      <c r="AG727" s="268" t="str">
        <f t="shared" si="1083"/>
        <v/>
      </c>
      <c r="AH727" s="268" t="str">
        <f t="shared" si="1084"/>
        <v/>
      </c>
      <c r="AI727" s="268" t="str">
        <f t="shared" si="1085"/>
        <v/>
      </c>
      <c r="AJ727" s="268" t="str">
        <f t="shared" si="1086"/>
        <v/>
      </c>
      <c r="AK727" s="268" t="str">
        <f t="shared" si="1087"/>
        <v/>
      </c>
      <c r="AL727" s="268" t="str">
        <f t="shared" si="1088"/>
        <v/>
      </c>
      <c r="AM727" s="268" t="str">
        <f t="shared" si="1089"/>
        <v/>
      </c>
      <c r="AN727" s="268" t="str">
        <f t="shared" si="1090"/>
        <v/>
      </c>
      <c r="AO727" s="268" t="str">
        <f t="shared" si="1091"/>
        <v/>
      </c>
      <c r="AP727" s="268" t="str">
        <f t="shared" si="1092"/>
        <v/>
      </c>
      <c r="AQ727" s="268" t="str">
        <f t="shared" si="1093"/>
        <v/>
      </c>
      <c r="AR727" s="268" t="str">
        <f t="shared" si="1094"/>
        <v/>
      </c>
      <c r="AS727" s="268" t="str">
        <f t="shared" si="1095"/>
        <v/>
      </c>
      <c r="AT727" s="268" t="str">
        <f t="shared" si="1096"/>
        <v/>
      </c>
      <c r="AU727" s="268" t="str">
        <f t="shared" si="1097"/>
        <v/>
      </c>
      <c r="AV727" s="268" t="str">
        <f t="shared" si="1098"/>
        <v/>
      </c>
      <c r="AW727" s="268">
        <f t="shared" si="1099"/>
        <v>17664</v>
      </c>
      <c r="AX727" s="268" t="str">
        <f t="shared" si="1100"/>
        <v/>
      </c>
      <c r="AY727" s="268" t="str">
        <f t="shared" si="1101"/>
        <v/>
      </c>
      <c r="AZ727" s="268" t="str">
        <f t="shared" si="1102"/>
        <v/>
      </c>
      <c r="BA727" s="268" t="str">
        <f t="shared" si="1103"/>
        <v/>
      </c>
      <c r="BB727" s="268" t="str">
        <f t="shared" si="1104"/>
        <v/>
      </c>
      <c r="BC727" s="268" t="str">
        <f t="shared" si="1105"/>
        <v/>
      </c>
      <c r="BD727" s="268" t="str">
        <f t="shared" si="1106"/>
        <v/>
      </c>
      <c r="BE727" s="268" t="str">
        <f t="shared" si="1107"/>
        <v/>
      </c>
      <c r="BF727" s="268" t="str">
        <f t="shared" si="1108"/>
        <v/>
      </c>
      <c r="BG727" s="268" t="str">
        <f t="shared" si="1109"/>
        <v/>
      </c>
      <c r="BH727" s="268" t="str">
        <f t="shared" si="1110"/>
        <v/>
      </c>
      <c r="BI727" s="268" t="str">
        <f t="shared" si="1111"/>
        <v/>
      </c>
      <c r="BJ727" s="268" t="str">
        <f t="shared" si="1112"/>
        <v/>
      </c>
      <c r="BK727" s="268" t="str">
        <f t="shared" ref="BK727:BS727" si="1124">IF(OR($E727="",BK$1=""),"",IF(TRIM(LEFT($E727,MIN(IFERROR(FIND("CDU",UPPER($E727)),999),IFERROR(FIND("BULK",UPPER($E727)),999),IFERROR(FIND("-",$E727),999),IFERROR(FIND("（",$E727),999))-1))=BK$1,$F727,""))</f>
        <v/>
      </c>
      <c r="BL727" s="268" t="str">
        <f t="shared" si="1124"/>
        <v/>
      </c>
      <c r="BM727" s="268" t="str">
        <f t="shared" si="1124"/>
        <v/>
      </c>
      <c r="BN727" s="268" t="str">
        <f t="shared" si="1124"/>
        <v/>
      </c>
      <c r="BO727" s="268" t="str">
        <f t="shared" si="1124"/>
        <v/>
      </c>
      <c r="BP727" s="268" t="str">
        <f t="shared" si="1124"/>
        <v/>
      </c>
      <c r="BQ727" s="268" t="str">
        <f t="shared" si="1124"/>
        <v/>
      </c>
      <c r="BR727" s="268" t="str">
        <f t="shared" si="1124"/>
        <v/>
      </c>
      <c r="BS727" s="268" t="str">
        <f t="shared" si="1124"/>
        <v/>
      </c>
      <c r="BT727" s="268" t="str">
        <f t="shared" si="1114"/>
        <v/>
      </c>
      <c r="BU727" s="268" t="str">
        <f t="shared" si="1115"/>
        <v/>
      </c>
      <c r="BV727" s="247">
        <v>1.33</v>
      </c>
      <c r="BW727" s="729">
        <f t="shared" si="1116"/>
        <v>23493.12</v>
      </c>
      <c r="BX727" s="730">
        <f t="shared" si="1117"/>
        <v>182071.68</v>
      </c>
      <c r="BY727" s="731" t="str">
        <f t="shared" si="1118"/>
        <v>SR</v>
      </c>
    </row>
    <row r="728" s="698" customFormat="1" customHeight="1" spans="1:77">
      <c r="A728" s="208">
        <v>46139</v>
      </c>
      <c r="B728" s="208">
        <v>46200</v>
      </c>
      <c r="C728" s="268" t="s">
        <v>791</v>
      </c>
      <c r="D728" s="268" t="s">
        <v>792</v>
      </c>
      <c r="E728" s="268" t="s">
        <v>169</v>
      </c>
      <c r="F728" s="343">
        <v>17664</v>
      </c>
      <c r="G728" s="268" t="s">
        <v>341</v>
      </c>
      <c r="H728" s="211" t="str">
        <f>IFERROR(VLOOKUP(E728,名称!A:E,4,0),"")</f>
        <v>三代</v>
      </c>
      <c r="I728" s="268" t="str">
        <f t="shared" si="1059"/>
        <v/>
      </c>
      <c r="J728" s="268" t="str">
        <f t="shared" si="1060"/>
        <v/>
      </c>
      <c r="K728" s="268" t="str">
        <f t="shared" si="1061"/>
        <v/>
      </c>
      <c r="L728" s="268" t="str">
        <f t="shared" si="1062"/>
        <v/>
      </c>
      <c r="M728" s="268" t="str">
        <f t="shared" si="1063"/>
        <v/>
      </c>
      <c r="N728" s="268" t="str">
        <f t="shared" si="1064"/>
        <v/>
      </c>
      <c r="O728" s="268" t="str">
        <f t="shared" si="1065"/>
        <v/>
      </c>
      <c r="P728" s="268" t="str">
        <f t="shared" si="1066"/>
        <v/>
      </c>
      <c r="Q728" s="268" t="str">
        <f t="shared" si="1067"/>
        <v/>
      </c>
      <c r="R728" s="268" t="str">
        <f t="shared" si="1068"/>
        <v/>
      </c>
      <c r="S728" s="268" t="str">
        <f t="shared" si="1069"/>
        <v/>
      </c>
      <c r="T728" s="268" t="str">
        <f t="shared" si="1070"/>
        <v/>
      </c>
      <c r="U728" s="268" t="str">
        <f t="shared" si="1071"/>
        <v/>
      </c>
      <c r="V728" s="268" t="str">
        <f t="shared" si="1072"/>
        <v/>
      </c>
      <c r="W728" s="268" t="str">
        <f t="shared" si="1073"/>
        <v/>
      </c>
      <c r="X728" s="268" t="str">
        <f t="shared" si="1074"/>
        <v/>
      </c>
      <c r="Y728" s="268" t="str">
        <f t="shared" si="1075"/>
        <v/>
      </c>
      <c r="Z728" s="268" t="str">
        <f t="shared" si="1076"/>
        <v/>
      </c>
      <c r="AA728" s="268" t="str">
        <f t="shared" si="1077"/>
        <v/>
      </c>
      <c r="AB728" s="268" t="str">
        <f t="shared" si="1078"/>
        <v/>
      </c>
      <c r="AC728" s="268" t="str">
        <f t="shared" si="1079"/>
        <v/>
      </c>
      <c r="AD728" s="268" t="str">
        <f t="shared" si="1080"/>
        <v/>
      </c>
      <c r="AE728" s="268" t="str">
        <f t="shared" si="1081"/>
        <v/>
      </c>
      <c r="AF728" s="268" t="str">
        <f t="shared" si="1082"/>
        <v/>
      </c>
      <c r="AG728" s="268" t="str">
        <f t="shared" si="1083"/>
        <v/>
      </c>
      <c r="AH728" s="268" t="str">
        <f t="shared" si="1084"/>
        <v/>
      </c>
      <c r="AI728" s="268" t="str">
        <f t="shared" si="1085"/>
        <v/>
      </c>
      <c r="AJ728" s="268" t="str">
        <f t="shared" si="1086"/>
        <v/>
      </c>
      <c r="AK728" s="268" t="str">
        <f t="shared" si="1087"/>
        <v/>
      </c>
      <c r="AL728" s="268" t="str">
        <f t="shared" si="1088"/>
        <v/>
      </c>
      <c r="AM728" s="268" t="str">
        <f t="shared" si="1089"/>
        <v/>
      </c>
      <c r="AN728" s="268" t="str">
        <f t="shared" si="1090"/>
        <v/>
      </c>
      <c r="AO728" s="268" t="str">
        <f t="shared" si="1091"/>
        <v/>
      </c>
      <c r="AP728" s="268" t="str">
        <f t="shared" si="1092"/>
        <v/>
      </c>
      <c r="AQ728" s="268" t="str">
        <f t="shared" si="1093"/>
        <v/>
      </c>
      <c r="AR728" s="268" t="str">
        <f t="shared" si="1094"/>
        <v/>
      </c>
      <c r="AS728" s="268" t="str">
        <f t="shared" si="1095"/>
        <v/>
      </c>
      <c r="AT728" s="268" t="str">
        <f t="shared" si="1096"/>
        <v/>
      </c>
      <c r="AU728" s="268" t="str">
        <f t="shared" si="1097"/>
        <v/>
      </c>
      <c r="AV728" s="268" t="str">
        <f t="shared" si="1098"/>
        <v/>
      </c>
      <c r="AW728" s="268">
        <f t="shared" si="1099"/>
        <v>17664</v>
      </c>
      <c r="AX728" s="268" t="str">
        <f t="shared" si="1100"/>
        <v/>
      </c>
      <c r="AY728" s="268" t="str">
        <f t="shared" si="1101"/>
        <v/>
      </c>
      <c r="AZ728" s="268" t="str">
        <f t="shared" si="1102"/>
        <v/>
      </c>
      <c r="BA728" s="268" t="str">
        <f t="shared" si="1103"/>
        <v/>
      </c>
      <c r="BB728" s="268" t="str">
        <f t="shared" si="1104"/>
        <v/>
      </c>
      <c r="BC728" s="268" t="str">
        <f t="shared" si="1105"/>
        <v/>
      </c>
      <c r="BD728" s="268" t="str">
        <f t="shared" si="1106"/>
        <v/>
      </c>
      <c r="BE728" s="268" t="str">
        <f t="shared" si="1107"/>
        <v/>
      </c>
      <c r="BF728" s="268" t="str">
        <f t="shared" si="1108"/>
        <v/>
      </c>
      <c r="BG728" s="268" t="str">
        <f t="shared" si="1109"/>
        <v/>
      </c>
      <c r="BH728" s="268" t="str">
        <f t="shared" si="1110"/>
        <v/>
      </c>
      <c r="BI728" s="268" t="str">
        <f t="shared" si="1111"/>
        <v/>
      </c>
      <c r="BJ728" s="268" t="str">
        <f t="shared" si="1112"/>
        <v/>
      </c>
      <c r="BK728" s="268" t="str">
        <f t="shared" ref="BK728:BS728" si="1125">IF(OR($E728="",BK$1=""),"",IF(TRIM(LEFT($E728,MIN(IFERROR(FIND("CDU",UPPER($E728)),999),IFERROR(FIND("BULK",UPPER($E728)),999),IFERROR(FIND("-",$E728),999),IFERROR(FIND("（",$E728),999))-1))=BK$1,$F728,""))</f>
        <v/>
      </c>
      <c r="BL728" s="268" t="str">
        <f t="shared" si="1125"/>
        <v/>
      </c>
      <c r="BM728" s="268" t="str">
        <f t="shared" si="1125"/>
        <v/>
      </c>
      <c r="BN728" s="268" t="str">
        <f t="shared" si="1125"/>
        <v/>
      </c>
      <c r="BO728" s="268" t="str">
        <f t="shared" si="1125"/>
        <v/>
      </c>
      <c r="BP728" s="268" t="str">
        <f t="shared" si="1125"/>
        <v/>
      </c>
      <c r="BQ728" s="268" t="str">
        <f t="shared" si="1125"/>
        <v/>
      </c>
      <c r="BR728" s="268" t="str">
        <f t="shared" si="1125"/>
        <v/>
      </c>
      <c r="BS728" s="268" t="str">
        <f t="shared" si="1125"/>
        <v/>
      </c>
      <c r="BT728" s="268" t="str">
        <f t="shared" si="1114"/>
        <v/>
      </c>
      <c r="BU728" s="268" t="str">
        <f t="shared" si="1115"/>
        <v/>
      </c>
      <c r="BV728" s="247">
        <v>1.33</v>
      </c>
      <c r="BW728" s="729">
        <f t="shared" si="1116"/>
        <v>23493.12</v>
      </c>
      <c r="BX728" s="730">
        <f t="shared" si="1117"/>
        <v>182071.68</v>
      </c>
      <c r="BY728" s="731" t="str">
        <f t="shared" si="1118"/>
        <v>SR</v>
      </c>
    </row>
    <row r="729" s="698" customFormat="1" customHeight="1" spans="1:77">
      <c r="A729" s="208">
        <v>46139</v>
      </c>
      <c r="B729" s="208">
        <v>46200</v>
      </c>
      <c r="C729" s="268" t="s">
        <v>791</v>
      </c>
      <c r="D729" s="268" t="s">
        <v>792</v>
      </c>
      <c r="E729" s="268" t="s">
        <v>170</v>
      </c>
      <c r="F729" s="343">
        <v>17664</v>
      </c>
      <c r="G729" s="268" t="s">
        <v>341</v>
      </c>
      <c r="H729" s="211" t="str">
        <f>IFERROR(VLOOKUP(E729,名称!A:E,4,0),"")</f>
        <v>三代</v>
      </c>
      <c r="I729" s="268" t="str">
        <f t="shared" si="1059"/>
        <v/>
      </c>
      <c r="J729" s="268" t="str">
        <f t="shared" si="1060"/>
        <v/>
      </c>
      <c r="K729" s="268" t="str">
        <f t="shared" si="1061"/>
        <v/>
      </c>
      <c r="L729" s="268" t="str">
        <f t="shared" si="1062"/>
        <v/>
      </c>
      <c r="M729" s="268" t="str">
        <f t="shared" si="1063"/>
        <v/>
      </c>
      <c r="N729" s="268" t="str">
        <f t="shared" si="1064"/>
        <v/>
      </c>
      <c r="O729" s="268" t="str">
        <f t="shared" si="1065"/>
        <v/>
      </c>
      <c r="P729" s="268" t="str">
        <f t="shared" si="1066"/>
        <v/>
      </c>
      <c r="Q729" s="268" t="str">
        <f t="shared" si="1067"/>
        <v/>
      </c>
      <c r="R729" s="268" t="str">
        <f t="shared" si="1068"/>
        <v/>
      </c>
      <c r="S729" s="268" t="str">
        <f t="shared" si="1069"/>
        <v/>
      </c>
      <c r="T729" s="268" t="str">
        <f t="shared" si="1070"/>
        <v/>
      </c>
      <c r="U729" s="268" t="str">
        <f t="shared" si="1071"/>
        <v/>
      </c>
      <c r="V729" s="268" t="str">
        <f t="shared" si="1072"/>
        <v/>
      </c>
      <c r="W729" s="268" t="str">
        <f t="shared" si="1073"/>
        <v/>
      </c>
      <c r="X729" s="268" t="str">
        <f t="shared" si="1074"/>
        <v/>
      </c>
      <c r="Y729" s="268" t="str">
        <f t="shared" si="1075"/>
        <v/>
      </c>
      <c r="Z729" s="268" t="str">
        <f t="shared" si="1076"/>
        <v/>
      </c>
      <c r="AA729" s="268" t="str">
        <f t="shared" si="1077"/>
        <v/>
      </c>
      <c r="AB729" s="268" t="str">
        <f t="shared" si="1078"/>
        <v/>
      </c>
      <c r="AC729" s="268" t="str">
        <f t="shared" si="1079"/>
        <v/>
      </c>
      <c r="AD729" s="268" t="str">
        <f t="shared" si="1080"/>
        <v/>
      </c>
      <c r="AE729" s="268" t="str">
        <f t="shared" si="1081"/>
        <v/>
      </c>
      <c r="AF729" s="268" t="str">
        <f t="shared" si="1082"/>
        <v/>
      </c>
      <c r="AG729" s="268" t="str">
        <f t="shared" si="1083"/>
        <v/>
      </c>
      <c r="AH729" s="268" t="str">
        <f t="shared" si="1084"/>
        <v/>
      </c>
      <c r="AI729" s="268" t="str">
        <f t="shared" si="1085"/>
        <v/>
      </c>
      <c r="AJ729" s="268" t="str">
        <f t="shared" si="1086"/>
        <v/>
      </c>
      <c r="AK729" s="268" t="str">
        <f t="shared" si="1087"/>
        <v/>
      </c>
      <c r="AL729" s="268" t="str">
        <f t="shared" si="1088"/>
        <v/>
      </c>
      <c r="AM729" s="268" t="str">
        <f t="shared" si="1089"/>
        <v/>
      </c>
      <c r="AN729" s="268" t="str">
        <f t="shared" si="1090"/>
        <v/>
      </c>
      <c r="AO729" s="268" t="str">
        <f t="shared" si="1091"/>
        <v/>
      </c>
      <c r="AP729" s="268" t="str">
        <f t="shared" si="1092"/>
        <v/>
      </c>
      <c r="AQ729" s="268" t="str">
        <f t="shared" si="1093"/>
        <v/>
      </c>
      <c r="AR729" s="268" t="str">
        <f t="shared" si="1094"/>
        <v/>
      </c>
      <c r="AS729" s="268" t="str">
        <f t="shared" si="1095"/>
        <v/>
      </c>
      <c r="AT729" s="268" t="str">
        <f t="shared" si="1096"/>
        <v/>
      </c>
      <c r="AU729" s="268" t="str">
        <f t="shared" si="1097"/>
        <v/>
      </c>
      <c r="AV729" s="268" t="str">
        <f t="shared" si="1098"/>
        <v/>
      </c>
      <c r="AW729" s="268">
        <f t="shared" si="1099"/>
        <v>17664</v>
      </c>
      <c r="AX729" s="268" t="str">
        <f t="shared" si="1100"/>
        <v/>
      </c>
      <c r="AY729" s="268" t="str">
        <f t="shared" si="1101"/>
        <v/>
      </c>
      <c r="AZ729" s="268" t="str">
        <f t="shared" si="1102"/>
        <v/>
      </c>
      <c r="BA729" s="268" t="str">
        <f t="shared" si="1103"/>
        <v/>
      </c>
      <c r="BB729" s="268" t="str">
        <f t="shared" si="1104"/>
        <v/>
      </c>
      <c r="BC729" s="268" t="str">
        <f t="shared" si="1105"/>
        <v/>
      </c>
      <c r="BD729" s="268" t="str">
        <f t="shared" si="1106"/>
        <v/>
      </c>
      <c r="BE729" s="268" t="str">
        <f t="shared" si="1107"/>
        <v/>
      </c>
      <c r="BF729" s="268" t="str">
        <f t="shared" si="1108"/>
        <v/>
      </c>
      <c r="BG729" s="268" t="str">
        <f t="shared" si="1109"/>
        <v/>
      </c>
      <c r="BH729" s="268" t="str">
        <f t="shared" si="1110"/>
        <v/>
      </c>
      <c r="BI729" s="268" t="str">
        <f t="shared" si="1111"/>
        <v/>
      </c>
      <c r="BJ729" s="268" t="str">
        <f t="shared" si="1112"/>
        <v/>
      </c>
      <c r="BK729" s="268" t="str">
        <f t="shared" ref="BK729:BS729" si="1126">IF(OR($E729="",BK$1=""),"",IF(TRIM(LEFT($E729,MIN(IFERROR(FIND("CDU",UPPER($E729)),999),IFERROR(FIND("BULK",UPPER($E729)),999),IFERROR(FIND("-",$E729),999),IFERROR(FIND("（",$E729),999))-1))=BK$1,$F729,""))</f>
        <v/>
      </c>
      <c r="BL729" s="268" t="str">
        <f t="shared" si="1126"/>
        <v/>
      </c>
      <c r="BM729" s="268" t="str">
        <f t="shared" si="1126"/>
        <v/>
      </c>
      <c r="BN729" s="268" t="str">
        <f t="shared" si="1126"/>
        <v/>
      </c>
      <c r="BO729" s="268" t="str">
        <f t="shared" si="1126"/>
        <v/>
      </c>
      <c r="BP729" s="268" t="str">
        <f t="shared" si="1126"/>
        <v/>
      </c>
      <c r="BQ729" s="268" t="str">
        <f t="shared" si="1126"/>
        <v/>
      </c>
      <c r="BR729" s="268" t="str">
        <f t="shared" si="1126"/>
        <v/>
      </c>
      <c r="BS729" s="268" t="str">
        <f t="shared" si="1126"/>
        <v/>
      </c>
      <c r="BT729" s="268" t="str">
        <f t="shared" si="1114"/>
        <v/>
      </c>
      <c r="BU729" s="268" t="str">
        <f t="shared" si="1115"/>
        <v/>
      </c>
      <c r="BV729" s="247">
        <v>1.33</v>
      </c>
      <c r="BW729" s="729">
        <f t="shared" si="1116"/>
        <v>23493.12</v>
      </c>
      <c r="BX729" s="730">
        <f t="shared" si="1117"/>
        <v>182071.68</v>
      </c>
      <c r="BY729" s="731" t="str">
        <f t="shared" si="1118"/>
        <v>SR</v>
      </c>
    </row>
    <row r="730" s="697" customFormat="1" customHeight="1" spans="1:77">
      <c r="A730" s="116">
        <v>46139</v>
      </c>
      <c r="B730" s="116">
        <v>46200</v>
      </c>
      <c r="C730" s="418" t="s">
        <v>791</v>
      </c>
      <c r="D730" s="418" t="s">
        <v>792</v>
      </c>
      <c r="E730" s="418" t="s">
        <v>167</v>
      </c>
      <c r="F730" s="737">
        <v>36000</v>
      </c>
      <c r="G730" s="418" t="s">
        <v>341</v>
      </c>
      <c r="H730" s="118" t="str">
        <f>IFERROR(VLOOKUP(E730,名称!A:E,4,0),"")</f>
        <v>三代</v>
      </c>
      <c r="I730" s="418" t="str">
        <f t="shared" si="1059"/>
        <v/>
      </c>
      <c r="J730" s="418" t="str">
        <f t="shared" si="1060"/>
        <v/>
      </c>
      <c r="K730" s="418" t="str">
        <f t="shared" si="1061"/>
        <v/>
      </c>
      <c r="L730" s="418" t="str">
        <f t="shared" si="1062"/>
        <v/>
      </c>
      <c r="M730" s="418" t="str">
        <f t="shared" si="1063"/>
        <v/>
      </c>
      <c r="N730" s="418" t="str">
        <f t="shared" si="1064"/>
        <v/>
      </c>
      <c r="O730" s="418" t="str">
        <f t="shared" si="1065"/>
        <v/>
      </c>
      <c r="P730" s="418" t="str">
        <f t="shared" si="1066"/>
        <v/>
      </c>
      <c r="Q730" s="418" t="str">
        <f t="shared" si="1067"/>
        <v/>
      </c>
      <c r="R730" s="418" t="str">
        <f t="shared" si="1068"/>
        <v/>
      </c>
      <c r="S730" s="418" t="str">
        <f t="shared" si="1069"/>
        <v/>
      </c>
      <c r="T730" s="418" t="str">
        <f t="shared" si="1070"/>
        <v/>
      </c>
      <c r="U730" s="418" t="str">
        <f t="shared" si="1071"/>
        <v/>
      </c>
      <c r="V730" s="418" t="str">
        <f t="shared" si="1072"/>
        <v/>
      </c>
      <c r="W730" s="418" t="str">
        <f t="shared" si="1073"/>
        <v/>
      </c>
      <c r="X730" s="418" t="str">
        <f t="shared" si="1074"/>
        <v/>
      </c>
      <c r="Y730" s="418" t="str">
        <f t="shared" si="1075"/>
        <v/>
      </c>
      <c r="Z730" s="418" t="str">
        <f t="shared" si="1076"/>
        <v/>
      </c>
      <c r="AA730" s="418" t="str">
        <f t="shared" si="1077"/>
        <v/>
      </c>
      <c r="AB730" s="418" t="str">
        <f t="shared" si="1078"/>
        <v/>
      </c>
      <c r="AC730" s="418" t="str">
        <f t="shared" si="1079"/>
        <v/>
      </c>
      <c r="AD730" s="418" t="str">
        <f t="shared" si="1080"/>
        <v/>
      </c>
      <c r="AE730" s="418" t="str">
        <f t="shared" si="1081"/>
        <v/>
      </c>
      <c r="AF730" s="418" t="str">
        <f t="shared" si="1082"/>
        <v/>
      </c>
      <c r="AG730" s="418" t="str">
        <f t="shared" si="1083"/>
        <v/>
      </c>
      <c r="AH730" s="418" t="str">
        <f t="shared" si="1084"/>
        <v/>
      </c>
      <c r="AI730" s="418" t="str">
        <f t="shared" si="1085"/>
        <v/>
      </c>
      <c r="AJ730" s="418" t="str">
        <f t="shared" si="1086"/>
        <v/>
      </c>
      <c r="AK730" s="418" t="str">
        <f t="shared" si="1087"/>
        <v/>
      </c>
      <c r="AL730" s="418" t="str">
        <f t="shared" si="1088"/>
        <v/>
      </c>
      <c r="AM730" s="418" t="str">
        <f t="shared" si="1089"/>
        <v/>
      </c>
      <c r="AN730" s="418" t="str">
        <f t="shared" si="1090"/>
        <v/>
      </c>
      <c r="AO730" s="418" t="str">
        <f t="shared" si="1091"/>
        <v/>
      </c>
      <c r="AP730" s="418" t="str">
        <f t="shared" si="1092"/>
        <v/>
      </c>
      <c r="AQ730" s="418" t="str">
        <f t="shared" si="1093"/>
        <v/>
      </c>
      <c r="AR730" s="418" t="str">
        <f t="shared" si="1094"/>
        <v/>
      </c>
      <c r="AS730" s="418" t="str">
        <f t="shared" si="1095"/>
        <v/>
      </c>
      <c r="AT730" s="418" t="str">
        <f t="shared" si="1096"/>
        <v/>
      </c>
      <c r="AU730" s="418">
        <f t="shared" si="1097"/>
        <v>36000</v>
      </c>
      <c r="AV730" s="418" t="str">
        <f t="shared" si="1098"/>
        <v/>
      </c>
      <c r="AW730" s="418" t="str">
        <f t="shared" si="1099"/>
        <v/>
      </c>
      <c r="AX730" s="418" t="str">
        <f t="shared" si="1100"/>
        <v/>
      </c>
      <c r="AY730" s="418" t="str">
        <f t="shared" si="1101"/>
        <v/>
      </c>
      <c r="AZ730" s="418" t="str">
        <f t="shared" si="1102"/>
        <v/>
      </c>
      <c r="BA730" s="418" t="str">
        <f t="shared" si="1103"/>
        <v/>
      </c>
      <c r="BB730" s="418" t="str">
        <f t="shared" si="1104"/>
        <v/>
      </c>
      <c r="BC730" s="418" t="str">
        <f t="shared" si="1105"/>
        <v/>
      </c>
      <c r="BD730" s="418" t="str">
        <f t="shared" si="1106"/>
        <v/>
      </c>
      <c r="BE730" s="418" t="str">
        <f t="shared" si="1107"/>
        <v/>
      </c>
      <c r="BF730" s="418" t="str">
        <f t="shared" si="1108"/>
        <v/>
      </c>
      <c r="BG730" s="418" t="str">
        <f t="shared" si="1109"/>
        <v/>
      </c>
      <c r="BH730" s="418" t="str">
        <f t="shared" si="1110"/>
        <v/>
      </c>
      <c r="BI730" s="418" t="str">
        <f t="shared" si="1111"/>
        <v/>
      </c>
      <c r="BJ730" s="418" t="str">
        <f t="shared" si="1112"/>
        <v/>
      </c>
      <c r="BK730" s="418" t="str">
        <f t="shared" ref="BK730:BS730" si="1127">IF(OR($E730="",BK$1=""),"",IF(TRIM(LEFT($E730,MIN(IFERROR(FIND("CDU",UPPER($E730)),999),IFERROR(FIND("BULK",UPPER($E730)),999),IFERROR(FIND("-",$E730),999),IFERROR(FIND("（",$E730),999))-1))=BK$1,$F730,""))</f>
        <v/>
      </c>
      <c r="BL730" s="418" t="str">
        <f t="shared" si="1127"/>
        <v/>
      </c>
      <c r="BM730" s="418" t="str">
        <f t="shared" si="1127"/>
        <v/>
      </c>
      <c r="BN730" s="418" t="str">
        <f t="shared" si="1127"/>
        <v/>
      </c>
      <c r="BO730" s="418" t="str">
        <f t="shared" si="1127"/>
        <v/>
      </c>
      <c r="BP730" s="418" t="str">
        <f t="shared" si="1127"/>
        <v/>
      </c>
      <c r="BQ730" s="418" t="str">
        <f t="shared" si="1127"/>
        <v/>
      </c>
      <c r="BR730" s="418" t="str">
        <f t="shared" si="1127"/>
        <v/>
      </c>
      <c r="BS730" s="418" t="str">
        <f t="shared" si="1127"/>
        <v/>
      </c>
      <c r="BT730" s="418" t="str">
        <f t="shared" si="1114"/>
        <v/>
      </c>
      <c r="BU730" s="418" t="str">
        <f t="shared" si="1115"/>
        <v/>
      </c>
      <c r="BV730" s="544">
        <v>1.67</v>
      </c>
      <c r="BW730" s="723">
        <f t="shared" si="1116"/>
        <v>60120</v>
      </c>
      <c r="BX730" s="724">
        <f t="shared" si="1117"/>
        <v>465930</v>
      </c>
      <c r="BY730" s="725" t="str">
        <f t="shared" si="1118"/>
        <v>SR</v>
      </c>
    </row>
    <row r="731" s="697" customFormat="1" customHeight="1" spans="1:77">
      <c r="A731" s="116">
        <v>46139</v>
      </c>
      <c r="B731" s="116">
        <v>46200</v>
      </c>
      <c r="C731" s="418" t="s">
        <v>791</v>
      </c>
      <c r="D731" s="418" t="s">
        <v>792</v>
      </c>
      <c r="E731" s="418" t="s">
        <v>132</v>
      </c>
      <c r="F731" s="737">
        <v>2040</v>
      </c>
      <c r="G731" s="418" t="s">
        <v>341</v>
      </c>
      <c r="H731" s="118" t="str">
        <f>IFERROR(VLOOKUP(E731,名称!A:E,4,0),"")</f>
        <v>三代</v>
      </c>
      <c r="I731" s="418" t="str">
        <f t="shared" si="1059"/>
        <v/>
      </c>
      <c r="J731" s="418" t="str">
        <f t="shared" si="1060"/>
        <v/>
      </c>
      <c r="K731" s="418" t="str">
        <f t="shared" si="1061"/>
        <v/>
      </c>
      <c r="L731" s="418" t="str">
        <f t="shared" si="1062"/>
        <v/>
      </c>
      <c r="M731" s="418" t="str">
        <f t="shared" si="1063"/>
        <v/>
      </c>
      <c r="N731" s="418" t="str">
        <f t="shared" si="1064"/>
        <v/>
      </c>
      <c r="O731" s="418" t="str">
        <f t="shared" si="1065"/>
        <v/>
      </c>
      <c r="P731" s="418" t="str">
        <f t="shared" si="1066"/>
        <v/>
      </c>
      <c r="Q731" s="418" t="str">
        <f t="shared" si="1067"/>
        <v/>
      </c>
      <c r="R731" s="418" t="str">
        <f t="shared" si="1068"/>
        <v/>
      </c>
      <c r="S731" s="418" t="str">
        <f t="shared" si="1069"/>
        <v/>
      </c>
      <c r="T731" s="418" t="str">
        <f t="shared" si="1070"/>
        <v/>
      </c>
      <c r="U731" s="418" t="str">
        <f t="shared" si="1071"/>
        <v/>
      </c>
      <c r="V731" s="418" t="str">
        <f t="shared" si="1072"/>
        <v/>
      </c>
      <c r="W731" s="418" t="str">
        <f t="shared" si="1073"/>
        <v/>
      </c>
      <c r="X731" s="418" t="str">
        <f t="shared" si="1074"/>
        <v/>
      </c>
      <c r="Y731" s="418" t="str">
        <f t="shared" si="1075"/>
        <v/>
      </c>
      <c r="Z731" s="418" t="str">
        <f t="shared" si="1076"/>
        <v/>
      </c>
      <c r="AA731" s="418" t="str">
        <f t="shared" si="1077"/>
        <v/>
      </c>
      <c r="AB731" s="418" t="str">
        <f t="shared" si="1078"/>
        <v/>
      </c>
      <c r="AC731" s="418" t="str">
        <f t="shared" si="1079"/>
        <v/>
      </c>
      <c r="AD731" s="418" t="str">
        <f t="shared" si="1080"/>
        <v/>
      </c>
      <c r="AE731" s="418" t="str">
        <f t="shared" si="1081"/>
        <v/>
      </c>
      <c r="AF731" s="418" t="str">
        <f t="shared" si="1082"/>
        <v/>
      </c>
      <c r="AG731" s="418" t="str">
        <f t="shared" si="1083"/>
        <v/>
      </c>
      <c r="AH731" s="418" t="str">
        <f t="shared" si="1084"/>
        <v/>
      </c>
      <c r="AI731" s="418" t="str">
        <f t="shared" si="1085"/>
        <v/>
      </c>
      <c r="AJ731" s="418" t="str">
        <f t="shared" si="1086"/>
        <v/>
      </c>
      <c r="AK731" s="418" t="str">
        <f t="shared" si="1087"/>
        <v/>
      </c>
      <c r="AL731" s="418" t="str">
        <f t="shared" si="1088"/>
        <v/>
      </c>
      <c r="AM731" s="418" t="str">
        <f t="shared" si="1089"/>
        <v/>
      </c>
      <c r="AN731" s="418" t="str">
        <f t="shared" si="1090"/>
        <v/>
      </c>
      <c r="AO731" s="418" t="str">
        <f t="shared" si="1091"/>
        <v/>
      </c>
      <c r="AP731" s="418" t="str">
        <f t="shared" si="1092"/>
        <v/>
      </c>
      <c r="AQ731" s="418" t="str">
        <f t="shared" si="1093"/>
        <v/>
      </c>
      <c r="AR731" s="418" t="str">
        <f t="shared" si="1094"/>
        <v/>
      </c>
      <c r="AS731" s="418" t="str">
        <f t="shared" si="1095"/>
        <v/>
      </c>
      <c r="AT731" s="418" t="str">
        <f t="shared" si="1096"/>
        <v/>
      </c>
      <c r="AU731" s="418" t="str">
        <f t="shared" si="1097"/>
        <v/>
      </c>
      <c r="AV731" s="418" t="str">
        <f t="shared" si="1098"/>
        <v/>
      </c>
      <c r="AW731" s="418" t="str">
        <f t="shared" si="1099"/>
        <v/>
      </c>
      <c r="AX731" s="418" t="str">
        <f t="shared" si="1100"/>
        <v/>
      </c>
      <c r="AY731" s="418" t="str">
        <f t="shared" si="1101"/>
        <v/>
      </c>
      <c r="AZ731" s="418" t="str">
        <f t="shared" si="1102"/>
        <v/>
      </c>
      <c r="BA731" s="418" t="str">
        <f t="shared" si="1103"/>
        <v/>
      </c>
      <c r="BB731" s="418" t="str">
        <f t="shared" si="1104"/>
        <v/>
      </c>
      <c r="BC731" s="418" t="str">
        <f t="shared" si="1105"/>
        <v/>
      </c>
      <c r="BD731" s="418" t="str">
        <f t="shared" si="1106"/>
        <v/>
      </c>
      <c r="BE731" s="418" t="str">
        <f t="shared" si="1107"/>
        <v/>
      </c>
      <c r="BF731" s="418" t="str">
        <f t="shared" si="1108"/>
        <v/>
      </c>
      <c r="BG731" s="418" t="str">
        <f t="shared" si="1109"/>
        <v/>
      </c>
      <c r="BH731" s="418" t="str">
        <f t="shared" si="1110"/>
        <v/>
      </c>
      <c r="BI731" s="418" t="str">
        <f t="shared" si="1111"/>
        <v/>
      </c>
      <c r="BJ731" s="418" t="str">
        <f t="shared" si="1112"/>
        <v/>
      </c>
      <c r="BK731" s="418" t="str">
        <f t="shared" ref="BK731:BS731" si="1128">IF(OR($E731="",BK$1=""),"",IF(TRIM(LEFT($E731,MIN(IFERROR(FIND("CDU",UPPER($E731)),999),IFERROR(FIND("BULK",UPPER($E731)),999),IFERROR(FIND("-",$E731),999),IFERROR(FIND("（",$E731),999))-1))=BK$1,$F731,""))</f>
        <v/>
      </c>
      <c r="BL731" s="418" t="str">
        <f t="shared" si="1128"/>
        <v/>
      </c>
      <c r="BM731" s="418">
        <f t="shared" si="1128"/>
        <v>2040</v>
      </c>
      <c r="BN731" s="418" t="str">
        <f t="shared" si="1128"/>
        <v/>
      </c>
      <c r="BO731" s="418" t="str">
        <f t="shared" si="1128"/>
        <v/>
      </c>
      <c r="BP731" s="418" t="str">
        <f t="shared" si="1128"/>
        <v/>
      </c>
      <c r="BQ731" s="418" t="str">
        <f t="shared" si="1128"/>
        <v/>
      </c>
      <c r="BR731" s="418" t="str">
        <f t="shared" si="1128"/>
        <v/>
      </c>
      <c r="BS731" s="418" t="str">
        <f t="shared" si="1128"/>
        <v/>
      </c>
      <c r="BT731" s="418" t="str">
        <f t="shared" si="1114"/>
        <v/>
      </c>
      <c r="BU731" s="418" t="str">
        <f t="shared" si="1115"/>
        <v/>
      </c>
      <c r="BV731" s="544">
        <v>0.6</v>
      </c>
      <c r="BW731" s="723">
        <f t="shared" si="1116"/>
        <v>1224</v>
      </c>
      <c r="BX731" s="724">
        <f t="shared" si="1117"/>
        <v>9486</v>
      </c>
      <c r="BY731" s="725" t="str">
        <f t="shared" si="1118"/>
        <v>JS</v>
      </c>
    </row>
    <row r="732" s="697" customFormat="1" customHeight="1" spans="1:77">
      <c r="A732" s="116">
        <v>46139</v>
      </c>
      <c r="B732" s="116">
        <v>46200</v>
      </c>
      <c r="C732" s="418" t="s">
        <v>791</v>
      </c>
      <c r="D732" s="418" t="s">
        <v>792</v>
      </c>
      <c r="E732" s="418" t="s">
        <v>133</v>
      </c>
      <c r="F732" s="737">
        <v>2040</v>
      </c>
      <c r="G732" s="418" t="s">
        <v>341</v>
      </c>
      <c r="H732" s="118" t="str">
        <f>IFERROR(VLOOKUP(E732,名称!A:E,4,0),"")</f>
        <v>三代</v>
      </c>
      <c r="I732" s="418" t="str">
        <f t="shared" si="1059"/>
        <v/>
      </c>
      <c r="J732" s="418" t="str">
        <f t="shared" si="1060"/>
        <v/>
      </c>
      <c r="K732" s="418" t="str">
        <f t="shared" si="1061"/>
        <v/>
      </c>
      <c r="L732" s="418" t="str">
        <f t="shared" si="1062"/>
        <v/>
      </c>
      <c r="M732" s="418" t="str">
        <f t="shared" si="1063"/>
        <v/>
      </c>
      <c r="N732" s="418" t="str">
        <f t="shared" si="1064"/>
        <v/>
      </c>
      <c r="O732" s="418" t="str">
        <f t="shared" si="1065"/>
        <v/>
      </c>
      <c r="P732" s="418" t="str">
        <f t="shared" si="1066"/>
        <v/>
      </c>
      <c r="Q732" s="418" t="str">
        <f t="shared" si="1067"/>
        <v/>
      </c>
      <c r="R732" s="418" t="str">
        <f t="shared" si="1068"/>
        <v/>
      </c>
      <c r="S732" s="418" t="str">
        <f t="shared" si="1069"/>
        <v/>
      </c>
      <c r="T732" s="418" t="str">
        <f t="shared" si="1070"/>
        <v/>
      </c>
      <c r="U732" s="418" t="str">
        <f t="shared" si="1071"/>
        <v/>
      </c>
      <c r="V732" s="418" t="str">
        <f t="shared" si="1072"/>
        <v/>
      </c>
      <c r="W732" s="418" t="str">
        <f t="shared" si="1073"/>
        <v/>
      </c>
      <c r="X732" s="418" t="str">
        <f t="shared" si="1074"/>
        <v/>
      </c>
      <c r="Y732" s="418" t="str">
        <f t="shared" si="1075"/>
        <v/>
      </c>
      <c r="Z732" s="418" t="str">
        <f t="shared" si="1076"/>
        <v/>
      </c>
      <c r="AA732" s="418" t="str">
        <f t="shared" si="1077"/>
        <v/>
      </c>
      <c r="AB732" s="418" t="str">
        <f t="shared" si="1078"/>
        <v/>
      </c>
      <c r="AC732" s="418" t="str">
        <f t="shared" si="1079"/>
        <v/>
      </c>
      <c r="AD732" s="418" t="str">
        <f t="shared" si="1080"/>
        <v/>
      </c>
      <c r="AE732" s="418" t="str">
        <f t="shared" si="1081"/>
        <v/>
      </c>
      <c r="AF732" s="418" t="str">
        <f t="shared" si="1082"/>
        <v/>
      </c>
      <c r="AG732" s="418" t="str">
        <f t="shared" si="1083"/>
        <v/>
      </c>
      <c r="AH732" s="418" t="str">
        <f t="shared" si="1084"/>
        <v/>
      </c>
      <c r="AI732" s="418" t="str">
        <f t="shared" si="1085"/>
        <v/>
      </c>
      <c r="AJ732" s="418" t="str">
        <f t="shared" si="1086"/>
        <v/>
      </c>
      <c r="AK732" s="418" t="str">
        <f t="shared" si="1087"/>
        <v/>
      </c>
      <c r="AL732" s="418" t="str">
        <f t="shared" si="1088"/>
        <v/>
      </c>
      <c r="AM732" s="418" t="str">
        <f t="shared" si="1089"/>
        <v/>
      </c>
      <c r="AN732" s="418" t="str">
        <f t="shared" si="1090"/>
        <v/>
      </c>
      <c r="AO732" s="418" t="str">
        <f t="shared" si="1091"/>
        <v/>
      </c>
      <c r="AP732" s="418" t="str">
        <f t="shared" si="1092"/>
        <v/>
      </c>
      <c r="AQ732" s="418" t="str">
        <f t="shared" si="1093"/>
        <v/>
      </c>
      <c r="AR732" s="418" t="str">
        <f t="shared" si="1094"/>
        <v/>
      </c>
      <c r="AS732" s="418" t="str">
        <f t="shared" si="1095"/>
        <v/>
      </c>
      <c r="AT732" s="418" t="str">
        <f t="shared" si="1096"/>
        <v/>
      </c>
      <c r="AU732" s="418" t="str">
        <f t="shared" si="1097"/>
        <v/>
      </c>
      <c r="AV732" s="418" t="str">
        <f t="shared" si="1098"/>
        <v/>
      </c>
      <c r="AW732" s="418" t="str">
        <f t="shared" si="1099"/>
        <v/>
      </c>
      <c r="AX732" s="418" t="str">
        <f t="shared" si="1100"/>
        <v/>
      </c>
      <c r="AY732" s="418" t="str">
        <f t="shared" si="1101"/>
        <v/>
      </c>
      <c r="AZ732" s="418" t="str">
        <f t="shared" si="1102"/>
        <v/>
      </c>
      <c r="BA732" s="418" t="str">
        <f t="shared" si="1103"/>
        <v/>
      </c>
      <c r="BB732" s="418" t="str">
        <f t="shared" si="1104"/>
        <v/>
      </c>
      <c r="BC732" s="418" t="str">
        <f t="shared" si="1105"/>
        <v/>
      </c>
      <c r="BD732" s="418" t="str">
        <f t="shared" si="1106"/>
        <v/>
      </c>
      <c r="BE732" s="418" t="str">
        <f t="shared" si="1107"/>
        <v/>
      </c>
      <c r="BF732" s="418" t="str">
        <f t="shared" si="1108"/>
        <v/>
      </c>
      <c r="BG732" s="418" t="str">
        <f t="shared" si="1109"/>
        <v/>
      </c>
      <c r="BH732" s="418" t="str">
        <f t="shared" si="1110"/>
        <v/>
      </c>
      <c r="BI732" s="418" t="str">
        <f t="shared" si="1111"/>
        <v/>
      </c>
      <c r="BJ732" s="418" t="str">
        <f t="shared" si="1112"/>
        <v/>
      </c>
      <c r="BK732" s="418" t="str">
        <f t="shared" ref="BK732:BS732" si="1129">IF(OR($E732="",BK$1=""),"",IF(TRIM(LEFT($E732,MIN(IFERROR(FIND("CDU",UPPER($E732)),999),IFERROR(FIND("BULK",UPPER($E732)),999),IFERROR(FIND("-",$E732),999),IFERROR(FIND("（",$E732),999))-1))=BK$1,$F732,""))</f>
        <v/>
      </c>
      <c r="BL732" s="418" t="str">
        <f t="shared" si="1129"/>
        <v/>
      </c>
      <c r="BM732" s="418">
        <f t="shared" si="1129"/>
        <v>2040</v>
      </c>
      <c r="BN732" s="418" t="str">
        <f t="shared" si="1129"/>
        <v/>
      </c>
      <c r="BO732" s="418" t="str">
        <f t="shared" si="1129"/>
        <v/>
      </c>
      <c r="BP732" s="418" t="str">
        <f t="shared" si="1129"/>
        <v/>
      </c>
      <c r="BQ732" s="418" t="str">
        <f t="shared" si="1129"/>
        <v/>
      </c>
      <c r="BR732" s="418" t="str">
        <f t="shared" si="1129"/>
        <v/>
      </c>
      <c r="BS732" s="418" t="str">
        <f t="shared" si="1129"/>
        <v/>
      </c>
      <c r="BT732" s="418" t="str">
        <f t="shared" si="1114"/>
        <v/>
      </c>
      <c r="BU732" s="418" t="str">
        <f t="shared" si="1115"/>
        <v/>
      </c>
      <c r="BV732" s="544">
        <v>0.6</v>
      </c>
      <c r="BW732" s="723">
        <f t="shared" si="1116"/>
        <v>1224</v>
      </c>
      <c r="BX732" s="724">
        <f t="shared" si="1117"/>
        <v>9486</v>
      </c>
      <c r="BY732" s="725" t="str">
        <f t="shared" si="1118"/>
        <v>JS</v>
      </c>
    </row>
    <row r="733" s="697" customFormat="1" customHeight="1" spans="1:77">
      <c r="A733" s="116">
        <v>46139</v>
      </c>
      <c r="B733" s="116">
        <v>46200</v>
      </c>
      <c r="C733" s="418" t="s">
        <v>791</v>
      </c>
      <c r="D733" s="418" t="s">
        <v>792</v>
      </c>
      <c r="E733" s="418" t="s">
        <v>134</v>
      </c>
      <c r="F733" s="737">
        <v>2040</v>
      </c>
      <c r="G733" s="418" t="s">
        <v>341</v>
      </c>
      <c r="H733" s="118" t="str">
        <f>IFERROR(VLOOKUP(E733,名称!A:E,4,0),"")</f>
        <v>三代</v>
      </c>
      <c r="I733" s="418" t="str">
        <f t="shared" si="1059"/>
        <v/>
      </c>
      <c r="J733" s="418" t="str">
        <f t="shared" si="1060"/>
        <v/>
      </c>
      <c r="K733" s="418" t="str">
        <f t="shared" si="1061"/>
        <v/>
      </c>
      <c r="L733" s="418" t="str">
        <f t="shared" si="1062"/>
        <v/>
      </c>
      <c r="M733" s="418" t="str">
        <f t="shared" si="1063"/>
        <v/>
      </c>
      <c r="N733" s="418" t="str">
        <f t="shared" si="1064"/>
        <v/>
      </c>
      <c r="O733" s="418" t="str">
        <f t="shared" si="1065"/>
        <v/>
      </c>
      <c r="P733" s="418" t="str">
        <f t="shared" si="1066"/>
        <v/>
      </c>
      <c r="Q733" s="418" t="str">
        <f t="shared" si="1067"/>
        <v/>
      </c>
      <c r="R733" s="418" t="str">
        <f t="shared" si="1068"/>
        <v/>
      </c>
      <c r="S733" s="418" t="str">
        <f t="shared" si="1069"/>
        <v/>
      </c>
      <c r="T733" s="418" t="str">
        <f t="shared" si="1070"/>
        <v/>
      </c>
      <c r="U733" s="418" t="str">
        <f t="shared" si="1071"/>
        <v/>
      </c>
      <c r="V733" s="418" t="str">
        <f t="shared" si="1072"/>
        <v/>
      </c>
      <c r="W733" s="418" t="str">
        <f t="shared" si="1073"/>
        <v/>
      </c>
      <c r="X733" s="418" t="str">
        <f t="shared" si="1074"/>
        <v/>
      </c>
      <c r="Y733" s="418" t="str">
        <f t="shared" si="1075"/>
        <v/>
      </c>
      <c r="Z733" s="418" t="str">
        <f t="shared" si="1076"/>
        <v/>
      </c>
      <c r="AA733" s="418" t="str">
        <f t="shared" si="1077"/>
        <v/>
      </c>
      <c r="AB733" s="418" t="str">
        <f t="shared" si="1078"/>
        <v/>
      </c>
      <c r="AC733" s="418" t="str">
        <f t="shared" si="1079"/>
        <v/>
      </c>
      <c r="AD733" s="418" t="str">
        <f t="shared" si="1080"/>
        <v/>
      </c>
      <c r="AE733" s="418" t="str">
        <f t="shared" si="1081"/>
        <v/>
      </c>
      <c r="AF733" s="418" t="str">
        <f t="shared" si="1082"/>
        <v/>
      </c>
      <c r="AG733" s="418" t="str">
        <f t="shared" si="1083"/>
        <v/>
      </c>
      <c r="AH733" s="418" t="str">
        <f t="shared" si="1084"/>
        <v/>
      </c>
      <c r="AI733" s="418" t="str">
        <f t="shared" si="1085"/>
        <v/>
      </c>
      <c r="AJ733" s="418" t="str">
        <f t="shared" si="1086"/>
        <v/>
      </c>
      <c r="AK733" s="418" t="str">
        <f t="shared" si="1087"/>
        <v/>
      </c>
      <c r="AL733" s="418" t="str">
        <f t="shared" si="1088"/>
        <v/>
      </c>
      <c r="AM733" s="418" t="str">
        <f t="shared" si="1089"/>
        <v/>
      </c>
      <c r="AN733" s="418" t="str">
        <f t="shared" si="1090"/>
        <v/>
      </c>
      <c r="AO733" s="418" t="str">
        <f t="shared" si="1091"/>
        <v/>
      </c>
      <c r="AP733" s="418" t="str">
        <f t="shared" si="1092"/>
        <v/>
      </c>
      <c r="AQ733" s="418" t="str">
        <f t="shared" si="1093"/>
        <v/>
      </c>
      <c r="AR733" s="418" t="str">
        <f t="shared" si="1094"/>
        <v/>
      </c>
      <c r="AS733" s="418" t="str">
        <f t="shared" si="1095"/>
        <v/>
      </c>
      <c r="AT733" s="418" t="str">
        <f t="shared" si="1096"/>
        <v/>
      </c>
      <c r="AU733" s="418" t="str">
        <f t="shared" si="1097"/>
        <v/>
      </c>
      <c r="AV733" s="418" t="str">
        <f t="shared" si="1098"/>
        <v/>
      </c>
      <c r="AW733" s="418" t="str">
        <f t="shared" si="1099"/>
        <v/>
      </c>
      <c r="AX733" s="418" t="str">
        <f t="shared" si="1100"/>
        <v/>
      </c>
      <c r="AY733" s="418" t="str">
        <f t="shared" si="1101"/>
        <v/>
      </c>
      <c r="AZ733" s="418" t="str">
        <f t="shared" si="1102"/>
        <v/>
      </c>
      <c r="BA733" s="418" t="str">
        <f t="shared" si="1103"/>
        <v/>
      </c>
      <c r="BB733" s="418" t="str">
        <f t="shared" si="1104"/>
        <v/>
      </c>
      <c r="BC733" s="418" t="str">
        <f t="shared" si="1105"/>
        <v/>
      </c>
      <c r="BD733" s="418" t="str">
        <f t="shared" si="1106"/>
        <v/>
      </c>
      <c r="BE733" s="418" t="str">
        <f t="shared" si="1107"/>
        <v/>
      </c>
      <c r="BF733" s="418" t="str">
        <f t="shared" si="1108"/>
        <v/>
      </c>
      <c r="BG733" s="418" t="str">
        <f t="shared" si="1109"/>
        <v/>
      </c>
      <c r="BH733" s="418" t="str">
        <f t="shared" si="1110"/>
        <v/>
      </c>
      <c r="BI733" s="418" t="str">
        <f t="shared" si="1111"/>
        <v/>
      </c>
      <c r="BJ733" s="418" t="str">
        <f t="shared" si="1112"/>
        <v/>
      </c>
      <c r="BK733" s="418" t="str">
        <f t="shared" ref="BK733:BS733" si="1130">IF(OR($E733="",BK$1=""),"",IF(TRIM(LEFT($E733,MIN(IFERROR(FIND("CDU",UPPER($E733)),999),IFERROR(FIND("BULK",UPPER($E733)),999),IFERROR(FIND("-",$E733),999),IFERROR(FIND("（",$E733),999))-1))=BK$1,$F733,""))</f>
        <v/>
      </c>
      <c r="BL733" s="418" t="str">
        <f t="shared" si="1130"/>
        <v/>
      </c>
      <c r="BM733" s="418">
        <f t="shared" si="1130"/>
        <v>2040</v>
      </c>
      <c r="BN733" s="418" t="str">
        <f t="shared" si="1130"/>
        <v/>
      </c>
      <c r="BO733" s="418" t="str">
        <f t="shared" si="1130"/>
        <v/>
      </c>
      <c r="BP733" s="418" t="str">
        <f t="shared" si="1130"/>
        <v/>
      </c>
      <c r="BQ733" s="418" t="str">
        <f t="shared" si="1130"/>
        <v/>
      </c>
      <c r="BR733" s="418" t="str">
        <f t="shared" si="1130"/>
        <v/>
      </c>
      <c r="BS733" s="418" t="str">
        <f t="shared" si="1130"/>
        <v/>
      </c>
      <c r="BT733" s="418" t="str">
        <f t="shared" si="1114"/>
        <v/>
      </c>
      <c r="BU733" s="418" t="str">
        <f t="shared" si="1115"/>
        <v/>
      </c>
      <c r="BV733" s="544">
        <v>0.6</v>
      </c>
      <c r="BW733" s="723">
        <f t="shared" si="1116"/>
        <v>1224</v>
      </c>
      <c r="BX733" s="724">
        <f t="shared" si="1117"/>
        <v>9486</v>
      </c>
      <c r="BY733" s="725" t="str">
        <f t="shared" si="1118"/>
        <v>JS</v>
      </c>
    </row>
    <row r="734" s="697" customFormat="1" customHeight="1" spans="1:77">
      <c r="A734" s="116">
        <v>46139</v>
      </c>
      <c r="B734" s="116">
        <v>46200</v>
      </c>
      <c r="C734" s="418" t="s">
        <v>791</v>
      </c>
      <c r="D734" s="418" t="s">
        <v>792</v>
      </c>
      <c r="E734" s="418" t="s">
        <v>135</v>
      </c>
      <c r="F734" s="737">
        <v>2040</v>
      </c>
      <c r="G734" s="418" t="s">
        <v>341</v>
      </c>
      <c r="H734" s="118" t="str">
        <f>IFERROR(VLOOKUP(E734,名称!A:E,4,0),"")</f>
        <v>三代</v>
      </c>
      <c r="I734" s="418" t="str">
        <f t="shared" si="1059"/>
        <v/>
      </c>
      <c r="J734" s="418" t="str">
        <f t="shared" si="1060"/>
        <v/>
      </c>
      <c r="K734" s="418" t="str">
        <f t="shared" si="1061"/>
        <v/>
      </c>
      <c r="L734" s="418" t="str">
        <f t="shared" si="1062"/>
        <v/>
      </c>
      <c r="M734" s="418" t="str">
        <f t="shared" si="1063"/>
        <v/>
      </c>
      <c r="N734" s="418" t="str">
        <f t="shared" si="1064"/>
        <v/>
      </c>
      <c r="O734" s="418" t="str">
        <f t="shared" si="1065"/>
        <v/>
      </c>
      <c r="P734" s="418" t="str">
        <f t="shared" si="1066"/>
        <v/>
      </c>
      <c r="Q734" s="418" t="str">
        <f t="shared" si="1067"/>
        <v/>
      </c>
      <c r="R734" s="418" t="str">
        <f t="shared" si="1068"/>
        <v/>
      </c>
      <c r="S734" s="418" t="str">
        <f t="shared" si="1069"/>
        <v/>
      </c>
      <c r="T734" s="418" t="str">
        <f t="shared" si="1070"/>
        <v/>
      </c>
      <c r="U734" s="418" t="str">
        <f t="shared" si="1071"/>
        <v/>
      </c>
      <c r="V734" s="418" t="str">
        <f t="shared" si="1072"/>
        <v/>
      </c>
      <c r="W734" s="418" t="str">
        <f t="shared" si="1073"/>
        <v/>
      </c>
      <c r="X734" s="418" t="str">
        <f t="shared" si="1074"/>
        <v/>
      </c>
      <c r="Y734" s="418" t="str">
        <f t="shared" si="1075"/>
        <v/>
      </c>
      <c r="Z734" s="418" t="str">
        <f t="shared" si="1076"/>
        <v/>
      </c>
      <c r="AA734" s="418" t="str">
        <f t="shared" si="1077"/>
        <v/>
      </c>
      <c r="AB734" s="418" t="str">
        <f t="shared" si="1078"/>
        <v/>
      </c>
      <c r="AC734" s="418" t="str">
        <f t="shared" si="1079"/>
        <v/>
      </c>
      <c r="AD734" s="418" t="str">
        <f t="shared" si="1080"/>
        <v/>
      </c>
      <c r="AE734" s="418" t="str">
        <f t="shared" si="1081"/>
        <v/>
      </c>
      <c r="AF734" s="418" t="str">
        <f t="shared" si="1082"/>
        <v/>
      </c>
      <c r="AG734" s="418" t="str">
        <f t="shared" si="1083"/>
        <v/>
      </c>
      <c r="AH734" s="418" t="str">
        <f t="shared" si="1084"/>
        <v/>
      </c>
      <c r="AI734" s="418" t="str">
        <f t="shared" si="1085"/>
        <v/>
      </c>
      <c r="AJ734" s="418" t="str">
        <f t="shared" si="1086"/>
        <v/>
      </c>
      <c r="AK734" s="418" t="str">
        <f t="shared" si="1087"/>
        <v/>
      </c>
      <c r="AL734" s="418" t="str">
        <f t="shared" si="1088"/>
        <v/>
      </c>
      <c r="AM734" s="418" t="str">
        <f t="shared" si="1089"/>
        <v/>
      </c>
      <c r="AN734" s="418" t="str">
        <f t="shared" si="1090"/>
        <v/>
      </c>
      <c r="AO734" s="418" t="str">
        <f t="shared" si="1091"/>
        <v/>
      </c>
      <c r="AP734" s="418" t="str">
        <f t="shared" si="1092"/>
        <v/>
      </c>
      <c r="AQ734" s="418" t="str">
        <f t="shared" si="1093"/>
        <v/>
      </c>
      <c r="AR734" s="418" t="str">
        <f t="shared" si="1094"/>
        <v/>
      </c>
      <c r="AS734" s="418" t="str">
        <f t="shared" si="1095"/>
        <v/>
      </c>
      <c r="AT734" s="418" t="str">
        <f t="shared" si="1096"/>
        <v/>
      </c>
      <c r="AU734" s="418" t="str">
        <f t="shared" si="1097"/>
        <v/>
      </c>
      <c r="AV734" s="418" t="str">
        <f t="shared" si="1098"/>
        <v/>
      </c>
      <c r="AW734" s="418" t="str">
        <f t="shared" si="1099"/>
        <v/>
      </c>
      <c r="AX734" s="418" t="str">
        <f t="shared" si="1100"/>
        <v/>
      </c>
      <c r="AY734" s="418" t="str">
        <f t="shared" si="1101"/>
        <v/>
      </c>
      <c r="AZ734" s="418" t="str">
        <f t="shared" si="1102"/>
        <v/>
      </c>
      <c r="BA734" s="418" t="str">
        <f t="shared" si="1103"/>
        <v/>
      </c>
      <c r="BB734" s="418" t="str">
        <f t="shared" si="1104"/>
        <v/>
      </c>
      <c r="BC734" s="418" t="str">
        <f t="shared" si="1105"/>
        <v/>
      </c>
      <c r="BD734" s="418" t="str">
        <f t="shared" si="1106"/>
        <v/>
      </c>
      <c r="BE734" s="418" t="str">
        <f t="shared" si="1107"/>
        <v/>
      </c>
      <c r="BF734" s="418" t="str">
        <f t="shared" si="1108"/>
        <v/>
      </c>
      <c r="BG734" s="418" t="str">
        <f t="shared" si="1109"/>
        <v/>
      </c>
      <c r="BH734" s="418" t="str">
        <f t="shared" si="1110"/>
        <v/>
      </c>
      <c r="BI734" s="418" t="str">
        <f t="shared" si="1111"/>
        <v/>
      </c>
      <c r="BJ734" s="418" t="str">
        <f t="shared" si="1112"/>
        <v/>
      </c>
      <c r="BK734" s="418" t="str">
        <f t="shared" ref="BK734:BS734" si="1131">IF(OR($E734="",BK$1=""),"",IF(TRIM(LEFT($E734,MIN(IFERROR(FIND("CDU",UPPER($E734)),999),IFERROR(FIND("BULK",UPPER($E734)),999),IFERROR(FIND("-",$E734),999),IFERROR(FIND("（",$E734),999))-1))=BK$1,$F734,""))</f>
        <v/>
      </c>
      <c r="BL734" s="418" t="str">
        <f t="shared" si="1131"/>
        <v/>
      </c>
      <c r="BM734" s="418">
        <f t="shared" si="1131"/>
        <v>2040</v>
      </c>
      <c r="BN734" s="418" t="str">
        <f t="shared" si="1131"/>
        <v/>
      </c>
      <c r="BO734" s="418" t="str">
        <f t="shared" si="1131"/>
        <v/>
      </c>
      <c r="BP734" s="418" t="str">
        <f t="shared" si="1131"/>
        <v/>
      </c>
      <c r="BQ734" s="418" t="str">
        <f t="shared" si="1131"/>
        <v/>
      </c>
      <c r="BR734" s="418" t="str">
        <f t="shared" si="1131"/>
        <v/>
      </c>
      <c r="BS734" s="418" t="str">
        <f t="shared" si="1131"/>
        <v/>
      </c>
      <c r="BT734" s="418" t="str">
        <f t="shared" si="1114"/>
        <v/>
      </c>
      <c r="BU734" s="418" t="str">
        <f t="shared" si="1115"/>
        <v/>
      </c>
      <c r="BV734" s="544">
        <v>0.6</v>
      </c>
      <c r="BW734" s="723">
        <f t="shared" si="1116"/>
        <v>1224</v>
      </c>
      <c r="BX734" s="724">
        <f t="shared" si="1117"/>
        <v>9486</v>
      </c>
      <c r="BY734" s="725" t="str">
        <f t="shared" si="1118"/>
        <v>JS</v>
      </c>
    </row>
    <row r="735" s="698" customFormat="1" customHeight="1" spans="1:77">
      <c r="A735" s="208">
        <v>46139</v>
      </c>
      <c r="B735" s="208">
        <v>46200</v>
      </c>
      <c r="C735" s="268" t="s">
        <v>791</v>
      </c>
      <c r="D735" s="268" t="s">
        <v>792</v>
      </c>
      <c r="E735" s="268" t="s">
        <v>136</v>
      </c>
      <c r="F735" s="343">
        <v>9792</v>
      </c>
      <c r="G735" s="268" t="s">
        <v>341</v>
      </c>
      <c r="H735" s="211" t="str">
        <f>IFERROR(VLOOKUP(E735,名称!A:E,4,0),"")</f>
        <v>三代</v>
      </c>
      <c r="I735" s="268" t="str">
        <f t="shared" si="1059"/>
        <v/>
      </c>
      <c r="J735" s="268" t="str">
        <f t="shared" si="1060"/>
        <v/>
      </c>
      <c r="K735" s="268" t="str">
        <f t="shared" si="1061"/>
        <v/>
      </c>
      <c r="L735" s="268" t="str">
        <f t="shared" si="1062"/>
        <v/>
      </c>
      <c r="M735" s="268" t="str">
        <f t="shared" si="1063"/>
        <v/>
      </c>
      <c r="N735" s="268" t="str">
        <f t="shared" si="1064"/>
        <v/>
      </c>
      <c r="O735" s="268" t="str">
        <f t="shared" si="1065"/>
        <v/>
      </c>
      <c r="P735" s="268" t="str">
        <f t="shared" si="1066"/>
        <v/>
      </c>
      <c r="Q735" s="268" t="str">
        <f t="shared" si="1067"/>
        <v/>
      </c>
      <c r="R735" s="268" t="str">
        <f t="shared" si="1068"/>
        <v/>
      </c>
      <c r="S735" s="268" t="str">
        <f t="shared" si="1069"/>
        <v/>
      </c>
      <c r="T735" s="268" t="str">
        <f t="shared" si="1070"/>
        <v/>
      </c>
      <c r="U735" s="268" t="str">
        <f t="shared" si="1071"/>
        <v/>
      </c>
      <c r="V735" s="268" t="str">
        <f t="shared" si="1072"/>
        <v/>
      </c>
      <c r="W735" s="268" t="str">
        <f t="shared" si="1073"/>
        <v/>
      </c>
      <c r="X735" s="268" t="str">
        <f t="shared" si="1074"/>
        <v/>
      </c>
      <c r="Y735" s="268" t="str">
        <f t="shared" si="1075"/>
        <v/>
      </c>
      <c r="Z735" s="268" t="str">
        <f t="shared" si="1076"/>
        <v/>
      </c>
      <c r="AA735" s="268" t="str">
        <f t="shared" si="1077"/>
        <v/>
      </c>
      <c r="AB735" s="268" t="str">
        <f t="shared" si="1078"/>
        <v/>
      </c>
      <c r="AC735" s="268">
        <f t="shared" si="1079"/>
        <v>9792</v>
      </c>
      <c r="AD735" s="268" t="str">
        <f t="shared" si="1080"/>
        <v/>
      </c>
      <c r="AE735" s="268" t="str">
        <f t="shared" si="1081"/>
        <v/>
      </c>
      <c r="AF735" s="268" t="str">
        <f t="shared" si="1082"/>
        <v/>
      </c>
      <c r="AG735" s="268" t="str">
        <f t="shared" si="1083"/>
        <v/>
      </c>
      <c r="AH735" s="268" t="str">
        <f t="shared" si="1084"/>
        <v/>
      </c>
      <c r="AI735" s="268" t="str">
        <f t="shared" si="1085"/>
        <v/>
      </c>
      <c r="AJ735" s="268" t="str">
        <f t="shared" si="1086"/>
        <v/>
      </c>
      <c r="AK735" s="268" t="str">
        <f t="shared" si="1087"/>
        <v/>
      </c>
      <c r="AL735" s="268" t="str">
        <f t="shared" si="1088"/>
        <v/>
      </c>
      <c r="AM735" s="268" t="str">
        <f t="shared" si="1089"/>
        <v/>
      </c>
      <c r="AN735" s="268" t="str">
        <f t="shared" si="1090"/>
        <v/>
      </c>
      <c r="AO735" s="268" t="str">
        <f t="shared" si="1091"/>
        <v/>
      </c>
      <c r="AP735" s="268" t="str">
        <f t="shared" si="1092"/>
        <v/>
      </c>
      <c r="AQ735" s="268" t="str">
        <f t="shared" si="1093"/>
        <v/>
      </c>
      <c r="AR735" s="268" t="str">
        <f t="shared" si="1094"/>
        <v/>
      </c>
      <c r="AS735" s="268" t="str">
        <f t="shared" si="1095"/>
        <v/>
      </c>
      <c r="AT735" s="268" t="str">
        <f t="shared" si="1096"/>
        <v/>
      </c>
      <c r="AU735" s="268" t="str">
        <f t="shared" si="1097"/>
        <v/>
      </c>
      <c r="AV735" s="268" t="str">
        <f t="shared" si="1098"/>
        <v/>
      </c>
      <c r="AW735" s="268" t="str">
        <f t="shared" si="1099"/>
        <v/>
      </c>
      <c r="AX735" s="268" t="str">
        <f t="shared" si="1100"/>
        <v/>
      </c>
      <c r="AY735" s="268" t="str">
        <f t="shared" si="1101"/>
        <v/>
      </c>
      <c r="AZ735" s="268" t="str">
        <f t="shared" si="1102"/>
        <v/>
      </c>
      <c r="BA735" s="268" t="str">
        <f t="shared" si="1103"/>
        <v/>
      </c>
      <c r="BB735" s="268" t="str">
        <f t="shared" si="1104"/>
        <v/>
      </c>
      <c r="BC735" s="268" t="str">
        <f t="shared" si="1105"/>
        <v/>
      </c>
      <c r="BD735" s="268" t="str">
        <f t="shared" si="1106"/>
        <v/>
      </c>
      <c r="BE735" s="268" t="str">
        <f t="shared" si="1107"/>
        <v/>
      </c>
      <c r="BF735" s="268" t="str">
        <f t="shared" si="1108"/>
        <v/>
      </c>
      <c r="BG735" s="268" t="str">
        <f t="shared" si="1109"/>
        <v/>
      </c>
      <c r="BH735" s="268" t="str">
        <f t="shared" si="1110"/>
        <v/>
      </c>
      <c r="BI735" s="268" t="str">
        <f t="shared" si="1111"/>
        <v/>
      </c>
      <c r="BJ735" s="268" t="str">
        <f t="shared" si="1112"/>
        <v/>
      </c>
      <c r="BK735" s="268" t="str">
        <f t="shared" ref="BK735:BS735" si="1132">IF(OR($E735="",BK$1=""),"",IF(TRIM(LEFT($E735,MIN(IFERROR(FIND("CDU",UPPER($E735)),999),IFERROR(FIND("BULK",UPPER($E735)),999),IFERROR(FIND("-",$E735),999),IFERROR(FIND("（",$E735),999))-1))=BK$1,$F735,""))</f>
        <v/>
      </c>
      <c r="BL735" s="268" t="str">
        <f t="shared" si="1132"/>
        <v/>
      </c>
      <c r="BM735" s="268" t="str">
        <f t="shared" si="1132"/>
        <v/>
      </c>
      <c r="BN735" s="268" t="str">
        <f t="shared" si="1132"/>
        <v/>
      </c>
      <c r="BO735" s="268" t="str">
        <f t="shared" si="1132"/>
        <v/>
      </c>
      <c r="BP735" s="268" t="str">
        <f t="shared" si="1132"/>
        <v/>
      </c>
      <c r="BQ735" s="268" t="str">
        <f t="shared" si="1132"/>
        <v/>
      </c>
      <c r="BR735" s="268" t="str">
        <f t="shared" si="1132"/>
        <v/>
      </c>
      <c r="BS735" s="268" t="str">
        <f t="shared" si="1132"/>
        <v/>
      </c>
      <c r="BT735" s="268" t="str">
        <f t="shared" si="1114"/>
        <v/>
      </c>
      <c r="BU735" s="268" t="str">
        <f t="shared" si="1115"/>
        <v/>
      </c>
      <c r="BV735" s="247">
        <v>0.63</v>
      </c>
      <c r="BW735" s="729">
        <f t="shared" si="1116"/>
        <v>6168.96</v>
      </c>
      <c r="BX735" s="730">
        <f t="shared" si="1117"/>
        <v>47809.44</v>
      </c>
      <c r="BY735" s="731" t="str">
        <f t="shared" si="1118"/>
        <v>SR</v>
      </c>
    </row>
    <row r="736" s="697" customFormat="1" customHeight="1" spans="1:77">
      <c r="A736" s="116">
        <v>46139</v>
      </c>
      <c r="B736" s="116">
        <v>46200</v>
      </c>
      <c r="C736" s="418" t="s">
        <v>791</v>
      </c>
      <c r="D736" s="418" t="s">
        <v>792</v>
      </c>
      <c r="E736" s="418" t="s">
        <v>137</v>
      </c>
      <c r="F736" s="737">
        <v>11520</v>
      </c>
      <c r="G736" s="418" t="s">
        <v>341</v>
      </c>
      <c r="H736" s="118" t="str">
        <f>IFERROR(VLOOKUP(E736,名称!A:E,4,0),"")</f>
        <v>三代</v>
      </c>
      <c r="I736" s="418" t="str">
        <f t="shared" si="1059"/>
        <v/>
      </c>
      <c r="J736" s="418" t="str">
        <f t="shared" si="1060"/>
        <v/>
      </c>
      <c r="K736" s="418" t="str">
        <f t="shared" si="1061"/>
        <v/>
      </c>
      <c r="L736" s="418" t="str">
        <f t="shared" si="1062"/>
        <v/>
      </c>
      <c r="M736" s="418" t="str">
        <f t="shared" si="1063"/>
        <v/>
      </c>
      <c r="N736" s="418" t="str">
        <f t="shared" si="1064"/>
        <v/>
      </c>
      <c r="O736" s="418" t="str">
        <f t="shared" si="1065"/>
        <v/>
      </c>
      <c r="P736" s="418" t="str">
        <f t="shared" si="1066"/>
        <v/>
      </c>
      <c r="Q736" s="418" t="str">
        <f t="shared" si="1067"/>
        <v/>
      </c>
      <c r="R736" s="418" t="str">
        <f t="shared" si="1068"/>
        <v/>
      </c>
      <c r="S736" s="418" t="str">
        <f t="shared" si="1069"/>
        <v/>
      </c>
      <c r="T736" s="418" t="str">
        <f t="shared" si="1070"/>
        <v/>
      </c>
      <c r="U736" s="418" t="str">
        <f t="shared" si="1071"/>
        <v/>
      </c>
      <c r="V736" s="418" t="str">
        <f t="shared" si="1072"/>
        <v/>
      </c>
      <c r="W736" s="418" t="str">
        <f t="shared" si="1073"/>
        <v/>
      </c>
      <c r="X736" s="418" t="str">
        <f t="shared" si="1074"/>
        <v/>
      </c>
      <c r="Y736" s="418" t="str">
        <f t="shared" si="1075"/>
        <v/>
      </c>
      <c r="Z736" s="418" t="str">
        <f t="shared" si="1076"/>
        <v/>
      </c>
      <c r="AA736" s="418" t="str">
        <f t="shared" si="1077"/>
        <v/>
      </c>
      <c r="AB736" s="418" t="str">
        <f t="shared" si="1078"/>
        <v/>
      </c>
      <c r="AC736" s="418">
        <f t="shared" si="1079"/>
        <v>11520</v>
      </c>
      <c r="AD736" s="418" t="str">
        <f t="shared" si="1080"/>
        <v/>
      </c>
      <c r="AE736" s="418" t="str">
        <f t="shared" si="1081"/>
        <v/>
      </c>
      <c r="AF736" s="418" t="str">
        <f t="shared" si="1082"/>
        <v/>
      </c>
      <c r="AG736" s="418" t="str">
        <f t="shared" si="1083"/>
        <v/>
      </c>
      <c r="AH736" s="418" t="str">
        <f t="shared" si="1084"/>
        <v/>
      </c>
      <c r="AI736" s="418" t="str">
        <f t="shared" si="1085"/>
        <v/>
      </c>
      <c r="AJ736" s="418" t="str">
        <f t="shared" si="1086"/>
        <v/>
      </c>
      <c r="AK736" s="418" t="str">
        <f t="shared" si="1087"/>
        <v/>
      </c>
      <c r="AL736" s="418" t="str">
        <f t="shared" si="1088"/>
        <v/>
      </c>
      <c r="AM736" s="418" t="str">
        <f t="shared" si="1089"/>
        <v/>
      </c>
      <c r="AN736" s="418" t="str">
        <f t="shared" si="1090"/>
        <v/>
      </c>
      <c r="AO736" s="418" t="str">
        <f t="shared" si="1091"/>
        <v/>
      </c>
      <c r="AP736" s="418" t="str">
        <f t="shared" si="1092"/>
        <v/>
      </c>
      <c r="AQ736" s="418" t="str">
        <f t="shared" si="1093"/>
        <v/>
      </c>
      <c r="AR736" s="418" t="str">
        <f t="shared" si="1094"/>
        <v/>
      </c>
      <c r="AS736" s="418" t="str">
        <f t="shared" si="1095"/>
        <v/>
      </c>
      <c r="AT736" s="418" t="str">
        <f t="shared" si="1096"/>
        <v/>
      </c>
      <c r="AU736" s="418" t="str">
        <f t="shared" si="1097"/>
        <v/>
      </c>
      <c r="AV736" s="418" t="str">
        <f t="shared" si="1098"/>
        <v/>
      </c>
      <c r="AW736" s="418" t="str">
        <f t="shared" si="1099"/>
        <v/>
      </c>
      <c r="AX736" s="418" t="str">
        <f t="shared" si="1100"/>
        <v/>
      </c>
      <c r="AY736" s="418" t="str">
        <f t="shared" si="1101"/>
        <v/>
      </c>
      <c r="AZ736" s="418" t="str">
        <f t="shared" si="1102"/>
        <v/>
      </c>
      <c r="BA736" s="418" t="str">
        <f t="shared" si="1103"/>
        <v/>
      </c>
      <c r="BB736" s="418" t="str">
        <f t="shared" si="1104"/>
        <v/>
      </c>
      <c r="BC736" s="418" t="str">
        <f t="shared" si="1105"/>
        <v/>
      </c>
      <c r="BD736" s="418" t="str">
        <f t="shared" si="1106"/>
        <v/>
      </c>
      <c r="BE736" s="418" t="str">
        <f t="shared" si="1107"/>
        <v/>
      </c>
      <c r="BF736" s="418" t="str">
        <f t="shared" si="1108"/>
        <v/>
      </c>
      <c r="BG736" s="418" t="str">
        <f t="shared" si="1109"/>
        <v/>
      </c>
      <c r="BH736" s="418" t="str">
        <f t="shared" si="1110"/>
        <v/>
      </c>
      <c r="BI736" s="418" t="str">
        <f t="shared" si="1111"/>
        <v/>
      </c>
      <c r="BJ736" s="418" t="str">
        <f t="shared" si="1112"/>
        <v/>
      </c>
      <c r="BK736" s="418" t="str">
        <f t="shared" ref="BK736:BS736" si="1133">IF(OR($E736="",BK$1=""),"",IF(TRIM(LEFT($E736,MIN(IFERROR(FIND("CDU",UPPER($E736)),999),IFERROR(FIND("BULK",UPPER($E736)),999),IFERROR(FIND("-",$E736),999),IFERROR(FIND("（",$E736),999))-1))=BK$1,$F736,""))</f>
        <v/>
      </c>
      <c r="BL736" s="418" t="str">
        <f t="shared" si="1133"/>
        <v/>
      </c>
      <c r="BM736" s="418" t="str">
        <f t="shared" si="1133"/>
        <v/>
      </c>
      <c r="BN736" s="418" t="str">
        <f t="shared" si="1133"/>
        <v/>
      </c>
      <c r="BO736" s="418" t="str">
        <f t="shared" si="1133"/>
        <v/>
      </c>
      <c r="BP736" s="418" t="str">
        <f t="shared" si="1133"/>
        <v/>
      </c>
      <c r="BQ736" s="418" t="str">
        <f t="shared" si="1133"/>
        <v/>
      </c>
      <c r="BR736" s="418" t="str">
        <f t="shared" si="1133"/>
        <v/>
      </c>
      <c r="BS736" s="418" t="str">
        <f t="shared" si="1133"/>
        <v/>
      </c>
      <c r="BT736" s="418" t="str">
        <f t="shared" si="1114"/>
        <v/>
      </c>
      <c r="BU736" s="418" t="str">
        <f t="shared" si="1115"/>
        <v/>
      </c>
      <c r="BV736" s="544">
        <v>0.64</v>
      </c>
      <c r="BW736" s="723">
        <f t="shared" si="1116"/>
        <v>7372.8</v>
      </c>
      <c r="BX736" s="724">
        <f t="shared" si="1117"/>
        <v>57139.2</v>
      </c>
      <c r="BY736" s="725" t="str">
        <f t="shared" si="1118"/>
        <v>SR</v>
      </c>
    </row>
    <row r="737" s="697" customFormat="1" customHeight="1" spans="1:77">
      <c r="A737" s="116">
        <v>46139</v>
      </c>
      <c r="B737" s="116">
        <v>46200</v>
      </c>
      <c r="C737" s="418" t="s">
        <v>791</v>
      </c>
      <c r="D737" s="418" t="s">
        <v>792</v>
      </c>
      <c r="E737" s="418" t="s">
        <v>138</v>
      </c>
      <c r="F737" s="737">
        <v>5904</v>
      </c>
      <c r="G737" s="418" t="s">
        <v>341</v>
      </c>
      <c r="H737" s="118" t="str">
        <f>IFERROR(VLOOKUP(E737,名称!A:E,4,0),"")</f>
        <v>三代</v>
      </c>
      <c r="I737" s="418" t="str">
        <f t="shared" si="1059"/>
        <v/>
      </c>
      <c r="J737" s="418" t="str">
        <f t="shared" si="1060"/>
        <v/>
      </c>
      <c r="K737" s="418" t="str">
        <f t="shared" si="1061"/>
        <v/>
      </c>
      <c r="L737" s="418" t="str">
        <f t="shared" si="1062"/>
        <v/>
      </c>
      <c r="M737" s="418" t="str">
        <f t="shared" si="1063"/>
        <v/>
      </c>
      <c r="N737" s="418" t="str">
        <f t="shared" si="1064"/>
        <v/>
      </c>
      <c r="O737" s="418" t="str">
        <f t="shared" si="1065"/>
        <v/>
      </c>
      <c r="P737" s="418" t="str">
        <f t="shared" si="1066"/>
        <v/>
      </c>
      <c r="Q737" s="418" t="str">
        <f t="shared" si="1067"/>
        <v/>
      </c>
      <c r="R737" s="418" t="str">
        <f t="shared" si="1068"/>
        <v/>
      </c>
      <c r="S737" s="418" t="str">
        <f t="shared" si="1069"/>
        <v/>
      </c>
      <c r="T737" s="418" t="str">
        <f t="shared" si="1070"/>
        <v/>
      </c>
      <c r="U737" s="418" t="str">
        <f t="shared" si="1071"/>
        <v/>
      </c>
      <c r="V737" s="418" t="str">
        <f t="shared" si="1072"/>
        <v/>
      </c>
      <c r="W737" s="418" t="str">
        <f t="shared" si="1073"/>
        <v/>
      </c>
      <c r="X737" s="418" t="str">
        <f t="shared" si="1074"/>
        <v/>
      </c>
      <c r="Y737" s="418" t="str">
        <f t="shared" si="1075"/>
        <v/>
      </c>
      <c r="Z737" s="418" t="str">
        <f t="shared" si="1076"/>
        <v/>
      </c>
      <c r="AA737" s="418" t="str">
        <f t="shared" si="1077"/>
        <v/>
      </c>
      <c r="AB737" s="418" t="str">
        <f t="shared" si="1078"/>
        <v/>
      </c>
      <c r="AC737" s="418">
        <f t="shared" si="1079"/>
        <v>5904</v>
      </c>
      <c r="AD737" s="418" t="str">
        <f t="shared" si="1080"/>
        <v/>
      </c>
      <c r="AE737" s="418" t="str">
        <f t="shared" si="1081"/>
        <v/>
      </c>
      <c r="AF737" s="418" t="str">
        <f t="shared" si="1082"/>
        <v/>
      </c>
      <c r="AG737" s="418" t="str">
        <f t="shared" si="1083"/>
        <v/>
      </c>
      <c r="AH737" s="418" t="str">
        <f t="shared" si="1084"/>
        <v/>
      </c>
      <c r="AI737" s="418" t="str">
        <f t="shared" si="1085"/>
        <v/>
      </c>
      <c r="AJ737" s="418" t="str">
        <f t="shared" si="1086"/>
        <v/>
      </c>
      <c r="AK737" s="418" t="str">
        <f t="shared" si="1087"/>
        <v/>
      </c>
      <c r="AL737" s="418" t="str">
        <f t="shared" si="1088"/>
        <v/>
      </c>
      <c r="AM737" s="418" t="str">
        <f t="shared" si="1089"/>
        <v/>
      </c>
      <c r="AN737" s="418" t="str">
        <f t="shared" si="1090"/>
        <v/>
      </c>
      <c r="AO737" s="418" t="str">
        <f t="shared" si="1091"/>
        <v/>
      </c>
      <c r="AP737" s="418" t="str">
        <f t="shared" si="1092"/>
        <v/>
      </c>
      <c r="AQ737" s="418" t="str">
        <f t="shared" si="1093"/>
        <v/>
      </c>
      <c r="AR737" s="418" t="str">
        <f t="shared" si="1094"/>
        <v/>
      </c>
      <c r="AS737" s="418" t="str">
        <f t="shared" si="1095"/>
        <v/>
      </c>
      <c r="AT737" s="418" t="str">
        <f t="shared" si="1096"/>
        <v/>
      </c>
      <c r="AU737" s="418" t="str">
        <f t="shared" si="1097"/>
        <v/>
      </c>
      <c r="AV737" s="418" t="str">
        <f t="shared" si="1098"/>
        <v/>
      </c>
      <c r="AW737" s="418" t="str">
        <f t="shared" si="1099"/>
        <v/>
      </c>
      <c r="AX737" s="418" t="str">
        <f t="shared" si="1100"/>
        <v/>
      </c>
      <c r="AY737" s="418" t="str">
        <f t="shared" si="1101"/>
        <v/>
      </c>
      <c r="AZ737" s="418" t="str">
        <f t="shared" si="1102"/>
        <v/>
      </c>
      <c r="BA737" s="418" t="str">
        <f t="shared" si="1103"/>
        <v/>
      </c>
      <c r="BB737" s="418" t="str">
        <f t="shared" si="1104"/>
        <v/>
      </c>
      <c r="BC737" s="418" t="str">
        <f t="shared" si="1105"/>
        <v/>
      </c>
      <c r="BD737" s="418" t="str">
        <f t="shared" si="1106"/>
        <v/>
      </c>
      <c r="BE737" s="418" t="str">
        <f t="shared" si="1107"/>
        <v/>
      </c>
      <c r="BF737" s="418" t="str">
        <f t="shared" si="1108"/>
        <v/>
      </c>
      <c r="BG737" s="418" t="str">
        <f t="shared" si="1109"/>
        <v/>
      </c>
      <c r="BH737" s="418" t="str">
        <f t="shared" si="1110"/>
        <v/>
      </c>
      <c r="BI737" s="418" t="str">
        <f t="shared" si="1111"/>
        <v/>
      </c>
      <c r="BJ737" s="418" t="str">
        <f t="shared" si="1112"/>
        <v/>
      </c>
      <c r="BK737" s="418" t="str">
        <f t="shared" ref="BK737:BS737" si="1134">IF(OR($E737="",BK$1=""),"",IF(TRIM(LEFT($E737,MIN(IFERROR(FIND("CDU",UPPER($E737)),999),IFERROR(FIND("BULK",UPPER($E737)),999),IFERROR(FIND("-",$E737),999),IFERROR(FIND("（",$E737),999))-1))=BK$1,$F737,""))</f>
        <v/>
      </c>
      <c r="BL737" s="418" t="str">
        <f t="shared" si="1134"/>
        <v/>
      </c>
      <c r="BM737" s="418" t="str">
        <f t="shared" si="1134"/>
        <v/>
      </c>
      <c r="BN737" s="418" t="str">
        <f t="shared" si="1134"/>
        <v/>
      </c>
      <c r="BO737" s="418" t="str">
        <f t="shared" si="1134"/>
        <v/>
      </c>
      <c r="BP737" s="418" t="str">
        <f t="shared" si="1134"/>
        <v/>
      </c>
      <c r="BQ737" s="418" t="str">
        <f t="shared" si="1134"/>
        <v/>
      </c>
      <c r="BR737" s="418" t="str">
        <f t="shared" si="1134"/>
        <v/>
      </c>
      <c r="BS737" s="418" t="str">
        <f t="shared" si="1134"/>
        <v/>
      </c>
      <c r="BT737" s="418" t="str">
        <f t="shared" si="1114"/>
        <v/>
      </c>
      <c r="BU737" s="418" t="str">
        <f t="shared" si="1115"/>
        <v/>
      </c>
      <c r="BV737" s="544">
        <v>0.64</v>
      </c>
      <c r="BW737" s="723">
        <f t="shared" si="1116"/>
        <v>3778.56</v>
      </c>
      <c r="BX737" s="724">
        <f t="shared" si="1117"/>
        <v>29283.84</v>
      </c>
      <c r="BY737" s="725" t="str">
        <f t="shared" si="1118"/>
        <v>SR</v>
      </c>
    </row>
    <row r="738" s="697" customFormat="1" customHeight="1" spans="1:77">
      <c r="A738" s="116">
        <v>46139</v>
      </c>
      <c r="B738" s="116">
        <v>46200</v>
      </c>
      <c r="C738" s="418" t="s">
        <v>791</v>
      </c>
      <c r="D738" s="418" t="s">
        <v>792</v>
      </c>
      <c r="E738" s="418" t="s">
        <v>139</v>
      </c>
      <c r="F738" s="737">
        <v>3744</v>
      </c>
      <c r="G738" s="418" t="s">
        <v>341</v>
      </c>
      <c r="H738" s="118" t="str">
        <f>IFERROR(VLOOKUP(E738,名称!A:E,4,0),"")</f>
        <v>三代</v>
      </c>
      <c r="I738" s="418" t="str">
        <f t="shared" si="1059"/>
        <v/>
      </c>
      <c r="J738" s="418" t="str">
        <f t="shared" si="1060"/>
        <v/>
      </c>
      <c r="K738" s="418" t="str">
        <f t="shared" si="1061"/>
        <v/>
      </c>
      <c r="L738" s="418" t="str">
        <f t="shared" si="1062"/>
        <v/>
      </c>
      <c r="M738" s="418" t="str">
        <f t="shared" si="1063"/>
        <v/>
      </c>
      <c r="N738" s="418" t="str">
        <f t="shared" si="1064"/>
        <v/>
      </c>
      <c r="O738" s="418" t="str">
        <f t="shared" si="1065"/>
        <v/>
      </c>
      <c r="P738" s="418" t="str">
        <f t="shared" si="1066"/>
        <v/>
      </c>
      <c r="Q738" s="418" t="str">
        <f t="shared" si="1067"/>
        <v/>
      </c>
      <c r="R738" s="418" t="str">
        <f t="shared" si="1068"/>
        <v/>
      </c>
      <c r="S738" s="418" t="str">
        <f t="shared" si="1069"/>
        <v/>
      </c>
      <c r="T738" s="418" t="str">
        <f t="shared" si="1070"/>
        <v/>
      </c>
      <c r="U738" s="418" t="str">
        <f t="shared" si="1071"/>
        <v/>
      </c>
      <c r="V738" s="418" t="str">
        <f t="shared" si="1072"/>
        <v/>
      </c>
      <c r="W738" s="418" t="str">
        <f t="shared" si="1073"/>
        <v/>
      </c>
      <c r="X738" s="418" t="str">
        <f t="shared" si="1074"/>
        <v/>
      </c>
      <c r="Y738" s="418" t="str">
        <f t="shared" si="1075"/>
        <v/>
      </c>
      <c r="Z738" s="418" t="str">
        <f t="shared" si="1076"/>
        <v/>
      </c>
      <c r="AA738" s="418" t="str">
        <f t="shared" si="1077"/>
        <v/>
      </c>
      <c r="AB738" s="418" t="str">
        <f t="shared" si="1078"/>
        <v/>
      </c>
      <c r="AC738" s="418">
        <f t="shared" si="1079"/>
        <v>3744</v>
      </c>
      <c r="AD738" s="418" t="str">
        <f t="shared" si="1080"/>
        <v/>
      </c>
      <c r="AE738" s="418" t="str">
        <f t="shared" si="1081"/>
        <v/>
      </c>
      <c r="AF738" s="418" t="str">
        <f t="shared" si="1082"/>
        <v/>
      </c>
      <c r="AG738" s="418" t="str">
        <f t="shared" si="1083"/>
        <v/>
      </c>
      <c r="AH738" s="418" t="str">
        <f t="shared" si="1084"/>
        <v/>
      </c>
      <c r="AI738" s="418" t="str">
        <f t="shared" si="1085"/>
        <v/>
      </c>
      <c r="AJ738" s="418" t="str">
        <f t="shared" si="1086"/>
        <v/>
      </c>
      <c r="AK738" s="418" t="str">
        <f t="shared" si="1087"/>
        <v/>
      </c>
      <c r="AL738" s="418" t="str">
        <f t="shared" si="1088"/>
        <v/>
      </c>
      <c r="AM738" s="418" t="str">
        <f t="shared" si="1089"/>
        <v/>
      </c>
      <c r="AN738" s="418" t="str">
        <f t="shared" si="1090"/>
        <v/>
      </c>
      <c r="AO738" s="418" t="str">
        <f t="shared" si="1091"/>
        <v/>
      </c>
      <c r="AP738" s="418" t="str">
        <f t="shared" si="1092"/>
        <v/>
      </c>
      <c r="AQ738" s="418" t="str">
        <f t="shared" si="1093"/>
        <v/>
      </c>
      <c r="AR738" s="418" t="str">
        <f t="shared" si="1094"/>
        <v/>
      </c>
      <c r="AS738" s="418" t="str">
        <f t="shared" si="1095"/>
        <v/>
      </c>
      <c r="AT738" s="418" t="str">
        <f t="shared" si="1096"/>
        <v/>
      </c>
      <c r="AU738" s="418" t="str">
        <f t="shared" si="1097"/>
        <v/>
      </c>
      <c r="AV738" s="418" t="str">
        <f t="shared" si="1098"/>
        <v/>
      </c>
      <c r="AW738" s="418" t="str">
        <f t="shared" si="1099"/>
        <v/>
      </c>
      <c r="AX738" s="418" t="str">
        <f t="shared" si="1100"/>
        <v/>
      </c>
      <c r="AY738" s="418" t="str">
        <f t="shared" si="1101"/>
        <v/>
      </c>
      <c r="AZ738" s="418" t="str">
        <f t="shared" si="1102"/>
        <v/>
      </c>
      <c r="BA738" s="418" t="str">
        <f t="shared" si="1103"/>
        <v/>
      </c>
      <c r="BB738" s="418" t="str">
        <f t="shared" si="1104"/>
        <v/>
      </c>
      <c r="BC738" s="418" t="str">
        <f t="shared" si="1105"/>
        <v/>
      </c>
      <c r="BD738" s="418" t="str">
        <f t="shared" si="1106"/>
        <v/>
      </c>
      <c r="BE738" s="418" t="str">
        <f t="shared" si="1107"/>
        <v/>
      </c>
      <c r="BF738" s="418" t="str">
        <f t="shared" si="1108"/>
        <v/>
      </c>
      <c r="BG738" s="418" t="str">
        <f t="shared" si="1109"/>
        <v/>
      </c>
      <c r="BH738" s="418" t="str">
        <f t="shared" si="1110"/>
        <v/>
      </c>
      <c r="BI738" s="418" t="str">
        <f t="shared" si="1111"/>
        <v/>
      </c>
      <c r="BJ738" s="418" t="str">
        <f t="shared" si="1112"/>
        <v/>
      </c>
      <c r="BK738" s="418" t="str">
        <f t="shared" ref="BK738:BS738" si="1135">IF(OR($E738="",BK$1=""),"",IF(TRIM(LEFT($E738,MIN(IFERROR(FIND("CDU",UPPER($E738)),999),IFERROR(FIND("BULK",UPPER($E738)),999),IFERROR(FIND("-",$E738),999),IFERROR(FIND("（",$E738),999))-1))=BK$1,$F738,""))</f>
        <v/>
      </c>
      <c r="BL738" s="418" t="str">
        <f t="shared" si="1135"/>
        <v/>
      </c>
      <c r="BM738" s="418" t="str">
        <f t="shared" si="1135"/>
        <v/>
      </c>
      <c r="BN738" s="418" t="str">
        <f t="shared" si="1135"/>
        <v/>
      </c>
      <c r="BO738" s="418" t="str">
        <f t="shared" si="1135"/>
        <v/>
      </c>
      <c r="BP738" s="418" t="str">
        <f t="shared" si="1135"/>
        <v/>
      </c>
      <c r="BQ738" s="418" t="str">
        <f t="shared" si="1135"/>
        <v/>
      </c>
      <c r="BR738" s="418" t="str">
        <f t="shared" si="1135"/>
        <v/>
      </c>
      <c r="BS738" s="418" t="str">
        <f t="shared" si="1135"/>
        <v/>
      </c>
      <c r="BT738" s="418" t="str">
        <f t="shared" si="1114"/>
        <v/>
      </c>
      <c r="BU738" s="418" t="str">
        <f t="shared" si="1115"/>
        <v/>
      </c>
      <c r="BV738" s="544">
        <v>0.64</v>
      </c>
      <c r="BW738" s="723">
        <f t="shared" si="1116"/>
        <v>2396.16</v>
      </c>
      <c r="BX738" s="724">
        <f t="shared" si="1117"/>
        <v>18570.24</v>
      </c>
      <c r="BY738" s="725" t="str">
        <f t="shared" si="1118"/>
        <v>SR</v>
      </c>
    </row>
    <row r="739" s="697" customFormat="1" customHeight="1" spans="1:77">
      <c r="A739" s="116">
        <v>46139</v>
      </c>
      <c r="B739" s="116">
        <v>46200</v>
      </c>
      <c r="C739" s="418" t="s">
        <v>791</v>
      </c>
      <c r="D739" s="418" t="s">
        <v>792</v>
      </c>
      <c r="E739" s="418" t="s">
        <v>140</v>
      </c>
      <c r="F739" s="737">
        <v>8640</v>
      </c>
      <c r="G739" s="418" t="s">
        <v>341</v>
      </c>
      <c r="H739" s="118" t="str">
        <f>IFERROR(VLOOKUP(E739,名称!A:E,4,0),"")</f>
        <v>三代</v>
      </c>
      <c r="I739" s="418" t="str">
        <f t="shared" si="1059"/>
        <v/>
      </c>
      <c r="J739" s="418" t="str">
        <f t="shared" si="1060"/>
        <v/>
      </c>
      <c r="K739" s="418" t="str">
        <f t="shared" si="1061"/>
        <v/>
      </c>
      <c r="L739" s="418" t="str">
        <f t="shared" si="1062"/>
        <v/>
      </c>
      <c r="M739" s="418" t="str">
        <f t="shared" si="1063"/>
        <v/>
      </c>
      <c r="N739" s="418" t="str">
        <f t="shared" si="1064"/>
        <v/>
      </c>
      <c r="O739" s="418" t="str">
        <f t="shared" si="1065"/>
        <v/>
      </c>
      <c r="P739" s="418" t="str">
        <f t="shared" si="1066"/>
        <v/>
      </c>
      <c r="Q739" s="418" t="str">
        <f t="shared" si="1067"/>
        <v/>
      </c>
      <c r="R739" s="418" t="str">
        <f t="shared" si="1068"/>
        <v/>
      </c>
      <c r="S739" s="418" t="str">
        <f t="shared" si="1069"/>
        <v/>
      </c>
      <c r="T739" s="418" t="str">
        <f t="shared" si="1070"/>
        <v/>
      </c>
      <c r="U739" s="418" t="str">
        <f t="shared" si="1071"/>
        <v/>
      </c>
      <c r="V739" s="418" t="str">
        <f t="shared" si="1072"/>
        <v/>
      </c>
      <c r="W739" s="418" t="str">
        <f t="shared" si="1073"/>
        <v/>
      </c>
      <c r="X739" s="418" t="str">
        <f t="shared" si="1074"/>
        <v/>
      </c>
      <c r="Y739" s="418" t="str">
        <f t="shared" si="1075"/>
        <v/>
      </c>
      <c r="Z739" s="418" t="str">
        <f t="shared" si="1076"/>
        <v/>
      </c>
      <c r="AA739" s="418" t="str">
        <f t="shared" si="1077"/>
        <v/>
      </c>
      <c r="AB739" s="418" t="str">
        <f t="shared" si="1078"/>
        <v/>
      </c>
      <c r="AC739" s="418">
        <f t="shared" si="1079"/>
        <v>8640</v>
      </c>
      <c r="AD739" s="418" t="str">
        <f t="shared" si="1080"/>
        <v/>
      </c>
      <c r="AE739" s="418" t="str">
        <f t="shared" si="1081"/>
        <v/>
      </c>
      <c r="AF739" s="418" t="str">
        <f t="shared" si="1082"/>
        <v/>
      </c>
      <c r="AG739" s="418" t="str">
        <f t="shared" si="1083"/>
        <v/>
      </c>
      <c r="AH739" s="418" t="str">
        <f t="shared" si="1084"/>
        <v/>
      </c>
      <c r="AI739" s="418" t="str">
        <f t="shared" si="1085"/>
        <v/>
      </c>
      <c r="AJ739" s="418" t="str">
        <f t="shared" si="1086"/>
        <v/>
      </c>
      <c r="AK739" s="418" t="str">
        <f t="shared" si="1087"/>
        <v/>
      </c>
      <c r="AL739" s="418" t="str">
        <f t="shared" si="1088"/>
        <v/>
      </c>
      <c r="AM739" s="418" t="str">
        <f t="shared" si="1089"/>
        <v/>
      </c>
      <c r="AN739" s="418" t="str">
        <f t="shared" si="1090"/>
        <v/>
      </c>
      <c r="AO739" s="418" t="str">
        <f t="shared" si="1091"/>
        <v/>
      </c>
      <c r="AP739" s="418" t="str">
        <f t="shared" si="1092"/>
        <v/>
      </c>
      <c r="AQ739" s="418" t="str">
        <f t="shared" si="1093"/>
        <v/>
      </c>
      <c r="AR739" s="418" t="str">
        <f t="shared" si="1094"/>
        <v/>
      </c>
      <c r="AS739" s="418" t="str">
        <f t="shared" si="1095"/>
        <v/>
      </c>
      <c r="AT739" s="418" t="str">
        <f t="shared" si="1096"/>
        <v/>
      </c>
      <c r="AU739" s="418" t="str">
        <f t="shared" si="1097"/>
        <v/>
      </c>
      <c r="AV739" s="418" t="str">
        <f t="shared" si="1098"/>
        <v/>
      </c>
      <c r="AW739" s="418" t="str">
        <f t="shared" si="1099"/>
        <v/>
      </c>
      <c r="AX739" s="418" t="str">
        <f t="shared" si="1100"/>
        <v/>
      </c>
      <c r="AY739" s="418" t="str">
        <f t="shared" si="1101"/>
        <v/>
      </c>
      <c r="AZ739" s="418" t="str">
        <f t="shared" si="1102"/>
        <v/>
      </c>
      <c r="BA739" s="418" t="str">
        <f t="shared" si="1103"/>
        <v/>
      </c>
      <c r="BB739" s="418" t="str">
        <f t="shared" si="1104"/>
        <v/>
      </c>
      <c r="BC739" s="418" t="str">
        <f t="shared" si="1105"/>
        <v/>
      </c>
      <c r="BD739" s="418" t="str">
        <f t="shared" si="1106"/>
        <v/>
      </c>
      <c r="BE739" s="418" t="str">
        <f t="shared" si="1107"/>
        <v/>
      </c>
      <c r="BF739" s="418" t="str">
        <f t="shared" si="1108"/>
        <v/>
      </c>
      <c r="BG739" s="418" t="str">
        <f t="shared" si="1109"/>
        <v/>
      </c>
      <c r="BH739" s="418" t="str">
        <f t="shared" si="1110"/>
        <v/>
      </c>
      <c r="BI739" s="418" t="str">
        <f t="shared" si="1111"/>
        <v/>
      </c>
      <c r="BJ739" s="418" t="str">
        <f t="shared" si="1112"/>
        <v/>
      </c>
      <c r="BK739" s="418" t="str">
        <f t="shared" ref="BK739:BS739" si="1136">IF(OR($E739="",BK$1=""),"",IF(TRIM(LEFT($E739,MIN(IFERROR(FIND("CDU",UPPER($E739)),999),IFERROR(FIND("BULK",UPPER($E739)),999),IFERROR(FIND("-",$E739),999),IFERROR(FIND("（",$E739),999))-1))=BK$1,$F739,""))</f>
        <v/>
      </c>
      <c r="BL739" s="418" t="str">
        <f t="shared" si="1136"/>
        <v/>
      </c>
      <c r="BM739" s="418" t="str">
        <f t="shared" si="1136"/>
        <v/>
      </c>
      <c r="BN739" s="418" t="str">
        <f t="shared" si="1136"/>
        <v/>
      </c>
      <c r="BO739" s="418" t="str">
        <f t="shared" si="1136"/>
        <v/>
      </c>
      <c r="BP739" s="418" t="str">
        <f t="shared" si="1136"/>
        <v/>
      </c>
      <c r="BQ739" s="418" t="str">
        <f t="shared" si="1136"/>
        <v/>
      </c>
      <c r="BR739" s="418" t="str">
        <f t="shared" si="1136"/>
        <v/>
      </c>
      <c r="BS739" s="418" t="str">
        <f t="shared" si="1136"/>
        <v/>
      </c>
      <c r="BT739" s="418" t="str">
        <f t="shared" si="1114"/>
        <v/>
      </c>
      <c r="BU739" s="418" t="str">
        <f t="shared" si="1115"/>
        <v/>
      </c>
      <c r="BV739" s="544">
        <v>0.64</v>
      </c>
      <c r="BW739" s="723">
        <f t="shared" si="1116"/>
        <v>5529.6</v>
      </c>
      <c r="BX739" s="724">
        <f t="shared" si="1117"/>
        <v>42854.4</v>
      </c>
      <c r="BY739" s="725" t="str">
        <f t="shared" si="1118"/>
        <v>SR</v>
      </c>
    </row>
    <row r="740" s="698" customFormat="1" customHeight="1" spans="1:77">
      <c r="A740" s="208">
        <v>46139</v>
      </c>
      <c r="B740" s="208">
        <v>46200</v>
      </c>
      <c r="C740" s="268" t="s">
        <v>791</v>
      </c>
      <c r="D740" s="268" t="s">
        <v>792</v>
      </c>
      <c r="E740" s="268" t="s">
        <v>141</v>
      </c>
      <c r="F740" s="343">
        <v>7488</v>
      </c>
      <c r="G740" s="268" t="s">
        <v>341</v>
      </c>
      <c r="H740" s="211" t="str">
        <f>IFERROR(VLOOKUP(E740,名称!A:E,4,0),"")</f>
        <v>三代</v>
      </c>
      <c r="I740" s="268" t="str">
        <f t="shared" si="1059"/>
        <v/>
      </c>
      <c r="J740" s="268" t="str">
        <f t="shared" si="1060"/>
        <v/>
      </c>
      <c r="K740" s="268" t="str">
        <f t="shared" si="1061"/>
        <v/>
      </c>
      <c r="L740" s="268" t="str">
        <f t="shared" si="1062"/>
        <v/>
      </c>
      <c r="M740" s="268" t="str">
        <f t="shared" si="1063"/>
        <v/>
      </c>
      <c r="N740" s="268" t="str">
        <f t="shared" si="1064"/>
        <v/>
      </c>
      <c r="O740" s="268" t="str">
        <f t="shared" si="1065"/>
        <v/>
      </c>
      <c r="P740" s="268" t="str">
        <f t="shared" si="1066"/>
        <v/>
      </c>
      <c r="Q740" s="268" t="str">
        <f t="shared" si="1067"/>
        <v/>
      </c>
      <c r="R740" s="268" t="str">
        <f t="shared" si="1068"/>
        <v/>
      </c>
      <c r="S740" s="268" t="str">
        <f t="shared" si="1069"/>
        <v/>
      </c>
      <c r="T740" s="268" t="str">
        <f t="shared" si="1070"/>
        <v/>
      </c>
      <c r="U740" s="268" t="str">
        <f t="shared" si="1071"/>
        <v/>
      </c>
      <c r="V740" s="268" t="str">
        <f t="shared" si="1072"/>
        <v/>
      </c>
      <c r="W740" s="268" t="str">
        <f t="shared" si="1073"/>
        <v/>
      </c>
      <c r="X740" s="268" t="str">
        <f t="shared" si="1074"/>
        <v/>
      </c>
      <c r="Y740" s="268" t="str">
        <f t="shared" si="1075"/>
        <v/>
      </c>
      <c r="Z740" s="268" t="str">
        <f t="shared" si="1076"/>
        <v/>
      </c>
      <c r="AA740" s="268" t="str">
        <f t="shared" si="1077"/>
        <v/>
      </c>
      <c r="AB740" s="268" t="str">
        <f t="shared" si="1078"/>
        <v/>
      </c>
      <c r="AC740" s="268">
        <f t="shared" si="1079"/>
        <v>7488</v>
      </c>
      <c r="AD740" s="268" t="str">
        <f t="shared" si="1080"/>
        <v/>
      </c>
      <c r="AE740" s="268" t="str">
        <f t="shared" si="1081"/>
        <v/>
      </c>
      <c r="AF740" s="268" t="str">
        <f t="shared" si="1082"/>
        <v/>
      </c>
      <c r="AG740" s="268" t="str">
        <f t="shared" si="1083"/>
        <v/>
      </c>
      <c r="AH740" s="268" t="str">
        <f t="shared" si="1084"/>
        <v/>
      </c>
      <c r="AI740" s="268" t="str">
        <f t="shared" si="1085"/>
        <v/>
      </c>
      <c r="AJ740" s="268" t="str">
        <f t="shared" si="1086"/>
        <v/>
      </c>
      <c r="AK740" s="268" t="str">
        <f t="shared" si="1087"/>
        <v/>
      </c>
      <c r="AL740" s="268" t="str">
        <f t="shared" si="1088"/>
        <v/>
      </c>
      <c r="AM740" s="268" t="str">
        <f t="shared" si="1089"/>
        <v/>
      </c>
      <c r="AN740" s="268" t="str">
        <f t="shared" si="1090"/>
        <v/>
      </c>
      <c r="AO740" s="268" t="str">
        <f t="shared" si="1091"/>
        <v/>
      </c>
      <c r="AP740" s="268" t="str">
        <f t="shared" si="1092"/>
        <v/>
      </c>
      <c r="AQ740" s="268" t="str">
        <f t="shared" si="1093"/>
        <v/>
      </c>
      <c r="AR740" s="268" t="str">
        <f t="shared" si="1094"/>
        <v/>
      </c>
      <c r="AS740" s="268" t="str">
        <f t="shared" si="1095"/>
        <v/>
      </c>
      <c r="AT740" s="268" t="str">
        <f t="shared" si="1096"/>
        <v/>
      </c>
      <c r="AU740" s="268" t="str">
        <f t="shared" si="1097"/>
        <v/>
      </c>
      <c r="AV740" s="268" t="str">
        <f t="shared" si="1098"/>
        <v/>
      </c>
      <c r="AW740" s="268" t="str">
        <f t="shared" si="1099"/>
        <v/>
      </c>
      <c r="AX740" s="268" t="str">
        <f t="shared" si="1100"/>
        <v/>
      </c>
      <c r="AY740" s="268" t="str">
        <f t="shared" si="1101"/>
        <v/>
      </c>
      <c r="AZ740" s="268" t="str">
        <f t="shared" si="1102"/>
        <v/>
      </c>
      <c r="BA740" s="268" t="str">
        <f t="shared" si="1103"/>
        <v/>
      </c>
      <c r="BB740" s="268" t="str">
        <f t="shared" si="1104"/>
        <v/>
      </c>
      <c r="BC740" s="268" t="str">
        <f t="shared" si="1105"/>
        <v/>
      </c>
      <c r="BD740" s="268" t="str">
        <f t="shared" si="1106"/>
        <v/>
      </c>
      <c r="BE740" s="268" t="str">
        <f t="shared" si="1107"/>
        <v/>
      </c>
      <c r="BF740" s="268" t="str">
        <f t="shared" si="1108"/>
        <v/>
      </c>
      <c r="BG740" s="268" t="str">
        <f t="shared" si="1109"/>
        <v/>
      </c>
      <c r="BH740" s="268" t="str">
        <f t="shared" si="1110"/>
        <v/>
      </c>
      <c r="BI740" s="268" t="str">
        <f t="shared" si="1111"/>
        <v/>
      </c>
      <c r="BJ740" s="268" t="str">
        <f t="shared" si="1112"/>
        <v/>
      </c>
      <c r="BK740" s="268" t="str">
        <f t="shared" ref="BK740:BS740" si="1137">IF(OR($E740="",BK$1=""),"",IF(TRIM(LEFT($E740,MIN(IFERROR(FIND("CDU",UPPER($E740)),999),IFERROR(FIND("BULK",UPPER($E740)),999),IFERROR(FIND("-",$E740),999),IFERROR(FIND("（",$E740),999))-1))=BK$1,$F740,""))</f>
        <v/>
      </c>
      <c r="BL740" s="268" t="str">
        <f t="shared" si="1137"/>
        <v/>
      </c>
      <c r="BM740" s="268" t="str">
        <f t="shared" si="1137"/>
        <v/>
      </c>
      <c r="BN740" s="268" t="str">
        <f t="shared" si="1137"/>
        <v/>
      </c>
      <c r="BO740" s="268" t="str">
        <f t="shared" si="1137"/>
        <v/>
      </c>
      <c r="BP740" s="268" t="str">
        <f t="shared" si="1137"/>
        <v/>
      </c>
      <c r="BQ740" s="268" t="str">
        <f t="shared" si="1137"/>
        <v/>
      </c>
      <c r="BR740" s="268" t="str">
        <f t="shared" si="1137"/>
        <v/>
      </c>
      <c r="BS740" s="268" t="str">
        <f t="shared" si="1137"/>
        <v/>
      </c>
      <c r="BT740" s="268" t="str">
        <f t="shared" si="1114"/>
        <v/>
      </c>
      <c r="BU740" s="268" t="str">
        <f t="shared" si="1115"/>
        <v/>
      </c>
      <c r="BV740" s="247">
        <v>0.63</v>
      </c>
      <c r="BW740" s="729">
        <f t="shared" si="1116"/>
        <v>4717.44</v>
      </c>
      <c r="BX740" s="730">
        <f t="shared" si="1117"/>
        <v>36560.16</v>
      </c>
      <c r="BY740" s="731" t="str">
        <f t="shared" si="1118"/>
        <v>SR</v>
      </c>
    </row>
    <row r="741" s="697" customFormat="1" customHeight="1" spans="1:77">
      <c r="A741" s="116">
        <v>46139</v>
      </c>
      <c r="B741" s="116">
        <v>46200</v>
      </c>
      <c r="C741" s="418" t="s">
        <v>791</v>
      </c>
      <c r="D741" s="418" t="s">
        <v>792</v>
      </c>
      <c r="E741" s="418" t="s">
        <v>146</v>
      </c>
      <c r="F741" s="737">
        <v>2400</v>
      </c>
      <c r="G741" s="418" t="s">
        <v>341</v>
      </c>
      <c r="H741" s="118" t="str">
        <f>IFERROR(VLOOKUP(E741,名称!A:E,4,0),"")</f>
        <v>三代</v>
      </c>
      <c r="I741" s="418" t="str">
        <f t="shared" si="1059"/>
        <v/>
      </c>
      <c r="J741" s="418" t="str">
        <f t="shared" si="1060"/>
        <v/>
      </c>
      <c r="K741" s="418" t="str">
        <f t="shared" si="1061"/>
        <v/>
      </c>
      <c r="L741" s="418" t="str">
        <f t="shared" si="1062"/>
        <v/>
      </c>
      <c r="M741" s="418" t="str">
        <f t="shared" si="1063"/>
        <v/>
      </c>
      <c r="N741" s="418" t="str">
        <f t="shared" si="1064"/>
        <v/>
      </c>
      <c r="O741" s="418" t="str">
        <f t="shared" si="1065"/>
        <v/>
      </c>
      <c r="P741" s="418" t="str">
        <f t="shared" si="1066"/>
        <v/>
      </c>
      <c r="Q741" s="418" t="str">
        <f t="shared" si="1067"/>
        <v/>
      </c>
      <c r="R741" s="418" t="str">
        <f t="shared" si="1068"/>
        <v/>
      </c>
      <c r="S741" s="418" t="str">
        <f t="shared" si="1069"/>
        <v/>
      </c>
      <c r="T741" s="418" t="str">
        <f t="shared" si="1070"/>
        <v/>
      </c>
      <c r="U741" s="418" t="str">
        <f t="shared" si="1071"/>
        <v/>
      </c>
      <c r="V741" s="418" t="str">
        <f t="shared" si="1072"/>
        <v/>
      </c>
      <c r="W741" s="418" t="str">
        <f t="shared" si="1073"/>
        <v/>
      </c>
      <c r="X741" s="418" t="str">
        <f t="shared" si="1074"/>
        <v/>
      </c>
      <c r="Y741" s="418" t="str">
        <f t="shared" si="1075"/>
        <v/>
      </c>
      <c r="Z741" s="418" t="str">
        <f t="shared" si="1076"/>
        <v/>
      </c>
      <c r="AA741" s="418" t="str">
        <f t="shared" si="1077"/>
        <v/>
      </c>
      <c r="AB741" s="418" t="str">
        <f t="shared" si="1078"/>
        <v/>
      </c>
      <c r="AC741" s="418" t="str">
        <f t="shared" si="1079"/>
        <v/>
      </c>
      <c r="AD741" s="418" t="str">
        <f t="shared" si="1080"/>
        <v/>
      </c>
      <c r="AE741" s="418" t="str">
        <f t="shared" si="1081"/>
        <v/>
      </c>
      <c r="AF741" s="418" t="str">
        <f t="shared" si="1082"/>
        <v/>
      </c>
      <c r="AG741" s="418" t="str">
        <f t="shared" si="1083"/>
        <v/>
      </c>
      <c r="AH741" s="418" t="str">
        <f t="shared" si="1084"/>
        <v/>
      </c>
      <c r="AI741" s="418" t="str">
        <f t="shared" si="1085"/>
        <v/>
      </c>
      <c r="AJ741" s="418" t="str">
        <f t="shared" si="1086"/>
        <v/>
      </c>
      <c r="AK741" s="418" t="str">
        <f t="shared" si="1087"/>
        <v/>
      </c>
      <c r="AL741" s="418">
        <f t="shared" si="1088"/>
        <v>2400</v>
      </c>
      <c r="AM741" s="418" t="str">
        <f t="shared" si="1089"/>
        <v/>
      </c>
      <c r="AN741" s="418" t="str">
        <f t="shared" si="1090"/>
        <v/>
      </c>
      <c r="AO741" s="418" t="str">
        <f t="shared" si="1091"/>
        <v/>
      </c>
      <c r="AP741" s="418" t="str">
        <f t="shared" si="1092"/>
        <v/>
      </c>
      <c r="AQ741" s="418" t="str">
        <f t="shared" si="1093"/>
        <v/>
      </c>
      <c r="AR741" s="418" t="str">
        <f t="shared" si="1094"/>
        <v/>
      </c>
      <c r="AS741" s="418" t="str">
        <f t="shared" si="1095"/>
        <v/>
      </c>
      <c r="AT741" s="418" t="str">
        <f t="shared" si="1096"/>
        <v/>
      </c>
      <c r="AU741" s="418" t="str">
        <f t="shared" si="1097"/>
        <v/>
      </c>
      <c r="AV741" s="418" t="str">
        <f t="shared" si="1098"/>
        <v/>
      </c>
      <c r="AW741" s="418" t="str">
        <f t="shared" si="1099"/>
        <v/>
      </c>
      <c r="AX741" s="418" t="str">
        <f t="shared" si="1100"/>
        <v/>
      </c>
      <c r="AY741" s="418" t="str">
        <f t="shared" si="1101"/>
        <v/>
      </c>
      <c r="AZ741" s="418" t="str">
        <f t="shared" si="1102"/>
        <v/>
      </c>
      <c r="BA741" s="418" t="str">
        <f t="shared" si="1103"/>
        <v/>
      </c>
      <c r="BB741" s="418" t="str">
        <f t="shared" si="1104"/>
        <v/>
      </c>
      <c r="BC741" s="418" t="str">
        <f t="shared" si="1105"/>
        <v/>
      </c>
      <c r="BD741" s="418" t="str">
        <f t="shared" si="1106"/>
        <v/>
      </c>
      <c r="BE741" s="418" t="str">
        <f t="shared" si="1107"/>
        <v/>
      </c>
      <c r="BF741" s="418" t="str">
        <f t="shared" si="1108"/>
        <v/>
      </c>
      <c r="BG741" s="418" t="str">
        <f t="shared" si="1109"/>
        <v/>
      </c>
      <c r="BH741" s="418" t="str">
        <f t="shared" si="1110"/>
        <v/>
      </c>
      <c r="BI741" s="418" t="str">
        <f t="shared" si="1111"/>
        <v/>
      </c>
      <c r="BJ741" s="418" t="str">
        <f t="shared" si="1112"/>
        <v/>
      </c>
      <c r="BK741" s="418" t="str">
        <f t="shared" ref="BK741:BS741" si="1138">IF(OR($E741="",BK$1=""),"",IF(TRIM(LEFT($E741,MIN(IFERROR(FIND("CDU",UPPER($E741)),999),IFERROR(FIND("BULK",UPPER($E741)),999),IFERROR(FIND("-",$E741),999),IFERROR(FIND("（",$E741),999))-1))=BK$1,$F741,""))</f>
        <v/>
      </c>
      <c r="BL741" s="418" t="str">
        <f t="shared" si="1138"/>
        <v/>
      </c>
      <c r="BM741" s="418" t="str">
        <f t="shared" si="1138"/>
        <v/>
      </c>
      <c r="BN741" s="418" t="str">
        <f t="shared" si="1138"/>
        <v/>
      </c>
      <c r="BO741" s="418" t="str">
        <f t="shared" si="1138"/>
        <v/>
      </c>
      <c r="BP741" s="418" t="str">
        <f t="shared" si="1138"/>
        <v/>
      </c>
      <c r="BQ741" s="418" t="str">
        <f t="shared" si="1138"/>
        <v/>
      </c>
      <c r="BR741" s="418" t="str">
        <f t="shared" si="1138"/>
        <v/>
      </c>
      <c r="BS741" s="418" t="str">
        <f t="shared" si="1138"/>
        <v/>
      </c>
      <c r="BT741" s="418" t="str">
        <f t="shared" si="1114"/>
        <v/>
      </c>
      <c r="BU741" s="418" t="str">
        <f t="shared" si="1115"/>
        <v/>
      </c>
      <c r="BV741" s="544">
        <v>1.3</v>
      </c>
      <c r="BW741" s="723">
        <f t="shared" si="1116"/>
        <v>3120</v>
      </c>
      <c r="BX741" s="724">
        <f t="shared" si="1117"/>
        <v>24180</v>
      </c>
      <c r="BY741" s="725" t="str">
        <f t="shared" si="1118"/>
        <v>SR</v>
      </c>
    </row>
    <row r="742" s="697" customFormat="1" customHeight="1" spans="1:77">
      <c r="A742" s="116">
        <v>46139</v>
      </c>
      <c r="B742" s="116">
        <v>46200</v>
      </c>
      <c r="C742" s="418" t="s">
        <v>791</v>
      </c>
      <c r="D742" s="418" t="s">
        <v>792</v>
      </c>
      <c r="E742" s="418" t="s">
        <v>147</v>
      </c>
      <c r="F742" s="737">
        <v>2112</v>
      </c>
      <c r="G742" s="418" t="s">
        <v>341</v>
      </c>
      <c r="H742" s="118" t="str">
        <f>IFERROR(VLOOKUP(E742,名称!A:E,4,0),"")</f>
        <v>三代</v>
      </c>
      <c r="I742" s="418" t="str">
        <f t="shared" ref="I742:I795" si="1139">IF(OR($E742="",I$1=""),"",IF(TRIM(LEFT($E742,MIN(IFERROR(FIND("CDU",UPPER($E742)),999),IFERROR(FIND("BULK",UPPER($E742)),999),IFERROR(FIND("-",$E742),999),IFERROR(FIND("（",$E742),999))-1))=I$1,$F742,""))</f>
        <v/>
      </c>
      <c r="J742" s="418" t="str">
        <f t="shared" ref="J742:J795" si="1140">IF(OR($E742="",J$1=""),"",IF(TRIM(LEFT($E742,MIN(IFERROR(FIND("CDU",UPPER($E742)),999),IFERROR(FIND("BULK",UPPER($E742)),999),IFERROR(FIND("-",$E742),999),IFERROR(FIND("（",$E742),999))-1))=J$1,$F742,""))</f>
        <v/>
      </c>
      <c r="K742" s="418" t="str">
        <f t="shared" ref="K742:K795" si="1141">IF(OR($E742="",K$1=""),"",IF(TRIM(LEFT($E742,MIN(IFERROR(FIND("CDU",UPPER($E742)),999),IFERROR(FIND("BULK",UPPER($E742)),999),IFERROR(FIND("-",$E742),999),IFERROR(FIND("（",$E742),999))-1))=K$1,$F742,""))</f>
        <v/>
      </c>
      <c r="L742" s="418" t="str">
        <f t="shared" ref="L742:L795" si="1142">IF(OR($E742="",L$1=""),"",IF(TRIM(LEFT($E742,MIN(IFERROR(FIND("CDU",UPPER($E742)),999),IFERROR(FIND("BULK",UPPER($E742)),999),IFERROR(FIND("-",$E742),999),IFERROR(FIND("（",$E742),999))-1))=L$1,$F742,""))</f>
        <v/>
      </c>
      <c r="M742" s="418" t="str">
        <f t="shared" ref="M742:M795" si="1143">IF(OR($E742="",M$1=""),"",IF(TRIM(LEFT($E742,MIN(IFERROR(FIND("CDU",UPPER($E742)),999),IFERROR(FIND("BULK",UPPER($E742)),999),IFERROR(FIND("-",$E742),999),IFERROR(FIND("（",$E742),999))-1))=M$1,$F742,""))</f>
        <v/>
      </c>
      <c r="N742" s="418" t="str">
        <f t="shared" ref="N742:N795" si="1144">IF(OR($E742="",N$1=""),"",IF(TRIM(LEFT($E742,MIN(IFERROR(FIND("CDU",UPPER($E742)),999),IFERROR(FIND("BULK",UPPER($E742)),999),IFERROR(FIND("-",$E742),999),IFERROR(FIND("（",$E742),999))-1))=N$1,$F742,""))</f>
        <v/>
      </c>
      <c r="O742" s="418" t="str">
        <f t="shared" ref="O742:O795" si="1145">IF(OR($E742="",O$1=""),"",IF(TRIM(LEFT($E742,MIN(IFERROR(FIND("CDU",UPPER($E742)),999),IFERROR(FIND("BULK",UPPER($E742)),999),IFERROR(FIND("-",$E742),999),IFERROR(FIND("（",$E742),999))-1))=O$1,$F742,""))</f>
        <v/>
      </c>
      <c r="P742" s="418" t="str">
        <f t="shared" ref="P742:P795" si="1146">IF(OR($E742="",P$1=""),"",IF(TRIM(LEFT($E742,MIN(IFERROR(FIND("CDU",UPPER($E742)),999),IFERROR(FIND("BULK",UPPER($E742)),999),IFERROR(FIND("-",$E742),999),IFERROR(FIND("（",$E742),999))-1))=P$1,$F742,""))</f>
        <v/>
      </c>
      <c r="Q742" s="418" t="str">
        <f t="shared" ref="Q742:Q795" si="1147">IF(OR($E742="",Q$1=""),"",IF(TRIM(LEFT($E742,MIN(IFERROR(FIND("CDU",UPPER($E742)),999),IFERROR(FIND("BULK",UPPER($E742)),999),IFERROR(FIND("-",$E742),999),IFERROR(FIND("（",$E742),999))-1))=Q$1,$F742,""))</f>
        <v/>
      </c>
      <c r="R742" s="418" t="str">
        <f t="shared" ref="R742:R795" si="1148">IF(OR($E742="",R$1=""),"",IF(TRIM(LEFT($E742,MIN(IFERROR(FIND("CDU",UPPER($E742)),999),IFERROR(FIND("BULK",UPPER($E742)),999),IFERROR(FIND("-",$E742),999),IFERROR(FIND("（",$E742),999))-1))=R$1,$F742,""))</f>
        <v/>
      </c>
      <c r="S742" s="418" t="str">
        <f t="shared" ref="S742:S795" si="1149">IF(OR($E742="",S$1=""),"",IF(TRIM(LEFT($E742,MIN(IFERROR(FIND("CDU",UPPER($E742)),999),IFERROR(FIND("BULK",UPPER($E742)),999),IFERROR(FIND("-",$E742),999),IFERROR(FIND("（",$E742),999))-1))=S$1,$F742,""))</f>
        <v/>
      </c>
      <c r="T742" s="418" t="str">
        <f t="shared" ref="T742:T795" si="1150">IF(OR($E742="",T$1=""),"",IF(TRIM(LEFT($E742,MIN(IFERROR(FIND("CDU",UPPER($E742)),999),IFERROR(FIND("BULK",UPPER($E742)),999),IFERROR(FIND("-",$E742),999),IFERROR(FIND("（",$E742),999))-1))=T$1,$F742,""))</f>
        <v/>
      </c>
      <c r="U742" s="418" t="str">
        <f t="shared" ref="U742:U795" si="1151">IF(OR($E742="",U$1=""),"",IF(TRIM(LEFT($E742,MIN(IFERROR(FIND("CDU",UPPER($E742)),999),IFERROR(FIND("BULK",UPPER($E742)),999),IFERROR(FIND("-",$E742),999),IFERROR(FIND("（",$E742),999))-1))=U$1,$F742,""))</f>
        <v/>
      </c>
      <c r="V742" s="418" t="str">
        <f t="shared" ref="V742:V795" si="1152">IF(OR($E742="",V$1=""),"",IF(TRIM(LEFT($E742,MIN(IFERROR(FIND("CDU",UPPER($E742)),999),IFERROR(FIND("BULK",UPPER($E742)),999),IFERROR(FIND("-",$E742),999),IFERROR(FIND("（",$E742),999))-1))=V$1,$F742,""))</f>
        <v/>
      </c>
      <c r="W742" s="418" t="str">
        <f t="shared" ref="W742:W795" si="1153">IF(OR($E742="",W$1=""),"",IF(TRIM(LEFT($E742,MIN(IFERROR(FIND("CDU",UPPER($E742)),999),IFERROR(FIND("BULK",UPPER($E742)),999),IFERROR(FIND("-",$E742),999),IFERROR(FIND("（",$E742),999))-1))=W$1,$F742,""))</f>
        <v/>
      </c>
      <c r="X742" s="418" t="str">
        <f t="shared" ref="X742:X795" si="1154">IF(OR($E742="",X$1=""),"",IF(TRIM(LEFT($E742,MIN(IFERROR(FIND("CDU",UPPER($E742)),999),IFERROR(FIND("BULK",UPPER($E742)),999),IFERROR(FIND("-",$E742),999),IFERROR(FIND("（",$E742),999))-1))=X$1,$F742,""))</f>
        <v/>
      </c>
      <c r="Y742" s="418" t="str">
        <f t="shared" ref="Y742:Y795" si="1155">IF(OR($E742="",Y$1=""),"",IF(TRIM(LEFT($E742,MIN(IFERROR(FIND("CDU",UPPER($E742)),999),IFERROR(FIND("BULK",UPPER($E742)),999),IFERROR(FIND("-",$E742),999),IFERROR(FIND("（",$E742),999))-1))=Y$1,$F742,""))</f>
        <v/>
      </c>
      <c r="Z742" s="418" t="str">
        <f t="shared" ref="Z742:Z795" si="1156">IF(OR($E742="",Z$1=""),"",IF(TRIM(LEFT($E742,MIN(IFERROR(FIND("CDU",UPPER($E742)),999),IFERROR(FIND("BULK",UPPER($E742)),999),IFERROR(FIND("-",$E742),999),IFERROR(FIND("（",$E742),999))-1))=Z$1,$F742,""))</f>
        <v/>
      </c>
      <c r="AA742" s="418" t="str">
        <f t="shared" ref="AA742:AA795" si="1157">IF(OR($E742="",AA$1=""),"",IF(TRIM(LEFT($E742,MIN(IFERROR(FIND("CDU",UPPER($E742)),999),IFERROR(FIND("BULK",UPPER($E742)),999),IFERROR(FIND("-",$E742),999),IFERROR(FIND("（",$E742),999))-1))=AA$1,$F742,""))</f>
        <v/>
      </c>
      <c r="AB742" s="418" t="str">
        <f t="shared" ref="AB742:AB795" si="1158">IF(OR($E742="",AB$1=""),"",IF(TRIM(LEFT($E742,MIN(IFERROR(FIND("CDU",UPPER($E742)),999),IFERROR(FIND("BULK",UPPER($E742)),999),IFERROR(FIND("-",$E742),999),IFERROR(FIND("（",$E742),999))-1))=AB$1,$F742,""))</f>
        <v/>
      </c>
      <c r="AC742" s="418" t="str">
        <f t="shared" ref="AC742:AC795" si="1159">IF(OR($E742="",AC$1=""),"",IF(TRIM(LEFT($E742,MIN(IFERROR(FIND("CDU",UPPER($E742)),999),IFERROR(FIND("BULK",UPPER($E742)),999),IFERROR(FIND("-",$E742),999),IFERROR(FIND("（",$E742),999))-1))=AC$1,$F742,""))</f>
        <v/>
      </c>
      <c r="AD742" s="418" t="str">
        <f t="shared" ref="AD742:AD795" si="1160">IF(OR($E742="",AD$1=""),"",IF(TRIM(LEFT($E742,MIN(IFERROR(FIND("CDU",UPPER($E742)),999),IFERROR(FIND("BULK",UPPER($E742)),999),IFERROR(FIND("-",$E742),999),IFERROR(FIND("（",$E742),999))-1))=AD$1,$F742,""))</f>
        <v/>
      </c>
      <c r="AE742" s="418" t="str">
        <f t="shared" ref="AE742:AE795" si="1161">IF(OR($E742="",AE$1=""),"",IF(TRIM(LEFT($E742,MIN(IFERROR(FIND("CDU",UPPER($E742)),999),IFERROR(FIND("BULK",UPPER($E742)),999),IFERROR(FIND("-",$E742),999),IFERROR(FIND("（",$E742),999))-1))=AE$1,$F742,""))</f>
        <v/>
      </c>
      <c r="AF742" s="418" t="str">
        <f t="shared" ref="AF742:AF795" si="1162">IF(OR($E742="",AF$1=""),"",IF(TRIM(LEFT($E742,MIN(IFERROR(FIND("CDU",UPPER($E742)),999),IFERROR(FIND("BULK",UPPER($E742)),999),IFERROR(FIND("-",$E742),999),IFERROR(FIND("（",$E742),999))-1))=AF$1,$F742,""))</f>
        <v/>
      </c>
      <c r="AG742" s="418" t="str">
        <f t="shared" ref="AG742:AG795" si="1163">IF(OR($E742="",AG$1=""),"",IF(TRIM(LEFT($E742,MIN(IFERROR(FIND("CDU",UPPER($E742)),999),IFERROR(FIND("BULK",UPPER($E742)),999),IFERROR(FIND("-",$E742),999),IFERROR(FIND("（",$E742),999))-1))=AG$1,$F742,""))</f>
        <v/>
      </c>
      <c r="AH742" s="418" t="str">
        <f t="shared" ref="AH742:AH795" si="1164">IF(OR($E742="",AH$1=""),"",IF(TRIM(LEFT($E742,MIN(IFERROR(FIND("CDU",UPPER($E742)),999),IFERROR(FIND("BULK",UPPER($E742)),999),IFERROR(FIND("-",$E742),999),IFERROR(FIND("（",$E742),999))-1))=AH$1,$F742,""))</f>
        <v/>
      </c>
      <c r="AI742" s="418" t="str">
        <f t="shared" ref="AI742:AI795" si="1165">IF(OR($E742="",AI$1=""),"",IF(TRIM(LEFT($E742,MIN(IFERROR(FIND("CDU",UPPER($E742)),999),IFERROR(FIND("BULK",UPPER($E742)),999),IFERROR(FIND("-",$E742),999),IFERROR(FIND("（",$E742),999))-1))=AI$1,$F742,""))</f>
        <v/>
      </c>
      <c r="AJ742" s="418" t="str">
        <f t="shared" ref="AJ742:AJ795" si="1166">IF(OR($E742="",AJ$1=""),"",IF(TRIM(LEFT($E742,MIN(IFERROR(FIND("CDU",UPPER($E742)),999),IFERROR(FIND("BULK",UPPER($E742)),999),IFERROR(FIND("-",$E742),999),IFERROR(FIND("（",$E742),999))-1))=AJ$1,$F742,""))</f>
        <v/>
      </c>
      <c r="AK742" s="418" t="str">
        <f t="shared" ref="AK742:AK795" si="1167">IF(OR($E742="",AK$1=""),"",IF(TRIM(LEFT($E742,MIN(IFERROR(FIND("CDU",UPPER($E742)),999),IFERROR(FIND("BULK",UPPER($E742)),999),IFERROR(FIND("-",$E742),999),IFERROR(FIND("（",$E742),999))-1))=AK$1,$F742,""))</f>
        <v/>
      </c>
      <c r="AL742" s="418">
        <f t="shared" ref="AL742:AL795" si="1168">IF(OR($E742="",AL$1=""),"",IF(TRIM(LEFT($E742,MIN(IFERROR(FIND("CDU",UPPER($E742)),999),IFERROR(FIND("BULK",UPPER($E742)),999),IFERROR(FIND("-",$E742),999),IFERROR(FIND("（",$E742),999))-1))=AL$1,$F742,""))</f>
        <v>2112</v>
      </c>
      <c r="AM742" s="418" t="str">
        <f t="shared" ref="AM742:AM795" si="1169">IF(OR($E742="",AM$1=""),"",IF(TRIM(LEFT($E742,MIN(IFERROR(FIND("CDU",UPPER($E742)),999),IFERROR(FIND("BULK",UPPER($E742)),999),IFERROR(FIND("-",$E742),999),IFERROR(FIND("（",$E742),999))-1))=AM$1,$F742,""))</f>
        <v/>
      </c>
      <c r="AN742" s="418" t="str">
        <f t="shared" ref="AN742:AN795" si="1170">IF(OR($E742="",AN$1=""),"",IF(TRIM(LEFT($E742,MIN(IFERROR(FIND("CDU",UPPER($E742)),999),IFERROR(FIND("BULK",UPPER($E742)),999),IFERROR(FIND("-",$E742),999),IFERROR(FIND("（",$E742),999))-1))=AN$1,$F742,""))</f>
        <v/>
      </c>
      <c r="AO742" s="418" t="str">
        <f t="shared" ref="AO742:AO795" si="1171">IF(OR($E742="",AO$1=""),"",IF(TRIM(LEFT($E742,MIN(IFERROR(FIND("CDU",UPPER($E742)),999),IFERROR(FIND("BULK",UPPER($E742)),999),IFERROR(FIND("-",$E742),999),IFERROR(FIND("（",$E742),999))-1))=AO$1,$F742,""))</f>
        <v/>
      </c>
      <c r="AP742" s="418" t="str">
        <f t="shared" ref="AP742:AP795" si="1172">IF(OR($E742="",AP$1=""),"",IF(TRIM(LEFT($E742,MIN(IFERROR(FIND("CDU",UPPER($E742)),999),IFERROR(FIND("BULK",UPPER($E742)),999),IFERROR(FIND("-",$E742),999),IFERROR(FIND("（",$E742),999))-1))=AP$1,$F742,""))</f>
        <v/>
      </c>
      <c r="AQ742" s="418" t="str">
        <f t="shared" ref="AQ742:AQ795" si="1173">IF(OR($E742="",AQ$1=""),"",IF(TRIM(LEFT($E742,MIN(IFERROR(FIND("CDU",UPPER($E742)),999),IFERROR(FIND("BULK",UPPER($E742)),999),IFERROR(FIND("-",$E742),999),IFERROR(FIND("（",$E742),999))-1))=AQ$1,$F742,""))</f>
        <v/>
      </c>
      <c r="AR742" s="418" t="str">
        <f t="shared" ref="AR742:AR795" si="1174">IF(OR($E742="",AR$1=""),"",IF(TRIM(LEFT($E742,MIN(IFERROR(FIND("CDU",UPPER($E742)),999),IFERROR(FIND("BULK",UPPER($E742)),999),IFERROR(FIND("-",$E742),999),IFERROR(FIND("（",$E742),999))-1))=AR$1,$F742,""))</f>
        <v/>
      </c>
      <c r="AS742" s="418" t="str">
        <f t="shared" ref="AS742:AS795" si="1175">IF(OR($E742="",AS$1=""),"",IF(TRIM(LEFT($E742,MIN(IFERROR(FIND("CDU",UPPER($E742)),999),IFERROR(FIND("BULK",UPPER($E742)),999),IFERROR(FIND("-",$E742),999),IFERROR(FIND("（",$E742),999))-1))=AS$1,$F742,""))</f>
        <v/>
      </c>
      <c r="AT742" s="418" t="str">
        <f t="shared" ref="AT742:AT795" si="1176">IF(OR($E742="",AT$1=""),"",IF(TRIM(LEFT($E742,MIN(IFERROR(FIND("CDU",UPPER($E742)),999),IFERROR(FIND("BULK",UPPER($E742)),999),IFERROR(FIND("-",$E742),999),IFERROR(FIND("（",$E742),999))-1))=AT$1,$F742,""))</f>
        <v/>
      </c>
      <c r="AU742" s="418" t="str">
        <f t="shared" ref="AU742:AU795" si="1177">IF(OR($E742="",AU$1=""),"",IF(TRIM(LEFT($E742,MIN(IFERROR(FIND("CDU",UPPER($E742)),999),IFERROR(FIND("BULK",UPPER($E742)),999),IFERROR(FIND("-",$E742),999),IFERROR(FIND("（",$E742),999))-1))=AU$1,$F742,""))</f>
        <v/>
      </c>
      <c r="AV742" s="418" t="str">
        <f t="shared" ref="AV742:AV795" si="1178">IF(OR($E742="",AV$1=""),"",IF(TRIM(LEFT($E742,MIN(IFERROR(FIND("CDU",UPPER($E742)),999),IFERROR(FIND("BULK",UPPER($E742)),999),IFERROR(FIND("-",$E742),999),IFERROR(FIND("（",$E742),999))-1))=AV$1,$F742,""))</f>
        <v/>
      </c>
      <c r="AW742" s="418" t="str">
        <f t="shared" ref="AW742:AW795" si="1179">IF(OR($E742="",AW$1=""),"",IF(TRIM(LEFT($E742,MIN(IFERROR(FIND("CDU",UPPER($E742)),999),IFERROR(FIND("BULK",UPPER($E742)),999),IFERROR(FIND("-",$E742),999),IFERROR(FIND("（",$E742),999))-1))=AW$1,$F742,""))</f>
        <v/>
      </c>
      <c r="AX742" s="418" t="str">
        <f t="shared" ref="AX742:AX795" si="1180">IF(OR($E742="",AX$1=""),"",IF(TRIM(LEFT($E742,MIN(IFERROR(FIND("CDU",UPPER($E742)),999),IFERROR(FIND("BULK",UPPER($E742)),999),IFERROR(FIND("-",$E742),999),IFERROR(FIND("（",$E742),999))-1))=AX$1,$F742,""))</f>
        <v/>
      </c>
      <c r="AY742" s="418" t="str">
        <f t="shared" ref="AY742:AY795" si="1181">IF(OR($E742="",AY$1=""),"",IF(TRIM(LEFT($E742,MIN(IFERROR(FIND("CDU",UPPER($E742)),999),IFERROR(FIND("BULK",UPPER($E742)),999),IFERROR(FIND("-",$E742),999),IFERROR(FIND("（",$E742),999))-1))=AY$1,$F742,""))</f>
        <v/>
      </c>
      <c r="AZ742" s="418" t="str">
        <f t="shared" ref="AZ742:AZ795" si="1182">IF(OR($E742="",AZ$1=""),"",IF(TRIM(LEFT($E742,MIN(IFERROR(FIND("CDU",UPPER($E742)),999),IFERROR(FIND("BULK",UPPER($E742)),999),IFERROR(FIND("-",$E742),999),IFERROR(FIND("（",$E742),999))-1))=AZ$1,$F742,""))</f>
        <v/>
      </c>
      <c r="BA742" s="418" t="str">
        <f t="shared" ref="BA742:BA795" si="1183">IF(OR($E742="",BA$1=""),"",IF(TRIM(LEFT($E742,MIN(IFERROR(FIND("CDU",UPPER($E742)),999),IFERROR(FIND("BULK",UPPER($E742)),999),IFERROR(FIND("-",$E742),999),IFERROR(FIND("（",$E742),999))-1))=BA$1,$F742,""))</f>
        <v/>
      </c>
      <c r="BB742" s="418" t="str">
        <f t="shared" ref="BB742:BB795" si="1184">IF(OR($E742="",BB$1=""),"",IF(TRIM(LEFT($E742,MIN(IFERROR(FIND("CDU",UPPER($E742)),999),IFERROR(FIND("BULK",UPPER($E742)),999),IFERROR(FIND("-",$E742),999),IFERROR(FIND("（",$E742),999))-1))=BB$1,$F742,""))</f>
        <v/>
      </c>
      <c r="BC742" s="418" t="str">
        <f t="shared" ref="BC742:BC795" si="1185">IF(OR($E742="",BC$1=""),"",IF(TRIM(LEFT($E742,MIN(IFERROR(FIND("CDU",UPPER($E742)),999),IFERROR(FIND("BULK",UPPER($E742)),999),IFERROR(FIND("-",$E742),999),IFERROR(FIND("（",$E742),999))-1))=BC$1,$F742,""))</f>
        <v/>
      </c>
      <c r="BD742" s="418" t="str">
        <f t="shared" ref="BD742:BD795" si="1186">IF(OR($E742="",BD$1=""),"",IF(TRIM(LEFT($E742,MIN(IFERROR(FIND("CDU",UPPER($E742)),999),IFERROR(FIND("BULK",UPPER($E742)),999),IFERROR(FIND("-",$E742),999),IFERROR(FIND("（",$E742),999))-1))=BD$1,$F742,""))</f>
        <v/>
      </c>
      <c r="BE742" s="418" t="str">
        <f t="shared" ref="BE742:BE795" si="1187">IF(OR($E742="",BE$1=""),"",IF(TRIM(LEFT($E742,MIN(IFERROR(FIND("CDU",UPPER($E742)),999),IFERROR(FIND("BULK",UPPER($E742)),999),IFERROR(FIND("-",$E742),999),IFERROR(FIND("（",$E742),999))-1))=BE$1,$F742,""))</f>
        <v/>
      </c>
      <c r="BF742" s="418" t="str">
        <f t="shared" ref="BF742:BF795" si="1188">IF(OR($E742="",BF$1=""),"",IF(TRIM(LEFT($E742,MIN(IFERROR(FIND("CDU",UPPER($E742)),999),IFERROR(FIND("BULK",UPPER($E742)),999),IFERROR(FIND("-",$E742),999),IFERROR(FIND("（",$E742),999))-1))=BF$1,$F742,""))</f>
        <v/>
      </c>
      <c r="BG742" s="418" t="str">
        <f t="shared" ref="BG742:BG795" si="1189">IF(OR($E742="",BG$1=""),"",IF(TRIM(LEFT($E742,MIN(IFERROR(FIND("CDU",UPPER($E742)),999),IFERROR(FIND("BULK",UPPER($E742)),999),IFERROR(FIND("-",$E742),999),IFERROR(FIND("（",$E742),999))-1))=BG$1,$F742,""))</f>
        <v/>
      </c>
      <c r="BH742" s="418" t="str">
        <f t="shared" ref="BH742:BH795" si="1190">IF(OR($E742="",BH$1=""),"",IF(TRIM(LEFT($E742,MIN(IFERROR(FIND("CDU",UPPER($E742)),999),IFERROR(FIND("BULK",UPPER($E742)),999),IFERROR(FIND("-",$E742),999),IFERROR(FIND("（",$E742),999))-1))=BH$1,$F742,""))</f>
        <v/>
      </c>
      <c r="BI742" s="418" t="str">
        <f t="shared" ref="BI742:BI795" si="1191">IF(OR($E742="",BI$1=""),"",IF(TRIM(LEFT($E742,MIN(IFERROR(FIND("CDU",UPPER($E742)),999),IFERROR(FIND("BULK",UPPER($E742)),999),IFERROR(FIND("-",$E742),999),IFERROR(FIND("（",$E742),999))-1))=BI$1,$F742,""))</f>
        <v/>
      </c>
      <c r="BJ742" s="418" t="str">
        <f t="shared" ref="BJ742:BJ795" si="1192">IF(OR($E742="",BJ$1=""),"",IF(TRIM(LEFT($E742,MIN(IFERROR(FIND("CDU",UPPER($E742)),999),IFERROR(FIND("BULK",UPPER($E742)),999),IFERROR(FIND("-",$E742),999),IFERROR(FIND("（",$E742),999))-1))=BJ$1,$F742,""))</f>
        <v/>
      </c>
      <c r="BK742" s="418" t="str">
        <f t="shared" ref="BK742:BS742" si="1193">IF(OR($E742="",BK$1=""),"",IF(TRIM(LEFT($E742,MIN(IFERROR(FIND("CDU",UPPER($E742)),999),IFERROR(FIND("BULK",UPPER($E742)),999),IFERROR(FIND("-",$E742),999),IFERROR(FIND("（",$E742),999))-1))=BK$1,$F742,""))</f>
        <v/>
      </c>
      <c r="BL742" s="418" t="str">
        <f t="shared" si="1193"/>
        <v/>
      </c>
      <c r="BM742" s="418" t="str">
        <f t="shared" si="1193"/>
        <v/>
      </c>
      <c r="BN742" s="418" t="str">
        <f t="shared" si="1193"/>
        <v/>
      </c>
      <c r="BO742" s="418" t="str">
        <f t="shared" si="1193"/>
        <v/>
      </c>
      <c r="BP742" s="418" t="str">
        <f t="shared" si="1193"/>
        <v/>
      </c>
      <c r="BQ742" s="418" t="str">
        <f t="shared" si="1193"/>
        <v/>
      </c>
      <c r="BR742" s="418" t="str">
        <f t="shared" si="1193"/>
        <v/>
      </c>
      <c r="BS742" s="418" t="str">
        <f t="shared" si="1193"/>
        <v/>
      </c>
      <c r="BT742" s="418" t="str">
        <f t="shared" ref="BT742:BT795" si="1194">IF(OR($E742="",BT$1=""),"",IF(TRIM(LEFT($E742,MIN(IFERROR(FIND("CDU",UPPER($E742)),999),IFERROR(FIND("BULK",UPPER($E742)),999),IFERROR(FIND("-",$E742),999),IFERROR(FIND("（",$E742),999))-1))=BT$1,$F742,""))</f>
        <v/>
      </c>
      <c r="BU742" s="418" t="str">
        <f t="shared" ref="BU742:BU795" si="1195">IF(OR($E742="",BU$1=""),"",IF(TRIM(LEFT($E742,MIN(IFERROR(FIND("CDU",UPPER($E742)),999),IFERROR(FIND("BULK",UPPER($E742)),999),IFERROR(FIND("-",$E742),999),IFERROR(FIND("（",$E742),999))-1))=BU$1,$F742,""))</f>
        <v/>
      </c>
      <c r="BV742" s="544">
        <v>1.3</v>
      </c>
      <c r="BW742" s="723">
        <f t="shared" si="1116"/>
        <v>2745.6</v>
      </c>
      <c r="BX742" s="724">
        <f t="shared" si="1117"/>
        <v>21278.4</v>
      </c>
      <c r="BY742" s="725" t="str">
        <f t="shared" si="1118"/>
        <v>SR</v>
      </c>
    </row>
    <row r="743" s="697" customFormat="1" customHeight="1" spans="1:77">
      <c r="A743" s="116">
        <v>46139</v>
      </c>
      <c r="B743" s="116">
        <v>46200</v>
      </c>
      <c r="C743" s="418" t="s">
        <v>791</v>
      </c>
      <c r="D743" s="418" t="s">
        <v>792</v>
      </c>
      <c r="E743" s="418" t="s">
        <v>148</v>
      </c>
      <c r="F743" s="737">
        <v>3744</v>
      </c>
      <c r="G743" s="418" t="s">
        <v>341</v>
      </c>
      <c r="H743" s="118" t="str">
        <f>IFERROR(VLOOKUP(E743,名称!A:E,4,0),"")</f>
        <v>三代</v>
      </c>
      <c r="I743" s="418" t="str">
        <f t="shared" si="1139"/>
        <v/>
      </c>
      <c r="J743" s="418" t="str">
        <f t="shared" si="1140"/>
        <v/>
      </c>
      <c r="K743" s="418" t="str">
        <f t="shared" si="1141"/>
        <v/>
      </c>
      <c r="L743" s="418" t="str">
        <f t="shared" si="1142"/>
        <v/>
      </c>
      <c r="M743" s="418" t="str">
        <f t="shared" si="1143"/>
        <v/>
      </c>
      <c r="N743" s="418" t="str">
        <f t="shared" si="1144"/>
        <v/>
      </c>
      <c r="O743" s="418" t="str">
        <f t="shared" si="1145"/>
        <v/>
      </c>
      <c r="P743" s="418" t="str">
        <f t="shared" si="1146"/>
        <v/>
      </c>
      <c r="Q743" s="418" t="str">
        <f t="shared" si="1147"/>
        <v/>
      </c>
      <c r="R743" s="418" t="str">
        <f t="shared" si="1148"/>
        <v/>
      </c>
      <c r="S743" s="418" t="str">
        <f t="shared" si="1149"/>
        <v/>
      </c>
      <c r="T743" s="418" t="str">
        <f t="shared" si="1150"/>
        <v/>
      </c>
      <c r="U743" s="418" t="str">
        <f t="shared" si="1151"/>
        <v/>
      </c>
      <c r="V743" s="418" t="str">
        <f t="shared" si="1152"/>
        <v/>
      </c>
      <c r="W743" s="418" t="str">
        <f t="shared" si="1153"/>
        <v/>
      </c>
      <c r="X743" s="418" t="str">
        <f t="shared" si="1154"/>
        <v/>
      </c>
      <c r="Y743" s="418" t="str">
        <f t="shared" si="1155"/>
        <v/>
      </c>
      <c r="Z743" s="418" t="str">
        <f t="shared" si="1156"/>
        <v/>
      </c>
      <c r="AA743" s="418" t="str">
        <f t="shared" si="1157"/>
        <v/>
      </c>
      <c r="AB743" s="418" t="str">
        <f t="shared" si="1158"/>
        <v/>
      </c>
      <c r="AC743" s="418" t="str">
        <f t="shared" si="1159"/>
        <v/>
      </c>
      <c r="AD743" s="418" t="str">
        <f t="shared" si="1160"/>
        <v/>
      </c>
      <c r="AE743" s="418" t="str">
        <f t="shared" si="1161"/>
        <v/>
      </c>
      <c r="AF743" s="418" t="str">
        <f t="shared" si="1162"/>
        <v/>
      </c>
      <c r="AG743" s="418" t="str">
        <f t="shared" si="1163"/>
        <v/>
      </c>
      <c r="AH743" s="418" t="str">
        <f t="shared" si="1164"/>
        <v/>
      </c>
      <c r="AI743" s="418" t="str">
        <f t="shared" si="1165"/>
        <v/>
      </c>
      <c r="AJ743" s="418" t="str">
        <f t="shared" si="1166"/>
        <v/>
      </c>
      <c r="AK743" s="418" t="str">
        <f t="shared" si="1167"/>
        <v/>
      </c>
      <c r="AL743" s="418">
        <f t="shared" si="1168"/>
        <v>3744</v>
      </c>
      <c r="AM743" s="418" t="str">
        <f t="shared" si="1169"/>
        <v/>
      </c>
      <c r="AN743" s="418" t="str">
        <f t="shared" si="1170"/>
        <v/>
      </c>
      <c r="AO743" s="418" t="str">
        <f t="shared" si="1171"/>
        <v/>
      </c>
      <c r="AP743" s="418" t="str">
        <f t="shared" si="1172"/>
        <v/>
      </c>
      <c r="AQ743" s="418" t="str">
        <f t="shared" si="1173"/>
        <v/>
      </c>
      <c r="AR743" s="418" t="str">
        <f t="shared" si="1174"/>
        <v/>
      </c>
      <c r="AS743" s="418" t="str">
        <f t="shared" si="1175"/>
        <v/>
      </c>
      <c r="AT743" s="418" t="str">
        <f t="shared" si="1176"/>
        <v/>
      </c>
      <c r="AU743" s="418" t="str">
        <f t="shared" si="1177"/>
        <v/>
      </c>
      <c r="AV743" s="418" t="str">
        <f t="shared" si="1178"/>
        <v/>
      </c>
      <c r="AW743" s="418" t="str">
        <f t="shared" si="1179"/>
        <v/>
      </c>
      <c r="AX743" s="418" t="str">
        <f t="shared" si="1180"/>
        <v/>
      </c>
      <c r="AY743" s="418" t="str">
        <f t="shared" si="1181"/>
        <v/>
      </c>
      <c r="AZ743" s="418" t="str">
        <f t="shared" si="1182"/>
        <v/>
      </c>
      <c r="BA743" s="418" t="str">
        <f t="shared" si="1183"/>
        <v/>
      </c>
      <c r="BB743" s="418" t="str">
        <f t="shared" si="1184"/>
        <v/>
      </c>
      <c r="BC743" s="418" t="str">
        <f t="shared" si="1185"/>
        <v/>
      </c>
      <c r="BD743" s="418" t="str">
        <f t="shared" si="1186"/>
        <v/>
      </c>
      <c r="BE743" s="418" t="str">
        <f t="shared" si="1187"/>
        <v/>
      </c>
      <c r="BF743" s="418" t="str">
        <f t="shared" si="1188"/>
        <v/>
      </c>
      <c r="BG743" s="418" t="str">
        <f t="shared" si="1189"/>
        <v/>
      </c>
      <c r="BH743" s="418" t="str">
        <f t="shared" si="1190"/>
        <v/>
      </c>
      <c r="BI743" s="418" t="str">
        <f t="shared" si="1191"/>
        <v/>
      </c>
      <c r="BJ743" s="418" t="str">
        <f t="shared" si="1192"/>
        <v/>
      </c>
      <c r="BK743" s="418" t="str">
        <f t="shared" ref="BK743:BS743" si="1196">IF(OR($E743="",BK$1=""),"",IF(TRIM(LEFT($E743,MIN(IFERROR(FIND("CDU",UPPER($E743)),999),IFERROR(FIND("BULK",UPPER($E743)),999),IFERROR(FIND("-",$E743),999),IFERROR(FIND("（",$E743),999))-1))=BK$1,$F743,""))</f>
        <v/>
      </c>
      <c r="BL743" s="418" t="str">
        <f t="shared" si="1196"/>
        <v/>
      </c>
      <c r="BM743" s="418" t="str">
        <f t="shared" si="1196"/>
        <v/>
      </c>
      <c r="BN743" s="418" t="str">
        <f t="shared" si="1196"/>
        <v/>
      </c>
      <c r="BO743" s="418" t="str">
        <f t="shared" si="1196"/>
        <v/>
      </c>
      <c r="BP743" s="418" t="str">
        <f t="shared" si="1196"/>
        <v/>
      </c>
      <c r="BQ743" s="418" t="str">
        <f t="shared" si="1196"/>
        <v/>
      </c>
      <c r="BR743" s="418" t="str">
        <f t="shared" si="1196"/>
        <v/>
      </c>
      <c r="BS743" s="418" t="str">
        <f t="shared" si="1196"/>
        <v/>
      </c>
      <c r="BT743" s="418" t="str">
        <f t="shared" si="1194"/>
        <v/>
      </c>
      <c r="BU743" s="418" t="str">
        <f t="shared" si="1195"/>
        <v/>
      </c>
      <c r="BV743" s="544">
        <v>1.3</v>
      </c>
      <c r="BW743" s="723">
        <f t="shared" si="1116"/>
        <v>4867.2</v>
      </c>
      <c r="BX743" s="724">
        <f t="shared" si="1117"/>
        <v>37720.8</v>
      </c>
      <c r="BY743" s="725" t="str">
        <f t="shared" si="1118"/>
        <v>SR</v>
      </c>
    </row>
    <row r="744" s="697" customFormat="1" customHeight="1" spans="1:77">
      <c r="A744" s="116">
        <v>46139</v>
      </c>
      <c r="B744" s="116">
        <v>46200</v>
      </c>
      <c r="C744" s="418" t="s">
        <v>791</v>
      </c>
      <c r="D744" s="418" t="s">
        <v>792</v>
      </c>
      <c r="E744" s="418" t="s">
        <v>149</v>
      </c>
      <c r="F744" s="737">
        <v>3936</v>
      </c>
      <c r="G744" s="418" t="s">
        <v>341</v>
      </c>
      <c r="H744" s="118" t="str">
        <f>IFERROR(VLOOKUP(E744,名称!A:E,4,0),"")</f>
        <v>三代</v>
      </c>
      <c r="I744" s="418" t="str">
        <f t="shared" si="1139"/>
        <v/>
      </c>
      <c r="J744" s="418" t="str">
        <f t="shared" si="1140"/>
        <v/>
      </c>
      <c r="K744" s="418" t="str">
        <f t="shared" si="1141"/>
        <v/>
      </c>
      <c r="L744" s="418" t="str">
        <f t="shared" si="1142"/>
        <v/>
      </c>
      <c r="M744" s="418" t="str">
        <f t="shared" si="1143"/>
        <v/>
      </c>
      <c r="N744" s="418" t="str">
        <f t="shared" si="1144"/>
        <v/>
      </c>
      <c r="O744" s="418" t="str">
        <f t="shared" si="1145"/>
        <v/>
      </c>
      <c r="P744" s="418" t="str">
        <f t="shared" si="1146"/>
        <v/>
      </c>
      <c r="Q744" s="418" t="str">
        <f t="shared" si="1147"/>
        <v/>
      </c>
      <c r="R744" s="418" t="str">
        <f t="shared" si="1148"/>
        <v/>
      </c>
      <c r="S744" s="418" t="str">
        <f t="shared" si="1149"/>
        <v/>
      </c>
      <c r="T744" s="418" t="str">
        <f t="shared" si="1150"/>
        <v/>
      </c>
      <c r="U744" s="418" t="str">
        <f t="shared" si="1151"/>
        <v/>
      </c>
      <c r="V744" s="418" t="str">
        <f t="shared" si="1152"/>
        <v/>
      </c>
      <c r="W744" s="418" t="str">
        <f t="shared" si="1153"/>
        <v/>
      </c>
      <c r="X744" s="418" t="str">
        <f t="shared" si="1154"/>
        <v/>
      </c>
      <c r="Y744" s="418" t="str">
        <f t="shared" si="1155"/>
        <v/>
      </c>
      <c r="Z744" s="418" t="str">
        <f t="shared" si="1156"/>
        <v/>
      </c>
      <c r="AA744" s="418" t="str">
        <f t="shared" si="1157"/>
        <v/>
      </c>
      <c r="AB744" s="418" t="str">
        <f t="shared" si="1158"/>
        <v/>
      </c>
      <c r="AC744" s="418" t="str">
        <f t="shared" si="1159"/>
        <v/>
      </c>
      <c r="AD744" s="418" t="str">
        <f t="shared" si="1160"/>
        <v/>
      </c>
      <c r="AE744" s="418" t="str">
        <f t="shared" si="1161"/>
        <v/>
      </c>
      <c r="AF744" s="418" t="str">
        <f t="shared" si="1162"/>
        <v/>
      </c>
      <c r="AG744" s="418" t="str">
        <f t="shared" si="1163"/>
        <v/>
      </c>
      <c r="AH744" s="418" t="str">
        <f t="shared" si="1164"/>
        <v/>
      </c>
      <c r="AI744" s="418" t="str">
        <f t="shared" si="1165"/>
        <v/>
      </c>
      <c r="AJ744" s="418" t="str">
        <f t="shared" si="1166"/>
        <v/>
      </c>
      <c r="AK744" s="418" t="str">
        <f t="shared" si="1167"/>
        <v/>
      </c>
      <c r="AL744" s="418">
        <f t="shared" si="1168"/>
        <v>3936</v>
      </c>
      <c r="AM744" s="418" t="str">
        <f t="shared" si="1169"/>
        <v/>
      </c>
      <c r="AN744" s="418" t="str">
        <f t="shared" si="1170"/>
        <v/>
      </c>
      <c r="AO744" s="418" t="str">
        <f t="shared" si="1171"/>
        <v/>
      </c>
      <c r="AP744" s="418" t="str">
        <f t="shared" si="1172"/>
        <v/>
      </c>
      <c r="AQ744" s="418" t="str">
        <f t="shared" si="1173"/>
        <v/>
      </c>
      <c r="AR744" s="418" t="str">
        <f t="shared" si="1174"/>
        <v/>
      </c>
      <c r="AS744" s="418" t="str">
        <f t="shared" si="1175"/>
        <v/>
      </c>
      <c r="AT744" s="418" t="str">
        <f t="shared" si="1176"/>
        <v/>
      </c>
      <c r="AU744" s="418" t="str">
        <f t="shared" si="1177"/>
        <v/>
      </c>
      <c r="AV744" s="418" t="str">
        <f t="shared" si="1178"/>
        <v/>
      </c>
      <c r="AW744" s="418" t="str">
        <f t="shared" si="1179"/>
        <v/>
      </c>
      <c r="AX744" s="418" t="str">
        <f t="shared" si="1180"/>
        <v/>
      </c>
      <c r="AY744" s="418" t="str">
        <f t="shared" si="1181"/>
        <v/>
      </c>
      <c r="AZ744" s="418" t="str">
        <f t="shared" si="1182"/>
        <v/>
      </c>
      <c r="BA744" s="418" t="str">
        <f t="shared" si="1183"/>
        <v/>
      </c>
      <c r="BB744" s="418" t="str">
        <f t="shared" si="1184"/>
        <v/>
      </c>
      <c r="BC744" s="418" t="str">
        <f t="shared" si="1185"/>
        <v/>
      </c>
      <c r="BD744" s="418" t="str">
        <f t="shared" si="1186"/>
        <v/>
      </c>
      <c r="BE744" s="418" t="str">
        <f t="shared" si="1187"/>
        <v/>
      </c>
      <c r="BF744" s="418" t="str">
        <f t="shared" si="1188"/>
        <v/>
      </c>
      <c r="BG744" s="418" t="str">
        <f t="shared" si="1189"/>
        <v/>
      </c>
      <c r="BH744" s="418" t="str">
        <f t="shared" si="1190"/>
        <v/>
      </c>
      <c r="BI744" s="418" t="str">
        <f t="shared" si="1191"/>
        <v/>
      </c>
      <c r="BJ744" s="418" t="str">
        <f t="shared" si="1192"/>
        <v/>
      </c>
      <c r="BK744" s="418" t="str">
        <f t="shared" ref="BK744:BS744" si="1197">IF(OR($E744="",BK$1=""),"",IF(TRIM(LEFT($E744,MIN(IFERROR(FIND("CDU",UPPER($E744)),999),IFERROR(FIND("BULK",UPPER($E744)),999),IFERROR(FIND("-",$E744),999),IFERROR(FIND("（",$E744),999))-1))=BK$1,$F744,""))</f>
        <v/>
      </c>
      <c r="BL744" s="418" t="str">
        <f t="shared" si="1197"/>
        <v/>
      </c>
      <c r="BM744" s="418" t="str">
        <f t="shared" si="1197"/>
        <v/>
      </c>
      <c r="BN744" s="418" t="str">
        <f t="shared" si="1197"/>
        <v/>
      </c>
      <c r="BO744" s="418" t="str">
        <f t="shared" si="1197"/>
        <v/>
      </c>
      <c r="BP744" s="418" t="str">
        <f t="shared" si="1197"/>
        <v/>
      </c>
      <c r="BQ744" s="418" t="str">
        <f t="shared" si="1197"/>
        <v/>
      </c>
      <c r="BR744" s="418" t="str">
        <f t="shared" si="1197"/>
        <v/>
      </c>
      <c r="BS744" s="418" t="str">
        <f t="shared" si="1197"/>
        <v/>
      </c>
      <c r="BT744" s="418" t="str">
        <f t="shared" si="1194"/>
        <v/>
      </c>
      <c r="BU744" s="418" t="str">
        <f t="shared" si="1195"/>
        <v/>
      </c>
      <c r="BV744" s="544">
        <v>1.3</v>
      </c>
      <c r="BW744" s="723">
        <f t="shared" si="1116"/>
        <v>5116.8</v>
      </c>
      <c r="BX744" s="724">
        <f t="shared" si="1117"/>
        <v>39655.2</v>
      </c>
      <c r="BY744" s="725" t="str">
        <f t="shared" si="1118"/>
        <v>SR</v>
      </c>
    </row>
    <row r="745" s="697" customFormat="1" customHeight="1" spans="1:77">
      <c r="A745" s="116">
        <v>46139</v>
      </c>
      <c r="B745" s="116">
        <v>46200</v>
      </c>
      <c r="C745" s="418" t="s">
        <v>791</v>
      </c>
      <c r="D745" s="418" t="s">
        <v>792</v>
      </c>
      <c r="E745" s="418" t="s">
        <v>150</v>
      </c>
      <c r="F745" s="737">
        <v>1824</v>
      </c>
      <c r="G745" s="418" t="s">
        <v>341</v>
      </c>
      <c r="H745" s="118" t="str">
        <f>IFERROR(VLOOKUP(E745,名称!A:E,4,0),"")</f>
        <v>三代</v>
      </c>
      <c r="I745" s="418" t="str">
        <f t="shared" si="1139"/>
        <v/>
      </c>
      <c r="J745" s="418" t="str">
        <f t="shared" si="1140"/>
        <v/>
      </c>
      <c r="K745" s="418" t="str">
        <f t="shared" si="1141"/>
        <v/>
      </c>
      <c r="L745" s="418" t="str">
        <f t="shared" si="1142"/>
        <v/>
      </c>
      <c r="M745" s="418" t="str">
        <f t="shared" si="1143"/>
        <v/>
      </c>
      <c r="N745" s="418" t="str">
        <f t="shared" si="1144"/>
        <v/>
      </c>
      <c r="O745" s="418" t="str">
        <f t="shared" si="1145"/>
        <v/>
      </c>
      <c r="P745" s="418" t="str">
        <f t="shared" si="1146"/>
        <v/>
      </c>
      <c r="Q745" s="418" t="str">
        <f t="shared" si="1147"/>
        <v/>
      </c>
      <c r="R745" s="418" t="str">
        <f t="shared" si="1148"/>
        <v/>
      </c>
      <c r="S745" s="418" t="str">
        <f t="shared" si="1149"/>
        <v/>
      </c>
      <c r="T745" s="418" t="str">
        <f t="shared" si="1150"/>
        <v/>
      </c>
      <c r="U745" s="418" t="str">
        <f t="shared" si="1151"/>
        <v/>
      </c>
      <c r="V745" s="418" t="str">
        <f t="shared" si="1152"/>
        <v/>
      </c>
      <c r="W745" s="418" t="str">
        <f t="shared" si="1153"/>
        <v/>
      </c>
      <c r="X745" s="418" t="str">
        <f t="shared" si="1154"/>
        <v/>
      </c>
      <c r="Y745" s="418" t="str">
        <f t="shared" si="1155"/>
        <v/>
      </c>
      <c r="Z745" s="418" t="str">
        <f t="shared" si="1156"/>
        <v/>
      </c>
      <c r="AA745" s="418" t="str">
        <f t="shared" si="1157"/>
        <v/>
      </c>
      <c r="AB745" s="418" t="str">
        <f t="shared" si="1158"/>
        <v/>
      </c>
      <c r="AC745" s="418" t="str">
        <f t="shared" si="1159"/>
        <v/>
      </c>
      <c r="AD745" s="418" t="str">
        <f t="shared" si="1160"/>
        <v/>
      </c>
      <c r="AE745" s="418" t="str">
        <f t="shared" si="1161"/>
        <v/>
      </c>
      <c r="AF745" s="418" t="str">
        <f t="shared" si="1162"/>
        <v/>
      </c>
      <c r="AG745" s="418" t="str">
        <f t="shared" si="1163"/>
        <v/>
      </c>
      <c r="AH745" s="418" t="str">
        <f t="shared" si="1164"/>
        <v/>
      </c>
      <c r="AI745" s="418" t="str">
        <f t="shared" si="1165"/>
        <v/>
      </c>
      <c r="AJ745" s="418" t="str">
        <f t="shared" si="1166"/>
        <v/>
      </c>
      <c r="AK745" s="418" t="str">
        <f t="shared" si="1167"/>
        <v/>
      </c>
      <c r="AL745" s="418">
        <f t="shared" si="1168"/>
        <v>1824</v>
      </c>
      <c r="AM745" s="418" t="str">
        <f t="shared" si="1169"/>
        <v/>
      </c>
      <c r="AN745" s="418" t="str">
        <f t="shared" si="1170"/>
        <v/>
      </c>
      <c r="AO745" s="418" t="str">
        <f t="shared" si="1171"/>
        <v/>
      </c>
      <c r="AP745" s="418" t="str">
        <f t="shared" si="1172"/>
        <v/>
      </c>
      <c r="AQ745" s="418" t="str">
        <f t="shared" si="1173"/>
        <v/>
      </c>
      <c r="AR745" s="418" t="str">
        <f t="shared" si="1174"/>
        <v/>
      </c>
      <c r="AS745" s="418" t="str">
        <f t="shared" si="1175"/>
        <v/>
      </c>
      <c r="AT745" s="418" t="str">
        <f t="shared" si="1176"/>
        <v/>
      </c>
      <c r="AU745" s="418" t="str">
        <f t="shared" si="1177"/>
        <v/>
      </c>
      <c r="AV745" s="418" t="str">
        <f t="shared" si="1178"/>
        <v/>
      </c>
      <c r="AW745" s="418" t="str">
        <f t="shared" si="1179"/>
        <v/>
      </c>
      <c r="AX745" s="418" t="str">
        <f t="shared" si="1180"/>
        <v/>
      </c>
      <c r="AY745" s="418" t="str">
        <f t="shared" si="1181"/>
        <v/>
      </c>
      <c r="AZ745" s="418" t="str">
        <f t="shared" si="1182"/>
        <v/>
      </c>
      <c r="BA745" s="418" t="str">
        <f t="shared" si="1183"/>
        <v/>
      </c>
      <c r="BB745" s="418" t="str">
        <f t="shared" si="1184"/>
        <v/>
      </c>
      <c r="BC745" s="418" t="str">
        <f t="shared" si="1185"/>
        <v/>
      </c>
      <c r="BD745" s="418" t="str">
        <f t="shared" si="1186"/>
        <v/>
      </c>
      <c r="BE745" s="418" t="str">
        <f t="shared" si="1187"/>
        <v/>
      </c>
      <c r="BF745" s="418" t="str">
        <f t="shared" si="1188"/>
        <v/>
      </c>
      <c r="BG745" s="418" t="str">
        <f t="shared" si="1189"/>
        <v/>
      </c>
      <c r="BH745" s="418" t="str">
        <f t="shared" si="1190"/>
        <v/>
      </c>
      <c r="BI745" s="418" t="str">
        <f t="shared" si="1191"/>
        <v/>
      </c>
      <c r="BJ745" s="418" t="str">
        <f t="shared" si="1192"/>
        <v/>
      </c>
      <c r="BK745" s="418" t="str">
        <f t="shared" ref="BK745:BS745" si="1198">IF(OR($E745="",BK$1=""),"",IF(TRIM(LEFT($E745,MIN(IFERROR(FIND("CDU",UPPER($E745)),999),IFERROR(FIND("BULK",UPPER($E745)),999),IFERROR(FIND("-",$E745),999),IFERROR(FIND("（",$E745),999))-1))=BK$1,$F745,""))</f>
        <v/>
      </c>
      <c r="BL745" s="418" t="str">
        <f t="shared" si="1198"/>
        <v/>
      </c>
      <c r="BM745" s="418" t="str">
        <f t="shared" si="1198"/>
        <v/>
      </c>
      <c r="BN745" s="418" t="str">
        <f t="shared" si="1198"/>
        <v/>
      </c>
      <c r="BO745" s="418" t="str">
        <f t="shared" si="1198"/>
        <v/>
      </c>
      <c r="BP745" s="418" t="str">
        <f t="shared" si="1198"/>
        <v/>
      </c>
      <c r="BQ745" s="418" t="str">
        <f t="shared" si="1198"/>
        <v/>
      </c>
      <c r="BR745" s="418" t="str">
        <f t="shared" si="1198"/>
        <v/>
      </c>
      <c r="BS745" s="418" t="str">
        <f t="shared" si="1198"/>
        <v/>
      </c>
      <c r="BT745" s="418" t="str">
        <f t="shared" si="1194"/>
        <v/>
      </c>
      <c r="BU745" s="418" t="str">
        <f t="shared" si="1195"/>
        <v/>
      </c>
      <c r="BV745" s="544">
        <v>1.3</v>
      </c>
      <c r="BW745" s="723">
        <f t="shared" si="1116"/>
        <v>2371.2</v>
      </c>
      <c r="BX745" s="724">
        <f t="shared" si="1117"/>
        <v>18376.8</v>
      </c>
      <c r="BY745" s="725" t="str">
        <f t="shared" si="1118"/>
        <v>SR</v>
      </c>
    </row>
    <row r="746" s="697" customFormat="1" customHeight="1" spans="1:77">
      <c r="A746" s="116">
        <v>46139</v>
      </c>
      <c r="B746" s="116">
        <v>46200</v>
      </c>
      <c r="C746" s="418" t="s">
        <v>791</v>
      </c>
      <c r="D746" s="418" t="s">
        <v>792</v>
      </c>
      <c r="E746" s="418" t="s">
        <v>151</v>
      </c>
      <c r="F746" s="737">
        <v>5472</v>
      </c>
      <c r="G746" s="418" t="s">
        <v>341</v>
      </c>
      <c r="H746" s="118" t="str">
        <f>IFERROR(VLOOKUP(E746,名称!A:E,4,0),"")</f>
        <v>三代</v>
      </c>
      <c r="I746" s="418" t="str">
        <f t="shared" si="1139"/>
        <v/>
      </c>
      <c r="J746" s="418" t="str">
        <f t="shared" si="1140"/>
        <v/>
      </c>
      <c r="K746" s="418" t="str">
        <f t="shared" si="1141"/>
        <v/>
      </c>
      <c r="L746" s="418" t="str">
        <f t="shared" si="1142"/>
        <v/>
      </c>
      <c r="M746" s="418" t="str">
        <f t="shared" si="1143"/>
        <v/>
      </c>
      <c r="N746" s="418" t="str">
        <f t="shared" si="1144"/>
        <v/>
      </c>
      <c r="O746" s="418" t="str">
        <f t="shared" si="1145"/>
        <v/>
      </c>
      <c r="P746" s="418" t="str">
        <f t="shared" si="1146"/>
        <v/>
      </c>
      <c r="Q746" s="418" t="str">
        <f t="shared" si="1147"/>
        <v/>
      </c>
      <c r="R746" s="418" t="str">
        <f t="shared" si="1148"/>
        <v/>
      </c>
      <c r="S746" s="418" t="str">
        <f t="shared" si="1149"/>
        <v/>
      </c>
      <c r="T746" s="418" t="str">
        <f t="shared" si="1150"/>
        <v/>
      </c>
      <c r="U746" s="418" t="str">
        <f t="shared" si="1151"/>
        <v/>
      </c>
      <c r="V746" s="418" t="str">
        <f t="shared" si="1152"/>
        <v/>
      </c>
      <c r="W746" s="418" t="str">
        <f t="shared" si="1153"/>
        <v/>
      </c>
      <c r="X746" s="418" t="str">
        <f t="shared" si="1154"/>
        <v/>
      </c>
      <c r="Y746" s="418" t="str">
        <f t="shared" si="1155"/>
        <v/>
      </c>
      <c r="Z746" s="418" t="str">
        <f t="shared" si="1156"/>
        <v/>
      </c>
      <c r="AA746" s="418" t="str">
        <f t="shared" si="1157"/>
        <v/>
      </c>
      <c r="AB746" s="418" t="str">
        <f t="shared" si="1158"/>
        <v/>
      </c>
      <c r="AC746" s="418" t="str">
        <f t="shared" si="1159"/>
        <v/>
      </c>
      <c r="AD746" s="418" t="str">
        <f t="shared" si="1160"/>
        <v/>
      </c>
      <c r="AE746" s="418" t="str">
        <f t="shared" si="1161"/>
        <v/>
      </c>
      <c r="AF746" s="418" t="str">
        <f t="shared" si="1162"/>
        <v/>
      </c>
      <c r="AG746" s="418" t="str">
        <f t="shared" si="1163"/>
        <v/>
      </c>
      <c r="AH746" s="418" t="str">
        <f t="shared" si="1164"/>
        <v/>
      </c>
      <c r="AI746" s="418" t="str">
        <f t="shared" si="1165"/>
        <v/>
      </c>
      <c r="AJ746" s="418" t="str">
        <f t="shared" si="1166"/>
        <v/>
      </c>
      <c r="AK746" s="418" t="str">
        <f t="shared" si="1167"/>
        <v/>
      </c>
      <c r="AL746" s="418">
        <f t="shared" si="1168"/>
        <v>5472</v>
      </c>
      <c r="AM746" s="418" t="str">
        <f t="shared" si="1169"/>
        <v/>
      </c>
      <c r="AN746" s="418" t="str">
        <f t="shared" si="1170"/>
        <v/>
      </c>
      <c r="AO746" s="418" t="str">
        <f t="shared" si="1171"/>
        <v/>
      </c>
      <c r="AP746" s="418" t="str">
        <f t="shared" si="1172"/>
        <v/>
      </c>
      <c r="AQ746" s="418" t="str">
        <f t="shared" si="1173"/>
        <v/>
      </c>
      <c r="AR746" s="418" t="str">
        <f t="shared" si="1174"/>
        <v/>
      </c>
      <c r="AS746" s="418" t="str">
        <f t="shared" si="1175"/>
        <v/>
      </c>
      <c r="AT746" s="418" t="str">
        <f t="shared" si="1176"/>
        <v/>
      </c>
      <c r="AU746" s="418" t="str">
        <f t="shared" si="1177"/>
        <v/>
      </c>
      <c r="AV746" s="418" t="str">
        <f t="shared" si="1178"/>
        <v/>
      </c>
      <c r="AW746" s="418" t="str">
        <f t="shared" si="1179"/>
        <v/>
      </c>
      <c r="AX746" s="418" t="str">
        <f t="shared" si="1180"/>
        <v/>
      </c>
      <c r="AY746" s="418" t="str">
        <f t="shared" si="1181"/>
        <v/>
      </c>
      <c r="AZ746" s="418" t="str">
        <f t="shared" si="1182"/>
        <v/>
      </c>
      <c r="BA746" s="418" t="str">
        <f t="shared" si="1183"/>
        <v/>
      </c>
      <c r="BB746" s="418" t="str">
        <f t="shared" si="1184"/>
        <v/>
      </c>
      <c r="BC746" s="418" t="str">
        <f t="shared" si="1185"/>
        <v/>
      </c>
      <c r="BD746" s="418" t="str">
        <f t="shared" si="1186"/>
        <v/>
      </c>
      <c r="BE746" s="418" t="str">
        <f t="shared" si="1187"/>
        <v/>
      </c>
      <c r="BF746" s="418" t="str">
        <f t="shared" si="1188"/>
        <v/>
      </c>
      <c r="BG746" s="418" t="str">
        <f t="shared" si="1189"/>
        <v/>
      </c>
      <c r="BH746" s="418" t="str">
        <f t="shared" si="1190"/>
        <v/>
      </c>
      <c r="BI746" s="418" t="str">
        <f t="shared" si="1191"/>
        <v/>
      </c>
      <c r="BJ746" s="418" t="str">
        <f t="shared" si="1192"/>
        <v/>
      </c>
      <c r="BK746" s="418" t="str">
        <f t="shared" ref="BK746:BS746" si="1199">IF(OR($E746="",BK$1=""),"",IF(TRIM(LEFT($E746,MIN(IFERROR(FIND("CDU",UPPER($E746)),999),IFERROR(FIND("BULK",UPPER($E746)),999),IFERROR(FIND("-",$E746),999),IFERROR(FIND("（",$E746),999))-1))=BK$1,$F746,""))</f>
        <v/>
      </c>
      <c r="BL746" s="418" t="str">
        <f t="shared" si="1199"/>
        <v/>
      </c>
      <c r="BM746" s="418" t="str">
        <f t="shared" si="1199"/>
        <v/>
      </c>
      <c r="BN746" s="418" t="str">
        <f t="shared" si="1199"/>
        <v/>
      </c>
      <c r="BO746" s="418" t="str">
        <f t="shared" si="1199"/>
        <v/>
      </c>
      <c r="BP746" s="418" t="str">
        <f t="shared" si="1199"/>
        <v/>
      </c>
      <c r="BQ746" s="418" t="str">
        <f t="shared" si="1199"/>
        <v/>
      </c>
      <c r="BR746" s="418" t="str">
        <f t="shared" si="1199"/>
        <v/>
      </c>
      <c r="BS746" s="418" t="str">
        <f t="shared" si="1199"/>
        <v/>
      </c>
      <c r="BT746" s="418" t="str">
        <f t="shared" si="1194"/>
        <v/>
      </c>
      <c r="BU746" s="418" t="str">
        <f t="shared" si="1195"/>
        <v/>
      </c>
      <c r="BV746" s="544">
        <v>1.3</v>
      </c>
      <c r="BW746" s="723">
        <f t="shared" si="1116"/>
        <v>7113.6</v>
      </c>
      <c r="BX746" s="724">
        <f t="shared" si="1117"/>
        <v>55130.4</v>
      </c>
      <c r="BY746" s="725" t="str">
        <f t="shared" si="1118"/>
        <v>SR</v>
      </c>
    </row>
    <row r="747" s="698" customFormat="1" customHeight="1" spans="1:77">
      <c r="A747" s="208">
        <v>46139</v>
      </c>
      <c r="B747" s="208">
        <v>46200</v>
      </c>
      <c r="C747" s="268" t="s">
        <v>791</v>
      </c>
      <c r="D747" s="268" t="s">
        <v>792</v>
      </c>
      <c r="E747" s="268" t="s">
        <v>142</v>
      </c>
      <c r="F747" s="343">
        <v>58488</v>
      </c>
      <c r="G747" s="268" t="s">
        <v>341</v>
      </c>
      <c r="H747" s="211" t="str">
        <f>IFERROR(VLOOKUP(E747,名称!A:E,4,0),"")</f>
        <v>三代</v>
      </c>
      <c r="I747" s="268" t="str">
        <f t="shared" si="1139"/>
        <v/>
      </c>
      <c r="J747" s="268" t="str">
        <f t="shared" si="1140"/>
        <v/>
      </c>
      <c r="K747" s="268" t="str">
        <f t="shared" si="1141"/>
        <v/>
      </c>
      <c r="L747" s="268" t="str">
        <f t="shared" si="1142"/>
        <v/>
      </c>
      <c r="M747" s="268" t="str">
        <f t="shared" si="1143"/>
        <v/>
      </c>
      <c r="N747" s="268" t="str">
        <f t="shared" si="1144"/>
        <v/>
      </c>
      <c r="O747" s="268" t="str">
        <f t="shared" si="1145"/>
        <v/>
      </c>
      <c r="P747" s="268" t="str">
        <f t="shared" si="1146"/>
        <v/>
      </c>
      <c r="Q747" s="268" t="str">
        <f t="shared" si="1147"/>
        <v/>
      </c>
      <c r="R747" s="268" t="str">
        <f t="shared" si="1148"/>
        <v/>
      </c>
      <c r="S747" s="268" t="str">
        <f t="shared" si="1149"/>
        <v/>
      </c>
      <c r="T747" s="268" t="str">
        <f t="shared" si="1150"/>
        <v/>
      </c>
      <c r="U747" s="268" t="str">
        <f t="shared" si="1151"/>
        <v/>
      </c>
      <c r="V747" s="268" t="str">
        <f t="shared" si="1152"/>
        <v/>
      </c>
      <c r="W747" s="268" t="str">
        <f t="shared" si="1153"/>
        <v/>
      </c>
      <c r="X747" s="268" t="str">
        <f t="shared" si="1154"/>
        <v/>
      </c>
      <c r="Y747" s="268" t="str">
        <f t="shared" si="1155"/>
        <v/>
      </c>
      <c r="Z747" s="268" t="str">
        <f t="shared" si="1156"/>
        <v/>
      </c>
      <c r="AA747" s="268" t="str">
        <f t="shared" si="1157"/>
        <v/>
      </c>
      <c r="AB747" s="268" t="str">
        <f t="shared" si="1158"/>
        <v/>
      </c>
      <c r="AC747" s="268" t="str">
        <f t="shared" si="1159"/>
        <v/>
      </c>
      <c r="AD747" s="268" t="str">
        <f t="shared" si="1160"/>
        <v/>
      </c>
      <c r="AE747" s="268" t="str">
        <f t="shared" si="1161"/>
        <v/>
      </c>
      <c r="AF747" s="268" t="str">
        <f t="shared" si="1162"/>
        <v/>
      </c>
      <c r="AG747" s="268">
        <f t="shared" si="1163"/>
        <v>58488</v>
      </c>
      <c r="AH747" s="268" t="str">
        <f t="shared" si="1164"/>
        <v/>
      </c>
      <c r="AI747" s="268" t="str">
        <f t="shared" si="1165"/>
        <v/>
      </c>
      <c r="AJ747" s="268" t="str">
        <f t="shared" si="1166"/>
        <v/>
      </c>
      <c r="AK747" s="268" t="str">
        <f t="shared" si="1167"/>
        <v/>
      </c>
      <c r="AL747" s="268" t="str">
        <f t="shared" si="1168"/>
        <v/>
      </c>
      <c r="AM747" s="268" t="str">
        <f t="shared" si="1169"/>
        <v/>
      </c>
      <c r="AN747" s="268" t="str">
        <f t="shared" si="1170"/>
        <v/>
      </c>
      <c r="AO747" s="268" t="str">
        <f t="shared" si="1171"/>
        <v/>
      </c>
      <c r="AP747" s="268" t="str">
        <f t="shared" si="1172"/>
        <v/>
      </c>
      <c r="AQ747" s="268" t="str">
        <f t="shared" si="1173"/>
        <v/>
      </c>
      <c r="AR747" s="268" t="str">
        <f t="shared" si="1174"/>
        <v/>
      </c>
      <c r="AS747" s="268" t="str">
        <f t="shared" si="1175"/>
        <v/>
      </c>
      <c r="AT747" s="268" t="str">
        <f t="shared" si="1176"/>
        <v/>
      </c>
      <c r="AU747" s="268" t="str">
        <f t="shared" si="1177"/>
        <v/>
      </c>
      <c r="AV747" s="268" t="str">
        <f t="shared" si="1178"/>
        <v/>
      </c>
      <c r="AW747" s="268" t="str">
        <f t="shared" si="1179"/>
        <v/>
      </c>
      <c r="AX747" s="268" t="str">
        <f t="shared" si="1180"/>
        <v/>
      </c>
      <c r="AY747" s="268" t="str">
        <f t="shared" si="1181"/>
        <v/>
      </c>
      <c r="AZ747" s="268" t="str">
        <f t="shared" si="1182"/>
        <v/>
      </c>
      <c r="BA747" s="268" t="str">
        <f t="shared" si="1183"/>
        <v/>
      </c>
      <c r="BB747" s="268" t="str">
        <f t="shared" si="1184"/>
        <v/>
      </c>
      <c r="BC747" s="268" t="str">
        <f t="shared" si="1185"/>
        <v/>
      </c>
      <c r="BD747" s="268" t="str">
        <f t="shared" si="1186"/>
        <v/>
      </c>
      <c r="BE747" s="268" t="str">
        <f t="shared" si="1187"/>
        <v/>
      </c>
      <c r="BF747" s="268" t="str">
        <f t="shared" si="1188"/>
        <v/>
      </c>
      <c r="BG747" s="268" t="str">
        <f t="shared" si="1189"/>
        <v/>
      </c>
      <c r="BH747" s="268" t="str">
        <f t="shared" si="1190"/>
        <v/>
      </c>
      <c r="BI747" s="268" t="str">
        <f t="shared" si="1191"/>
        <v/>
      </c>
      <c r="BJ747" s="268" t="str">
        <f t="shared" si="1192"/>
        <v/>
      </c>
      <c r="BK747" s="268" t="str">
        <f t="shared" ref="BK747:BS747" si="1200">IF(OR($E747="",BK$1=""),"",IF(TRIM(LEFT($E747,MIN(IFERROR(FIND("CDU",UPPER($E747)),999),IFERROR(FIND("BULK",UPPER($E747)),999),IFERROR(FIND("-",$E747),999),IFERROR(FIND("（",$E747),999))-1))=BK$1,$F747,""))</f>
        <v/>
      </c>
      <c r="BL747" s="268" t="str">
        <f t="shared" si="1200"/>
        <v/>
      </c>
      <c r="BM747" s="268" t="str">
        <f t="shared" si="1200"/>
        <v/>
      </c>
      <c r="BN747" s="268" t="str">
        <f t="shared" si="1200"/>
        <v/>
      </c>
      <c r="BO747" s="268" t="str">
        <f t="shared" si="1200"/>
        <v/>
      </c>
      <c r="BP747" s="268" t="str">
        <f t="shared" si="1200"/>
        <v/>
      </c>
      <c r="BQ747" s="268" t="str">
        <f t="shared" si="1200"/>
        <v/>
      </c>
      <c r="BR747" s="268" t="str">
        <f t="shared" si="1200"/>
        <v/>
      </c>
      <c r="BS747" s="268" t="str">
        <f t="shared" si="1200"/>
        <v/>
      </c>
      <c r="BT747" s="268" t="str">
        <f t="shared" si="1194"/>
        <v/>
      </c>
      <c r="BU747" s="268" t="str">
        <f t="shared" si="1195"/>
        <v/>
      </c>
      <c r="BV747" s="247">
        <v>1.65</v>
      </c>
      <c r="BW747" s="729">
        <f t="shared" si="1116"/>
        <v>96505.2</v>
      </c>
      <c r="BX747" s="730">
        <f t="shared" si="1117"/>
        <v>747915.3</v>
      </c>
      <c r="BY747" s="731" t="str">
        <f t="shared" si="1118"/>
        <v>SR</v>
      </c>
    </row>
    <row r="748" s="697" customFormat="1" customHeight="1" spans="1:77">
      <c r="A748" s="116">
        <v>46139</v>
      </c>
      <c r="B748" s="116">
        <v>46200</v>
      </c>
      <c r="C748" s="418" t="s">
        <v>791</v>
      </c>
      <c r="D748" s="418" t="s">
        <v>792</v>
      </c>
      <c r="E748" s="418" t="s">
        <v>143</v>
      </c>
      <c r="F748" s="737">
        <v>26340</v>
      </c>
      <c r="G748" s="418" t="s">
        <v>341</v>
      </c>
      <c r="H748" s="118" t="str">
        <f>IFERROR(VLOOKUP(E748,名称!A:E,4,0),"")</f>
        <v>三代</v>
      </c>
      <c r="I748" s="418" t="str">
        <f t="shared" si="1139"/>
        <v/>
      </c>
      <c r="J748" s="418" t="str">
        <f t="shared" si="1140"/>
        <v/>
      </c>
      <c r="K748" s="418" t="str">
        <f t="shared" si="1141"/>
        <v/>
      </c>
      <c r="L748" s="418" t="str">
        <f t="shared" si="1142"/>
        <v/>
      </c>
      <c r="M748" s="418" t="str">
        <f t="shared" si="1143"/>
        <v/>
      </c>
      <c r="N748" s="418" t="str">
        <f t="shared" si="1144"/>
        <v/>
      </c>
      <c r="O748" s="418" t="str">
        <f t="shared" si="1145"/>
        <v/>
      </c>
      <c r="P748" s="418" t="str">
        <f t="shared" si="1146"/>
        <v/>
      </c>
      <c r="Q748" s="418" t="str">
        <f t="shared" si="1147"/>
        <v/>
      </c>
      <c r="R748" s="418" t="str">
        <f t="shared" si="1148"/>
        <v/>
      </c>
      <c r="S748" s="418" t="str">
        <f t="shared" si="1149"/>
        <v/>
      </c>
      <c r="T748" s="418" t="str">
        <f t="shared" si="1150"/>
        <v/>
      </c>
      <c r="U748" s="418" t="str">
        <f t="shared" si="1151"/>
        <v/>
      </c>
      <c r="V748" s="418" t="str">
        <f t="shared" si="1152"/>
        <v/>
      </c>
      <c r="W748" s="418" t="str">
        <f t="shared" si="1153"/>
        <v/>
      </c>
      <c r="X748" s="418" t="str">
        <f t="shared" si="1154"/>
        <v/>
      </c>
      <c r="Y748" s="418" t="str">
        <f t="shared" si="1155"/>
        <v/>
      </c>
      <c r="Z748" s="418" t="str">
        <f t="shared" si="1156"/>
        <v/>
      </c>
      <c r="AA748" s="418" t="str">
        <f t="shared" si="1157"/>
        <v/>
      </c>
      <c r="AB748" s="418" t="str">
        <f t="shared" si="1158"/>
        <v/>
      </c>
      <c r="AC748" s="418" t="str">
        <f t="shared" si="1159"/>
        <v/>
      </c>
      <c r="AD748" s="418" t="str">
        <f t="shared" si="1160"/>
        <v/>
      </c>
      <c r="AE748" s="418" t="str">
        <f t="shared" si="1161"/>
        <v/>
      </c>
      <c r="AF748" s="418" t="str">
        <f t="shared" si="1162"/>
        <v/>
      </c>
      <c r="AG748" s="418" t="str">
        <f t="shared" si="1163"/>
        <v/>
      </c>
      <c r="AH748" s="418">
        <f t="shared" si="1164"/>
        <v>26340</v>
      </c>
      <c r="AI748" s="418" t="str">
        <f t="shared" si="1165"/>
        <v/>
      </c>
      <c r="AJ748" s="418" t="str">
        <f t="shared" si="1166"/>
        <v/>
      </c>
      <c r="AK748" s="418" t="str">
        <f t="shared" si="1167"/>
        <v/>
      </c>
      <c r="AL748" s="418" t="str">
        <f t="shared" si="1168"/>
        <v/>
      </c>
      <c r="AM748" s="418" t="str">
        <f t="shared" si="1169"/>
        <v/>
      </c>
      <c r="AN748" s="418" t="str">
        <f t="shared" si="1170"/>
        <v/>
      </c>
      <c r="AO748" s="418" t="str">
        <f t="shared" si="1171"/>
        <v/>
      </c>
      <c r="AP748" s="418" t="str">
        <f t="shared" si="1172"/>
        <v/>
      </c>
      <c r="AQ748" s="418" t="str">
        <f t="shared" si="1173"/>
        <v/>
      </c>
      <c r="AR748" s="418" t="str">
        <f t="shared" si="1174"/>
        <v/>
      </c>
      <c r="AS748" s="418" t="str">
        <f t="shared" si="1175"/>
        <v/>
      </c>
      <c r="AT748" s="418" t="str">
        <f t="shared" si="1176"/>
        <v/>
      </c>
      <c r="AU748" s="418" t="str">
        <f t="shared" si="1177"/>
        <v/>
      </c>
      <c r="AV748" s="418" t="str">
        <f t="shared" si="1178"/>
        <v/>
      </c>
      <c r="AW748" s="418" t="str">
        <f t="shared" si="1179"/>
        <v/>
      </c>
      <c r="AX748" s="418" t="str">
        <f t="shared" si="1180"/>
        <v/>
      </c>
      <c r="AY748" s="418" t="str">
        <f t="shared" si="1181"/>
        <v/>
      </c>
      <c r="AZ748" s="418" t="str">
        <f t="shared" si="1182"/>
        <v/>
      </c>
      <c r="BA748" s="418" t="str">
        <f t="shared" si="1183"/>
        <v/>
      </c>
      <c r="BB748" s="418" t="str">
        <f t="shared" si="1184"/>
        <v/>
      </c>
      <c r="BC748" s="418" t="str">
        <f t="shared" si="1185"/>
        <v/>
      </c>
      <c r="BD748" s="418" t="str">
        <f t="shared" si="1186"/>
        <v/>
      </c>
      <c r="BE748" s="418" t="str">
        <f t="shared" si="1187"/>
        <v/>
      </c>
      <c r="BF748" s="418" t="str">
        <f t="shared" si="1188"/>
        <v/>
      </c>
      <c r="BG748" s="418" t="str">
        <f t="shared" si="1189"/>
        <v/>
      </c>
      <c r="BH748" s="418" t="str">
        <f t="shared" si="1190"/>
        <v/>
      </c>
      <c r="BI748" s="418" t="str">
        <f t="shared" si="1191"/>
        <v/>
      </c>
      <c r="BJ748" s="418" t="str">
        <f t="shared" si="1192"/>
        <v/>
      </c>
      <c r="BK748" s="418" t="str">
        <f t="shared" ref="BK748:BS748" si="1201">IF(OR($E748="",BK$1=""),"",IF(TRIM(LEFT($E748,MIN(IFERROR(FIND("CDU",UPPER($E748)),999),IFERROR(FIND("BULK",UPPER($E748)),999),IFERROR(FIND("-",$E748),999),IFERROR(FIND("（",$E748),999))-1))=BK$1,$F748,""))</f>
        <v/>
      </c>
      <c r="BL748" s="418" t="str">
        <f t="shared" si="1201"/>
        <v/>
      </c>
      <c r="BM748" s="418" t="str">
        <f t="shared" si="1201"/>
        <v/>
      </c>
      <c r="BN748" s="418" t="str">
        <f t="shared" si="1201"/>
        <v/>
      </c>
      <c r="BO748" s="418" t="str">
        <f t="shared" si="1201"/>
        <v/>
      </c>
      <c r="BP748" s="418" t="str">
        <f t="shared" si="1201"/>
        <v/>
      </c>
      <c r="BQ748" s="418" t="str">
        <f t="shared" si="1201"/>
        <v/>
      </c>
      <c r="BR748" s="418" t="str">
        <f t="shared" si="1201"/>
        <v/>
      </c>
      <c r="BS748" s="418" t="str">
        <f t="shared" si="1201"/>
        <v/>
      </c>
      <c r="BT748" s="418" t="str">
        <f t="shared" si="1194"/>
        <v/>
      </c>
      <c r="BU748" s="418" t="str">
        <f t="shared" si="1195"/>
        <v/>
      </c>
      <c r="BV748" s="544">
        <v>2.57</v>
      </c>
      <c r="BW748" s="723">
        <f t="shared" si="1116"/>
        <v>67693.8</v>
      </c>
      <c r="BX748" s="724">
        <f t="shared" si="1117"/>
        <v>524626.95</v>
      </c>
      <c r="BY748" s="725" t="str">
        <f t="shared" si="1118"/>
        <v>SR</v>
      </c>
    </row>
    <row r="749" s="697" customFormat="1" customHeight="1" spans="1:77">
      <c r="A749" s="116">
        <v>46139</v>
      </c>
      <c r="B749" s="116">
        <v>46200</v>
      </c>
      <c r="C749" s="418" t="s">
        <v>791</v>
      </c>
      <c r="D749" s="418" t="s">
        <v>792</v>
      </c>
      <c r="E749" s="619" t="s">
        <v>144</v>
      </c>
      <c r="F749" s="737">
        <v>3486</v>
      </c>
      <c r="G749" s="418" t="s">
        <v>341</v>
      </c>
      <c r="H749" s="118" t="str">
        <f>IFERROR(VLOOKUP(E749,名称!A:E,4,0),"")</f>
        <v>三代</v>
      </c>
      <c r="I749" s="418" t="str">
        <f t="shared" si="1139"/>
        <v/>
      </c>
      <c r="J749" s="418" t="str">
        <f t="shared" si="1140"/>
        <v/>
      </c>
      <c r="K749" s="418" t="str">
        <f t="shared" si="1141"/>
        <v/>
      </c>
      <c r="L749" s="418" t="str">
        <f t="shared" si="1142"/>
        <v/>
      </c>
      <c r="M749" s="418" t="str">
        <f t="shared" si="1143"/>
        <v/>
      </c>
      <c r="N749" s="418" t="str">
        <f t="shared" si="1144"/>
        <v/>
      </c>
      <c r="O749" s="418" t="str">
        <f t="shared" si="1145"/>
        <v/>
      </c>
      <c r="P749" s="418" t="str">
        <f t="shared" si="1146"/>
        <v/>
      </c>
      <c r="Q749" s="418" t="str">
        <f t="shared" si="1147"/>
        <v/>
      </c>
      <c r="R749" s="418" t="str">
        <f t="shared" si="1148"/>
        <v/>
      </c>
      <c r="S749" s="418" t="str">
        <f t="shared" si="1149"/>
        <v/>
      </c>
      <c r="T749" s="418" t="str">
        <f t="shared" si="1150"/>
        <v/>
      </c>
      <c r="U749" s="418" t="str">
        <f t="shared" si="1151"/>
        <v/>
      </c>
      <c r="V749" s="418" t="str">
        <f t="shared" si="1152"/>
        <v/>
      </c>
      <c r="W749" s="418" t="str">
        <f t="shared" si="1153"/>
        <v/>
      </c>
      <c r="X749" s="418" t="str">
        <f t="shared" si="1154"/>
        <v/>
      </c>
      <c r="Y749" s="418" t="str">
        <f t="shared" si="1155"/>
        <v/>
      </c>
      <c r="Z749" s="418" t="str">
        <f t="shared" si="1156"/>
        <v/>
      </c>
      <c r="AA749" s="418" t="str">
        <f t="shared" si="1157"/>
        <v/>
      </c>
      <c r="AB749" s="418" t="str">
        <f t="shared" si="1158"/>
        <v/>
      </c>
      <c r="AC749" s="418" t="str">
        <f t="shared" si="1159"/>
        <v/>
      </c>
      <c r="AD749" s="418" t="str">
        <f t="shared" si="1160"/>
        <v/>
      </c>
      <c r="AE749" s="418" t="str">
        <f t="shared" si="1161"/>
        <v/>
      </c>
      <c r="AF749" s="418" t="str">
        <f t="shared" si="1162"/>
        <v/>
      </c>
      <c r="AG749" s="418" t="str">
        <f t="shared" si="1163"/>
        <v/>
      </c>
      <c r="AH749" s="418" t="str">
        <f t="shared" si="1164"/>
        <v/>
      </c>
      <c r="AI749" s="418">
        <f t="shared" si="1165"/>
        <v>3486</v>
      </c>
      <c r="AJ749" s="418" t="str">
        <f t="shared" si="1166"/>
        <v/>
      </c>
      <c r="AK749" s="418" t="str">
        <f t="shared" si="1167"/>
        <v/>
      </c>
      <c r="AL749" s="418" t="str">
        <f t="shared" si="1168"/>
        <v/>
      </c>
      <c r="AM749" s="418" t="str">
        <f t="shared" si="1169"/>
        <v/>
      </c>
      <c r="AN749" s="418" t="str">
        <f t="shared" si="1170"/>
        <v/>
      </c>
      <c r="AO749" s="418" t="str">
        <f t="shared" si="1171"/>
        <v/>
      </c>
      <c r="AP749" s="418" t="str">
        <f t="shared" si="1172"/>
        <v/>
      </c>
      <c r="AQ749" s="418" t="str">
        <f t="shared" si="1173"/>
        <v/>
      </c>
      <c r="AR749" s="418" t="str">
        <f t="shared" si="1174"/>
        <v/>
      </c>
      <c r="AS749" s="418" t="str">
        <f t="shared" si="1175"/>
        <v/>
      </c>
      <c r="AT749" s="418" t="str">
        <f t="shared" si="1176"/>
        <v/>
      </c>
      <c r="AU749" s="418" t="str">
        <f t="shared" si="1177"/>
        <v/>
      </c>
      <c r="AV749" s="418" t="str">
        <f t="shared" si="1178"/>
        <v/>
      </c>
      <c r="AW749" s="418" t="str">
        <f t="shared" si="1179"/>
        <v/>
      </c>
      <c r="AX749" s="418" t="str">
        <f t="shared" si="1180"/>
        <v/>
      </c>
      <c r="AY749" s="418" t="str">
        <f t="shared" si="1181"/>
        <v/>
      </c>
      <c r="AZ749" s="418" t="str">
        <f t="shared" si="1182"/>
        <v/>
      </c>
      <c r="BA749" s="418" t="str">
        <f t="shared" si="1183"/>
        <v/>
      </c>
      <c r="BB749" s="418" t="str">
        <f t="shared" si="1184"/>
        <v/>
      </c>
      <c r="BC749" s="418" t="str">
        <f t="shared" si="1185"/>
        <v/>
      </c>
      <c r="BD749" s="418" t="str">
        <f t="shared" si="1186"/>
        <v/>
      </c>
      <c r="BE749" s="418" t="str">
        <f t="shared" si="1187"/>
        <v/>
      </c>
      <c r="BF749" s="418" t="str">
        <f t="shared" si="1188"/>
        <v/>
      </c>
      <c r="BG749" s="418" t="str">
        <f t="shared" si="1189"/>
        <v/>
      </c>
      <c r="BH749" s="418" t="str">
        <f t="shared" si="1190"/>
        <v/>
      </c>
      <c r="BI749" s="418" t="str">
        <f t="shared" si="1191"/>
        <v/>
      </c>
      <c r="BJ749" s="418" t="str">
        <f t="shared" si="1192"/>
        <v/>
      </c>
      <c r="BK749" s="418" t="str">
        <f t="shared" ref="BK749:BS749" si="1202">IF(OR($E749="",BK$1=""),"",IF(TRIM(LEFT($E749,MIN(IFERROR(FIND("CDU",UPPER($E749)),999),IFERROR(FIND("BULK",UPPER($E749)),999),IFERROR(FIND("-",$E749),999),IFERROR(FIND("（",$E749),999))-1))=BK$1,$F749,""))</f>
        <v/>
      </c>
      <c r="BL749" s="418" t="str">
        <f t="shared" si="1202"/>
        <v/>
      </c>
      <c r="BM749" s="418" t="str">
        <f t="shared" si="1202"/>
        <v/>
      </c>
      <c r="BN749" s="418" t="str">
        <f t="shared" si="1202"/>
        <v/>
      </c>
      <c r="BO749" s="418" t="str">
        <f t="shared" si="1202"/>
        <v/>
      </c>
      <c r="BP749" s="418" t="str">
        <f t="shared" si="1202"/>
        <v/>
      </c>
      <c r="BQ749" s="418" t="str">
        <f t="shared" si="1202"/>
        <v/>
      </c>
      <c r="BR749" s="418" t="str">
        <f t="shared" si="1202"/>
        <v/>
      </c>
      <c r="BS749" s="418" t="str">
        <f t="shared" si="1202"/>
        <v/>
      </c>
      <c r="BT749" s="418" t="str">
        <f t="shared" si="1194"/>
        <v/>
      </c>
      <c r="BU749" s="418" t="str">
        <f t="shared" si="1195"/>
        <v/>
      </c>
      <c r="BV749" s="544">
        <v>8.98</v>
      </c>
      <c r="BW749" s="723">
        <f t="shared" si="1116"/>
        <v>31304.28</v>
      </c>
      <c r="BX749" s="724">
        <f t="shared" si="1117"/>
        <v>242608.17</v>
      </c>
      <c r="BY749" s="725" t="str">
        <f t="shared" si="1118"/>
        <v>SR</v>
      </c>
    </row>
    <row r="750" s="697" customFormat="1" customHeight="1" spans="1:77">
      <c r="A750" s="116">
        <v>46139</v>
      </c>
      <c r="B750" s="116">
        <v>46200</v>
      </c>
      <c r="C750" s="418" t="s">
        <v>791</v>
      </c>
      <c r="D750" s="418" t="s">
        <v>792</v>
      </c>
      <c r="E750" s="619" t="s">
        <v>145</v>
      </c>
      <c r="F750" s="737">
        <v>3108</v>
      </c>
      <c r="G750" s="418" t="s">
        <v>341</v>
      </c>
      <c r="H750" s="118" t="str">
        <f>IFERROR(VLOOKUP(E750,名称!A:E,4,0),"")</f>
        <v>三代</v>
      </c>
      <c r="I750" s="418" t="str">
        <f t="shared" si="1139"/>
        <v/>
      </c>
      <c r="J750" s="418" t="str">
        <f t="shared" si="1140"/>
        <v/>
      </c>
      <c r="K750" s="418" t="str">
        <f t="shared" si="1141"/>
        <v/>
      </c>
      <c r="L750" s="418" t="str">
        <f t="shared" si="1142"/>
        <v/>
      </c>
      <c r="M750" s="418" t="str">
        <f t="shared" si="1143"/>
        <v/>
      </c>
      <c r="N750" s="418" t="str">
        <f t="shared" si="1144"/>
        <v/>
      </c>
      <c r="O750" s="418" t="str">
        <f t="shared" si="1145"/>
        <v/>
      </c>
      <c r="P750" s="418" t="str">
        <f t="shared" si="1146"/>
        <v/>
      </c>
      <c r="Q750" s="418" t="str">
        <f t="shared" si="1147"/>
        <v/>
      </c>
      <c r="R750" s="418" t="str">
        <f t="shared" si="1148"/>
        <v/>
      </c>
      <c r="S750" s="418" t="str">
        <f t="shared" si="1149"/>
        <v/>
      </c>
      <c r="T750" s="418" t="str">
        <f t="shared" si="1150"/>
        <v/>
      </c>
      <c r="U750" s="418" t="str">
        <f t="shared" si="1151"/>
        <v/>
      </c>
      <c r="V750" s="418" t="str">
        <f t="shared" si="1152"/>
        <v/>
      </c>
      <c r="W750" s="418" t="str">
        <f t="shared" si="1153"/>
        <v/>
      </c>
      <c r="X750" s="418" t="str">
        <f t="shared" si="1154"/>
        <v/>
      </c>
      <c r="Y750" s="418" t="str">
        <f t="shared" si="1155"/>
        <v/>
      </c>
      <c r="Z750" s="418" t="str">
        <f t="shared" si="1156"/>
        <v/>
      </c>
      <c r="AA750" s="418" t="str">
        <f t="shared" si="1157"/>
        <v/>
      </c>
      <c r="AB750" s="418" t="str">
        <f t="shared" si="1158"/>
        <v/>
      </c>
      <c r="AC750" s="418" t="str">
        <f t="shared" si="1159"/>
        <v/>
      </c>
      <c r="AD750" s="418" t="str">
        <f t="shared" si="1160"/>
        <v/>
      </c>
      <c r="AE750" s="418" t="str">
        <f t="shared" si="1161"/>
        <v/>
      </c>
      <c r="AF750" s="418" t="str">
        <f t="shared" si="1162"/>
        <v/>
      </c>
      <c r="AG750" s="418" t="str">
        <f t="shared" si="1163"/>
        <v/>
      </c>
      <c r="AH750" s="418" t="str">
        <f t="shared" si="1164"/>
        <v/>
      </c>
      <c r="AI750" s="418">
        <f t="shared" si="1165"/>
        <v>3108</v>
      </c>
      <c r="AJ750" s="418" t="str">
        <f t="shared" si="1166"/>
        <v/>
      </c>
      <c r="AK750" s="418" t="str">
        <f t="shared" si="1167"/>
        <v/>
      </c>
      <c r="AL750" s="418" t="str">
        <f t="shared" si="1168"/>
        <v/>
      </c>
      <c r="AM750" s="418" t="str">
        <f t="shared" si="1169"/>
        <v/>
      </c>
      <c r="AN750" s="418" t="str">
        <f t="shared" si="1170"/>
        <v/>
      </c>
      <c r="AO750" s="418" t="str">
        <f t="shared" si="1171"/>
        <v/>
      </c>
      <c r="AP750" s="418" t="str">
        <f t="shared" si="1172"/>
        <v/>
      </c>
      <c r="AQ750" s="418" t="str">
        <f t="shared" si="1173"/>
        <v/>
      </c>
      <c r="AR750" s="418" t="str">
        <f t="shared" si="1174"/>
        <v/>
      </c>
      <c r="AS750" s="418" t="str">
        <f t="shared" si="1175"/>
        <v/>
      </c>
      <c r="AT750" s="418" t="str">
        <f t="shared" si="1176"/>
        <v/>
      </c>
      <c r="AU750" s="418" t="str">
        <f t="shared" si="1177"/>
        <v/>
      </c>
      <c r="AV750" s="418" t="str">
        <f t="shared" si="1178"/>
        <v/>
      </c>
      <c r="AW750" s="418" t="str">
        <f t="shared" si="1179"/>
        <v/>
      </c>
      <c r="AX750" s="418" t="str">
        <f t="shared" si="1180"/>
        <v/>
      </c>
      <c r="AY750" s="418" t="str">
        <f t="shared" si="1181"/>
        <v/>
      </c>
      <c r="AZ750" s="418" t="str">
        <f t="shared" si="1182"/>
        <v/>
      </c>
      <c r="BA750" s="418" t="str">
        <f t="shared" si="1183"/>
        <v/>
      </c>
      <c r="BB750" s="418" t="str">
        <f t="shared" si="1184"/>
        <v/>
      </c>
      <c r="BC750" s="418" t="str">
        <f t="shared" si="1185"/>
        <v/>
      </c>
      <c r="BD750" s="418" t="str">
        <f t="shared" si="1186"/>
        <v/>
      </c>
      <c r="BE750" s="418" t="str">
        <f t="shared" si="1187"/>
        <v/>
      </c>
      <c r="BF750" s="418" t="str">
        <f t="shared" si="1188"/>
        <v/>
      </c>
      <c r="BG750" s="418" t="str">
        <f t="shared" si="1189"/>
        <v/>
      </c>
      <c r="BH750" s="418" t="str">
        <f t="shared" si="1190"/>
        <v/>
      </c>
      <c r="BI750" s="418" t="str">
        <f t="shared" si="1191"/>
        <v/>
      </c>
      <c r="BJ750" s="418" t="str">
        <f t="shared" si="1192"/>
        <v/>
      </c>
      <c r="BK750" s="418" t="str">
        <f t="shared" ref="BK750:BS750" si="1203">IF(OR($E750="",BK$1=""),"",IF(TRIM(LEFT($E750,MIN(IFERROR(FIND("CDU",UPPER($E750)),999),IFERROR(FIND("BULK",UPPER($E750)),999),IFERROR(FIND("-",$E750),999),IFERROR(FIND("（",$E750),999))-1))=BK$1,$F750,""))</f>
        <v/>
      </c>
      <c r="BL750" s="418" t="str">
        <f t="shared" si="1203"/>
        <v/>
      </c>
      <c r="BM750" s="418" t="str">
        <f t="shared" si="1203"/>
        <v/>
      </c>
      <c r="BN750" s="418" t="str">
        <f t="shared" si="1203"/>
        <v/>
      </c>
      <c r="BO750" s="418" t="str">
        <f t="shared" si="1203"/>
        <v/>
      </c>
      <c r="BP750" s="418" t="str">
        <f t="shared" si="1203"/>
        <v/>
      </c>
      <c r="BQ750" s="418" t="str">
        <f t="shared" si="1203"/>
        <v/>
      </c>
      <c r="BR750" s="418" t="str">
        <f t="shared" si="1203"/>
        <v/>
      </c>
      <c r="BS750" s="418" t="str">
        <f t="shared" si="1203"/>
        <v/>
      </c>
      <c r="BT750" s="418" t="str">
        <f t="shared" si="1194"/>
        <v/>
      </c>
      <c r="BU750" s="418" t="str">
        <f t="shared" si="1195"/>
        <v/>
      </c>
      <c r="BV750" s="544">
        <v>8.98</v>
      </c>
      <c r="BW750" s="723">
        <f t="shared" si="1116"/>
        <v>27909.84</v>
      </c>
      <c r="BX750" s="724">
        <f t="shared" si="1117"/>
        <v>216301.26</v>
      </c>
      <c r="BY750" s="725" t="str">
        <f t="shared" si="1118"/>
        <v>SR</v>
      </c>
    </row>
    <row r="751" s="697" customFormat="1" customHeight="1" spans="1:77">
      <c r="A751" s="116">
        <v>46139</v>
      </c>
      <c r="B751" s="116">
        <v>46200</v>
      </c>
      <c r="C751" s="418" t="s">
        <v>791</v>
      </c>
      <c r="D751" s="418" t="s">
        <v>792</v>
      </c>
      <c r="E751" s="123" t="s">
        <v>201</v>
      </c>
      <c r="F751" s="593">
        <f>3264-24</f>
        <v>3240</v>
      </c>
      <c r="G751" s="418" t="s">
        <v>341</v>
      </c>
      <c r="H751" s="118" t="str">
        <f>IFERROR(VLOOKUP(E751,名称!A:E,4,0),"")</f>
        <v>三代</v>
      </c>
      <c r="I751" s="418" t="str">
        <f t="shared" si="1139"/>
        <v/>
      </c>
      <c r="J751" s="418" t="str">
        <f t="shared" si="1140"/>
        <v/>
      </c>
      <c r="K751" s="418" t="str">
        <f t="shared" si="1141"/>
        <v/>
      </c>
      <c r="L751" s="418" t="str">
        <f t="shared" si="1142"/>
        <v/>
      </c>
      <c r="M751" s="418" t="str">
        <f t="shared" si="1143"/>
        <v/>
      </c>
      <c r="N751" s="418" t="str">
        <f t="shared" si="1144"/>
        <v/>
      </c>
      <c r="O751" s="418" t="str">
        <f t="shared" si="1145"/>
        <v/>
      </c>
      <c r="P751" s="418" t="str">
        <f t="shared" si="1146"/>
        <v/>
      </c>
      <c r="Q751" s="418" t="str">
        <f t="shared" si="1147"/>
        <v/>
      </c>
      <c r="R751" s="418" t="str">
        <f t="shared" si="1148"/>
        <v/>
      </c>
      <c r="S751" s="418" t="str">
        <f t="shared" si="1149"/>
        <v/>
      </c>
      <c r="T751" s="418" t="str">
        <f t="shared" si="1150"/>
        <v/>
      </c>
      <c r="U751" s="418" t="str">
        <f t="shared" si="1151"/>
        <v/>
      </c>
      <c r="V751" s="418" t="str">
        <f t="shared" si="1152"/>
        <v/>
      </c>
      <c r="W751" s="418" t="str">
        <f t="shared" si="1153"/>
        <v/>
      </c>
      <c r="X751" s="418" t="str">
        <f t="shared" si="1154"/>
        <v/>
      </c>
      <c r="Y751" s="418" t="str">
        <f t="shared" si="1155"/>
        <v/>
      </c>
      <c r="Z751" s="418" t="str">
        <f t="shared" si="1156"/>
        <v/>
      </c>
      <c r="AA751" s="418" t="str">
        <f t="shared" si="1157"/>
        <v/>
      </c>
      <c r="AB751" s="418" t="str">
        <f t="shared" si="1158"/>
        <v/>
      </c>
      <c r="AC751" s="418" t="str">
        <f t="shared" si="1159"/>
        <v/>
      </c>
      <c r="AD751" s="418" t="str">
        <f t="shared" si="1160"/>
        <v/>
      </c>
      <c r="AE751" s="418" t="str">
        <f t="shared" si="1161"/>
        <v/>
      </c>
      <c r="AF751" s="418" t="str">
        <f t="shared" si="1162"/>
        <v/>
      </c>
      <c r="AG751" s="418" t="str">
        <f t="shared" si="1163"/>
        <v/>
      </c>
      <c r="AH751" s="418" t="str">
        <f t="shared" si="1164"/>
        <v/>
      </c>
      <c r="AI751" s="418" t="str">
        <f t="shared" si="1165"/>
        <v/>
      </c>
      <c r="AJ751" s="418" t="str">
        <f t="shared" si="1166"/>
        <v/>
      </c>
      <c r="AK751" s="418" t="str">
        <f t="shared" si="1167"/>
        <v/>
      </c>
      <c r="AL751" s="418" t="str">
        <f t="shared" si="1168"/>
        <v/>
      </c>
      <c r="AM751" s="418" t="str">
        <f t="shared" si="1169"/>
        <v/>
      </c>
      <c r="AN751" s="418" t="str">
        <f t="shared" si="1170"/>
        <v/>
      </c>
      <c r="AO751" s="418" t="str">
        <f t="shared" si="1171"/>
        <v/>
      </c>
      <c r="AP751" s="418" t="str">
        <f t="shared" si="1172"/>
        <v/>
      </c>
      <c r="AQ751" s="418" t="str">
        <f t="shared" si="1173"/>
        <v/>
      </c>
      <c r="AR751" s="418" t="str">
        <f t="shared" si="1174"/>
        <v/>
      </c>
      <c r="AS751" s="418" t="str">
        <f t="shared" si="1175"/>
        <v/>
      </c>
      <c r="AT751" s="418" t="str">
        <f t="shared" si="1176"/>
        <v/>
      </c>
      <c r="AU751" s="418" t="str">
        <f t="shared" si="1177"/>
        <v/>
      </c>
      <c r="AV751" s="418" t="str">
        <f t="shared" si="1178"/>
        <v/>
      </c>
      <c r="AW751" s="418" t="str">
        <f t="shared" si="1179"/>
        <v/>
      </c>
      <c r="AX751" s="418" t="str">
        <f t="shared" si="1180"/>
        <v/>
      </c>
      <c r="AY751" s="418" t="str">
        <f t="shared" si="1181"/>
        <v/>
      </c>
      <c r="AZ751" s="418" t="str">
        <f t="shared" si="1182"/>
        <v/>
      </c>
      <c r="BA751" s="418" t="str">
        <f t="shared" si="1183"/>
        <v/>
      </c>
      <c r="BB751" s="418" t="str">
        <f t="shared" si="1184"/>
        <v/>
      </c>
      <c r="BC751" s="418" t="str">
        <f t="shared" si="1185"/>
        <v/>
      </c>
      <c r="BD751" s="418" t="str">
        <f t="shared" si="1186"/>
        <v/>
      </c>
      <c r="BE751" s="418" t="str">
        <f t="shared" si="1187"/>
        <v/>
      </c>
      <c r="BF751" s="418" t="str">
        <f t="shared" si="1188"/>
        <v/>
      </c>
      <c r="BG751" s="418" t="str">
        <f t="shared" si="1189"/>
        <v/>
      </c>
      <c r="BH751" s="418" t="str">
        <f t="shared" si="1190"/>
        <v/>
      </c>
      <c r="BI751" s="418" t="str">
        <f t="shared" si="1191"/>
        <v/>
      </c>
      <c r="BJ751" s="418" t="str">
        <f t="shared" si="1192"/>
        <v/>
      </c>
      <c r="BK751" s="418">
        <f t="shared" ref="BK751:BS751" si="1204">IF(OR($E751="",BK$1=""),"",IF(TRIM(LEFT($E751,MIN(IFERROR(FIND("CDU",UPPER($E751)),999),IFERROR(FIND("BULK",UPPER($E751)),999),IFERROR(FIND("-",$E751),999),IFERROR(FIND("（",$E751),999))-1))=BK$1,$F751,""))</f>
        <v>3240</v>
      </c>
      <c r="BL751" s="418" t="str">
        <f t="shared" si="1204"/>
        <v/>
      </c>
      <c r="BM751" s="418" t="str">
        <f t="shared" si="1204"/>
        <v/>
      </c>
      <c r="BN751" s="418" t="str">
        <f t="shared" si="1204"/>
        <v/>
      </c>
      <c r="BO751" s="418" t="str">
        <f t="shared" si="1204"/>
        <v/>
      </c>
      <c r="BP751" s="418" t="str">
        <f t="shared" si="1204"/>
        <v/>
      </c>
      <c r="BQ751" s="418" t="str">
        <f t="shared" si="1204"/>
        <v/>
      </c>
      <c r="BR751" s="418" t="str">
        <f t="shared" si="1204"/>
        <v/>
      </c>
      <c r="BS751" s="418" t="str">
        <f t="shared" si="1204"/>
        <v/>
      </c>
      <c r="BT751" s="418" t="str">
        <f t="shared" si="1194"/>
        <v/>
      </c>
      <c r="BU751" s="418" t="str">
        <f t="shared" si="1195"/>
        <v/>
      </c>
      <c r="BV751" s="544">
        <v>1.58</v>
      </c>
      <c r="BW751" s="723">
        <f t="shared" si="1116"/>
        <v>5119.2</v>
      </c>
      <c r="BX751" s="724">
        <f t="shared" si="1117"/>
        <v>39673.8</v>
      </c>
      <c r="BY751" s="725" t="str">
        <f t="shared" si="1118"/>
        <v>SR</v>
      </c>
    </row>
    <row r="752" s="697" customFormat="1" customHeight="1" spans="1:77">
      <c r="A752" s="116">
        <v>46139</v>
      </c>
      <c r="B752" s="116">
        <v>46200</v>
      </c>
      <c r="C752" s="418" t="s">
        <v>791</v>
      </c>
      <c r="D752" s="418" t="s">
        <v>792</v>
      </c>
      <c r="E752" s="418" t="s">
        <v>162</v>
      </c>
      <c r="F752" s="737">
        <v>6816</v>
      </c>
      <c r="G752" s="418" t="s">
        <v>341</v>
      </c>
      <c r="H752" s="118" t="str">
        <f>IFERROR(VLOOKUP(E752,名称!A:E,4,0),"")</f>
        <v>三代</v>
      </c>
      <c r="I752" s="418" t="str">
        <f t="shared" si="1139"/>
        <v/>
      </c>
      <c r="J752" s="418" t="str">
        <f t="shared" si="1140"/>
        <v/>
      </c>
      <c r="K752" s="418" t="str">
        <f t="shared" si="1141"/>
        <v/>
      </c>
      <c r="L752" s="418" t="str">
        <f t="shared" si="1142"/>
        <v/>
      </c>
      <c r="M752" s="418" t="str">
        <f t="shared" si="1143"/>
        <v/>
      </c>
      <c r="N752" s="418" t="str">
        <f t="shared" si="1144"/>
        <v/>
      </c>
      <c r="O752" s="418" t="str">
        <f t="shared" si="1145"/>
        <v/>
      </c>
      <c r="P752" s="418" t="str">
        <f t="shared" si="1146"/>
        <v/>
      </c>
      <c r="Q752" s="418" t="str">
        <f t="shared" si="1147"/>
        <v/>
      </c>
      <c r="R752" s="418" t="str">
        <f t="shared" si="1148"/>
        <v/>
      </c>
      <c r="S752" s="418" t="str">
        <f t="shared" si="1149"/>
        <v/>
      </c>
      <c r="T752" s="418" t="str">
        <f t="shared" si="1150"/>
        <v/>
      </c>
      <c r="U752" s="418" t="str">
        <f t="shared" si="1151"/>
        <v/>
      </c>
      <c r="V752" s="418" t="str">
        <f t="shared" si="1152"/>
        <v/>
      </c>
      <c r="W752" s="418" t="str">
        <f t="shared" si="1153"/>
        <v/>
      </c>
      <c r="X752" s="418" t="str">
        <f t="shared" si="1154"/>
        <v/>
      </c>
      <c r="Y752" s="418" t="str">
        <f t="shared" si="1155"/>
        <v/>
      </c>
      <c r="Z752" s="418" t="str">
        <f t="shared" si="1156"/>
        <v/>
      </c>
      <c r="AA752" s="418" t="str">
        <f t="shared" si="1157"/>
        <v/>
      </c>
      <c r="AB752" s="418" t="str">
        <f t="shared" si="1158"/>
        <v/>
      </c>
      <c r="AC752" s="418" t="str">
        <f t="shared" si="1159"/>
        <v/>
      </c>
      <c r="AD752" s="418" t="str">
        <f t="shared" si="1160"/>
        <v/>
      </c>
      <c r="AE752" s="418" t="str">
        <f t="shared" si="1161"/>
        <v/>
      </c>
      <c r="AF752" s="418" t="str">
        <f t="shared" si="1162"/>
        <v/>
      </c>
      <c r="AG752" s="418" t="str">
        <f t="shared" si="1163"/>
        <v/>
      </c>
      <c r="AH752" s="418" t="str">
        <f t="shared" si="1164"/>
        <v/>
      </c>
      <c r="AI752" s="418" t="str">
        <f t="shared" si="1165"/>
        <v/>
      </c>
      <c r="AJ752" s="418" t="str">
        <f t="shared" si="1166"/>
        <v/>
      </c>
      <c r="AK752" s="418" t="str">
        <f t="shared" si="1167"/>
        <v/>
      </c>
      <c r="AL752" s="418" t="str">
        <f t="shared" si="1168"/>
        <v/>
      </c>
      <c r="AM752" s="418" t="str">
        <f t="shared" si="1169"/>
        <v/>
      </c>
      <c r="AN752" s="418" t="str">
        <f t="shared" si="1170"/>
        <v/>
      </c>
      <c r="AO752" s="418" t="str">
        <f t="shared" si="1171"/>
        <v/>
      </c>
      <c r="AP752" s="418" t="str">
        <f t="shared" si="1172"/>
        <v/>
      </c>
      <c r="AQ752" s="418" t="str">
        <f t="shared" si="1173"/>
        <v/>
      </c>
      <c r="AR752" s="418">
        <f t="shared" si="1174"/>
        <v>6816</v>
      </c>
      <c r="AS752" s="418" t="str">
        <f t="shared" si="1175"/>
        <v/>
      </c>
      <c r="AT752" s="418" t="str">
        <f t="shared" si="1176"/>
        <v/>
      </c>
      <c r="AU752" s="418" t="str">
        <f t="shared" si="1177"/>
        <v/>
      </c>
      <c r="AV752" s="418" t="str">
        <f t="shared" si="1178"/>
        <v/>
      </c>
      <c r="AW752" s="418" t="str">
        <f t="shared" si="1179"/>
        <v/>
      </c>
      <c r="AX752" s="418" t="str">
        <f t="shared" si="1180"/>
        <v/>
      </c>
      <c r="AY752" s="418" t="str">
        <f t="shared" si="1181"/>
        <v/>
      </c>
      <c r="AZ752" s="418" t="str">
        <f t="shared" si="1182"/>
        <v/>
      </c>
      <c r="BA752" s="418" t="str">
        <f t="shared" si="1183"/>
        <v/>
      </c>
      <c r="BB752" s="418" t="str">
        <f t="shared" si="1184"/>
        <v/>
      </c>
      <c r="BC752" s="418" t="str">
        <f t="shared" si="1185"/>
        <v/>
      </c>
      <c r="BD752" s="418" t="str">
        <f t="shared" si="1186"/>
        <v/>
      </c>
      <c r="BE752" s="418" t="str">
        <f t="shared" si="1187"/>
        <v/>
      </c>
      <c r="BF752" s="418" t="str">
        <f t="shared" si="1188"/>
        <v/>
      </c>
      <c r="BG752" s="418" t="str">
        <f t="shared" si="1189"/>
        <v/>
      </c>
      <c r="BH752" s="418" t="str">
        <f t="shared" si="1190"/>
        <v/>
      </c>
      <c r="BI752" s="418" t="str">
        <f t="shared" si="1191"/>
        <v/>
      </c>
      <c r="BJ752" s="418" t="str">
        <f t="shared" si="1192"/>
        <v/>
      </c>
      <c r="BK752" s="418" t="str">
        <f t="shared" ref="BK752:BS752" si="1205">IF(OR($E752="",BK$1=""),"",IF(TRIM(LEFT($E752,MIN(IFERROR(FIND("CDU",UPPER($E752)),999),IFERROR(FIND("BULK",UPPER($E752)),999),IFERROR(FIND("-",$E752),999),IFERROR(FIND("（",$E752),999))-1))=BK$1,$F752,""))</f>
        <v/>
      </c>
      <c r="BL752" s="418" t="str">
        <f t="shared" si="1205"/>
        <v/>
      </c>
      <c r="BM752" s="418" t="str">
        <f t="shared" si="1205"/>
        <v/>
      </c>
      <c r="BN752" s="418" t="str">
        <f t="shared" si="1205"/>
        <v/>
      </c>
      <c r="BO752" s="418" t="str">
        <f t="shared" si="1205"/>
        <v/>
      </c>
      <c r="BP752" s="418" t="str">
        <f t="shared" si="1205"/>
        <v/>
      </c>
      <c r="BQ752" s="418" t="str">
        <f t="shared" si="1205"/>
        <v/>
      </c>
      <c r="BR752" s="418" t="str">
        <f t="shared" si="1205"/>
        <v/>
      </c>
      <c r="BS752" s="418" t="str">
        <f t="shared" si="1205"/>
        <v/>
      </c>
      <c r="BT752" s="418" t="str">
        <f t="shared" si="1194"/>
        <v/>
      </c>
      <c r="BU752" s="418" t="str">
        <f t="shared" si="1195"/>
        <v/>
      </c>
      <c r="BV752" s="544">
        <v>1.27</v>
      </c>
      <c r="BW752" s="723">
        <f t="shared" si="1116"/>
        <v>8656.32</v>
      </c>
      <c r="BX752" s="724">
        <f t="shared" si="1117"/>
        <v>67086.48</v>
      </c>
      <c r="BY752" s="725" t="str">
        <f t="shared" si="1118"/>
        <v>SR</v>
      </c>
    </row>
    <row r="753" s="697" customFormat="1" customHeight="1" spans="1:77">
      <c r="A753" s="116">
        <v>46139</v>
      </c>
      <c r="B753" s="116">
        <v>46200</v>
      </c>
      <c r="C753" s="418" t="s">
        <v>791</v>
      </c>
      <c r="D753" s="418" t="s">
        <v>792</v>
      </c>
      <c r="E753" s="418" t="s">
        <v>163</v>
      </c>
      <c r="F753" s="737">
        <v>6816</v>
      </c>
      <c r="G753" s="418" t="s">
        <v>341</v>
      </c>
      <c r="H753" s="118" t="str">
        <f>IFERROR(VLOOKUP(E753,名称!A:E,4,0),"")</f>
        <v>三代</v>
      </c>
      <c r="I753" s="418" t="str">
        <f t="shared" si="1139"/>
        <v/>
      </c>
      <c r="J753" s="418" t="str">
        <f t="shared" si="1140"/>
        <v/>
      </c>
      <c r="K753" s="418" t="str">
        <f t="shared" si="1141"/>
        <v/>
      </c>
      <c r="L753" s="418" t="str">
        <f t="shared" si="1142"/>
        <v/>
      </c>
      <c r="M753" s="418" t="str">
        <f t="shared" si="1143"/>
        <v/>
      </c>
      <c r="N753" s="418" t="str">
        <f t="shared" si="1144"/>
        <v/>
      </c>
      <c r="O753" s="418" t="str">
        <f t="shared" si="1145"/>
        <v/>
      </c>
      <c r="P753" s="418" t="str">
        <f t="shared" si="1146"/>
        <v/>
      </c>
      <c r="Q753" s="418" t="str">
        <f t="shared" si="1147"/>
        <v/>
      </c>
      <c r="R753" s="418" t="str">
        <f t="shared" si="1148"/>
        <v/>
      </c>
      <c r="S753" s="418" t="str">
        <f t="shared" si="1149"/>
        <v/>
      </c>
      <c r="T753" s="418" t="str">
        <f t="shared" si="1150"/>
        <v/>
      </c>
      <c r="U753" s="418" t="str">
        <f t="shared" si="1151"/>
        <v/>
      </c>
      <c r="V753" s="418" t="str">
        <f t="shared" si="1152"/>
        <v/>
      </c>
      <c r="W753" s="418" t="str">
        <f t="shared" si="1153"/>
        <v/>
      </c>
      <c r="X753" s="418" t="str">
        <f t="shared" si="1154"/>
        <v/>
      </c>
      <c r="Y753" s="418" t="str">
        <f t="shared" si="1155"/>
        <v/>
      </c>
      <c r="Z753" s="418" t="str">
        <f t="shared" si="1156"/>
        <v/>
      </c>
      <c r="AA753" s="418" t="str">
        <f t="shared" si="1157"/>
        <v/>
      </c>
      <c r="AB753" s="418" t="str">
        <f t="shared" si="1158"/>
        <v/>
      </c>
      <c r="AC753" s="418" t="str">
        <f t="shared" si="1159"/>
        <v/>
      </c>
      <c r="AD753" s="418" t="str">
        <f t="shared" si="1160"/>
        <v/>
      </c>
      <c r="AE753" s="418" t="str">
        <f t="shared" si="1161"/>
        <v/>
      </c>
      <c r="AF753" s="418" t="str">
        <f t="shared" si="1162"/>
        <v/>
      </c>
      <c r="AG753" s="418" t="str">
        <f t="shared" si="1163"/>
        <v/>
      </c>
      <c r="AH753" s="418" t="str">
        <f t="shared" si="1164"/>
        <v/>
      </c>
      <c r="AI753" s="418" t="str">
        <f t="shared" si="1165"/>
        <v/>
      </c>
      <c r="AJ753" s="418" t="str">
        <f t="shared" si="1166"/>
        <v/>
      </c>
      <c r="AK753" s="418" t="str">
        <f t="shared" si="1167"/>
        <v/>
      </c>
      <c r="AL753" s="418" t="str">
        <f t="shared" si="1168"/>
        <v/>
      </c>
      <c r="AM753" s="418" t="str">
        <f t="shared" si="1169"/>
        <v/>
      </c>
      <c r="AN753" s="418" t="str">
        <f t="shared" si="1170"/>
        <v/>
      </c>
      <c r="AO753" s="418" t="str">
        <f t="shared" si="1171"/>
        <v/>
      </c>
      <c r="AP753" s="418" t="str">
        <f t="shared" si="1172"/>
        <v/>
      </c>
      <c r="AQ753" s="418" t="str">
        <f t="shared" si="1173"/>
        <v/>
      </c>
      <c r="AR753" s="418">
        <f t="shared" si="1174"/>
        <v>6816</v>
      </c>
      <c r="AS753" s="418" t="str">
        <f t="shared" si="1175"/>
        <v/>
      </c>
      <c r="AT753" s="418" t="str">
        <f t="shared" si="1176"/>
        <v/>
      </c>
      <c r="AU753" s="418" t="str">
        <f t="shared" si="1177"/>
        <v/>
      </c>
      <c r="AV753" s="418" t="str">
        <f t="shared" si="1178"/>
        <v/>
      </c>
      <c r="AW753" s="418" t="str">
        <f t="shared" si="1179"/>
        <v/>
      </c>
      <c r="AX753" s="418" t="str">
        <f t="shared" si="1180"/>
        <v/>
      </c>
      <c r="AY753" s="418" t="str">
        <f t="shared" si="1181"/>
        <v/>
      </c>
      <c r="AZ753" s="418" t="str">
        <f t="shared" si="1182"/>
        <v/>
      </c>
      <c r="BA753" s="418" t="str">
        <f t="shared" si="1183"/>
        <v/>
      </c>
      <c r="BB753" s="418" t="str">
        <f t="shared" si="1184"/>
        <v/>
      </c>
      <c r="BC753" s="418" t="str">
        <f t="shared" si="1185"/>
        <v/>
      </c>
      <c r="BD753" s="418" t="str">
        <f t="shared" si="1186"/>
        <v/>
      </c>
      <c r="BE753" s="418" t="str">
        <f t="shared" si="1187"/>
        <v/>
      </c>
      <c r="BF753" s="418" t="str">
        <f t="shared" si="1188"/>
        <v/>
      </c>
      <c r="BG753" s="418" t="str">
        <f t="shared" si="1189"/>
        <v/>
      </c>
      <c r="BH753" s="418" t="str">
        <f t="shared" si="1190"/>
        <v/>
      </c>
      <c r="BI753" s="418" t="str">
        <f t="shared" si="1191"/>
        <v/>
      </c>
      <c r="BJ753" s="418" t="str">
        <f t="shared" si="1192"/>
        <v/>
      </c>
      <c r="BK753" s="418" t="str">
        <f t="shared" ref="BK753:BS753" si="1206">IF(OR($E753="",BK$1=""),"",IF(TRIM(LEFT($E753,MIN(IFERROR(FIND("CDU",UPPER($E753)),999),IFERROR(FIND("BULK",UPPER($E753)),999),IFERROR(FIND("-",$E753),999),IFERROR(FIND("（",$E753),999))-1))=BK$1,$F753,""))</f>
        <v/>
      </c>
      <c r="BL753" s="418" t="str">
        <f t="shared" si="1206"/>
        <v/>
      </c>
      <c r="BM753" s="418" t="str">
        <f t="shared" si="1206"/>
        <v/>
      </c>
      <c r="BN753" s="418" t="str">
        <f t="shared" si="1206"/>
        <v/>
      </c>
      <c r="BO753" s="418" t="str">
        <f t="shared" si="1206"/>
        <v/>
      </c>
      <c r="BP753" s="418" t="str">
        <f t="shared" si="1206"/>
        <v/>
      </c>
      <c r="BQ753" s="418" t="str">
        <f t="shared" si="1206"/>
        <v/>
      </c>
      <c r="BR753" s="418" t="str">
        <f t="shared" si="1206"/>
        <v/>
      </c>
      <c r="BS753" s="418" t="str">
        <f t="shared" si="1206"/>
        <v/>
      </c>
      <c r="BT753" s="418" t="str">
        <f t="shared" si="1194"/>
        <v/>
      </c>
      <c r="BU753" s="418" t="str">
        <f t="shared" si="1195"/>
        <v/>
      </c>
      <c r="BV753" s="544">
        <v>1.27</v>
      </c>
      <c r="BW753" s="723">
        <f t="shared" si="1116"/>
        <v>8656.32</v>
      </c>
      <c r="BX753" s="724">
        <f t="shared" si="1117"/>
        <v>67086.48</v>
      </c>
      <c r="BY753" s="725" t="str">
        <f t="shared" si="1118"/>
        <v>SR</v>
      </c>
    </row>
    <row r="754" s="697" customFormat="1" customHeight="1" spans="1:77">
      <c r="A754" s="116">
        <v>46139</v>
      </c>
      <c r="B754" s="116">
        <v>46200</v>
      </c>
      <c r="C754" s="418" t="s">
        <v>791</v>
      </c>
      <c r="D754" s="418" t="s">
        <v>792</v>
      </c>
      <c r="E754" s="418" t="s">
        <v>164</v>
      </c>
      <c r="F754" s="737">
        <v>6816</v>
      </c>
      <c r="G754" s="418" t="s">
        <v>341</v>
      </c>
      <c r="H754" s="118" t="str">
        <f>IFERROR(VLOOKUP(E754,名称!A:E,4,0),"")</f>
        <v>三代</v>
      </c>
      <c r="I754" s="418" t="str">
        <f t="shared" si="1139"/>
        <v/>
      </c>
      <c r="J754" s="418" t="str">
        <f t="shared" si="1140"/>
        <v/>
      </c>
      <c r="K754" s="418" t="str">
        <f t="shared" si="1141"/>
        <v/>
      </c>
      <c r="L754" s="418" t="str">
        <f t="shared" si="1142"/>
        <v/>
      </c>
      <c r="M754" s="418" t="str">
        <f t="shared" si="1143"/>
        <v/>
      </c>
      <c r="N754" s="418" t="str">
        <f t="shared" si="1144"/>
        <v/>
      </c>
      <c r="O754" s="418" t="str">
        <f t="shared" si="1145"/>
        <v/>
      </c>
      <c r="P754" s="418" t="str">
        <f t="shared" si="1146"/>
        <v/>
      </c>
      <c r="Q754" s="418" t="str">
        <f t="shared" si="1147"/>
        <v/>
      </c>
      <c r="R754" s="418" t="str">
        <f t="shared" si="1148"/>
        <v/>
      </c>
      <c r="S754" s="418" t="str">
        <f t="shared" si="1149"/>
        <v/>
      </c>
      <c r="T754" s="418" t="str">
        <f t="shared" si="1150"/>
        <v/>
      </c>
      <c r="U754" s="418" t="str">
        <f t="shared" si="1151"/>
        <v/>
      </c>
      <c r="V754" s="418" t="str">
        <f t="shared" si="1152"/>
        <v/>
      </c>
      <c r="W754" s="418" t="str">
        <f t="shared" si="1153"/>
        <v/>
      </c>
      <c r="X754" s="418" t="str">
        <f t="shared" si="1154"/>
        <v/>
      </c>
      <c r="Y754" s="418" t="str">
        <f t="shared" si="1155"/>
        <v/>
      </c>
      <c r="Z754" s="418" t="str">
        <f t="shared" si="1156"/>
        <v/>
      </c>
      <c r="AA754" s="418" t="str">
        <f t="shared" si="1157"/>
        <v/>
      </c>
      <c r="AB754" s="418" t="str">
        <f t="shared" si="1158"/>
        <v/>
      </c>
      <c r="AC754" s="418" t="str">
        <f t="shared" si="1159"/>
        <v/>
      </c>
      <c r="AD754" s="418" t="str">
        <f t="shared" si="1160"/>
        <v/>
      </c>
      <c r="AE754" s="418" t="str">
        <f t="shared" si="1161"/>
        <v/>
      </c>
      <c r="AF754" s="418" t="str">
        <f t="shared" si="1162"/>
        <v/>
      </c>
      <c r="AG754" s="418" t="str">
        <f t="shared" si="1163"/>
        <v/>
      </c>
      <c r="AH754" s="418" t="str">
        <f t="shared" si="1164"/>
        <v/>
      </c>
      <c r="AI754" s="418" t="str">
        <f t="shared" si="1165"/>
        <v/>
      </c>
      <c r="AJ754" s="418" t="str">
        <f t="shared" si="1166"/>
        <v/>
      </c>
      <c r="AK754" s="418" t="str">
        <f t="shared" si="1167"/>
        <v/>
      </c>
      <c r="AL754" s="418" t="str">
        <f t="shared" si="1168"/>
        <v/>
      </c>
      <c r="AM754" s="418" t="str">
        <f t="shared" si="1169"/>
        <v/>
      </c>
      <c r="AN754" s="418" t="str">
        <f t="shared" si="1170"/>
        <v/>
      </c>
      <c r="AO754" s="418" t="str">
        <f t="shared" si="1171"/>
        <v/>
      </c>
      <c r="AP754" s="418" t="str">
        <f t="shared" si="1172"/>
        <v/>
      </c>
      <c r="AQ754" s="418" t="str">
        <f t="shared" si="1173"/>
        <v/>
      </c>
      <c r="AR754" s="418">
        <f t="shared" si="1174"/>
        <v>6816</v>
      </c>
      <c r="AS754" s="418" t="str">
        <f t="shared" si="1175"/>
        <v/>
      </c>
      <c r="AT754" s="418" t="str">
        <f t="shared" si="1176"/>
        <v/>
      </c>
      <c r="AU754" s="418" t="str">
        <f t="shared" si="1177"/>
        <v/>
      </c>
      <c r="AV754" s="418" t="str">
        <f t="shared" si="1178"/>
        <v/>
      </c>
      <c r="AW754" s="418" t="str">
        <f t="shared" si="1179"/>
        <v/>
      </c>
      <c r="AX754" s="418" t="str">
        <f t="shared" si="1180"/>
        <v/>
      </c>
      <c r="AY754" s="418" t="str">
        <f t="shared" si="1181"/>
        <v/>
      </c>
      <c r="AZ754" s="418" t="str">
        <f t="shared" si="1182"/>
        <v/>
      </c>
      <c r="BA754" s="418" t="str">
        <f t="shared" si="1183"/>
        <v/>
      </c>
      <c r="BB754" s="418" t="str">
        <f t="shared" si="1184"/>
        <v/>
      </c>
      <c r="BC754" s="418" t="str">
        <f t="shared" si="1185"/>
        <v/>
      </c>
      <c r="BD754" s="418" t="str">
        <f t="shared" si="1186"/>
        <v/>
      </c>
      <c r="BE754" s="418" t="str">
        <f t="shared" si="1187"/>
        <v/>
      </c>
      <c r="BF754" s="418" t="str">
        <f t="shared" si="1188"/>
        <v/>
      </c>
      <c r="BG754" s="418" t="str">
        <f t="shared" si="1189"/>
        <v/>
      </c>
      <c r="BH754" s="418" t="str">
        <f t="shared" si="1190"/>
        <v/>
      </c>
      <c r="BI754" s="418" t="str">
        <f t="shared" si="1191"/>
        <v/>
      </c>
      <c r="BJ754" s="418" t="str">
        <f t="shared" si="1192"/>
        <v/>
      </c>
      <c r="BK754" s="418" t="str">
        <f t="shared" ref="BK754:BS754" si="1207">IF(OR($E754="",BK$1=""),"",IF(TRIM(LEFT($E754,MIN(IFERROR(FIND("CDU",UPPER($E754)),999),IFERROR(FIND("BULK",UPPER($E754)),999),IFERROR(FIND("-",$E754),999),IFERROR(FIND("（",$E754),999))-1))=BK$1,$F754,""))</f>
        <v/>
      </c>
      <c r="BL754" s="418" t="str">
        <f t="shared" si="1207"/>
        <v/>
      </c>
      <c r="BM754" s="418" t="str">
        <f t="shared" si="1207"/>
        <v/>
      </c>
      <c r="BN754" s="418" t="str">
        <f t="shared" si="1207"/>
        <v/>
      </c>
      <c r="BO754" s="418" t="str">
        <f t="shared" si="1207"/>
        <v/>
      </c>
      <c r="BP754" s="418" t="str">
        <f t="shared" si="1207"/>
        <v/>
      </c>
      <c r="BQ754" s="418" t="str">
        <f t="shared" si="1207"/>
        <v/>
      </c>
      <c r="BR754" s="418" t="str">
        <f t="shared" si="1207"/>
        <v/>
      </c>
      <c r="BS754" s="418" t="str">
        <f t="shared" si="1207"/>
        <v/>
      </c>
      <c r="BT754" s="418" t="str">
        <f t="shared" si="1194"/>
        <v/>
      </c>
      <c r="BU754" s="418" t="str">
        <f t="shared" si="1195"/>
        <v/>
      </c>
      <c r="BV754" s="544">
        <v>1.27</v>
      </c>
      <c r="BW754" s="723">
        <f t="shared" si="1116"/>
        <v>8656.32</v>
      </c>
      <c r="BX754" s="724">
        <f t="shared" si="1117"/>
        <v>67086.48</v>
      </c>
      <c r="BY754" s="725" t="str">
        <f t="shared" si="1118"/>
        <v>SR</v>
      </c>
    </row>
    <row r="755" s="697" customFormat="1" customHeight="1" spans="1:77">
      <c r="A755" s="116">
        <v>46139</v>
      </c>
      <c r="B755" s="116">
        <v>46200</v>
      </c>
      <c r="C755" s="418" t="s">
        <v>791</v>
      </c>
      <c r="D755" s="418" t="s">
        <v>792</v>
      </c>
      <c r="E755" s="418" t="s">
        <v>161</v>
      </c>
      <c r="F755" s="737">
        <v>1998</v>
      </c>
      <c r="G755" s="418" t="s">
        <v>341</v>
      </c>
      <c r="H755" s="118" t="str">
        <f>IFERROR(VLOOKUP(E755,名称!A:E,4,0),"")</f>
        <v>三代</v>
      </c>
      <c r="I755" s="418" t="str">
        <f t="shared" si="1139"/>
        <v/>
      </c>
      <c r="J755" s="418" t="str">
        <f t="shared" si="1140"/>
        <v/>
      </c>
      <c r="K755" s="418" t="str">
        <f t="shared" si="1141"/>
        <v/>
      </c>
      <c r="L755" s="418" t="str">
        <f t="shared" si="1142"/>
        <v/>
      </c>
      <c r="M755" s="418" t="str">
        <f t="shared" si="1143"/>
        <v/>
      </c>
      <c r="N755" s="418" t="str">
        <f t="shared" si="1144"/>
        <v/>
      </c>
      <c r="O755" s="418" t="str">
        <f t="shared" si="1145"/>
        <v/>
      </c>
      <c r="P755" s="418" t="str">
        <f t="shared" si="1146"/>
        <v/>
      </c>
      <c r="Q755" s="418" t="str">
        <f t="shared" si="1147"/>
        <v/>
      </c>
      <c r="R755" s="418" t="str">
        <f t="shared" si="1148"/>
        <v/>
      </c>
      <c r="S755" s="418" t="str">
        <f t="shared" si="1149"/>
        <v/>
      </c>
      <c r="T755" s="418" t="str">
        <f t="shared" si="1150"/>
        <v/>
      </c>
      <c r="U755" s="418" t="str">
        <f t="shared" si="1151"/>
        <v/>
      </c>
      <c r="V755" s="418" t="str">
        <f t="shared" si="1152"/>
        <v/>
      </c>
      <c r="W755" s="418" t="str">
        <f t="shared" si="1153"/>
        <v/>
      </c>
      <c r="X755" s="418" t="str">
        <f t="shared" si="1154"/>
        <v/>
      </c>
      <c r="Y755" s="418" t="str">
        <f t="shared" si="1155"/>
        <v/>
      </c>
      <c r="Z755" s="418" t="str">
        <f t="shared" si="1156"/>
        <v/>
      </c>
      <c r="AA755" s="418" t="str">
        <f t="shared" si="1157"/>
        <v/>
      </c>
      <c r="AB755" s="418" t="str">
        <f t="shared" si="1158"/>
        <v/>
      </c>
      <c r="AC755" s="418" t="str">
        <f t="shared" si="1159"/>
        <v/>
      </c>
      <c r="AD755" s="418" t="str">
        <f t="shared" si="1160"/>
        <v/>
      </c>
      <c r="AE755" s="418" t="str">
        <f t="shared" si="1161"/>
        <v/>
      </c>
      <c r="AF755" s="418" t="str">
        <f t="shared" si="1162"/>
        <v/>
      </c>
      <c r="AG755" s="418" t="str">
        <f t="shared" si="1163"/>
        <v/>
      </c>
      <c r="AH755" s="418" t="str">
        <f t="shared" si="1164"/>
        <v/>
      </c>
      <c r="AI755" s="418" t="str">
        <f t="shared" si="1165"/>
        <v/>
      </c>
      <c r="AJ755" s="418" t="str">
        <f t="shared" si="1166"/>
        <v/>
      </c>
      <c r="AK755" s="418" t="str">
        <f t="shared" si="1167"/>
        <v/>
      </c>
      <c r="AL755" s="418" t="str">
        <f t="shared" si="1168"/>
        <v/>
      </c>
      <c r="AM755" s="418" t="str">
        <f t="shared" si="1169"/>
        <v/>
      </c>
      <c r="AN755" s="418" t="str">
        <f t="shared" si="1170"/>
        <v/>
      </c>
      <c r="AO755" s="418" t="str">
        <f t="shared" si="1171"/>
        <v/>
      </c>
      <c r="AP755" s="418" t="str">
        <f t="shared" si="1172"/>
        <v/>
      </c>
      <c r="AQ755" s="418">
        <f t="shared" si="1173"/>
        <v>1998</v>
      </c>
      <c r="AR755" s="418" t="str">
        <f t="shared" si="1174"/>
        <v/>
      </c>
      <c r="AS755" s="418" t="str">
        <f t="shared" si="1175"/>
        <v/>
      </c>
      <c r="AT755" s="418" t="str">
        <f t="shared" si="1176"/>
        <v/>
      </c>
      <c r="AU755" s="418" t="str">
        <f t="shared" si="1177"/>
        <v/>
      </c>
      <c r="AV755" s="418" t="str">
        <f t="shared" si="1178"/>
        <v/>
      </c>
      <c r="AW755" s="418" t="str">
        <f t="shared" si="1179"/>
        <v/>
      </c>
      <c r="AX755" s="418" t="str">
        <f t="shared" si="1180"/>
        <v/>
      </c>
      <c r="AY755" s="418" t="str">
        <f t="shared" si="1181"/>
        <v/>
      </c>
      <c r="AZ755" s="418" t="str">
        <f t="shared" si="1182"/>
        <v/>
      </c>
      <c r="BA755" s="418" t="str">
        <f t="shared" si="1183"/>
        <v/>
      </c>
      <c r="BB755" s="418" t="str">
        <f t="shared" si="1184"/>
        <v/>
      </c>
      <c r="BC755" s="418" t="str">
        <f t="shared" si="1185"/>
        <v/>
      </c>
      <c r="BD755" s="418" t="str">
        <f t="shared" si="1186"/>
        <v/>
      </c>
      <c r="BE755" s="418" t="str">
        <f t="shared" si="1187"/>
        <v/>
      </c>
      <c r="BF755" s="418" t="str">
        <f t="shared" si="1188"/>
        <v/>
      </c>
      <c r="BG755" s="418" t="str">
        <f t="shared" si="1189"/>
        <v/>
      </c>
      <c r="BH755" s="418" t="str">
        <f t="shared" si="1190"/>
        <v/>
      </c>
      <c r="BI755" s="418" t="str">
        <f t="shared" si="1191"/>
        <v/>
      </c>
      <c r="BJ755" s="418" t="str">
        <f t="shared" si="1192"/>
        <v/>
      </c>
      <c r="BK755" s="418" t="str">
        <f t="shared" ref="BK755:BS755" si="1208">IF(OR($E755="",BK$1=""),"",IF(TRIM(LEFT($E755,MIN(IFERROR(FIND("CDU",UPPER($E755)),999),IFERROR(FIND("BULK",UPPER($E755)),999),IFERROR(FIND("-",$E755),999),IFERROR(FIND("（",$E755),999))-1))=BK$1,$F755,""))</f>
        <v/>
      </c>
      <c r="BL755" s="418" t="str">
        <f t="shared" si="1208"/>
        <v/>
      </c>
      <c r="BM755" s="418" t="str">
        <f t="shared" si="1208"/>
        <v/>
      </c>
      <c r="BN755" s="418" t="str">
        <f t="shared" si="1208"/>
        <v/>
      </c>
      <c r="BO755" s="418" t="str">
        <f t="shared" si="1208"/>
        <v/>
      </c>
      <c r="BP755" s="418" t="str">
        <f t="shared" si="1208"/>
        <v/>
      </c>
      <c r="BQ755" s="418" t="str">
        <f t="shared" si="1208"/>
        <v/>
      </c>
      <c r="BR755" s="418" t="str">
        <f t="shared" si="1208"/>
        <v/>
      </c>
      <c r="BS755" s="418" t="str">
        <f t="shared" si="1208"/>
        <v/>
      </c>
      <c r="BT755" s="418" t="str">
        <f t="shared" si="1194"/>
        <v/>
      </c>
      <c r="BU755" s="418" t="str">
        <f t="shared" si="1195"/>
        <v/>
      </c>
      <c r="BV755" s="544">
        <v>9.15</v>
      </c>
      <c r="BW755" s="723">
        <f t="shared" si="1116"/>
        <v>18281.7</v>
      </c>
      <c r="BX755" s="724">
        <f t="shared" si="1117"/>
        <v>141683.18</v>
      </c>
      <c r="BY755" s="725" t="str">
        <f t="shared" si="1118"/>
        <v>SR</v>
      </c>
    </row>
    <row r="756" s="697" customFormat="1" customHeight="1" spans="1:77">
      <c r="A756" s="116">
        <v>46139</v>
      </c>
      <c r="B756" s="116">
        <v>46200</v>
      </c>
      <c r="C756" s="418" t="s">
        <v>791</v>
      </c>
      <c r="D756" s="418" t="s">
        <v>792</v>
      </c>
      <c r="E756" s="418" t="s">
        <v>171</v>
      </c>
      <c r="F756" s="737">
        <v>3888</v>
      </c>
      <c r="G756" s="418" t="s">
        <v>341</v>
      </c>
      <c r="H756" s="118" t="str">
        <f>IFERROR(VLOOKUP(E756,名称!A:E,4,0),"")</f>
        <v>三代</v>
      </c>
      <c r="I756" s="418" t="str">
        <f t="shared" si="1139"/>
        <v/>
      </c>
      <c r="J756" s="418" t="str">
        <f t="shared" si="1140"/>
        <v/>
      </c>
      <c r="K756" s="418" t="str">
        <f t="shared" si="1141"/>
        <v/>
      </c>
      <c r="L756" s="418" t="str">
        <f t="shared" si="1142"/>
        <v/>
      </c>
      <c r="M756" s="418" t="str">
        <f t="shared" si="1143"/>
        <v/>
      </c>
      <c r="N756" s="418" t="str">
        <f t="shared" si="1144"/>
        <v/>
      </c>
      <c r="O756" s="418" t="str">
        <f t="shared" si="1145"/>
        <v/>
      </c>
      <c r="P756" s="418" t="str">
        <f t="shared" si="1146"/>
        <v/>
      </c>
      <c r="Q756" s="418" t="str">
        <f t="shared" si="1147"/>
        <v/>
      </c>
      <c r="R756" s="418" t="str">
        <f t="shared" si="1148"/>
        <v/>
      </c>
      <c r="S756" s="418" t="str">
        <f t="shared" si="1149"/>
        <v/>
      </c>
      <c r="T756" s="418" t="str">
        <f t="shared" si="1150"/>
        <v/>
      </c>
      <c r="U756" s="418" t="str">
        <f t="shared" si="1151"/>
        <v/>
      </c>
      <c r="V756" s="418" t="str">
        <f t="shared" si="1152"/>
        <v/>
      </c>
      <c r="W756" s="418" t="str">
        <f t="shared" si="1153"/>
        <v/>
      </c>
      <c r="X756" s="418" t="str">
        <f t="shared" si="1154"/>
        <v/>
      </c>
      <c r="Y756" s="418" t="str">
        <f t="shared" si="1155"/>
        <v/>
      </c>
      <c r="Z756" s="418" t="str">
        <f t="shared" si="1156"/>
        <v/>
      </c>
      <c r="AA756" s="418" t="str">
        <f t="shared" si="1157"/>
        <v/>
      </c>
      <c r="AB756" s="418" t="str">
        <f t="shared" si="1158"/>
        <v/>
      </c>
      <c r="AC756" s="418" t="str">
        <f t="shared" si="1159"/>
        <v/>
      </c>
      <c r="AD756" s="418" t="str">
        <f t="shared" si="1160"/>
        <v/>
      </c>
      <c r="AE756" s="418" t="str">
        <f t="shared" si="1161"/>
        <v/>
      </c>
      <c r="AF756" s="418" t="str">
        <f t="shared" si="1162"/>
        <v/>
      </c>
      <c r="AG756" s="418" t="str">
        <f t="shared" si="1163"/>
        <v/>
      </c>
      <c r="AH756" s="418" t="str">
        <f t="shared" si="1164"/>
        <v/>
      </c>
      <c r="AI756" s="418" t="str">
        <f t="shared" si="1165"/>
        <v/>
      </c>
      <c r="AJ756" s="418" t="str">
        <f t="shared" si="1166"/>
        <v/>
      </c>
      <c r="AK756" s="418" t="str">
        <f t="shared" si="1167"/>
        <v/>
      </c>
      <c r="AL756" s="418" t="str">
        <f t="shared" si="1168"/>
        <v/>
      </c>
      <c r="AM756" s="418" t="str">
        <f t="shared" si="1169"/>
        <v/>
      </c>
      <c r="AN756" s="418" t="str">
        <f t="shared" si="1170"/>
        <v/>
      </c>
      <c r="AO756" s="418" t="str">
        <f t="shared" si="1171"/>
        <v/>
      </c>
      <c r="AP756" s="418" t="str">
        <f t="shared" si="1172"/>
        <v/>
      </c>
      <c r="AQ756" s="418" t="str">
        <f t="shared" si="1173"/>
        <v/>
      </c>
      <c r="AR756" s="418" t="str">
        <f t="shared" si="1174"/>
        <v/>
      </c>
      <c r="AS756" s="418" t="str">
        <f t="shared" si="1175"/>
        <v/>
      </c>
      <c r="AT756" s="418" t="str">
        <f t="shared" si="1176"/>
        <v/>
      </c>
      <c r="AU756" s="418" t="str">
        <f t="shared" si="1177"/>
        <v/>
      </c>
      <c r="AV756" s="418" t="str">
        <f t="shared" si="1178"/>
        <v/>
      </c>
      <c r="AW756" s="418" t="str">
        <f t="shared" si="1179"/>
        <v/>
      </c>
      <c r="AX756" s="418">
        <f t="shared" si="1180"/>
        <v>3888</v>
      </c>
      <c r="AY756" s="418" t="str">
        <f t="shared" si="1181"/>
        <v/>
      </c>
      <c r="AZ756" s="418" t="str">
        <f t="shared" si="1182"/>
        <v/>
      </c>
      <c r="BA756" s="418" t="str">
        <f t="shared" si="1183"/>
        <v/>
      </c>
      <c r="BB756" s="418" t="str">
        <f t="shared" si="1184"/>
        <v/>
      </c>
      <c r="BC756" s="418" t="str">
        <f t="shared" si="1185"/>
        <v/>
      </c>
      <c r="BD756" s="418" t="str">
        <f t="shared" si="1186"/>
        <v/>
      </c>
      <c r="BE756" s="418" t="str">
        <f t="shared" si="1187"/>
        <v/>
      </c>
      <c r="BF756" s="418" t="str">
        <f t="shared" si="1188"/>
        <v/>
      </c>
      <c r="BG756" s="418" t="str">
        <f t="shared" si="1189"/>
        <v/>
      </c>
      <c r="BH756" s="418" t="str">
        <f t="shared" si="1190"/>
        <v/>
      </c>
      <c r="BI756" s="418" t="str">
        <f t="shared" si="1191"/>
        <v/>
      </c>
      <c r="BJ756" s="418" t="str">
        <f t="shared" si="1192"/>
        <v/>
      </c>
      <c r="BK756" s="418" t="str">
        <f t="shared" ref="BK756:BS756" si="1209">IF(OR($E756="",BK$1=""),"",IF(TRIM(LEFT($E756,MIN(IFERROR(FIND("CDU",UPPER($E756)),999),IFERROR(FIND("BULK",UPPER($E756)),999),IFERROR(FIND("-",$E756),999),IFERROR(FIND("（",$E756),999))-1))=BK$1,$F756,""))</f>
        <v/>
      </c>
      <c r="BL756" s="418" t="str">
        <f t="shared" si="1209"/>
        <v/>
      </c>
      <c r="BM756" s="418" t="str">
        <f t="shared" si="1209"/>
        <v/>
      </c>
      <c r="BN756" s="418" t="str">
        <f t="shared" si="1209"/>
        <v/>
      </c>
      <c r="BO756" s="418" t="str">
        <f t="shared" si="1209"/>
        <v/>
      </c>
      <c r="BP756" s="418" t="str">
        <f t="shared" si="1209"/>
        <v/>
      </c>
      <c r="BQ756" s="418" t="str">
        <f t="shared" si="1209"/>
        <v/>
      </c>
      <c r="BR756" s="418" t="str">
        <f t="shared" si="1209"/>
        <v/>
      </c>
      <c r="BS756" s="418" t="str">
        <f t="shared" si="1209"/>
        <v/>
      </c>
      <c r="BT756" s="418" t="str">
        <f t="shared" si="1194"/>
        <v/>
      </c>
      <c r="BU756" s="418" t="str">
        <f t="shared" si="1195"/>
        <v/>
      </c>
      <c r="BV756" s="544">
        <v>0.64</v>
      </c>
      <c r="BW756" s="723">
        <f t="shared" si="1116"/>
        <v>2488.32</v>
      </c>
      <c r="BX756" s="724">
        <f t="shared" si="1117"/>
        <v>19284.48</v>
      </c>
      <c r="BY756" s="725" t="str">
        <f t="shared" si="1118"/>
        <v>SR</v>
      </c>
    </row>
    <row r="757" s="697" customFormat="1" customHeight="1" spans="1:77">
      <c r="A757" s="116">
        <v>46139</v>
      </c>
      <c r="B757" s="116">
        <v>46200</v>
      </c>
      <c r="C757" s="418" t="s">
        <v>791</v>
      </c>
      <c r="D757" s="418" t="s">
        <v>792</v>
      </c>
      <c r="E757" s="418" t="s">
        <v>172</v>
      </c>
      <c r="F757" s="737">
        <v>3888</v>
      </c>
      <c r="G757" s="418" t="s">
        <v>341</v>
      </c>
      <c r="H757" s="118" t="str">
        <f>IFERROR(VLOOKUP(E757,名称!A:E,4,0),"")</f>
        <v>三代</v>
      </c>
      <c r="I757" s="418" t="str">
        <f t="shared" si="1139"/>
        <v/>
      </c>
      <c r="J757" s="418" t="str">
        <f t="shared" si="1140"/>
        <v/>
      </c>
      <c r="K757" s="418" t="str">
        <f t="shared" si="1141"/>
        <v/>
      </c>
      <c r="L757" s="418" t="str">
        <f t="shared" si="1142"/>
        <v/>
      </c>
      <c r="M757" s="418" t="str">
        <f t="shared" si="1143"/>
        <v/>
      </c>
      <c r="N757" s="418" t="str">
        <f t="shared" si="1144"/>
        <v/>
      </c>
      <c r="O757" s="418" t="str">
        <f t="shared" si="1145"/>
        <v/>
      </c>
      <c r="P757" s="418" t="str">
        <f t="shared" si="1146"/>
        <v/>
      </c>
      <c r="Q757" s="418" t="str">
        <f t="shared" si="1147"/>
        <v/>
      </c>
      <c r="R757" s="418" t="str">
        <f t="shared" si="1148"/>
        <v/>
      </c>
      <c r="S757" s="418" t="str">
        <f t="shared" si="1149"/>
        <v/>
      </c>
      <c r="T757" s="418" t="str">
        <f t="shared" si="1150"/>
        <v/>
      </c>
      <c r="U757" s="418" t="str">
        <f t="shared" si="1151"/>
        <v/>
      </c>
      <c r="V757" s="418" t="str">
        <f t="shared" si="1152"/>
        <v/>
      </c>
      <c r="W757" s="418" t="str">
        <f t="shared" si="1153"/>
        <v/>
      </c>
      <c r="X757" s="418" t="str">
        <f t="shared" si="1154"/>
        <v/>
      </c>
      <c r="Y757" s="418" t="str">
        <f t="shared" si="1155"/>
        <v/>
      </c>
      <c r="Z757" s="418" t="str">
        <f t="shared" si="1156"/>
        <v/>
      </c>
      <c r="AA757" s="418" t="str">
        <f t="shared" si="1157"/>
        <v/>
      </c>
      <c r="AB757" s="418" t="str">
        <f t="shared" si="1158"/>
        <v/>
      </c>
      <c r="AC757" s="418" t="str">
        <f t="shared" si="1159"/>
        <v/>
      </c>
      <c r="AD757" s="418" t="str">
        <f t="shared" si="1160"/>
        <v/>
      </c>
      <c r="AE757" s="418" t="str">
        <f t="shared" si="1161"/>
        <v/>
      </c>
      <c r="AF757" s="418" t="str">
        <f t="shared" si="1162"/>
        <v/>
      </c>
      <c r="AG757" s="418" t="str">
        <f t="shared" si="1163"/>
        <v/>
      </c>
      <c r="AH757" s="418" t="str">
        <f t="shared" si="1164"/>
        <v/>
      </c>
      <c r="AI757" s="418" t="str">
        <f t="shared" si="1165"/>
        <v/>
      </c>
      <c r="AJ757" s="418" t="str">
        <f t="shared" si="1166"/>
        <v/>
      </c>
      <c r="AK757" s="418" t="str">
        <f t="shared" si="1167"/>
        <v/>
      </c>
      <c r="AL757" s="418" t="str">
        <f t="shared" si="1168"/>
        <v/>
      </c>
      <c r="AM757" s="418" t="str">
        <f t="shared" si="1169"/>
        <v/>
      </c>
      <c r="AN757" s="418" t="str">
        <f t="shared" si="1170"/>
        <v/>
      </c>
      <c r="AO757" s="418" t="str">
        <f t="shared" si="1171"/>
        <v/>
      </c>
      <c r="AP757" s="418" t="str">
        <f t="shared" si="1172"/>
        <v/>
      </c>
      <c r="AQ757" s="418" t="str">
        <f t="shared" si="1173"/>
        <v/>
      </c>
      <c r="AR757" s="418" t="str">
        <f t="shared" si="1174"/>
        <v/>
      </c>
      <c r="AS757" s="418" t="str">
        <f t="shared" si="1175"/>
        <v/>
      </c>
      <c r="AT757" s="418" t="str">
        <f t="shared" si="1176"/>
        <v/>
      </c>
      <c r="AU757" s="418" t="str">
        <f t="shared" si="1177"/>
        <v/>
      </c>
      <c r="AV757" s="418" t="str">
        <f t="shared" si="1178"/>
        <v/>
      </c>
      <c r="AW757" s="418" t="str">
        <f t="shared" si="1179"/>
        <v/>
      </c>
      <c r="AX757" s="418">
        <f t="shared" si="1180"/>
        <v>3888</v>
      </c>
      <c r="AY757" s="418" t="str">
        <f t="shared" si="1181"/>
        <v/>
      </c>
      <c r="AZ757" s="418" t="str">
        <f t="shared" si="1182"/>
        <v/>
      </c>
      <c r="BA757" s="418" t="str">
        <f t="shared" si="1183"/>
        <v/>
      </c>
      <c r="BB757" s="418" t="str">
        <f t="shared" si="1184"/>
        <v/>
      </c>
      <c r="BC757" s="418" t="str">
        <f t="shared" si="1185"/>
        <v/>
      </c>
      <c r="BD757" s="418" t="str">
        <f t="shared" si="1186"/>
        <v/>
      </c>
      <c r="BE757" s="418" t="str">
        <f t="shared" si="1187"/>
        <v/>
      </c>
      <c r="BF757" s="418" t="str">
        <f t="shared" si="1188"/>
        <v/>
      </c>
      <c r="BG757" s="418" t="str">
        <f t="shared" si="1189"/>
        <v/>
      </c>
      <c r="BH757" s="418" t="str">
        <f t="shared" si="1190"/>
        <v/>
      </c>
      <c r="BI757" s="418" t="str">
        <f t="shared" si="1191"/>
        <v/>
      </c>
      <c r="BJ757" s="418" t="str">
        <f t="shared" si="1192"/>
        <v/>
      </c>
      <c r="BK757" s="418" t="str">
        <f t="shared" ref="BK757:BS757" si="1210">IF(OR($E757="",BK$1=""),"",IF(TRIM(LEFT($E757,MIN(IFERROR(FIND("CDU",UPPER($E757)),999),IFERROR(FIND("BULK",UPPER($E757)),999),IFERROR(FIND("-",$E757),999),IFERROR(FIND("（",$E757),999))-1))=BK$1,$F757,""))</f>
        <v/>
      </c>
      <c r="BL757" s="418" t="str">
        <f t="shared" si="1210"/>
        <v/>
      </c>
      <c r="BM757" s="418" t="str">
        <f t="shared" si="1210"/>
        <v/>
      </c>
      <c r="BN757" s="418" t="str">
        <f t="shared" si="1210"/>
        <v/>
      </c>
      <c r="BO757" s="418" t="str">
        <f t="shared" si="1210"/>
        <v/>
      </c>
      <c r="BP757" s="418" t="str">
        <f t="shared" si="1210"/>
        <v/>
      </c>
      <c r="BQ757" s="418" t="str">
        <f t="shared" si="1210"/>
        <v/>
      </c>
      <c r="BR757" s="418" t="str">
        <f t="shared" si="1210"/>
        <v/>
      </c>
      <c r="BS757" s="418" t="str">
        <f t="shared" si="1210"/>
        <v/>
      </c>
      <c r="BT757" s="418" t="str">
        <f t="shared" si="1194"/>
        <v/>
      </c>
      <c r="BU757" s="418" t="str">
        <f t="shared" si="1195"/>
        <v/>
      </c>
      <c r="BV757" s="544">
        <v>0.64</v>
      </c>
      <c r="BW757" s="723">
        <f t="shared" si="1116"/>
        <v>2488.32</v>
      </c>
      <c r="BX757" s="724">
        <f t="shared" si="1117"/>
        <v>19284.48</v>
      </c>
      <c r="BY757" s="725" t="str">
        <f t="shared" si="1118"/>
        <v>SR</v>
      </c>
    </row>
    <row r="758" s="697" customFormat="1" customHeight="1" spans="1:77">
      <c r="A758" s="116">
        <v>46139</v>
      </c>
      <c r="B758" s="116">
        <v>46200</v>
      </c>
      <c r="C758" s="418" t="s">
        <v>791</v>
      </c>
      <c r="D758" s="418" t="s">
        <v>792</v>
      </c>
      <c r="E758" s="418" t="s">
        <v>173</v>
      </c>
      <c r="F758" s="737">
        <v>3888</v>
      </c>
      <c r="G758" s="418" t="s">
        <v>341</v>
      </c>
      <c r="H758" s="118" t="str">
        <f>IFERROR(VLOOKUP(E758,名称!A:E,4,0),"")</f>
        <v>三代</v>
      </c>
      <c r="I758" s="418" t="str">
        <f t="shared" si="1139"/>
        <v/>
      </c>
      <c r="J758" s="418" t="str">
        <f t="shared" si="1140"/>
        <v/>
      </c>
      <c r="K758" s="418" t="str">
        <f t="shared" si="1141"/>
        <v/>
      </c>
      <c r="L758" s="418" t="str">
        <f t="shared" si="1142"/>
        <v/>
      </c>
      <c r="M758" s="418" t="str">
        <f t="shared" si="1143"/>
        <v/>
      </c>
      <c r="N758" s="418" t="str">
        <f t="shared" si="1144"/>
        <v/>
      </c>
      <c r="O758" s="418" t="str">
        <f t="shared" si="1145"/>
        <v/>
      </c>
      <c r="P758" s="418" t="str">
        <f t="shared" si="1146"/>
        <v/>
      </c>
      <c r="Q758" s="418" t="str">
        <f t="shared" si="1147"/>
        <v/>
      </c>
      <c r="R758" s="418" t="str">
        <f t="shared" si="1148"/>
        <v/>
      </c>
      <c r="S758" s="418" t="str">
        <f t="shared" si="1149"/>
        <v/>
      </c>
      <c r="T758" s="418" t="str">
        <f t="shared" si="1150"/>
        <v/>
      </c>
      <c r="U758" s="418" t="str">
        <f t="shared" si="1151"/>
        <v/>
      </c>
      <c r="V758" s="418" t="str">
        <f t="shared" si="1152"/>
        <v/>
      </c>
      <c r="W758" s="418" t="str">
        <f t="shared" si="1153"/>
        <v/>
      </c>
      <c r="X758" s="418" t="str">
        <f t="shared" si="1154"/>
        <v/>
      </c>
      <c r="Y758" s="418" t="str">
        <f t="shared" si="1155"/>
        <v/>
      </c>
      <c r="Z758" s="418" t="str">
        <f t="shared" si="1156"/>
        <v/>
      </c>
      <c r="AA758" s="418" t="str">
        <f t="shared" si="1157"/>
        <v/>
      </c>
      <c r="AB758" s="418" t="str">
        <f t="shared" si="1158"/>
        <v/>
      </c>
      <c r="AC758" s="418" t="str">
        <f t="shared" si="1159"/>
        <v/>
      </c>
      <c r="AD758" s="418" t="str">
        <f t="shared" si="1160"/>
        <v/>
      </c>
      <c r="AE758" s="418" t="str">
        <f t="shared" si="1161"/>
        <v/>
      </c>
      <c r="AF758" s="418" t="str">
        <f t="shared" si="1162"/>
        <v/>
      </c>
      <c r="AG758" s="418" t="str">
        <f t="shared" si="1163"/>
        <v/>
      </c>
      <c r="AH758" s="418" t="str">
        <f t="shared" si="1164"/>
        <v/>
      </c>
      <c r="AI758" s="418" t="str">
        <f t="shared" si="1165"/>
        <v/>
      </c>
      <c r="AJ758" s="418" t="str">
        <f t="shared" si="1166"/>
        <v/>
      </c>
      <c r="AK758" s="418" t="str">
        <f t="shared" si="1167"/>
        <v/>
      </c>
      <c r="AL758" s="418" t="str">
        <f t="shared" si="1168"/>
        <v/>
      </c>
      <c r="AM758" s="418" t="str">
        <f t="shared" si="1169"/>
        <v/>
      </c>
      <c r="AN758" s="418" t="str">
        <f t="shared" si="1170"/>
        <v/>
      </c>
      <c r="AO758" s="418" t="str">
        <f t="shared" si="1171"/>
        <v/>
      </c>
      <c r="AP758" s="418" t="str">
        <f t="shared" si="1172"/>
        <v/>
      </c>
      <c r="AQ758" s="418" t="str">
        <f t="shared" si="1173"/>
        <v/>
      </c>
      <c r="AR758" s="418" t="str">
        <f t="shared" si="1174"/>
        <v/>
      </c>
      <c r="AS758" s="418" t="str">
        <f t="shared" si="1175"/>
        <v/>
      </c>
      <c r="AT758" s="418" t="str">
        <f t="shared" si="1176"/>
        <v/>
      </c>
      <c r="AU758" s="418" t="str">
        <f t="shared" si="1177"/>
        <v/>
      </c>
      <c r="AV758" s="418" t="str">
        <f t="shared" si="1178"/>
        <v/>
      </c>
      <c r="AW758" s="418" t="str">
        <f t="shared" si="1179"/>
        <v/>
      </c>
      <c r="AX758" s="418">
        <f t="shared" si="1180"/>
        <v>3888</v>
      </c>
      <c r="AY758" s="418" t="str">
        <f t="shared" si="1181"/>
        <v/>
      </c>
      <c r="AZ758" s="418" t="str">
        <f t="shared" si="1182"/>
        <v/>
      </c>
      <c r="BA758" s="418" t="str">
        <f t="shared" si="1183"/>
        <v/>
      </c>
      <c r="BB758" s="418" t="str">
        <f t="shared" si="1184"/>
        <v/>
      </c>
      <c r="BC758" s="418" t="str">
        <f t="shared" si="1185"/>
        <v/>
      </c>
      <c r="BD758" s="418" t="str">
        <f t="shared" si="1186"/>
        <v/>
      </c>
      <c r="BE758" s="418" t="str">
        <f t="shared" si="1187"/>
        <v/>
      </c>
      <c r="BF758" s="418" t="str">
        <f t="shared" si="1188"/>
        <v/>
      </c>
      <c r="BG758" s="418" t="str">
        <f t="shared" si="1189"/>
        <v/>
      </c>
      <c r="BH758" s="418" t="str">
        <f t="shared" si="1190"/>
        <v/>
      </c>
      <c r="BI758" s="418" t="str">
        <f t="shared" si="1191"/>
        <v/>
      </c>
      <c r="BJ758" s="418" t="str">
        <f t="shared" si="1192"/>
        <v/>
      </c>
      <c r="BK758" s="418" t="str">
        <f t="shared" ref="BK758:BS758" si="1211">IF(OR($E758="",BK$1=""),"",IF(TRIM(LEFT($E758,MIN(IFERROR(FIND("CDU",UPPER($E758)),999),IFERROR(FIND("BULK",UPPER($E758)),999),IFERROR(FIND("-",$E758),999),IFERROR(FIND("（",$E758),999))-1))=BK$1,$F758,""))</f>
        <v/>
      </c>
      <c r="BL758" s="418" t="str">
        <f t="shared" si="1211"/>
        <v/>
      </c>
      <c r="BM758" s="418" t="str">
        <f t="shared" si="1211"/>
        <v/>
      </c>
      <c r="BN758" s="418" t="str">
        <f t="shared" si="1211"/>
        <v/>
      </c>
      <c r="BO758" s="418" t="str">
        <f t="shared" si="1211"/>
        <v/>
      </c>
      <c r="BP758" s="418" t="str">
        <f t="shared" si="1211"/>
        <v/>
      </c>
      <c r="BQ758" s="418" t="str">
        <f t="shared" si="1211"/>
        <v/>
      </c>
      <c r="BR758" s="418" t="str">
        <f t="shared" si="1211"/>
        <v/>
      </c>
      <c r="BS758" s="418" t="str">
        <f t="shared" si="1211"/>
        <v/>
      </c>
      <c r="BT758" s="418" t="str">
        <f t="shared" si="1194"/>
        <v/>
      </c>
      <c r="BU758" s="418" t="str">
        <f t="shared" si="1195"/>
        <v/>
      </c>
      <c r="BV758" s="544">
        <v>0.64</v>
      </c>
      <c r="BW758" s="723">
        <f t="shared" si="1116"/>
        <v>2488.32</v>
      </c>
      <c r="BX758" s="724">
        <f t="shared" si="1117"/>
        <v>19284.48</v>
      </c>
      <c r="BY758" s="725" t="str">
        <f t="shared" si="1118"/>
        <v>SR</v>
      </c>
    </row>
    <row r="759" s="697" customFormat="1" customHeight="1" spans="1:77">
      <c r="A759" s="116">
        <v>46139</v>
      </c>
      <c r="B759" s="116">
        <v>46200</v>
      </c>
      <c r="C759" s="418" t="s">
        <v>791</v>
      </c>
      <c r="D759" s="418" t="s">
        <v>792</v>
      </c>
      <c r="E759" s="418" t="s">
        <v>174</v>
      </c>
      <c r="F759" s="737">
        <v>4020</v>
      </c>
      <c r="G759" s="418" t="s">
        <v>341</v>
      </c>
      <c r="H759" s="118" t="str">
        <f>IFERROR(VLOOKUP(E759,名称!A:E,4,0),"")</f>
        <v>三代</v>
      </c>
      <c r="I759" s="418" t="str">
        <f t="shared" si="1139"/>
        <v/>
      </c>
      <c r="J759" s="418" t="str">
        <f t="shared" si="1140"/>
        <v/>
      </c>
      <c r="K759" s="418" t="str">
        <f t="shared" si="1141"/>
        <v/>
      </c>
      <c r="L759" s="418" t="str">
        <f t="shared" si="1142"/>
        <v/>
      </c>
      <c r="M759" s="418" t="str">
        <f t="shared" si="1143"/>
        <v/>
      </c>
      <c r="N759" s="418" t="str">
        <f t="shared" si="1144"/>
        <v/>
      </c>
      <c r="O759" s="418" t="str">
        <f t="shared" si="1145"/>
        <v/>
      </c>
      <c r="P759" s="418" t="str">
        <f t="shared" si="1146"/>
        <v/>
      </c>
      <c r="Q759" s="418" t="str">
        <f t="shared" si="1147"/>
        <v/>
      </c>
      <c r="R759" s="418" t="str">
        <f t="shared" si="1148"/>
        <v/>
      </c>
      <c r="S759" s="418" t="str">
        <f t="shared" si="1149"/>
        <v/>
      </c>
      <c r="T759" s="418" t="str">
        <f t="shared" si="1150"/>
        <v/>
      </c>
      <c r="U759" s="418" t="str">
        <f t="shared" si="1151"/>
        <v/>
      </c>
      <c r="V759" s="418" t="str">
        <f t="shared" si="1152"/>
        <v/>
      </c>
      <c r="W759" s="418" t="str">
        <f t="shared" si="1153"/>
        <v/>
      </c>
      <c r="X759" s="418" t="str">
        <f t="shared" si="1154"/>
        <v/>
      </c>
      <c r="Y759" s="418" t="str">
        <f t="shared" si="1155"/>
        <v/>
      </c>
      <c r="Z759" s="418" t="str">
        <f t="shared" si="1156"/>
        <v/>
      </c>
      <c r="AA759" s="418" t="str">
        <f t="shared" si="1157"/>
        <v/>
      </c>
      <c r="AB759" s="418" t="str">
        <f t="shared" si="1158"/>
        <v/>
      </c>
      <c r="AC759" s="418" t="str">
        <f t="shared" si="1159"/>
        <v/>
      </c>
      <c r="AD759" s="418" t="str">
        <f t="shared" si="1160"/>
        <v/>
      </c>
      <c r="AE759" s="418" t="str">
        <f t="shared" si="1161"/>
        <v/>
      </c>
      <c r="AF759" s="418" t="str">
        <f t="shared" si="1162"/>
        <v/>
      </c>
      <c r="AG759" s="418" t="str">
        <f t="shared" si="1163"/>
        <v/>
      </c>
      <c r="AH759" s="418" t="str">
        <f t="shared" si="1164"/>
        <v/>
      </c>
      <c r="AI759" s="418" t="str">
        <f t="shared" si="1165"/>
        <v/>
      </c>
      <c r="AJ759" s="418" t="str">
        <f t="shared" si="1166"/>
        <v/>
      </c>
      <c r="AK759" s="418" t="str">
        <f t="shared" si="1167"/>
        <v/>
      </c>
      <c r="AL759" s="418" t="str">
        <f t="shared" si="1168"/>
        <v/>
      </c>
      <c r="AM759" s="418" t="str">
        <f t="shared" si="1169"/>
        <v/>
      </c>
      <c r="AN759" s="418" t="str">
        <f t="shared" si="1170"/>
        <v/>
      </c>
      <c r="AO759" s="418" t="str">
        <f t="shared" si="1171"/>
        <v/>
      </c>
      <c r="AP759" s="418" t="str">
        <f t="shared" si="1172"/>
        <v/>
      </c>
      <c r="AQ759" s="418" t="str">
        <f t="shared" si="1173"/>
        <v/>
      </c>
      <c r="AR759" s="418" t="str">
        <f t="shared" si="1174"/>
        <v/>
      </c>
      <c r="AS759" s="418" t="str">
        <f t="shared" si="1175"/>
        <v/>
      </c>
      <c r="AT759" s="418" t="str">
        <f t="shared" si="1176"/>
        <v/>
      </c>
      <c r="AU759" s="418" t="str">
        <f t="shared" si="1177"/>
        <v/>
      </c>
      <c r="AV759" s="418" t="str">
        <f t="shared" si="1178"/>
        <v/>
      </c>
      <c r="AW759" s="418" t="str">
        <f t="shared" si="1179"/>
        <v/>
      </c>
      <c r="AX759" s="418" t="str">
        <f t="shared" si="1180"/>
        <v/>
      </c>
      <c r="AY759" s="418" t="str">
        <f t="shared" si="1181"/>
        <v/>
      </c>
      <c r="AZ759" s="418">
        <f t="shared" si="1182"/>
        <v>4020</v>
      </c>
      <c r="BA759" s="418" t="str">
        <f t="shared" si="1183"/>
        <v/>
      </c>
      <c r="BB759" s="418" t="str">
        <f t="shared" si="1184"/>
        <v/>
      </c>
      <c r="BC759" s="418" t="str">
        <f t="shared" si="1185"/>
        <v/>
      </c>
      <c r="BD759" s="418" t="str">
        <f t="shared" si="1186"/>
        <v/>
      </c>
      <c r="BE759" s="418" t="str">
        <f t="shared" si="1187"/>
        <v/>
      </c>
      <c r="BF759" s="418" t="str">
        <f t="shared" si="1188"/>
        <v/>
      </c>
      <c r="BG759" s="418" t="str">
        <f t="shared" si="1189"/>
        <v/>
      </c>
      <c r="BH759" s="418" t="str">
        <f t="shared" si="1190"/>
        <v/>
      </c>
      <c r="BI759" s="418" t="str">
        <f t="shared" si="1191"/>
        <v/>
      </c>
      <c r="BJ759" s="418" t="str">
        <f t="shared" si="1192"/>
        <v/>
      </c>
      <c r="BK759" s="418" t="str">
        <f t="shared" ref="BK759:BS759" si="1212">IF(OR($E759="",BK$1=""),"",IF(TRIM(LEFT($E759,MIN(IFERROR(FIND("CDU",UPPER($E759)),999),IFERROR(FIND("BULK",UPPER($E759)),999),IFERROR(FIND("-",$E759),999),IFERROR(FIND("（",$E759),999))-1))=BK$1,$F759,""))</f>
        <v/>
      </c>
      <c r="BL759" s="418" t="str">
        <f t="shared" si="1212"/>
        <v/>
      </c>
      <c r="BM759" s="418" t="str">
        <f t="shared" si="1212"/>
        <v/>
      </c>
      <c r="BN759" s="418" t="str">
        <f t="shared" si="1212"/>
        <v/>
      </c>
      <c r="BO759" s="418" t="str">
        <f t="shared" si="1212"/>
        <v/>
      </c>
      <c r="BP759" s="418" t="str">
        <f t="shared" si="1212"/>
        <v/>
      </c>
      <c r="BQ759" s="418" t="str">
        <f t="shared" si="1212"/>
        <v/>
      </c>
      <c r="BR759" s="418" t="str">
        <f t="shared" si="1212"/>
        <v/>
      </c>
      <c r="BS759" s="418" t="str">
        <f t="shared" si="1212"/>
        <v/>
      </c>
      <c r="BT759" s="418" t="str">
        <f t="shared" si="1194"/>
        <v/>
      </c>
      <c r="BU759" s="418" t="str">
        <f t="shared" si="1195"/>
        <v/>
      </c>
      <c r="BV759" s="544">
        <v>2.57</v>
      </c>
      <c r="BW759" s="723">
        <f t="shared" si="1116"/>
        <v>10331.4</v>
      </c>
      <c r="BX759" s="724">
        <f t="shared" si="1117"/>
        <v>80068.35</v>
      </c>
      <c r="BY759" s="725" t="str">
        <f t="shared" si="1118"/>
        <v>SR</v>
      </c>
    </row>
    <row r="760" s="697" customFormat="1" customHeight="1" spans="1:77">
      <c r="A760" s="116">
        <v>46139</v>
      </c>
      <c r="B760" s="116">
        <v>46200</v>
      </c>
      <c r="C760" s="418" t="s">
        <v>791</v>
      </c>
      <c r="D760" s="418" t="s">
        <v>792</v>
      </c>
      <c r="E760" s="418" t="s">
        <v>175</v>
      </c>
      <c r="F760" s="737">
        <v>2016</v>
      </c>
      <c r="G760" s="418" t="s">
        <v>341</v>
      </c>
      <c r="H760" s="118" t="str">
        <f>IFERROR(VLOOKUP(E760,名称!A:E,4,0),"")</f>
        <v>三代</v>
      </c>
      <c r="I760" s="418" t="str">
        <f t="shared" si="1139"/>
        <v/>
      </c>
      <c r="J760" s="418" t="str">
        <f t="shared" si="1140"/>
        <v/>
      </c>
      <c r="K760" s="418" t="str">
        <f t="shared" si="1141"/>
        <v/>
      </c>
      <c r="L760" s="418" t="str">
        <f t="shared" si="1142"/>
        <v/>
      </c>
      <c r="M760" s="418" t="str">
        <f t="shared" si="1143"/>
        <v/>
      </c>
      <c r="N760" s="418" t="str">
        <f t="shared" si="1144"/>
        <v/>
      </c>
      <c r="O760" s="418" t="str">
        <f t="shared" si="1145"/>
        <v/>
      </c>
      <c r="P760" s="418" t="str">
        <f t="shared" si="1146"/>
        <v/>
      </c>
      <c r="Q760" s="418" t="str">
        <f t="shared" si="1147"/>
        <v/>
      </c>
      <c r="R760" s="418" t="str">
        <f t="shared" si="1148"/>
        <v/>
      </c>
      <c r="S760" s="418" t="str">
        <f t="shared" si="1149"/>
        <v/>
      </c>
      <c r="T760" s="418" t="str">
        <f t="shared" si="1150"/>
        <v/>
      </c>
      <c r="U760" s="418" t="str">
        <f t="shared" si="1151"/>
        <v/>
      </c>
      <c r="V760" s="418" t="str">
        <f t="shared" si="1152"/>
        <v/>
      </c>
      <c r="W760" s="418" t="str">
        <f t="shared" si="1153"/>
        <v/>
      </c>
      <c r="X760" s="418" t="str">
        <f t="shared" si="1154"/>
        <v/>
      </c>
      <c r="Y760" s="418" t="str">
        <f t="shared" si="1155"/>
        <v/>
      </c>
      <c r="Z760" s="418" t="str">
        <f t="shared" si="1156"/>
        <v/>
      </c>
      <c r="AA760" s="418" t="str">
        <f t="shared" si="1157"/>
        <v/>
      </c>
      <c r="AB760" s="418" t="str">
        <f t="shared" si="1158"/>
        <v/>
      </c>
      <c r="AC760" s="418" t="str">
        <f t="shared" si="1159"/>
        <v/>
      </c>
      <c r="AD760" s="418" t="str">
        <f t="shared" si="1160"/>
        <v/>
      </c>
      <c r="AE760" s="418" t="str">
        <f t="shared" si="1161"/>
        <v/>
      </c>
      <c r="AF760" s="418" t="str">
        <f t="shared" si="1162"/>
        <v/>
      </c>
      <c r="AG760" s="418" t="str">
        <f t="shared" si="1163"/>
        <v/>
      </c>
      <c r="AH760" s="418" t="str">
        <f t="shared" si="1164"/>
        <v/>
      </c>
      <c r="AI760" s="418" t="str">
        <f t="shared" si="1165"/>
        <v/>
      </c>
      <c r="AJ760" s="418" t="str">
        <f t="shared" si="1166"/>
        <v/>
      </c>
      <c r="AK760" s="418" t="str">
        <f t="shared" si="1167"/>
        <v/>
      </c>
      <c r="AL760" s="418" t="str">
        <f t="shared" si="1168"/>
        <v/>
      </c>
      <c r="AM760" s="418" t="str">
        <f t="shared" si="1169"/>
        <v/>
      </c>
      <c r="AN760" s="418" t="str">
        <f t="shared" si="1170"/>
        <v/>
      </c>
      <c r="AO760" s="418" t="str">
        <f t="shared" si="1171"/>
        <v/>
      </c>
      <c r="AP760" s="418" t="str">
        <f t="shared" si="1172"/>
        <v/>
      </c>
      <c r="AQ760" s="418" t="str">
        <f t="shared" si="1173"/>
        <v/>
      </c>
      <c r="AR760" s="418" t="str">
        <f t="shared" si="1174"/>
        <v/>
      </c>
      <c r="AS760" s="418" t="str">
        <f t="shared" si="1175"/>
        <v/>
      </c>
      <c r="AT760" s="418" t="str">
        <f t="shared" si="1176"/>
        <v/>
      </c>
      <c r="AU760" s="418" t="str">
        <f t="shared" si="1177"/>
        <v/>
      </c>
      <c r="AV760" s="418" t="str">
        <f t="shared" si="1178"/>
        <v/>
      </c>
      <c r="AW760" s="418" t="str">
        <f t="shared" si="1179"/>
        <v/>
      </c>
      <c r="AX760" s="418" t="str">
        <f t="shared" si="1180"/>
        <v/>
      </c>
      <c r="AY760" s="418" t="str">
        <f t="shared" si="1181"/>
        <v/>
      </c>
      <c r="AZ760" s="418" t="str">
        <f t="shared" si="1182"/>
        <v/>
      </c>
      <c r="BA760" s="418" t="str">
        <f t="shared" si="1183"/>
        <v/>
      </c>
      <c r="BB760" s="418">
        <f t="shared" si="1184"/>
        <v>2016</v>
      </c>
      <c r="BC760" s="418" t="str">
        <f t="shared" si="1185"/>
        <v/>
      </c>
      <c r="BD760" s="418" t="str">
        <f t="shared" si="1186"/>
        <v/>
      </c>
      <c r="BE760" s="418" t="str">
        <f t="shared" si="1187"/>
        <v/>
      </c>
      <c r="BF760" s="418" t="str">
        <f t="shared" si="1188"/>
        <v/>
      </c>
      <c r="BG760" s="418" t="str">
        <f t="shared" si="1189"/>
        <v/>
      </c>
      <c r="BH760" s="418" t="str">
        <f t="shared" si="1190"/>
        <v/>
      </c>
      <c r="BI760" s="418" t="str">
        <f t="shared" si="1191"/>
        <v/>
      </c>
      <c r="BJ760" s="418" t="str">
        <f t="shared" si="1192"/>
        <v/>
      </c>
      <c r="BK760" s="418" t="str">
        <f t="shared" ref="BK760:BS760" si="1213">IF(OR($E760="",BK$1=""),"",IF(TRIM(LEFT($E760,MIN(IFERROR(FIND("CDU",UPPER($E760)),999),IFERROR(FIND("BULK",UPPER($E760)),999),IFERROR(FIND("-",$E760),999),IFERROR(FIND("（",$E760),999))-1))=BK$1,$F760,""))</f>
        <v/>
      </c>
      <c r="BL760" s="418" t="str">
        <f t="shared" si="1213"/>
        <v/>
      </c>
      <c r="BM760" s="418" t="str">
        <f t="shared" si="1213"/>
        <v/>
      </c>
      <c r="BN760" s="418" t="str">
        <f t="shared" si="1213"/>
        <v/>
      </c>
      <c r="BO760" s="418" t="str">
        <f t="shared" si="1213"/>
        <v/>
      </c>
      <c r="BP760" s="418" t="str">
        <f t="shared" si="1213"/>
        <v/>
      </c>
      <c r="BQ760" s="418" t="str">
        <f t="shared" si="1213"/>
        <v/>
      </c>
      <c r="BR760" s="418" t="str">
        <f t="shared" si="1213"/>
        <v/>
      </c>
      <c r="BS760" s="418" t="str">
        <f t="shared" si="1213"/>
        <v/>
      </c>
      <c r="BT760" s="418" t="str">
        <f t="shared" si="1194"/>
        <v/>
      </c>
      <c r="BU760" s="418" t="str">
        <f t="shared" si="1195"/>
        <v/>
      </c>
      <c r="BV760" s="544">
        <v>1.3</v>
      </c>
      <c r="BW760" s="723">
        <f t="shared" si="1116"/>
        <v>2620.8</v>
      </c>
      <c r="BX760" s="724">
        <f t="shared" si="1117"/>
        <v>20311.2</v>
      </c>
      <c r="BY760" s="725" t="str">
        <f t="shared" si="1118"/>
        <v>SR</v>
      </c>
    </row>
    <row r="761" s="697" customFormat="1" customHeight="1" spans="1:77">
      <c r="A761" s="116">
        <v>46139</v>
      </c>
      <c r="B761" s="116">
        <v>46200</v>
      </c>
      <c r="C761" s="418" t="s">
        <v>791</v>
      </c>
      <c r="D761" s="418" t="s">
        <v>792</v>
      </c>
      <c r="E761" s="418" t="s">
        <v>176</v>
      </c>
      <c r="F761" s="737">
        <v>2016</v>
      </c>
      <c r="G761" s="418" t="s">
        <v>341</v>
      </c>
      <c r="H761" s="118" t="str">
        <f>IFERROR(VLOOKUP(E761,名称!A:E,4,0),"")</f>
        <v>三代</v>
      </c>
      <c r="I761" s="418" t="str">
        <f t="shared" si="1139"/>
        <v/>
      </c>
      <c r="J761" s="418" t="str">
        <f t="shared" si="1140"/>
        <v/>
      </c>
      <c r="K761" s="418" t="str">
        <f t="shared" si="1141"/>
        <v/>
      </c>
      <c r="L761" s="418" t="str">
        <f t="shared" si="1142"/>
        <v/>
      </c>
      <c r="M761" s="418" t="str">
        <f t="shared" si="1143"/>
        <v/>
      </c>
      <c r="N761" s="418" t="str">
        <f t="shared" si="1144"/>
        <v/>
      </c>
      <c r="O761" s="418" t="str">
        <f t="shared" si="1145"/>
        <v/>
      </c>
      <c r="P761" s="418" t="str">
        <f t="shared" si="1146"/>
        <v/>
      </c>
      <c r="Q761" s="418" t="str">
        <f t="shared" si="1147"/>
        <v/>
      </c>
      <c r="R761" s="418" t="str">
        <f t="shared" si="1148"/>
        <v/>
      </c>
      <c r="S761" s="418" t="str">
        <f t="shared" si="1149"/>
        <v/>
      </c>
      <c r="T761" s="418" t="str">
        <f t="shared" si="1150"/>
        <v/>
      </c>
      <c r="U761" s="418" t="str">
        <f t="shared" si="1151"/>
        <v/>
      </c>
      <c r="V761" s="418" t="str">
        <f t="shared" si="1152"/>
        <v/>
      </c>
      <c r="W761" s="418" t="str">
        <f t="shared" si="1153"/>
        <v/>
      </c>
      <c r="X761" s="418" t="str">
        <f t="shared" si="1154"/>
        <v/>
      </c>
      <c r="Y761" s="418" t="str">
        <f t="shared" si="1155"/>
        <v/>
      </c>
      <c r="Z761" s="418" t="str">
        <f t="shared" si="1156"/>
        <v/>
      </c>
      <c r="AA761" s="418" t="str">
        <f t="shared" si="1157"/>
        <v/>
      </c>
      <c r="AB761" s="418" t="str">
        <f t="shared" si="1158"/>
        <v/>
      </c>
      <c r="AC761" s="418" t="str">
        <f t="shared" si="1159"/>
        <v/>
      </c>
      <c r="AD761" s="418" t="str">
        <f t="shared" si="1160"/>
        <v/>
      </c>
      <c r="AE761" s="418" t="str">
        <f t="shared" si="1161"/>
        <v/>
      </c>
      <c r="AF761" s="418" t="str">
        <f t="shared" si="1162"/>
        <v/>
      </c>
      <c r="AG761" s="418" t="str">
        <f t="shared" si="1163"/>
        <v/>
      </c>
      <c r="AH761" s="418" t="str">
        <f t="shared" si="1164"/>
        <v/>
      </c>
      <c r="AI761" s="418" t="str">
        <f t="shared" si="1165"/>
        <v/>
      </c>
      <c r="AJ761" s="418" t="str">
        <f t="shared" si="1166"/>
        <v/>
      </c>
      <c r="AK761" s="418" t="str">
        <f t="shared" si="1167"/>
        <v/>
      </c>
      <c r="AL761" s="418" t="str">
        <f t="shared" si="1168"/>
        <v/>
      </c>
      <c r="AM761" s="418" t="str">
        <f t="shared" si="1169"/>
        <v/>
      </c>
      <c r="AN761" s="418" t="str">
        <f t="shared" si="1170"/>
        <v/>
      </c>
      <c r="AO761" s="418" t="str">
        <f t="shared" si="1171"/>
        <v/>
      </c>
      <c r="AP761" s="418" t="str">
        <f t="shared" si="1172"/>
        <v/>
      </c>
      <c r="AQ761" s="418" t="str">
        <f t="shared" si="1173"/>
        <v/>
      </c>
      <c r="AR761" s="418" t="str">
        <f t="shared" si="1174"/>
        <v/>
      </c>
      <c r="AS761" s="418" t="str">
        <f t="shared" si="1175"/>
        <v/>
      </c>
      <c r="AT761" s="418" t="str">
        <f t="shared" si="1176"/>
        <v/>
      </c>
      <c r="AU761" s="418" t="str">
        <f t="shared" si="1177"/>
        <v/>
      </c>
      <c r="AV761" s="418" t="str">
        <f t="shared" si="1178"/>
        <v/>
      </c>
      <c r="AW761" s="418" t="str">
        <f t="shared" si="1179"/>
        <v/>
      </c>
      <c r="AX761" s="418" t="str">
        <f t="shared" si="1180"/>
        <v/>
      </c>
      <c r="AY761" s="418" t="str">
        <f t="shared" si="1181"/>
        <v/>
      </c>
      <c r="AZ761" s="418" t="str">
        <f t="shared" si="1182"/>
        <v/>
      </c>
      <c r="BA761" s="418" t="str">
        <f t="shared" si="1183"/>
        <v/>
      </c>
      <c r="BB761" s="418">
        <f t="shared" si="1184"/>
        <v>2016</v>
      </c>
      <c r="BC761" s="418" t="str">
        <f t="shared" si="1185"/>
        <v/>
      </c>
      <c r="BD761" s="418" t="str">
        <f t="shared" si="1186"/>
        <v/>
      </c>
      <c r="BE761" s="418" t="str">
        <f t="shared" si="1187"/>
        <v/>
      </c>
      <c r="BF761" s="418" t="str">
        <f t="shared" si="1188"/>
        <v/>
      </c>
      <c r="BG761" s="418" t="str">
        <f t="shared" si="1189"/>
        <v/>
      </c>
      <c r="BH761" s="418" t="str">
        <f t="shared" si="1190"/>
        <v/>
      </c>
      <c r="BI761" s="418" t="str">
        <f t="shared" si="1191"/>
        <v/>
      </c>
      <c r="BJ761" s="418" t="str">
        <f t="shared" si="1192"/>
        <v/>
      </c>
      <c r="BK761" s="418" t="str">
        <f t="shared" ref="BK761:BS761" si="1214">IF(OR($E761="",BK$1=""),"",IF(TRIM(LEFT($E761,MIN(IFERROR(FIND("CDU",UPPER($E761)),999),IFERROR(FIND("BULK",UPPER($E761)),999),IFERROR(FIND("-",$E761),999),IFERROR(FIND("（",$E761),999))-1))=BK$1,$F761,""))</f>
        <v/>
      </c>
      <c r="BL761" s="418" t="str">
        <f t="shared" si="1214"/>
        <v/>
      </c>
      <c r="BM761" s="418" t="str">
        <f t="shared" si="1214"/>
        <v/>
      </c>
      <c r="BN761" s="418" t="str">
        <f t="shared" si="1214"/>
        <v/>
      </c>
      <c r="BO761" s="418" t="str">
        <f t="shared" si="1214"/>
        <v/>
      </c>
      <c r="BP761" s="418" t="str">
        <f t="shared" si="1214"/>
        <v/>
      </c>
      <c r="BQ761" s="418" t="str">
        <f t="shared" si="1214"/>
        <v/>
      </c>
      <c r="BR761" s="418" t="str">
        <f t="shared" si="1214"/>
        <v/>
      </c>
      <c r="BS761" s="418" t="str">
        <f t="shared" si="1214"/>
        <v/>
      </c>
      <c r="BT761" s="418" t="str">
        <f t="shared" si="1194"/>
        <v/>
      </c>
      <c r="BU761" s="418" t="str">
        <f t="shared" si="1195"/>
        <v/>
      </c>
      <c r="BV761" s="544">
        <v>1.3</v>
      </c>
      <c r="BW761" s="723">
        <f t="shared" ref="BW761:BW773" si="1215">SUM(I761:BU761)*BV761</f>
        <v>2620.8</v>
      </c>
      <c r="BX761" s="724">
        <f t="shared" ref="BX761:BX773" si="1216">BW761*7.75</f>
        <v>20311.2</v>
      </c>
      <c r="BY761" s="725" t="str">
        <f t="shared" ref="BY761:BY773" si="1217">MID(E761,1,2)</f>
        <v>SR</v>
      </c>
    </row>
    <row r="762" s="697" customFormat="1" customHeight="1" spans="1:77">
      <c r="A762" s="116">
        <v>46139</v>
      </c>
      <c r="B762" s="116">
        <v>46200</v>
      </c>
      <c r="C762" s="418" t="s">
        <v>791</v>
      </c>
      <c r="D762" s="418" t="s">
        <v>792</v>
      </c>
      <c r="E762" s="418" t="s">
        <v>177</v>
      </c>
      <c r="F762" s="737">
        <v>2016</v>
      </c>
      <c r="G762" s="418" t="s">
        <v>341</v>
      </c>
      <c r="H762" s="118" t="str">
        <f>IFERROR(VLOOKUP(E762,名称!A:E,4,0),"")</f>
        <v>三代</v>
      </c>
      <c r="I762" s="418" t="str">
        <f t="shared" si="1139"/>
        <v/>
      </c>
      <c r="J762" s="418" t="str">
        <f t="shared" si="1140"/>
        <v/>
      </c>
      <c r="K762" s="418" t="str">
        <f t="shared" si="1141"/>
        <v/>
      </c>
      <c r="L762" s="418" t="str">
        <f t="shared" si="1142"/>
        <v/>
      </c>
      <c r="M762" s="418" t="str">
        <f t="shared" si="1143"/>
        <v/>
      </c>
      <c r="N762" s="418" t="str">
        <f t="shared" si="1144"/>
        <v/>
      </c>
      <c r="O762" s="418" t="str">
        <f t="shared" si="1145"/>
        <v/>
      </c>
      <c r="P762" s="418" t="str">
        <f t="shared" si="1146"/>
        <v/>
      </c>
      <c r="Q762" s="418" t="str">
        <f t="shared" si="1147"/>
        <v/>
      </c>
      <c r="R762" s="418" t="str">
        <f t="shared" si="1148"/>
        <v/>
      </c>
      <c r="S762" s="418" t="str">
        <f t="shared" si="1149"/>
        <v/>
      </c>
      <c r="T762" s="418" t="str">
        <f t="shared" si="1150"/>
        <v/>
      </c>
      <c r="U762" s="418" t="str">
        <f t="shared" si="1151"/>
        <v/>
      </c>
      <c r="V762" s="418" t="str">
        <f t="shared" si="1152"/>
        <v/>
      </c>
      <c r="W762" s="418" t="str">
        <f t="shared" si="1153"/>
        <v/>
      </c>
      <c r="X762" s="418" t="str">
        <f t="shared" si="1154"/>
        <v/>
      </c>
      <c r="Y762" s="418" t="str">
        <f t="shared" si="1155"/>
        <v/>
      </c>
      <c r="Z762" s="418" t="str">
        <f t="shared" si="1156"/>
        <v/>
      </c>
      <c r="AA762" s="418" t="str">
        <f t="shared" si="1157"/>
        <v/>
      </c>
      <c r="AB762" s="418" t="str">
        <f t="shared" si="1158"/>
        <v/>
      </c>
      <c r="AC762" s="418" t="str">
        <f t="shared" si="1159"/>
        <v/>
      </c>
      <c r="AD762" s="418" t="str">
        <f t="shared" si="1160"/>
        <v/>
      </c>
      <c r="AE762" s="418" t="str">
        <f t="shared" si="1161"/>
        <v/>
      </c>
      <c r="AF762" s="418" t="str">
        <f t="shared" si="1162"/>
        <v/>
      </c>
      <c r="AG762" s="418" t="str">
        <f t="shared" si="1163"/>
        <v/>
      </c>
      <c r="AH762" s="418" t="str">
        <f t="shared" si="1164"/>
        <v/>
      </c>
      <c r="AI762" s="418" t="str">
        <f t="shared" si="1165"/>
        <v/>
      </c>
      <c r="AJ762" s="418" t="str">
        <f t="shared" si="1166"/>
        <v/>
      </c>
      <c r="AK762" s="418" t="str">
        <f t="shared" si="1167"/>
        <v/>
      </c>
      <c r="AL762" s="418" t="str">
        <f t="shared" si="1168"/>
        <v/>
      </c>
      <c r="AM762" s="418" t="str">
        <f t="shared" si="1169"/>
        <v/>
      </c>
      <c r="AN762" s="418" t="str">
        <f t="shared" si="1170"/>
        <v/>
      </c>
      <c r="AO762" s="418" t="str">
        <f t="shared" si="1171"/>
        <v/>
      </c>
      <c r="AP762" s="418" t="str">
        <f t="shared" si="1172"/>
        <v/>
      </c>
      <c r="AQ762" s="418" t="str">
        <f t="shared" si="1173"/>
        <v/>
      </c>
      <c r="AR762" s="418" t="str">
        <f t="shared" si="1174"/>
        <v/>
      </c>
      <c r="AS762" s="418" t="str">
        <f t="shared" si="1175"/>
        <v/>
      </c>
      <c r="AT762" s="418" t="str">
        <f t="shared" si="1176"/>
        <v/>
      </c>
      <c r="AU762" s="418" t="str">
        <f t="shared" si="1177"/>
        <v/>
      </c>
      <c r="AV762" s="418" t="str">
        <f t="shared" si="1178"/>
        <v/>
      </c>
      <c r="AW762" s="418" t="str">
        <f t="shared" si="1179"/>
        <v/>
      </c>
      <c r="AX762" s="418" t="str">
        <f t="shared" si="1180"/>
        <v/>
      </c>
      <c r="AY762" s="418" t="str">
        <f t="shared" si="1181"/>
        <v/>
      </c>
      <c r="AZ762" s="418" t="str">
        <f t="shared" si="1182"/>
        <v/>
      </c>
      <c r="BA762" s="418" t="str">
        <f t="shared" si="1183"/>
        <v/>
      </c>
      <c r="BB762" s="418">
        <f t="shared" si="1184"/>
        <v>2016</v>
      </c>
      <c r="BC762" s="418" t="str">
        <f t="shared" si="1185"/>
        <v/>
      </c>
      <c r="BD762" s="418" t="str">
        <f t="shared" si="1186"/>
        <v/>
      </c>
      <c r="BE762" s="418" t="str">
        <f t="shared" si="1187"/>
        <v/>
      </c>
      <c r="BF762" s="418" t="str">
        <f t="shared" si="1188"/>
        <v/>
      </c>
      <c r="BG762" s="418" t="str">
        <f t="shared" si="1189"/>
        <v/>
      </c>
      <c r="BH762" s="418" t="str">
        <f t="shared" si="1190"/>
        <v/>
      </c>
      <c r="BI762" s="418" t="str">
        <f t="shared" si="1191"/>
        <v/>
      </c>
      <c r="BJ762" s="418" t="str">
        <f t="shared" si="1192"/>
        <v/>
      </c>
      <c r="BK762" s="418" t="str">
        <f t="shared" ref="BK762:BS762" si="1218">IF(OR($E762="",BK$1=""),"",IF(TRIM(LEFT($E762,MIN(IFERROR(FIND("CDU",UPPER($E762)),999),IFERROR(FIND("BULK",UPPER($E762)),999),IFERROR(FIND("-",$E762),999),IFERROR(FIND("（",$E762),999))-1))=BK$1,$F762,""))</f>
        <v/>
      </c>
      <c r="BL762" s="418" t="str">
        <f t="shared" si="1218"/>
        <v/>
      </c>
      <c r="BM762" s="418" t="str">
        <f t="shared" si="1218"/>
        <v/>
      </c>
      <c r="BN762" s="418" t="str">
        <f t="shared" si="1218"/>
        <v/>
      </c>
      <c r="BO762" s="418" t="str">
        <f t="shared" si="1218"/>
        <v/>
      </c>
      <c r="BP762" s="418" t="str">
        <f t="shared" si="1218"/>
        <v/>
      </c>
      <c r="BQ762" s="418" t="str">
        <f t="shared" si="1218"/>
        <v/>
      </c>
      <c r="BR762" s="418" t="str">
        <f t="shared" si="1218"/>
        <v/>
      </c>
      <c r="BS762" s="418" t="str">
        <f t="shared" si="1218"/>
        <v/>
      </c>
      <c r="BT762" s="418" t="str">
        <f t="shared" si="1194"/>
        <v/>
      </c>
      <c r="BU762" s="418" t="str">
        <f t="shared" si="1195"/>
        <v/>
      </c>
      <c r="BV762" s="544">
        <v>1.3</v>
      </c>
      <c r="BW762" s="723">
        <f t="shared" si="1215"/>
        <v>2620.8</v>
      </c>
      <c r="BX762" s="724">
        <f t="shared" si="1216"/>
        <v>20311.2</v>
      </c>
      <c r="BY762" s="725" t="str">
        <f t="shared" si="1217"/>
        <v>SR</v>
      </c>
    </row>
    <row r="763" s="697" customFormat="1" customHeight="1" spans="1:77">
      <c r="A763" s="116">
        <v>46139</v>
      </c>
      <c r="B763" s="116">
        <v>46200</v>
      </c>
      <c r="C763" s="418" t="s">
        <v>791</v>
      </c>
      <c r="D763" s="418" t="s">
        <v>792</v>
      </c>
      <c r="E763" s="418" t="s">
        <v>152</v>
      </c>
      <c r="F763" s="737">
        <v>3264</v>
      </c>
      <c r="G763" s="418" t="s">
        <v>341</v>
      </c>
      <c r="H763" s="118" t="str">
        <f>IFERROR(VLOOKUP(E763,名称!A:E,4,0),"")</f>
        <v>三代</v>
      </c>
      <c r="I763" s="418" t="str">
        <f t="shared" si="1139"/>
        <v/>
      </c>
      <c r="J763" s="418" t="str">
        <f t="shared" si="1140"/>
        <v/>
      </c>
      <c r="K763" s="418" t="str">
        <f t="shared" si="1141"/>
        <v/>
      </c>
      <c r="L763" s="418" t="str">
        <f t="shared" si="1142"/>
        <v/>
      </c>
      <c r="M763" s="418" t="str">
        <f t="shared" si="1143"/>
        <v/>
      </c>
      <c r="N763" s="418" t="str">
        <f t="shared" si="1144"/>
        <v/>
      </c>
      <c r="O763" s="418" t="str">
        <f t="shared" si="1145"/>
        <v/>
      </c>
      <c r="P763" s="418" t="str">
        <f t="shared" si="1146"/>
        <v/>
      </c>
      <c r="Q763" s="418" t="str">
        <f t="shared" si="1147"/>
        <v/>
      </c>
      <c r="R763" s="418" t="str">
        <f t="shared" si="1148"/>
        <v/>
      </c>
      <c r="S763" s="418" t="str">
        <f t="shared" si="1149"/>
        <v/>
      </c>
      <c r="T763" s="418" t="str">
        <f t="shared" si="1150"/>
        <v/>
      </c>
      <c r="U763" s="418" t="str">
        <f t="shared" si="1151"/>
        <v/>
      </c>
      <c r="V763" s="418" t="str">
        <f t="shared" si="1152"/>
        <v/>
      </c>
      <c r="W763" s="418" t="str">
        <f t="shared" si="1153"/>
        <v/>
      </c>
      <c r="X763" s="418" t="str">
        <f t="shared" si="1154"/>
        <v/>
      </c>
      <c r="Y763" s="418" t="str">
        <f t="shared" si="1155"/>
        <v/>
      </c>
      <c r="Z763" s="418" t="str">
        <f t="shared" si="1156"/>
        <v/>
      </c>
      <c r="AA763" s="418" t="str">
        <f t="shared" si="1157"/>
        <v/>
      </c>
      <c r="AB763" s="418" t="str">
        <f t="shared" si="1158"/>
        <v/>
      </c>
      <c r="AC763" s="418" t="str">
        <f t="shared" si="1159"/>
        <v/>
      </c>
      <c r="AD763" s="418" t="str">
        <f t="shared" si="1160"/>
        <v/>
      </c>
      <c r="AE763" s="418" t="str">
        <f t="shared" si="1161"/>
        <v/>
      </c>
      <c r="AF763" s="418" t="str">
        <f t="shared" si="1162"/>
        <v/>
      </c>
      <c r="AG763" s="418" t="str">
        <f t="shared" si="1163"/>
        <v/>
      </c>
      <c r="AH763" s="418" t="str">
        <f t="shared" si="1164"/>
        <v/>
      </c>
      <c r="AI763" s="418" t="str">
        <f t="shared" si="1165"/>
        <v/>
      </c>
      <c r="AJ763" s="418" t="str">
        <f t="shared" si="1166"/>
        <v/>
      </c>
      <c r="AK763" s="418" t="str">
        <f t="shared" si="1167"/>
        <v/>
      </c>
      <c r="AL763" s="418" t="str">
        <f t="shared" si="1168"/>
        <v/>
      </c>
      <c r="AM763" s="418">
        <f t="shared" si="1169"/>
        <v>3264</v>
      </c>
      <c r="AN763" s="418" t="str">
        <f t="shared" si="1170"/>
        <v/>
      </c>
      <c r="AO763" s="418" t="str">
        <f t="shared" si="1171"/>
        <v/>
      </c>
      <c r="AP763" s="418" t="str">
        <f t="shared" si="1172"/>
        <v/>
      </c>
      <c r="AQ763" s="418" t="str">
        <f t="shared" si="1173"/>
        <v/>
      </c>
      <c r="AR763" s="418" t="str">
        <f t="shared" si="1174"/>
        <v/>
      </c>
      <c r="AS763" s="418" t="str">
        <f t="shared" si="1175"/>
        <v/>
      </c>
      <c r="AT763" s="418" t="str">
        <f t="shared" si="1176"/>
        <v/>
      </c>
      <c r="AU763" s="418" t="str">
        <f t="shared" si="1177"/>
        <v/>
      </c>
      <c r="AV763" s="418" t="str">
        <f t="shared" si="1178"/>
        <v/>
      </c>
      <c r="AW763" s="418" t="str">
        <f t="shared" si="1179"/>
        <v/>
      </c>
      <c r="AX763" s="418" t="str">
        <f t="shared" si="1180"/>
        <v/>
      </c>
      <c r="AY763" s="418" t="str">
        <f t="shared" si="1181"/>
        <v/>
      </c>
      <c r="AZ763" s="418" t="str">
        <f t="shared" si="1182"/>
        <v/>
      </c>
      <c r="BA763" s="418" t="str">
        <f t="shared" si="1183"/>
        <v/>
      </c>
      <c r="BB763" s="418" t="str">
        <f t="shared" si="1184"/>
        <v/>
      </c>
      <c r="BC763" s="418" t="str">
        <f t="shared" si="1185"/>
        <v/>
      </c>
      <c r="BD763" s="418" t="str">
        <f t="shared" si="1186"/>
        <v/>
      </c>
      <c r="BE763" s="418" t="str">
        <f t="shared" si="1187"/>
        <v/>
      </c>
      <c r="BF763" s="418" t="str">
        <f t="shared" si="1188"/>
        <v/>
      </c>
      <c r="BG763" s="418" t="str">
        <f t="shared" si="1189"/>
        <v/>
      </c>
      <c r="BH763" s="418" t="str">
        <f t="shared" si="1190"/>
        <v/>
      </c>
      <c r="BI763" s="418" t="str">
        <f t="shared" si="1191"/>
        <v/>
      </c>
      <c r="BJ763" s="418" t="str">
        <f t="shared" si="1192"/>
        <v/>
      </c>
      <c r="BK763" s="418" t="str">
        <f t="shared" ref="BK763:BS763" si="1219">IF(OR($E763="",BK$1=""),"",IF(TRIM(LEFT($E763,MIN(IFERROR(FIND("CDU",UPPER($E763)),999),IFERROR(FIND("BULK",UPPER($E763)),999),IFERROR(FIND("-",$E763),999),IFERROR(FIND("（",$E763),999))-1))=BK$1,$F763,""))</f>
        <v/>
      </c>
      <c r="BL763" s="418" t="str">
        <f t="shared" si="1219"/>
        <v/>
      </c>
      <c r="BM763" s="418" t="str">
        <f t="shared" si="1219"/>
        <v/>
      </c>
      <c r="BN763" s="418" t="str">
        <f t="shared" si="1219"/>
        <v/>
      </c>
      <c r="BO763" s="418" t="str">
        <f t="shared" si="1219"/>
        <v/>
      </c>
      <c r="BP763" s="418" t="str">
        <f t="shared" si="1219"/>
        <v/>
      </c>
      <c r="BQ763" s="418" t="str">
        <f t="shared" si="1219"/>
        <v/>
      </c>
      <c r="BR763" s="418" t="str">
        <f t="shared" si="1219"/>
        <v/>
      </c>
      <c r="BS763" s="418" t="str">
        <f t="shared" si="1219"/>
        <v/>
      </c>
      <c r="BT763" s="418" t="str">
        <f t="shared" si="1194"/>
        <v/>
      </c>
      <c r="BU763" s="418" t="str">
        <f t="shared" si="1195"/>
        <v/>
      </c>
      <c r="BV763" s="544">
        <v>1.27</v>
      </c>
      <c r="BW763" s="723">
        <f t="shared" si="1215"/>
        <v>4145.28</v>
      </c>
      <c r="BX763" s="724">
        <f t="shared" si="1216"/>
        <v>32125.92</v>
      </c>
      <c r="BY763" s="725" t="str">
        <f t="shared" si="1217"/>
        <v>SR</v>
      </c>
    </row>
    <row r="764" s="697" customFormat="1" customHeight="1" spans="1:77">
      <c r="A764" s="116">
        <v>46139</v>
      </c>
      <c r="B764" s="116">
        <v>46200</v>
      </c>
      <c r="C764" s="418" t="s">
        <v>791</v>
      </c>
      <c r="D764" s="418" t="s">
        <v>792</v>
      </c>
      <c r="E764" s="418" t="s">
        <v>153</v>
      </c>
      <c r="F764" s="737">
        <v>3264</v>
      </c>
      <c r="G764" s="418" t="s">
        <v>341</v>
      </c>
      <c r="H764" s="118" t="str">
        <f>IFERROR(VLOOKUP(E764,名称!A:E,4,0),"")</f>
        <v>三代</v>
      </c>
      <c r="I764" s="418" t="str">
        <f t="shared" si="1139"/>
        <v/>
      </c>
      <c r="J764" s="418" t="str">
        <f t="shared" si="1140"/>
        <v/>
      </c>
      <c r="K764" s="418" t="str">
        <f t="shared" si="1141"/>
        <v/>
      </c>
      <c r="L764" s="418" t="str">
        <f t="shared" si="1142"/>
        <v/>
      </c>
      <c r="M764" s="418" t="str">
        <f t="shared" si="1143"/>
        <v/>
      </c>
      <c r="N764" s="418" t="str">
        <f t="shared" si="1144"/>
        <v/>
      </c>
      <c r="O764" s="418" t="str">
        <f t="shared" si="1145"/>
        <v/>
      </c>
      <c r="P764" s="418" t="str">
        <f t="shared" si="1146"/>
        <v/>
      </c>
      <c r="Q764" s="418" t="str">
        <f t="shared" si="1147"/>
        <v/>
      </c>
      <c r="R764" s="418" t="str">
        <f t="shared" si="1148"/>
        <v/>
      </c>
      <c r="S764" s="418" t="str">
        <f t="shared" si="1149"/>
        <v/>
      </c>
      <c r="T764" s="418" t="str">
        <f t="shared" si="1150"/>
        <v/>
      </c>
      <c r="U764" s="418" t="str">
        <f t="shared" si="1151"/>
        <v/>
      </c>
      <c r="V764" s="418" t="str">
        <f t="shared" si="1152"/>
        <v/>
      </c>
      <c r="W764" s="418" t="str">
        <f t="shared" si="1153"/>
        <v/>
      </c>
      <c r="X764" s="418" t="str">
        <f t="shared" si="1154"/>
        <v/>
      </c>
      <c r="Y764" s="418" t="str">
        <f t="shared" si="1155"/>
        <v/>
      </c>
      <c r="Z764" s="418" t="str">
        <f t="shared" si="1156"/>
        <v/>
      </c>
      <c r="AA764" s="418" t="str">
        <f t="shared" si="1157"/>
        <v/>
      </c>
      <c r="AB764" s="418" t="str">
        <f t="shared" si="1158"/>
        <v/>
      </c>
      <c r="AC764" s="418" t="str">
        <f t="shared" si="1159"/>
        <v/>
      </c>
      <c r="AD764" s="418" t="str">
        <f t="shared" si="1160"/>
        <v/>
      </c>
      <c r="AE764" s="418" t="str">
        <f t="shared" si="1161"/>
        <v/>
      </c>
      <c r="AF764" s="418" t="str">
        <f t="shared" si="1162"/>
        <v/>
      </c>
      <c r="AG764" s="418" t="str">
        <f t="shared" si="1163"/>
        <v/>
      </c>
      <c r="AH764" s="418" t="str">
        <f t="shared" si="1164"/>
        <v/>
      </c>
      <c r="AI764" s="418" t="str">
        <f t="shared" si="1165"/>
        <v/>
      </c>
      <c r="AJ764" s="418" t="str">
        <f t="shared" si="1166"/>
        <v/>
      </c>
      <c r="AK764" s="418" t="str">
        <f t="shared" si="1167"/>
        <v/>
      </c>
      <c r="AL764" s="418" t="str">
        <f t="shared" si="1168"/>
        <v/>
      </c>
      <c r="AM764" s="418">
        <f t="shared" si="1169"/>
        <v>3264</v>
      </c>
      <c r="AN764" s="418" t="str">
        <f t="shared" si="1170"/>
        <v/>
      </c>
      <c r="AO764" s="418" t="str">
        <f t="shared" si="1171"/>
        <v/>
      </c>
      <c r="AP764" s="418" t="str">
        <f t="shared" si="1172"/>
        <v/>
      </c>
      <c r="AQ764" s="418" t="str">
        <f t="shared" si="1173"/>
        <v/>
      </c>
      <c r="AR764" s="418" t="str">
        <f t="shared" si="1174"/>
        <v/>
      </c>
      <c r="AS764" s="418" t="str">
        <f t="shared" si="1175"/>
        <v/>
      </c>
      <c r="AT764" s="418" t="str">
        <f t="shared" si="1176"/>
        <v/>
      </c>
      <c r="AU764" s="418" t="str">
        <f t="shared" si="1177"/>
        <v/>
      </c>
      <c r="AV764" s="418" t="str">
        <f t="shared" si="1178"/>
        <v/>
      </c>
      <c r="AW764" s="418" t="str">
        <f t="shared" si="1179"/>
        <v/>
      </c>
      <c r="AX764" s="418" t="str">
        <f t="shared" si="1180"/>
        <v/>
      </c>
      <c r="AY764" s="418" t="str">
        <f t="shared" si="1181"/>
        <v/>
      </c>
      <c r="AZ764" s="418" t="str">
        <f t="shared" si="1182"/>
        <v/>
      </c>
      <c r="BA764" s="418" t="str">
        <f t="shared" si="1183"/>
        <v/>
      </c>
      <c r="BB764" s="418" t="str">
        <f t="shared" si="1184"/>
        <v/>
      </c>
      <c r="BC764" s="418" t="str">
        <f t="shared" si="1185"/>
        <v/>
      </c>
      <c r="BD764" s="418" t="str">
        <f t="shared" si="1186"/>
        <v/>
      </c>
      <c r="BE764" s="418" t="str">
        <f t="shared" si="1187"/>
        <v/>
      </c>
      <c r="BF764" s="418" t="str">
        <f t="shared" si="1188"/>
        <v/>
      </c>
      <c r="BG764" s="418" t="str">
        <f t="shared" si="1189"/>
        <v/>
      </c>
      <c r="BH764" s="418" t="str">
        <f t="shared" si="1190"/>
        <v/>
      </c>
      <c r="BI764" s="418" t="str">
        <f t="shared" si="1191"/>
        <v/>
      </c>
      <c r="BJ764" s="418" t="str">
        <f t="shared" si="1192"/>
        <v/>
      </c>
      <c r="BK764" s="418" t="str">
        <f t="shared" ref="BK764:BS764" si="1220">IF(OR($E764="",BK$1=""),"",IF(TRIM(LEFT($E764,MIN(IFERROR(FIND("CDU",UPPER($E764)),999),IFERROR(FIND("BULK",UPPER($E764)),999),IFERROR(FIND("-",$E764),999),IFERROR(FIND("（",$E764),999))-1))=BK$1,$F764,""))</f>
        <v/>
      </c>
      <c r="BL764" s="418" t="str">
        <f t="shared" si="1220"/>
        <v/>
      </c>
      <c r="BM764" s="418" t="str">
        <f t="shared" si="1220"/>
        <v/>
      </c>
      <c r="BN764" s="418" t="str">
        <f t="shared" si="1220"/>
        <v/>
      </c>
      <c r="BO764" s="418" t="str">
        <f t="shared" si="1220"/>
        <v/>
      </c>
      <c r="BP764" s="418" t="str">
        <f t="shared" si="1220"/>
        <v/>
      </c>
      <c r="BQ764" s="418" t="str">
        <f t="shared" si="1220"/>
        <v/>
      </c>
      <c r="BR764" s="418" t="str">
        <f t="shared" si="1220"/>
        <v/>
      </c>
      <c r="BS764" s="418" t="str">
        <f t="shared" si="1220"/>
        <v/>
      </c>
      <c r="BT764" s="418" t="str">
        <f t="shared" si="1194"/>
        <v/>
      </c>
      <c r="BU764" s="418" t="str">
        <f t="shared" si="1195"/>
        <v/>
      </c>
      <c r="BV764" s="544">
        <v>1.27</v>
      </c>
      <c r="BW764" s="723">
        <f t="shared" si="1215"/>
        <v>4145.28</v>
      </c>
      <c r="BX764" s="724">
        <f t="shared" si="1216"/>
        <v>32125.92</v>
      </c>
      <c r="BY764" s="725" t="str">
        <f t="shared" si="1217"/>
        <v>SR</v>
      </c>
    </row>
    <row r="765" s="697" customFormat="1" customHeight="1" spans="1:77">
      <c r="A765" s="116">
        <v>46139</v>
      </c>
      <c r="B765" s="116">
        <v>46200</v>
      </c>
      <c r="C765" s="418" t="s">
        <v>791</v>
      </c>
      <c r="D765" s="418" t="s">
        <v>792</v>
      </c>
      <c r="E765" s="418" t="s">
        <v>154</v>
      </c>
      <c r="F765" s="737">
        <v>3264</v>
      </c>
      <c r="G765" s="418" t="s">
        <v>341</v>
      </c>
      <c r="H765" s="118" t="str">
        <f>IFERROR(VLOOKUP(E765,名称!A:E,4,0),"")</f>
        <v>三代</v>
      </c>
      <c r="I765" s="418" t="str">
        <f t="shared" si="1139"/>
        <v/>
      </c>
      <c r="J765" s="418" t="str">
        <f t="shared" si="1140"/>
        <v/>
      </c>
      <c r="K765" s="418" t="str">
        <f t="shared" si="1141"/>
        <v/>
      </c>
      <c r="L765" s="418" t="str">
        <f t="shared" si="1142"/>
        <v/>
      </c>
      <c r="M765" s="418" t="str">
        <f t="shared" si="1143"/>
        <v/>
      </c>
      <c r="N765" s="418" t="str">
        <f t="shared" si="1144"/>
        <v/>
      </c>
      <c r="O765" s="418" t="str">
        <f t="shared" si="1145"/>
        <v/>
      </c>
      <c r="P765" s="418" t="str">
        <f t="shared" si="1146"/>
        <v/>
      </c>
      <c r="Q765" s="418" t="str">
        <f t="shared" si="1147"/>
        <v/>
      </c>
      <c r="R765" s="418" t="str">
        <f t="shared" si="1148"/>
        <v/>
      </c>
      <c r="S765" s="418" t="str">
        <f t="shared" si="1149"/>
        <v/>
      </c>
      <c r="T765" s="418" t="str">
        <f t="shared" si="1150"/>
        <v/>
      </c>
      <c r="U765" s="418" t="str">
        <f t="shared" si="1151"/>
        <v/>
      </c>
      <c r="V765" s="418" t="str">
        <f t="shared" si="1152"/>
        <v/>
      </c>
      <c r="W765" s="418" t="str">
        <f t="shared" si="1153"/>
        <v/>
      </c>
      <c r="X765" s="418" t="str">
        <f t="shared" si="1154"/>
        <v/>
      </c>
      <c r="Y765" s="418" t="str">
        <f t="shared" si="1155"/>
        <v/>
      </c>
      <c r="Z765" s="418" t="str">
        <f t="shared" si="1156"/>
        <v/>
      </c>
      <c r="AA765" s="418" t="str">
        <f t="shared" si="1157"/>
        <v/>
      </c>
      <c r="AB765" s="418" t="str">
        <f t="shared" si="1158"/>
        <v/>
      </c>
      <c r="AC765" s="418" t="str">
        <f t="shared" si="1159"/>
        <v/>
      </c>
      <c r="AD765" s="418" t="str">
        <f t="shared" si="1160"/>
        <v/>
      </c>
      <c r="AE765" s="418" t="str">
        <f t="shared" si="1161"/>
        <v/>
      </c>
      <c r="AF765" s="418" t="str">
        <f t="shared" si="1162"/>
        <v/>
      </c>
      <c r="AG765" s="418" t="str">
        <f t="shared" si="1163"/>
        <v/>
      </c>
      <c r="AH765" s="418" t="str">
        <f t="shared" si="1164"/>
        <v/>
      </c>
      <c r="AI765" s="418" t="str">
        <f t="shared" si="1165"/>
        <v/>
      </c>
      <c r="AJ765" s="418" t="str">
        <f t="shared" si="1166"/>
        <v/>
      </c>
      <c r="AK765" s="418" t="str">
        <f t="shared" si="1167"/>
        <v/>
      </c>
      <c r="AL765" s="418" t="str">
        <f t="shared" si="1168"/>
        <v/>
      </c>
      <c r="AM765" s="418">
        <f t="shared" si="1169"/>
        <v>3264</v>
      </c>
      <c r="AN765" s="418" t="str">
        <f t="shared" si="1170"/>
        <v/>
      </c>
      <c r="AO765" s="418" t="str">
        <f t="shared" si="1171"/>
        <v/>
      </c>
      <c r="AP765" s="418" t="str">
        <f t="shared" si="1172"/>
        <v/>
      </c>
      <c r="AQ765" s="418" t="str">
        <f t="shared" si="1173"/>
        <v/>
      </c>
      <c r="AR765" s="418" t="str">
        <f t="shared" si="1174"/>
        <v/>
      </c>
      <c r="AS765" s="418" t="str">
        <f t="shared" si="1175"/>
        <v/>
      </c>
      <c r="AT765" s="418" t="str">
        <f t="shared" si="1176"/>
        <v/>
      </c>
      <c r="AU765" s="418" t="str">
        <f t="shared" si="1177"/>
        <v/>
      </c>
      <c r="AV765" s="418" t="str">
        <f t="shared" si="1178"/>
        <v/>
      </c>
      <c r="AW765" s="418" t="str">
        <f t="shared" si="1179"/>
        <v/>
      </c>
      <c r="AX765" s="418" t="str">
        <f t="shared" si="1180"/>
        <v/>
      </c>
      <c r="AY765" s="418" t="str">
        <f t="shared" si="1181"/>
        <v/>
      </c>
      <c r="AZ765" s="418" t="str">
        <f t="shared" si="1182"/>
        <v/>
      </c>
      <c r="BA765" s="418" t="str">
        <f t="shared" si="1183"/>
        <v/>
      </c>
      <c r="BB765" s="418" t="str">
        <f t="shared" si="1184"/>
        <v/>
      </c>
      <c r="BC765" s="418" t="str">
        <f t="shared" si="1185"/>
        <v/>
      </c>
      <c r="BD765" s="418" t="str">
        <f t="shared" si="1186"/>
        <v/>
      </c>
      <c r="BE765" s="418" t="str">
        <f t="shared" si="1187"/>
        <v/>
      </c>
      <c r="BF765" s="418" t="str">
        <f t="shared" si="1188"/>
        <v/>
      </c>
      <c r="BG765" s="418" t="str">
        <f t="shared" si="1189"/>
        <v/>
      </c>
      <c r="BH765" s="418" t="str">
        <f t="shared" si="1190"/>
        <v/>
      </c>
      <c r="BI765" s="418" t="str">
        <f t="shared" si="1191"/>
        <v/>
      </c>
      <c r="BJ765" s="418" t="str">
        <f t="shared" si="1192"/>
        <v/>
      </c>
      <c r="BK765" s="418" t="str">
        <f t="shared" ref="BK765:BS765" si="1221">IF(OR($E765="",BK$1=""),"",IF(TRIM(LEFT($E765,MIN(IFERROR(FIND("CDU",UPPER($E765)),999),IFERROR(FIND("BULK",UPPER($E765)),999),IFERROR(FIND("-",$E765),999),IFERROR(FIND("（",$E765),999))-1))=BK$1,$F765,""))</f>
        <v/>
      </c>
      <c r="BL765" s="418" t="str">
        <f t="shared" si="1221"/>
        <v/>
      </c>
      <c r="BM765" s="418" t="str">
        <f t="shared" si="1221"/>
        <v/>
      </c>
      <c r="BN765" s="418" t="str">
        <f t="shared" si="1221"/>
        <v/>
      </c>
      <c r="BO765" s="418" t="str">
        <f t="shared" si="1221"/>
        <v/>
      </c>
      <c r="BP765" s="418" t="str">
        <f t="shared" si="1221"/>
        <v/>
      </c>
      <c r="BQ765" s="418" t="str">
        <f t="shared" si="1221"/>
        <v/>
      </c>
      <c r="BR765" s="418" t="str">
        <f t="shared" si="1221"/>
        <v/>
      </c>
      <c r="BS765" s="418" t="str">
        <f t="shared" si="1221"/>
        <v/>
      </c>
      <c r="BT765" s="418" t="str">
        <f t="shared" si="1194"/>
        <v/>
      </c>
      <c r="BU765" s="418" t="str">
        <f t="shared" si="1195"/>
        <v/>
      </c>
      <c r="BV765" s="544">
        <v>1.27</v>
      </c>
      <c r="BW765" s="723">
        <f t="shared" si="1215"/>
        <v>4145.28</v>
      </c>
      <c r="BX765" s="724">
        <f t="shared" si="1216"/>
        <v>32125.92</v>
      </c>
      <c r="BY765" s="725" t="str">
        <f t="shared" si="1217"/>
        <v>SR</v>
      </c>
    </row>
    <row r="766" s="697" customFormat="1" customHeight="1" spans="1:77">
      <c r="A766" s="116">
        <v>46139</v>
      </c>
      <c r="B766" s="116">
        <v>46200</v>
      </c>
      <c r="C766" s="418" t="s">
        <v>791</v>
      </c>
      <c r="D766" s="418" t="s">
        <v>792</v>
      </c>
      <c r="E766" s="176" t="s">
        <v>160</v>
      </c>
      <c r="F766" s="142">
        <f>6432/2+4</f>
        <v>3220</v>
      </c>
      <c r="G766" s="418" t="s">
        <v>341</v>
      </c>
      <c r="H766" s="118" t="str">
        <f>IFERROR(VLOOKUP(E766,名称!A:E,4,0),"")</f>
        <v>三代</v>
      </c>
      <c r="I766" s="418" t="str">
        <f t="shared" si="1139"/>
        <v/>
      </c>
      <c r="J766" s="418" t="str">
        <f t="shared" si="1140"/>
        <v/>
      </c>
      <c r="K766" s="418" t="str">
        <f t="shared" si="1141"/>
        <v/>
      </c>
      <c r="L766" s="418" t="str">
        <f t="shared" si="1142"/>
        <v/>
      </c>
      <c r="M766" s="418" t="str">
        <f t="shared" si="1143"/>
        <v/>
      </c>
      <c r="N766" s="418" t="str">
        <f t="shared" si="1144"/>
        <v/>
      </c>
      <c r="O766" s="418" t="str">
        <f t="shared" si="1145"/>
        <v/>
      </c>
      <c r="P766" s="418" t="str">
        <f t="shared" si="1146"/>
        <v/>
      </c>
      <c r="Q766" s="418" t="str">
        <f t="shared" si="1147"/>
        <v/>
      </c>
      <c r="R766" s="418" t="str">
        <f t="shared" si="1148"/>
        <v/>
      </c>
      <c r="S766" s="418" t="str">
        <f t="shared" si="1149"/>
        <v/>
      </c>
      <c r="T766" s="418" t="str">
        <f t="shared" si="1150"/>
        <v/>
      </c>
      <c r="U766" s="418" t="str">
        <f t="shared" si="1151"/>
        <v/>
      </c>
      <c r="V766" s="418" t="str">
        <f t="shared" si="1152"/>
        <v/>
      </c>
      <c r="W766" s="418" t="str">
        <f t="shared" si="1153"/>
        <v/>
      </c>
      <c r="X766" s="418" t="str">
        <f t="shared" si="1154"/>
        <v/>
      </c>
      <c r="Y766" s="418" t="str">
        <f t="shared" si="1155"/>
        <v/>
      </c>
      <c r="Z766" s="418" t="str">
        <f t="shared" si="1156"/>
        <v/>
      </c>
      <c r="AA766" s="418" t="str">
        <f t="shared" si="1157"/>
        <v/>
      </c>
      <c r="AB766" s="418" t="str">
        <f t="shared" si="1158"/>
        <v/>
      </c>
      <c r="AC766" s="418" t="str">
        <f t="shared" si="1159"/>
        <v/>
      </c>
      <c r="AD766" s="418" t="str">
        <f t="shared" si="1160"/>
        <v/>
      </c>
      <c r="AE766" s="418" t="str">
        <f t="shared" si="1161"/>
        <v/>
      </c>
      <c r="AF766" s="418" t="str">
        <f t="shared" si="1162"/>
        <v/>
      </c>
      <c r="AG766" s="418" t="str">
        <f t="shared" si="1163"/>
        <v/>
      </c>
      <c r="AH766" s="418" t="str">
        <f t="shared" si="1164"/>
        <v/>
      </c>
      <c r="AI766" s="418" t="str">
        <f t="shared" si="1165"/>
        <v/>
      </c>
      <c r="AJ766" s="418" t="str">
        <f t="shared" si="1166"/>
        <v/>
      </c>
      <c r="AK766" s="418" t="str">
        <f t="shared" si="1167"/>
        <v/>
      </c>
      <c r="AL766" s="418" t="str">
        <f t="shared" si="1168"/>
        <v/>
      </c>
      <c r="AM766" s="418" t="str">
        <f t="shared" si="1169"/>
        <v/>
      </c>
      <c r="AN766" s="418" t="str">
        <f t="shared" si="1170"/>
        <v/>
      </c>
      <c r="AO766" s="418">
        <f t="shared" si="1171"/>
        <v>3220</v>
      </c>
      <c r="AP766" s="418" t="str">
        <f t="shared" si="1172"/>
        <v/>
      </c>
      <c r="AQ766" s="418" t="str">
        <f t="shared" si="1173"/>
        <v/>
      </c>
      <c r="AR766" s="418" t="str">
        <f t="shared" si="1174"/>
        <v/>
      </c>
      <c r="AS766" s="418" t="str">
        <f t="shared" si="1175"/>
        <v/>
      </c>
      <c r="AT766" s="418" t="str">
        <f t="shared" si="1176"/>
        <v/>
      </c>
      <c r="AU766" s="418" t="str">
        <f t="shared" si="1177"/>
        <v/>
      </c>
      <c r="AV766" s="418" t="str">
        <f t="shared" si="1178"/>
        <v/>
      </c>
      <c r="AW766" s="418" t="str">
        <f t="shared" si="1179"/>
        <v/>
      </c>
      <c r="AX766" s="418" t="str">
        <f t="shared" si="1180"/>
        <v/>
      </c>
      <c r="AY766" s="418" t="str">
        <f t="shared" si="1181"/>
        <v/>
      </c>
      <c r="AZ766" s="418" t="str">
        <f t="shared" si="1182"/>
        <v/>
      </c>
      <c r="BA766" s="418" t="str">
        <f t="shared" si="1183"/>
        <v/>
      </c>
      <c r="BB766" s="418" t="str">
        <f t="shared" si="1184"/>
        <v/>
      </c>
      <c r="BC766" s="418" t="str">
        <f t="shared" si="1185"/>
        <v/>
      </c>
      <c r="BD766" s="418" t="str">
        <f t="shared" si="1186"/>
        <v/>
      </c>
      <c r="BE766" s="418" t="str">
        <f t="shared" si="1187"/>
        <v/>
      </c>
      <c r="BF766" s="418" t="str">
        <f t="shared" si="1188"/>
        <v/>
      </c>
      <c r="BG766" s="418" t="str">
        <f t="shared" si="1189"/>
        <v/>
      </c>
      <c r="BH766" s="418" t="str">
        <f t="shared" si="1190"/>
        <v/>
      </c>
      <c r="BI766" s="418" t="str">
        <f t="shared" si="1191"/>
        <v/>
      </c>
      <c r="BJ766" s="418" t="str">
        <f t="shared" si="1192"/>
        <v/>
      </c>
      <c r="BK766" s="418" t="str">
        <f t="shared" ref="BK766:BS766" si="1222">IF(OR($E766="",BK$1=""),"",IF(TRIM(LEFT($E766,MIN(IFERROR(FIND("CDU",UPPER($E766)),999),IFERROR(FIND("BULK",UPPER($E766)),999),IFERROR(FIND("-",$E766),999),IFERROR(FIND("（",$E766),999))-1))=BK$1,$F766,""))</f>
        <v/>
      </c>
      <c r="BL766" s="418" t="str">
        <f t="shared" si="1222"/>
        <v/>
      </c>
      <c r="BM766" s="418" t="str">
        <f t="shared" si="1222"/>
        <v/>
      </c>
      <c r="BN766" s="418" t="str">
        <f t="shared" si="1222"/>
        <v/>
      </c>
      <c r="BO766" s="418" t="str">
        <f t="shared" si="1222"/>
        <v/>
      </c>
      <c r="BP766" s="418" t="str">
        <f t="shared" si="1222"/>
        <v/>
      </c>
      <c r="BQ766" s="418" t="str">
        <f t="shared" si="1222"/>
        <v/>
      </c>
      <c r="BR766" s="418" t="str">
        <f t="shared" si="1222"/>
        <v/>
      </c>
      <c r="BS766" s="418" t="str">
        <f t="shared" si="1222"/>
        <v/>
      </c>
      <c r="BT766" s="418" t="str">
        <f t="shared" si="1194"/>
        <v/>
      </c>
      <c r="BU766" s="418" t="str">
        <f t="shared" si="1195"/>
        <v/>
      </c>
      <c r="BV766" s="544">
        <v>0.65</v>
      </c>
      <c r="BW766" s="723">
        <f t="shared" si="1215"/>
        <v>2093</v>
      </c>
      <c r="BX766" s="724">
        <f t="shared" si="1216"/>
        <v>16220.75</v>
      </c>
      <c r="BY766" s="725" t="str">
        <f t="shared" si="1217"/>
        <v>SR</v>
      </c>
    </row>
    <row r="767" s="697" customFormat="1" customHeight="1" spans="1:77">
      <c r="A767" s="116">
        <v>46139</v>
      </c>
      <c r="B767" s="116">
        <v>46200</v>
      </c>
      <c r="C767" s="418" t="s">
        <v>791</v>
      </c>
      <c r="D767" s="418" t="s">
        <v>792</v>
      </c>
      <c r="E767" s="176" t="s">
        <v>178</v>
      </c>
      <c r="F767" s="740">
        <f>6432/2+4</f>
        <v>3220</v>
      </c>
      <c r="G767" s="418" t="s">
        <v>341</v>
      </c>
      <c r="H767" s="118" t="str">
        <f>IFERROR(VLOOKUP(E767,名称!A:E,4,0),"")</f>
        <v>三代</v>
      </c>
      <c r="I767" s="418" t="str">
        <f t="shared" si="1139"/>
        <v/>
      </c>
      <c r="J767" s="418" t="str">
        <f t="shared" si="1140"/>
        <v/>
      </c>
      <c r="K767" s="418" t="str">
        <f t="shared" si="1141"/>
        <v/>
      </c>
      <c r="L767" s="418" t="str">
        <f t="shared" si="1142"/>
        <v/>
      </c>
      <c r="M767" s="418" t="str">
        <f t="shared" si="1143"/>
        <v/>
      </c>
      <c r="N767" s="418" t="str">
        <f t="shared" si="1144"/>
        <v/>
      </c>
      <c r="O767" s="418" t="str">
        <f t="shared" si="1145"/>
        <v/>
      </c>
      <c r="P767" s="418" t="str">
        <f t="shared" si="1146"/>
        <v/>
      </c>
      <c r="Q767" s="418" t="str">
        <f t="shared" si="1147"/>
        <v/>
      </c>
      <c r="R767" s="418" t="str">
        <f t="shared" si="1148"/>
        <v/>
      </c>
      <c r="S767" s="418" t="str">
        <f t="shared" si="1149"/>
        <v/>
      </c>
      <c r="T767" s="418" t="str">
        <f t="shared" si="1150"/>
        <v/>
      </c>
      <c r="U767" s="418" t="str">
        <f t="shared" si="1151"/>
        <v/>
      </c>
      <c r="V767" s="418" t="str">
        <f t="shared" si="1152"/>
        <v/>
      </c>
      <c r="W767" s="418" t="str">
        <f t="shared" si="1153"/>
        <v/>
      </c>
      <c r="X767" s="418" t="str">
        <f t="shared" si="1154"/>
        <v/>
      </c>
      <c r="Y767" s="418" t="str">
        <f t="shared" si="1155"/>
        <v/>
      </c>
      <c r="Z767" s="418" t="str">
        <f t="shared" si="1156"/>
        <v/>
      </c>
      <c r="AA767" s="418" t="str">
        <f t="shared" si="1157"/>
        <v/>
      </c>
      <c r="AB767" s="418" t="str">
        <f t="shared" si="1158"/>
        <v/>
      </c>
      <c r="AC767" s="418" t="str">
        <f t="shared" si="1159"/>
        <v/>
      </c>
      <c r="AD767" s="418" t="str">
        <f t="shared" si="1160"/>
        <v/>
      </c>
      <c r="AE767" s="418" t="str">
        <f t="shared" si="1161"/>
        <v/>
      </c>
      <c r="AF767" s="418" t="str">
        <f t="shared" si="1162"/>
        <v/>
      </c>
      <c r="AG767" s="418" t="str">
        <f t="shared" si="1163"/>
        <v/>
      </c>
      <c r="AH767" s="418" t="str">
        <f t="shared" si="1164"/>
        <v/>
      </c>
      <c r="AI767" s="418" t="str">
        <f t="shared" si="1165"/>
        <v/>
      </c>
      <c r="AJ767" s="418" t="str">
        <f t="shared" si="1166"/>
        <v/>
      </c>
      <c r="AK767" s="418" t="str">
        <f t="shared" si="1167"/>
        <v/>
      </c>
      <c r="AL767" s="418" t="str">
        <f t="shared" si="1168"/>
        <v/>
      </c>
      <c r="AM767" s="418" t="str">
        <f t="shared" si="1169"/>
        <v/>
      </c>
      <c r="AN767" s="418" t="str">
        <f t="shared" si="1170"/>
        <v/>
      </c>
      <c r="AO767" s="418">
        <f t="shared" si="1171"/>
        <v>3220</v>
      </c>
      <c r="AP767" s="418" t="str">
        <f t="shared" si="1172"/>
        <v/>
      </c>
      <c r="AQ767" s="418" t="str">
        <f t="shared" si="1173"/>
        <v/>
      </c>
      <c r="AR767" s="418" t="str">
        <f t="shared" si="1174"/>
        <v/>
      </c>
      <c r="AS767" s="418" t="str">
        <f t="shared" si="1175"/>
        <v/>
      </c>
      <c r="AT767" s="418" t="str">
        <f t="shared" si="1176"/>
        <v/>
      </c>
      <c r="AU767" s="418" t="str">
        <f t="shared" si="1177"/>
        <v/>
      </c>
      <c r="AV767" s="418" t="str">
        <f t="shared" si="1178"/>
        <v/>
      </c>
      <c r="AW767" s="418" t="str">
        <f t="shared" si="1179"/>
        <v/>
      </c>
      <c r="AX767" s="418" t="str">
        <f t="shared" si="1180"/>
        <v/>
      </c>
      <c r="AY767" s="418" t="str">
        <f t="shared" si="1181"/>
        <v/>
      </c>
      <c r="AZ767" s="418" t="str">
        <f t="shared" si="1182"/>
        <v/>
      </c>
      <c r="BA767" s="418" t="str">
        <f t="shared" si="1183"/>
        <v/>
      </c>
      <c r="BB767" s="418" t="str">
        <f t="shared" si="1184"/>
        <v/>
      </c>
      <c r="BC767" s="418" t="str">
        <f t="shared" si="1185"/>
        <v/>
      </c>
      <c r="BD767" s="418" t="str">
        <f t="shared" si="1186"/>
        <v/>
      </c>
      <c r="BE767" s="418" t="str">
        <f t="shared" si="1187"/>
        <v/>
      </c>
      <c r="BF767" s="418" t="str">
        <f t="shared" si="1188"/>
        <v/>
      </c>
      <c r="BG767" s="418" t="str">
        <f t="shared" si="1189"/>
        <v/>
      </c>
      <c r="BH767" s="418" t="str">
        <f t="shared" si="1190"/>
        <v/>
      </c>
      <c r="BI767" s="418" t="str">
        <f t="shared" si="1191"/>
        <v/>
      </c>
      <c r="BJ767" s="418" t="str">
        <f t="shared" si="1192"/>
        <v/>
      </c>
      <c r="BK767" s="418" t="str">
        <f t="shared" ref="BK767:BS767" si="1223">IF(OR($E767="",BK$1=""),"",IF(TRIM(LEFT($E767,MIN(IFERROR(FIND("CDU",UPPER($E767)),999),IFERROR(FIND("BULK",UPPER($E767)),999),IFERROR(FIND("-",$E767),999),IFERROR(FIND("（",$E767),999))-1))=BK$1,$F767,""))</f>
        <v/>
      </c>
      <c r="BL767" s="418" t="str">
        <f t="shared" si="1223"/>
        <v/>
      </c>
      <c r="BM767" s="418" t="str">
        <f t="shared" si="1223"/>
        <v/>
      </c>
      <c r="BN767" s="418" t="str">
        <f t="shared" si="1223"/>
        <v/>
      </c>
      <c r="BO767" s="418" t="str">
        <f t="shared" si="1223"/>
        <v/>
      </c>
      <c r="BP767" s="418" t="str">
        <f t="shared" si="1223"/>
        <v/>
      </c>
      <c r="BQ767" s="418" t="str">
        <f t="shared" si="1223"/>
        <v/>
      </c>
      <c r="BR767" s="418" t="str">
        <f t="shared" si="1223"/>
        <v/>
      </c>
      <c r="BS767" s="418" t="str">
        <f t="shared" si="1223"/>
        <v/>
      </c>
      <c r="BT767" s="418" t="str">
        <f t="shared" si="1194"/>
        <v/>
      </c>
      <c r="BU767" s="418" t="str">
        <f t="shared" si="1195"/>
        <v/>
      </c>
      <c r="BV767" s="544">
        <v>0.65</v>
      </c>
      <c r="BW767" s="723">
        <f t="shared" si="1215"/>
        <v>2093</v>
      </c>
      <c r="BX767" s="724">
        <f t="shared" si="1216"/>
        <v>16220.75</v>
      </c>
      <c r="BY767" s="725" t="str">
        <f t="shared" si="1217"/>
        <v>SR</v>
      </c>
    </row>
    <row r="768" s="698" customFormat="1" customHeight="1" spans="1:77">
      <c r="A768" s="208">
        <v>46141</v>
      </c>
      <c r="B768" s="271">
        <v>46157</v>
      </c>
      <c r="C768" s="268" t="s">
        <v>752</v>
      </c>
      <c r="D768" s="268" t="s">
        <v>753</v>
      </c>
      <c r="E768" s="268" t="s">
        <v>89</v>
      </c>
      <c r="F768" s="343">
        <v>50</v>
      </c>
      <c r="G768" s="268" t="s">
        <v>510</v>
      </c>
      <c r="H768" s="211" t="str">
        <f>IFERROR(VLOOKUP(E768,名称!A:E,4,0),"")</f>
        <v>三代</v>
      </c>
      <c r="I768" s="268" t="str">
        <f t="shared" si="1139"/>
        <v/>
      </c>
      <c r="J768" s="268" t="str">
        <f t="shared" si="1140"/>
        <v/>
      </c>
      <c r="K768" s="268" t="str">
        <f t="shared" si="1141"/>
        <v/>
      </c>
      <c r="L768" s="268" t="str">
        <f t="shared" si="1142"/>
        <v/>
      </c>
      <c r="M768" s="268" t="str">
        <f t="shared" si="1143"/>
        <v/>
      </c>
      <c r="N768" s="268" t="str">
        <f t="shared" si="1144"/>
        <v/>
      </c>
      <c r="O768" s="268" t="str">
        <f t="shared" si="1145"/>
        <v/>
      </c>
      <c r="P768" s="268" t="str">
        <f t="shared" si="1146"/>
        <v/>
      </c>
      <c r="Q768" s="268" t="str">
        <f t="shared" si="1147"/>
        <v/>
      </c>
      <c r="R768" s="268" t="str">
        <f t="shared" si="1148"/>
        <v/>
      </c>
      <c r="S768" s="268" t="str">
        <f t="shared" si="1149"/>
        <v/>
      </c>
      <c r="T768" s="268" t="str">
        <f t="shared" si="1150"/>
        <v/>
      </c>
      <c r="U768" s="268" t="str">
        <f t="shared" si="1151"/>
        <v/>
      </c>
      <c r="V768" s="268" t="str">
        <f t="shared" si="1152"/>
        <v/>
      </c>
      <c r="W768" s="268" t="str">
        <f t="shared" si="1153"/>
        <v/>
      </c>
      <c r="X768" s="268" t="str">
        <f t="shared" si="1154"/>
        <v/>
      </c>
      <c r="Y768" s="268" t="str">
        <f t="shared" si="1155"/>
        <v/>
      </c>
      <c r="Z768" s="268" t="str">
        <f t="shared" si="1156"/>
        <v/>
      </c>
      <c r="AA768" s="268" t="str">
        <f t="shared" si="1157"/>
        <v/>
      </c>
      <c r="AB768" s="268" t="str">
        <f t="shared" si="1158"/>
        <v/>
      </c>
      <c r="AC768" s="268" t="str">
        <f t="shared" si="1159"/>
        <v/>
      </c>
      <c r="AD768" s="268" t="str">
        <f t="shared" si="1160"/>
        <v/>
      </c>
      <c r="AE768" s="268" t="str">
        <f t="shared" si="1161"/>
        <v/>
      </c>
      <c r="AF768" s="268" t="str">
        <f t="shared" si="1162"/>
        <v/>
      </c>
      <c r="AG768" s="268" t="str">
        <f t="shared" si="1163"/>
        <v/>
      </c>
      <c r="AH768" s="268" t="str">
        <f t="shared" si="1164"/>
        <v/>
      </c>
      <c r="AI768" s="268" t="str">
        <f t="shared" si="1165"/>
        <v/>
      </c>
      <c r="AJ768" s="268" t="str">
        <f t="shared" si="1166"/>
        <v/>
      </c>
      <c r="AK768" s="268" t="str">
        <f t="shared" si="1167"/>
        <v/>
      </c>
      <c r="AL768" s="268" t="str">
        <f t="shared" si="1168"/>
        <v/>
      </c>
      <c r="AM768" s="268" t="str">
        <f t="shared" si="1169"/>
        <v/>
      </c>
      <c r="AN768" s="268" t="str">
        <f t="shared" si="1170"/>
        <v/>
      </c>
      <c r="AO768" s="268" t="str">
        <f t="shared" si="1171"/>
        <v/>
      </c>
      <c r="AP768" s="268" t="str">
        <f t="shared" si="1172"/>
        <v/>
      </c>
      <c r="AQ768" s="268" t="str">
        <f t="shared" si="1173"/>
        <v/>
      </c>
      <c r="AR768" s="268" t="str">
        <f t="shared" si="1174"/>
        <v/>
      </c>
      <c r="AS768" s="268" t="str">
        <f t="shared" si="1175"/>
        <v/>
      </c>
      <c r="AT768" s="268" t="str">
        <f t="shared" si="1176"/>
        <v/>
      </c>
      <c r="AU768" s="268">
        <f t="shared" si="1177"/>
        <v>50</v>
      </c>
      <c r="AV768" s="268" t="str">
        <f t="shared" si="1178"/>
        <v/>
      </c>
      <c r="AW768" s="268" t="str">
        <f t="shared" si="1179"/>
        <v/>
      </c>
      <c r="AX768" s="268" t="str">
        <f t="shared" si="1180"/>
        <v/>
      </c>
      <c r="AY768" s="268" t="str">
        <f t="shared" si="1181"/>
        <v/>
      </c>
      <c r="AZ768" s="268" t="str">
        <f t="shared" si="1182"/>
        <v/>
      </c>
      <c r="BA768" s="268" t="str">
        <f t="shared" si="1183"/>
        <v/>
      </c>
      <c r="BB768" s="268" t="str">
        <f t="shared" si="1184"/>
        <v/>
      </c>
      <c r="BC768" s="268" t="str">
        <f t="shared" si="1185"/>
        <v/>
      </c>
      <c r="BD768" s="268" t="str">
        <f t="shared" si="1186"/>
        <v/>
      </c>
      <c r="BE768" s="268" t="str">
        <f t="shared" si="1187"/>
        <v/>
      </c>
      <c r="BF768" s="268" t="str">
        <f t="shared" si="1188"/>
        <v/>
      </c>
      <c r="BG768" s="268" t="str">
        <f t="shared" si="1189"/>
        <v/>
      </c>
      <c r="BH768" s="268" t="str">
        <f t="shared" si="1190"/>
        <v/>
      </c>
      <c r="BI768" s="268" t="str">
        <f t="shared" si="1191"/>
        <v/>
      </c>
      <c r="BJ768" s="268" t="str">
        <f t="shared" si="1192"/>
        <v/>
      </c>
      <c r="BK768" s="268" t="str">
        <f t="shared" ref="BK768:BS768" si="1224">IF(OR($E768="",BK$1=""),"",IF(TRIM(LEFT($E768,MIN(IFERROR(FIND("CDU",UPPER($E768)),999),IFERROR(FIND("BULK",UPPER($E768)),999),IFERROR(FIND("-",$E768),999),IFERROR(FIND("（",$E768),999))-1))=BK$1,$F768,""))</f>
        <v/>
      </c>
      <c r="BL768" s="268" t="str">
        <f t="shared" si="1224"/>
        <v/>
      </c>
      <c r="BM768" s="268" t="str">
        <f t="shared" si="1224"/>
        <v/>
      </c>
      <c r="BN768" s="268" t="str">
        <f t="shared" si="1224"/>
        <v/>
      </c>
      <c r="BO768" s="268" t="str">
        <f t="shared" si="1224"/>
        <v/>
      </c>
      <c r="BP768" s="268" t="str">
        <f t="shared" si="1224"/>
        <v/>
      </c>
      <c r="BQ768" s="268" t="str">
        <f t="shared" si="1224"/>
        <v/>
      </c>
      <c r="BR768" s="268" t="str">
        <f t="shared" si="1224"/>
        <v/>
      </c>
      <c r="BS768" s="268" t="str">
        <f t="shared" si="1224"/>
        <v/>
      </c>
      <c r="BT768" s="268" t="str">
        <f t="shared" si="1194"/>
        <v/>
      </c>
      <c r="BU768" s="268" t="str">
        <f t="shared" si="1195"/>
        <v/>
      </c>
      <c r="BV768" s="247">
        <v>1.84</v>
      </c>
      <c r="BW768" s="729">
        <f t="shared" si="1215"/>
        <v>92</v>
      </c>
      <c r="BX768" s="730">
        <f t="shared" si="1216"/>
        <v>713</v>
      </c>
      <c r="BY768" s="731" t="str">
        <f t="shared" si="1217"/>
        <v>SR</v>
      </c>
    </row>
    <row r="769" s="698" customFormat="1" customHeight="1" spans="1:77">
      <c r="A769" s="208">
        <v>46141</v>
      </c>
      <c r="B769" s="248">
        <v>46195</v>
      </c>
      <c r="C769" s="268" t="s">
        <v>793</v>
      </c>
      <c r="D769" s="268" t="s">
        <v>794</v>
      </c>
      <c r="E769" s="268" t="s">
        <v>117</v>
      </c>
      <c r="F769" s="343">
        <v>5400</v>
      </c>
      <c r="G769" s="268" t="s">
        <v>795</v>
      </c>
      <c r="H769" s="211" t="str">
        <f>IFERROR(VLOOKUP(E769,名称!A:E,4,0),"")</f>
        <v>三代</v>
      </c>
      <c r="I769" s="268" t="str">
        <f t="shared" si="1139"/>
        <v/>
      </c>
      <c r="J769" s="268" t="str">
        <f t="shared" si="1140"/>
        <v/>
      </c>
      <c r="K769" s="268" t="str">
        <f t="shared" si="1141"/>
        <v/>
      </c>
      <c r="L769" s="268" t="str">
        <f t="shared" si="1142"/>
        <v/>
      </c>
      <c r="M769" s="268" t="str">
        <f t="shared" si="1143"/>
        <v/>
      </c>
      <c r="N769" s="268" t="str">
        <f t="shared" si="1144"/>
        <v/>
      </c>
      <c r="O769" s="268" t="str">
        <f t="shared" si="1145"/>
        <v/>
      </c>
      <c r="P769" s="268" t="str">
        <f t="shared" si="1146"/>
        <v/>
      </c>
      <c r="Q769" s="268" t="str">
        <f t="shared" si="1147"/>
        <v/>
      </c>
      <c r="R769" s="268" t="str">
        <f t="shared" si="1148"/>
        <v/>
      </c>
      <c r="S769" s="268" t="str">
        <f t="shared" si="1149"/>
        <v/>
      </c>
      <c r="T769" s="268" t="str">
        <f t="shared" si="1150"/>
        <v/>
      </c>
      <c r="U769" s="268" t="str">
        <f t="shared" si="1151"/>
        <v/>
      </c>
      <c r="V769" s="268" t="str">
        <f t="shared" si="1152"/>
        <v/>
      </c>
      <c r="W769" s="268" t="str">
        <f t="shared" si="1153"/>
        <v/>
      </c>
      <c r="X769" s="268" t="str">
        <f t="shared" si="1154"/>
        <v/>
      </c>
      <c r="Y769" s="268" t="str">
        <f t="shared" si="1155"/>
        <v/>
      </c>
      <c r="Z769" s="268" t="str">
        <f t="shared" si="1156"/>
        <v/>
      </c>
      <c r="AA769" s="268" t="str">
        <f t="shared" si="1157"/>
        <v/>
      </c>
      <c r="AB769" s="268" t="str">
        <f t="shared" si="1158"/>
        <v/>
      </c>
      <c r="AC769" s="268" t="str">
        <f t="shared" si="1159"/>
        <v/>
      </c>
      <c r="AD769" s="268" t="str">
        <f t="shared" si="1160"/>
        <v/>
      </c>
      <c r="AE769" s="268" t="str">
        <f t="shared" si="1161"/>
        <v/>
      </c>
      <c r="AF769" s="268" t="str">
        <f t="shared" si="1162"/>
        <v/>
      </c>
      <c r="AG769" s="268" t="str">
        <f t="shared" si="1163"/>
        <v/>
      </c>
      <c r="AH769" s="268" t="str">
        <f t="shared" si="1164"/>
        <v/>
      </c>
      <c r="AI769" s="268" t="str">
        <f t="shared" si="1165"/>
        <v/>
      </c>
      <c r="AJ769" s="268" t="str">
        <f t="shared" si="1166"/>
        <v/>
      </c>
      <c r="AK769" s="268" t="str">
        <f t="shared" si="1167"/>
        <v/>
      </c>
      <c r="AL769" s="268" t="str">
        <f t="shared" si="1168"/>
        <v/>
      </c>
      <c r="AM769" s="268" t="str">
        <f t="shared" si="1169"/>
        <v/>
      </c>
      <c r="AN769" s="268" t="str">
        <f t="shared" si="1170"/>
        <v/>
      </c>
      <c r="AO769" s="268" t="str">
        <f t="shared" si="1171"/>
        <v/>
      </c>
      <c r="AP769" s="268" t="str">
        <f t="shared" si="1172"/>
        <v/>
      </c>
      <c r="AQ769" s="268">
        <f t="shared" si="1173"/>
        <v>5400</v>
      </c>
      <c r="AR769" s="268" t="str">
        <f t="shared" si="1174"/>
        <v/>
      </c>
      <c r="AS769" s="268" t="str">
        <f t="shared" si="1175"/>
        <v/>
      </c>
      <c r="AT769" s="268" t="str">
        <f t="shared" si="1176"/>
        <v/>
      </c>
      <c r="AU769" s="268" t="str">
        <f t="shared" si="1177"/>
        <v/>
      </c>
      <c r="AV769" s="268" t="str">
        <f t="shared" si="1178"/>
        <v/>
      </c>
      <c r="AW769" s="268" t="str">
        <f t="shared" si="1179"/>
        <v/>
      </c>
      <c r="AX769" s="268" t="str">
        <f t="shared" si="1180"/>
        <v/>
      </c>
      <c r="AY769" s="268" t="str">
        <f t="shared" si="1181"/>
        <v/>
      </c>
      <c r="AZ769" s="268" t="str">
        <f t="shared" si="1182"/>
        <v/>
      </c>
      <c r="BA769" s="268" t="str">
        <f t="shared" si="1183"/>
        <v/>
      </c>
      <c r="BB769" s="268" t="str">
        <f t="shared" si="1184"/>
        <v/>
      </c>
      <c r="BC769" s="268" t="str">
        <f t="shared" si="1185"/>
        <v/>
      </c>
      <c r="BD769" s="268" t="str">
        <f t="shared" si="1186"/>
        <v/>
      </c>
      <c r="BE769" s="268" t="str">
        <f t="shared" si="1187"/>
        <v/>
      </c>
      <c r="BF769" s="268" t="str">
        <f t="shared" si="1188"/>
        <v/>
      </c>
      <c r="BG769" s="268" t="str">
        <f t="shared" si="1189"/>
        <v/>
      </c>
      <c r="BH769" s="268" t="str">
        <f t="shared" si="1190"/>
        <v/>
      </c>
      <c r="BI769" s="268" t="str">
        <f t="shared" si="1191"/>
        <v/>
      </c>
      <c r="BJ769" s="268" t="str">
        <f t="shared" si="1192"/>
        <v/>
      </c>
      <c r="BK769" s="268" t="str">
        <f t="shared" ref="BK769:BS769" si="1225">IF(OR($E769="",BK$1=""),"",IF(TRIM(LEFT($E769,MIN(IFERROR(FIND("CDU",UPPER($E769)),999),IFERROR(FIND("BULK",UPPER($E769)),999),IFERROR(FIND("-",$E769),999),IFERROR(FIND("（",$E769),999))-1))=BK$1,$F769,""))</f>
        <v/>
      </c>
      <c r="BL769" s="268" t="str">
        <f t="shared" si="1225"/>
        <v/>
      </c>
      <c r="BM769" s="268" t="str">
        <f t="shared" si="1225"/>
        <v/>
      </c>
      <c r="BN769" s="268" t="str">
        <f t="shared" si="1225"/>
        <v/>
      </c>
      <c r="BO769" s="268" t="str">
        <f t="shared" si="1225"/>
        <v/>
      </c>
      <c r="BP769" s="268" t="str">
        <f t="shared" si="1225"/>
        <v/>
      </c>
      <c r="BQ769" s="268" t="str">
        <f t="shared" si="1225"/>
        <v/>
      </c>
      <c r="BR769" s="268" t="str">
        <f t="shared" si="1225"/>
        <v/>
      </c>
      <c r="BS769" s="268" t="str">
        <f t="shared" si="1225"/>
        <v/>
      </c>
      <c r="BT769" s="268" t="str">
        <f t="shared" si="1194"/>
        <v/>
      </c>
      <c r="BU769" s="268" t="str">
        <f t="shared" si="1195"/>
        <v/>
      </c>
      <c r="BV769" s="247">
        <v>8.45</v>
      </c>
      <c r="BW769" s="729">
        <f t="shared" si="1215"/>
        <v>45630</v>
      </c>
      <c r="BX769" s="730">
        <f t="shared" si="1216"/>
        <v>353632.5</v>
      </c>
      <c r="BY769" s="731" t="str">
        <f t="shared" si="1217"/>
        <v>SR</v>
      </c>
    </row>
    <row r="770" s="698" customFormat="1" customHeight="1" spans="1:77">
      <c r="A770" s="208">
        <v>46141</v>
      </c>
      <c r="B770" s="248">
        <v>46223</v>
      </c>
      <c r="C770" s="268" t="s">
        <v>796</v>
      </c>
      <c r="D770" s="268" t="s">
        <v>797</v>
      </c>
      <c r="E770" s="268" t="s">
        <v>117</v>
      </c>
      <c r="F770" s="343">
        <v>2250</v>
      </c>
      <c r="G770" s="268" t="s">
        <v>795</v>
      </c>
      <c r="H770" s="211" t="str">
        <f>IFERROR(VLOOKUP(E770,名称!A:E,4,0),"")</f>
        <v>三代</v>
      </c>
      <c r="I770" s="268" t="str">
        <f t="shared" si="1139"/>
        <v/>
      </c>
      <c r="J770" s="268" t="str">
        <f t="shared" si="1140"/>
        <v/>
      </c>
      <c r="K770" s="268" t="str">
        <f t="shared" si="1141"/>
        <v/>
      </c>
      <c r="L770" s="268" t="str">
        <f t="shared" si="1142"/>
        <v/>
      </c>
      <c r="M770" s="268" t="str">
        <f t="shared" si="1143"/>
        <v/>
      </c>
      <c r="N770" s="268" t="str">
        <f t="shared" si="1144"/>
        <v/>
      </c>
      <c r="O770" s="268" t="str">
        <f t="shared" si="1145"/>
        <v/>
      </c>
      <c r="P770" s="268" t="str">
        <f t="shared" si="1146"/>
        <v/>
      </c>
      <c r="Q770" s="268" t="str">
        <f t="shared" si="1147"/>
        <v/>
      </c>
      <c r="R770" s="268" t="str">
        <f t="shared" si="1148"/>
        <v/>
      </c>
      <c r="S770" s="268" t="str">
        <f t="shared" si="1149"/>
        <v/>
      </c>
      <c r="T770" s="268" t="str">
        <f t="shared" si="1150"/>
        <v/>
      </c>
      <c r="U770" s="268" t="str">
        <f t="shared" si="1151"/>
        <v/>
      </c>
      <c r="V770" s="268" t="str">
        <f t="shared" si="1152"/>
        <v/>
      </c>
      <c r="W770" s="268" t="str">
        <f t="shared" si="1153"/>
        <v/>
      </c>
      <c r="X770" s="268" t="str">
        <f t="shared" si="1154"/>
        <v/>
      </c>
      <c r="Y770" s="268" t="str">
        <f t="shared" si="1155"/>
        <v/>
      </c>
      <c r="Z770" s="268" t="str">
        <f t="shared" si="1156"/>
        <v/>
      </c>
      <c r="AA770" s="268" t="str">
        <f t="shared" si="1157"/>
        <v/>
      </c>
      <c r="AB770" s="268" t="str">
        <f t="shared" si="1158"/>
        <v/>
      </c>
      <c r="AC770" s="268" t="str">
        <f t="shared" si="1159"/>
        <v/>
      </c>
      <c r="AD770" s="268" t="str">
        <f t="shared" si="1160"/>
        <v/>
      </c>
      <c r="AE770" s="268" t="str">
        <f t="shared" si="1161"/>
        <v/>
      </c>
      <c r="AF770" s="268" t="str">
        <f t="shared" si="1162"/>
        <v/>
      </c>
      <c r="AG770" s="268" t="str">
        <f t="shared" si="1163"/>
        <v/>
      </c>
      <c r="AH770" s="268" t="str">
        <f t="shared" si="1164"/>
        <v/>
      </c>
      <c r="AI770" s="268" t="str">
        <f t="shared" si="1165"/>
        <v/>
      </c>
      <c r="AJ770" s="268" t="str">
        <f t="shared" si="1166"/>
        <v/>
      </c>
      <c r="AK770" s="268" t="str">
        <f t="shared" si="1167"/>
        <v/>
      </c>
      <c r="AL770" s="268" t="str">
        <f t="shared" si="1168"/>
        <v/>
      </c>
      <c r="AM770" s="268" t="str">
        <f t="shared" si="1169"/>
        <v/>
      </c>
      <c r="AN770" s="268" t="str">
        <f t="shared" si="1170"/>
        <v/>
      </c>
      <c r="AO770" s="268" t="str">
        <f t="shared" si="1171"/>
        <v/>
      </c>
      <c r="AP770" s="268" t="str">
        <f t="shared" si="1172"/>
        <v/>
      </c>
      <c r="AQ770" s="268">
        <f t="shared" si="1173"/>
        <v>2250</v>
      </c>
      <c r="AR770" s="268" t="str">
        <f t="shared" si="1174"/>
        <v/>
      </c>
      <c r="AS770" s="268" t="str">
        <f t="shared" si="1175"/>
        <v/>
      </c>
      <c r="AT770" s="268" t="str">
        <f t="shared" si="1176"/>
        <v/>
      </c>
      <c r="AU770" s="268" t="str">
        <f t="shared" si="1177"/>
        <v/>
      </c>
      <c r="AV770" s="268" t="str">
        <f t="shared" si="1178"/>
        <v/>
      </c>
      <c r="AW770" s="268" t="str">
        <f t="shared" si="1179"/>
        <v/>
      </c>
      <c r="AX770" s="268" t="str">
        <f t="shared" si="1180"/>
        <v/>
      </c>
      <c r="AY770" s="268" t="str">
        <f t="shared" si="1181"/>
        <v/>
      </c>
      <c r="AZ770" s="268" t="str">
        <f t="shared" si="1182"/>
        <v/>
      </c>
      <c r="BA770" s="268" t="str">
        <f t="shared" si="1183"/>
        <v/>
      </c>
      <c r="BB770" s="268" t="str">
        <f t="shared" si="1184"/>
        <v/>
      </c>
      <c r="BC770" s="268" t="str">
        <f t="shared" si="1185"/>
        <v/>
      </c>
      <c r="BD770" s="268" t="str">
        <f t="shared" si="1186"/>
        <v/>
      </c>
      <c r="BE770" s="268" t="str">
        <f t="shared" si="1187"/>
        <v/>
      </c>
      <c r="BF770" s="268" t="str">
        <f t="shared" si="1188"/>
        <v/>
      </c>
      <c r="BG770" s="268" t="str">
        <f t="shared" si="1189"/>
        <v/>
      </c>
      <c r="BH770" s="268" t="str">
        <f t="shared" si="1190"/>
        <v/>
      </c>
      <c r="BI770" s="268" t="str">
        <f t="shared" si="1191"/>
        <v/>
      </c>
      <c r="BJ770" s="268" t="str">
        <f t="shared" si="1192"/>
        <v/>
      </c>
      <c r="BK770" s="268" t="str">
        <f t="shared" ref="BK770:BS770" si="1226">IF(OR($E770="",BK$1=""),"",IF(TRIM(LEFT($E770,MIN(IFERROR(FIND("CDU",UPPER($E770)),999),IFERROR(FIND("BULK",UPPER($E770)),999),IFERROR(FIND("-",$E770),999),IFERROR(FIND("（",$E770),999))-1))=BK$1,$F770,""))</f>
        <v/>
      </c>
      <c r="BL770" s="268" t="str">
        <f t="shared" si="1226"/>
        <v/>
      </c>
      <c r="BM770" s="268" t="str">
        <f t="shared" si="1226"/>
        <v/>
      </c>
      <c r="BN770" s="268" t="str">
        <f t="shared" si="1226"/>
        <v/>
      </c>
      <c r="BO770" s="268" t="str">
        <f t="shared" si="1226"/>
        <v/>
      </c>
      <c r="BP770" s="268" t="str">
        <f t="shared" si="1226"/>
        <v/>
      </c>
      <c r="BQ770" s="268" t="str">
        <f t="shared" si="1226"/>
        <v/>
      </c>
      <c r="BR770" s="268" t="str">
        <f t="shared" si="1226"/>
        <v/>
      </c>
      <c r="BS770" s="268" t="str">
        <f t="shared" si="1226"/>
        <v/>
      </c>
      <c r="BT770" s="268" t="str">
        <f t="shared" si="1194"/>
        <v/>
      </c>
      <c r="BU770" s="268" t="str">
        <f t="shared" si="1195"/>
        <v/>
      </c>
      <c r="BV770" s="247">
        <v>9.28</v>
      </c>
      <c r="BW770" s="729">
        <f t="shared" si="1215"/>
        <v>20880</v>
      </c>
      <c r="BX770" s="730">
        <f t="shared" si="1216"/>
        <v>161820</v>
      </c>
      <c r="BY770" s="731" t="str">
        <f t="shared" si="1217"/>
        <v>SR</v>
      </c>
    </row>
    <row r="771" s="697" customFormat="1" customHeight="1" spans="1:77">
      <c r="A771" s="116">
        <v>46141</v>
      </c>
      <c r="B771" s="179">
        <v>46223</v>
      </c>
      <c r="C771" s="418" t="s">
        <v>798</v>
      </c>
      <c r="D771" s="418" t="s">
        <v>799</v>
      </c>
      <c r="E771" s="418" t="s">
        <v>107</v>
      </c>
      <c r="F771" s="737">
        <v>8000</v>
      </c>
      <c r="G771" s="418" t="s">
        <v>253</v>
      </c>
      <c r="H771" s="118" t="str">
        <f>IFERROR(VLOOKUP(E771,名称!A:E,4,0),"")</f>
        <v>三代</v>
      </c>
      <c r="I771" s="418" t="str">
        <f t="shared" si="1139"/>
        <v/>
      </c>
      <c r="J771" s="418" t="str">
        <f t="shared" si="1140"/>
        <v/>
      </c>
      <c r="K771" s="418" t="str">
        <f t="shared" si="1141"/>
        <v/>
      </c>
      <c r="L771" s="418" t="str">
        <f t="shared" si="1142"/>
        <v/>
      </c>
      <c r="M771" s="418" t="str">
        <f t="shared" si="1143"/>
        <v/>
      </c>
      <c r="N771" s="418" t="str">
        <f t="shared" si="1144"/>
        <v/>
      </c>
      <c r="O771" s="418" t="str">
        <f t="shared" si="1145"/>
        <v/>
      </c>
      <c r="P771" s="418" t="str">
        <f t="shared" si="1146"/>
        <v/>
      </c>
      <c r="Q771" s="418" t="str">
        <f t="shared" si="1147"/>
        <v/>
      </c>
      <c r="R771" s="418" t="str">
        <f t="shared" si="1148"/>
        <v/>
      </c>
      <c r="S771" s="418" t="str">
        <f t="shared" si="1149"/>
        <v/>
      </c>
      <c r="T771" s="418" t="str">
        <f t="shared" si="1150"/>
        <v/>
      </c>
      <c r="U771" s="418" t="str">
        <f t="shared" si="1151"/>
        <v/>
      </c>
      <c r="V771" s="418" t="str">
        <f t="shared" si="1152"/>
        <v/>
      </c>
      <c r="W771" s="418" t="str">
        <f t="shared" si="1153"/>
        <v/>
      </c>
      <c r="X771" s="418" t="str">
        <f t="shared" si="1154"/>
        <v/>
      </c>
      <c r="Y771" s="418" t="str">
        <f t="shared" si="1155"/>
        <v/>
      </c>
      <c r="Z771" s="418" t="str">
        <f t="shared" si="1156"/>
        <v/>
      </c>
      <c r="AA771" s="418" t="str">
        <f t="shared" si="1157"/>
        <v/>
      </c>
      <c r="AB771" s="418" t="str">
        <f t="shared" si="1158"/>
        <v/>
      </c>
      <c r="AC771" s="418" t="str">
        <f t="shared" si="1159"/>
        <v/>
      </c>
      <c r="AD771" s="418" t="str">
        <f t="shared" si="1160"/>
        <v/>
      </c>
      <c r="AE771" s="418" t="str">
        <f t="shared" si="1161"/>
        <v/>
      </c>
      <c r="AF771" s="418" t="str">
        <f t="shared" si="1162"/>
        <v/>
      </c>
      <c r="AG771" s="418">
        <f t="shared" si="1163"/>
        <v>8000</v>
      </c>
      <c r="AH771" s="418" t="str">
        <f t="shared" si="1164"/>
        <v/>
      </c>
      <c r="AI771" s="418" t="str">
        <f t="shared" si="1165"/>
        <v/>
      </c>
      <c r="AJ771" s="418" t="str">
        <f t="shared" si="1166"/>
        <v/>
      </c>
      <c r="AK771" s="418" t="str">
        <f t="shared" si="1167"/>
        <v/>
      </c>
      <c r="AL771" s="418" t="str">
        <f t="shared" si="1168"/>
        <v/>
      </c>
      <c r="AM771" s="418" t="str">
        <f t="shared" si="1169"/>
        <v/>
      </c>
      <c r="AN771" s="418" t="str">
        <f t="shared" si="1170"/>
        <v/>
      </c>
      <c r="AO771" s="418" t="str">
        <f t="shared" si="1171"/>
        <v/>
      </c>
      <c r="AP771" s="418" t="str">
        <f t="shared" si="1172"/>
        <v/>
      </c>
      <c r="AQ771" s="418" t="str">
        <f t="shared" si="1173"/>
        <v/>
      </c>
      <c r="AR771" s="418" t="str">
        <f t="shared" si="1174"/>
        <v/>
      </c>
      <c r="AS771" s="418" t="str">
        <f t="shared" si="1175"/>
        <v/>
      </c>
      <c r="AT771" s="418" t="str">
        <f t="shared" si="1176"/>
        <v/>
      </c>
      <c r="AU771" s="418" t="str">
        <f t="shared" si="1177"/>
        <v/>
      </c>
      <c r="AV771" s="418" t="str">
        <f t="shared" si="1178"/>
        <v/>
      </c>
      <c r="AW771" s="418" t="str">
        <f t="shared" si="1179"/>
        <v/>
      </c>
      <c r="AX771" s="418" t="str">
        <f t="shared" si="1180"/>
        <v/>
      </c>
      <c r="AY771" s="418" t="str">
        <f t="shared" si="1181"/>
        <v/>
      </c>
      <c r="AZ771" s="418" t="str">
        <f t="shared" si="1182"/>
        <v/>
      </c>
      <c r="BA771" s="418" t="str">
        <f t="shared" si="1183"/>
        <v/>
      </c>
      <c r="BB771" s="418" t="str">
        <f t="shared" si="1184"/>
        <v/>
      </c>
      <c r="BC771" s="418" t="str">
        <f t="shared" si="1185"/>
        <v/>
      </c>
      <c r="BD771" s="418" t="str">
        <f t="shared" si="1186"/>
        <v/>
      </c>
      <c r="BE771" s="418" t="str">
        <f t="shared" si="1187"/>
        <v/>
      </c>
      <c r="BF771" s="418" t="str">
        <f t="shared" si="1188"/>
        <v/>
      </c>
      <c r="BG771" s="418" t="str">
        <f t="shared" si="1189"/>
        <v/>
      </c>
      <c r="BH771" s="418" t="str">
        <f t="shared" si="1190"/>
        <v/>
      </c>
      <c r="BI771" s="418" t="str">
        <f t="shared" si="1191"/>
        <v/>
      </c>
      <c r="BJ771" s="418" t="str">
        <f t="shared" si="1192"/>
        <v/>
      </c>
      <c r="BK771" s="418" t="str">
        <f t="shared" ref="BK771:BS771" si="1227">IF(OR($E771="",BK$1=""),"",IF(TRIM(LEFT($E771,MIN(IFERROR(FIND("CDU",UPPER($E771)),999),IFERROR(FIND("BULK",UPPER($E771)),999),IFERROR(FIND("-",$E771),999),IFERROR(FIND("（",$E771),999))-1))=BK$1,$F771,""))</f>
        <v/>
      </c>
      <c r="BL771" s="418" t="str">
        <f t="shared" si="1227"/>
        <v/>
      </c>
      <c r="BM771" s="418" t="str">
        <f t="shared" si="1227"/>
        <v/>
      </c>
      <c r="BN771" s="418" t="str">
        <f t="shared" si="1227"/>
        <v/>
      </c>
      <c r="BO771" s="418" t="str">
        <f t="shared" si="1227"/>
        <v/>
      </c>
      <c r="BP771" s="418" t="str">
        <f t="shared" si="1227"/>
        <v/>
      </c>
      <c r="BQ771" s="418" t="str">
        <f t="shared" si="1227"/>
        <v/>
      </c>
      <c r="BR771" s="418" t="str">
        <f t="shared" si="1227"/>
        <v/>
      </c>
      <c r="BS771" s="418" t="str">
        <f t="shared" si="1227"/>
        <v/>
      </c>
      <c r="BT771" s="418" t="str">
        <f t="shared" si="1194"/>
        <v/>
      </c>
      <c r="BU771" s="418" t="str">
        <f t="shared" si="1195"/>
        <v/>
      </c>
      <c r="BV771" s="544">
        <v>2.12</v>
      </c>
      <c r="BW771" s="723">
        <f t="shared" si="1215"/>
        <v>16960</v>
      </c>
      <c r="BX771" s="724">
        <f t="shared" si="1216"/>
        <v>131440</v>
      </c>
      <c r="BY771" s="725" t="str">
        <f t="shared" si="1217"/>
        <v>SR</v>
      </c>
    </row>
    <row r="772" s="697" customFormat="1" customHeight="1" spans="1:77">
      <c r="A772" s="538">
        <v>46141</v>
      </c>
      <c r="B772" s="610">
        <v>46293</v>
      </c>
      <c r="C772" s="591" t="s">
        <v>800</v>
      </c>
      <c r="D772" s="591" t="s">
        <v>801</v>
      </c>
      <c r="E772" s="609" t="s">
        <v>59</v>
      </c>
      <c r="F772" s="592">
        <f>6000-4008-1992+4008+1992</f>
        <v>6000</v>
      </c>
      <c r="G772" s="609" t="s">
        <v>270</v>
      </c>
      <c r="H772" s="118" t="str">
        <f>IFERROR(VLOOKUP(E772,名称!A:E,4,0),"")</f>
        <v>三代</v>
      </c>
      <c r="I772" s="418" t="str">
        <f t="shared" si="1139"/>
        <v/>
      </c>
      <c r="J772" s="418" t="str">
        <f t="shared" si="1140"/>
        <v/>
      </c>
      <c r="K772" s="418" t="str">
        <f t="shared" si="1141"/>
        <v/>
      </c>
      <c r="L772" s="418" t="str">
        <f t="shared" si="1142"/>
        <v/>
      </c>
      <c r="M772" s="418" t="str">
        <f t="shared" si="1143"/>
        <v/>
      </c>
      <c r="N772" s="418" t="str">
        <f t="shared" si="1144"/>
        <v/>
      </c>
      <c r="O772" s="418" t="str">
        <f t="shared" si="1145"/>
        <v/>
      </c>
      <c r="P772" s="418" t="str">
        <f t="shared" si="1146"/>
        <v/>
      </c>
      <c r="Q772" s="418" t="str">
        <f t="shared" si="1147"/>
        <v/>
      </c>
      <c r="R772" s="418" t="str">
        <f t="shared" si="1148"/>
        <v/>
      </c>
      <c r="S772" s="418" t="str">
        <f t="shared" si="1149"/>
        <v/>
      </c>
      <c r="T772" s="418" t="str">
        <f t="shared" si="1150"/>
        <v/>
      </c>
      <c r="U772" s="418" t="str">
        <f t="shared" si="1151"/>
        <v/>
      </c>
      <c r="V772" s="418" t="str">
        <f t="shared" si="1152"/>
        <v/>
      </c>
      <c r="W772" s="418" t="str">
        <f t="shared" si="1153"/>
        <v/>
      </c>
      <c r="X772" s="418" t="str">
        <f t="shared" si="1154"/>
        <v/>
      </c>
      <c r="Y772" s="418" t="str">
        <f t="shared" si="1155"/>
        <v/>
      </c>
      <c r="Z772" s="418" t="str">
        <f t="shared" si="1156"/>
        <v/>
      </c>
      <c r="AA772" s="418" t="str">
        <f t="shared" si="1157"/>
        <v/>
      </c>
      <c r="AB772" s="418" t="str">
        <f t="shared" si="1158"/>
        <v/>
      </c>
      <c r="AC772" s="418" t="str">
        <f t="shared" si="1159"/>
        <v/>
      </c>
      <c r="AD772" s="418">
        <f t="shared" si="1160"/>
        <v>6000</v>
      </c>
      <c r="AE772" s="418" t="str">
        <f t="shared" si="1161"/>
        <v/>
      </c>
      <c r="AF772" s="418" t="str">
        <f t="shared" si="1162"/>
        <v/>
      </c>
      <c r="AG772" s="418" t="str">
        <f t="shared" si="1163"/>
        <v/>
      </c>
      <c r="AH772" s="418" t="str">
        <f t="shared" si="1164"/>
        <v/>
      </c>
      <c r="AI772" s="418" t="str">
        <f t="shared" si="1165"/>
        <v/>
      </c>
      <c r="AJ772" s="418" t="str">
        <f t="shared" si="1166"/>
        <v/>
      </c>
      <c r="AK772" s="418" t="str">
        <f t="shared" si="1167"/>
        <v/>
      </c>
      <c r="AL772" s="418" t="str">
        <f t="shared" si="1168"/>
        <v/>
      </c>
      <c r="AM772" s="418" t="str">
        <f t="shared" si="1169"/>
        <v/>
      </c>
      <c r="AN772" s="418" t="str">
        <f t="shared" si="1170"/>
        <v/>
      </c>
      <c r="AO772" s="418" t="str">
        <f t="shared" si="1171"/>
        <v/>
      </c>
      <c r="AP772" s="418" t="str">
        <f t="shared" si="1172"/>
        <v/>
      </c>
      <c r="AQ772" s="418" t="str">
        <f t="shared" si="1173"/>
        <v/>
      </c>
      <c r="AR772" s="418" t="str">
        <f t="shared" si="1174"/>
        <v/>
      </c>
      <c r="AS772" s="418" t="str">
        <f t="shared" si="1175"/>
        <v/>
      </c>
      <c r="AT772" s="418" t="str">
        <f t="shared" si="1176"/>
        <v/>
      </c>
      <c r="AU772" s="418" t="str">
        <f t="shared" si="1177"/>
        <v/>
      </c>
      <c r="AV772" s="418" t="str">
        <f t="shared" si="1178"/>
        <v/>
      </c>
      <c r="AW772" s="418" t="str">
        <f t="shared" si="1179"/>
        <v/>
      </c>
      <c r="AX772" s="418" t="str">
        <f t="shared" si="1180"/>
        <v/>
      </c>
      <c r="AY772" s="418" t="str">
        <f t="shared" si="1181"/>
        <v/>
      </c>
      <c r="AZ772" s="418" t="str">
        <f t="shared" si="1182"/>
        <v/>
      </c>
      <c r="BA772" s="418" t="str">
        <f t="shared" si="1183"/>
        <v/>
      </c>
      <c r="BB772" s="418" t="str">
        <f t="shared" si="1184"/>
        <v/>
      </c>
      <c r="BC772" s="418" t="str">
        <f t="shared" si="1185"/>
        <v/>
      </c>
      <c r="BD772" s="418" t="str">
        <f t="shared" si="1186"/>
        <v/>
      </c>
      <c r="BE772" s="418" t="str">
        <f t="shared" si="1187"/>
        <v/>
      </c>
      <c r="BF772" s="418" t="str">
        <f t="shared" si="1188"/>
        <v/>
      </c>
      <c r="BG772" s="418" t="str">
        <f t="shared" si="1189"/>
        <v/>
      </c>
      <c r="BH772" s="418" t="str">
        <f t="shared" si="1190"/>
        <v/>
      </c>
      <c r="BI772" s="418" t="str">
        <f t="shared" si="1191"/>
        <v/>
      </c>
      <c r="BJ772" s="418" t="str">
        <f t="shared" si="1192"/>
        <v/>
      </c>
      <c r="BK772" s="418" t="str">
        <f t="shared" ref="BK772:BS772" si="1228">IF(OR($E772="",BK$1=""),"",IF(TRIM(LEFT($E772,MIN(IFERROR(FIND("CDU",UPPER($E772)),999),IFERROR(FIND("BULK",UPPER($E772)),999),IFERROR(FIND("-",$E772),999),IFERROR(FIND("（",$E772),999))-1))=BK$1,$F772,""))</f>
        <v/>
      </c>
      <c r="BL772" s="418" t="str">
        <f t="shared" si="1228"/>
        <v/>
      </c>
      <c r="BM772" s="418" t="str">
        <f t="shared" si="1228"/>
        <v/>
      </c>
      <c r="BN772" s="418" t="str">
        <f t="shared" si="1228"/>
        <v/>
      </c>
      <c r="BO772" s="418" t="str">
        <f t="shared" si="1228"/>
        <v/>
      </c>
      <c r="BP772" s="418" t="str">
        <f t="shared" si="1228"/>
        <v/>
      </c>
      <c r="BQ772" s="418" t="str">
        <f t="shared" si="1228"/>
        <v/>
      </c>
      <c r="BR772" s="418" t="str">
        <f t="shared" si="1228"/>
        <v/>
      </c>
      <c r="BS772" s="418" t="str">
        <f t="shared" si="1228"/>
        <v/>
      </c>
      <c r="BT772" s="418" t="str">
        <f t="shared" si="1194"/>
        <v/>
      </c>
      <c r="BU772" s="418" t="str">
        <f t="shared" si="1195"/>
        <v/>
      </c>
      <c r="BV772" s="544">
        <v>0.63</v>
      </c>
      <c r="BW772" s="723">
        <f t="shared" si="1215"/>
        <v>3780</v>
      </c>
      <c r="BX772" s="724">
        <f t="shared" si="1216"/>
        <v>29295</v>
      </c>
      <c r="BY772" s="725" t="str">
        <f t="shared" si="1217"/>
        <v>SR</v>
      </c>
    </row>
    <row r="773" s="697" customFormat="1" customHeight="1" spans="1:77">
      <c r="A773" s="538">
        <v>46141</v>
      </c>
      <c r="B773" s="590">
        <v>46254</v>
      </c>
      <c r="C773" s="591" t="s">
        <v>802</v>
      </c>
      <c r="D773" s="591" t="s">
        <v>803</v>
      </c>
      <c r="E773" s="591" t="s">
        <v>60</v>
      </c>
      <c r="F773" s="593">
        <f>10008-5004</f>
        <v>5004</v>
      </c>
      <c r="G773" s="591" t="s">
        <v>253</v>
      </c>
      <c r="H773" s="118" t="str">
        <f>IFERROR(VLOOKUP(E773,名称!A:E,4,0),"")</f>
        <v>三代</v>
      </c>
      <c r="I773" s="418" t="str">
        <f t="shared" si="1139"/>
        <v/>
      </c>
      <c r="J773" s="418" t="str">
        <f t="shared" si="1140"/>
        <v/>
      </c>
      <c r="K773" s="418" t="str">
        <f t="shared" si="1141"/>
        <v/>
      </c>
      <c r="L773" s="418" t="str">
        <f t="shared" si="1142"/>
        <v/>
      </c>
      <c r="M773" s="418" t="str">
        <f t="shared" si="1143"/>
        <v/>
      </c>
      <c r="N773" s="418" t="str">
        <f t="shared" si="1144"/>
        <v/>
      </c>
      <c r="O773" s="418" t="str">
        <f t="shared" si="1145"/>
        <v/>
      </c>
      <c r="P773" s="418" t="str">
        <f t="shared" si="1146"/>
        <v/>
      </c>
      <c r="Q773" s="418" t="str">
        <f t="shared" si="1147"/>
        <v/>
      </c>
      <c r="R773" s="418" t="str">
        <f t="shared" si="1148"/>
        <v/>
      </c>
      <c r="S773" s="418" t="str">
        <f t="shared" si="1149"/>
        <v/>
      </c>
      <c r="T773" s="418" t="str">
        <f t="shared" si="1150"/>
        <v/>
      </c>
      <c r="U773" s="418" t="str">
        <f t="shared" si="1151"/>
        <v/>
      </c>
      <c r="V773" s="418" t="str">
        <f t="shared" si="1152"/>
        <v/>
      </c>
      <c r="W773" s="418" t="str">
        <f t="shared" si="1153"/>
        <v/>
      </c>
      <c r="X773" s="418" t="str">
        <f t="shared" si="1154"/>
        <v/>
      </c>
      <c r="Y773" s="418" t="str">
        <f t="shared" si="1155"/>
        <v/>
      </c>
      <c r="Z773" s="418" t="str">
        <f t="shared" si="1156"/>
        <v/>
      </c>
      <c r="AA773" s="418" t="str">
        <f t="shared" si="1157"/>
        <v/>
      </c>
      <c r="AB773" s="418" t="str">
        <f t="shared" si="1158"/>
        <v/>
      </c>
      <c r="AC773" s="418" t="str">
        <f t="shared" si="1159"/>
        <v/>
      </c>
      <c r="AD773" s="418" t="str">
        <f t="shared" si="1160"/>
        <v/>
      </c>
      <c r="AE773" s="418">
        <f t="shared" si="1161"/>
        <v>5004</v>
      </c>
      <c r="AF773" s="418" t="str">
        <f t="shared" si="1162"/>
        <v/>
      </c>
      <c r="AG773" s="418" t="str">
        <f t="shared" si="1163"/>
        <v/>
      </c>
      <c r="AH773" s="418" t="str">
        <f t="shared" si="1164"/>
        <v/>
      </c>
      <c r="AI773" s="418" t="str">
        <f t="shared" si="1165"/>
        <v/>
      </c>
      <c r="AJ773" s="418" t="str">
        <f t="shared" si="1166"/>
        <v/>
      </c>
      <c r="AK773" s="418" t="str">
        <f t="shared" si="1167"/>
        <v/>
      </c>
      <c r="AL773" s="418" t="str">
        <f t="shared" si="1168"/>
        <v/>
      </c>
      <c r="AM773" s="418" t="str">
        <f t="shared" si="1169"/>
        <v/>
      </c>
      <c r="AN773" s="418" t="str">
        <f t="shared" si="1170"/>
        <v/>
      </c>
      <c r="AO773" s="418" t="str">
        <f t="shared" si="1171"/>
        <v/>
      </c>
      <c r="AP773" s="418" t="str">
        <f t="shared" si="1172"/>
        <v/>
      </c>
      <c r="AQ773" s="418" t="str">
        <f t="shared" si="1173"/>
        <v/>
      </c>
      <c r="AR773" s="418" t="str">
        <f t="shared" si="1174"/>
        <v/>
      </c>
      <c r="AS773" s="418" t="str">
        <f t="shared" si="1175"/>
        <v/>
      </c>
      <c r="AT773" s="418" t="str">
        <f t="shared" si="1176"/>
        <v/>
      </c>
      <c r="AU773" s="418" t="str">
        <f t="shared" si="1177"/>
        <v/>
      </c>
      <c r="AV773" s="418" t="str">
        <f t="shared" si="1178"/>
        <v/>
      </c>
      <c r="AW773" s="418" t="str">
        <f t="shared" si="1179"/>
        <v/>
      </c>
      <c r="AX773" s="418" t="str">
        <f t="shared" si="1180"/>
        <v/>
      </c>
      <c r="AY773" s="418" t="str">
        <f t="shared" si="1181"/>
        <v/>
      </c>
      <c r="AZ773" s="418" t="str">
        <f t="shared" si="1182"/>
        <v/>
      </c>
      <c r="BA773" s="418" t="str">
        <f t="shared" si="1183"/>
        <v/>
      </c>
      <c r="BB773" s="418" t="str">
        <f t="shared" si="1184"/>
        <v/>
      </c>
      <c r="BC773" s="418" t="str">
        <f t="shared" si="1185"/>
        <v/>
      </c>
      <c r="BD773" s="418" t="str">
        <f t="shared" si="1186"/>
        <v/>
      </c>
      <c r="BE773" s="418" t="str">
        <f t="shared" si="1187"/>
        <v/>
      </c>
      <c r="BF773" s="418" t="str">
        <f t="shared" si="1188"/>
        <v/>
      </c>
      <c r="BG773" s="418" t="str">
        <f t="shared" si="1189"/>
        <v/>
      </c>
      <c r="BH773" s="418" t="str">
        <f t="shared" si="1190"/>
        <v/>
      </c>
      <c r="BI773" s="418" t="str">
        <f t="shared" si="1191"/>
        <v/>
      </c>
      <c r="BJ773" s="418" t="str">
        <f t="shared" si="1192"/>
        <v/>
      </c>
      <c r="BK773" s="418" t="str">
        <f t="shared" ref="BK773:BS773" si="1229">IF(OR($E773="",BK$1=""),"",IF(TRIM(LEFT($E773,MIN(IFERROR(FIND("CDU",UPPER($E773)),999),IFERROR(FIND("BULK",UPPER($E773)),999),IFERROR(FIND("-",$E773),999),IFERROR(FIND("（",$E773),999))-1))=BK$1,$F773,""))</f>
        <v/>
      </c>
      <c r="BL773" s="418" t="str">
        <f t="shared" si="1229"/>
        <v/>
      </c>
      <c r="BM773" s="418" t="str">
        <f t="shared" si="1229"/>
        <v/>
      </c>
      <c r="BN773" s="418" t="str">
        <f t="shared" si="1229"/>
        <v/>
      </c>
      <c r="BO773" s="418" t="str">
        <f t="shared" si="1229"/>
        <v/>
      </c>
      <c r="BP773" s="418" t="str">
        <f t="shared" si="1229"/>
        <v/>
      </c>
      <c r="BQ773" s="418" t="str">
        <f t="shared" si="1229"/>
        <v/>
      </c>
      <c r="BR773" s="418" t="str">
        <f t="shared" si="1229"/>
        <v/>
      </c>
      <c r="BS773" s="418" t="str">
        <f t="shared" si="1229"/>
        <v/>
      </c>
      <c r="BT773" s="418" t="str">
        <f t="shared" si="1194"/>
        <v/>
      </c>
      <c r="BU773" s="418" t="str">
        <f t="shared" si="1195"/>
        <v/>
      </c>
      <c r="BV773" s="544">
        <v>0.61</v>
      </c>
      <c r="BW773" s="723">
        <f t="shared" si="1215"/>
        <v>3052.44</v>
      </c>
      <c r="BX773" s="724">
        <f t="shared" si="1216"/>
        <v>23656.41</v>
      </c>
      <c r="BY773" s="725" t="str">
        <f t="shared" si="1217"/>
        <v>SR</v>
      </c>
    </row>
    <row r="774" s="698" customFormat="1" customHeight="1" spans="1:77">
      <c r="A774" s="208">
        <v>46142</v>
      </c>
      <c r="B774" s="208">
        <v>46213</v>
      </c>
      <c r="C774" s="268">
        <v>12389</v>
      </c>
      <c r="D774" s="268" t="s">
        <v>804</v>
      </c>
      <c r="E774" s="268" t="s">
        <v>179</v>
      </c>
      <c r="F774" s="343">
        <v>1920</v>
      </c>
      <c r="G774" s="268" t="s">
        <v>510</v>
      </c>
      <c r="H774" s="211" t="str">
        <f>IFERROR(VLOOKUP(E774,名称!A:E,4,0),"")</f>
        <v>三代</v>
      </c>
      <c r="I774" s="268" t="str">
        <f t="shared" si="1139"/>
        <v/>
      </c>
      <c r="J774" s="268" t="str">
        <f t="shared" si="1140"/>
        <v/>
      </c>
      <c r="K774" s="268" t="str">
        <f t="shared" si="1141"/>
        <v/>
      </c>
      <c r="L774" s="268" t="str">
        <f t="shared" si="1142"/>
        <v/>
      </c>
      <c r="M774" s="268" t="str">
        <f t="shared" si="1143"/>
        <v/>
      </c>
      <c r="N774" s="268" t="str">
        <f t="shared" si="1144"/>
        <v/>
      </c>
      <c r="O774" s="268" t="str">
        <f t="shared" si="1145"/>
        <v/>
      </c>
      <c r="P774" s="268" t="str">
        <f t="shared" si="1146"/>
        <v/>
      </c>
      <c r="Q774" s="268" t="str">
        <f t="shared" si="1147"/>
        <v/>
      </c>
      <c r="R774" s="268" t="str">
        <f t="shared" si="1148"/>
        <v/>
      </c>
      <c r="S774" s="268" t="str">
        <f t="shared" si="1149"/>
        <v/>
      </c>
      <c r="T774" s="268" t="str">
        <f t="shared" si="1150"/>
        <v/>
      </c>
      <c r="U774" s="268" t="str">
        <f t="shared" si="1151"/>
        <v/>
      </c>
      <c r="V774" s="268" t="str">
        <f t="shared" si="1152"/>
        <v/>
      </c>
      <c r="W774" s="268" t="str">
        <f t="shared" si="1153"/>
        <v/>
      </c>
      <c r="X774" s="268" t="str">
        <f t="shared" si="1154"/>
        <v/>
      </c>
      <c r="Y774" s="268" t="str">
        <f t="shared" si="1155"/>
        <v/>
      </c>
      <c r="Z774" s="268" t="str">
        <f t="shared" si="1156"/>
        <v/>
      </c>
      <c r="AA774" s="268" t="str">
        <f t="shared" si="1157"/>
        <v/>
      </c>
      <c r="AB774" s="268" t="str">
        <f t="shared" si="1158"/>
        <v/>
      </c>
      <c r="AC774" s="268" t="str">
        <f t="shared" si="1159"/>
        <v/>
      </c>
      <c r="AD774" s="268" t="str">
        <f t="shared" si="1160"/>
        <v/>
      </c>
      <c r="AE774" s="268" t="str">
        <f t="shared" si="1161"/>
        <v/>
      </c>
      <c r="AF774" s="268" t="str">
        <f t="shared" si="1162"/>
        <v/>
      </c>
      <c r="AG774" s="268" t="str">
        <f t="shared" si="1163"/>
        <v/>
      </c>
      <c r="AH774" s="268" t="str">
        <f t="shared" si="1164"/>
        <v/>
      </c>
      <c r="AI774" s="268" t="str">
        <f t="shared" si="1165"/>
        <v/>
      </c>
      <c r="AJ774" s="268" t="str">
        <f t="shared" si="1166"/>
        <v/>
      </c>
      <c r="AK774" s="268" t="str">
        <f t="shared" si="1167"/>
        <v/>
      </c>
      <c r="AL774" s="268" t="str">
        <f t="shared" si="1168"/>
        <v/>
      </c>
      <c r="AM774" s="268" t="str">
        <f t="shared" si="1169"/>
        <v/>
      </c>
      <c r="AN774" s="268" t="str">
        <f t="shared" si="1170"/>
        <v/>
      </c>
      <c r="AO774" s="268">
        <f t="shared" si="1171"/>
        <v>1920</v>
      </c>
      <c r="AP774" s="268" t="str">
        <f t="shared" si="1172"/>
        <v/>
      </c>
      <c r="AQ774" s="268" t="str">
        <f t="shared" si="1173"/>
        <v/>
      </c>
      <c r="AR774" s="268" t="str">
        <f t="shared" si="1174"/>
        <v/>
      </c>
      <c r="AS774" s="268" t="str">
        <f t="shared" si="1175"/>
        <v/>
      </c>
      <c r="AT774" s="268" t="str">
        <f t="shared" si="1176"/>
        <v/>
      </c>
      <c r="AU774" s="268" t="str">
        <f t="shared" si="1177"/>
        <v/>
      </c>
      <c r="AV774" s="268" t="str">
        <f t="shared" si="1178"/>
        <v/>
      </c>
      <c r="AW774" s="268" t="str">
        <f t="shared" si="1179"/>
        <v/>
      </c>
      <c r="AX774" s="268" t="str">
        <f t="shared" si="1180"/>
        <v/>
      </c>
      <c r="AY774" s="268" t="str">
        <f t="shared" si="1181"/>
        <v/>
      </c>
      <c r="AZ774" s="268" t="str">
        <f t="shared" si="1182"/>
        <v/>
      </c>
      <c r="BA774" s="268" t="str">
        <f t="shared" si="1183"/>
        <v/>
      </c>
      <c r="BB774" s="268" t="str">
        <f t="shared" si="1184"/>
        <v/>
      </c>
      <c r="BC774" s="268" t="str">
        <f t="shared" si="1185"/>
        <v/>
      </c>
      <c r="BD774" s="268" t="str">
        <f t="shared" si="1186"/>
        <v/>
      </c>
      <c r="BE774" s="268" t="str">
        <f t="shared" si="1187"/>
        <v/>
      </c>
      <c r="BF774" s="268" t="str">
        <f t="shared" si="1188"/>
        <v/>
      </c>
      <c r="BG774" s="268" t="str">
        <f t="shared" si="1189"/>
        <v/>
      </c>
      <c r="BH774" s="268" t="str">
        <f t="shared" si="1190"/>
        <v/>
      </c>
      <c r="BI774" s="268" t="str">
        <f t="shared" si="1191"/>
        <v/>
      </c>
      <c r="BJ774" s="268" t="str">
        <f t="shared" si="1192"/>
        <v/>
      </c>
      <c r="BK774" s="268" t="str">
        <f t="shared" ref="BK774:BS774" si="1230">IF(OR($E774="",BK$1=""),"",IF(TRIM(LEFT($E774,MIN(IFERROR(FIND("CDU",UPPER($E774)),999),IFERROR(FIND("BULK",UPPER($E774)),999),IFERROR(FIND("-",$E774),999),IFERROR(FIND("（",$E774),999))-1))=BK$1,$F774,""))</f>
        <v/>
      </c>
      <c r="BL774" s="268" t="str">
        <f t="shared" si="1230"/>
        <v/>
      </c>
      <c r="BM774" s="268" t="str">
        <f t="shared" si="1230"/>
        <v/>
      </c>
      <c r="BN774" s="268" t="str">
        <f t="shared" si="1230"/>
        <v/>
      </c>
      <c r="BO774" s="268" t="str">
        <f t="shared" si="1230"/>
        <v/>
      </c>
      <c r="BP774" s="268" t="str">
        <f t="shared" si="1230"/>
        <v/>
      </c>
      <c r="BQ774" s="268" t="str">
        <f t="shared" si="1230"/>
        <v/>
      </c>
      <c r="BR774" s="268" t="str">
        <f t="shared" si="1230"/>
        <v/>
      </c>
      <c r="BS774" s="268" t="str">
        <f t="shared" si="1230"/>
        <v/>
      </c>
      <c r="BT774" s="268" t="str">
        <f t="shared" si="1194"/>
        <v/>
      </c>
      <c r="BU774" s="268" t="str">
        <f t="shared" si="1195"/>
        <v/>
      </c>
      <c r="BV774" s="247">
        <v>0.64</v>
      </c>
      <c r="BW774" s="729">
        <f t="shared" ref="BW774:BW800" si="1231">SUM(I774:BU774)*BV774</f>
        <v>1228.8</v>
      </c>
      <c r="BX774" s="730">
        <f t="shared" ref="BX774:BX800" si="1232">BW774*7.75</f>
        <v>9523.2</v>
      </c>
      <c r="BY774" s="731" t="str">
        <f t="shared" ref="BY774:BY799" si="1233">MID(E774,1,2)</f>
        <v>SR</v>
      </c>
    </row>
    <row r="775" s="698" customFormat="1" customHeight="1" spans="1:77">
      <c r="A775" s="208">
        <v>46142</v>
      </c>
      <c r="B775" s="208">
        <v>46199</v>
      </c>
      <c r="C775" s="268">
        <v>12358</v>
      </c>
      <c r="D775" s="268" t="s">
        <v>805</v>
      </c>
      <c r="E775" s="268" t="s">
        <v>59</v>
      </c>
      <c r="F775" s="343">
        <v>4416</v>
      </c>
      <c r="G775" s="268" t="s">
        <v>510</v>
      </c>
      <c r="H775" s="211" t="str">
        <f>IFERROR(VLOOKUP(E775,名称!A:E,4,0),"")</f>
        <v>三代</v>
      </c>
      <c r="I775" s="268" t="str">
        <f t="shared" si="1139"/>
        <v/>
      </c>
      <c r="J775" s="268" t="str">
        <f t="shared" si="1140"/>
        <v/>
      </c>
      <c r="K775" s="268" t="str">
        <f t="shared" si="1141"/>
        <v/>
      </c>
      <c r="L775" s="268" t="str">
        <f t="shared" si="1142"/>
        <v/>
      </c>
      <c r="M775" s="268" t="str">
        <f t="shared" si="1143"/>
        <v/>
      </c>
      <c r="N775" s="268" t="str">
        <f t="shared" si="1144"/>
        <v/>
      </c>
      <c r="O775" s="268" t="str">
        <f t="shared" si="1145"/>
        <v/>
      </c>
      <c r="P775" s="268" t="str">
        <f t="shared" si="1146"/>
        <v/>
      </c>
      <c r="Q775" s="268" t="str">
        <f t="shared" si="1147"/>
        <v/>
      </c>
      <c r="R775" s="268" t="str">
        <f t="shared" si="1148"/>
        <v/>
      </c>
      <c r="S775" s="268" t="str">
        <f t="shared" si="1149"/>
        <v/>
      </c>
      <c r="T775" s="268" t="str">
        <f t="shared" si="1150"/>
        <v/>
      </c>
      <c r="U775" s="268" t="str">
        <f t="shared" si="1151"/>
        <v/>
      </c>
      <c r="V775" s="268" t="str">
        <f t="shared" si="1152"/>
        <v/>
      </c>
      <c r="W775" s="268" t="str">
        <f t="shared" si="1153"/>
        <v/>
      </c>
      <c r="X775" s="268" t="str">
        <f t="shared" si="1154"/>
        <v/>
      </c>
      <c r="Y775" s="268" t="str">
        <f t="shared" si="1155"/>
        <v/>
      </c>
      <c r="Z775" s="268" t="str">
        <f t="shared" si="1156"/>
        <v/>
      </c>
      <c r="AA775" s="268" t="str">
        <f t="shared" si="1157"/>
        <v/>
      </c>
      <c r="AB775" s="268" t="str">
        <f t="shared" si="1158"/>
        <v/>
      </c>
      <c r="AC775" s="268" t="str">
        <f t="shared" si="1159"/>
        <v/>
      </c>
      <c r="AD775" s="268">
        <f t="shared" si="1160"/>
        <v>4416</v>
      </c>
      <c r="AE775" s="268" t="str">
        <f t="shared" si="1161"/>
        <v/>
      </c>
      <c r="AF775" s="268" t="str">
        <f t="shared" si="1162"/>
        <v/>
      </c>
      <c r="AG775" s="268" t="str">
        <f t="shared" si="1163"/>
        <v/>
      </c>
      <c r="AH775" s="268" t="str">
        <f t="shared" si="1164"/>
        <v/>
      </c>
      <c r="AI775" s="268" t="str">
        <f t="shared" si="1165"/>
        <v/>
      </c>
      <c r="AJ775" s="268" t="str">
        <f t="shared" si="1166"/>
        <v/>
      </c>
      <c r="AK775" s="268" t="str">
        <f t="shared" si="1167"/>
        <v/>
      </c>
      <c r="AL775" s="268" t="str">
        <f t="shared" si="1168"/>
        <v/>
      </c>
      <c r="AM775" s="268" t="str">
        <f t="shared" si="1169"/>
        <v/>
      </c>
      <c r="AN775" s="268" t="str">
        <f t="shared" si="1170"/>
        <v/>
      </c>
      <c r="AO775" s="268" t="str">
        <f t="shared" si="1171"/>
        <v/>
      </c>
      <c r="AP775" s="268" t="str">
        <f t="shared" si="1172"/>
        <v/>
      </c>
      <c r="AQ775" s="268" t="str">
        <f t="shared" si="1173"/>
        <v/>
      </c>
      <c r="AR775" s="268" t="str">
        <f t="shared" si="1174"/>
        <v/>
      </c>
      <c r="AS775" s="268" t="str">
        <f t="shared" si="1175"/>
        <v/>
      </c>
      <c r="AT775" s="268" t="str">
        <f t="shared" si="1176"/>
        <v/>
      </c>
      <c r="AU775" s="268" t="str">
        <f t="shared" si="1177"/>
        <v/>
      </c>
      <c r="AV775" s="268" t="str">
        <f t="shared" si="1178"/>
        <v/>
      </c>
      <c r="AW775" s="268" t="str">
        <f t="shared" si="1179"/>
        <v/>
      </c>
      <c r="AX775" s="268" t="str">
        <f t="shared" si="1180"/>
        <v/>
      </c>
      <c r="AY775" s="268" t="str">
        <f t="shared" si="1181"/>
        <v/>
      </c>
      <c r="AZ775" s="268" t="str">
        <f t="shared" si="1182"/>
        <v/>
      </c>
      <c r="BA775" s="268" t="str">
        <f t="shared" si="1183"/>
        <v/>
      </c>
      <c r="BB775" s="268" t="str">
        <f t="shared" si="1184"/>
        <v/>
      </c>
      <c r="BC775" s="268" t="str">
        <f t="shared" si="1185"/>
        <v/>
      </c>
      <c r="BD775" s="268" t="str">
        <f t="shared" si="1186"/>
        <v/>
      </c>
      <c r="BE775" s="268" t="str">
        <f t="shared" si="1187"/>
        <v/>
      </c>
      <c r="BF775" s="268" t="str">
        <f t="shared" si="1188"/>
        <v/>
      </c>
      <c r="BG775" s="268" t="str">
        <f t="shared" si="1189"/>
        <v/>
      </c>
      <c r="BH775" s="268" t="str">
        <f t="shared" si="1190"/>
        <v/>
      </c>
      <c r="BI775" s="268" t="str">
        <f t="shared" si="1191"/>
        <v/>
      </c>
      <c r="BJ775" s="268" t="str">
        <f t="shared" si="1192"/>
        <v/>
      </c>
      <c r="BK775" s="268" t="str">
        <f t="shared" ref="BK775:BS775" si="1234">IF(OR($E775="",BK$1=""),"",IF(TRIM(LEFT($E775,MIN(IFERROR(FIND("CDU",UPPER($E775)),999),IFERROR(FIND("BULK",UPPER($E775)),999),IFERROR(FIND("-",$E775),999),IFERROR(FIND("（",$E775),999))-1))=BK$1,$F775,""))</f>
        <v/>
      </c>
      <c r="BL775" s="268" t="str">
        <f t="shared" si="1234"/>
        <v/>
      </c>
      <c r="BM775" s="268" t="str">
        <f t="shared" si="1234"/>
        <v/>
      </c>
      <c r="BN775" s="268" t="str">
        <f t="shared" si="1234"/>
        <v/>
      </c>
      <c r="BO775" s="268" t="str">
        <f t="shared" si="1234"/>
        <v/>
      </c>
      <c r="BP775" s="268" t="str">
        <f t="shared" si="1234"/>
        <v/>
      </c>
      <c r="BQ775" s="268" t="str">
        <f t="shared" si="1234"/>
        <v/>
      </c>
      <c r="BR775" s="268" t="str">
        <f t="shared" si="1234"/>
        <v/>
      </c>
      <c r="BS775" s="268" t="str">
        <f t="shared" si="1234"/>
        <v/>
      </c>
      <c r="BT775" s="268" t="str">
        <f t="shared" si="1194"/>
        <v/>
      </c>
      <c r="BU775" s="268" t="str">
        <f t="shared" si="1195"/>
        <v/>
      </c>
      <c r="BV775" s="247">
        <v>0.64</v>
      </c>
      <c r="BW775" s="729">
        <f t="shared" si="1231"/>
        <v>2826.24</v>
      </c>
      <c r="BX775" s="730">
        <f t="shared" si="1232"/>
        <v>21903.36</v>
      </c>
      <c r="BY775" s="731" t="str">
        <f t="shared" si="1233"/>
        <v>SR</v>
      </c>
    </row>
    <row r="776" s="698" customFormat="1" customHeight="1" spans="1:77">
      <c r="A776" s="208">
        <v>46142</v>
      </c>
      <c r="B776" s="208">
        <v>46199</v>
      </c>
      <c r="C776" s="268">
        <v>12358</v>
      </c>
      <c r="D776" s="268" t="s">
        <v>805</v>
      </c>
      <c r="E776" s="268" t="s">
        <v>99</v>
      </c>
      <c r="F776" s="343">
        <v>4512</v>
      </c>
      <c r="G776" s="268" t="s">
        <v>510</v>
      </c>
      <c r="H776" s="211" t="str">
        <f>IFERROR(VLOOKUP(E776,名称!A:E,4,0),"")</f>
        <v>三代</v>
      </c>
      <c r="I776" s="268" t="str">
        <f t="shared" si="1139"/>
        <v/>
      </c>
      <c r="J776" s="268" t="str">
        <f t="shared" si="1140"/>
        <v/>
      </c>
      <c r="K776" s="268" t="str">
        <f t="shared" si="1141"/>
        <v/>
      </c>
      <c r="L776" s="268" t="str">
        <f t="shared" si="1142"/>
        <v/>
      </c>
      <c r="M776" s="268" t="str">
        <f t="shared" si="1143"/>
        <v/>
      </c>
      <c r="N776" s="268" t="str">
        <f t="shared" si="1144"/>
        <v/>
      </c>
      <c r="O776" s="268" t="str">
        <f t="shared" si="1145"/>
        <v/>
      </c>
      <c r="P776" s="268" t="str">
        <f t="shared" si="1146"/>
        <v/>
      </c>
      <c r="Q776" s="268" t="str">
        <f t="shared" si="1147"/>
        <v/>
      </c>
      <c r="R776" s="268" t="str">
        <f t="shared" si="1148"/>
        <v/>
      </c>
      <c r="S776" s="268" t="str">
        <f t="shared" si="1149"/>
        <v/>
      </c>
      <c r="T776" s="268" t="str">
        <f t="shared" si="1150"/>
        <v/>
      </c>
      <c r="U776" s="268" t="str">
        <f t="shared" si="1151"/>
        <v/>
      </c>
      <c r="V776" s="268" t="str">
        <f t="shared" si="1152"/>
        <v/>
      </c>
      <c r="W776" s="268" t="str">
        <f t="shared" si="1153"/>
        <v/>
      </c>
      <c r="X776" s="268" t="str">
        <f t="shared" si="1154"/>
        <v/>
      </c>
      <c r="Y776" s="268" t="str">
        <f t="shared" si="1155"/>
        <v/>
      </c>
      <c r="Z776" s="268" t="str">
        <f t="shared" si="1156"/>
        <v/>
      </c>
      <c r="AA776" s="268" t="str">
        <f t="shared" si="1157"/>
        <v/>
      </c>
      <c r="AB776" s="268" t="str">
        <f t="shared" si="1158"/>
        <v/>
      </c>
      <c r="AC776" s="268">
        <f t="shared" si="1159"/>
        <v>4512</v>
      </c>
      <c r="AD776" s="268" t="str">
        <f t="shared" si="1160"/>
        <v/>
      </c>
      <c r="AE776" s="268" t="str">
        <f t="shared" si="1161"/>
        <v/>
      </c>
      <c r="AF776" s="268" t="str">
        <f t="shared" si="1162"/>
        <v/>
      </c>
      <c r="AG776" s="268" t="str">
        <f t="shared" si="1163"/>
        <v/>
      </c>
      <c r="AH776" s="268" t="str">
        <f t="shared" si="1164"/>
        <v/>
      </c>
      <c r="AI776" s="268" t="str">
        <f t="shared" si="1165"/>
        <v/>
      </c>
      <c r="AJ776" s="268" t="str">
        <f t="shared" si="1166"/>
        <v/>
      </c>
      <c r="AK776" s="268" t="str">
        <f t="shared" si="1167"/>
        <v/>
      </c>
      <c r="AL776" s="268" t="str">
        <f t="shared" si="1168"/>
        <v/>
      </c>
      <c r="AM776" s="268" t="str">
        <f t="shared" si="1169"/>
        <v/>
      </c>
      <c r="AN776" s="268" t="str">
        <f t="shared" si="1170"/>
        <v/>
      </c>
      <c r="AO776" s="268" t="str">
        <f t="shared" si="1171"/>
        <v/>
      </c>
      <c r="AP776" s="268" t="str">
        <f t="shared" si="1172"/>
        <v/>
      </c>
      <c r="AQ776" s="268" t="str">
        <f t="shared" si="1173"/>
        <v/>
      </c>
      <c r="AR776" s="268" t="str">
        <f t="shared" si="1174"/>
        <v/>
      </c>
      <c r="AS776" s="268" t="str">
        <f t="shared" si="1175"/>
        <v/>
      </c>
      <c r="AT776" s="268" t="str">
        <f t="shared" si="1176"/>
        <v/>
      </c>
      <c r="AU776" s="268" t="str">
        <f t="shared" si="1177"/>
        <v/>
      </c>
      <c r="AV776" s="268" t="str">
        <f t="shared" si="1178"/>
        <v/>
      </c>
      <c r="AW776" s="268" t="str">
        <f t="shared" si="1179"/>
        <v/>
      </c>
      <c r="AX776" s="268" t="str">
        <f t="shared" si="1180"/>
        <v/>
      </c>
      <c r="AY776" s="268" t="str">
        <f t="shared" si="1181"/>
        <v/>
      </c>
      <c r="AZ776" s="268" t="str">
        <f t="shared" si="1182"/>
        <v/>
      </c>
      <c r="BA776" s="268" t="str">
        <f t="shared" si="1183"/>
        <v/>
      </c>
      <c r="BB776" s="268" t="str">
        <f t="shared" si="1184"/>
        <v/>
      </c>
      <c r="BC776" s="268" t="str">
        <f t="shared" si="1185"/>
        <v/>
      </c>
      <c r="BD776" s="268" t="str">
        <f t="shared" si="1186"/>
        <v/>
      </c>
      <c r="BE776" s="268" t="str">
        <f t="shared" si="1187"/>
        <v/>
      </c>
      <c r="BF776" s="268" t="str">
        <f t="shared" si="1188"/>
        <v/>
      </c>
      <c r="BG776" s="268" t="str">
        <f t="shared" si="1189"/>
        <v/>
      </c>
      <c r="BH776" s="268" t="str">
        <f t="shared" si="1190"/>
        <v/>
      </c>
      <c r="BI776" s="268" t="str">
        <f t="shared" si="1191"/>
        <v/>
      </c>
      <c r="BJ776" s="268" t="str">
        <f t="shared" si="1192"/>
        <v/>
      </c>
      <c r="BK776" s="268" t="str">
        <f t="shared" ref="BK776:BS776" si="1235">IF(OR($E776="",BK$1=""),"",IF(TRIM(LEFT($E776,MIN(IFERROR(FIND("CDU",UPPER($E776)),999),IFERROR(FIND("BULK",UPPER($E776)),999),IFERROR(FIND("-",$E776),999),IFERROR(FIND("（",$E776),999))-1))=BK$1,$F776,""))</f>
        <v/>
      </c>
      <c r="BL776" s="268" t="str">
        <f t="shared" si="1235"/>
        <v/>
      </c>
      <c r="BM776" s="268" t="str">
        <f t="shared" si="1235"/>
        <v/>
      </c>
      <c r="BN776" s="268" t="str">
        <f t="shared" si="1235"/>
        <v/>
      </c>
      <c r="BO776" s="268" t="str">
        <f t="shared" si="1235"/>
        <v/>
      </c>
      <c r="BP776" s="268" t="str">
        <f t="shared" si="1235"/>
        <v/>
      </c>
      <c r="BQ776" s="268" t="str">
        <f t="shared" si="1235"/>
        <v/>
      </c>
      <c r="BR776" s="268" t="str">
        <f t="shared" si="1235"/>
        <v/>
      </c>
      <c r="BS776" s="268" t="str">
        <f t="shared" si="1235"/>
        <v/>
      </c>
      <c r="BT776" s="268" t="str">
        <f t="shared" si="1194"/>
        <v/>
      </c>
      <c r="BU776" s="268" t="str">
        <f t="shared" si="1195"/>
        <v/>
      </c>
      <c r="BV776" s="247">
        <v>0.89</v>
      </c>
      <c r="BW776" s="729">
        <f t="shared" si="1231"/>
        <v>4015.68</v>
      </c>
      <c r="BX776" s="730">
        <f t="shared" si="1232"/>
        <v>31121.52</v>
      </c>
      <c r="BY776" s="731" t="str">
        <f t="shared" si="1233"/>
        <v>SR</v>
      </c>
    </row>
    <row r="777" s="698" customFormat="1" customHeight="1" spans="1:77">
      <c r="A777" s="208">
        <v>46142</v>
      </c>
      <c r="B777" s="208">
        <v>46199</v>
      </c>
      <c r="C777" s="268">
        <v>12358</v>
      </c>
      <c r="D777" s="268" t="s">
        <v>805</v>
      </c>
      <c r="E777" s="268" t="s">
        <v>66</v>
      </c>
      <c r="F777" s="343">
        <v>1986</v>
      </c>
      <c r="G777" s="268" t="s">
        <v>510</v>
      </c>
      <c r="H777" s="211" t="str">
        <f>IFERROR(VLOOKUP(E777,名称!A:E,4,0),"")</f>
        <v>三代</v>
      </c>
      <c r="I777" s="268" t="str">
        <f t="shared" si="1139"/>
        <v/>
      </c>
      <c r="J777" s="268" t="str">
        <f t="shared" si="1140"/>
        <v/>
      </c>
      <c r="K777" s="268" t="str">
        <f t="shared" si="1141"/>
        <v/>
      </c>
      <c r="L777" s="268" t="str">
        <f t="shared" si="1142"/>
        <v/>
      </c>
      <c r="M777" s="268" t="str">
        <f t="shared" si="1143"/>
        <v/>
      </c>
      <c r="N777" s="268" t="str">
        <f t="shared" si="1144"/>
        <v/>
      </c>
      <c r="O777" s="268" t="str">
        <f t="shared" si="1145"/>
        <v/>
      </c>
      <c r="P777" s="268" t="str">
        <f t="shared" si="1146"/>
        <v/>
      </c>
      <c r="Q777" s="268" t="str">
        <f t="shared" si="1147"/>
        <v/>
      </c>
      <c r="R777" s="268" t="str">
        <f t="shared" si="1148"/>
        <v/>
      </c>
      <c r="S777" s="268" t="str">
        <f t="shared" si="1149"/>
        <v/>
      </c>
      <c r="T777" s="268" t="str">
        <f t="shared" si="1150"/>
        <v/>
      </c>
      <c r="U777" s="268" t="str">
        <f t="shared" si="1151"/>
        <v/>
      </c>
      <c r="V777" s="268" t="str">
        <f t="shared" si="1152"/>
        <v/>
      </c>
      <c r="W777" s="268" t="str">
        <f t="shared" si="1153"/>
        <v/>
      </c>
      <c r="X777" s="268" t="str">
        <f t="shared" si="1154"/>
        <v/>
      </c>
      <c r="Y777" s="268" t="str">
        <f t="shared" si="1155"/>
        <v/>
      </c>
      <c r="Z777" s="268" t="str">
        <f t="shared" si="1156"/>
        <v/>
      </c>
      <c r="AA777" s="268" t="str">
        <f t="shared" si="1157"/>
        <v/>
      </c>
      <c r="AB777" s="268" t="str">
        <f t="shared" si="1158"/>
        <v/>
      </c>
      <c r="AC777" s="268" t="str">
        <f t="shared" si="1159"/>
        <v/>
      </c>
      <c r="AD777" s="268" t="str">
        <f t="shared" si="1160"/>
        <v/>
      </c>
      <c r="AE777" s="268" t="str">
        <f t="shared" si="1161"/>
        <v/>
      </c>
      <c r="AF777" s="268" t="str">
        <f t="shared" si="1162"/>
        <v/>
      </c>
      <c r="AG777" s="268">
        <f t="shared" si="1163"/>
        <v>1986</v>
      </c>
      <c r="AH777" s="268" t="str">
        <f t="shared" si="1164"/>
        <v/>
      </c>
      <c r="AI777" s="268" t="str">
        <f t="shared" si="1165"/>
        <v/>
      </c>
      <c r="AJ777" s="268" t="str">
        <f t="shared" si="1166"/>
        <v/>
      </c>
      <c r="AK777" s="268" t="str">
        <f t="shared" si="1167"/>
        <v/>
      </c>
      <c r="AL777" s="268" t="str">
        <f t="shared" si="1168"/>
        <v/>
      </c>
      <c r="AM777" s="268" t="str">
        <f t="shared" si="1169"/>
        <v/>
      </c>
      <c r="AN777" s="268" t="str">
        <f t="shared" si="1170"/>
        <v/>
      </c>
      <c r="AO777" s="268" t="str">
        <f t="shared" si="1171"/>
        <v/>
      </c>
      <c r="AP777" s="268" t="str">
        <f t="shared" si="1172"/>
        <v/>
      </c>
      <c r="AQ777" s="268" t="str">
        <f t="shared" si="1173"/>
        <v/>
      </c>
      <c r="AR777" s="268" t="str">
        <f t="shared" si="1174"/>
        <v/>
      </c>
      <c r="AS777" s="268" t="str">
        <f t="shared" si="1175"/>
        <v/>
      </c>
      <c r="AT777" s="268" t="str">
        <f t="shared" si="1176"/>
        <v/>
      </c>
      <c r="AU777" s="268" t="str">
        <f t="shared" si="1177"/>
        <v/>
      </c>
      <c r="AV777" s="268" t="str">
        <f t="shared" si="1178"/>
        <v/>
      </c>
      <c r="AW777" s="268" t="str">
        <f t="shared" si="1179"/>
        <v/>
      </c>
      <c r="AX777" s="268" t="str">
        <f t="shared" si="1180"/>
        <v/>
      </c>
      <c r="AY777" s="268" t="str">
        <f t="shared" si="1181"/>
        <v/>
      </c>
      <c r="AZ777" s="268" t="str">
        <f t="shared" si="1182"/>
        <v/>
      </c>
      <c r="BA777" s="268" t="str">
        <f t="shared" si="1183"/>
        <v/>
      </c>
      <c r="BB777" s="268" t="str">
        <f t="shared" si="1184"/>
        <v/>
      </c>
      <c r="BC777" s="268" t="str">
        <f t="shared" si="1185"/>
        <v/>
      </c>
      <c r="BD777" s="268" t="str">
        <f t="shared" si="1186"/>
        <v/>
      </c>
      <c r="BE777" s="268" t="str">
        <f t="shared" si="1187"/>
        <v/>
      </c>
      <c r="BF777" s="268" t="str">
        <f t="shared" si="1188"/>
        <v/>
      </c>
      <c r="BG777" s="268" t="str">
        <f t="shared" si="1189"/>
        <v/>
      </c>
      <c r="BH777" s="268" t="str">
        <f t="shared" si="1190"/>
        <v/>
      </c>
      <c r="BI777" s="268" t="str">
        <f t="shared" si="1191"/>
        <v/>
      </c>
      <c r="BJ777" s="268" t="str">
        <f t="shared" si="1192"/>
        <v/>
      </c>
      <c r="BK777" s="268" t="str">
        <f t="shared" ref="BK777:BS777" si="1236">IF(OR($E777="",BK$1=""),"",IF(TRIM(LEFT($E777,MIN(IFERROR(FIND("CDU",UPPER($E777)),999),IFERROR(FIND("BULK",UPPER($E777)),999),IFERROR(FIND("-",$E777),999),IFERROR(FIND("（",$E777),999))-1))=BK$1,$F777,""))</f>
        <v/>
      </c>
      <c r="BL777" s="268" t="str">
        <f t="shared" si="1236"/>
        <v/>
      </c>
      <c r="BM777" s="268" t="str">
        <f t="shared" si="1236"/>
        <v/>
      </c>
      <c r="BN777" s="268" t="str">
        <f t="shared" si="1236"/>
        <v/>
      </c>
      <c r="BO777" s="268" t="str">
        <f t="shared" si="1236"/>
        <v/>
      </c>
      <c r="BP777" s="268" t="str">
        <f t="shared" si="1236"/>
        <v/>
      </c>
      <c r="BQ777" s="268" t="str">
        <f t="shared" si="1236"/>
        <v/>
      </c>
      <c r="BR777" s="268" t="str">
        <f t="shared" si="1236"/>
        <v/>
      </c>
      <c r="BS777" s="268" t="str">
        <f t="shared" si="1236"/>
        <v/>
      </c>
      <c r="BT777" s="268" t="str">
        <f t="shared" si="1194"/>
        <v/>
      </c>
      <c r="BU777" s="268" t="str">
        <f t="shared" si="1195"/>
        <v/>
      </c>
      <c r="BV777" s="247">
        <v>2.04</v>
      </c>
      <c r="BW777" s="729">
        <f t="shared" si="1231"/>
        <v>4051.44</v>
      </c>
      <c r="BX777" s="730">
        <f t="shared" si="1232"/>
        <v>31398.66</v>
      </c>
      <c r="BY777" s="731" t="str">
        <f t="shared" si="1233"/>
        <v>SR</v>
      </c>
    </row>
    <row r="778" s="698" customFormat="1" customHeight="1" spans="1:77">
      <c r="A778" s="208">
        <v>46142</v>
      </c>
      <c r="B778" s="208">
        <v>46199</v>
      </c>
      <c r="C778" s="268">
        <v>12358</v>
      </c>
      <c r="D778" s="268" t="s">
        <v>805</v>
      </c>
      <c r="E778" s="268" t="s">
        <v>85</v>
      </c>
      <c r="F778" s="343">
        <v>2736</v>
      </c>
      <c r="G778" s="268" t="s">
        <v>510</v>
      </c>
      <c r="H778" s="211" t="str">
        <f>IFERROR(VLOOKUP(E778,名称!A:E,4,0),"")</f>
        <v>三代</v>
      </c>
      <c r="I778" s="268" t="str">
        <f t="shared" si="1139"/>
        <v/>
      </c>
      <c r="J778" s="268" t="str">
        <f t="shared" si="1140"/>
        <v/>
      </c>
      <c r="K778" s="268" t="str">
        <f t="shared" si="1141"/>
        <v/>
      </c>
      <c r="L778" s="268" t="str">
        <f t="shared" si="1142"/>
        <v/>
      </c>
      <c r="M778" s="268" t="str">
        <f t="shared" si="1143"/>
        <v/>
      </c>
      <c r="N778" s="268" t="str">
        <f t="shared" si="1144"/>
        <v/>
      </c>
      <c r="O778" s="268" t="str">
        <f t="shared" si="1145"/>
        <v/>
      </c>
      <c r="P778" s="268" t="str">
        <f t="shared" si="1146"/>
        <v/>
      </c>
      <c r="Q778" s="268" t="str">
        <f t="shared" si="1147"/>
        <v/>
      </c>
      <c r="R778" s="268" t="str">
        <f t="shared" si="1148"/>
        <v/>
      </c>
      <c r="S778" s="268" t="str">
        <f t="shared" si="1149"/>
        <v/>
      </c>
      <c r="T778" s="268" t="str">
        <f t="shared" si="1150"/>
        <v/>
      </c>
      <c r="U778" s="268" t="str">
        <f t="shared" si="1151"/>
        <v/>
      </c>
      <c r="V778" s="268" t="str">
        <f t="shared" si="1152"/>
        <v/>
      </c>
      <c r="W778" s="268" t="str">
        <f t="shared" si="1153"/>
        <v/>
      </c>
      <c r="X778" s="268" t="str">
        <f t="shared" si="1154"/>
        <v/>
      </c>
      <c r="Y778" s="268" t="str">
        <f t="shared" si="1155"/>
        <v/>
      </c>
      <c r="Z778" s="268" t="str">
        <f t="shared" si="1156"/>
        <v/>
      </c>
      <c r="AA778" s="268" t="str">
        <f t="shared" si="1157"/>
        <v/>
      </c>
      <c r="AB778" s="268" t="str">
        <f t="shared" si="1158"/>
        <v/>
      </c>
      <c r="AC778" s="268" t="str">
        <f t="shared" si="1159"/>
        <v/>
      </c>
      <c r="AD778" s="268" t="str">
        <f t="shared" si="1160"/>
        <v/>
      </c>
      <c r="AE778" s="268" t="str">
        <f t="shared" si="1161"/>
        <v/>
      </c>
      <c r="AF778" s="268" t="str">
        <f t="shared" si="1162"/>
        <v/>
      </c>
      <c r="AG778" s="268" t="str">
        <f t="shared" si="1163"/>
        <v/>
      </c>
      <c r="AH778" s="268" t="str">
        <f t="shared" si="1164"/>
        <v/>
      </c>
      <c r="AI778" s="268" t="str">
        <f t="shared" si="1165"/>
        <v/>
      </c>
      <c r="AJ778" s="268" t="str">
        <f t="shared" si="1166"/>
        <v/>
      </c>
      <c r="AK778" s="268" t="str">
        <f t="shared" si="1167"/>
        <v/>
      </c>
      <c r="AL778" s="268" t="str">
        <f t="shared" si="1168"/>
        <v/>
      </c>
      <c r="AM778" s="268" t="str">
        <f t="shared" si="1169"/>
        <v/>
      </c>
      <c r="AN778" s="268">
        <f t="shared" si="1170"/>
        <v>2736</v>
      </c>
      <c r="AO778" s="268" t="str">
        <f t="shared" si="1171"/>
        <v/>
      </c>
      <c r="AP778" s="268" t="str">
        <f t="shared" si="1172"/>
        <v/>
      </c>
      <c r="AQ778" s="268" t="str">
        <f t="shared" si="1173"/>
        <v/>
      </c>
      <c r="AR778" s="268" t="str">
        <f t="shared" si="1174"/>
        <v/>
      </c>
      <c r="AS778" s="268" t="str">
        <f t="shared" si="1175"/>
        <v/>
      </c>
      <c r="AT778" s="268" t="str">
        <f t="shared" si="1176"/>
        <v/>
      </c>
      <c r="AU778" s="268" t="str">
        <f t="shared" si="1177"/>
        <v/>
      </c>
      <c r="AV778" s="268" t="str">
        <f t="shared" si="1178"/>
        <v/>
      </c>
      <c r="AW778" s="268" t="str">
        <f t="shared" si="1179"/>
        <v/>
      </c>
      <c r="AX778" s="268" t="str">
        <f t="shared" si="1180"/>
        <v/>
      </c>
      <c r="AY778" s="268" t="str">
        <f t="shared" si="1181"/>
        <v/>
      </c>
      <c r="AZ778" s="268" t="str">
        <f t="shared" si="1182"/>
        <v/>
      </c>
      <c r="BA778" s="268" t="str">
        <f t="shared" si="1183"/>
        <v/>
      </c>
      <c r="BB778" s="268" t="str">
        <f t="shared" si="1184"/>
        <v/>
      </c>
      <c r="BC778" s="268" t="str">
        <f t="shared" si="1185"/>
        <v/>
      </c>
      <c r="BD778" s="268" t="str">
        <f t="shared" si="1186"/>
        <v/>
      </c>
      <c r="BE778" s="268" t="str">
        <f t="shared" si="1187"/>
        <v/>
      </c>
      <c r="BF778" s="268" t="str">
        <f t="shared" si="1188"/>
        <v/>
      </c>
      <c r="BG778" s="268" t="str">
        <f t="shared" si="1189"/>
        <v/>
      </c>
      <c r="BH778" s="268" t="str">
        <f t="shared" si="1190"/>
        <v/>
      </c>
      <c r="BI778" s="268" t="str">
        <f t="shared" si="1191"/>
        <v/>
      </c>
      <c r="BJ778" s="268" t="str">
        <f t="shared" si="1192"/>
        <v/>
      </c>
      <c r="BK778" s="268" t="str">
        <f t="shared" ref="BK778:BS778" si="1237">IF(OR($E778="",BK$1=""),"",IF(TRIM(LEFT($E778,MIN(IFERROR(FIND("CDU",UPPER($E778)),999),IFERROR(FIND("BULK",UPPER($E778)),999),IFERROR(FIND("-",$E778),999),IFERROR(FIND("（",$E778),999))-1))=BK$1,$F778,""))</f>
        <v/>
      </c>
      <c r="BL778" s="268" t="str">
        <f t="shared" si="1237"/>
        <v/>
      </c>
      <c r="BM778" s="268" t="str">
        <f t="shared" si="1237"/>
        <v/>
      </c>
      <c r="BN778" s="268" t="str">
        <f t="shared" si="1237"/>
        <v/>
      </c>
      <c r="BO778" s="268" t="str">
        <f t="shared" si="1237"/>
        <v/>
      </c>
      <c r="BP778" s="268" t="str">
        <f t="shared" si="1237"/>
        <v/>
      </c>
      <c r="BQ778" s="268" t="str">
        <f t="shared" si="1237"/>
        <v/>
      </c>
      <c r="BR778" s="268" t="str">
        <f t="shared" si="1237"/>
        <v/>
      </c>
      <c r="BS778" s="268" t="str">
        <f t="shared" si="1237"/>
        <v/>
      </c>
      <c r="BT778" s="268" t="str">
        <f t="shared" si="1194"/>
        <v/>
      </c>
      <c r="BU778" s="268" t="str">
        <f t="shared" si="1195"/>
        <v/>
      </c>
      <c r="BV778" s="247">
        <v>0.89</v>
      </c>
      <c r="BW778" s="729">
        <f t="shared" si="1231"/>
        <v>2435.04</v>
      </c>
      <c r="BX778" s="730">
        <f t="shared" si="1232"/>
        <v>18871.56</v>
      </c>
      <c r="BY778" s="731" t="str">
        <f t="shared" si="1233"/>
        <v>SR</v>
      </c>
    </row>
    <row r="779" s="698" customFormat="1" customHeight="1" spans="1:77">
      <c r="A779" s="208">
        <v>46142</v>
      </c>
      <c r="B779" s="208">
        <v>46199</v>
      </c>
      <c r="C779" s="268">
        <v>12358</v>
      </c>
      <c r="D779" s="268" t="s">
        <v>805</v>
      </c>
      <c r="E779" s="268" t="s">
        <v>68</v>
      </c>
      <c r="F779" s="343">
        <v>604</v>
      </c>
      <c r="G779" s="268" t="s">
        <v>510</v>
      </c>
      <c r="H779" s="211" t="str">
        <f>IFERROR(VLOOKUP(E779,名称!A:E,4,0),"")</f>
        <v>三代</v>
      </c>
      <c r="I779" s="268" t="str">
        <f t="shared" si="1139"/>
        <v/>
      </c>
      <c r="J779" s="268" t="str">
        <f t="shared" si="1140"/>
        <v/>
      </c>
      <c r="K779" s="268" t="str">
        <f t="shared" si="1141"/>
        <v/>
      </c>
      <c r="L779" s="268" t="str">
        <f t="shared" si="1142"/>
        <v/>
      </c>
      <c r="M779" s="268" t="str">
        <f t="shared" si="1143"/>
        <v/>
      </c>
      <c r="N779" s="268" t="str">
        <f t="shared" si="1144"/>
        <v/>
      </c>
      <c r="O779" s="268" t="str">
        <f t="shared" si="1145"/>
        <v/>
      </c>
      <c r="P779" s="268" t="str">
        <f t="shared" si="1146"/>
        <v/>
      </c>
      <c r="Q779" s="268" t="str">
        <f t="shared" si="1147"/>
        <v/>
      </c>
      <c r="R779" s="268" t="str">
        <f t="shared" si="1148"/>
        <v/>
      </c>
      <c r="S779" s="268" t="str">
        <f t="shared" si="1149"/>
        <v/>
      </c>
      <c r="T779" s="268" t="str">
        <f t="shared" si="1150"/>
        <v/>
      </c>
      <c r="U779" s="268" t="str">
        <f t="shared" si="1151"/>
        <v/>
      </c>
      <c r="V779" s="268" t="str">
        <f t="shared" si="1152"/>
        <v/>
      </c>
      <c r="W779" s="268" t="str">
        <f t="shared" si="1153"/>
        <v/>
      </c>
      <c r="X779" s="268" t="str">
        <f t="shared" si="1154"/>
        <v/>
      </c>
      <c r="Y779" s="268" t="str">
        <f t="shared" si="1155"/>
        <v/>
      </c>
      <c r="Z779" s="268" t="str">
        <f t="shared" si="1156"/>
        <v/>
      </c>
      <c r="AA779" s="268" t="str">
        <f t="shared" si="1157"/>
        <v/>
      </c>
      <c r="AB779" s="268" t="str">
        <f t="shared" si="1158"/>
        <v/>
      </c>
      <c r="AC779" s="268" t="str">
        <f t="shared" si="1159"/>
        <v/>
      </c>
      <c r="AD779" s="268" t="str">
        <f t="shared" si="1160"/>
        <v/>
      </c>
      <c r="AE779" s="268" t="str">
        <f t="shared" si="1161"/>
        <v/>
      </c>
      <c r="AF779" s="268" t="str">
        <f t="shared" si="1162"/>
        <v/>
      </c>
      <c r="AG779" s="268" t="str">
        <f t="shared" si="1163"/>
        <v/>
      </c>
      <c r="AH779" s="268">
        <f t="shared" si="1164"/>
        <v>604</v>
      </c>
      <c r="AI779" s="268" t="str">
        <f t="shared" si="1165"/>
        <v/>
      </c>
      <c r="AJ779" s="268" t="str">
        <f t="shared" si="1166"/>
        <v/>
      </c>
      <c r="AK779" s="268" t="str">
        <f t="shared" si="1167"/>
        <v/>
      </c>
      <c r="AL779" s="268" t="str">
        <f t="shared" si="1168"/>
        <v/>
      </c>
      <c r="AM779" s="268" t="str">
        <f t="shared" si="1169"/>
        <v/>
      </c>
      <c r="AN779" s="268" t="str">
        <f t="shared" si="1170"/>
        <v/>
      </c>
      <c r="AO779" s="268" t="str">
        <f t="shared" si="1171"/>
        <v/>
      </c>
      <c r="AP779" s="268" t="str">
        <f t="shared" si="1172"/>
        <v/>
      </c>
      <c r="AQ779" s="268" t="str">
        <f t="shared" si="1173"/>
        <v/>
      </c>
      <c r="AR779" s="268" t="str">
        <f t="shared" si="1174"/>
        <v/>
      </c>
      <c r="AS779" s="268" t="str">
        <f t="shared" si="1175"/>
        <v/>
      </c>
      <c r="AT779" s="268" t="str">
        <f t="shared" si="1176"/>
        <v/>
      </c>
      <c r="AU779" s="268" t="str">
        <f t="shared" si="1177"/>
        <v/>
      </c>
      <c r="AV779" s="268" t="str">
        <f t="shared" si="1178"/>
        <v/>
      </c>
      <c r="AW779" s="268" t="str">
        <f t="shared" si="1179"/>
        <v/>
      </c>
      <c r="AX779" s="268" t="str">
        <f t="shared" si="1180"/>
        <v/>
      </c>
      <c r="AY779" s="268" t="str">
        <f t="shared" si="1181"/>
        <v/>
      </c>
      <c r="AZ779" s="268" t="str">
        <f t="shared" si="1182"/>
        <v/>
      </c>
      <c r="BA779" s="268" t="str">
        <f t="shared" si="1183"/>
        <v/>
      </c>
      <c r="BB779" s="268" t="str">
        <f t="shared" si="1184"/>
        <v/>
      </c>
      <c r="BC779" s="268" t="str">
        <f t="shared" si="1185"/>
        <v/>
      </c>
      <c r="BD779" s="268" t="str">
        <f t="shared" si="1186"/>
        <v/>
      </c>
      <c r="BE779" s="268" t="str">
        <f t="shared" si="1187"/>
        <v/>
      </c>
      <c r="BF779" s="268" t="str">
        <f t="shared" si="1188"/>
        <v/>
      </c>
      <c r="BG779" s="268" t="str">
        <f t="shared" si="1189"/>
        <v/>
      </c>
      <c r="BH779" s="268" t="str">
        <f t="shared" si="1190"/>
        <v/>
      </c>
      <c r="BI779" s="268" t="str">
        <f t="shared" si="1191"/>
        <v/>
      </c>
      <c r="BJ779" s="268" t="str">
        <f t="shared" si="1192"/>
        <v/>
      </c>
      <c r="BK779" s="268" t="str">
        <f t="shared" ref="BK779:BS779" si="1238">IF(OR($E779="",BK$1=""),"",IF(TRIM(LEFT($E779,MIN(IFERROR(FIND("CDU",UPPER($E779)),999),IFERROR(FIND("BULK",UPPER($E779)),999),IFERROR(FIND("-",$E779),999),IFERROR(FIND("（",$E779),999))-1))=BK$1,$F779,""))</f>
        <v/>
      </c>
      <c r="BL779" s="268" t="str">
        <f t="shared" si="1238"/>
        <v/>
      </c>
      <c r="BM779" s="268" t="str">
        <f t="shared" si="1238"/>
        <v/>
      </c>
      <c r="BN779" s="268" t="str">
        <f t="shared" si="1238"/>
        <v/>
      </c>
      <c r="BO779" s="268" t="str">
        <f t="shared" si="1238"/>
        <v/>
      </c>
      <c r="BP779" s="268" t="str">
        <f t="shared" si="1238"/>
        <v/>
      </c>
      <c r="BQ779" s="268" t="str">
        <f t="shared" si="1238"/>
        <v/>
      </c>
      <c r="BR779" s="268" t="str">
        <f t="shared" si="1238"/>
        <v/>
      </c>
      <c r="BS779" s="268" t="str">
        <f t="shared" si="1238"/>
        <v/>
      </c>
      <c r="BT779" s="268" t="str">
        <f t="shared" si="1194"/>
        <v/>
      </c>
      <c r="BU779" s="268" t="str">
        <f t="shared" si="1195"/>
        <v/>
      </c>
      <c r="BV779" s="247">
        <v>3.12</v>
      </c>
      <c r="BW779" s="729">
        <f t="shared" si="1231"/>
        <v>1884.48</v>
      </c>
      <c r="BX779" s="730">
        <f t="shared" si="1232"/>
        <v>14604.72</v>
      </c>
      <c r="BY779" s="731" t="str">
        <f t="shared" si="1233"/>
        <v>SR</v>
      </c>
    </row>
    <row r="780" s="698" customFormat="1" customHeight="1" spans="1:77">
      <c r="A780" s="208">
        <v>46142</v>
      </c>
      <c r="B780" s="208">
        <v>46199</v>
      </c>
      <c r="C780" s="268">
        <v>12358</v>
      </c>
      <c r="D780" s="268" t="s">
        <v>805</v>
      </c>
      <c r="E780" s="268" t="s">
        <v>92</v>
      </c>
      <c r="F780" s="343">
        <v>1600</v>
      </c>
      <c r="G780" s="268" t="s">
        <v>510</v>
      </c>
      <c r="H780" s="211" t="str">
        <f>IFERROR(VLOOKUP(E780,名称!A:E,4,0),"")</f>
        <v>三代</v>
      </c>
      <c r="I780" s="268" t="str">
        <f t="shared" si="1139"/>
        <v/>
      </c>
      <c r="J780" s="268" t="str">
        <f t="shared" si="1140"/>
        <v/>
      </c>
      <c r="K780" s="268" t="str">
        <f t="shared" si="1141"/>
        <v/>
      </c>
      <c r="L780" s="268" t="str">
        <f t="shared" si="1142"/>
        <v/>
      </c>
      <c r="M780" s="268" t="str">
        <f t="shared" si="1143"/>
        <v/>
      </c>
      <c r="N780" s="268" t="str">
        <f t="shared" si="1144"/>
        <v/>
      </c>
      <c r="O780" s="268" t="str">
        <f t="shared" si="1145"/>
        <v/>
      </c>
      <c r="P780" s="268" t="str">
        <f t="shared" si="1146"/>
        <v/>
      </c>
      <c r="Q780" s="268" t="str">
        <f t="shared" si="1147"/>
        <v/>
      </c>
      <c r="R780" s="268" t="str">
        <f t="shared" si="1148"/>
        <v/>
      </c>
      <c r="S780" s="268" t="str">
        <f t="shared" si="1149"/>
        <v/>
      </c>
      <c r="T780" s="268" t="str">
        <f t="shared" si="1150"/>
        <v/>
      </c>
      <c r="U780" s="268" t="str">
        <f t="shared" si="1151"/>
        <v/>
      </c>
      <c r="V780" s="268" t="str">
        <f t="shared" si="1152"/>
        <v/>
      </c>
      <c r="W780" s="268" t="str">
        <f t="shared" si="1153"/>
        <v/>
      </c>
      <c r="X780" s="268" t="str">
        <f t="shared" si="1154"/>
        <v/>
      </c>
      <c r="Y780" s="268" t="str">
        <f t="shared" si="1155"/>
        <v/>
      </c>
      <c r="Z780" s="268" t="str">
        <f t="shared" si="1156"/>
        <v/>
      </c>
      <c r="AA780" s="268" t="str">
        <f t="shared" si="1157"/>
        <v/>
      </c>
      <c r="AB780" s="268" t="str">
        <f t="shared" si="1158"/>
        <v/>
      </c>
      <c r="AC780" s="268" t="str">
        <f t="shared" si="1159"/>
        <v/>
      </c>
      <c r="AD780" s="268" t="str">
        <f t="shared" si="1160"/>
        <v/>
      </c>
      <c r="AE780" s="268" t="str">
        <f t="shared" si="1161"/>
        <v/>
      </c>
      <c r="AF780" s="268" t="str">
        <f t="shared" si="1162"/>
        <v/>
      </c>
      <c r="AG780" s="268" t="str">
        <f t="shared" si="1163"/>
        <v/>
      </c>
      <c r="AH780" s="268" t="str">
        <f t="shared" si="1164"/>
        <v/>
      </c>
      <c r="AI780" s="268" t="str">
        <f t="shared" si="1165"/>
        <v/>
      </c>
      <c r="AJ780" s="268" t="str">
        <f t="shared" si="1166"/>
        <v/>
      </c>
      <c r="AK780" s="268" t="str">
        <f t="shared" si="1167"/>
        <v/>
      </c>
      <c r="AL780" s="268" t="str">
        <f t="shared" si="1168"/>
        <v/>
      </c>
      <c r="AM780" s="268" t="str">
        <f t="shared" si="1169"/>
        <v/>
      </c>
      <c r="AN780" s="268" t="str">
        <f t="shared" si="1170"/>
        <v/>
      </c>
      <c r="AO780" s="268" t="str">
        <f t="shared" si="1171"/>
        <v/>
      </c>
      <c r="AP780" s="268" t="str">
        <f t="shared" si="1172"/>
        <v/>
      </c>
      <c r="AQ780" s="268" t="str">
        <f t="shared" si="1173"/>
        <v/>
      </c>
      <c r="AR780" s="268" t="str">
        <f t="shared" si="1174"/>
        <v/>
      </c>
      <c r="AS780" s="268" t="str">
        <f t="shared" si="1175"/>
        <v/>
      </c>
      <c r="AT780" s="268" t="str">
        <f t="shared" si="1176"/>
        <v/>
      </c>
      <c r="AU780" s="268" t="str">
        <f t="shared" si="1177"/>
        <v/>
      </c>
      <c r="AV780" s="268" t="str">
        <f t="shared" si="1178"/>
        <v/>
      </c>
      <c r="AW780" s="268" t="str">
        <f t="shared" si="1179"/>
        <v/>
      </c>
      <c r="AX780" s="268">
        <f t="shared" si="1180"/>
        <v>1600</v>
      </c>
      <c r="AY780" s="268" t="str">
        <f t="shared" si="1181"/>
        <v/>
      </c>
      <c r="AZ780" s="268" t="str">
        <f t="shared" si="1182"/>
        <v/>
      </c>
      <c r="BA780" s="268" t="str">
        <f t="shared" si="1183"/>
        <v/>
      </c>
      <c r="BB780" s="268" t="str">
        <f t="shared" si="1184"/>
        <v/>
      </c>
      <c r="BC780" s="268" t="str">
        <f t="shared" si="1185"/>
        <v/>
      </c>
      <c r="BD780" s="268" t="str">
        <f t="shared" si="1186"/>
        <v/>
      </c>
      <c r="BE780" s="268" t="str">
        <f t="shared" si="1187"/>
        <v/>
      </c>
      <c r="BF780" s="268" t="str">
        <f t="shared" si="1188"/>
        <v/>
      </c>
      <c r="BG780" s="268" t="str">
        <f t="shared" si="1189"/>
        <v/>
      </c>
      <c r="BH780" s="268" t="str">
        <f t="shared" si="1190"/>
        <v/>
      </c>
      <c r="BI780" s="268" t="str">
        <f t="shared" si="1191"/>
        <v/>
      </c>
      <c r="BJ780" s="268" t="str">
        <f t="shared" si="1192"/>
        <v/>
      </c>
      <c r="BK780" s="268" t="str">
        <f t="shared" ref="BK780:BS780" si="1239">IF(OR($E780="",BK$1=""),"",IF(TRIM(LEFT($E780,MIN(IFERROR(FIND("CDU",UPPER($E780)),999),IFERROR(FIND("BULK",UPPER($E780)),999),IFERROR(FIND("-",$E780),999),IFERROR(FIND("（",$E780),999))-1))=BK$1,$F780,""))</f>
        <v/>
      </c>
      <c r="BL780" s="268" t="str">
        <f t="shared" si="1239"/>
        <v/>
      </c>
      <c r="BM780" s="268" t="str">
        <f t="shared" si="1239"/>
        <v/>
      </c>
      <c r="BN780" s="268" t="str">
        <f t="shared" si="1239"/>
        <v/>
      </c>
      <c r="BO780" s="268" t="str">
        <f t="shared" si="1239"/>
        <v/>
      </c>
      <c r="BP780" s="268" t="str">
        <f t="shared" si="1239"/>
        <v/>
      </c>
      <c r="BQ780" s="268" t="str">
        <f t="shared" si="1239"/>
        <v/>
      </c>
      <c r="BR780" s="268" t="str">
        <f t="shared" si="1239"/>
        <v/>
      </c>
      <c r="BS780" s="268" t="str">
        <f t="shared" si="1239"/>
        <v/>
      </c>
      <c r="BT780" s="268" t="str">
        <f t="shared" si="1194"/>
        <v/>
      </c>
      <c r="BU780" s="268" t="str">
        <f t="shared" si="1195"/>
        <v/>
      </c>
      <c r="BV780" s="247">
        <v>0.88</v>
      </c>
      <c r="BW780" s="729">
        <f t="shared" si="1231"/>
        <v>1408</v>
      </c>
      <c r="BX780" s="730">
        <f t="shared" si="1232"/>
        <v>10912</v>
      </c>
      <c r="BY780" s="731" t="str">
        <f t="shared" si="1233"/>
        <v>SR</v>
      </c>
    </row>
    <row r="781" s="698" customFormat="1" customHeight="1" spans="1:77">
      <c r="A781" s="208">
        <v>46142</v>
      </c>
      <c r="B781" s="208">
        <v>46199</v>
      </c>
      <c r="C781" s="268">
        <v>12358</v>
      </c>
      <c r="D781" s="268" t="s">
        <v>805</v>
      </c>
      <c r="E781" s="268" t="s">
        <v>94</v>
      </c>
      <c r="F781" s="343">
        <v>2016</v>
      </c>
      <c r="G781" s="268" t="s">
        <v>510</v>
      </c>
      <c r="H781" s="211" t="str">
        <f>IFERROR(VLOOKUP(E781,名称!A:E,4,0),"")</f>
        <v>三代</v>
      </c>
      <c r="I781" s="268" t="str">
        <f t="shared" si="1139"/>
        <v/>
      </c>
      <c r="J781" s="268" t="str">
        <f t="shared" si="1140"/>
        <v/>
      </c>
      <c r="K781" s="268" t="str">
        <f t="shared" si="1141"/>
        <v/>
      </c>
      <c r="L781" s="268" t="str">
        <f t="shared" si="1142"/>
        <v/>
      </c>
      <c r="M781" s="268" t="str">
        <f t="shared" si="1143"/>
        <v/>
      </c>
      <c r="N781" s="268" t="str">
        <f t="shared" si="1144"/>
        <v/>
      </c>
      <c r="O781" s="268" t="str">
        <f t="shared" si="1145"/>
        <v/>
      </c>
      <c r="P781" s="268" t="str">
        <f t="shared" si="1146"/>
        <v/>
      </c>
      <c r="Q781" s="268" t="str">
        <f t="shared" si="1147"/>
        <v/>
      </c>
      <c r="R781" s="268" t="str">
        <f t="shared" si="1148"/>
        <v/>
      </c>
      <c r="S781" s="268" t="str">
        <f t="shared" si="1149"/>
        <v/>
      </c>
      <c r="T781" s="268" t="str">
        <f t="shared" si="1150"/>
        <v/>
      </c>
      <c r="U781" s="268" t="str">
        <f t="shared" si="1151"/>
        <v/>
      </c>
      <c r="V781" s="268" t="str">
        <f t="shared" si="1152"/>
        <v/>
      </c>
      <c r="W781" s="268" t="str">
        <f t="shared" si="1153"/>
        <v/>
      </c>
      <c r="X781" s="268" t="str">
        <f t="shared" si="1154"/>
        <v/>
      </c>
      <c r="Y781" s="268" t="str">
        <f t="shared" si="1155"/>
        <v/>
      </c>
      <c r="Z781" s="268" t="str">
        <f t="shared" si="1156"/>
        <v/>
      </c>
      <c r="AA781" s="268" t="str">
        <f t="shared" si="1157"/>
        <v/>
      </c>
      <c r="AB781" s="268" t="str">
        <f t="shared" si="1158"/>
        <v/>
      </c>
      <c r="AC781" s="268" t="str">
        <f t="shared" si="1159"/>
        <v/>
      </c>
      <c r="AD781" s="268" t="str">
        <f t="shared" si="1160"/>
        <v/>
      </c>
      <c r="AE781" s="268" t="str">
        <f t="shared" si="1161"/>
        <v/>
      </c>
      <c r="AF781" s="268" t="str">
        <f t="shared" si="1162"/>
        <v/>
      </c>
      <c r="AG781" s="268" t="str">
        <f t="shared" si="1163"/>
        <v/>
      </c>
      <c r="AH781" s="268" t="str">
        <f t="shared" si="1164"/>
        <v/>
      </c>
      <c r="AI781" s="268" t="str">
        <f t="shared" si="1165"/>
        <v/>
      </c>
      <c r="AJ781" s="268" t="str">
        <f t="shared" si="1166"/>
        <v/>
      </c>
      <c r="AK781" s="268" t="str">
        <f t="shared" si="1167"/>
        <v/>
      </c>
      <c r="AL781" s="268" t="str">
        <f t="shared" si="1168"/>
        <v/>
      </c>
      <c r="AM781" s="268" t="str">
        <f t="shared" si="1169"/>
        <v/>
      </c>
      <c r="AN781" s="268" t="str">
        <f t="shared" si="1170"/>
        <v/>
      </c>
      <c r="AO781" s="268" t="str">
        <f t="shared" si="1171"/>
        <v/>
      </c>
      <c r="AP781" s="268" t="str">
        <f t="shared" si="1172"/>
        <v/>
      </c>
      <c r="AQ781" s="268" t="str">
        <f t="shared" si="1173"/>
        <v/>
      </c>
      <c r="AR781" s="268" t="str">
        <f t="shared" si="1174"/>
        <v/>
      </c>
      <c r="AS781" s="268" t="str">
        <f t="shared" si="1175"/>
        <v/>
      </c>
      <c r="AT781" s="268" t="str">
        <f t="shared" si="1176"/>
        <v/>
      </c>
      <c r="AU781" s="268" t="str">
        <f t="shared" si="1177"/>
        <v/>
      </c>
      <c r="AV781" s="268" t="str">
        <f t="shared" si="1178"/>
        <v/>
      </c>
      <c r="AW781" s="268" t="str">
        <f t="shared" si="1179"/>
        <v/>
      </c>
      <c r="AX781" s="268" t="str">
        <f t="shared" si="1180"/>
        <v/>
      </c>
      <c r="AY781" s="268">
        <f t="shared" si="1181"/>
        <v>2016</v>
      </c>
      <c r="AZ781" s="268" t="str">
        <f t="shared" si="1182"/>
        <v/>
      </c>
      <c r="BA781" s="268" t="str">
        <f t="shared" si="1183"/>
        <v/>
      </c>
      <c r="BB781" s="268" t="str">
        <f t="shared" si="1184"/>
        <v/>
      </c>
      <c r="BC781" s="268" t="str">
        <f t="shared" si="1185"/>
        <v/>
      </c>
      <c r="BD781" s="268" t="str">
        <f t="shared" si="1186"/>
        <v/>
      </c>
      <c r="BE781" s="268" t="str">
        <f t="shared" si="1187"/>
        <v/>
      </c>
      <c r="BF781" s="268" t="str">
        <f t="shared" si="1188"/>
        <v/>
      </c>
      <c r="BG781" s="268" t="str">
        <f t="shared" si="1189"/>
        <v/>
      </c>
      <c r="BH781" s="268" t="str">
        <f t="shared" si="1190"/>
        <v/>
      </c>
      <c r="BI781" s="268" t="str">
        <f t="shared" si="1191"/>
        <v/>
      </c>
      <c r="BJ781" s="268" t="str">
        <f t="shared" si="1192"/>
        <v/>
      </c>
      <c r="BK781" s="268" t="str">
        <f t="shared" ref="BK781:BS781" si="1240">IF(OR($E781="",BK$1=""),"",IF(TRIM(LEFT($E781,MIN(IFERROR(FIND("CDU",UPPER($E781)),999),IFERROR(FIND("BULK",UPPER($E781)),999),IFERROR(FIND("-",$E781),999),IFERROR(FIND("（",$E781),999))-1))=BK$1,$F781,""))</f>
        <v/>
      </c>
      <c r="BL781" s="268" t="str">
        <f t="shared" si="1240"/>
        <v/>
      </c>
      <c r="BM781" s="268" t="str">
        <f t="shared" si="1240"/>
        <v/>
      </c>
      <c r="BN781" s="268" t="str">
        <f t="shared" si="1240"/>
        <v/>
      </c>
      <c r="BO781" s="268" t="str">
        <f t="shared" si="1240"/>
        <v/>
      </c>
      <c r="BP781" s="268" t="str">
        <f t="shared" si="1240"/>
        <v/>
      </c>
      <c r="BQ781" s="268" t="str">
        <f t="shared" si="1240"/>
        <v/>
      </c>
      <c r="BR781" s="268" t="str">
        <f t="shared" si="1240"/>
        <v/>
      </c>
      <c r="BS781" s="268" t="str">
        <f t="shared" si="1240"/>
        <v/>
      </c>
      <c r="BT781" s="268" t="str">
        <f t="shared" si="1194"/>
        <v/>
      </c>
      <c r="BU781" s="268" t="str">
        <f t="shared" si="1195"/>
        <v/>
      </c>
      <c r="BV781" s="247">
        <v>0.64</v>
      </c>
      <c r="BW781" s="729">
        <f t="shared" si="1231"/>
        <v>1290.24</v>
      </c>
      <c r="BX781" s="730">
        <f t="shared" si="1232"/>
        <v>9999.36</v>
      </c>
      <c r="BY781" s="731" t="str">
        <f t="shared" si="1233"/>
        <v>SR</v>
      </c>
    </row>
    <row r="782" s="698" customFormat="1" customHeight="1" spans="1:77">
      <c r="A782" s="208">
        <v>46142</v>
      </c>
      <c r="B782" s="208">
        <v>46199</v>
      </c>
      <c r="C782" s="268">
        <v>12358</v>
      </c>
      <c r="D782" s="268" t="s">
        <v>805</v>
      </c>
      <c r="E782" s="268" t="s">
        <v>88</v>
      </c>
      <c r="F782" s="343">
        <v>2712</v>
      </c>
      <c r="G782" s="268" t="s">
        <v>510</v>
      </c>
      <c r="H782" s="211" t="str">
        <f>IFERROR(VLOOKUP(E782,名称!A:E,4,0),"")</f>
        <v>三代</v>
      </c>
      <c r="I782" s="268" t="str">
        <f t="shared" si="1139"/>
        <v/>
      </c>
      <c r="J782" s="268" t="str">
        <f t="shared" si="1140"/>
        <v/>
      </c>
      <c r="K782" s="268" t="str">
        <f t="shared" si="1141"/>
        <v/>
      </c>
      <c r="L782" s="268" t="str">
        <f t="shared" si="1142"/>
        <v/>
      </c>
      <c r="M782" s="268" t="str">
        <f t="shared" si="1143"/>
        <v/>
      </c>
      <c r="N782" s="268" t="str">
        <f t="shared" si="1144"/>
        <v/>
      </c>
      <c r="O782" s="268" t="str">
        <f t="shared" si="1145"/>
        <v/>
      </c>
      <c r="P782" s="268" t="str">
        <f t="shared" si="1146"/>
        <v/>
      </c>
      <c r="Q782" s="268" t="str">
        <f t="shared" si="1147"/>
        <v/>
      </c>
      <c r="R782" s="268" t="str">
        <f t="shared" si="1148"/>
        <v/>
      </c>
      <c r="S782" s="268" t="str">
        <f t="shared" si="1149"/>
        <v/>
      </c>
      <c r="T782" s="268" t="str">
        <f t="shared" si="1150"/>
        <v/>
      </c>
      <c r="U782" s="268" t="str">
        <f t="shared" si="1151"/>
        <v/>
      </c>
      <c r="V782" s="268" t="str">
        <f t="shared" si="1152"/>
        <v/>
      </c>
      <c r="W782" s="268" t="str">
        <f t="shared" si="1153"/>
        <v/>
      </c>
      <c r="X782" s="268" t="str">
        <f t="shared" si="1154"/>
        <v/>
      </c>
      <c r="Y782" s="268" t="str">
        <f t="shared" si="1155"/>
        <v/>
      </c>
      <c r="Z782" s="268" t="str">
        <f t="shared" si="1156"/>
        <v/>
      </c>
      <c r="AA782" s="268" t="str">
        <f t="shared" si="1157"/>
        <v/>
      </c>
      <c r="AB782" s="268" t="str">
        <f t="shared" si="1158"/>
        <v/>
      </c>
      <c r="AC782" s="268" t="str">
        <f t="shared" si="1159"/>
        <v/>
      </c>
      <c r="AD782" s="268" t="str">
        <f t="shared" si="1160"/>
        <v/>
      </c>
      <c r="AE782" s="268" t="str">
        <f t="shared" si="1161"/>
        <v/>
      </c>
      <c r="AF782" s="268" t="str">
        <f t="shared" si="1162"/>
        <v/>
      </c>
      <c r="AG782" s="268" t="str">
        <f t="shared" si="1163"/>
        <v/>
      </c>
      <c r="AH782" s="268" t="str">
        <f t="shared" si="1164"/>
        <v/>
      </c>
      <c r="AI782" s="268" t="str">
        <f t="shared" si="1165"/>
        <v/>
      </c>
      <c r="AJ782" s="268" t="str">
        <f t="shared" si="1166"/>
        <v/>
      </c>
      <c r="AK782" s="268" t="str">
        <f t="shared" si="1167"/>
        <v/>
      </c>
      <c r="AL782" s="268" t="str">
        <f t="shared" si="1168"/>
        <v/>
      </c>
      <c r="AM782" s="268" t="str">
        <f t="shared" si="1169"/>
        <v/>
      </c>
      <c r="AN782" s="268" t="str">
        <f t="shared" si="1170"/>
        <v/>
      </c>
      <c r="AO782" s="268" t="str">
        <f t="shared" si="1171"/>
        <v/>
      </c>
      <c r="AP782" s="268" t="str">
        <f t="shared" si="1172"/>
        <v/>
      </c>
      <c r="AQ782" s="268" t="str">
        <f t="shared" si="1173"/>
        <v/>
      </c>
      <c r="AR782" s="268" t="str">
        <f t="shared" si="1174"/>
        <v/>
      </c>
      <c r="AS782" s="268" t="str">
        <f t="shared" si="1175"/>
        <v/>
      </c>
      <c r="AT782" s="268">
        <f t="shared" si="1176"/>
        <v>2712</v>
      </c>
      <c r="AU782" s="268" t="str">
        <f t="shared" si="1177"/>
        <v/>
      </c>
      <c r="AV782" s="268" t="str">
        <f t="shared" si="1178"/>
        <v/>
      </c>
      <c r="AW782" s="268" t="str">
        <f t="shared" si="1179"/>
        <v/>
      </c>
      <c r="AX782" s="268" t="str">
        <f t="shared" si="1180"/>
        <v/>
      </c>
      <c r="AY782" s="268" t="str">
        <f t="shared" si="1181"/>
        <v/>
      </c>
      <c r="AZ782" s="268" t="str">
        <f t="shared" si="1182"/>
        <v/>
      </c>
      <c r="BA782" s="268" t="str">
        <f t="shared" si="1183"/>
        <v/>
      </c>
      <c r="BB782" s="268" t="str">
        <f t="shared" si="1184"/>
        <v/>
      </c>
      <c r="BC782" s="268" t="str">
        <f t="shared" si="1185"/>
        <v/>
      </c>
      <c r="BD782" s="268" t="str">
        <f t="shared" si="1186"/>
        <v/>
      </c>
      <c r="BE782" s="268" t="str">
        <f t="shared" si="1187"/>
        <v/>
      </c>
      <c r="BF782" s="268" t="str">
        <f t="shared" si="1188"/>
        <v/>
      </c>
      <c r="BG782" s="268" t="str">
        <f t="shared" si="1189"/>
        <v/>
      </c>
      <c r="BH782" s="268" t="str">
        <f t="shared" si="1190"/>
        <v/>
      </c>
      <c r="BI782" s="268" t="str">
        <f t="shared" si="1191"/>
        <v/>
      </c>
      <c r="BJ782" s="268" t="str">
        <f t="shared" si="1192"/>
        <v/>
      </c>
      <c r="BK782" s="268" t="str">
        <f t="shared" ref="BK782:BS782" si="1241">IF(OR($E782="",BK$1=""),"",IF(TRIM(LEFT($E782,MIN(IFERROR(FIND("CDU",UPPER($E782)),999),IFERROR(FIND("BULK",UPPER($E782)),999),IFERROR(FIND("-",$E782),999),IFERROR(FIND("（",$E782),999))-1))=BK$1,$F782,""))</f>
        <v/>
      </c>
      <c r="BL782" s="268" t="str">
        <f t="shared" si="1241"/>
        <v/>
      </c>
      <c r="BM782" s="268" t="str">
        <f t="shared" si="1241"/>
        <v/>
      </c>
      <c r="BN782" s="268" t="str">
        <f t="shared" si="1241"/>
        <v/>
      </c>
      <c r="BO782" s="268" t="str">
        <f t="shared" si="1241"/>
        <v/>
      </c>
      <c r="BP782" s="268" t="str">
        <f t="shared" si="1241"/>
        <v/>
      </c>
      <c r="BQ782" s="268" t="str">
        <f t="shared" si="1241"/>
        <v/>
      </c>
      <c r="BR782" s="268" t="str">
        <f t="shared" si="1241"/>
        <v/>
      </c>
      <c r="BS782" s="268" t="str">
        <f t="shared" si="1241"/>
        <v/>
      </c>
      <c r="BT782" s="268" t="str">
        <f t="shared" si="1194"/>
        <v/>
      </c>
      <c r="BU782" s="268" t="str">
        <f t="shared" si="1195"/>
        <v/>
      </c>
      <c r="BV782" s="247">
        <v>0.81</v>
      </c>
      <c r="BW782" s="729">
        <f t="shared" si="1231"/>
        <v>2196.72</v>
      </c>
      <c r="BX782" s="730">
        <f t="shared" si="1232"/>
        <v>17024.58</v>
      </c>
      <c r="BY782" s="731" t="str">
        <f t="shared" si="1233"/>
        <v>SR</v>
      </c>
    </row>
    <row r="783" s="698" customFormat="1" customHeight="1" spans="1:77">
      <c r="A783" s="208">
        <v>46142</v>
      </c>
      <c r="B783" s="208">
        <v>46199</v>
      </c>
      <c r="C783" s="268">
        <v>12358</v>
      </c>
      <c r="D783" s="268" t="s">
        <v>805</v>
      </c>
      <c r="E783" s="268" t="s">
        <v>89</v>
      </c>
      <c r="F783" s="343">
        <v>600</v>
      </c>
      <c r="G783" s="268" t="s">
        <v>510</v>
      </c>
      <c r="H783" s="211" t="str">
        <f>IFERROR(VLOOKUP(E783,名称!A:E,4,0),"")</f>
        <v>三代</v>
      </c>
      <c r="I783" s="268" t="str">
        <f t="shared" si="1139"/>
        <v/>
      </c>
      <c r="J783" s="268" t="str">
        <f t="shared" si="1140"/>
        <v/>
      </c>
      <c r="K783" s="268" t="str">
        <f t="shared" si="1141"/>
        <v/>
      </c>
      <c r="L783" s="268" t="str">
        <f t="shared" si="1142"/>
        <v/>
      </c>
      <c r="M783" s="268" t="str">
        <f t="shared" si="1143"/>
        <v/>
      </c>
      <c r="N783" s="268" t="str">
        <f t="shared" si="1144"/>
        <v/>
      </c>
      <c r="O783" s="268" t="str">
        <f t="shared" si="1145"/>
        <v/>
      </c>
      <c r="P783" s="268" t="str">
        <f t="shared" si="1146"/>
        <v/>
      </c>
      <c r="Q783" s="268" t="str">
        <f t="shared" si="1147"/>
        <v/>
      </c>
      <c r="R783" s="268" t="str">
        <f t="shared" si="1148"/>
        <v/>
      </c>
      <c r="S783" s="268" t="str">
        <f t="shared" si="1149"/>
        <v/>
      </c>
      <c r="T783" s="268" t="str">
        <f t="shared" si="1150"/>
        <v/>
      </c>
      <c r="U783" s="268" t="str">
        <f t="shared" si="1151"/>
        <v/>
      </c>
      <c r="V783" s="268" t="str">
        <f t="shared" si="1152"/>
        <v/>
      </c>
      <c r="W783" s="268" t="str">
        <f t="shared" si="1153"/>
        <v/>
      </c>
      <c r="X783" s="268" t="str">
        <f t="shared" si="1154"/>
        <v/>
      </c>
      <c r="Y783" s="268" t="str">
        <f t="shared" si="1155"/>
        <v/>
      </c>
      <c r="Z783" s="268" t="str">
        <f t="shared" si="1156"/>
        <v/>
      </c>
      <c r="AA783" s="268" t="str">
        <f t="shared" si="1157"/>
        <v/>
      </c>
      <c r="AB783" s="268" t="str">
        <f t="shared" si="1158"/>
        <v/>
      </c>
      <c r="AC783" s="268" t="str">
        <f t="shared" si="1159"/>
        <v/>
      </c>
      <c r="AD783" s="268" t="str">
        <f t="shared" si="1160"/>
        <v/>
      </c>
      <c r="AE783" s="268" t="str">
        <f t="shared" si="1161"/>
        <v/>
      </c>
      <c r="AF783" s="268" t="str">
        <f t="shared" si="1162"/>
        <v/>
      </c>
      <c r="AG783" s="268" t="str">
        <f t="shared" si="1163"/>
        <v/>
      </c>
      <c r="AH783" s="268" t="str">
        <f t="shared" si="1164"/>
        <v/>
      </c>
      <c r="AI783" s="268" t="str">
        <f t="shared" si="1165"/>
        <v/>
      </c>
      <c r="AJ783" s="268" t="str">
        <f t="shared" si="1166"/>
        <v/>
      </c>
      <c r="AK783" s="268" t="str">
        <f t="shared" si="1167"/>
        <v/>
      </c>
      <c r="AL783" s="268" t="str">
        <f t="shared" si="1168"/>
        <v/>
      </c>
      <c r="AM783" s="268" t="str">
        <f t="shared" si="1169"/>
        <v/>
      </c>
      <c r="AN783" s="268" t="str">
        <f t="shared" si="1170"/>
        <v/>
      </c>
      <c r="AO783" s="268" t="str">
        <f t="shared" si="1171"/>
        <v/>
      </c>
      <c r="AP783" s="268" t="str">
        <f t="shared" si="1172"/>
        <v/>
      </c>
      <c r="AQ783" s="268" t="str">
        <f t="shared" si="1173"/>
        <v/>
      </c>
      <c r="AR783" s="268" t="str">
        <f t="shared" si="1174"/>
        <v/>
      </c>
      <c r="AS783" s="268" t="str">
        <f t="shared" si="1175"/>
        <v/>
      </c>
      <c r="AT783" s="268" t="str">
        <f t="shared" si="1176"/>
        <v/>
      </c>
      <c r="AU783" s="268">
        <f t="shared" si="1177"/>
        <v>600</v>
      </c>
      <c r="AV783" s="268" t="str">
        <f t="shared" si="1178"/>
        <v/>
      </c>
      <c r="AW783" s="268" t="str">
        <f t="shared" si="1179"/>
        <v/>
      </c>
      <c r="AX783" s="268" t="str">
        <f t="shared" si="1180"/>
        <v/>
      </c>
      <c r="AY783" s="268" t="str">
        <f t="shared" si="1181"/>
        <v/>
      </c>
      <c r="AZ783" s="268" t="str">
        <f t="shared" si="1182"/>
        <v/>
      </c>
      <c r="BA783" s="268" t="str">
        <f t="shared" si="1183"/>
        <v/>
      </c>
      <c r="BB783" s="268" t="str">
        <f t="shared" si="1184"/>
        <v/>
      </c>
      <c r="BC783" s="268" t="str">
        <f t="shared" si="1185"/>
        <v/>
      </c>
      <c r="BD783" s="268" t="str">
        <f t="shared" si="1186"/>
        <v/>
      </c>
      <c r="BE783" s="268" t="str">
        <f t="shared" si="1187"/>
        <v/>
      </c>
      <c r="BF783" s="268" t="str">
        <f t="shared" si="1188"/>
        <v/>
      </c>
      <c r="BG783" s="268" t="str">
        <f t="shared" si="1189"/>
        <v/>
      </c>
      <c r="BH783" s="268" t="str">
        <f t="shared" si="1190"/>
        <v/>
      </c>
      <c r="BI783" s="268" t="str">
        <f t="shared" si="1191"/>
        <v/>
      </c>
      <c r="BJ783" s="268" t="str">
        <f t="shared" si="1192"/>
        <v/>
      </c>
      <c r="BK783" s="268" t="str">
        <f t="shared" ref="BK783:BS783" si="1242">IF(OR($E783="",BK$1=""),"",IF(TRIM(LEFT($E783,MIN(IFERROR(FIND("CDU",UPPER($E783)),999),IFERROR(FIND("BULK",UPPER($E783)),999),IFERROR(FIND("-",$E783),999),IFERROR(FIND("（",$E783),999))-1))=BK$1,$F783,""))</f>
        <v/>
      </c>
      <c r="BL783" s="268" t="str">
        <f t="shared" si="1242"/>
        <v/>
      </c>
      <c r="BM783" s="268" t="str">
        <f t="shared" si="1242"/>
        <v/>
      </c>
      <c r="BN783" s="268" t="str">
        <f t="shared" si="1242"/>
        <v/>
      </c>
      <c r="BO783" s="268" t="str">
        <f t="shared" si="1242"/>
        <v/>
      </c>
      <c r="BP783" s="268" t="str">
        <f t="shared" si="1242"/>
        <v/>
      </c>
      <c r="BQ783" s="268" t="str">
        <f t="shared" si="1242"/>
        <v/>
      </c>
      <c r="BR783" s="268" t="str">
        <f t="shared" si="1242"/>
        <v/>
      </c>
      <c r="BS783" s="268" t="str">
        <f t="shared" si="1242"/>
        <v/>
      </c>
      <c r="BT783" s="268" t="str">
        <f t="shared" si="1194"/>
        <v/>
      </c>
      <c r="BU783" s="268" t="str">
        <f t="shared" si="1195"/>
        <v/>
      </c>
      <c r="BV783" s="247">
        <v>1.85</v>
      </c>
      <c r="BW783" s="729">
        <f t="shared" si="1231"/>
        <v>1110</v>
      </c>
      <c r="BX783" s="730">
        <f t="shared" si="1232"/>
        <v>8602.5</v>
      </c>
      <c r="BY783" s="731" t="str">
        <f t="shared" si="1233"/>
        <v>SR</v>
      </c>
    </row>
    <row r="784" s="698" customFormat="1" customHeight="1" spans="1:77">
      <c r="A784" s="208">
        <v>46142</v>
      </c>
      <c r="B784" s="208">
        <v>46199</v>
      </c>
      <c r="C784" s="268">
        <v>12358</v>
      </c>
      <c r="D784" s="268" t="s">
        <v>805</v>
      </c>
      <c r="E784" s="268" t="s">
        <v>119</v>
      </c>
      <c r="F784" s="343">
        <v>480</v>
      </c>
      <c r="G784" s="268" t="s">
        <v>510</v>
      </c>
      <c r="H784" s="211" t="str">
        <f>IFERROR(VLOOKUP(E784,名称!A:E,4,0),"")</f>
        <v>三代</v>
      </c>
      <c r="I784" s="268" t="str">
        <f t="shared" si="1139"/>
        <v/>
      </c>
      <c r="J784" s="268" t="str">
        <f t="shared" si="1140"/>
        <v/>
      </c>
      <c r="K784" s="268" t="str">
        <f t="shared" si="1141"/>
        <v/>
      </c>
      <c r="L784" s="268" t="str">
        <f t="shared" si="1142"/>
        <v/>
      </c>
      <c r="M784" s="268" t="str">
        <f t="shared" si="1143"/>
        <v/>
      </c>
      <c r="N784" s="268" t="str">
        <f t="shared" si="1144"/>
        <v/>
      </c>
      <c r="O784" s="268" t="str">
        <f t="shared" si="1145"/>
        <v/>
      </c>
      <c r="P784" s="268" t="str">
        <f t="shared" si="1146"/>
        <v/>
      </c>
      <c r="Q784" s="268" t="str">
        <f t="shared" si="1147"/>
        <v/>
      </c>
      <c r="R784" s="268" t="str">
        <f t="shared" si="1148"/>
        <v/>
      </c>
      <c r="S784" s="268" t="str">
        <f t="shared" si="1149"/>
        <v/>
      </c>
      <c r="T784" s="268" t="str">
        <f t="shared" si="1150"/>
        <v/>
      </c>
      <c r="U784" s="268" t="str">
        <f t="shared" si="1151"/>
        <v/>
      </c>
      <c r="V784" s="268" t="str">
        <f t="shared" si="1152"/>
        <v/>
      </c>
      <c r="W784" s="268" t="str">
        <f t="shared" si="1153"/>
        <v/>
      </c>
      <c r="X784" s="268" t="str">
        <f t="shared" si="1154"/>
        <v/>
      </c>
      <c r="Y784" s="268" t="str">
        <f t="shared" si="1155"/>
        <v/>
      </c>
      <c r="Z784" s="268" t="str">
        <f t="shared" si="1156"/>
        <v/>
      </c>
      <c r="AA784" s="268" t="str">
        <f t="shared" si="1157"/>
        <v/>
      </c>
      <c r="AB784" s="268" t="str">
        <f t="shared" si="1158"/>
        <v/>
      </c>
      <c r="AC784" s="268" t="str">
        <f t="shared" si="1159"/>
        <v/>
      </c>
      <c r="AD784" s="268" t="str">
        <f t="shared" si="1160"/>
        <v/>
      </c>
      <c r="AE784" s="268" t="str">
        <f t="shared" si="1161"/>
        <v/>
      </c>
      <c r="AF784" s="268" t="str">
        <f t="shared" si="1162"/>
        <v/>
      </c>
      <c r="AG784" s="268" t="str">
        <f t="shared" si="1163"/>
        <v/>
      </c>
      <c r="AH784" s="268" t="str">
        <f t="shared" si="1164"/>
        <v/>
      </c>
      <c r="AI784" s="268" t="str">
        <f t="shared" si="1165"/>
        <v/>
      </c>
      <c r="AJ784" s="268" t="str">
        <f t="shared" si="1166"/>
        <v/>
      </c>
      <c r="AK784" s="268" t="str">
        <f t="shared" si="1167"/>
        <v/>
      </c>
      <c r="AL784" s="268" t="str">
        <f t="shared" si="1168"/>
        <v/>
      </c>
      <c r="AM784" s="268" t="str">
        <f t="shared" si="1169"/>
        <v/>
      </c>
      <c r="AN784" s="268" t="str">
        <f t="shared" si="1170"/>
        <v/>
      </c>
      <c r="AO784" s="268" t="str">
        <f t="shared" si="1171"/>
        <v/>
      </c>
      <c r="AP784" s="268">
        <f t="shared" si="1172"/>
        <v>480</v>
      </c>
      <c r="AQ784" s="268" t="str">
        <f t="shared" si="1173"/>
        <v/>
      </c>
      <c r="AR784" s="268" t="str">
        <f t="shared" si="1174"/>
        <v/>
      </c>
      <c r="AS784" s="268" t="str">
        <f t="shared" si="1175"/>
        <v/>
      </c>
      <c r="AT784" s="268" t="str">
        <f t="shared" si="1176"/>
        <v/>
      </c>
      <c r="AU784" s="268" t="str">
        <f t="shared" si="1177"/>
        <v/>
      </c>
      <c r="AV784" s="268" t="str">
        <f t="shared" si="1178"/>
        <v/>
      </c>
      <c r="AW784" s="268" t="str">
        <f t="shared" si="1179"/>
        <v/>
      </c>
      <c r="AX784" s="268" t="str">
        <f t="shared" si="1180"/>
        <v/>
      </c>
      <c r="AY784" s="268" t="str">
        <f t="shared" si="1181"/>
        <v/>
      </c>
      <c r="AZ784" s="268" t="str">
        <f t="shared" si="1182"/>
        <v/>
      </c>
      <c r="BA784" s="268" t="str">
        <f t="shared" si="1183"/>
        <v/>
      </c>
      <c r="BB784" s="268" t="str">
        <f t="shared" si="1184"/>
        <v/>
      </c>
      <c r="BC784" s="268" t="str">
        <f t="shared" si="1185"/>
        <v/>
      </c>
      <c r="BD784" s="268" t="str">
        <f t="shared" si="1186"/>
        <v/>
      </c>
      <c r="BE784" s="268" t="str">
        <f t="shared" si="1187"/>
        <v/>
      </c>
      <c r="BF784" s="268" t="str">
        <f t="shared" si="1188"/>
        <v/>
      </c>
      <c r="BG784" s="268" t="str">
        <f t="shared" si="1189"/>
        <v/>
      </c>
      <c r="BH784" s="268" t="str">
        <f t="shared" si="1190"/>
        <v/>
      </c>
      <c r="BI784" s="268" t="str">
        <f t="shared" si="1191"/>
        <v/>
      </c>
      <c r="BJ784" s="268" t="str">
        <f t="shared" si="1192"/>
        <v/>
      </c>
      <c r="BK784" s="268" t="str">
        <f t="shared" ref="BK784:BS784" si="1243">IF(OR($E784="",BK$1=""),"",IF(TRIM(LEFT($E784,MIN(IFERROR(FIND("CDU",UPPER($E784)),999),IFERROR(FIND("BULK",UPPER($E784)),999),IFERROR(FIND("-",$E784),999),IFERROR(FIND("（",$E784),999))-1))=BK$1,$F784,""))</f>
        <v/>
      </c>
      <c r="BL784" s="268" t="str">
        <f t="shared" si="1243"/>
        <v/>
      </c>
      <c r="BM784" s="268" t="str">
        <f t="shared" si="1243"/>
        <v/>
      </c>
      <c r="BN784" s="268" t="str">
        <f t="shared" si="1243"/>
        <v/>
      </c>
      <c r="BO784" s="268" t="str">
        <f t="shared" si="1243"/>
        <v/>
      </c>
      <c r="BP784" s="268" t="str">
        <f t="shared" si="1243"/>
        <v/>
      </c>
      <c r="BQ784" s="268" t="str">
        <f t="shared" si="1243"/>
        <v/>
      </c>
      <c r="BR784" s="268" t="str">
        <f t="shared" si="1243"/>
        <v/>
      </c>
      <c r="BS784" s="268" t="str">
        <f t="shared" si="1243"/>
        <v/>
      </c>
      <c r="BT784" s="268" t="str">
        <f t="shared" si="1194"/>
        <v/>
      </c>
      <c r="BU784" s="268" t="str">
        <f t="shared" si="1195"/>
        <v/>
      </c>
      <c r="BV784" s="247">
        <v>0.63</v>
      </c>
      <c r="BW784" s="729">
        <f t="shared" si="1231"/>
        <v>302.4</v>
      </c>
      <c r="BX784" s="730">
        <f t="shared" si="1232"/>
        <v>2343.6</v>
      </c>
      <c r="BY784" s="731" t="str">
        <f t="shared" si="1233"/>
        <v>SR</v>
      </c>
    </row>
    <row r="785" s="698" customFormat="1" customHeight="1" spans="1:77">
      <c r="A785" s="208">
        <v>46142</v>
      </c>
      <c r="B785" s="208">
        <v>46199</v>
      </c>
      <c r="C785" s="268">
        <v>12358</v>
      </c>
      <c r="D785" s="268" t="s">
        <v>805</v>
      </c>
      <c r="E785" s="268" t="s">
        <v>97</v>
      </c>
      <c r="F785" s="343">
        <v>792</v>
      </c>
      <c r="G785" s="268" t="s">
        <v>510</v>
      </c>
      <c r="H785" s="211" t="str">
        <f>IFERROR(VLOOKUP(E785,名称!A:E,4,0),"")</f>
        <v>三代</v>
      </c>
      <c r="I785" s="268" t="str">
        <f t="shared" si="1139"/>
        <v/>
      </c>
      <c r="J785" s="268" t="str">
        <f t="shared" si="1140"/>
        <v/>
      </c>
      <c r="K785" s="268" t="str">
        <f t="shared" si="1141"/>
        <v/>
      </c>
      <c r="L785" s="268" t="str">
        <f t="shared" si="1142"/>
        <v/>
      </c>
      <c r="M785" s="268" t="str">
        <f t="shared" si="1143"/>
        <v/>
      </c>
      <c r="N785" s="268" t="str">
        <f t="shared" si="1144"/>
        <v/>
      </c>
      <c r="O785" s="268" t="str">
        <f t="shared" si="1145"/>
        <v/>
      </c>
      <c r="P785" s="268" t="str">
        <f t="shared" si="1146"/>
        <v/>
      </c>
      <c r="Q785" s="268" t="str">
        <f t="shared" si="1147"/>
        <v/>
      </c>
      <c r="R785" s="268" t="str">
        <f t="shared" si="1148"/>
        <v/>
      </c>
      <c r="S785" s="268" t="str">
        <f t="shared" si="1149"/>
        <v/>
      </c>
      <c r="T785" s="268" t="str">
        <f t="shared" si="1150"/>
        <v/>
      </c>
      <c r="U785" s="268" t="str">
        <f t="shared" si="1151"/>
        <v/>
      </c>
      <c r="V785" s="268" t="str">
        <f t="shared" si="1152"/>
        <v/>
      </c>
      <c r="W785" s="268" t="str">
        <f t="shared" si="1153"/>
        <v/>
      </c>
      <c r="X785" s="268" t="str">
        <f t="shared" si="1154"/>
        <v/>
      </c>
      <c r="Y785" s="268" t="str">
        <f t="shared" si="1155"/>
        <v/>
      </c>
      <c r="Z785" s="268" t="str">
        <f t="shared" si="1156"/>
        <v/>
      </c>
      <c r="AA785" s="268" t="str">
        <f t="shared" si="1157"/>
        <v/>
      </c>
      <c r="AB785" s="268" t="str">
        <f t="shared" si="1158"/>
        <v/>
      </c>
      <c r="AC785" s="268" t="str">
        <f t="shared" si="1159"/>
        <v/>
      </c>
      <c r="AD785" s="268" t="str">
        <f t="shared" si="1160"/>
        <v/>
      </c>
      <c r="AE785" s="268" t="str">
        <f t="shared" si="1161"/>
        <v/>
      </c>
      <c r="AF785" s="268" t="str">
        <f t="shared" si="1162"/>
        <v/>
      </c>
      <c r="AG785" s="268" t="str">
        <f t="shared" si="1163"/>
        <v/>
      </c>
      <c r="AH785" s="268" t="str">
        <f t="shared" si="1164"/>
        <v/>
      </c>
      <c r="AI785" s="268" t="str">
        <f t="shared" si="1165"/>
        <v/>
      </c>
      <c r="AJ785" s="268" t="str">
        <f t="shared" si="1166"/>
        <v/>
      </c>
      <c r="AK785" s="268" t="str">
        <f t="shared" si="1167"/>
        <v/>
      </c>
      <c r="AL785" s="268" t="str">
        <f t="shared" si="1168"/>
        <v/>
      </c>
      <c r="AM785" s="268" t="str">
        <f t="shared" si="1169"/>
        <v/>
      </c>
      <c r="AN785" s="268" t="str">
        <f t="shared" si="1170"/>
        <v/>
      </c>
      <c r="AO785" s="268" t="str">
        <f t="shared" si="1171"/>
        <v/>
      </c>
      <c r="AP785" s="268" t="str">
        <f t="shared" si="1172"/>
        <v/>
      </c>
      <c r="AQ785" s="268" t="str">
        <f t="shared" si="1173"/>
        <v/>
      </c>
      <c r="AR785" s="268" t="str">
        <f t="shared" si="1174"/>
        <v/>
      </c>
      <c r="AS785" s="268" t="str">
        <f t="shared" si="1175"/>
        <v/>
      </c>
      <c r="AT785" s="268" t="str">
        <f t="shared" si="1176"/>
        <v/>
      </c>
      <c r="AU785" s="268" t="str">
        <f t="shared" si="1177"/>
        <v/>
      </c>
      <c r="AV785" s="268" t="str">
        <f t="shared" si="1178"/>
        <v/>
      </c>
      <c r="AW785" s="268" t="str">
        <f t="shared" si="1179"/>
        <v/>
      </c>
      <c r="AX785" s="268" t="str">
        <f t="shared" si="1180"/>
        <v/>
      </c>
      <c r="AY785" s="268" t="str">
        <f t="shared" si="1181"/>
        <v/>
      </c>
      <c r="AZ785" s="268" t="str">
        <f t="shared" si="1182"/>
        <v/>
      </c>
      <c r="BA785" s="268">
        <f t="shared" si="1183"/>
        <v>792</v>
      </c>
      <c r="BB785" s="268" t="str">
        <f t="shared" si="1184"/>
        <v/>
      </c>
      <c r="BC785" s="268" t="str">
        <f t="shared" si="1185"/>
        <v/>
      </c>
      <c r="BD785" s="268" t="str">
        <f t="shared" si="1186"/>
        <v/>
      </c>
      <c r="BE785" s="268" t="str">
        <f t="shared" si="1187"/>
        <v/>
      </c>
      <c r="BF785" s="268" t="str">
        <f t="shared" si="1188"/>
        <v/>
      </c>
      <c r="BG785" s="268" t="str">
        <f t="shared" si="1189"/>
        <v/>
      </c>
      <c r="BH785" s="268" t="str">
        <f t="shared" si="1190"/>
        <v/>
      </c>
      <c r="BI785" s="268" t="str">
        <f t="shared" si="1191"/>
        <v/>
      </c>
      <c r="BJ785" s="268" t="str">
        <f t="shared" si="1192"/>
        <v/>
      </c>
      <c r="BK785" s="268" t="str">
        <f t="shared" ref="BK785:BS785" si="1244">IF(OR($E785="",BK$1=""),"",IF(TRIM(LEFT($E785,MIN(IFERROR(FIND("CDU",UPPER($E785)),999),IFERROR(FIND("BULK",UPPER($E785)),999),IFERROR(FIND("-",$E785),999),IFERROR(FIND("（",$E785),999))-1))=BK$1,$F785,""))</f>
        <v/>
      </c>
      <c r="BL785" s="268" t="str">
        <f t="shared" si="1244"/>
        <v/>
      </c>
      <c r="BM785" s="268" t="str">
        <f t="shared" si="1244"/>
        <v/>
      </c>
      <c r="BN785" s="268" t="str">
        <f t="shared" si="1244"/>
        <v/>
      </c>
      <c r="BO785" s="268" t="str">
        <f t="shared" si="1244"/>
        <v/>
      </c>
      <c r="BP785" s="268" t="str">
        <f t="shared" si="1244"/>
        <v/>
      </c>
      <c r="BQ785" s="268" t="str">
        <f t="shared" si="1244"/>
        <v/>
      </c>
      <c r="BR785" s="268" t="str">
        <f t="shared" si="1244"/>
        <v/>
      </c>
      <c r="BS785" s="268" t="str">
        <f t="shared" si="1244"/>
        <v/>
      </c>
      <c r="BT785" s="268" t="str">
        <f t="shared" si="1194"/>
        <v/>
      </c>
      <c r="BU785" s="268" t="str">
        <f t="shared" si="1195"/>
        <v/>
      </c>
      <c r="BV785" s="247">
        <v>0.64</v>
      </c>
      <c r="BW785" s="729">
        <f t="shared" si="1231"/>
        <v>506.88</v>
      </c>
      <c r="BX785" s="730">
        <f t="shared" si="1232"/>
        <v>3928.32</v>
      </c>
      <c r="BY785" s="731" t="str">
        <f t="shared" si="1233"/>
        <v>SR</v>
      </c>
    </row>
    <row r="786" s="697" customFormat="1" customHeight="1" spans="1:77">
      <c r="A786" s="116">
        <v>46142</v>
      </c>
      <c r="B786" s="116">
        <v>46254</v>
      </c>
      <c r="C786" s="418" t="s">
        <v>806</v>
      </c>
      <c r="D786" s="418" t="s">
        <v>807</v>
      </c>
      <c r="E786" s="418" t="s">
        <v>94</v>
      </c>
      <c r="F786" s="737">
        <v>23016</v>
      </c>
      <c r="G786" s="418" t="s">
        <v>270</v>
      </c>
      <c r="H786" s="118" t="str">
        <f>IFERROR(VLOOKUP(E786,名称!A:E,4,0),"")</f>
        <v>三代</v>
      </c>
      <c r="I786" s="418" t="str">
        <f t="shared" si="1139"/>
        <v/>
      </c>
      <c r="J786" s="418" t="str">
        <f t="shared" si="1140"/>
        <v/>
      </c>
      <c r="K786" s="418" t="str">
        <f t="shared" si="1141"/>
        <v/>
      </c>
      <c r="L786" s="418" t="str">
        <f t="shared" si="1142"/>
        <v/>
      </c>
      <c r="M786" s="418" t="str">
        <f t="shared" si="1143"/>
        <v/>
      </c>
      <c r="N786" s="418" t="str">
        <f t="shared" si="1144"/>
        <v/>
      </c>
      <c r="O786" s="418" t="str">
        <f t="shared" si="1145"/>
        <v/>
      </c>
      <c r="P786" s="418" t="str">
        <f t="shared" si="1146"/>
        <v/>
      </c>
      <c r="Q786" s="418" t="str">
        <f t="shared" si="1147"/>
        <v/>
      </c>
      <c r="R786" s="418" t="str">
        <f t="shared" si="1148"/>
        <v/>
      </c>
      <c r="S786" s="418" t="str">
        <f t="shared" si="1149"/>
        <v/>
      </c>
      <c r="T786" s="418" t="str">
        <f t="shared" si="1150"/>
        <v/>
      </c>
      <c r="U786" s="418" t="str">
        <f t="shared" si="1151"/>
        <v/>
      </c>
      <c r="V786" s="418" t="str">
        <f t="shared" si="1152"/>
        <v/>
      </c>
      <c r="W786" s="418" t="str">
        <f t="shared" si="1153"/>
        <v/>
      </c>
      <c r="X786" s="418" t="str">
        <f t="shared" si="1154"/>
        <v/>
      </c>
      <c r="Y786" s="418" t="str">
        <f t="shared" si="1155"/>
        <v/>
      </c>
      <c r="Z786" s="418" t="str">
        <f t="shared" si="1156"/>
        <v/>
      </c>
      <c r="AA786" s="418" t="str">
        <f t="shared" si="1157"/>
        <v/>
      </c>
      <c r="AB786" s="418" t="str">
        <f t="shared" si="1158"/>
        <v/>
      </c>
      <c r="AC786" s="418" t="str">
        <f t="shared" si="1159"/>
        <v/>
      </c>
      <c r="AD786" s="418" t="str">
        <f t="shared" si="1160"/>
        <v/>
      </c>
      <c r="AE786" s="418" t="str">
        <f t="shared" si="1161"/>
        <v/>
      </c>
      <c r="AF786" s="418" t="str">
        <f t="shared" si="1162"/>
        <v/>
      </c>
      <c r="AG786" s="418" t="str">
        <f t="shared" si="1163"/>
        <v/>
      </c>
      <c r="AH786" s="418" t="str">
        <f t="shared" si="1164"/>
        <v/>
      </c>
      <c r="AI786" s="418" t="str">
        <f t="shared" si="1165"/>
        <v/>
      </c>
      <c r="AJ786" s="418" t="str">
        <f t="shared" si="1166"/>
        <v/>
      </c>
      <c r="AK786" s="418" t="str">
        <f t="shared" si="1167"/>
        <v/>
      </c>
      <c r="AL786" s="418" t="str">
        <f t="shared" si="1168"/>
        <v/>
      </c>
      <c r="AM786" s="418" t="str">
        <f t="shared" si="1169"/>
        <v/>
      </c>
      <c r="AN786" s="418" t="str">
        <f t="shared" si="1170"/>
        <v/>
      </c>
      <c r="AO786" s="418" t="str">
        <f t="shared" si="1171"/>
        <v/>
      </c>
      <c r="AP786" s="418" t="str">
        <f t="shared" si="1172"/>
        <v/>
      </c>
      <c r="AQ786" s="418" t="str">
        <f t="shared" si="1173"/>
        <v/>
      </c>
      <c r="AR786" s="418" t="str">
        <f t="shared" si="1174"/>
        <v/>
      </c>
      <c r="AS786" s="418" t="str">
        <f t="shared" si="1175"/>
        <v/>
      </c>
      <c r="AT786" s="418" t="str">
        <f t="shared" si="1176"/>
        <v/>
      </c>
      <c r="AU786" s="418" t="str">
        <f t="shared" si="1177"/>
        <v/>
      </c>
      <c r="AV786" s="418" t="str">
        <f t="shared" si="1178"/>
        <v/>
      </c>
      <c r="AW786" s="418" t="str">
        <f t="shared" si="1179"/>
        <v/>
      </c>
      <c r="AX786" s="418" t="str">
        <f t="shared" si="1180"/>
        <v/>
      </c>
      <c r="AY786" s="418">
        <f t="shared" si="1181"/>
        <v>23016</v>
      </c>
      <c r="AZ786" s="418" t="str">
        <f t="shared" si="1182"/>
        <v/>
      </c>
      <c r="BA786" s="418" t="str">
        <f t="shared" si="1183"/>
        <v/>
      </c>
      <c r="BB786" s="418" t="str">
        <f t="shared" si="1184"/>
        <v/>
      </c>
      <c r="BC786" s="418" t="str">
        <f t="shared" si="1185"/>
        <v/>
      </c>
      <c r="BD786" s="418" t="str">
        <f t="shared" si="1186"/>
        <v/>
      </c>
      <c r="BE786" s="418" t="str">
        <f t="shared" si="1187"/>
        <v/>
      </c>
      <c r="BF786" s="418" t="str">
        <f t="shared" si="1188"/>
        <v/>
      </c>
      <c r="BG786" s="418" t="str">
        <f t="shared" si="1189"/>
        <v/>
      </c>
      <c r="BH786" s="418" t="str">
        <f t="shared" si="1190"/>
        <v/>
      </c>
      <c r="BI786" s="418" t="str">
        <f t="shared" si="1191"/>
        <v/>
      </c>
      <c r="BJ786" s="418" t="str">
        <f t="shared" si="1192"/>
        <v/>
      </c>
      <c r="BK786" s="418" t="str">
        <f t="shared" ref="BK786:BS786" si="1245">IF(OR($E786="",BK$1=""),"",IF(TRIM(LEFT($E786,MIN(IFERROR(FIND("CDU",UPPER($E786)),999),IFERROR(FIND("BULK",UPPER($E786)),999),IFERROR(FIND("-",$E786),999),IFERROR(FIND("（",$E786),999))-1))=BK$1,$F786,""))</f>
        <v/>
      </c>
      <c r="BL786" s="418" t="str">
        <f t="shared" si="1245"/>
        <v/>
      </c>
      <c r="BM786" s="418" t="str">
        <f t="shared" si="1245"/>
        <v/>
      </c>
      <c r="BN786" s="418" t="str">
        <f t="shared" si="1245"/>
        <v/>
      </c>
      <c r="BO786" s="418" t="str">
        <f t="shared" si="1245"/>
        <v/>
      </c>
      <c r="BP786" s="418" t="str">
        <f t="shared" si="1245"/>
        <v/>
      </c>
      <c r="BQ786" s="418" t="str">
        <f t="shared" si="1245"/>
        <v/>
      </c>
      <c r="BR786" s="418" t="str">
        <f t="shared" si="1245"/>
        <v/>
      </c>
      <c r="BS786" s="418" t="str">
        <f t="shared" si="1245"/>
        <v/>
      </c>
      <c r="BT786" s="418" t="str">
        <f t="shared" si="1194"/>
        <v/>
      </c>
      <c r="BU786" s="418" t="str">
        <f t="shared" si="1195"/>
        <v/>
      </c>
      <c r="BV786" s="544">
        <v>0.61</v>
      </c>
      <c r="BW786" s="723">
        <f t="shared" si="1231"/>
        <v>14039.76</v>
      </c>
      <c r="BX786" s="724">
        <f t="shared" si="1232"/>
        <v>108808.14</v>
      </c>
      <c r="BY786" s="725" t="str">
        <f t="shared" si="1233"/>
        <v>SR</v>
      </c>
    </row>
    <row r="787" s="697" customFormat="1" customHeight="1" spans="1:77">
      <c r="A787" s="116">
        <v>46142</v>
      </c>
      <c r="B787" s="116">
        <v>46254</v>
      </c>
      <c r="C787" s="418" t="s">
        <v>808</v>
      </c>
      <c r="D787" s="418" t="s">
        <v>809</v>
      </c>
      <c r="E787" s="418" t="s">
        <v>94</v>
      </c>
      <c r="F787" s="737">
        <v>23016</v>
      </c>
      <c r="G787" s="418" t="s">
        <v>270</v>
      </c>
      <c r="H787" s="118" t="str">
        <f>IFERROR(VLOOKUP(E787,名称!A:E,4,0),"")</f>
        <v>三代</v>
      </c>
      <c r="I787" s="418" t="str">
        <f t="shared" si="1139"/>
        <v/>
      </c>
      <c r="J787" s="418" t="str">
        <f t="shared" si="1140"/>
        <v/>
      </c>
      <c r="K787" s="418" t="str">
        <f t="shared" si="1141"/>
        <v/>
      </c>
      <c r="L787" s="418" t="str">
        <f t="shared" si="1142"/>
        <v/>
      </c>
      <c r="M787" s="418" t="str">
        <f t="shared" si="1143"/>
        <v/>
      </c>
      <c r="N787" s="418" t="str">
        <f t="shared" si="1144"/>
        <v/>
      </c>
      <c r="O787" s="418" t="str">
        <f t="shared" si="1145"/>
        <v/>
      </c>
      <c r="P787" s="418" t="str">
        <f t="shared" si="1146"/>
        <v/>
      </c>
      <c r="Q787" s="418" t="str">
        <f t="shared" si="1147"/>
        <v/>
      </c>
      <c r="R787" s="418" t="str">
        <f t="shared" si="1148"/>
        <v/>
      </c>
      <c r="S787" s="418" t="str">
        <f t="shared" si="1149"/>
        <v/>
      </c>
      <c r="T787" s="418" t="str">
        <f t="shared" si="1150"/>
        <v/>
      </c>
      <c r="U787" s="418" t="str">
        <f t="shared" si="1151"/>
        <v/>
      </c>
      <c r="V787" s="418" t="str">
        <f t="shared" si="1152"/>
        <v/>
      </c>
      <c r="W787" s="418" t="str">
        <f t="shared" si="1153"/>
        <v/>
      </c>
      <c r="X787" s="418" t="str">
        <f t="shared" si="1154"/>
        <v/>
      </c>
      <c r="Y787" s="418" t="str">
        <f t="shared" si="1155"/>
        <v/>
      </c>
      <c r="Z787" s="418" t="str">
        <f t="shared" si="1156"/>
        <v/>
      </c>
      <c r="AA787" s="418" t="str">
        <f t="shared" si="1157"/>
        <v/>
      </c>
      <c r="AB787" s="418" t="str">
        <f t="shared" si="1158"/>
        <v/>
      </c>
      <c r="AC787" s="418" t="str">
        <f t="shared" si="1159"/>
        <v/>
      </c>
      <c r="AD787" s="418" t="str">
        <f t="shared" si="1160"/>
        <v/>
      </c>
      <c r="AE787" s="418" t="str">
        <f t="shared" si="1161"/>
        <v/>
      </c>
      <c r="AF787" s="418" t="str">
        <f t="shared" si="1162"/>
        <v/>
      </c>
      <c r="AG787" s="418" t="str">
        <f t="shared" si="1163"/>
        <v/>
      </c>
      <c r="AH787" s="418" t="str">
        <f t="shared" si="1164"/>
        <v/>
      </c>
      <c r="AI787" s="418" t="str">
        <f t="shared" si="1165"/>
        <v/>
      </c>
      <c r="AJ787" s="418" t="str">
        <f t="shared" si="1166"/>
        <v/>
      </c>
      <c r="AK787" s="418" t="str">
        <f t="shared" si="1167"/>
        <v/>
      </c>
      <c r="AL787" s="418" t="str">
        <f t="shared" si="1168"/>
        <v/>
      </c>
      <c r="AM787" s="418" t="str">
        <f t="shared" si="1169"/>
        <v/>
      </c>
      <c r="AN787" s="418" t="str">
        <f t="shared" si="1170"/>
        <v/>
      </c>
      <c r="AO787" s="418" t="str">
        <f t="shared" si="1171"/>
        <v/>
      </c>
      <c r="AP787" s="418" t="str">
        <f t="shared" si="1172"/>
        <v/>
      </c>
      <c r="AQ787" s="418" t="str">
        <f t="shared" si="1173"/>
        <v/>
      </c>
      <c r="AR787" s="418" t="str">
        <f t="shared" si="1174"/>
        <v/>
      </c>
      <c r="AS787" s="418" t="str">
        <f t="shared" si="1175"/>
        <v/>
      </c>
      <c r="AT787" s="418" t="str">
        <f t="shared" si="1176"/>
        <v/>
      </c>
      <c r="AU787" s="418" t="str">
        <f t="shared" si="1177"/>
        <v/>
      </c>
      <c r="AV787" s="418" t="str">
        <f t="shared" si="1178"/>
        <v/>
      </c>
      <c r="AW787" s="418" t="str">
        <f t="shared" si="1179"/>
        <v/>
      </c>
      <c r="AX787" s="418" t="str">
        <f t="shared" si="1180"/>
        <v/>
      </c>
      <c r="AY787" s="418">
        <f t="shared" si="1181"/>
        <v>23016</v>
      </c>
      <c r="AZ787" s="418" t="str">
        <f t="shared" si="1182"/>
        <v/>
      </c>
      <c r="BA787" s="418" t="str">
        <f t="shared" si="1183"/>
        <v/>
      </c>
      <c r="BB787" s="418" t="str">
        <f t="shared" si="1184"/>
        <v/>
      </c>
      <c r="BC787" s="418" t="str">
        <f t="shared" si="1185"/>
        <v/>
      </c>
      <c r="BD787" s="418" t="str">
        <f t="shared" si="1186"/>
        <v/>
      </c>
      <c r="BE787" s="418" t="str">
        <f t="shared" si="1187"/>
        <v/>
      </c>
      <c r="BF787" s="418" t="str">
        <f t="shared" si="1188"/>
        <v/>
      </c>
      <c r="BG787" s="418" t="str">
        <f t="shared" si="1189"/>
        <v/>
      </c>
      <c r="BH787" s="418" t="str">
        <f t="shared" si="1190"/>
        <v/>
      </c>
      <c r="BI787" s="418" t="str">
        <f t="shared" si="1191"/>
        <v/>
      </c>
      <c r="BJ787" s="418" t="str">
        <f t="shared" si="1192"/>
        <v/>
      </c>
      <c r="BK787" s="418" t="str">
        <f t="shared" ref="BK787:BS787" si="1246">IF(OR($E787="",BK$1=""),"",IF(TRIM(LEFT($E787,MIN(IFERROR(FIND("CDU",UPPER($E787)),999),IFERROR(FIND("BULK",UPPER($E787)),999),IFERROR(FIND("-",$E787),999),IFERROR(FIND("（",$E787),999))-1))=BK$1,$F787,""))</f>
        <v/>
      </c>
      <c r="BL787" s="418" t="str">
        <f t="shared" si="1246"/>
        <v/>
      </c>
      <c r="BM787" s="418" t="str">
        <f t="shared" si="1246"/>
        <v/>
      </c>
      <c r="BN787" s="418" t="str">
        <f t="shared" si="1246"/>
        <v/>
      </c>
      <c r="BO787" s="418" t="str">
        <f t="shared" si="1246"/>
        <v/>
      </c>
      <c r="BP787" s="418" t="str">
        <f t="shared" si="1246"/>
        <v/>
      </c>
      <c r="BQ787" s="418" t="str">
        <f t="shared" si="1246"/>
        <v/>
      </c>
      <c r="BR787" s="418" t="str">
        <f t="shared" si="1246"/>
        <v/>
      </c>
      <c r="BS787" s="418" t="str">
        <f t="shared" si="1246"/>
        <v/>
      </c>
      <c r="BT787" s="418" t="str">
        <f t="shared" si="1194"/>
        <v/>
      </c>
      <c r="BU787" s="418" t="str">
        <f t="shared" si="1195"/>
        <v/>
      </c>
      <c r="BV787" s="544">
        <v>0.61</v>
      </c>
      <c r="BW787" s="723">
        <f t="shared" si="1231"/>
        <v>14039.76</v>
      </c>
      <c r="BX787" s="724">
        <f t="shared" si="1232"/>
        <v>108808.14</v>
      </c>
      <c r="BY787" s="725" t="str">
        <f t="shared" si="1233"/>
        <v>SR</v>
      </c>
    </row>
    <row r="788" s="698" customFormat="1" customHeight="1" spans="1:77">
      <c r="A788" s="208">
        <v>46142</v>
      </c>
      <c r="B788" s="208">
        <v>46254</v>
      </c>
      <c r="C788" s="268" t="s">
        <v>810</v>
      </c>
      <c r="D788" s="268" t="s">
        <v>811</v>
      </c>
      <c r="E788" s="268" t="s">
        <v>99</v>
      </c>
      <c r="F788" s="343">
        <v>12000</v>
      </c>
      <c r="G788" s="268" t="s">
        <v>812</v>
      </c>
      <c r="H788" s="211" t="str">
        <f>IFERROR(VLOOKUP(E788,名称!A:E,4,0),"")</f>
        <v>三代</v>
      </c>
      <c r="I788" s="268" t="str">
        <f t="shared" si="1139"/>
        <v/>
      </c>
      <c r="J788" s="268" t="str">
        <f t="shared" si="1140"/>
        <v/>
      </c>
      <c r="K788" s="268" t="str">
        <f t="shared" si="1141"/>
        <v/>
      </c>
      <c r="L788" s="268" t="str">
        <f t="shared" si="1142"/>
        <v/>
      </c>
      <c r="M788" s="268" t="str">
        <f t="shared" si="1143"/>
        <v/>
      </c>
      <c r="N788" s="268" t="str">
        <f t="shared" si="1144"/>
        <v/>
      </c>
      <c r="O788" s="268" t="str">
        <f t="shared" si="1145"/>
        <v/>
      </c>
      <c r="P788" s="268" t="str">
        <f t="shared" si="1146"/>
        <v/>
      </c>
      <c r="Q788" s="268" t="str">
        <f t="shared" si="1147"/>
        <v/>
      </c>
      <c r="R788" s="268" t="str">
        <f t="shared" si="1148"/>
        <v/>
      </c>
      <c r="S788" s="268" t="str">
        <f t="shared" si="1149"/>
        <v/>
      </c>
      <c r="T788" s="268" t="str">
        <f t="shared" si="1150"/>
        <v/>
      </c>
      <c r="U788" s="268" t="str">
        <f t="shared" si="1151"/>
        <v/>
      </c>
      <c r="V788" s="268" t="str">
        <f t="shared" si="1152"/>
        <v/>
      </c>
      <c r="W788" s="268" t="str">
        <f t="shared" si="1153"/>
        <v/>
      </c>
      <c r="X788" s="268" t="str">
        <f t="shared" si="1154"/>
        <v/>
      </c>
      <c r="Y788" s="268" t="str">
        <f t="shared" si="1155"/>
        <v/>
      </c>
      <c r="Z788" s="268" t="str">
        <f t="shared" si="1156"/>
        <v/>
      </c>
      <c r="AA788" s="268" t="str">
        <f t="shared" si="1157"/>
        <v/>
      </c>
      <c r="AB788" s="268" t="str">
        <f t="shared" si="1158"/>
        <v/>
      </c>
      <c r="AC788" s="268">
        <f t="shared" si="1159"/>
        <v>12000</v>
      </c>
      <c r="AD788" s="268" t="str">
        <f t="shared" si="1160"/>
        <v/>
      </c>
      <c r="AE788" s="268" t="str">
        <f t="shared" si="1161"/>
        <v/>
      </c>
      <c r="AF788" s="268" t="str">
        <f t="shared" si="1162"/>
        <v/>
      </c>
      <c r="AG788" s="268" t="str">
        <f t="shared" si="1163"/>
        <v/>
      </c>
      <c r="AH788" s="268" t="str">
        <f t="shared" si="1164"/>
        <v/>
      </c>
      <c r="AI788" s="268" t="str">
        <f t="shared" si="1165"/>
        <v/>
      </c>
      <c r="AJ788" s="268" t="str">
        <f t="shared" si="1166"/>
        <v/>
      </c>
      <c r="AK788" s="268" t="str">
        <f t="shared" si="1167"/>
        <v/>
      </c>
      <c r="AL788" s="268" t="str">
        <f t="shared" si="1168"/>
        <v/>
      </c>
      <c r="AM788" s="268" t="str">
        <f t="shared" si="1169"/>
        <v/>
      </c>
      <c r="AN788" s="268" t="str">
        <f t="shared" si="1170"/>
        <v/>
      </c>
      <c r="AO788" s="268" t="str">
        <f t="shared" si="1171"/>
        <v/>
      </c>
      <c r="AP788" s="268" t="str">
        <f t="shared" si="1172"/>
        <v/>
      </c>
      <c r="AQ788" s="268" t="str">
        <f t="shared" si="1173"/>
        <v/>
      </c>
      <c r="AR788" s="268" t="str">
        <f t="shared" si="1174"/>
        <v/>
      </c>
      <c r="AS788" s="268" t="str">
        <f t="shared" si="1175"/>
        <v/>
      </c>
      <c r="AT788" s="268" t="str">
        <f t="shared" si="1176"/>
        <v/>
      </c>
      <c r="AU788" s="268" t="str">
        <f t="shared" si="1177"/>
        <v/>
      </c>
      <c r="AV788" s="268" t="str">
        <f t="shared" si="1178"/>
        <v/>
      </c>
      <c r="AW788" s="268" t="str">
        <f t="shared" si="1179"/>
        <v/>
      </c>
      <c r="AX788" s="268" t="str">
        <f t="shared" si="1180"/>
        <v/>
      </c>
      <c r="AY788" s="268" t="str">
        <f t="shared" si="1181"/>
        <v/>
      </c>
      <c r="AZ788" s="268" t="str">
        <f t="shared" si="1182"/>
        <v/>
      </c>
      <c r="BA788" s="268" t="str">
        <f t="shared" si="1183"/>
        <v/>
      </c>
      <c r="BB788" s="268" t="str">
        <f t="shared" si="1184"/>
        <v/>
      </c>
      <c r="BC788" s="268" t="str">
        <f t="shared" si="1185"/>
        <v/>
      </c>
      <c r="BD788" s="268" t="str">
        <f t="shared" si="1186"/>
        <v/>
      </c>
      <c r="BE788" s="268" t="str">
        <f t="shared" si="1187"/>
        <v/>
      </c>
      <c r="BF788" s="268" t="str">
        <f t="shared" si="1188"/>
        <v/>
      </c>
      <c r="BG788" s="268" t="str">
        <f t="shared" si="1189"/>
        <v/>
      </c>
      <c r="BH788" s="268" t="str">
        <f t="shared" si="1190"/>
        <v/>
      </c>
      <c r="BI788" s="268" t="str">
        <f t="shared" si="1191"/>
        <v/>
      </c>
      <c r="BJ788" s="268" t="str">
        <f t="shared" si="1192"/>
        <v/>
      </c>
      <c r="BK788" s="268" t="str">
        <f t="shared" ref="BK788:BS788" si="1247">IF(OR($E788="",BK$1=""),"",IF(TRIM(LEFT($E788,MIN(IFERROR(FIND("CDU",UPPER($E788)),999),IFERROR(FIND("BULK",UPPER($E788)),999),IFERROR(FIND("-",$E788),999),IFERROR(FIND("（",$E788),999))-1))=BK$1,$F788,""))</f>
        <v/>
      </c>
      <c r="BL788" s="268" t="str">
        <f t="shared" si="1247"/>
        <v/>
      </c>
      <c r="BM788" s="268" t="str">
        <f t="shared" si="1247"/>
        <v/>
      </c>
      <c r="BN788" s="268" t="str">
        <f t="shared" si="1247"/>
        <v/>
      </c>
      <c r="BO788" s="268" t="str">
        <f t="shared" si="1247"/>
        <v/>
      </c>
      <c r="BP788" s="268" t="str">
        <f t="shared" si="1247"/>
        <v/>
      </c>
      <c r="BQ788" s="268" t="str">
        <f t="shared" si="1247"/>
        <v/>
      </c>
      <c r="BR788" s="268" t="str">
        <f t="shared" si="1247"/>
        <v/>
      </c>
      <c r="BS788" s="268" t="str">
        <f t="shared" si="1247"/>
        <v/>
      </c>
      <c r="BT788" s="268" t="str">
        <f t="shared" si="1194"/>
        <v/>
      </c>
      <c r="BU788" s="268" t="str">
        <f t="shared" si="1195"/>
        <v/>
      </c>
      <c r="BV788" s="247">
        <v>0.87</v>
      </c>
      <c r="BW788" s="729">
        <f t="shared" si="1231"/>
        <v>10440</v>
      </c>
      <c r="BX788" s="730">
        <f t="shared" si="1232"/>
        <v>80910</v>
      </c>
      <c r="BY788" s="731" t="str">
        <f t="shared" si="1233"/>
        <v>SR</v>
      </c>
    </row>
    <row r="789" s="698" customFormat="1" customHeight="1" spans="1:77">
      <c r="A789" s="208">
        <v>46142</v>
      </c>
      <c r="B789" s="208">
        <v>46254</v>
      </c>
      <c r="C789" s="268" t="s">
        <v>810</v>
      </c>
      <c r="D789" s="268" t="s">
        <v>811</v>
      </c>
      <c r="E789" s="268" t="s">
        <v>103</v>
      </c>
      <c r="F789" s="343">
        <v>12006</v>
      </c>
      <c r="G789" s="268" t="s">
        <v>334</v>
      </c>
      <c r="H789" s="211" t="str">
        <f>IFERROR(VLOOKUP(E789,名称!A:E,4,0),"")</f>
        <v>三代</v>
      </c>
      <c r="I789" s="268" t="str">
        <f t="shared" si="1139"/>
        <v/>
      </c>
      <c r="J789" s="268" t="str">
        <f t="shared" si="1140"/>
        <v/>
      </c>
      <c r="K789" s="268" t="str">
        <f t="shared" si="1141"/>
        <v/>
      </c>
      <c r="L789" s="268" t="str">
        <f t="shared" si="1142"/>
        <v/>
      </c>
      <c r="M789" s="268" t="str">
        <f t="shared" si="1143"/>
        <v/>
      </c>
      <c r="N789" s="268" t="str">
        <f t="shared" si="1144"/>
        <v/>
      </c>
      <c r="O789" s="268" t="str">
        <f t="shared" si="1145"/>
        <v/>
      </c>
      <c r="P789" s="268" t="str">
        <f t="shared" si="1146"/>
        <v/>
      </c>
      <c r="Q789" s="268" t="str">
        <f t="shared" si="1147"/>
        <v/>
      </c>
      <c r="R789" s="268" t="str">
        <f t="shared" si="1148"/>
        <v/>
      </c>
      <c r="S789" s="268" t="str">
        <f t="shared" si="1149"/>
        <v/>
      </c>
      <c r="T789" s="268" t="str">
        <f t="shared" si="1150"/>
        <v/>
      </c>
      <c r="U789" s="268" t="str">
        <f t="shared" si="1151"/>
        <v/>
      </c>
      <c r="V789" s="268" t="str">
        <f t="shared" si="1152"/>
        <v/>
      </c>
      <c r="W789" s="268" t="str">
        <f t="shared" si="1153"/>
        <v/>
      </c>
      <c r="X789" s="268" t="str">
        <f t="shared" si="1154"/>
        <v/>
      </c>
      <c r="Y789" s="268" t="str">
        <f t="shared" si="1155"/>
        <v/>
      </c>
      <c r="Z789" s="268" t="str">
        <f t="shared" si="1156"/>
        <v/>
      </c>
      <c r="AA789" s="268" t="str">
        <f t="shared" si="1157"/>
        <v/>
      </c>
      <c r="AB789" s="268" t="str">
        <f t="shared" si="1158"/>
        <v/>
      </c>
      <c r="AC789" s="268">
        <f t="shared" si="1159"/>
        <v>12006</v>
      </c>
      <c r="AD789" s="268" t="str">
        <f t="shared" si="1160"/>
        <v/>
      </c>
      <c r="AE789" s="268" t="str">
        <f t="shared" si="1161"/>
        <v/>
      </c>
      <c r="AF789" s="268" t="str">
        <f t="shared" si="1162"/>
        <v/>
      </c>
      <c r="AG789" s="268" t="str">
        <f t="shared" si="1163"/>
        <v/>
      </c>
      <c r="AH789" s="268" t="str">
        <f t="shared" si="1164"/>
        <v/>
      </c>
      <c r="AI789" s="268" t="str">
        <f t="shared" si="1165"/>
        <v/>
      </c>
      <c r="AJ789" s="268" t="str">
        <f t="shared" si="1166"/>
        <v/>
      </c>
      <c r="AK789" s="268" t="str">
        <f t="shared" si="1167"/>
        <v/>
      </c>
      <c r="AL789" s="268" t="str">
        <f t="shared" si="1168"/>
        <v/>
      </c>
      <c r="AM789" s="268" t="str">
        <f t="shared" si="1169"/>
        <v/>
      </c>
      <c r="AN789" s="268" t="str">
        <f t="shared" si="1170"/>
        <v/>
      </c>
      <c r="AO789" s="268" t="str">
        <f t="shared" si="1171"/>
        <v/>
      </c>
      <c r="AP789" s="268" t="str">
        <f t="shared" si="1172"/>
        <v/>
      </c>
      <c r="AQ789" s="268" t="str">
        <f t="shared" si="1173"/>
        <v/>
      </c>
      <c r="AR789" s="268" t="str">
        <f t="shared" si="1174"/>
        <v/>
      </c>
      <c r="AS789" s="268" t="str">
        <f t="shared" si="1175"/>
        <v/>
      </c>
      <c r="AT789" s="268" t="str">
        <f t="shared" si="1176"/>
        <v/>
      </c>
      <c r="AU789" s="268" t="str">
        <f t="shared" si="1177"/>
        <v/>
      </c>
      <c r="AV789" s="268" t="str">
        <f t="shared" si="1178"/>
        <v/>
      </c>
      <c r="AW789" s="268" t="str">
        <f t="shared" si="1179"/>
        <v/>
      </c>
      <c r="AX789" s="268" t="str">
        <f t="shared" si="1180"/>
        <v/>
      </c>
      <c r="AY789" s="268" t="str">
        <f t="shared" si="1181"/>
        <v/>
      </c>
      <c r="AZ789" s="268" t="str">
        <f t="shared" si="1182"/>
        <v/>
      </c>
      <c r="BA789" s="268" t="str">
        <f t="shared" si="1183"/>
        <v/>
      </c>
      <c r="BB789" s="268" t="str">
        <f t="shared" si="1184"/>
        <v/>
      </c>
      <c r="BC789" s="268" t="str">
        <f t="shared" si="1185"/>
        <v/>
      </c>
      <c r="BD789" s="268" t="str">
        <f t="shared" si="1186"/>
        <v/>
      </c>
      <c r="BE789" s="268" t="str">
        <f t="shared" si="1187"/>
        <v/>
      </c>
      <c r="BF789" s="268" t="str">
        <f t="shared" si="1188"/>
        <v/>
      </c>
      <c r="BG789" s="268" t="str">
        <f t="shared" si="1189"/>
        <v/>
      </c>
      <c r="BH789" s="268" t="str">
        <f t="shared" si="1190"/>
        <v/>
      </c>
      <c r="BI789" s="268" t="str">
        <f t="shared" si="1191"/>
        <v/>
      </c>
      <c r="BJ789" s="268" t="str">
        <f t="shared" si="1192"/>
        <v/>
      </c>
      <c r="BK789" s="268" t="str">
        <f t="shared" ref="BK789:BS789" si="1248">IF(OR($E789="",BK$1=""),"",IF(TRIM(LEFT($E789,MIN(IFERROR(FIND("CDU",UPPER($E789)),999),IFERROR(FIND("BULK",UPPER($E789)),999),IFERROR(FIND("-",$E789),999),IFERROR(FIND("（",$E789),999))-1))=BK$1,$F789,""))</f>
        <v/>
      </c>
      <c r="BL789" s="268" t="str">
        <f t="shared" si="1248"/>
        <v/>
      </c>
      <c r="BM789" s="268" t="str">
        <f t="shared" si="1248"/>
        <v/>
      </c>
      <c r="BN789" s="268" t="str">
        <f t="shared" si="1248"/>
        <v/>
      </c>
      <c r="BO789" s="268" t="str">
        <f t="shared" si="1248"/>
        <v/>
      </c>
      <c r="BP789" s="268" t="str">
        <f t="shared" si="1248"/>
        <v/>
      </c>
      <c r="BQ789" s="268" t="str">
        <f t="shared" si="1248"/>
        <v/>
      </c>
      <c r="BR789" s="268" t="str">
        <f t="shared" si="1248"/>
        <v/>
      </c>
      <c r="BS789" s="268" t="str">
        <f t="shared" si="1248"/>
        <v/>
      </c>
      <c r="BT789" s="268" t="str">
        <f t="shared" si="1194"/>
        <v/>
      </c>
      <c r="BU789" s="268" t="str">
        <f t="shared" si="1195"/>
        <v/>
      </c>
      <c r="BV789" s="247">
        <v>0.85</v>
      </c>
      <c r="BW789" s="729">
        <f t="shared" si="1231"/>
        <v>10205.1</v>
      </c>
      <c r="BX789" s="730">
        <f t="shared" si="1232"/>
        <v>79089.53</v>
      </c>
      <c r="BY789" s="731" t="str">
        <f t="shared" si="1233"/>
        <v>SR</v>
      </c>
    </row>
    <row r="790" s="698" customFormat="1" customHeight="1" spans="1:77">
      <c r="A790" s="208">
        <v>46142</v>
      </c>
      <c r="B790" s="208">
        <v>46254</v>
      </c>
      <c r="C790" s="268" t="s">
        <v>810</v>
      </c>
      <c r="D790" s="268" t="s">
        <v>811</v>
      </c>
      <c r="E790" s="268" t="s">
        <v>66</v>
      </c>
      <c r="F790" s="343">
        <v>12000</v>
      </c>
      <c r="G790" s="268" t="s">
        <v>334</v>
      </c>
      <c r="H790" s="211" t="str">
        <f>IFERROR(VLOOKUP(E790,名称!A:E,4,0),"")</f>
        <v>三代</v>
      </c>
      <c r="I790" s="268" t="str">
        <f t="shared" si="1139"/>
        <v/>
      </c>
      <c r="J790" s="268" t="str">
        <f t="shared" si="1140"/>
        <v/>
      </c>
      <c r="K790" s="268" t="str">
        <f t="shared" si="1141"/>
        <v/>
      </c>
      <c r="L790" s="268" t="str">
        <f t="shared" si="1142"/>
        <v/>
      </c>
      <c r="M790" s="268" t="str">
        <f t="shared" si="1143"/>
        <v/>
      </c>
      <c r="N790" s="268" t="str">
        <f t="shared" si="1144"/>
        <v/>
      </c>
      <c r="O790" s="268" t="str">
        <f t="shared" si="1145"/>
        <v/>
      </c>
      <c r="P790" s="268" t="str">
        <f t="shared" si="1146"/>
        <v/>
      </c>
      <c r="Q790" s="268" t="str">
        <f t="shared" si="1147"/>
        <v/>
      </c>
      <c r="R790" s="268" t="str">
        <f t="shared" si="1148"/>
        <v/>
      </c>
      <c r="S790" s="268" t="str">
        <f t="shared" si="1149"/>
        <v/>
      </c>
      <c r="T790" s="268" t="str">
        <f t="shared" si="1150"/>
        <v/>
      </c>
      <c r="U790" s="268" t="str">
        <f t="shared" si="1151"/>
        <v/>
      </c>
      <c r="V790" s="268" t="str">
        <f t="shared" si="1152"/>
        <v/>
      </c>
      <c r="W790" s="268" t="str">
        <f t="shared" si="1153"/>
        <v/>
      </c>
      <c r="X790" s="268" t="str">
        <f t="shared" si="1154"/>
        <v/>
      </c>
      <c r="Y790" s="268" t="str">
        <f t="shared" si="1155"/>
        <v/>
      </c>
      <c r="Z790" s="268" t="str">
        <f t="shared" si="1156"/>
        <v/>
      </c>
      <c r="AA790" s="268" t="str">
        <f t="shared" si="1157"/>
        <v/>
      </c>
      <c r="AB790" s="268" t="str">
        <f t="shared" si="1158"/>
        <v/>
      </c>
      <c r="AC790" s="268" t="str">
        <f t="shared" si="1159"/>
        <v/>
      </c>
      <c r="AD790" s="268" t="str">
        <f t="shared" si="1160"/>
        <v/>
      </c>
      <c r="AE790" s="268" t="str">
        <f t="shared" si="1161"/>
        <v/>
      </c>
      <c r="AF790" s="268" t="str">
        <f t="shared" si="1162"/>
        <v/>
      </c>
      <c r="AG790" s="268">
        <f t="shared" si="1163"/>
        <v>12000</v>
      </c>
      <c r="AH790" s="268" t="str">
        <f t="shared" si="1164"/>
        <v/>
      </c>
      <c r="AI790" s="268" t="str">
        <f t="shared" si="1165"/>
        <v/>
      </c>
      <c r="AJ790" s="268" t="str">
        <f t="shared" si="1166"/>
        <v/>
      </c>
      <c r="AK790" s="268" t="str">
        <f t="shared" si="1167"/>
        <v/>
      </c>
      <c r="AL790" s="268" t="str">
        <f t="shared" si="1168"/>
        <v/>
      </c>
      <c r="AM790" s="268" t="str">
        <f t="shared" si="1169"/>
        <v/>
      </c>
      <c r="AN790" s="268" t="str">
        <f t="shared" si="1170"/>
        <v/>
      </c>
      <c r="AO790" s="268" t="str">
        <f t="shared" si="1171"/>
        <v/>
      </c>
      <c r="AP790" s="268" t="str">
        <f t="shared" si="1172"/>
        <v/>
      </c>
      <c r="AQ790" s="268" t="str">
        <f t="shared" si="1173"/>
        <v/>
      </c>
      <c r="AR790" s="268" t="str">
        <f t="shared" si="1174"/>
        <v/>
      </c>
      <c r="AS790" s="268" t="str">
        <f t="shared" si="1175"/>
        <v/>
      </c>
      <c r="AT790" s="268" t="str">
        <f t="shared" si="1176"/>
        <v/>
      </c>
      <c r="AU790" s="268" t="str">
        <f t="shared" si="1177"/>
        <v/>
      </c>
      <c r="AV790" s="268" t="str">
        <f t="shared" si="1178"/>
        <v/>
      </c>
      <c r="AW790" s="268" t="str">
        <f t="shared" si="1179"/>
        <v/>
      </c>
      <c r="AX790" s="268" t="str">
        <f t="shared" si="1180"/>
        <v/>
      </c>
      <c r="AY790" s="268" t="str">
        <f t="shared" si="1181"/>
        <v/>
      </c>
      <c r="AZ790" s="268" t="str">
        <f t="shared" si="1182"/>
        <v/>
      </c>
      <c r="BA790" s="268" t="str">
        <f t="shared" si="1183"/>
        <v/>
      </c>
      <c r="BB790" s="268" t="str">
        <f t="shared" si="1184"/>
        <v/>
      </c>
      <c r="BC790" s="268" t="str">
        <f t="shared" si="1185"/>
        <v/>
      </c>
      <c r="BD790" s="268" t="str">
        <f t="shared" si="1186"/>
        <v/>
      </c>
      <c r="BE790" s="268" t="str">
        <f t="shared" si="1187"/>
        <v/>
      </c>
      <c r="BF790" s="268" t="str">
        <f t="shared" si="1188"/>
        <v/>
      </c>
      <c r="BG790" s="268" t="str">
        <f t="shared" si="1189"/>
        <v/>
      </c>
      <c r="BH790" s="268" t="str">
        <f t="shared" si="1190"/>
        <v/>
      </c>
      <c r="BI790" s="268" t="str">
        <f t="shared" si="1191"/>
        <v/>
      </c>
      <c r="BJ790" s="268" t="str">
        <f t="shared" si="1192"/>
        <v/>
      </c>
      <c r="BK790" s="268" t="str">
        <f t="shared" ref="BK790:BS790" si="1249">IF(OR($E790="",BK$1=""),"",IF(TRIM(LEFT($E790,MIN(IFERROR(FIND("CDU",UPPER($E790)),999),IFERROR(FIND("BULK",UPPER($E790)),999),IFERROR(FIND("-",$E790),999),IFERROR(FIND("（",$E790),999))-1))=BK$1,$F790,""))</f>
        <v/>
      </c>
      <c r="BL790" s="268" t="str">
        <f t="shared" si="1249"/>
        <v/>
      </c>
      <c r="BM790" s="268" t="str">
        <f t="shared" si="1249"/>
        <v/>
      </c>
      <c r="BN790" s="268" t="str">
        <f t="shared" si="1249"/>
        <v/>
      </c>
      <c r="BO790" s="268" t="str">
        <f t="shared" si="1249"/>
        <v/>
      </c>
      <c r="BP790" s="268" t="str">
        <f t="shared" si="1249"/>
        <v/>
      </c>
      <c r="BQ790" s="268" t="str">
        <f t="shared" si="1249"/>
        <v/>
      </c>
      <c r="BR790" s="268" t="str">
        <f t="shared" si="1249"/>
        <v/>
      </c>
      <c r="BS790" s="268" t="str">
        <f t="shared" si="1249"/>
        <v/>
      </c>
      <c r="BT790" s="268" t="str">
        <f t="shared" si="1194"/>
        <v/>
      </c>
      <c r="BU790" s="268" t="str">
        <f t="shared" si="1195"/>
        <v/>
      </c>
      <c r="BV790" s="247">
        <v>2.02</v>
      </c>
      <c r="BW790" s="729">
        <f t="shared" si="1231"/>
        <v>24240</v>
      </c>
      <c r="BX790" s="730">
        <f t="shared" si="1232"/>
        <v>187860</v>
      </c>
      <c r="BY790" s="731" t="str">
        <f t="shared" si="1233"/>
        <v>SR</v>
      </c>
    </row>
    <row r="791" s="698" customFormat="1" customHeight="1" spans="1:77">
      <c r="A791" s="208">
        <v>46142</v>
      </c>
      <c r="B791" s="208">
        <v>46254</v>
      </c>
      <c r="C791" s="268" t="s">
        <v>810</v>
      </c>
      <c r="D791" s="268" t="s">
        <v>811</v>
      </c>
      <c r="E791" s="268" t="s">
        <v>68</v>
      </c>
      <c r="F791" s="343">
        <v>5000</v>
      </c>
      <c r="G791" s="268" t="s">
        <v>334</v>
      </c>
      <c r="H791" s="211" t="str">
        <f>IFERROR(VLOOKUP(E791,名称!A:E,4,0),"")</f>
        <v>三代</v>
      </c>
      <c r="I791" s="268" t="str">
        <f t="shared" si="1139"/>
        <v/>
      </c>
      <c r="J791" s="268" t="str">
        <f t="shared" si="1140"/>
        <v/>
      </c>
      <c r="K791" s="268" t="str">
        <f t="shared" si="1141"/>
        <v/>
      </c>
      <c r="L791" s="268" t="str">
        <f t="shared" si="1142"/>
        <v/>
      </c>
      <c r="M791" s="268" t="str">
        <f t="shared" si="1143"/>
        <v/>
      </c>
      <c r="N791" s="268" t="str">
        <f t="shared" si="1144"/>
        <v/>
      </c>
      <c r="O791" s="268" t="str">
        <f t="shared" si="1145"/>
        <v/>
      </c>
      <c r="P791" s="268" t="str">
        <f t="shared" si="1146"/>
        <v/>
      </c>
      <c r="Q791" s="268" t="str">
        <f t="shared" si="1147"/>
        <v/>
      </c>
      <c r="R791" s="268" t="str">
        <f t="shared" si="1148"/>
        <v/>
      </c>
      <c r="S791" s="268" t="str">
        <f t="shared" si="1149"/>
        <v/>
      </c>
      <c r="T791" s="268" t="str">
        <f t="shared" si="1150"/>
        <v/>
      </c>
      <c r="U791" s="268" t="str">
        <f t="shared" si="1151"/>
        <v/>
      </c>
      <c r="V791" s="268" t="str">
        <f t="shared" si="1152"/>
        <v/>
      </c>
      <c r="W791" s="268" t="str">
        <f t="shared" si="1153"/>
        <v/>
      </c>
      <c r="X791" s="268" t="str">
        <f t="shared" si="1154"/>
        <v/>
      </c>
      <c r="Y791" s="268" t="str">
        <f t="shared" si="1155"/>
        <v/>
      </c>
      <c r="Z791" s="268" t="str">
        <f t="shared" si="1156"/>
        <v/>
      </c>
      <c r="AA791" s="268" t="str">
        <f t="shared" si="1157"/>
        <v/>
      </c>
      <c r="AB791" s="268" t="str">
        <f t="shared" si="1158"/>
        <v/>
      </c>
      <c r="AC791" s="268" t="str">
        <f t="shared" si="1159"/>
        <v/>
      </c>
      <c r="AD791" s="268" t="str">
        <f t="shared" si="1160"/>
        <v/>
      </c>
      <c r="AE791" s="268" t="str">
        <f t="shared" si="1161"/>
        <v/>
      </c>
      <c r="AF791" s="268" t="str">
        <f t="shared" si="1162"/>
        <v/>
      </c>
      <c r="AG791" s="268" t="str">
        <f t="shared" si="1163"/>
        <v/>
      </c>
      <c r="AH791" s="268">
        <f t="shared" si="1164"/>
        <v>5000</v>
      </c>
      <c r="AI791" s="268" t="str">
        <f t="shared" si="1165"/>
        <v/>
      </c>
      <c r="AJ791" s="268" t="str">
        <f t="shared" si="1166"/>
        <v/>
      </c>
      <c r="AK791" s="268" t="str">
        <f t="shared" si="1167"/>
        <v/>
      </c>
      <c r="AL791" s="268" t="str">
        <f t="shared" si="1168"/>
        <v/>
      </c>
      <c r="AM791" s="268" t="str">
        <f t="shared" si="1169"/>
        <v/>
      </c>
      <c r="AN791" s="268" t="str">
        <f t="shared" si="1170"/>
        <v/>
      </c>
      <c r="AO791" s="268" t="str">
        <f t="shared" si="1171"/>
        <v/>
      </c>
      <c r="AP791" s="268" t="str">
        <f t="shared" si="1172"/>
        <v/>
      </c>
      <c r="AQ791" s="268" t="str">
        <f t="shared" si="1173"/>
        <v/>
      </c>
      <c r="AR791" s="268" t="str">
        <f t="shared" si="1174"/>
        <v/>
      </c>
      <c r="AS791" s="268" t="str">
        <f t="shared" si="1175"/>
        <v/>
      </c>
      <c r="AT791" s="268" t="str">
        <f t="shared" si="1176"/>
        <v/>
      </c>
      <c r="AU791" s="268" t="str">
        <f t="shared" si="1177"/>
        <v/>
      </c>
      <c r="AV791" s="268" t="str">
        <f t="shared" si="1178"/>
        <v/>
      </c>
      <c r="AW791" s="268" t="str">
        <f t="shared" si="1179"/>
        <v/>
      </c>
      <c r="AX791" s="268" t="str">
        <f t="shared" si="1180"/>
        <v/>
      </c>
      <c r="AY791" s="268" t="str">
        <f t="shared" si="1181"/>
        <v/>
      </c>
      <c r="AZ791" s="268" t="str">
        <f t="shared" si="1182"/>
        <v/>
      </c>
      <c r="BA791" s="268" t="str">
        <f t="shared" si="1183"/>
        <v/>
      </c>
      <c r="BB791" s="268" t="str">
        <f t="shared" si="1184"/>
        <v/>
      </c>
      <c r="BC791" s="268" t="str">
        <f t="shared" si="1185"/>
        <v/>
      </c>
      <c r="BD791" s="268" t="str">
        <f t="shared" si="1186"/>
        <v/>
      </c>
      <c r="BE791" s="268" t="str">
        <f t="shared" si="1187"/>
        <v/>
      </c>
      <c r="BF791" s="268" t="str">
        <f t="shared" si="1188"/>
        <v/>
      </c>
      <c r="BG791" s="268" t="str">
        <f t="shared" si="1189"/>
        <v/>
      </c>
      <c r="BH791" s="268" t="str">
        <f t="shared" si="1190"/>
        <v/>
      </c>
      <c r="BI791" s="268" t="str">
        <f t="shared" si="1191"/>
        <v/>
      </c>
      <c r="BJ791" s="268" t="str">
        <f t="shared" si="1192"/>
        <v/>
      </c>
      <c r="BK791" s="268" t="str">
        <f t="shared" ref="BK791:BS791" si="1250">IF(OR($E791="",BK$1=""),"",IF(TRIM(LEFT($E791,MIN(IFERROR(FIND("CDU",UPPER($E791)),999),IFERROR(FIND("BULK",UPPER($E791)),999),IFERROR(FIND("-",$E791),999),IFERROR(FIND("（",$E791),999))-1))=BK$1,$F791,""))</f>
        <v/>
      </c>
      <c r="BL791" s="268" t="str">
        <f t="shared" si="1250"/>
        <v/>
      </c>
      <c r="BM791" s="268" t="str">
        <f t="shared" si="1250"/>
        <v/>
      </c>
      <c r="BN791" s="268" t="str">
        <f t="shared" si="1250"/>
        <v/>
      </c>
      <c r="BO791" s="268" t="str">
        <f t="shared" si="1250"/>
        <v/>
      </c>
      <c r="BP791" s="268" t="str">
        <f t="shared" si="1250"/>
        <v/>
      </c>
      <c r="BQ791" s="268" t="str">
        <f t="shared" si="1250"/>
        <v/>
      </c>
      <c r="BR791" s="268" t="str">
        <f t="shared" si="1250"/>
        <v/>
      </c>
      <c r="BS791" s="268" t="str">
        <f t="shared" si="1250"/>
        <v/>
      </c>
      <c r="BT791" s="268" t="str">
        <f t="shared" si="1194"/>
        <v/>
      </c>
      <c r="BU791" s="268" t="str">
        <f t="shared" si="1195"/>
        <v/>
      </c>
      <c r="BV791" s="247">
        <v>3.09</v>
      </c>
      <c r="BW791" s="729">
        <f t="shared" si="1231"/>
        <v>15450</v>
      </c>
      <c r="BX791" s="730">
        <f t="shared" si="1232"/>
        <v>119737.5</v>
      </c>
      <c r="BY791" s="731" t="str">
        <f t="shared" si="1233"/>
        <v>SR</v>
      </c>
    </row>
    <row r="792" s="698" customFormat="1" customHeight="1" spans="1:77">
      <c r="A792" s="208">
        <v>46142</v>
      </c>
      <c r="B792" s="208">
        <v>46254</v>
      </c>
      <c r="C792" s="268" t="s">
        <v>810</v>
      </c>
      <c r="D792" s="268" t="s">
        <v>811</v>
      </c>
      <c r="E792" s="268" t="s">
        <v>119</v>
      </c>
      <c r="F792" s="343">
        <v>12000</v>
      </c>
      <c r="G792" s="268" t="s">
        <v>334</v>
      </c>
      <c r="H792" s="211" t="str">
        <f>IFERROR(VLOOKUP(E792,名称!A:E,4,0),"")</f>
        <v>三代</v>
      </c>
      <c r="I792" s="268" t="str">
        <f t="shared" si="1139"/>
        <v/>
      </c>
      <c r="J792" s="268" t="str">
        <f t="shared" si="1140"/>
        <v/>
      </c>
      <c r="K792" s="268" t="str">
        <f t="shared" si="1141"/>
        <v/>
      </c>
      <c r="L792" s="268" t="str">
        <f t="shared" si="1142"/>
        <v/>
      </c>
      <c r="M792" s="268" t="str">
        <f t="shared" si="1143"/>
        <v/>
      </c>
      <c r="N792" s="268" t="str">
        <f t="shared" si="1144"/>
        <v/>
      </c>
      <c r="O792" s="268" t="str">
        <f t="shared" si="1145"/>
        <v/>
      </c>
      <c r="P792" s="268" t="str">
        <f t="shared" si="1146"/>
        <v/>
      </c>
      <c r="Q792" s="268" t="str">
        <f t="shared" si="1147"/>
        <v/>
      </c>
      <c r="R792" s="268" t="str">
        <f t="shared" si="1148"/>
        <v/>
      </c>
      <c r="S792" s="268" t="str">
        <f t="shared" si="1149"/>
        <v/>
      </c>
      <c r="T792" s="268" t="str">
        <f t="shared" si="1150"/>
        <v/>
      </c>
      <c r="U792" s="268" t="str">
        <f t="shared" si="1151"/>
        <v/>
      </c>
      <c r="V792" s="268" t="str">
        <f t="shared" si="1152"/>
        <v/>
      </c>
      <c r="W792" s="268" t="str">
        <f t="shared" si="1153"/>
        <v/>
      </c>
      <c r="X792" s="268" t="str">
        <f t="shared" si="1154"/>
        <v/>
      </c>
      <c r="Y792" s="268" t="str">
        <f t="shared" si="1155"/>
        <v/>
      </c>
      <c r="Z792" s="268" t="str">
        <f t="shared" si="1156"/>
        <v/>
      </c>
      <c r="AA792" s="268" t="str">
        <f t="shared" si="1157"/>
        <v/>
      </c>
      <c r="AB792" s="268" t="str">
        <f t="shared" si="1158"/>
        <v/>
      </c>
      <c r="AC792" s="268" t="str">
        <f t="shared" si="1159"/>
        <v/>
      </c>
      <c r="AD792" s="268" t="str">
        <f t="shared" si="1160"/>
        <v/>
      </c>
      <c r="AE792" s="268" t="str">
        <f t="shared" si="1161"/>
        <v/>
      </c>
      <c r="AF792" s="268" t="str">
        <f t="shared" si="1162"/>
        <v/>
      </c>
      <c r="AG792" s="268" t="str">
        <f t="shared" si="1163"/>
        <v/>
      </c>
      <c r="AH792" s="268" t="str">
        <f t="shared" si="1164"/>
        <v/>
      </c>
      <c r="AI792" s="268" t="str">
        <f t="shared" si="1165"/>
        <v/>
      </c>
      <c r="AJ792" s="268" t="str">
        <f t="shared" si="1166"/>
        <v/>
      </c>
      <c r="AK792" s="268" t="str">
        <f t="shared" si="1167"/>
        <v/>
      </c>
      <c r="AL792" s="268" t="str">
        <f t="shared" si="1168"/>
        <v/>
      </c>
      <c r="AM792" s="268" t="str">
        <f t="shared" si="1169"/>
        <v/>
      </c>
      <c r="AN792" s="268" t="str">
        <f t="shared" si="1170"/>
        <v/>
      </c>
      <c r="AO792" s="268" t="str">
        <f t="shared" si="1171"/>
        <v/>
      </c>
      <c r="AP792" s="268">
        <f t="shared" si="1172"/>
        <v>12000</v>
      </c>
      <c r="AQ792" s="268" t="str">
        <f t="shared" si="1173"/>
        <v/>
      </c>
      <c r="AR792" s="268" t="str">
        <f t="shared" si="1174"/>
        <v/>
      </c>
      <c r="AS792" s="268" t="str">
        <f t="shared" si="1175"/>
        <v/>
      </c>
      <c r="AT792" s="268" t="str">
        <f t="shared" si="1176"/>
        <v/>
      </c>
      <c r="AU792" s="268" t="str">
        <f t="shared" si="1177"/>
        <v/>
      </c>
      <c r="AV792" s="268" t="str">
        <f t="shared" si="1178"/>
        <v/>
      </c>
      <c r="AW792" s="268" t="str">
        <f t="shared" si="1179"/>
        <v/>
      </c>
      <c r="AX792" s="268" t="str">
        <f t="shared" si="1180"/>
        <v/>
      </c>
      <c r="AY792" s="268" t="str">
        <f t="shared" si="1181"/>
        <v/>
      </c>
      <c r="AZ792" s="268" t="str">
        <f t="shared" si="1182"/>
        <v/>
      </c>
      <c r="BA792" s="268" t="str">
        <f t="shared" si="1183"/>
        <v/>
      </c>
      <c r="BB792" s="268" t="str">
        <f t="shared" si="1184"/>
        <v/>
      </c>
      <c r="BC792" s="268" t="str">
        <f t="shared" si="1185"/>
        <v/>
      </c>
      <c r="BD792" s="268" t="str">
        <f t="shared" si="1186"/>
        <v/>
      </c>
      <c r="BE792" s="268" t="str">
        <f t="shared" si="1187"/>
        <v/>
      </c>
      <c r="BF792" s="268" t="str">
        <f t="shared" si="1188"/>
        <v/>
      </c>
      <c r="BG792" s="268" t="str">
        <f t="shared" si="1189"/>
        <v/>
      </c>
      <c r="BH792" s="268" t="str">
        <f t="shared" si="1190"/>
        <v/>
      </c>
      <c r="BI792" s="268" t="str">
        <f t="shared" si="1191"/>
        <v/>
      </c>
      <c r="BJ792" s="268" t="str">
        <f t="shared" si="1192"/>
        <v/>
      </c>
      <c r="BK792" s="268" t="str">
        <f t="shared" ref="BK792:BS792" si="1251">IF(OR($E792="",BK$1=""),"",IF(TRIM(LEFT($E792,MIN(IFERROR(FIND("CDU",UPPER($E792)),999),IFERROR(FIND("BULK",UPPER($E792)),999),IFERROR(FIND("-",$E792),999),IFERROR(FIND("（",$E792),999))-1))=BK$1,$F792,""))</f>
        <v/>
      </c>
      <c r="BL792" s="268" t="str">
        <f t="shared" si="1251"/>
        <v/>
      </c>
      <c r="BM792" s="268" t="str">
        <f t="shared" si="1251"/>
        <v/>
      </c>
      <c r="BN792" s="268" t="str">
        <f t="shared" si="1251"/>
        <v/>
      </c>
      <c r="BO792" s="268" t="str">
        <f t="shared" si="1251"/>
        <v/>
      </c>
      <c r="BP792" s="268" t="str">
        <f t="shared" si="1251"/>
        <v/>
      </c>
      <c r="BQ792" s="268" t="str">
        <f t="shared" si="1251"/>
        <v/>
      </c>
      <c r="BR792" s="268" t="str">
        <f t="shared" si="1251"/>
        <v/>
      </c>
      <c r="BS792" s="268" t="str">
        <f t="shared" si="1251"/>
        <v/>
      </c>
      <c r="BT792" s="268" t="str">
        <f t="shared" si="1194"/>
        <v/>
      </c>
      <c r="BU792" s="268" t="str">
        <f t="shared" si="1195"/>
        <v/>
      </c>
      <c r="BV792" s="247">
        <v>0.61</v>
      </c>
      <c r="BW792" s="729">
        <f t="shared" si="1231"/>
        <v>7320</v>
      </c>
      <c r="BX792" s="730">
        <f t="shared" si="1232"/>
        <v>56730</v>
      </c>
      <c r="BY792" s="731" t="str">
        <f t="shared" si="1233"/>
        <v>SR</v>
      </c>
    </row>
    <row r="793" s="698" customFormat="1" customHeight="1" spans="1:77">
      <c r="A793" s="208">
        <v>46142</v>
      </c>
      <c r="B793" s="208">
        <v>46254</v>
      </c>
      <c r="C793" s="268" t="s">
        <v>810</v>
      </c>
      <c r="D793" s="268" t="s">
        <v>811</v>
      </c>
      <c r="E793" s="268" t="s">
        <v>104</v>
      </c>
      <c r="F793" s="343">
        <v>6000</v>
      </c>
      <c r="G793" s="268" t="s">
        <v>334</v>
      </c>
      <c r="H793" s="211" t="str">
        <f>IFERROR(VLOOKUP(E793,名称!A:E,4,0),"")</f>
        <v>三代</v>
      </c>
      <c r="I793" s="268" t="str">
        <f t="shared" si="1139"/>
        <v/>
      </c>
      <c r="J793" s="268" t="str">
        <f t="shared" si="1140"/>
        <v/>
      </c>
      <c r="K793" s="268" t="str">
        <f t="shared" si="1141"/>
        <v/>
      </c>
      <c r="L793" s="268" t="str">
        <f t="shared" si="1142"/>
        <v/>
      </c>
      <c r="M793" s="268" t="str">
        <f t="shared" si="1143"/>
        <v/>
      </c>
      <c r="N793" s="268" t="str">
        <f t="shared" si="1144"/>
        <v/>
      </c>
      <c r="O793" s="268" t="str">
        <f t="shared" si="1145"/>
        <v/>
      </c>
      <c r="P793" s="268" t="str">
        <f t="shared" si="1146"/>
        <v/>
      </c>
      <c r="Q793" s="268" t="str">
        <f t="shared" si="1147"/>
        <v/>
      </c>
      <c r="R793" s="268" t="str">
        <f t="shared" si="1148"/>
        <v/>
      </c>
      <c r="S793" s="268" t="str">
        <f t="shared" si="1149"/>
        <v/>
      </c>
      <c r="T793" s="268" t="str">
        <f t="shared" si="1150"/>
        <v/>
      </c>
      <c r="U793" s="268" t="str">
        <f t="shared" si="1151"/>
        <v/>
      </c>
      <c r="V793" s="268" t="str">
        <f t="shared" si="1152"/>
        <v/>
      </c>
      <c r="W793" s="268" t="str">
        <f t="shared" si="1153"/>
        <v/>
      </c>
      <c r="X793" s="268" t="str">
        <f t="shared" si="1154"/>
        <v/>
      </c>
      <c r="Y793" s="268" t="str">
        <f t="shared" si="1155"/>
        <v/>
      </c>
      <c r="Z793" s="268" t="str">
        <f t="shared" si="1156"/>
        <v/>
      </c>
      <c r="AA793" s="268" t="str">
        <f t="shared" si="1157"/>
        <v/>
      </c>
      <c r="AB793" s="268" t="str">
        <f t="shared" si="1158"/>
        <v/>
      </c>
      <c r="AC793" s="268" t="str">
        <f t="shared" si="1159"/>
        <v/>
      </c>
      <c r="AD793" s="268" t="str">
        <f t="shared" si="1160"/>
        <v/>
      </c>
      <c r="AE793" s="268" t="str">
        <f t="shared" si="1161"/>
        <v/>
      </c>
      <c r="AF793" s="268" t="str">
        <f t="shared" si="1162"/>
        <v/>
      </c>
      <c r="AG793" s="268" t="str">
        <f t="shared" si="1163"/>
        <v/>
      </c>
      <c r="AH793" s="268" t="str">
        <f t="shared" si="1164"/>
        <v/>
      </c>
      <c r="AI793" s="268" t="str">
        <f t="shared" si="1165"/>
        <v/>
      </c>
      <c r="AJ793" s="268" t="str">
        <f t="shared" si="1166"/>
        <v/>
      </c>
      <c r="AK793" s="268" t="str">
        <f t="shared" si="1167"/>
        <v/>
      </c>
      <c r="AL793" s="268" t="str">
        <f t="shared" si="1168"/>
        <v/>
      </c>
      <c r="AM793" s="268" t="str">
        <f t="shared" si="1169"/>
        <v/>
      </c>
      <c r="AN793" s="268" t="str">
        <f t="shared" si="1170"/>
        <v/>
      </c>
      <c r="AO793" s="268" t="str">
        <f t="shared" si="1171"/>
        <v/>
      </c>
      <c r="AP793" s="268" t="str">
        <f t="shared" si="1172"/>
        <v/>
      </c>
      <c r="AQ793" s="268" t="str">
        <f t="shared" si="1173"/>
        <v/>
      </c>
      <c r="AR793" s="268">
        <f t="shared" si="1174"/>
        <v>6000</v>
      </c>
      <c r="AS793" s="268" t="str">
        <f t="shared" si="1175"/>
        <v/>
      </c>
      <c r="AT793" s="268" t="str">
        <f t="shared" si="1176"/>
        <v/>
      </c>
      <c r="AU793" s="268" t="str">
        <f t="shared" si="1177"/>
        <v/>
      </c>
      <c r="AV793" s="268" t="str">
        <f t="shared" si="1178"/>
        <v/>
      </c>
      <c r="AW793" s="268" t="str">
        <f t="shared" si="1179"/>
        <v/>
      </c>
      <c r="AX793" s="268" t="str">
        <f t="shared" si="1180"/>
        <v/>
      </c>
      <c r="AY793" s="268" t="str">
        <f t="shared" si="1181"/>
        <v/>
      </c>
      <c r="AZ793" s="268" t="str">
        <f t="shared" si="1182"/>
        <v/>
      </c>
      <c r="BA793" s="268" t="str">
        <f t="shared" si="1183"/>
        <v/>
      </c>
      <c r="BB793" s="268" t="str">
        <f t="shared" si="1184"/>
        <v/>
      </c>
      <c r="BC793" s="268" t="str">
        <f t="shared" si="1185"/>
        <v/>
      </c>
      <c r="BD793" s="268" t="str">
        <f t="shared" si="1186"/>
        <v/>
      </c>
      <c r="BE793" s="268" t="str">
        <f t="shared" si="1187"/>
        <v/>
      </c>
      <c r="BF793" s="268" t="str">
        <f t="shared" si="1188"/>
        <v/>
      </c>
      <c r="BG793" s="268" t="str">
        <f t="shared" si="1189"/>
        <v/>
      </c>
      <c r="BH793" s="268" t="str">
        <f t="shared" si="1190"/>
        <v/>
      </c>
      <c r="BI793" s="268" t="str">
        <f t="shared" si="1191"/>
        <v/>
      </c>
      <c r="BJ793" s="268" t="str">
        <f t="shared" si="1192"/>
        <v/>
      </c>
      <c r="BK793" s="268" t="str">
        <f t="shared" ref="BK793:BS793" si="1252">IF(OR($E793="",BK$1=""),"",IF(TRIM(LEFT($E793,MIN(IFERROR(FIND("CDU",UPPER($E793)),999),IFERROR(FIND("BULK",UPPER($E793)),999),IFERROR(FIND("-",$E793),999),IFERROR(FIND("（",$E793),999))-1))=BK$1,$F793,""))</f>
        <v/>
      </c>
      <c r="BL793" s="268" t="str">
        <f t="shared" si="1252"/>
        <v/>
      </c>
      <c r="BM793" s="268" t="str">
        <f t="shared" si="1252"/>
        <v/>
      </c>
      <c r="BN793" s="268" t="str">
        <f t="shared" si="1252"/>
        <v/>
      </c>
      <c r="BO793" s="268" t="str">
        <f t="shared" si="1252"/>
        <v/>
      </c>
      <c r="BP793" s="268" t="str">
        <f t="shared" si="1252"/>
        <v/>
      </c>
      <c r="BQ793" s="268" t="str">
        <f t="shared" si="1252"/>
        <v/>
      </c>
      <c r="BR793" s="268" t="str">
        <f t="shared" si="1252"/>
        <v/>
      </c>
      <c r="BS793" s="268" t="str">
        <f t="shared" si="1252"/>
        <v/>
      </c>
      <c r="BT793" s="268" t="str">
        <f t="shared" si="1194"/>
        <v/>
      </c>
      <c r="BU793" s="268" t="str">
        <f t="shared" si="1195"/>
        <v/>
      </c>
      <c r="BV793" s="247">
        <v>1.56</v>
      </c>
      <c r="BW793" s="729">
        <f t="shared" si="1231"/>
        <v>9360</v>
      </c>
      <c r="BX793" s="730">
        <f t="shared" si="1232"/>
        <v>72540</v>
      </c>
      <c r="BY793" s="731" t="str">
        <f t="shared" si="1233"/>
        <v>SR</v>
      </c>
    </row>
    <row r="794" s="698" customFormat="1" customHeight="1" spans="1:77">
      <c r="A794" s="208">
        <v>46142</v>
      </c>
      <c r="B794" s="208">
        <v>46222</v>
      </c>
      <c r="C794" s="268" t="s">
        <v>813</v>
      </c>
      <c r="D794" s="268" t="s">
        <v>814</v>
      </c>
      <c r="E794" s="268" t="s">
        <v>50</v>
      </c>
      <c r="F794" s="343">
        <v>2610</v>
      </c>
      <c r="G794" s="268" t="s">
        <v>510</v>
      </c>
      <c r="H794" s="211" t="str">
        <f>IFERROR(VLOOKUP(E794,名称!A:E,4,0),"")</f>
        <v>蛋糕</v>
      </c>
      <c r="I794" s="268" t="str">
        <f t="shared" si="1139"/>
        <v/>
      </c>
      <c r="J794" s="268" t="str">
        <f t="shared" si="1140"/>
        <v/>
      </c>
      <c r="K794" s="268" t="str">
        <f t="shared" si="1141"/>
        <v/>
      </c>
      <c r="L794" s="268" t="str">
        <f t="shared" si="1142"/>
        <v/>
      </c>
      <c r="M794" s="268" t="str">
        <f t="shared" si="1143"/>
        <v/>
      </c>
      <c r="N794" s="268" t="str">
        <f t="shared" si="1144"/>
        <v/>
      </c>
      <c r="O794" s="268" t="str">
        <f t="shared" si="1145"/>
        <v/>
      </c>
      <c r="P794" s="268" t="str">
        <f t="shared" si="1146"/>
        <v/>
      </c>
      <c r="Q794" s="268" t="str">
        <f t="shared" si="1147"/>
        <v/>
      </c>
      <c r="R794" s="268" t="str">
        <f t="shared" si="1148"/>
        <v/>
      </c>
      <c r="S794" s="268" t="str">
        <f t="shared" si="1149"/>
        <v/>
      </c>
      <c r="T794" s="268" t="str">
        <f t="shared" si="1150"/>
        <v/>
      </c>
      <c r="U794" s="268" t="str">
        <f t="shared" si="1151"/>
        <v/>
      </c>
      <c r="V794" s="268" t="str">
        <f t="shared" si="1152"/>
        <v/>
      </c>
      <c r="W794" s="268" t="str">
        <f t="shared" si="1153"/>
        <v/>
      </c>
      <c r="X794" s="268" t="str">
        <f t="shared" si="1154"/>
        <v/>
      </c>
      <c r="Y794" s="268" t="str">
        <f t="shared" si="1155"/>
        <v/>
      </c>
      <c r="Z794" s="268" t="str">
        <f t="shared" si="1156"/>
        <v/>
      </c>
      <c r="AA794" s="268" t="str">
        <f t="shared" si="1157"/>
        <v/>
      </c>
      <c r="AB794" s="268" t="str">
        <f t="shared" si="1158"/>
        <v/>
      </c>
      <c r="AC794" s="268" t="str">
        <f t="shared" si="1159"/>
        <v/>
      </c>
      <c r="AD794" s="268" t="str">
        <f t="shared" si="1160"/>
        <v/>
      </c>
      <c r="AE794" s="268" t="str">
        <f t="shared" si="1161"/>
        <v/>
      </c>
      <c r="AF794" s="268" t="str">
        <f t="shared" si="1162"/>
        <v/>
      </c>
      <c r="AG794" s="268" t="str">
        <f t="shared" si="1163"/>
        <v/>
      </c>
      <c r="AH794" s="268" t="str">
        <f t="shared" si="1164"/>
        <v/>
      </c>
      <c r="AI794" s="268" t="str">
        <f t="shared" si="1165"/>
        <v/>
      </c>
      <c r="AJ794" s="268" t="str">
        <f t="shared" si="1166"/>
        <v/>
      </c>
      <c r="AK794" s="268" t="str">
        <f t="shared" si="1167"/>
        <v/>
      </c>
      <c r="AL794" s="268" t="str">
        <f t="shared" si="1168"/>
        <v/>
      </c>
      <c r="AM794" s="268" t="str">
        <f t="shared" si="1169"/>
        <v/>
      </c>
      <c r="AN794" s="268" t="str">
        <f t="shared" si="1170"/>
        <v/>
      </c>
      <c r="AO794" s="268" t="str">
        <f t="shared" si="1171"/>
        <v/>
      </c>
      <c r="AP794" s="268" t="str">
        <f t="shared" si="1172"/>
        <v/>
      </c>
      <c r="AQ794" s="268" t="str">
        <f t="shared" si="1173"/>
        <v/>
      </c>
      <c r="AR794" s="268" t="str">
        <f t="shared" si="1174"/>
        <v/>
      </c>
      <c r="AS794" s="268" t="str">
        <f t="shared" si="1175"/>
        <v/>
      </c>
      <c r="AT794" s="268" t="str">
        <f t="shared" si="1176"/>
        <v/>
      </c>
      <c r="AU794" s="268" t="str">
        <f t="shared" si="1177"/>
        <v/>
      </c>
      <c r="AV794" s="268" t="str">
        <f t="shared" si="1178"/>
        <v/>
      </c>
      <c r="AW794" s="268" t="str">
        <f t="shared" si="1179"/>
        <v/>
      </c>
      <c r="AX794" s="268" t="str">
        <f t="shared" si="1180"/>
        <v/>
      </c>
      <c r="AY794" s="268" t="str">
        <f t="shared" si="1181"/>
        <v/>
      </c>
      <c r="AZ794" s="268" t="str">
        <f t="shared" si="1182"/>
        <v/>
      </c>
      <c r="BA794" s="268" t="str">
        <f t="shared" si="1183"/>
        <v/>
      </c>
      <c r="BB794" s="268" t="str">
        <f t="shared" si="1184"/>
        <v/>
      </c>
      <c r="BC794" s="268" t="str">
        <f t="shared" si="1185"/>
        <v/>
      </c>
      <c r="BD794" s="268" t="str">
        <f t="shared" si="1186"/>
        <v/>
      </c>
      <c r="BE794" s="268" t="str">
        <f t="shared" si="1187"/>
        <v/>
      </c>
      <c r="BF794" s="268" t="str">
        <f t="shared" si="1188"/>
        <v/>
      </c>
      <c r="BG794" s="268">
        <f t="shared" si="1189"/>
        <v>2610</v>
      </c>
      <c r="BH794" s="268" t="str">
        <f t="shared" si="1190"/>
        <v/>
      </c>
      <c r="BI794" s="268" t="str">
        <f t="shared" si="1191"/>
        <v/>
      </c>
      <c r="BJ794" s="268" t="str">
        <f t="shared" si="1192"/>
        <v/>
      </c>
      <c r="BK794" s="268" t="str">
        <f t="shared" ref="BK794:BS794" si="1253">IF(OR($E794="",BK$1=""),"",IF(TRIM(LEFT($E794,MIN(IFERROR(FIND("CDU",UPPER($E794)),999),IFERROR(FIND("BULK",UPPER($E794)),999),IFERROR(FIND("-",$E794),999),IFERROR(FIND("（",$E794),999))-1))=BK$1,$F794,""))</f>
        <v/>
      </c>
      <c r="BL794" s="268" t="str">
        <f t="shared" si="1253"/>
        <v/>
      </c>
      <c r="BM794" s="268" t="str">
        <f t="shared" si="1253"/>
        <v/>
      </c>
      <c r="BN794" s="268" t="str">
        <f t="shared" si="1253"/>
        <v/>
      </c>
      <c r="BO794" s="268" t="str">
        <f t="shared" si="1253"/>
        <v/>
      </c>
      <c r="BP794" s="268" t="str">
        <f t="shared" si="1253"/>
        <v/>
      </c>
      <c r="BQ794" s="268" t="str">
        <f t="shared" si="1253"/>
        <v/>
      </c>
      <c r="BR794" s="268" t="str">
        <f t="shared" si="1253"/>
        <v/>
      </c>
      <c r="BS794" s="268" t="str">
        <f t="shared" si="1253"/>
        <v/>
      </c>
      <c r="BT794" s="268" t="str">
        <f t="shared" si="1194"/>
        <v/>
      </c>
      <c r="BU794" s="268" t="str">
        <f t="shared" si="1195"/>
        <v/>
      </c>
      <c r="BV794" s="247">
        <v>1.11</v>
      </c>
      <c r="BW794" s="729">
        <f t="shared" si="1231"/>
        <v>2897.1</v>
      </c>
      <c r="BX794" s="730">
        <f t="shared" si="1232"/>
        <v>22452.53</v>
      </c>
      <c r="BY794" s="731" t="str">
        <f t="shared" si="1233"/>
        <v>JC</v>
      </c>
    </row>
    <row r="795" s="698" customFormat="1" customHeight="1" spans="1:77">
      <c r="A795" s="248">
        <v>46148</v>
      </c>
      <c r="B795" s="248">
        <v>46195</v>
      </c>
      <c r="C795" s="268" t="s">
        <v>815</v>
      </c>
      <c r="D795" s="268" t="s">
        <v>816</v>
      </c>
      <c r="E795" s="268" t="s">
        <v>121</v>
      </c>
      <c r="F795" s="343">
        <v>1080</v>
      </c>
      <c r="G795" s="268" t="s">
        <v>510</v>
      </c>
      <c r="H795" s="211" t="str">
        <f>IFERROR(VLOOKUP(E795,名称!A:E,4,0),"")</f>
        <v>三代</v>
      </c>
      <c r="I795" s="268" t="str">
        <f t="shared" si="1139"/>
        <v/>
      </c>
      <c r="J795" s="268" t="str">
        <f t="shared" si="1140"/>
        <v/>
      </c>
      <c r="K795" s="268" t="str">
        <f t="shared" si="1141"/>
        <v/>
      </c>
      <c r="L795" s="268" t="str">
        <f t="shared" si="1142"/>
        <v/>
      </c>
      <c r="M795" s="268" t="str">
        <f t="shared" si="1143"/>
        <v/>
      </c>
      <c r="N795" s="268" t="str">
        <f t="shared" si="1144"/>
        <v/>
      </c>
      <c r="O795" s="268" t="str">
        <f t="shared" si="1145"/>
        <v/>
      </c>
      <c r="P795" s="268" t="str">
        <f t="shared" si="1146"/>
        <v/>
      </c>
      <c r="Q795" s="268" t="str">
        <f t="shared" si="1147"/>
        <v/>
      </c>
      <c r="R795" s="268" t="str">
        <f t="shared" si="1148"/>
        <v/>
      </c>
      <c r="S795" s="268" t="str">
        <f t="shared" si="1149"/>
        <v/>
      </c>
      <c r="T795" s="268" t="str">
        <f t="shared" si="1150"/>
        <v/>
      </c>
      <c r="U795" s="268" t="str">
        <f t="shared" si="1151"/>
        <v/>
      </c>
      <c r="V795" s="268" t="str">
        <f t="shared" si="1152"/>
        <v/>
      </c>
      <c r="W795" s="268" t="str">
        <f t="shared" si="1153"/>
        <v/>
      </c>
      <c r="X795" s="268" t="str">
        <f t="shared" si="1154"/>
        <v/>
      </c>
      <c r="Y795" s="268" t="str">
        <f t="shared" si="1155"/>
        <v/>
      </c>
      <c r="Z795" s="268" t="str">
        <f t="shared" si="1156"/>
        <v/>
      </c>
      <c r="AA795" s="268" t="str">
        <f t="shared" si="1157"/>
        <v/>
      </c>
      <c r="AB795" s="268" t="str">
        <f t="shared" si="1158"/>
        <v/>
      </c>
      <c r="AC795" s="268">
        <f t="shared" si="1159"/>
        <v>1080</v>
      </c>
      <c r="AD795" s="268" t="str">
        <f t="shared" si="1160"/>
        <v/>
      </c>
      <c r="AE795" s="268" t="str">
        <f t="shared" si="1161"/>
        <v/>
      </c>
      <c r="AF795" s="268" t="str">
        <f t="shared" si="1162"/>
        <v/>
      </c>
      <c r="AG795" s="268" t="str">
        <f t="shared" si="1163"/>
        <v/>
      </c>
      <c r="AH795" s="268" t="str">
        <f t="shared" si="1164"/>
        <v/>
      </c>
      <c r="AI795" s="268" t="str">
        <f t="shared" si="1165"/>
        <v/>
      </c>
      <c r="AJ795" s="268" t="str">
        <f t="shared" si="1166"/>
        <v/>
      </c>
      <c r="AK795" s="268" t="str">
        <f t="shared" si="1167"/>
        <v/>
      </c>
      <c r="AL795" s="268" t="str">
        <f t="shared" si="1168"/>
        <v/>
      </c>
      <c r="AM795" s="268" t="str">
        <f t="shared" si="1169"/>
        <v/>
      </c>
      <c r="AN795" s="268" t="str">
        <f t="shared" si="1170"/>
        <v/>
      </c>
      <c r="AO795" s="268" t="str">
        <f t="shared" si="1171"/>
        <v/>
      </c>
      <c r="AP795" s="268" t="str">
        <f t="shared" si="1172"/>
        <v/>
      </c>
      <c r="AQ795" s="268" t="str">
        <f t="shared" si="1173"/>
        <v/>
      </c>
      <c r="AR795" s="268" t="str">
        <f t="shared" si="1174"/>
        <v/>
      </c>
      <c r="AS795" s="268" t="str">
        <f t="shared" si="1175"/>
        <v/>
      </c>
      <c r="AT795" s="268" t="str">
        <f t="shared" si="1176"/>
        <v/>
      </c>
      <c r="AU795" s="268" t="str">
        <f t="shared" si="1177"/>
        <v/>
      </c>
      <c r="AV795" s="268" t="str">
        <f t="shared" si="1178"/>
        <v/>
      </c>
      <c r="AW795" s="268" t="str">
        <f t="shared" si="1179"/>
        <v/>
      </c>
      <c r="AX795" s="268" t="str">
        <f t="shared" si="1180"/>
        <v/>
      </c>
      <c r="AY795" s="268" t="str">
        <f t="shared" si="1181"/>
        <v/>
      </c>
      <c r="AZ795" s="268" t="str">
        <f t="shared" si="1182"/>
        <v/>
      </c>
      <c r="BA795" s="268" t="str">
        <f t="shared" si="1183"/>
        <v/>
      </c>
      <c r="BB795" s="268" t="str">
        <f t="shared" si="1184"/>
        <v/>
      </c>
      <c r="BC795" s="268" t="str">
        <f t="shared" si="1185"/>
        <v/>
      </c>
      <c r="BD795" s="268" t="str">
        <f t="shared" si="1186"/>
        <v/>
      </c>
      <c r="BE795" s="268" t="str">
        <f t="shared" si="1187"/>
        <v/>
      </c>
      <c r="BF795" s="268" t="str">
        <f t="shared" si="1188"/>
        <v/>
      </c>
      <c r="BG795" s="268" t="str">
        <f t="shared" si="1189"/>
        <v/>
      </c>
      <c r="BH795" s="268" t="str">
        <f t="shared" si="1190"/>
        <v/>
      </c>
      <c r="BI795" s="268" t="str">
        <f t="shared" si="1191"/>
        <v/>
      </c>
      <c r="BJ795" s="268" t="str">
        <f t="shared" si="1192"/>
        <v/>
      </c>
      <c r="BK795" s="268" t="str">
        <f t="shared" ref="BK795:BS795" si="1254">IF(OR($E795="",BK$1=""),"",IF(TRIM(LEFT($E795,MIN(IFERROR(FIND("CDU",UPPER($E795)),999),IFERROR(FIND("BULK",UPPER($E795)),999),IFERROR(FIND("-",$E795),999),IFERROR(FIND("（",$E795),999))-1))=BK$1,$F795,""))</f>
        <v/>
      </c>
      <c r="BL795" s="268" t="str">
        <f t="shared" si="1254"/>
        <v/>
      </c>
      <c r="BM795" s="268" t="str">
        <f t="shared" si="1254"/>
        <v/>
      </c>
      <c r="BN795" s="268" t="str">
        <f t="shared" si="1254"/>
        <v/>
      </c>
      <c r="BO795" s="268" t="str">
        <f t="shared" si="1254"/>
        <v/>
      </c>
      <c r="BP795" s="268" t="str">
        <f t="shared" si="1254"/>
        <v/>
      </c>
      <c r="BQ795" s="268" t="str">
        <f t="shared" si="1254"/>
        <v/>
      </c>
      <c r="BR795" s="268" t="str">
        <f t="shared" si="1254"/>
        <v/>
      </c>
      <c r="BS795" s="268" t="str">
        <f t="shared" si="1254"/>
        <v/>
      </c>
      <c r="BT795" s="268" t="str">
        <f t="shared" si="1194"/>
        <v/>
      </c>
      <c r="BU795" s="268" t="str">
        <f t="shared" si="1195"/>
        <v/>
      </c>
      <c r="BV795" s="247">
        <v>0.8</v>
      </c>
      <c r="BW795" s="729">
        <f t="shared" si="1231"/>
        <v>864</v>
      </c>
      <c r="BX795" s="730">
        <f t="shared" si="1232"/>
        <v>6696</v>
      </c>
      <c r="BY795" s="731" t="str">
        <f t="shared" si="1233"/>
        <v>SR</v>
      </c>
    </row>
    <row r="796" s="698" customFormat="1" customHeight="1" spans="1:77">
      <c r="A796" s="248">
        <v>46148</v>
      </c>
      <c r="B796" s="248">
        <v>46195</v>
      </c>
      <c r="C796" s="268" t="s">
        <v>815</v>
      </c>
      <c r="D796" s="268" t="s">
        <v>816</v>
      </c>
      <c r="E796" s="268" t="s">
        <v>59</v>
      </c>
      <c r="F796" s="343">
        <v>960</v>
      </c>
      <c r="G796" s="268" t="s">
        <v>510</v>
      </c>
      <c r="H796" s="211" t="str">
        <f>IFERROR(VLOOKUP(E796,名称!A:E,4,0),"")</f>
        <v>三代</v>
      </c>
      <c r="I796" s="268" t="str">
        <f t="shared" ref="I796:I827" si="1255">IF(OR($E796="",I$1=""),"",IF(TRIM(LEFT($E796,MIN(IFERROR(FIND("CDU",UPPER($E796)),999),IFERROR(FIND("BULK",UPPER($E796)),999),IFERROR(FIND("-",$E796),999),IFERROR(FIND("（",$E796),999))-1))=I$1,$F796,""))</f>
        <v/>
      </c>
      <c r="J796" s="268" t="str">
        <f t="shared" ref="J796:J827" si="1256">IF(OR($E796="",J$1=""),"",IF(TRIM(LEFT($E796,MIN(IFERROR(FIND("CDU",UPPER($E796)),999),IFERROR(FIND("BULK",UPPER($E796)),999),IFERROR(FIND("-",$E796),999),IFERROR(FIND("（",$E796),999))-1))=J$1,$F796,""))</f>
        <v/>
      </c>
      <c r="K796" s="268" t="str">
        <f t="shared" ref="K796:K827" si="1257">IF(OR($E796="",K$1=""),"",IF(TRIM(LEFT($E796,MIN(IFERROR(FIND("CDU",UPPER($E796)),999),IFERROR(FIND("BULK",UPPER($E796)),999),IFERROR(FIND("-",$E796),999),IFERROR(FIND("（",$E796),999))-1))=K$1,$F796,""))</f>
        <v/>
      </c>
      <c r="L796" s="268" t="str">
        <f t="shared" ref="L796:L827" si="1258">IF(OR($E796="",L$1=""),"",IF(TRIM(LEFT($E796,MIN(IFERROR(FIND("CDU",UPPER($E796)),999),IFERROR(FIND("BULK",UPPER($E796)),999),IFERROR(FIND("-",$E796),999),IFERROR(FIND("（",$E796),999))-1))=L$1,$F796,""))</f>
        <v/>
      </c>
      <c r="M796" s="268" t="str">
        <f t="shared" ref="M796:M827" si="1259">IF(OR($E796="",M$1=""),"",IF(TRIM(LEFT($E796,MIN(IFERROR(FIND("CDU",UPPER($E796)),999),IFERROR(FIND("BULK",UPPER($E796)),999),IFERROR(FIND("-",$E796),999),IFERROR(FIND("（",$E796),999))-1))=M$1,$F796,""))</f>
        <v/>
      </c>
      <c r="N796" s="268" t="str">
        <f t="shared" ref="N796:N827" si="1260">IF(OR($E796="",N$1=""),"",IF(TRIM(LEFT($E796,MIN(IFERROR(FIND("CDU",UPPER($E796)),999),IFERROR(FIND("BULK",UPPER($E796)),999),IFERROR(FIND("-",$E796),999),IFERROR(FIND("（",$E796),999))-1))=N$1,$F796,""))</f>
        <v/>
      </c>
      <c r="O796" s="268" t="str">
        <f t="shared" ref="O796:O827" si="1261">IF(OR($E796="",O$1=""),"",IF(TRIM(LEFT($E796,MIN(IFERROR(FIND("CDU",UPPER($E796)),999),IFERROR(FIND("BULK",UPPER($E796)),999),IFERROR(FIND("-",$E796),999),IFERROR(FIND("（",$E796),999))-1))=O$1,$F796,""))</f>
        <v/>
      </c>
      <c r="P796" s="268" t="str">
        <f t="shared" ref="P796:P827" si="1262">IF(OR($E796="",P$1=""),"",IF(TRIM(LEFT($E796,MIN(IFERROR(FIND("CDU",UPPER($E796)),999),IFERROR(FIND("BULK",UPPER($E796)),999),IFERROR(FIND("-",$E796),999),IFERROR(FIND("（",$E796),999))-1))=P$1,$F796,""))</f>
        <v/>
      </c>
      <c r="Q796" s="268" t="str">
        <f t="shared" ref="Q796:Q827" si="1263">IF(OR($E796="",Q$1=""),"",IF(TRIM(LEFT($E796,MIN(IFERROR(FIND("CDU",UPPER($E796)),999),IFERROR(FIND("BULK",UPPER($E796)),999),IFERROR(FIND("-",$E796),999),IFERROR(FIND("（",$E796),999))-1))=Q$1,$F796,""))</f>
        <v/>
      </c>
      <c r="R796" s="268" t="str">
        <f t="shared" ref="R796:R827" si="1264">IF(OR($E796="",R$1=""),"",IF(TRIM(LEFT($E796,MIN(IFERROR(FIND("CDU",UPPER($E796)),999),IFERROR(FIND("BULK",UPPER($E796)),999),IFERROR(FIND("-",$E796),999),IFERROR(FIND("（",$E796),999))-1))=R$1,$F796,""))</f>
        <v/>
      </c>
      <c r="S796" s="268" t="str">
        <f t="shared" ref="S796:S827" si="1265">IF(OR($E796="",S$1=""),"",IF(TRIM(LEFT($E796,MIN(IFERROR(FIND("CDU",UPPER($E796)),999),IFERROR(FIND("BULK",UPPER($E796)),999),IFERROR(FIND("-",$E796),999),IFERROR(FIND("（",$E796),999))-1))=S$1,$F796,""))</f>
        <v/>
      </c>
      <c r="T796" s="268" t="str">
        <f t="shared" ref="T796:T827" si="1266">IF(OR($E796="",T$1=""),"",IF(TRIM(LEFT($E796,MIN(IFERROR(FIND("CDU",UPPER($E796)),999),IFERROR(FIND("BULK",UPPER($E796)),999),IFERROR(FIND("-",$E796),999),IFERROR(FIND("（",$E796),999))-1))=T$1,$F796,""))</f>
        <v/>
      </c>
      <c r="U796" s="268" t="str">
        <f t="shared" ref="U796:U827" si="1267">IF(OR($E796="",U$1=""),"",IF(TRIM(LEFT($E796,MIN(IFERROR(FIND("CDU",UPPER($E796)),999),IFERROR(FIND("BULK",UPPER($E796)),999),IFERROR(FIND("-",$E796),999),IFERROR(FIND("（",$E796),999))-1))=U$1,$F796,""))</f>
        <v/>
      </c>
      <c r="V796" s="268" t="str">
        <f t="shared" ref="V796:V827" si="1268">IF(OR($E796="",V$1=""),"",IF(TRIM(LEFT($E796,MIN(IFERROR(FIND("CDU",UPPER($E796)),999),IFERROR(FIND("BULK",UPPER($E796)),999),IFERROR(FIND("-",$E796),999),IFERROR(FIND("（",$E796),999))-1))=V$1,$F796,""))</f>
        <v/>
      </c>
      <c r="W796" s="268" t="str">
        <f t="shared" ref="W796:W827" si="1269">IF(OR($E796="",W$1=""),"",IF(TRIM(LEFT($E796,MIN(IFERROR(FIND("CDU",UPPER($E796)),999),IFERROR(FIND("BULK",UPPER($E796)),999),IFERROR(FIND("-",$E796),999),IFERROR(FIND("（",$E796),999))-1))=W$1,$F796,""))</f>
        <v/>
      </c>
      <c r="X796" s="268" t="str">
        <f t="shared" ref="X796:X827" si="1270">IF(OR($E796="",X$1=""),"",IF(TRIM(LEFT($E796,MIN(IFERROR(FIND("CDU",UPPER($E796)),999),IFERROR(FIND("BULK",UPPER($E796)),999),IFERROR(FIND("-",$E796),999),IFERROR(FIND("（",$E796),999))-1))=X$1,$F796,""))</f>
        <v/>
      </c>
      <c r="Y796" s="268" t="str">
        <f t="shared" ref="Y796:Y827" si="1271">IF(OR($E796="",Y$1=""),"",IF(TRIM(LEFT($E796,MIN(IFERROR(FIND("CDU",UPPER($E796)),999),IFERROR(FIND("BULK",UPPER($E796)),999),IFERROR(FIND("-",$E796),999),IFERROR(FIND("（",$E796),999))-1))=Y$1,$F796,""))</f>
        <v/>
      </c>
      <c r="Z796" s="268" t="str">
        <f t="shared" ref="Z796:Z827" si="1272">IF(OR($E796="",Z$1=""),"",IF(TRIM(LEFT($E796,MIN(IFERROR(FIND("CDU",UPPER($E796)),999),IFERROR(FIND("BULK",UPPER($E796)),999),IFERROR(FIND("-",$E796),999),IFERROR(FIND("（",$E796),999))-1))=Z$1,$F796,""))</f>
        <v/>
      </c>
      <c r="AA796" s="268" t="str">
        <f t="shared" ref="AA796:AA827" si="1273">IF(OR($E796="",AA$1=""),"",IF(TRIM(LEFT($E796,MIN(IFERROR(FIND("CDU",UPPER($E796)),999),IFERROR(FIND("BULK",UPPER($E796)),999),IFERROR(FIND("-",$E796),999),IFERROR(FIND("（",$E796),999))-1))=AA$1,$F796,""))</f>
        <v/>
      </c>
      <c r="AB796" s="268" t="str">
        <f t="shared" ref="AB796:AB827" si="1274">IF(OR($E796="",AB$1=""),"",IF(TRIM(LEFT($E796,MIN(IFERROR(FIND("CDU",UPPER($E796)),999),IFERROR(FIND("BULK",UPPER($E796)),999),IFERROR(FIND("-",$E796),999),IFERROR(FIND("（",$E796),999))-1))=AB$1,$F796,""))</f>
        <v/>
      </c>
      <c r="AC796" s="268" t="str">
        <f t="shared" ref="AC796:AC827" si="1275">IF(OR($E796="",AC$1=""),"",IF(TRIM(LEFT($E796,MIN(IFERROR(FIND("CDU",UPPER($E796)),999),IFERROR(FIND("BULK",UPPER($E796)),999),IFERROR(FIND("-",$E796),999),IFERROR(FIND("（",$E796),999))-1))=AC$1,$F796,""))</f>
        <v/>
      </c>
      <c r="AD796" s="268">
        <f t="shared" ref="AD796:AD827" si="1276">IF(OR($E796="",AD$1=""),"",IF(TRIM(LEFT($E796,MIN(IFERROR(FIND("CDU",UPPER($E796)),999),IFERROR(FIND("BULK",UPPER($E796)),999),IFERROR(FIND("-",$E796),999),IFERROR(FIND("（",$E796),999))-1))=AD$1,$F796,""))</f>
        <v>960</v>
      </c>
      <c r="AE796" s="268" t="str">
        <f t="shared" ref="AE796:AE827" si="1277">IF(OR($E796="",AE$1=""),"",IF(TRIM(LEFT($E796,MIN(IFERROR(FIND("CDU",UPPER($E796)),999),IFERROR(FIND("BULK",UPPER($E796)),999),IFERROR(FIND("-",$E796),999),IFERROR(FIND("（",$E796),999))-1))=AE$1,$F796,""))</f>
        <v/>
      </c>
      <c r="AF796" s="268" t="str">
        <f t="shared" ref="AF796:AF827" si="1278">IF(OR($E796="",AF$1=""),"",IF(TRIM(LEFT($E796,MIN(IFERROR(FIND("CDU",UPPER($E796)),999),IFERROR(FIND("BULK",UPPER($E796)),999),IFERROR(FIND("-",$E796),999),IFERROR(FIND("（",$E796),999))-1))=AF$1,$F796,""))</f>
        <v/>
      </c>
      <c r="AG796" s="268" t="str">
        <f t="shared" ref="AG796:AG827" si="1279">IF(OR($E796="",AG$1=""),"",IF(TRIM(LEFT($E796,MIN(IFERROR(FIND("CDU",UPPER($E796)),999),IFERROR(FIND("BULK",UPPER($E796)),999),IFERROR(FIND("-",$E796),999),IFERROR(FIND("（",$E796),999))-1))=AG$1,$F796,""))</f>
        <v/>
      </c>
      <c r="AH796" s="268" t="str">
        <f t="shared" ref="AH796:AH827" si="1280">IF(OR($E796="",AH$1=""),"",IF(TRIM(LEFT($E796,MIN(IFERROR(FIND("CDU",UPPER($E796)),999),IFERROR(FIND("BULK",UPPER($E796)),999),IFERROR(FIND("-",$E796),999),IFERROR(FIND("（",$E796),999))-1))=AH$1,$F796,""))</f>
        <v/>
      </c>
      <c r="AI796" s="268" t="str">
        <f t="shared" ref="AI796:AI827" si="1281">IF(OR($E796="",AI$1=""),"",IF(TRIM(LEFT($E796,MIN(IFERROR(FIND("CDU",UPPER($E796)),999),IFERROR(FIND("BULK",UPPER($E796)),999),IFERROR(FIND("-",$E796),999),IFERROR(FIND("（",$E796),999))-1))=AI$1,$F796,""))</f>
        <v/>
      </c>
      <c r="AJ796" s="268" t="str">
        <f t="shared" ref="AJ796:AJ827" si="1282">IF(OR($E796="",AJ$1=""),"",IF(TRIM(LEFT($E796,MIN(IFERROR(FIND("CDU",UPPER($E796)),999),IFERROR(FIND("BULK",UPPER($E796)),999),IFERROR(FIND("-",$E796),999),IFERROR(FIND("（",$E796),999))-1))=AJ$1,$F796,""))</f>
        <v/>
      </c>
      <c r="AK796" s="268" t="str">
        <f t="shared" ref="AK796:AK827" si="1283">IF(OR($E796="",AK$1=""),"",IF(TRIM(LEFT($E796,MIN(IFERROR(FIND("CDU",UPPER($E796)),999),IFERROR(FIND("BULK",UPPER($E796)),999),IFERROR(FIND("-",$E796),999),IFERROR(FIND("（",$E796),999))-1))=AK$1,$F796,""))</f>
        <v/>
      </c>
      <c r="AL796" s="268" t="str">
        <f t="shared" ref="AL796:AL827" si="1284">IF(OR($E796="",AL$1=""),"",IF(TRIM(LEFT($E796,MIN(IFERROR(FIND("CDU",UPPER($E796)),999),IFERROR(FIND("BULK",UPPER($E796)),999),IFERROR(FIND("-",$E796),999),IFERROR(FIND("（",$E796),999))-1))=AL$1,$F796,""))</f>
        <v/>
      </c>
      <c r="AM796" s="268" t="str">
        <f t="shared" ref="AM796:AM827" si="1285">IF(OR($E796="",AM$1=""),"",IF(TRIM(LEFT($E796,MIN(IFERROR(FIND("CDU",UPPER($E796)),999),IFERROR(FIND("BULK",UPPER($E796)),999),IFERROR(FIND("-",$E796),999),IFERROR(FIND("（",$E796),999))-1))=AM$1,$F796,""))</f>
        <v/>
      </c>
      <c r="AN796" s="268" t="str">
        <f t="shared" ref="AN796:AN827" si="1286">IF(OR($E796="",AN$1=""),"",IF(TRIM(LEFT($E796,MIN(IFERROR(FIND("CDU",UPPER($E796)),999),IFERROR(FIND("BULK",UPPER($E796)),999),IFERROR(FIND("-",$E796),999),IFERROR(FIND("（",$E796),999))-1))=AN$1,$F796,""))</f>
        <v/>
      </c>
      <c r="AO796" s="268" t="str">
        <f t="shared" ref="AO796:AO827" si="1287">IF(OR($E796="",AO$1=""),"",IF(TRIM(LEFT($E796,MIN(IFERROR(FIND("CDU",UPPER($E796)),999),IFERROR(FIND("BULK",UPPER($E796)),999),IFERROR(FIND("-",$E796),999),IFERROR(FIND("（",$E796),999))-1))=AO$1,$F796,""))</f>
        <v/>
      </c>
      <c r="AP796" s="268" t="str">
        <f t="shared" ref="AP796:AP827" si="1288">IF(OR($E796="",AP$1=""),"",IF(TRIM(LEFT($E796,MIN(IFERROR(FIND("CDU",UPPER($E796)),999),IFERROR(FIND("BULK",UPPER($E796)),999),IFERROR(FIND("-",$E796),999),IFERROR(FIND("（",$E796),999))-1))=AP$1,$F796,""))</f>
        <v/>
      </c>
      <c r="AQ796" s="268" t="str">
        <f t="shared" ref="AQ796:AQ827" si="1289">IF(OR($E796="",AQ$1=""),"",IF(TRIM(LEFT($E796,MIN(IFERROR(FIND("CDU",UPPER($E796)),999),IFERROR(FIND("BULK",UPPER($E796)),999),IFERROR(FIND("-",$E796),999),IFERROR(FIND("（",$E796),999))-1))=AQ$1,$F796,""))</f>
        <v/>
      </c>
      <c r="AR796" s="268" t="str">
        <f t="shared" ref="AR796:AR827" si="1290">IF(OR($E796="",AR$1=""),"",IF(TRIM(LEFT($E796,MIN(IFERROR(FIND("CDU",UPPER($E796)),999),IFERROR(FIND("BULK",UPPER($E796)),999),IFERROR(FIND("-",$E796),999),IFERROR(FIND("（",$E796),999))-1))=AR$1,$F796,""))</f>
        <v/>
      </c>
      <c r="AS796" s="268" t="str">
        <f t="shared" ref="AS796:AS827" si="1291">IF(OR($E796="",AS$1=""),"",IF(TRIM(LEFT($E796,MIN(IFERROR(FIND("CDU",UPPER($E796)),999),IFERROR(FIND("BULK",UPPER($E796)),999),IFERROR(FIND("-",$E796),999),IFERROR(FIND("（",$E796),999))-1))=AS$1,$F796,""))</f>
        <v/>
      </c>
      <c r="AT796" s="268" t="str">
        <f t="shared" ref="AT796:AT827" si="1292">IF(OR($E796="",AT$1=""),"",IF(TRIM(LEFT($E796,MIN(IFERROR(FIND("CDU",UPPER($E796)),999),IFERROR(FIND("BULK",UPPER($E796)),999),IFERROR(FIND("-",$E796),999),IFERROR(FIND("（",$E796),999))-1))=AT$1,$F796,""))</f>
        <v/>
      </c>
      <c r="AU796" s="268" t="str">
        <f t="shared" ref="AU796:AU827" si="1293">IF(OR($E796="",AU$1=""),"",IF(TRIM(LEFT($E796,MIN(IFERROR(FIND("CDU",UPPER($E796)),999),IFERROR(FIND("BULK",UPPER($E796)),999),IFERROR(FIND("-",$E796),999),IFERROR(FIND("（",$E796),999))-1))=AU$1,$F796,""))</f>
        <v/>
      </c>
      <c r="AV796" s="268" t="str">
        <f t="shared" ref="AV796:AV827" si="1294">IF(OR($E796="",AV$1=""),"",IF(TRIM(LEFT($E796,MIN(IFERROR(FIND("CDU",UPPER($E796)),999),IFERROR(FIND("BULK",UPPER($E796)),999),IFERROR(FIND("-",$E796),999),IFERROR(FIND("（",$E796),999))-1))=AV$1,$F796,""))</f>
        <v/>
      </c>
      <c r="AW796" s="268" t="str">
        <f t="shared" ref="AW796:AW827" si="1295">IF(OR($E796="",AW$1=""),"",IF(TRIM(LEFT($E796,MIN(IFERROR(FIND("CDU",UPPER($E796)),999),IFERROR(FIND("BULK",UPPER($E796)),999),IFERROR(FIND("-",$E796),999),IFERROR(FIND("（",$E796),999))-1))=AW$1,$F796,""))</f>
        <v/>
      </c>
      <c r="AX796" s="268" t="str">
        <f t="shared" ref="AX796:AX827" si="1296">IF(OR($E796="",AX$1=""),"",IF(TRIM(LEFT($E796,MIN(IFERROR(FIND("CDU",UPPER($E796)),999),IFERROR(FIND("BULK",UPPER($E796)),999),IFERROR(FIND("-",$E796),999),IFERROR(FIND("（",$E796),999))-1))=AX$1,$F796,""))</f>
        <v/>
      </c>
      <c r="AY796" s="268" t="str">
        <f t="shared" ref="AY796:AY827" si="1297">IF(OR($E796="",AY$1=""),"",IF(TRIM(LEFT($E796,MIN(IFERROR(FIND("CDU",UPPER($E796)),999),IFERROR(FIND("BULK",UPPER($E796)),999),IFERROR(FIND("-",$E796),999),IFERROR(FIND("（",$E796),999))-1))=AY$1,$F796,""))</f>
        <v/>
      </c>
      <c r="AZ796" s="268" t="str">
        <f t="shared" ref="AZ796:AZ827" si="1298">IF(OR($E796="",AZ$1=""),"",IF(TRIM(LEFT($E796,MIN(IFERROR(FIND("CDU",UPPER($E796)),999),IFERROR(FIND("BULK",UPPER($E796)),999),IFERROR(FIND("-",$E796),999),IFERROR(FIND("（",$E796),999))-1))=AZ$1,$F796,""))</f>
        <v/>
      </c>
      <c r="BA796" s="268" t="str">
        <f t="shared" ref="BA796:BA827" si="1299">IF(OR($E796="",BA$1=""),"",IF(TRIM(LEFT($E796,MIN(IFERROR(FIND("CDU",UPPER($E796)),999),IFERROR(FIND("BULK",UPPER($E796)),999),IFERROR(FIND("-",$E796),999),IFERROR(FIND("（",$E796),999))-1))=BA$1,$F796,""))</f>
        <v/>
      </c>
      <c r="BB796" s="268" t="str">
        <f t="shared" ref="BB796:BB827" si="1300">IF(OR($E796="",BB$1=""),"",IF(TRIM(LEFT($E796,MIN(IFERROR(FIND("CDU",UPPER($E796)),999),IFERROR(FIND("BULK",UPPER($E796)),999),IFERROR(FIND("-",$E796),999),IFERROR(FIND("（",$E796),999))-1))=BB$1,$F796,""))</f>
        <v/>
      </c>
      <c r="BC796" s="268" t="str">
        <f t="shared" ref="BC796:BC827" si="1301">IF(OR($E796="",BC$1=""),"",IF(TRIM(LEFT($E796,MIN(IFERROR(FIND("CDU",UPPER($E796)),999),IFERROR(FIND("BULK",UPPER($E796)),999),IFERROR(FIND("-",$E796),999),IFERROR(FIND("（",$E796),999))-1))=BC$1,$F796,""))</f>
        <v/>
      </c>
      <c r="BD796" s="268" t="str">
        <f t="shared" ref="BD796:BD827" si="1302">IF(OR($E796="",BD$1=""),"",IF(TRIM(LEFT($E796,MIN(IFERROR(FIND("CDU",UPPER($E796)),999),IFERROR(FIND("BULK",UPPER($E796)),999),IFERROR(FIND("-",$E796),999),IFERROR(FIND("（",$E796),999))-1))=BD$1,$F796,""))</f>
        <v/>
      </c>
      <c r="BE796" s="268" t="str">
        <f t="shared" ref="BE796:BE827" si="1303">IF(OR($E796="",BE$1=""),"",IF(TRIM(LEFT($E796,MIN(IFERROR(FIND("CDU",UPPER($E796)),999),IFERROR(FIND("BULK",UPPER($E796)),999),IFERROR(FIND("-",$E796),999),IFERROR(FIND("（",$E796),999))-1))=BE$1,$F796,""))</f>
        <v/>
      </c>
      <c r="BF796" s="268" t="str">
        <f t="shared" ref="BF796:BF827" si="1304">IF(OR($E796="",BF$1=""),"",IF(TRIM(LEFT($E796,MIN(IFERROR(FIND("CDU",UPPER($E796)),999),IFERROR(FIND("BULK",UPPER($E796)),999),IFERROR(FIND("-",$E796),999),IFERROR(FIND("（",$E796),999))-1))=BF$1,$F796,""))</f>
        <v/>
      </c>
      <c r="BG796" s="268" t="str">
        <f t="shared" ref="BG796:BG827" si="1305">IF(OR($E796="",BG$1=""),"",IF(TRIM(LEFT($E796,MIN(IFERROR(FIND("CDU",UPPER($E796)),999),IFERROR(FIND("BULK",UPPER($E796)),999),IFERROR(FIND("-",$E796),999),IFERROR(FIND("（",$E796),999))-1))=BG$1,$F796,""))</f>
        <v/>
      </c>
      <c r="BH796" s="268" t="str">
        <f t="shared" ref="BH796:BH827" si="1306">IF(OR($E796="",BH$1=""),"",IF(TRIM(LEFT($E796,MIN(IFERROR(FIND("CDU",UPPER($E796)),999),IFERROR(FIND("BULK",UPPER($E796)),999),IFERROR(FIND("-",$E796),999),IFERROR(FIND("（",$E796),999))-1))=BH$1,$F796,""))</f>
        <v/>
      </c>
      <c r="BI796" s="268" t="str">
        <f t="shared" ref="BI796:BI827" si="1307">IF(OR($E796="",BI$1=""),"",IF(TRIM(LEFT($E796,MIN(IFERROR(FIND("CDU",UPPER($E796)),999),IFERROR(FIND("BULK",UPPER($E796)),999),IFERROR(FIND("-",$E796),999),IFERROR(FIND("（",$E796),999))-1))=BI$1,$F796,""))</f>
        <v/>
      </c>
      <c r="BJ796" s="268" t="str">
        <f t="shared" ref="BJ796:BJ827" si="1308">IF(OR($E796="",BJ$1=""),"",IF(TRIM(LEFT($E796,MIN(IFERROR(FIND("CDU",UPPER($E796)),999),IFERROR(FIND("BULK",UPPER($E796)),999),IFERROR(FIND("-",$E796),999),IFERROR(FIND("（",$E796),999))-1))=BJ$1,$F796,""))</f>
        <v/>
      </c>
      <c r="BK796" s="268" t="str">
        <f t="shared" ref="BK796:BK827" si="1309">IF(OR($E796="",BK$1=""),"",IF(TRIM(LEFT($E796,MIN(IFERROR(FIND("CDU",UPPER($E796)),999),IFERROR(FIND("BULK",UPPER($E796)),999),IFERROR(FIND("-",$E796),999),IFERROR(FIND("（",$E796),999))-1))=BK$1,$F796,""))</f>
        <v/>
      </c>
      <c r="BL796" s="268" t="str">
        <f t="shared" ref="BL796:BL827" si="1310">IF(OR($E796="",BL$1=""),"",IF(TRIM(LEFT($E796,MIN(IFERROR(FIND("CDU",UPPER($E796)),999),IFERROR(FIND("BULK",UPPER($E796)),999),IFERROR(FIND("-",$E796),999),IFERROR(FIND("（",$E796),999))-1))=BL$1,$F796,""))</f>
        <v/>
      </c>
      <c r="BM796" s="268" t="str">
        <f t="shared" ref="BM796:BM827" si="1311">IF(OR($E796="",BM$1=""),"",IF(TRIM(LEFT($E796,MIN(IFERROR(FIND("CDU",UPPER($E796)),999),IFERROR(FIND("BULK",UPPER($E796)),999),IFERROR(FIND("-",$E796),999),IFERROR(FIND("（",$E796),999))-1))=BM$1,$F796,""))</f>
        <v/>
      </c>
      <c r="BN796" s="268" t="str">
        <f t="shared" ref="BN796:BN859" si="1312">IF(OR($E796="",BN$1=""),"",IF(TRIM(LEFT($E796,MIN(IFERROR(FIND("CDU",UPPER($E796)),999),IFERROR(FIND("BULK",UPPER($E796)),999),IFERROR(FIND("-",$E796),999),IFERROR(FIND("（",$E796),999))-1))=BN$1,$F796,""))</f>
        <v/>
      </c>
      <c r="BO796" s="268" t="str">
        <f t="shared" ref="BO796:BO859" si="1313">IF(OR($E796="",BO$1=""),"",IF(TRIM(LEFT($E796,MIN(IFERROR(FIND("CDU",UPPER($E796)),999),IFERROR(FIND("BULK",UPPER($E796)),999),IFERROR(FIND("-",$E796),999),IFERROR(FIND("（",$E796),999))-1))=BO$1,$F796,""))</f>
        <v/>
      </c>
      <c r="BP796" s="268" t="str">
        <f t="shared" ref="BP796:BP859" si="1314">IF(OR($E796="",BP$1=""),"",IF(TRIM(LEFT($E796,MIN(IFERROR(FIND("CDU",UPPER($E796)),999),IFERROR(FIND("BULK",UPPER($E796)),999),IFERROR(FIND("-",$E796),999),IFERROR(FIND("（",$E796),999))-1))=BP$1,$F796,""))</f>
        <v/>
      </c>
      <c r="BQ796" s="268" t="str">
        <f t="shared" ref="BQ796:BQ859" si="1315">IF(OR($E796="",BQ$1=""),"",IF(TRIM(LEFT($E796,MIN(IFERROR(FIND("CDU",UPPER($E796)),999),IFERROR(FIND("BULK",UPPER($E796)),999),IFERROR(FIND("-",$E796),999),IFERROR(FIND("（",$E796),999))-1))=BQ$1,$F796,""))</f>
        <v/>
      </c>
      <c r="BR796" s="268" t="str">
        <f t="shared" ref="BR796:BR859" si="1316">IF(OR($E796="",BR$1=""),"",IF(TRIM(LEFT($E796,MIN(IFERROR(FIND("CDU",UPPER($E796)),999),IFERROR(FIND("BULK",UPPER($E796)),999),IFERROR(FIND("-",$E796),999),IFERROR(FIND("（",$E796),999))-1))=BR$1,$F796,""))</f>
        <v/>
      </c>
      <c r="BS796" s="268" t="str">
        <f t="shared" ref="BS796:BS859" si="1317">IF(OR($E796="",BS$1=""),"",IF(TRIM(LEFT($E796,MIN(IFERROR(FIND("CDU",UPPER($E796)),999),IFERROR(FIND("BULK",UPPER($E796)),999),IFERROR(FIND("-",$E796),999),IFERROR(FIND("（",$E796),999))-1))=BS$1,$F796,""))</f>
        <v/>
      </c>
      <c r="BT796" s="268" t="str">
        <f t="shared" ref="BT796:BT827" si="1318">IF(OR($E796="",BT$1=""),"",IF(TRIM(LEFT($E796,MIN(IFERROR(FIND("CDU",UPPER($E796)),999),IFERROR(FIND("BULK",UPPER($E796)),999),IFERROR(FIND("-",$E796),999),IFERROR(FIND("（",$E796),999))-1))=BT$1,$F796,""))</f>
        <v/>
      </c>
      <c r="BU796" s="268" t="str">
        <f t="shared" ref="BU796:BU827" si="1319">IF(OR($E796="",BU$1=""),"",IF(TRIM(LEFT($E796,MIN(IFERROR(FIND("CDU",UPPER($E796)),999),IFERROR(FIND("BULK",UPPER($E796)),999),IFERROR(FIND("-",$E796),999),IFERROR(FIND("（",$E796),999))-1))=BU$1,$F796,""))</f>
        <v/>
      </c>
      <c r="BV796" s="247">
        <v>0.66</v>
      </c>
      <c r="BW796" s="729">
        <f t="shared" ref="BW796:BW827" si="1320">SUM(I796:BU796)*BV796</f>
        <v>633.6</v>
      </c>
      <c r="BX796" s="730">
        <f t="shared" ref="BX796:BX827" si="1321">BW796*7.75</f>
        <v>4910.4</v>
      </c>
      <c r="BY796" s="731" t="str">
        <f t="shared" ref="BY796:BY827" si="1322">MID(E796,1,2)</f>
        <v>SR</v>
      </c>
    </row>
    <row r="797" s="698" customFormat="1" customHeight="1" spans="1:77">
      <c r="A797" s="248">
        <v>46148</v>
      </c>
      <c r="B797" s="248">
        <v>46195</v>
      </c>
      <c r="C797" s="268" t="s">
        <v>815</v>
      </c>
      <c r="D797" s="268" t="s">
        <v>816</v>
      </c>
      <c r="E797" s="268" t="s">
        <v>66</v>
      </c>
      <c r="F797" s="343">
        <v>900</v>
      </c>
      <c r="G797" s="268" t="s">
        <v>510</v>
      </c>
      <c r="H797" s="211" t="str">
        <f>IFERROR(VLOOKUP(E797,名称!A:E,4,0),"")</f>
        <v>三代</v>
      </c>
      <c r="I797" s="268" t="str">
        <f t="shared" si="1255"/>
        <v/>
      </c>
      <c r="J797" s="268" t="str">
        <f t="shared" si="1256"/>
        <v/>
      </c>
      <c r="K797" s="268" t="str">
        <f t="shared" si="1257"/>
        <v/>
      </c>
      <c r="L797" s="268" t="str">
        <f t="shared" si="1258"/>
        <v/>
      </c>
      <c r="M797" s="268" t="str">
        <f t="shared" si="1259"/>
        <v/>
      </c>
      <c r="N797" s="268" t="str">
        <f t="shared" si="1260"/>
        <v/>
      </c>
      <c r="O797" s="268" t="str">
        <f t="shared" si="1261"/>
        <v/>
      </c>
      <c r="P797" s="268" t="str">
        <f t="shared" si="1262"/>
        <v/>
      </c>
      <c r="Q797" s="268" t="str">
        <f t="shared" si="1263"/>
        <v/>
      </c>
      <c r="R797" s="268" t="str">
        <f t="shared" si="1264"/>
        <v/>
      </c>
      <c r="S797" s="268" t="str">
        <f t="shared" si="1265"/>
        <v/>
      </c>
      <c r="T797" s="268" t="str">
        <f t="shared" si="1266"/>
        <v/>
      </c>
      <c r="U797" s="268" t="str">
        <f t="shared" si="1267"/>
        <v/>
      </c>
      <c r="V797" s="268" t="str">
        <f t="shared" si="1268"/>
        <v/>
      </c>
      <c r="W797" s="268" t="str">
        <f t="shared" si="1269"/>
        <v/>
      </c>
      <c r="X797" s="268" t="str">
        <f t="shared" si="1270"/>
        <v/>
      </c>
      <c r="Y797" s="268" t="str">
        <f t="shared" si="1271"/>
        <v/>
      </c>
      <c r="Z797" s="268" t="str">
        <f t="shared" si="1272"/>
        <v/>
      </c>
      <c r="AA797" s="268" t="str">
        <f t="shared" si="1273"/>
        <v/>
      </c>
      <c r="AB797" s="268" t="str">
        <f t="shared" si="1274"/>
        <v/>
      </c>
      <c r="AC797" s="268" t="str">
        <f t="shared" si="1275"/>
        <v/>
      </c>
      <c r="AD797" s="268" t="str">
        <f t="shared" si="1276"/>
        <v/>
      </c>
      <c r="AE797" s="268" t="str">
        <f t="shared" si="1277"/>
        <v/>
      </c>
      <c r="AF797" s="268" t="str">
        <f t="shared" si="1278"/>
        <v/>
      </c>
      <c r="AG797" s="268">
        <f t="shared" si="1279"/>
        <v>900</v>
      </c>
      <c r="AH797" s="268" t="str">
        <f t="shared" si="1280"/>
        <v/>
      </c>
      <c r="AI797" s="268" t="str">
        <f t="shared" si="1281"/>
        <v/>
      </c>
      <c r="AJ797" s="268" t="str">
        <f t="shared" si="1282"/>
        <v/>
      </c>
      <c r="AK797" s="268" t="str">
        <f t="shared" si="1283"/>
        <v/>
      </c>
      <c r="AL797" s="268" t="str">
        <f t="shared" si="1284"/>
        <v/>
      </c>
      <c r="AM797" s="268" t="str">
        <f t="shared" si="1285"/>
        <v/>
      </c>
      <c r="AN797" s="268" t="str">
        <f t="shared" si="1286"/>
        <v/>
      </c>
      <c r="AO797" s="268" t="str">
        <f t="shared" si="1287"/>
        <v/>
      </c>
      <c r="AP797" s="268" t="str">
        <f t="shared" si="1288"/>
        <v/>
      </c>
      <c r="AQ797" s="268" t="str">
        <f t="shared" si="1289"/>
        <v/>
      </c>
      <c r="AR797" s="268" t="str">
        <f t="shared" si="1290"/>
        <v/>
      </c>
      <c r="AS797" s="268" t="str">
        <f t="shared" si="1291"/>
        <v/>
      </c>
      <c r="AT797" s="268" t="str">
        <f t="shared" si="1292"/>
        <v/>
      </c>
      <c r="AU797" s="268" t="str">
        <f t="shared" si="1293"/>
        <v/>
      </c>
      <c r="AV797" s="268" t="str">
        <f t="shared" si="1294"/>
        <v/>
      </c>
      <c r="AW797" s="268" t="str">
        <f t="shared" si="1295"/>
        <v/>
      </c>
      <c r="AX797" s="268" t="str">
        <f t="shared" si="1296"/>
        <v/>
      </c>
      <c r="AY797" s="268" t="str">
        <f t="shared" si="1297"/>
        <v/>
      </c>
      <c r="AZ797" s="268" t="str">
        <f t="shared" si="1298"/>
        <v/>
      </c>
      <c r="BA797" s="268" t="str">
        <f t="shared" si="1299"/>
        <v/>
      </c>
      <c r="BB797" s="268" t="str">
        <f t="shared" si="1300"/>
        <v/>
      </c>
      <c r="BC797" s="268" t="str">
        <f t="shared" si="1301"/>
        <v/>
      </c>
      <c r="BD797" s="268" t="str">
        <f t="shared" si="1302"/>
        <v/>
      </c>
      <c r="BE797" s="268" t="str">
        <f t="shared" si="1303"/>
        <v/>
      </c>
      <c r="BF797" s="268" t="str">
        <f t="shared" si="1304"/>
        <v/>
      </c>
      <c r="BG797" s="268" t="str">
        <f t="shared" si="1305"/>
        <v/>
      </c>
      <c r="BH797" s="268" t="str">
        <f t="shared" si="1306"/>
        <v/>
      </c>
      <c r="BI797" s="268" t="str">
        <f t="shared" si="1307"/>
        <v/>
      </c>
      <c r="BJ797" s="268" t="str">
        <f t="shared" si="1308"/>
        <v/>
      </c>
      <c r="BK797" s="268" t="str">
        <f t="shared" si="1309"/>
        <v/>
      </c>
      <c r="BL797" s="268" t="str">
        <f t="shared" si="1310"/>
        <v/>
      </c>
      <c r="BM797" s="268" t="str">
        <f t="shared" si="1311"/>
        <v/>
      </c>
      <c r="BN797" s="268" t="str">
        <f t="shared" si="1312"/>
        <v/>
      </c>
      <c r="BO797" s="268" t="str">
        <f t="shared" si="1313"/>
        <v/>
      </c>
      <c r="BP797" s="268" t="str">
        <f t="shared" si="1314"/>
        <v/>
      </c>
      <c r="BQ797" s="268" t="str">
        <f t="shared" si="1315"/>
        <v/>
      </c>
      <c r="BR797" s="268" t="str">
        <f t="shared" si="1316"/>
        <v/>
      </c>
      <c r="BS797" s="268" t="str">
        <f t="shared" si="1317"/>
        <v/>
      </c>
      <c r="BT797" s="268" t="str">
        <f t="shared" si="1318"/>
        <v/>
      </c>
      <c r="BU797" s="268" t="str">
        <f t="shared" si="1319"/>
        <v/>
      </c>
      <c r="BV797" s="247">
        <v>2.09</v>
      </c>
      <c r="BW797" s="729">
        <f t="shared" si="1320"/>
        <v>1881</v>
      </c>
      <c r="BX797" s="730">
        <f t="shared" si="1321"/>
        <v>14577.75</v>
      </c>
      <c r="BY797" s="731" t="str">
        <f t="shared" si="1322"/>
        <v>SR</v>
      </c>
    </row>
    <row r="798" s="698" customFormat="1" customHeight="1" spans="1:77">
      <c r="A798" s="248">
        <v>46148</v>
      </c>
      <c r="B798" s="248">
        <v>46195</v>
      </c>
      <c r="C798" s="268" t="s">
        <v>815</v>
      </c>
      <c r="D798" s="268" t="s">
        <v>816</v>
      </c>
      <c r="E798" s="268" t="s">
        <v>68</v>
      </c>
      <c r="F798" s="343">
        <v>500</v>
      </c>
      <c r="G798" s="268" t="s">
        <v>510</v>
      </c>
      <c r="H798" s="211" t="str">
        <f>IFERROR(VLOOKUP(E798,名称!A:E,4,0),"")</f>
        <v>三代</v>
      </c>
      <c r="I798" s="268" t="str">
        <f t="shared" si="1255"/>
        <v/>
      </c>
      <c r="J798" s="268" t="str">
        <f t="shared" si="1256"/>
        <v/>
      </c>
      <c r="K798" s="268" t="str">
        <f t="shared" si="1257"/>
        <v/>
      </c>
      <c r="L798" s="268" t="str">
        <f t="shared" si="1258"/>
        <v/>
      </c>
      <c r="M798" s="268" t="str">
        <f t="shared" si="1259"/>
        <v/>
      </c>
      <c r="N798" s="268" t="str">
        <f t="shared" si="1260"/>
        <v/>
      </c>
      <c r="O798" s="268" t="str">
        <f t="shared" si="1261"/>
        <v/>
      </c>
      <c r="P798" s="268" t="str">
        <f t="shared" si="1262"/>
        <v/>
      </c>
      <c r="Q798" s="268" t="str">
        <f t="shared" si="1263"/>
        <v/>
      </c>
      <c r="R798" s="268" t="str">
        <f t="shared" si="1264"/>
        <v/>
      </c>
      <c r="S798" s="268" t="str">
        <f t="shared" si="1265"/>
        <v/>
      </c>
      <c r="T798" s="268" t="str">
        <f t="shared" si="1266"/>
        <v/>
      </c>
      <c r="U798" s="268" t="str">
        <f t="shared" si="1267"/>
        <v/>
      </c>
      <c r="V798" s="268" t="str">
        <f t="shared" si="1268"/>
        <v/>
      </c>
      <c r="W798" s="268" t="str">
        <f t="shared" si="1269"/>
        <v/>
      </c>
      <c r="X798" s="268" t="str">
        <f t="shared" si="1270"/>
        <v/>
      </c>
      <c r="Y798" s="268" t="str">
        <f t="shared" si="1271"/>
        <v/>
      </c>
      <c r="Z798" s="268" t="str">
        <f t="shared" si="1272"/>
        <v/>
      </c>
      <c r="AA798" s="268" t="str">
        <f t="shared" si="1273"/>
        <v/>
      </c>
      <c r="AB798" s="268" t="str">
        <f t="shared" si="1274"/>
        <v/>
      </c>
      <c r="AC798" s="268" t="str">
        <f t="shared" si="1275"/>
        <v/>
      </c>
      <c r="AD798" s="268" t="str">
        <f t="shared" si="1276"/>
        <v/>
      </c>
      <c r="AE798" s="268" t="str">
        <f t="shared" si="1277"/>
        <v/>
      </c>
      <c r="AF798" s="268" t="str">
        <f t="shared" si="1278"/>
        <v/>
      </c>
      <c r="AG798" s="268" t="str">
        <f t="shared" si="1279"/>
        <v/>
      </c>
      <c r="AH798" s="268">
        <f t="shared" si="1280"/>
        <v>500</v>
      </c>
      <c r="AI798" s="268" t="str">
        <f t="shared" si="1281"/>
        <v/>
      </c>
      <c r="AJ798" s="268" t="str">
        <f t="shared" si="1282"/>
        <v/>
      </c>
      <c r="AK798" s="268" t="str">
        <f t="shared" si="1283"/>
        <v/>
      </c>
      <c r="AL798" s="268" t="str">
        <f t="shared" si="1284"/>
        <v/>
      </c>
      <c r="AM798" s="268" t="str">
        <f t="shared" si="1285"/>
        <v/>
      </c>
      <c r="AN798" s="268" t="str">
        <f t="shared" si="1286"/>
        <v/>
      </c>
      <c r="AO798" s="268" t="str">
        <f t="shared" si="1287"/>
        <v/>
      </c>
      <c r="AP798" s="268" t="str">
        <f t="shared" si="1288"/>
        <v/>
      </c>
      <c r="AQ798" s="268" t="str">
        <f t="shared" si="1289"/>
        <v/>
      </c>
      <c r="AR798" s="268" t="str">
        <f t="shared" si="1290"/>
        <v/>
      </c>
      <c r="AS798" s="268" t="str">
        <f t="shared" si="1291"/>
        <v/>
      </c>
      <c r="AT798" s="268" t="str">
        <f t="shared" si="1292"/>
        <v/>
      </c>
      <c r="AU798" s="268" t="str">
        <f t="shared" si="1293"/>
        <v/>
      </c>
      <c r="AV798" s="268" t="str">
        <f t="shared" si="1294"/>
        <v/>
      </c>
      <c r="AW798" s="268" t="str">
        <f t="shared" si="1295"/>
        <v/>
      </c>
      <c r="AX798" s="268" t="str">
        <f t="shared" si="1296"/>
        <v/>
      </c>
      <c r="AY798" s="268" t="str">
        <f t="shared" si="1297"/>
        <v/>
      </c>
      <c r="AZ798" s="268" t="str">
        <f t="shared" si="1298"/>
        <v/>
      </c>
      <c r="BA798" s="268" t="str">
        <f t="shared" si="1299"/>
        <v/>
      </c>
      <c r="BB798" s="268" t="str">
        <f t="shared" si="1300"/>
        <v/>
      </c>
      <c r="BC798" s="268" t="str">
        <f t="shared" si="1301"/>
        <v/>
      </c>
      <c r="BD798" s="268" t="str">
        <f t="shared" si="1302"/>
        <v/>
      </c>
      <c r="BE798" s="268" t="str">
        <f t="shared" si="1303"/>
        <v/>
      </c>
      <c r="BF798" s="268" t="str">
        <f t="shared" si="1304"/>
        <v/>
      </c>
      <c r="BG798" s="268" t="str">
        <f t="shared" si="1305"/>
        <v/>
      </c>
      <c r="BH798" s="268" t="str">
        <f t="shared" si="1306"/>
        <v/>
      </c>
      <c r="BI798" s="268" t="str">
        <f t="shared" si="1307"/>
        <v/>
      </c>
      <c r="BJ798" s="268" t="str">
        <f t="shared" si="1308"/>
        <v/>
      </c>
      <c r="BK798" s="268" t="str">
        <f t="shared" si="1309"/>
        <v/>
      </c>
      <c r="BL798" s="268" t="str">
        <f t="shared" si="1310"/>
        <v/>
      </c>
      <c r="BM798" s="268" t="str">
        <f t="shared" si="1311"/>
        <v/>
      </c>
      <c r="BN798" s="268" t="str">
        <f t="shared" si="1312"/>
        <v/>
      </c>
      <c r="BO798" s="268" t="str">
        <f t="shared" si="1313"/>
        <v/>
      </c>
      <c r="BP798" s="268" t="str">
        <f t="shared" si="1314"/>
        <v/>
      </c>
      <c r="BQ798" s="268" t="str">
        <f t="shared" si="1315"/>
        <v/>
      </c>
      <c r="BR798" s="268" t="str">
        <f t="shared" si="1316"/>
        <v/>
      </c>
      <c r="BS798" s="268" t="str">
        <f t="shared" si="1317"/>
        <v/>
      </c>
      <c r="BT798" s="268" t="str">
        <f t="shared" si="1318"/>
        <v/>
      </c>
      <c r="BU798" s="268" t="str">
        <f t="shared" si="1319"/>
        <v/>
      </c>
      <c r="BV798" s="247">
        <v>3.23</v>
      </c>
      <c r="BW798" s="729">
        <f t="shared" si="1320"/>
        <v>1615</v>
      </c>
      <c r="BX798" s="730">
        <f t="shared" si="1321"/>
        <v>12516.25</v>
      </c>
      <c r="BY798" s="731" t="str">
        <f t="shared" si="1322"/>
        <v>SR</v>
      </c>
    </row>
    <row r="799" s="698" customFormat="1" customHeight="1" spans="1:77">
      <c r="A799" s="248">
        <v>46148</v>
      </c>
      <c r="B799" s="248">
        <v>46195</v>
      </c>
      <c r="C799" s="268" t="s">
        <v>815</v>
      </c>
      <c r="D799" s="268" t="s">
        <v>816</v>
      </c>
      <c r="E799" s="268" t="s">
        <v>72</v>
      </c>
      <c r="F799" s="343">
        <v>720</v>
      </c>
      <c r="G799" s="268" t="s">
        <v>510</v>
      </c>
      <c r="H799" s="211" t="str">
        <f>IFERROR(VLOOKUP(E799,名称!A:E,4,0),"")</f>
        <v>三代</v>
      </c>
      <c r="I799" s="268" t="str">
        <f t="shared" si="1255"/>
        <v/>
      </c>
      <c r="J799" s="268" t="str">
        <f t="shared" si="1256"/>
        <v/>
      </c>
      <c r="K799" s="268" t="str">
        <f t="shared" si="1257"/>
        <v/>
      </c>
      <c r="L799" s="268" t="str">
        <f t="shared" si="1258"/>
        <v/>
      </c>
      <c r="M799" s="268" t="str">
        <f t="shared" si="1259"/>
        <v/>
      </c>
      <c r="N799" s="268" t="str">
        <f t="shared" si="1260"/>
        <v/>
      </c>
      <c r="O799" s="268" t="str">
        <f t="shared" si="1261"/>
        <v/>
      </c>
      <c r="P799" s="268" t="str">
        <f t="shared" si="1262"/>
        <v/>
      </c>
      <c r="Q799" s="268" t="str">
        <f t="shared" si="1263"/>
        <v/>
      </c>
      <c r="R799" s="268" t="str">
        <f t="shared" si="1264"/>
        <v/>
      </c>
      <c r="S799" s="268" t="str">
        <f t="shared" si="1265"/>
        <v/>
      </c>
      <c r="T799" s="268" t="str">
        <f t="shared" si="1266"/>
        <v/>
      </c>
      <c r="U799" s="268" t="str">
        <f t="shared" si="1267"/>
        <v/>
      </c>
      <c r="V799" s="268" t="str">
        <f t="shared" si="1268"/>
        <v/>
      </c>
      <c r="W799" s="268" t="str">
        <f t="shared" si="1269"/>
        <v/>
      </c>
      <c r="X799" s="268" t="str">
        <f t="shared" si="1270"/>
        <v/>
      </c>
      <c r="Y799" s="268" t="str">
        <f t="shared" si="1271"/>
        <v/>
      </c>
      <c r="Z799" s="268" t="str">
        <f t="shared" si="1272"/>
        <v/>
      </c>
      <c r="AA799" s="268" t="str">
        <f t="shared" si="1273"/>
        <v/>
      </c>
      <c r="AB799" s="268" t="str">
        <f t="shared" si="1274"/>
        <v/>
      </c>
      <c r="AC799" s="268" t="str">
        <f t="shared" si="1275"/>
        <v/>
      </c>
      <c r="AD799" s="268" t="str">
        <f t="shared" si="1276"/>
        <v/>
      </c>
      <c r="AE799" s="268" t="str">
        <f t="shared" si="1277"/>
        <v/>
      </c>
      <c r="AF799" s="268" t="str">
        <f t="shared" si="1278"/>
        <v/>
      </c>
      <c r="AG799" s="268" t="str">
        <f t="shared" si="1279"/>
        <v/>
      </c>
      <c r="AH799" s="268" t="str">
        <f t="shared" si="1280"/>
        <v/>
      </c>
      <c r="AI799" s="268" t="str">
        <f t="shared" si="1281"/>
        <v/>
      </c>
      <c r="AJ799" s="268" t="str">
        <f t="shared" si="1282"/>
        <v/>
      </c>
      <c r="AK799" s="268" t="str">
        <f t="shared" si="1283"/>
        <v/>
      </c>
      <c r="AL799" s="268">
        <f t="shared" si="1284"/>
        <v>720</v>
      </c>
      <c r="AM799" s="268" t="str">
        <f t="shared" si="1285"/>
        <v/>
      </c>
      <c r="AN799" s="268" t="str">
        <f t="shared" si="1286"/>
        <v/>
      </c>
      <c r="AO799" s="268" t="str">
        <f t="shared" si="1287"/>
        <v/>
      </c>
      <c r="AP799" s="268" t="str">
        <f t="shared" si="1288"/>
        <v/>
      </c>
      <c r="AQ799" s="268" t="str">
        <f t="shared" si="1289"/>
        <v/>
      </c>
      <c r="AR799" s="268" t="str">
        <f t="shared" si="1290"/>
        <v/>
      </c>
      <c r="AS799" s="268" t="str">
        <f t="shared" si="1291"/>
        <v/>
      </c>
      <c r="AT799" s="268" t="str">
        <f t="shared" si="1292"/>
        <v/>
      </c>
      <c r="AU799" s="268" t="str">
        <f t="shared" si="1293"/>
        <v/>
      </c>
      <c r="AV799" s="268" t="str">
        <f t="shared" si="1294"/>
        <v/>
      </c>
      <c r="AW799" s="268" t="str">
        <f t="shared" si="1295"/>
        <v/>
      </c>
      <c r="AX799" s="268" t="str">
        <f t="shared" si="1296"/>
        <v/>
      </c>
      <c r="AY799" s="268" t="str">
        <f t="shared" si="1297"/>
        <v/>
      </c>
      <c r="AZ799" s="268" t="str">
        <f t="shared" si="1298"/>
        <v/>
      </c>
      <c r="BA799" s="268" t="str">
        <f t="shared" si="1299"/>
        <v/>
      </c>
      <c r="BB799" s="268" t="str">
        <f t="shared" si="1300"/>
        <v/>
      </c>
      <c r="BC799" s="268" t="str">
        <f t="shared" si="1301"/>
        <v/>
      </c>
      <c r="BD799" s="268" t="str">
        <f t="shared" si="1302"/>
        <v/>
      </c>
      <c r="BE799" s="268" t="str">
        <f t="shared" si="1303"/>
        <v/>
      </c>
      <c r="BF799" s="268" t="str">
        <f t="shared" si="1304"/>
        <v/>
      </c>
      <c r="BG799" s="268" t="str">
        <f t="shared" si="1305"/>
        <v/>
      </c>
      <c r="BH799" s="268" t="str">
        <f t="shared" si="1306"/>
        <v/>
      </c>
      <c r="BI799" s="268" t="str">
        <f t="shared" si="1307"/>
        <v/>
      </c>
      <c r="BJ799" s="268" t="str">
        <f t="shared" si="1308"/>
        <v/>
      </c>
      <c r="BK799" s="268" t="str">
        <f t="shared" si="1309"/>
        <v/>
      </c>
      <c r="BL799" s="268" t="str">
        <f t="shared" si="1310"/>
        <v/>
      </c>
      <c r="BM799" s="268" t="str">
        <f t="shared" si="1311"/>
        <v/>
      </c>
      <c r="BN799" s="268" t="str">
        <f t="shared" si="1312"/>
        <v/>
      </c>
      <c r="BO799" s="268" t="str">
        <f t="shared" si="1313"/>
        <v/>
      </c>
      <c r="BP799" s="268" t="str">
        <f t="shared" si="1314"/>
        <v/>
      </c>
      <c r="BQ799" s="268" t="str">
        <f t="shared" si="1315"/>
        <v/>
      </c>
      <c r="BR799" s="268" t="str">
        <f t="shared" si="1316"/>
        <v/>
      </c>
      <c r="BS799" s="268" t="str">
        <f t="shared" si="1317"/>
        <v/>
      </c>
      <c r="BT799" s="268" t="str">
        <f t="shared" si="1318"/>
        <v/>
      </c>
      <c r="BU799" s="268" t="str">
        <f t="shared" si="1319"/>
        <v/>
      </c>
      <c r="BV799" s="247">
        <v>1.65</v>
      </c>
      <c r="BW799" s="729">
        <f t="shared" si="1320"/>
        <v>1188</v>
      </c>
      <c r="BX799" s="730">
        <f t="shared" si="1321"/>
        <v>9207</v>
      </c>
      <c r="BY799" s="731" t="str">
        <f t="shared" si="1322"/>
        <v>SR</v>
      </c>
    </row>
    <row r="800" s="698" customFormat="1" customHeight="1" spans="1:77">
      <c r="A800" s="248">
        <v>46148</v>
      </c>
      <c r="B800" s="248">
        <v>46195</v>
      </c>
      <c r="C800" s="268" t="s">
        <v>815</v>
      </c>
      <c r="D800" s="268" t="s">
        <v>816</v>
      </c>
      <c r="E800" s="211" t="s">
        <v>112</v>
      </c>
      <c r="F800" s="343">
        <v>450</v>
      </c>
      <c r="G800" s="268" t="s">
        <v>510</v>
      </c>
      <c r="H800" s="211" t="str">
        <f>IFERROR(VLOOKUP(E800,名称!A:E,4,0),"")</f>
        <v>三代</v>
      </c>
      <c r="I800" s="268" t="str">
        <f t="shared" si="1255"/>
        <v/>
      </c>
      <c r="J800" s="268" t="str">
        <f t="shared" si="1256"/>
        <v/>
      </c>
      <c r="K800" s="268" t="str">
        <f t="shared" si="1257"/>
        <v/>
      </c>
      <c r="L800" s="268" t="str">
        <f t="shared" si="1258"/>
        <v/>
      </c>
      <c r="M800" s="268" t="str">
        <f t="shared" si="1259"/>
        <v/>
      </c>
      <c r="N800" s="268" t="str">
        <f t="shared" si="1260"/>
        <v/>
      </c>
      <c r="O800" s="268" t="str">
        <f t="shared" si="1261"/>
        <v/>
      </c>
      <c r="P800" s="268" t="str">
        <f t="shared" si="1262"/>
        <v/>
      </c>
      <c r="Q800" s="268" t="str">
        <f t="shared" si="1263"/>
        <v/>
      </c>
      <c r="R800" s="268" t="str">
        <f t="shared" si="1264"/>
        <v/>
      </c>
      <c r="S800" s="268" t="str">
        <f t="shared" si="1265"/>
        <v/>
      </c>
      <c r="T800" s="268" t="str">
        <f t="shared" si="1266"/>
        <v/>
      </c>
      <c r="U800" s="268" t="str">
        <f t="shared" si="1267"/>
        <v/>
      </c>
      <c r="V800" s="268" t="str">
        <f t="shared" si="1268"/>
        <v/>
      </c>
      <c r="W800" s="268" t="str">
        <f t="shared" si="1269"/>
        <v/>
      </c>
      <c r="X800" s="268" t="str">
        <f t="shared" si="1270"/>
        <v/>
      </c>
      <c r="Y800" s="268" t="str">
        <f t="shared" si="1271"/>
        <v/>
      </c>
      <c r="Z800" s="268" t="str">
        <f t="shared" si="1272"/>
        <v/>
      </c>
      <c r="AA800" s="268" t="str">
        <f t="shared" si="1273"/>
        <v/>
      </c>
      <c r="AB800" s="268" t="str">
        <f t="shared" si="1274"/>
        <v/>
      </c>
      <c r="AC800" s="268" t="str">
        <f t="shared" si="1275"/>
        <v/>
      </c>
      <c r="AD800" s="268" t="str">
        <f t="shared" si="1276"/>
        <v/>
      </c>
      <c r="AE800" s="268" t="str">
        <f t="shared" si="1277"/>
        <v/>
      </c>
      <c r="AF800" s="268" t="str">
        <f t="shared" si="1278"/>
        <v/>
      </c>
      <c r="AG800" s="268" t="str">
        <f t="shared" si="1279"/>
        <v/>
      </c>
      <c r="AH800" s="268" t="str">
        <f t="shared" si="1280"/>
        <v/>
      </c>
      <c r="AI800" s="268">
        <f t="shared" si="1281"/>
        <v>450</v>
      </c>
      <c r="AJ800" s="268" t="str">
        <f t="shared" si="1282"/>
        <v/>
      </c>
      <c r="AK800" s="268" t="str">
        <f t="shared" si="1283"/>
        <v/>
      </c>
      <c r="AL800" s="268" t="str">
        <f t="shared" si="1284"/>
        <v/>
      </c>
      <c r="AM800" s="268" t="str">
        <f t="shared" si="1285"/>
        <v/>
      </c>
      <c r="AN800" s="268" t="str">
        <f t="shared" si="1286"/>
        <v/>
      </c>
      <c r="AO800" s="268" t="str">
        <f t="shared" si="1287"/>
        <v/>
      </c>
      <c r="AP800" s="268" t="str">
        <f t="shared" si="1288"/>
        <v/>
      </c>
      <c r="AQ800" s="268" t="str">
        <f t="shared" si="1289"/>
        <v/>
      </c>
      <c r="AR800" s="268" t="str">
        <f t="shared" si="1290"/>
        <v/>
      </c>
      <c r="AS800" s="268" t="str">
        <f t="shared" si="1291"/>
        <v/>
      </c>
      <c r="AT800" s="268" t="str">
        <f t="shared" si="1292"/>
        <v/>
      </c>
      <c r="AU800" s="268" t="str">
        <f t="shared" si="1293"/>
        <v/>
      </c>
      <c r="AV800" s="268" t="str">
        <f t="shared" si="1294"/>
        <v/>
      </c>
      <c r="AW800" s="268" t="str">
        <f t="shared" si="1295"/>
        <v/>
      </c>
      <c r="AX800" s="268" t="str">
        <f t="shared" si="1296"/>
        <v/>
      </c>
      <c r="AY800" s="268" t="str">
        <f t="shared" si="1297"/>
        <v/>
      </c>
      <c r="AZ800" s="268" t="str">
        <f t="shared" si="1298"/>
        <v/>
      </c>
      <c r="BA800" s="268" t="str">
        <f t="shared" si="1299"/>
        <v/>
      </c>
      <c r="BB800" s="268" t="str">
        <f t="shared" si="1300"/>
        <v/>
      </c>
      <c r="BC800" s="268" t="str">
        <f t="shared" si="1301"/>
        <v/>
      </c>
      <c r="BD800" s="268" t="str">
        <f t="shared" si="1302"/>
        <v/>
      </c>
      <c r="BE800" s="268" t="str">
        <f t="shared" si="1303"/>
        <v/>
      </c>
      <c r="BF800" s="268" t="str">
        <f t="shared" si="1304"/>
        <v/>
      </c>
      <c r="BG800" s="268" t="str">
        <f t="shared" si="1305"/>
        <v/>
      </c>
      <c r="BH800" s="268" t="str">
        <f t="shared" si="1306"/>
        <v/>
      </c>
      <c r="BI800" s="268" t="str">
        <f t="shared" si="1307"/>
        <v/>
      </c>
      <c r="BJ800" s="268" t="str">
        <f t="shared" si="1308"/>
        <v/>
      </c>
      <c r="BK800" s="268" t="str">
        <f t="shared" si="1309"/>
        <v/>
      </c>
      <c r="BL800" s="268" t="str">
        <f t="shared" si="1310"/>
        <v/>
      </c>
      <c r="BM800" s="268" t="str">
        <f t="shared" si="1311"/>
        <v/>
      </c>
      <c r="BN800" s="268" t="str">
        <f t="shared" si="1312"/>
        <v/>
      </c>
      <c r="BO800" s="268" t="str">
        <f t="shared" si="1313"/>
        <v/>
      </c>
      <c r="BP800" s="268" t="str">
        <f t="shared" si="1314"/>
        <v/>
      </c>
      <c r="BQ800" s="268" t="str">
        <f t="shared" si="1315"/>
        <v/>
      </c>
      <c r="BR800" s="268" t="str">
        <f t="shared" si="1316"/>
        <v/>
      </c>
      <c r="BS800" s="268" t="str">
        <f t="shared" si="1317"/>
        <v/>
      </c>
      <c r="BT800" s="268" t="str">
        <f t="shared" si="1318"/>
        <v/>
      </c>
      <c r="BU800" s="268" t="str">
        <f t="shared" si="1319"/>
        <v/>
      </c>
      <c r="BV800" s="247">
        <v>9.95</v>
      </c>
      <c r="BW800" s="729">
        <f t="shared" si="1320"/>
        <v>4477.5</v>
      </c>
      <c r="BX800" s="730">
        <f t="shared" si="1321"/>
        <v>34700.63</v>
      </c>
      <c r="BY800" s="731" t="str">
        <f t="shared" si="1322"/>
        <v>SR</v>
      </c>
    </row>
    <row r="801" s="698" customFormat="1" customHeight="1" spans="1:77">
      <c r="A801" s="248">
        <v>46148</v>
      </c>
      <c r="B801" s="248">
        <v>46195</v>
      </c>
      <c r="C801" s="268" t="s">
        <v>815</v>
      </c>
      <c r="D801" s="268" t="s">
        <v>816</v>
      </c>
      <c r="E801" s="268" t="s">
        <v>85</v>
      </c>
      <c r="F801" s="343">
        <v>960</v>
      </c>
      <c r="G801" s="268" t="s">
        <v>510</v>
      </c>
      <c r="H801" s="211" t="str">
        <f>IFERROR(VLOOKUP(E801,名称!A:E,4,0),"")</f>
        <v>三代</v>
      </c>
      <c r="I801" s="268" t="str">
        <f t="shared" si="1255"/>
        <v/>
      </c>
      <c r="J801" s="268" t="str">
        <f t="shared" si="1256"/>
        <v/>
      </c>
      <c r="K801" s="268" t="str">
        <f t="shared" si="1257"/>
        <v/>
      </c>
      <c r="L801" s="268" t="str">
        <f t="shared" si="1258"/>
        <v/>
      </c>
      <c r="M801" s="268" t="str">
        <f t="shared" si="1259"/>
        <v/>
      </c>
      <c r="N801" s="268" t="str">
        <f t="shared" si="1260"/>
        <v/>
      </c>
      <c r="O801" s="268" t="str">
        <f t="shared" si="1261"/>
        <v/>
      </c>
      <c r="P801" s="268" t="str">
        <f t="shared" si="1262"/>
        <v/>
      </c>
      <c r="Q801" s="268" t="str">
        <f t="shared" si="1263"/>
        <v/>
      </c>
      <c r="R801" s="268" t="str">
        <f t="shared" si="1264"/>
        <v/>
      </c>
      <c r="S801" s="268" t="str">
        <f t="shared" si="1265"/>
        <v/>
      </c>
      <c r="T801" s="268" t="str">
        <f t="shared" si="1266"/>
        <v/>
      </c>
      <c r="U801" s="268" t="str">
        <f t="shared" si="1267"/>
        <v/>
      </c>
      <c r="V801" s="268" t="str">
        <f t="shared" si="1268"/>
        <v/>
      </c>
      <c r="W801" s="268" t="str">
        <f t="shared" si="1269"/>
        <v/>
      </c>
      <c r="X801" s="268" t="str">
        <f t="shared" si="1270"/>
        <v/>
      </c>
      <c r="Y801" s="268" t="str">
        <f t="shared" si="1271"/>
        <v/>
      </c>
      <c r="Z801" s="268" t="str">
        <f t="shared" si="1272"/>
        <v/>
      </c>
      <c r="AA801" s="268" t="str">
        <f t="shared" si="1273"/>
        <v/>
      </c>
      <c r="AB801" s="268" t="str">
        <f t="shared" si="1274"/>
        <v/>
      </c>
      <c r="AC801" s="268" t="str">
        <f t="shared" si="1275"/>
        <v/>
      </c>
      <c r="AD801" s="268" t="str">
        <f t="shared" si="1276"/>
        <v/>
      </c>
      <c r="AE801" s="268" t="str">
        <f t="shared" si="1277"/>
        <v/>
      </c>
      <c r="AF801" s="268" t="str">
        <f t="shared" si="1278"/>
        <v/>
      </c>
      <c r="AG801" s="268" t="str">
        <f t="shared" si="1279"/>
        <v/>
      </c>
      <c r="AH801" s="268" t="str">
        <f t="shared" si="1280"/>
        <v/>
      </c>
      <c r="AI801" s="268" t="str">
        <f t="shared" si="1281"/>
        <v/>
      </c>
      <c r="AJ801" s="268" t="str">
        <f t="shared" si="1282"/>
        <v/>
      </c>
      <c r="AK801" s="268" t="str">
        <f t="shared" si="1283"/>
        <v/>
      </c>
      <c r="AL801" s="268" t="str">
        <f t="shared" si="1284"/>
        <v/>
      </c>
      <c r="AM801" s="268" t="str">
        <f t="shared" si="1285"/>
        <v/>
      </c>
      <c r="AN801" s="268">
        <f t="shared" si="1286"/>
        <v>960</v>
      </c>
      <c r="AO801" s="268" t="str">
        <f t="shared" si="1287"/>
        <v/>
      </c>
      <c r="AP801" s="268" t="str">
        <f t="shared" si="1288"/>
        <v/>
      </c>
      <c r="AQ801" s="268" t="str">
        <f t="shared" si="1289"/>
        <v/>
      </c>
      <c r="AR801" s="268" t="str">
        <f t="shared" si="1290"/>
        <v/>
      </c>
      <c r="AS801" s="268" t="str">
        <f t="shared" si="1291"/>
        <v/>
      </c>
      <c r="AT801" s="268" t="str">
        <f t="shared" si="1292"/>
        <v/>
      </c>
      <c r="AU801" s="268" t="str">
        <f t="shared" si="1293"/>
        <v/>
      </c>
      <c r="AV801" s="268" t="str">
        <f t="shared" si="1294"/>
        <v/>
      </c>
      <c r="AW801" s="268" t="str">
        <f t="shared" si="1295"/>
        <v/>
      </c>
      <c r="AX801" s="268" t="str">
        <f t="shared" si="1296"/>
        <v/>
      </c>
      <c r="AY801" s="268" t="str">
        <f t="shared" si="1297"/>
        <v/>
      </c>
      <c r="AZ801" s="268" t="str">
        <f t="shared" si="1298"/>
        <v/>
      </c>
      <c r="BA801" s="268" t="str">
        <f t="shared" si="1299"/>
        <v/>
      </c>
      <c r="BB801" s="268" t="str">
        <f t="shared" si="1300"/>
        <v/>
      </c>
      <c r="BC801" s="268" t="str">
        <f t="shared" si="1301"/>
        <v/>
      </c>
      <c r="BD801" s="268" t="str">
        <f t="shared" si="1302"/>
        <v/>
      </c>
      <c r="BE801" s="268" t="str">
        <f t="shared" si="1303"/>
        <v/>
      </c>
      <c r="BF801" s="268" t="str">
        <f t="shared" si="1304"/>
        <v/>
      </c>
      <c r="BG801" s="268" t="str">
        <f t="shared" si="1305"/>
        <v/>
      </c>
      <c r="BH801" s="268" t="str">
        <f t="shared" si="1306"/>
        <v/>
      </c>
      <c r="BI801" s="268" t="str">
        <f t="shared" si="1307"/>
        <v/>
      </c>
      <c r="BJ801" s="268" t="str">
        <f t="shared" si="1308"/>
        <v/>
      </c>
      <c r="BK801" s="268" t="str">
        <f t="shared" si="1309"/>
        <v/>
      </c>
      <c r="BL801" s="268" t="str">
        <f t="shared" si="1310"/>
        <v/>
      </c>
      <c r="BM801" s="268" t="str">
        <f t="shared" si="1311"/>
        <v/>
      </c>
      <c r="BN801" s="268" t="str">
        <f t="shared" si="1312"/>
        <v/>
      </c>
      <c r="BO801" s="268" t="str">
        <f t="shared" si="1313"/>
        <v/>
      </c>
      <c r="BP801" s="268" t="str">
        <f t="shared" si="1314"/>
        <v/>
      </c>
      <c r="BQ801" s="268" t="str">
        <f t="shared" si="1315"/>
        <v/>
      </c>
      <c r="BR801" s="268" t="str">
        <f t="shared" si="1316"/>
        <v/>
      </c>
      <c r="BS801" s="268" t="str">
        <f t="shared" si="1317"/>
        <v/>
      </c>
      <c r="BT801" s="268" t="str">
        <f t="shared" si="1318"/>
        <v/>
      </c>
      <c r="BU801" s="268" t="str">
        <f t="shared" si="1319"/>
        <v/>
      </c>
      <c r="BV801" s="247">
        <v>0.91</v>
      </c>
      <c r="BW801" s="729">
        <f t="shared" si="1320"/>
        <v>873.6</v>
      </c>
      <c r="BX801" s="730">
        <f t="shared" si="1321"/>
        <v>6770.4</v>
      </c>
      <c r="BY801" s="731" t="str">
        <f t="shared" si="1322"/>
        <v>SR</v>
      </c>
    </row>
    <row r="802" s="698" customFormat="1" customHeight="1" spans="1:77">
      <c r="A802" s="248">
        <v>46148</v>
      </c>
      <c r="B802" s="248">
        <v>46195</v>
      </c>
      <c r="C802" s="268" t="s">
        <v>815</v>
      </c>
      <c r="D802" s="268" t="s">
        <v>816</v>
      </c>
      <c r="E802" s="268" t="s">
        <v>109</v>
      </c>
      <c r="F802" s="343">
        <v>1200</v>
      </c>
      <c r="G802" s="268" t="s">
        <v>510</v>
      </c>
      <c r="H802" s="211" t="str">
        <f>IFERROR(VLOOKUP(E802,名称!A:E,4,0),"")</f>
        <v>三代</v>
      </c>
      <c r="I802" s="268" t="str">
        <f t="shared" si="1255"/>
        <v/>
      </c>
      <c r="J802" s="268" t="str">
        <f t="shared" si="1256"/>
        <v/>
      </c>
      <c r="K802" s="268" t="str">
        <f t="shared" si="1257"/>
        <v/>
      </c>
      <c r="L802" s="268" t="str">
        <f t="shared" si="1258"/>
        <v/>
      </c>
      <c r="M802" s="268" t="str">
        <f t="shared" si="1259"/>
        <v/>
      </c>
      <c r="N802" s="268" t="str">
        <f t="shared" si="1260"/>
        <v/>
      </c>
      <c r="O802" s="268" t="str">
        <f t="shared" si="1261"/>
        <v/>
      </c>
      <c r="P802" s="268" t="str">
        <f t="shared" si="1262"/>
        <v/>
      </c>
      <c r="Q802" s="268" t="str">
        <f t="shared" si="1263"/>
        <v/>
      </c>
      <c r="R802" s="268" t="str">
        <f t="shared" si="1264"/>
        <v/>
      </c>
      <c r="S802" s="268" t="str">
        <f t="shared" si="1265"/>
        <v/>
      </c>
      <c r="T802" s="268" t="str">
        <f t="shared" si="1266"/>
        <v/>
      </c>
      <c r="U802" s="268" t="str">
        <f t="shared" si="1267"/>
        <v/>
      </c>
      <c r="V802" s="268" t="str">
        <f t="shared" si="1268"/>
        <v/>
      </c>
      <c r="W802" s="268" t="str">
        <f t="shared" si="1269"/>
        <v/>
      </c>
      <c r="X802" s="268" t="str">
        <f t="shared" si="1270"/>
        <v/>
      </c>
      <c r="Y802" s="268" t="str">
        <f t="shared" si="1271"/>
        <v/>
      </c>
      <c r="Z802" s="268" t="str">
        <f t="shared" si="1272"/>
        <v/>
      </c>
      <c r="AA802" s="268" t="str">
        <f t="shared" si="1273"/>
        <v/>
      </c>
      <c r="AB802" s="268" t="str">
        <f t="shared" si="1274"/>
        <v/>
      </c>
      <c r="AC802" s="268" t="str">
        <f t="shared" si="1275"/>
        <v/>
      </c>
      <c r="AD802" s="268" t="str">
        <f t="shared" si="1276"/>
        <v/>
      </c>
      <c r="AE802" s="268" t="str">
        <f t="shared" si="1277"/>
        <v/>
      </c>
      <c r="AF802" s="268" t="str">
        <f t="shared" si="1278"/>
        <v/>
      </c>
      <c r="AG802" s="268" t="str">
        <f t="shared" si="1279"/>
        <v/>
      </c>
      <c r="AH802" s="268" t="str">
        <f t="shared" si="1280"/>
        <v/>
      </c>
      <c r="AI802" s="268" t="str">
        <f t="shared" si="1281"/>
        <v/>
      </c>
      <c r="AJ802" s="268" t="str">
        <f t="shared" si="1282"/>
        <v/>
      </c>
      <c r="AK802" s="268" t="str">
        <f t="shared" si="1283"/>
        <v/>
      </c>
      <c r="AL802" s="268" t="str">
        <f t="shared" si="1284"/>
        <v/>
      </c>
      <c r="AM802" s="268" t="str">
        <f t="shared" si="1285"/>
        <v/>
      </c>
      <c r="AN802" s="268" t="str">
        <f t="shared" si="1286"/>
        <v/>
      </c>
      <c r="AO802" s="268" t="str">
        <f t="shared" si="1287"/>
        <v/>
      </c>
      <c r="AP802" s="268" t="str">
        <f t="shared" si="1288"/>
        <v/>
      </c>
      <c r="AQ802" s="268" t="str">
        <f t="shared" si="1289"/>
        <v/>
      </c>
      <c r="AR802" s="268" t="str">
        <f t="shared" si="1290"/>
        <v/>
      </c>
      <c r="AS802" s="268" t="str">
        <f t="shared" si="1291"/>
        <v/>
      </c>
      <c r="AT802" s="268" t="str">
        <f t="shared" si="1292"/>
        <v/>
      </c>
      <c r="AU802" s="268" t="str">
        <f t="shared" si="1293"/>
        <v/>
      </c>
      <c r="AV802" s="268" t="str">
        <f t="shared" si="1294"/>
        <v/>
      </c>
      <c r="AW802" s="268" t="str">
        <f t="shared" si="1295"/>
        <v/>
      </c>
      <c r="AX802" s="268" t="str">
        <f t="shared" si="1296"/>
        <v/>
      </c>
      <c r="AY802" s="268" t="str">
        <f t="shared" si="1297"/>
        <v/>
      </c>
      <c r="AZ802" s="268" t="str">
        <f t="shared" si="1298"/>
        <v/>
      </c>
      <c r="BA802" s="268" t="str">
        <f t="shared" si="1299"/>
        <v/>
      </c>
      <c r="BB802" s="268" t="str">
        <f t="shared" si="1300"/>
        <v/>
      </c>
      <c r="BC802" s="268">
        <f t="shared" si="1301"/>
        <v>1200</v>
      </c>
      <c r="BD802" s="268" t="str">
        <f t="shared" si="1302"/>
        <v/>
      </c>
      <c r="BE802" s="268" t="str">
        <f t="shared" si="1303"/>
        <v/>
      </c>
      <c r="BF802" s="268" t="str">
        <f t="shared" si="1304"/>
        <v/>
      </c>
      <c r="BG802" s="268" t="str">
        <f t="shared" si="1305"/>
        <v/>
      </c>
      <c r="BH802" s="268" t="str">
        <f t="shared" si="1306"/>
        <v/>
      </c>
      <c r="BI802" s="268" t="str">
        <f t="shared" si="1307"/>
        <v/>
      </c>
      <c r="BJ802" s="268" t="str">
        <f t="shared" si="1308"/>
        <v/>
      </c>
      <c r="BK802" s="268" t="str">
        <f t="shared" si="1309"/>
        <v/>
      </c>
      <c r="BL802" s="268" t="str">
        <f t="shared" si="1310"/>
        <v/>
      </c>
      <c r="BM802" s="268" t="str">
        <f t="shared" si="1311"/>
        <v/>
      </c>
      <c r="BN802" s="268" t="str">
        <f t="shared" si="1312"/>
        <v/>
      </c>
      <c r="BO802" s="268" t="str">
        <f t="shared" si="1313"/>
        <v/>
      </c>
      <c r="BP802" s="268" t="str">
        <f t="shared" si="1314"/>
        <v/>
      </c>
      <c r="BQ802" s="268" t="str">
        <f t="shared" si="1315"/>
        <v/>
      </c>
      <c r="BR802" s="268" t="str">
        <f t="shared" si="1316"/>
        <v/>
      </c>
      <c r="BS802" s="268" t="str">
        <f t="shared" si="1317"/>
        <v/>
      </c>
      <c r="BT802" s="268" t="str">
        <f t="shared" si="1318"/>
        <v/>
      </c>
      <c r="BU802" s="268" t="str">
        <f t="shared" si="1319"/>
        <v/>
      </c>
      <c r="BV802" s="247">
        <v>0.64</v>
      </c>
      <c r="BW802" s="729">
        <f t="shared" si="1320"/>
        <v>768</v>
      </c>
      <c r="BX802" s="730">
        <f t="shared" si="1321"/>
        <v>5952</v>
      </c>
      <c r="BY802" s="731" t="str">
        <f t="shared" si="1322"/>
        <v>JS</v>
      </c>
    </row>
    <row r="803" s="698" customFormat="1" customHeight="1" spans="1:77">
      <c r="A803" s="248">
        <v>46148</v>
      </c>
      <c r="B803" s="248">
        <v>46195</v>
      </c>
      <c r="C803" s="268" t="s">
        <v>815</v>
      </c>
      <c r="D803" s="268" t="s">
        <v>816</v>
      </c>
      <c r="E803" s="268" t="s">
        <v>63</v>
      </c>
      <c r="F803" s="343">
        <v>720</v>
      </c>
      <c r="G803" s="268" t="s">
        <v>510</v>
      </c>
      <c r="H803" s="211" t="str">
        <f>IFERROR(VLOOKUP(E803,名称!A:E,4,0),"")</f>
        <v>三代</v>
      </c>
      <c r="I803" s="268" t="str">
        <f t="shared" si="1255"/>
        <v/>
      </c>
      <c r="J803" s="268" t="str">
        <f t="shared" si="1256"/>
        <v/>
      </c>
      <c r="K803" s="268" t="str">
        <f t="shared" si="1257"/>
        <v/>
      </c>
      <c r="L803" s="268" t="str">
        <f t="shared" si="1258"/>
        <v/>
      </c>
      <c r="M803" s="268" t="str">
        <f t="shared" si="1259"/>
        <v/>
      </c>
      <c r="N803" s="268" t="str">
        <f t="shared" si="1260"/>
        <v/>
      </c>
      <c r="O803" s="268" t="str">
        <f t="shared" si="1261"/>
        <v/>
      </c>
      <c r="P803" s="268" t="str">
        <f t="shared" si="1262"/>
        <v/>
      </c>
      <c r="Q803" s="268" t="str">
        <f t="shared" si="1263"/>
        <v/>
      </c>
      <c r="R803" s="268" t="str">
        <f t="shared" si="1264"/>
        <v/>
      </c>
      <c r="S803" s="268" t="str">
        <f t="shared" si="1265"/>
        <v/>
      </c>
      <c r="T803" s="268" t="str">
        <f t="shared" si="1266"/>
        <v/>
      </c>
      <c r="U803" s="268" t="str">
        <f t="shared" si="1267"/>
        <v/>
      </c>
      <c r="V803" s="268" t="str">
        <f t="shared" si="1268"/>
        <v/>
      </c>
      <c r="W803" s="268" t="str">
        <f t="shared" si="1269"/>
        <v/>
      </c>
      <c r="X803" s="268" t="str">
        <f t="shared" si="1270"/>
        <v/>
      </c>
      <c r="Y803" s="268" t="str">
        <f t="shared" si="1271"/>
        <v/>
      </c>
      <c r="Z803" s="268" t="str">
        <f t="shared" si="1272"/>
        <v/>
      </c>
      <c r="AA803" s="268" t="str">
        <f t="shared" si="1273"/>
        <v/>
      </c>
      <c r="AB803" s="268" t="str">
        <f t="shared" si="1274"/>
        <v/>
      </c>
      <c r="AC803" s="268" t="str">
        <f t="shared" si="1275"/>
        <v/>
      </c>
      <c r="AD803" s="268" t="str">
        <f t="shared" si="1276"/>
        <v/>
      </c>
      <c r="AE803" s="268" t="str">
        <f t="shared" si="1277"/>
        <v/>
      </c>
      <c r="AF803" s="268">
        <f t="shared" si="1278"/>
        <v>720</v>
      </c>
      <c r="AG803" s="268" t="str">
        <f t="shared" si="1279"/>
        <v/>
      </c>
      <c r="AH803" s="268" t="str">
        <f t="shared" si="1280"/>
        <v/>
      </c>
      <c r="AI803" s="268" t="str">
        <f t="shared" si="1281"/>
        <v/>
      </c>
      <c r="AJ803" s="268" t="str">
        <f t="shared" si="1282"/>
        <v/>
      </c>
      <c r="AK803" s="268" t="str">
        <f t="shared" si="1283"/>
        <v/>
      </c>
      <c r="AL803" s="268" t="str">
        <f t="shared" si="1284"/>
        <v/>
      </c>
      <c r="AM803" s="268" t="str">
        <f t="shared" si="1285"/>
        <v/>
      </c>
      <c r="AN803" s="268" t="str">
        <f t="shared" si="1286"/>
        <v/>
      </c>
      <c r="AO803" s="268" t="str">
        <f t="shared" si="1287"/>
        <v/>
      </c>
      <c r="AP803" s="268" t="str">
        <f t="shared" si="1288"/>
        <v/>
      </c>
      <c r="AQ803" s="268" t="str">
        <f t="shared" si="1289"/>
        <v/>
      </c>
      <c r="AR803" s="268" t="str">
        <f t="shared" si="1290"/>
        <v/>
      </c>
      <c r="AS803" s="268" t="str">
        <f t="shared" si="1291"/>
        <v/>
      </c>
      <c r="AT803" s="268" t="str">
        <f t="shared" si="1292"/>
        <v/>
      </c>
      <c r="AU803" s="268" t="str">
        <f t="shared" si="1293"/>
        <v/>
      </c>
      <c r="AV803" s="268" t="str">
        <f t="shared" si="1294"/>
        <v/>
      </c>
      <c r="AW803" s="268" t="str">
        <f t="shared" si="1295"/>
        <v/>
      </c>
      <c r="AX803" s="268" t="str">
        <f t="shared" si="1296"/>
        <v/>
      </c>
      <c r="AY803" s="268" t="str">
        <f t="shared" si="1297"/>
        <v/>
      </c>
      <c r="AZ803" s="268" t="str">
        <f t="shared" si="1298"/>
        <v/>
      </c>
      <c r="BA803" s="268" t="str">
        <f t="shared" si="1299"/>
        <v/>
      </c>
      <c r="BB803" s="268" t="str">
        <f t="shared" si="1300"/>
        <v/>
      </c>
      <c r="BC803" s="268" t="str">
        <f t="shared" si="1301"/>
        <v/>
      </c>
      <c r="BD803" s="268" t="str">
        <f t="shared" si="1302"/>
        <v/>
      </c>
      <c r="BE803" s="268" t="str">
        <f t="shared" si="1303"/>
        <v/>
      </c>
      <c r="BF803" s="268" t="str">
        <f t="shared" si="1304"/>
        <v/>
      </c>
      <c r="BG803" s="268" t="str">
        <f t="shared" si="1305"/>
        <v/>
      </c>
      <c r="BH803" s="268" t="str">
        <f t="shared" si="1306"/>
        <v/>
      </c>
      <c r="BI803" s="268" t="str">
        <f t="shared" si="1307"/>
        <v/>
      </c>
      <c r="BJ803" s="268" t="str">
        <f t="shared" si="1308"/>
        <v/>
      </c>
      <c r="BK803" s="268" t="str">
        <f t="shared" si="1309"/>
        <v/>
      </c>
      <c r="BL803" s="268" t="str">
        <f t="shared" si="1310"/>
        <v/>
      </c>
      <c r="BM803" s="268" t="str">
        <f t="shared" si="1311"/>
        <v/>
      </c>
      <c r="BN803" s="268" t="str">
        <f t="shared" si="1312"/>
        <v/>
      </c>
      <c r="BO803" s="268" t="str">
        <f t="shared" si="1313"/>
        <v/>
      </c>
      <c r="BP803" s="268" t="str">
        <f t="shared" si="1314"/>
        <v/>
      </c>
      <c r="BQ803" s="268" t="str">
        <f t="shared" si="1315"/>
        <v/>
      </c>
      <c r="BR803" s="268" t="str">
        <f t="shared" si="1316"/>
        <v/>
      </c>
      <c r="BS803" s="268" t="str">
        <f t="shared" si="1317"/>
        <v/>
      </c>
      <c r="BT803" s="268" t="str">
        <f t="shared" si="1318"/>
        <v/>
      </c>
      <c r="BU803" s="268" t="str">
        <f t="shared" si="1319"/>
        <v/>
      </c>
      <c r="BV803" s="247">
        <v>0.66</v>
      </c>
      <c r="BW803" s="729">
        <f t="shared" si="1320"/>
        <v>475.2</v>
      </c>
      <c r="BX803" s="730">
        <f t="shared" si="1321"/>
        <v>3682.8</v>
      </c>
      <c r="BY803" s="731" t="str">
        <f t="shared" si="1322"/>
        <v>SR</v>
      </c>
    </row>
    <row r="804" s="698" customFormat="1" customHeight="1" spans="1:77">
      <c r="A804" s="248">
        <v>46148</v>
      </c>
      <c r="B804" s="248">
        <v>46195</v>
      </c>
      <c r="C804" s="268" t="s">
        <v>815</v>
      </c>
      <c r="D804" s="268" t="s">
        <v>816</v>
      </c>
      <c r="E804" s="268" t="s">
        <v>61</v>
      </c>
      <c r="F804" s="343">
        <v>960</v>
      </c>
      <c r="G804" s="268" t="s">
        <v>510</v>
      </c>
      <c r="H804" s="211" t="str">
        <f>IFERROR(VLOOKUP(E804,名称!A:E,4,0),"")</f>
        <v>三代</v>
      </c>
      <c r="I804" s="268" t="str">
        <f t="shared" si="1255"/>
        <v/>
      </c>
      <c r="J804" s="268" t="str">
        <f t="shared" si="1256"/>
        <v/>
      </c>
      <c r="K804" s="268" t="str">
        <f t="shared" si="1257"/>
        <v/>
      </c>
      <c r="L804" s="268" t="str">
        <f t="shared" si="1258"/>
        <v/>
      </c>
      <c r="M804" s="268" t="str">
        <f t="shared" si="1259"/>
        <v/>
      </c>
      <c r="N804" s="268" t="str">
        <f t="shared" si="1260"/>
        <v/>
      </c>
      <c r="O804" s="268" t="str">
        <f t="shared" si="1261"/>
        <v/>
      </c>
      <c r="P804" s="268" t="str">
        <f t="shared" si="1262"/>
        <v/>
      </c>
      <c r="Q804" s="268" t="str">
        <f t="shared" si="1263"/>
        <v/>
      </c>
      <c r="R804" s="268" t="str">
        <f t="shared" si="1264"/>
        <v/>
      </c>
      <c r="S804" s="268" t="str">
        <f t="shared" si="1265"/>
        <v/>
      </c>
      <c r="T804" s="268" t="str">
        <f t="shared" si="1266"/>
        <v/>
      </c>
      <c r="U804" s="268" t="str">
        <f t="shared" si="1267"/>
        <v/>
      </c>
      <c r="V804" s="268" t="str">
        <f t="shared" si="1268"/>
        <v/>
      </c>
      <c r="W804" s="268" t="str">
        <f t="shared" si="1269"/>
        <v/>
      </c>
      <c r="X804" s="268" t="str">
        <f t="shared" si="1270"/>
        <v/>
      </c>
      <c r="Y804" s="268" t="str">
        <f t="shared" si="1271"/>
        <v/>
      </c>
      <c r="Z804" s="268" t="str">
        <f t="shared" si="1272"/>
        <v/>
      </c>
      <c r="AA804" s="268" t="str">
        <f t="shared" si="1273"/>
        <v/>
      </c>
      <c r="AB804" s="268" t="str">
        <f t="shared" si="1274"/>
        <v/>
      </c>
      <c r="AC804" s="268" t="str">
        <f t="shared" si="1275"/>
        <v/>
      </c>
      <c r="AD804" s="268" t="str">
        <f t="shared" si="1276"/>
        <v/>
      </c>
      <c r="AE804" s="268">
        <f t="shared" si="1277"/>
        <v>960</v>
      </c>
      <c r="AF804" s="268" t="str">
        <f t="shared" si="1278"/>
        <v/>
      </c>
      <c r="AG804" s="268" t="str">
        <f t="shared" si="1279"/>
        <v/>
      </c>
      <c r="AH804" s="268" t="str">
        <f t="shared" si="1280"/>
        <v/>
      </c>
      <c r="AI804" s="268" t="str">
        <f t="shared" si="1281"/>
        <v/>
      </c>
      <c r="AJ804" s="268" t="str">
        <f t="shared" si="1282"/>
        <v/>
      </c>
      <c r="AK804" s="268" t="str">
        <f t="shared" si="1283"/>
        <v/>
      </c>
      <c r="AL804" s="268" t="str">
        <f t="shared" si="1284"/>
        <v/>
      </c>
      <c r="AM804" s="268" t="str">
        <f t="shared" si="1285"/>
        <v/>
      </c>
      <c r="AN804" s="268" t="str">
        <f t="shared" si="1286"/>
        <v/>
      </c>
      <c r="AO804" s="268" t="str">
        <f t="shared" si="1287"/>
        <v/>
      </c>
      <c r="AP804" s="268" t="str">
        <f t="shared" si="1288"/>
        <v/>
      </c>
      <c r="AQ804" s="268" t="str">
        <f t="shared" si="1289"/>
        <v/>
      </c>
      <c r="AR804" s="268" t="str">
        <f t="shared" si="1290"/>
        <v/>
      </c>
      <c r="AS804" s="268" t="str">
        <f t="shared" si="1291"/>
        <v/>
      </c>
      <c r="AT804" s="268" t="str">
        <f t="shared" si="1292"/>
        <v/>
      </c>
      <c r="AU804" s="268" t="str">
        <f t="shared" si="1293"/>
        <v/>
      </c>
      <c r="AV804" s="268" t="str">
        <f t="shared" si="1294"/>
        <v/>
      </c>
      <c r="AW804" s="268" t="str">
        <f t="shared" si="1295"/>
        <v/>
      </c>
      <c r="AX804" s="268" t="str">
        <f t="shared" si="1296"/>
        <v/>
      </c>
      <c r="AY804" s="268" t="str">
        <f t="shared" si="1297"/>
        <v/>
      </c>
      <c r="AZ804" s="268" t="str">
        <f t="shared" si="1298"/>
        <v/>
      </c>
      <c r="BA804" s="268" t="str">
        <f t="shared" si="1299"/>
        <v/>
      </c>
      <c r="BB804" s="268" t="str">
        <f t="shared" si="1300"/>
        <v/>
      </c>
      <c r="BC804" s="268" t="str">
        <f t="shared" si="1301"/>
        <v/>
      </c>
      <c r="BD804" s="268" t="str">
        <f t="shared" si="1302"/>
        <v/>
      </c>
      <c r="BE804" s="268" t="str">
        <f t="shared" si="1303"/>
        <v/>
      </c>
      <c r="BF804" s="268" t="str">
        <f t="shared" si="1304"/>
        <v/>
      </c>
      <c r="BG804" s="268" t="str">
        <f t="shared" si="1305"/>
        <v/>
      </c>
      <c r="BH804" s="268" t="str">
        <f t="shared" si="1306"/>
        <v/>
      </c>
      <c r="BI804" s="268" t="str">
        <f t="shared" si="1307"/>
        <v/>
      </c>
      <c r="BJ804" s="268" t="str">
        <f t="shared" si="1308"/>
        <v/>
      </c>
      <c r="BK804" s="268" t="str">
        <f t="shared" si="1309"/>
        <v/>
      </c>
      <c r="BL804" s="268" t="str">
        <f t="shared" si="1310"/>
        <v/>
      </c>
      <c r="BM804" s="268" t="str">
        <f t="shared" si="1311"/>
        <v/>
      </c>
      <c r="BN804" s="268" t="str">
        <f t="shared" si="1312"/>
        <v/>
      </c>
      <c r="BO804" s="268" t="str">
        <f t="shared" si="1313"/>
        <v/>
      </c>
      <c r="BP804" s="268" t="str">
        <f t="shared" si="1314"/>
        <v/>
      </c>
      <c r="BQ804" s="268" t="str">
        <f t="shared" si="1315"/>
        <v/>
      </c>
      <c r="BR804" s="268" t="str">
        <f t="shared" si="1316"/>
        <v/>
      </c>
      <c r="BS804" s="268" t="str">
        <f t="shared" si="1317"/>
        <v/>
      </c>
      <c r="BT804" s="268" t="str">
        <f t="shared" si="1318"/>
        <v/>
      </c>
      <c r="BU804" s="268" t="str">
        <f t="shared" si="1319"/>
        <v/>
      </c>
      <c r="BV804" s="247">
        <v>0.65</v>
      </c>
      <c r="BW804" s="729">
        <f t="shared" si="1320"/>
        <v>624</v>
      </c>
      <c r="BX804" s="730">
        <f t="shared" si="1321"/>
        <v>4836</v>
      </c>
      <c r="BY804" s="731" t="str">
        <f t="shared" si="1322"/>
        <v>SR</v>
      </c>
    </row>
    <row r="805" s="698" customFormat="1" customHeight="1" spans="1:77">
      <c r="A805" s="248">
        <v>46148</v>
      </c>
      <c r="B805" s="248">
        <v>46195</v>
      </c>
      <c r="C805" s="268" t="s">
        <v>815</v>
      </c>
      <c r="D805" s="268" t="s">
        <v>816</v>
      </c>
      <c r="E805" s="268" t="s">
        <v>116</v>
      </c>
      <c r="F805" s="343">
        <v>600</v>
      </c>
      <c r="G805" s="268" t="s">
        <v>510</v>
      </c>
      <c r="H805" s="211" t="str">
        <f>IFERROR(VLOOKUP(E805,名称!A:E,4,0),"")</f>
        <v>三代</v>
      </c>
      <c r="I805" s="268" t="str">
        <f t="shared" si="1255"/>
        <v/>
      </c>
      <c r="J805" s="268" t="str">
        <f t="shared" si="1256"/>
        <v/>
      </c>
      <c r="K805" s="268" t="str">
        <f t="shared" si="1257"/>
        <v/>
      </c>
      <c r="L805" s="268" t="str">
        <f t="shared" si="1258"/>
        <v/>
      </c>
      <c r="M805" s="268" t="str">
        <f t="shared" si="1259"/>
        <v/>
      </c>
      <c r="N805" s="268" t="str">
        <f t="shared" si="1260"/>
        <v/>
      </c>
      <c r="O805" s="268" t="str">
        <f t="shared" si="1261"/>
        <v/>
      </c>
      <c r="P805" s="268" t="str">
        <f t="shared" si="1262"/>
        <v/>
      </c>
      <c r="Q805" s="268" t="str">
        <f t="shared" si="1263"/>
        <v/>
      </c>
      <c r="R805" s="268" t="str">
        <f t="shared" si="1264"/>
        <v/>
      </c>
      <c r="S805" s="268" t="str">
        <f t="shared" si="1265"/>
        <v/>
      </c>
      <c r="T805" s="268" t="str">
        <f t="shared" si="1266"/>
        <v/>
      </c>
      <c r="U805" s="268" t="str">
        <f t="shared" si="1267"/>
        <v/>
      </c>
      <c r="V805" s="268" t="str">
        <f t="shared" si="1268"/>
        <v/>
      </c>
      <c r="W805" s="268" t="str">
        <f t="shared" si="1269"/>
        <v/>
      </c>
      <c r="X805" s="268" t="str">
        <f t="shared" si="1270"/>
        <v/>
      </c>
      <c r="Y805" s="268" t="str">
        <f t="shared" si="1271"/>
        <v/>
      </c>
      <c r="Z805" s="268" t="str">
        <f t="shared" si="1272"/>
        <v/>
      </c>
      <c r="AA805" s="268" t="str">
        <f t="shared" si="1273"/>
        <v/>
      </c>
      <c r="AB805" s="268" t="str">
        <f t="shared" si="1274"/>
        <v/>
      </c>
      <c r="AC805" s="268" t="str">
        <f t="shared" si="1275"/>
        <v/>
      </c>
      <c r="AD805" s="268" t="str">
        <f t="shared" si="1276"/>
        <v/>
      </c>
      <c r="AE805" s="268" t="str">
        <f t="shared" si="1277"/>
        <v/>
      </c>
      <c r="AF805" s="268" t="str">
        <f t="shared" si="1278"/>
        <v/>
      </c>
      <c r="AG805" s="268" t="str">
        <f t="shared" si="1279"/>
        <v/>
      </c>
      <c r="AH805" s="268" t="str">
        <f t="shared" si="1280"/>
        <v/>
      </c>
      <c r="AI805" s="268" t="str">
        <f t="shared" si="1281"/>
        <v/>
      </c>
      <c r="AJ805" s="268" t="str">
        <f t="shared" si="1282"/>
        <v/>
      </c>
      <c r="AK805" s="268" t="str">
        <f t="shared" si="1283"/>
        <v/>
      </c>
      <c r="AL805" s="268" t="str">
        <f t="shared" si="1284"/>
        <v/>
      </c>
      <c r="AM805" s="268">
        <f t="shared" si="1285"/>
        <v>600</v>
      </c>
      <c r="AN805" s="268" t="str">
        <f t="shared" si="1286"/>
        <v/>
      </c>
      <c r="AO805" s="268" t="str">
        <f t="shared" si="1287"/>
        <v/>
      </c>
      <c r="AP805" s="268" t="str">
        <f t="shared" si="1288"/>
        <v/>
      </c>
      <c r="AQ805" s="268" t="str">
        <f t="shared" si="1289"/>
        <v/>
      </c>
      <c r="AR805" s="268" t="str">
        <f t="shared" si="1290"/>
        <v/>
      </c>
      <c r="AS805" s="268" t="str">
        <f t="shared" si="1291"/>
        <v/>
      </c>
      <c r="AT805" s="268" t="str">
        <f t="shared" si="1292"/>
        <v/>
      </c>
      <c r="AU805" s="268" t="str">
        <f t="shared" si="1293"/>
        <v/>
      </c>
      <c r="AV805" s="268" t="str">
        <f t="shared" si="1294"/>
        <v/>
      </c>
      <c r="AW805" s="268" t="str">
        <f t="shared" si="1295"/>
        <v/>
      </c>
      <c r="AX805" s="268" t="str">
        <f t="shared" si="1296"/>
        <v/>
      </c>
      <c r="AY805" s="268" t="str">
        <f t="shared" si="1297"/>
        <v/>
      </c>
      <c r="AZ805" s="268" t="str">
        <f t="shared" si="1298"/>
        <v/>
      </c>
      <c r="BA805" s="268" t="str">
        <f t="shared" si="1299"/>
        <v/>
      </c>
      <c r="BB805" s="268" t="str">
        <f t="shared" si="1300"/>
        <v/>
      </c>
      <c r="BC805" s="268" t="str">
        <f t="shared" si="1301"/>
        <v/>
      </c>
      <c r="BD805" s="268" t="str">
        <f t="shared" si="1302"/>
        <v/>
      </c>
      <c r="BE805" s="268" t="str">
        <f t="shared" si="1303"/>
        <v/>
      </c>
      <c r="BF805" s="268" t="str">
        <f t="shared" si="1304"/>
        <v/>
      </c>
      <c r="BG805" s="268" t="str">
        <f t="shared" si="1305"/>
        <v/>
      </c>
      <c r="BH805" s="268" t="str">
        <f t="shared" si="1306"/>
        <v/>
      </c>
      <c r="BI805" s="268" t="str">
        <f t="shared" si="1307"/>
        <v/>
      </c>
      <c r="BJ805" s="268" t="str">
        <f t="shared" si="1308"/>
        <v/>
      </c>
      <c r="BK805" s="268" t="str">
        <f t="shared" si="1309"/>
        <v/>
      </c>
      <c r="BL805" s="268" t="str">
        <f t="shared" si="1310"/>
        <v/>
      </c>
      <c r="BM805" s="268" t="str">
        <f t="shared" si="1311"/>
        <v/>
      </c>
      <c r="BN805" s="268" t="str">
        <f t="shared" si="1312"/>
        <v/>
      </c>
      <c r="BO805" s="268" t="str">
        <f t="shared" si="1313"/>
        <v/>
      </c>
      <c r="BP805" s="268" t="str">
        <f t="shared" si="1314"/>
        <v/>
      </c>
      <c r="BQ805" s="268" t="str">
        <f t="shared" si="1315"/>
        <v/>
      </c>
      <c r="BR805" s="268" t="str">
        <f t="shared" si="1316"/>
        <v/>
      </c>
      <c r="BS805" s="268" t="str">
        <f t="shared" si="1317"/>
        <v/>
      </c>
      <c r="BT805" s="268" t="str">
        <f t="shared" si="1318"/>
        <v/>
      </c>
      <c r="BU805" s="268" t="str">
        <f t="shared" si="1319"/>
        <v/>
      </c>
      <c r="BV805" s="247">
        <v>1.63</v>
      </c>
      <c r="BW805" s="729">
        <f t="shared" si="1320"/>
        <v>978</v>
      </c>
      <c r="BX805" s="730">
        <f t="shared" si="1321"/>
        <v>7579.5</v>
      </c>
      <c r="BY805" s="731" t="str">
        <f t="shared" si="1322"/>
        <v>SR</v>
      </c>
    </row>
    <row r="806" s="698" customFormat="1" customHeight="1" spans="1:77">
      <c r="A806" s="248">
        <v>46148</v>
      </c>
      <c r="B806" s="248">
        <v>46195</v>
      </c>
      <c r="C806" s="268" t="s">
        <v>815</v>
      </c>
      <c r="D806" s="268" t="s">
        <v>816</v>
      </c>
      <c r="E806" s="268" t="s">
        <v>97</v>
      </c>
      <c r="F806" s="343">
        <v>480</v>
      </c>
      <c r="G806" s="268" t="s">
        <v>510</v>
      </c>
      <c r="H806" s="211" t="str">
        <f>IFERROR(VLOOKUP(E806,名称!A:E,4,0),"")</f>
        <v>三代</v>
      </c>
      <c r="I806" s="268" t="str">
        <f t="shared" si="1255"/>
        <v/>
      </c>
      <c r="J806" s="268" t="str">
        <f t="shared" si="1256"/>
        <v/>
      </c>
      <c r="K806" s="268" t="str">
        <f t="shared" si="1257"/>
        <v/>
      </c>
      <c r="L806" s="268" t="str">
        <f t="shared" si="1258"/>
        <v/>
      </c>
      <c r="M806" s="268" t="str">
        <f t="shared" si="1259"/>
        <v/>
      </c>
      <c r="N806" s="268" t="str">
        <f t="shared" si="1260"/>
        <v/>
      </c>
      <c r="O806" s="268" t="str">
        <f t="shared" si="1261"/>
        <v/>
      </c>
      <c r="P806" s="268" t="str">
        <f t="shared" si="1262"/>
        <v/>
      </c>
      <c r="Q806" s="268" t="str">
        <f t="shared" si="1263"/>
        <v/>
      </c>
      <c r="R806" s="268" t="str">
        <f t="shared" si="1264"/>
        <v/>
      </c>
      <c r="S806" s="268" t="str">
        <f t="shared" si="1265"/>
        <v/>
      </c>
      <c r="T806" s="268" t="str">
        <f t="shared" si="1266"/>
        <v/>
      </c>
      <c r="U806" s="268" t="str">
        <f t="shared" si="1267"/>
        <v/>
      </c>
      <c r="V806" s="268" t="str">
        <f t="shared" si="1268"/>
        <v/>
      </c>
      <c r="W806" s="268" t="str">
        <f t="shared" si="1269"/>
        <v/>
      </c>
      <c r="X806" s="268" t="str">
        <f t="shared" si="1270"/>
        <v/>
      </c>
      <c r="Y806" s="268" t="str">
        <f t="shared" si="1271"/>
        <v/>
      </c>
      <c r="Z806" s="268" t="str">
        <f t="shared" si="1272"/>
        <v/>
      </c>
      <c r="AA806" s="268" t="str">
        <f t="shared" si="1273"/>
        <v/>
      </c>
      <c r="AB806" s="268" t="str">
        <f t="shared" si="1274"/>
        <v/>
      </c>
      <c r="AC806" s="268" t="str">
        <f t="shared" si="1275"/>
        <v/>
      </c>
      <c r="AD806" s="268" t="str">
        <f t="shared" si="1276"/>
        <v/>
      </c>
      <c r="AE806" s="268" t="str">
        <f t="shared" si="1277"/>
        <v/>
      </c>
      <c r="AF806" s="268" t="str">
        <f t="shared" si="1278"/>
        <v/>
      </c>
      <c r="AG806" s="268" t="str">
        <f t="shared" si="1279"/>
        <v/>
      </c>
      <c r="AH806" s="268" t="str">
        <f t="shared" si="1280"/>
        <v/>
      </c>
      <c r="AI806" s="268" t="str">
        <f t="shared" si="1281"/>
        <v/>
      </c>
      <c r="AJ806" s="268" t="str">
        <f t="shared" si="1282"/>
        <v/>
      </c>
      <c r="AK806" s="268" t="str">
        <f t="shared" si="1283"/>
        <v/>
      </c>
      <c r="AL806" s="268" t="str">
        <f t="shared" si="1284"/>
        <v/>
      </c>
      <c r="AM806" s="268" t="str">
        <f t="shared" si="1285"/>
        <v/>
      </c>
      <c r="AN806" s="268" t="str">
        <f t="shared" si="1286"/>
        <v/>
      </c>
      <c r="AO806" s="268" t="str">
        <f t="shared" si="1287"/>
        <v/>
      </c>
      <c r="AP806" s="268" t="str">
        <f t="shared" si="1288"/>
        <v/>
      </c>
      <c r="AQ806" s="268" t="str">
        <f t="shared" si="1289"/>
        <v/>
      </c>
      <c r="AR806" s="268" t="str">
        <f t="shared" si="1290"/>
        <v/>
      </c>
      <c r="AS806" s="268" t="str">
        <f t="shared" si="1291"/>
        <v/>
      </c>
      <c r="AT806" s="268" t="str">
        <f t="shared" si="1292"/>
        <v/>
      </c>
      <c r="AU806" s="268" t="str">
        <f t="shared" si="1293"/>
        <v/>
      </c>
      <c r="AV806" s="268" t="str">
        <f t="shared" si="1294"/>
        <v/>
      </c>
      <c r="AW806" s="268" t="str">
        <f t="shared" si="1295"/>
        <v/>
      </c>
      <c r="AX806" s="268" t="str">
        <f t="shared" si="1296"/>
        <v/>
      </c>
      <c r="AY806" s="268" t="str">
        <f t="shared" si="1297"/>
        <v/>
      </c>
      <c r="AZ806" s="268" t="str">
        <f t="shared" si="1298"/>
        <v/>
      </c>
      <c r="BA806" s="268">
        <f t="shared" si="1299"/>
        <v>480</v>
      </c>
      <c r="BB806" s="268" t="str">
        <f t="shared" si="1300"/>
        <v/>
      </c>
      <c r="BC806" s="268" t="str">
        <f t="shared" si="1301"/>
        <v/>
      </c>
      <c r="BD806" s="268" t="str">
        <f t="shared" si="1302"/>
        <v/>
      </c>
      <c r="BE806" s="268" t="str">
        <f t="shared" si="1303"/>
        <v/>
      </c>
      <c r="BF806" s="268" t="str">
        <f t="shared" si="1304"/>
        <v/>
      </c>
      <c r="BG806" s="268" t="str">
        <f t="shared" si="1305"/>
        <v/>
      </c>
      <c r="BH806" s="268" t="str">
        <f t="shared" si="1306"/>
        <v/>
      </c>
      <c r="BI806" s="268" t="str">
        <f t="shared" si="1307"/>
        <v/>
      </c>
      <c r="BJ806" s="268" t="str">
        <f t="shared" si="1308"/>
        <v/>
      </c>
      <c r="BK806" s="268" t="str">
        <f t="shared" si="1309"/>
        <v/>
      </c>
      <c r="BL806" s="268" t="str">
        <f t="shared" si="1310"/>
        <v/>
      </c>
      <c r="BM806" s="268" t="str">
        <f t="shared" si="1311"/>
        <v/>
      </c>
      <c r="BN806" s="268" t="str">
        <f t="shared" si="1312"/>
        <v/>
      </c>
      <c r="BO806" s="268" t="str">
        <f t="shared" si="1313"/>
        <v/>
      </c>
      <c r="BP806" s="268" t="str">
        <f t="shared" si="1314"/>
        <v/>
      </c>
      <c r="BQ806" s="268" t="str">
        <f t="shared" si="1315"/>
        <v/>
      </c>
      <c r="BR806" s="268" t="str">
        <f t="shared" si="1316"/>
        <v/>
      </c>
      <c r="BS806" s="268" t="str">
        <f t="shared" si="1317"/>
        <v/>
      </c>
      <c r="BT806" s="268" t="str">
        <f t="shared" si="1318"/>
        <v/>
      </c>
      <c r="BU806" s="268" t="str">
        <f t="shared" si="1319"/>
        <v/>
      </c>
      <c r="BV806" s="247">
        <v>0.66</v>
      </c>
      <c r="BW806" s="729">
        <f t="shared" si="1320"/>
        <v>316.8</v>
      </c>
      <c r="BX806" s="730">
        <f t="shared" si="1321"/>
        <v>2455.2</v>
      </c>
      <c r="BY806" s="731" t="str">
        <f t="shared" si="1322"/>
        <v>SR</v>
      </c>
    </row>
    <row r="807" s="698" customFormat="1" customHeight="1" spans="1:77">
      <c r="A807" s="248">
        <v>46148</v>
      </c>
      <c r="B807" s="248">
        <v>46195</v>
      </c>
      <c r="C807" s="268" t="s">
        <v>815</v>
      </c>
      <c r="D807" s="268" t="s">
        <v>816</v>
      </c>
      <c r="E807" s="268" t="s">
        <v>98</v>
      </c>
      <c r="F807" s="343">
        <v>360</v>
      </c>
      <c r="G807" s="268" t="s">
        <v>510</v>
      </c>
      <c r="H807" s="211" t="str">
        <f>IFERROR(VLOOKUP(E807,名称!A:E,4,0),"")</f>
        <v>三代</v>
      </c>
      <c r="I807" s="268" t="str">
        <f t="shared" si="1255"/>
        <v/>
      </c>
      <c r="J807" s="268" t="str">
        <f t="shared" si="1256"/>
        <v/>
      </c>
      <c r="K807" s="268" t="str">
        <f t="shared" si="1257"/>
        <v/>
      </c>
      <c r="L807" s="268" t="str">
        <f t="shared" si="1258"/>
        <v/>
      </c>
      <c r="M807" s="268" t="str">
        <f t="shared" si="1259"/>
        <v/>
      </c>
      <c r="N807" s="268" t="str">
        <f t="shared" si="1260"/>
        <v/>
      </c>
      <c r="O807" s="268" t="str">
        <f t="shared" si="1261"/>
        <v/>
      </c>
      <c r="P807" s="268" t="str">
        <f t="shared" si="1262"/>
        <v/>
      </c>
      <c r="Q807" s="268" t="str">
        <f t="shared" si="1263"/>
        <v/>
      </c>
      <c r="R807" s="268" t="str">
        <f t="shared" si="1264"/>
        <v/>
      </c>
      <c r="S807" s="268" t="str">
        <f t="shared" si="1265"/>
        <v/>
      </c>
      <c r="T807" s="268" t="str">
        <f t="shared" si="1266"/>
        <v/>
      </c>
      <c r="U807" s="268" t="str">
        <f t="shared" si="1267"/>
        <v/>
      </c>
      <c r="V807" s="268" t="str">
        <f t="shared" si="1268"/>
        <v/>
      </c>
      <c r="W807" s="268" t="str">
        <f t="shared" si="1269"/>
        <v/>
      </c>
      <c r="X807" s="268" t="str">
        <f t="shared" si="1270"/>
        <v/>
      </c>
      <c r="Y807" s="268" t="str">
        <f t="shared" si="1271"/>
        <v/>
      </c>
      <c r="Z807" s="268" t="str">
        <f t="shared" si="1272"/>
        <v/>
      </c>
      <c r="AA807" s="268" t="str">
        <f t="shared" si="1273"/>
        <v/>
      </c>
      <c r="AB807" s="268" t="str">
        <f t="shared" si="1274"/>
        <v/>
      </c>
      <c r="AC807" s="268" t="str">
        <f t="shared" si="1275"/>
        <v/>
      </c>
      <c r="AD807" s="268" t="str">
        <f t="shared" si="1276"/>
        <v/>
      </c>
      <c r="AE807" s="268" t="str">
        <f t="shared" si="1277"/>
        <v/>
      </c>
      <c r="AF807" s="268" t="str">
        <f t="shared" si="1278"/>
        <v/>
      </c>
      <c r="AG807" s="268" t="str">
        <f t="shared" si="1279"/>
        <v/>
      </c>
      <c r="AH807" s="268" t="str">
        <f t="shared" si="1280"/>
        <v/>
      </c>
      <c r="AI807" s="268" t="str">
        <f t="shared" si="1281"/>
        <v/>
      </c>
      <c r="AJ807" s="268" t="str">
        <f t="shared" si="1282"/>
        <v/>
      </c>
      <c r="AK807" s="268" t="str">
        <f t="shared" si="1283"/>
        <v/>
      </c>
      <c r="AL807" s="268" t="str">
        <f t="shared" si="1284"/>
        <v/>
      </c>
      <c r="AM807" s="268" t="str">
        <f t="shared" si="1285"/>
        <v/>
      </c>
      <c r="AN807" s="268" t="str">
        <f t="shared" si="1286"/>
        <v/>
      </c>
      <c r="AO807" s="268" t="str">
        <f t="shared" si="1287"/>
        <v/>
      </c>
      <c r="AP807" s="268" t="str">
        <f t="shared" si="1288"/>
        <v/>
      </c>
      <c r="AQ807" s="268" t="str">
        <f t="shared" si="1289"/>
        <v/>
      </c>
      <c r="AR807" s="268" t="str">
        <f t="shared" si="1290"/>
        <v/>
      </c>
      <c r="AS807" s="268" t="str">
        <f t="shared" si="1291"/>
        <v/>
      </c>
      <c r="AT807" s="268" t="str">
        <f t="shared" si="1292"/>
        <v/>
      </c>
      <c r="AU807" s="268" t="str">
        <f t="shared" si="1293"/>
        <v/>
      </c>
      <c r="AV807" s="268" t="str">
        <f t="shared" si="1294"/>
        <v/>
      </c>
      <c r="AW807" s="268" t="str">
        <f t="shared" si="1295"/>
        <v/>
      </c>
      <c r="AX807" s="268" t="str">
        <f t="shared" si="1296"/>
        <v/>
      </c>
      <c r="AY807" s="268" t="str">
        <f t="shared" si="1297"/>
        <v/>
      </c>
      <c r="AZ807" s="268" t="str">
        <f t="shared" si="1298"/>
        <v/>
      </c>
      <c r="BA807" s="268" t="str">
        <f t="shared" si="1299"/>
        <v/>
      </c>
      <c r="BB807" s="268">
        <f t="shared" si="1300"/>
        <v>360</v>
      </c>
      <c r="BC807" s="268" t="str">
        <f t="shared" si="1301"/>
        <v/>
      </c>
      <c r="BD807" s="268" t="str">
        <f t="shared" si="1302"/>
        <v/>
      </c>
      <c r="BE807" s="268" t="str">
        <f t="shared" si="1303"/>
        <v/>
      </c>
      <c r="BF807" s="268" t="str">
        <f t="shared" si="1304"/>
        <v/>
      </c>
      <c r="BG807" s="268" t="str">
        <f t="shared" si="1305"/>
        <v/>
      </c>
      <c r="BH807" s="268" t="str">
        <f t="shared" si="1306"/>
        <v/>
      </c>
      <c r="BI807" s="268" t="str">
        <f t="shared" si="1307"/>
        <v/>
      </c>
      <c r="BJ807" s="268" t="str">
        <f t="shared" si="1308"/>
        <v/>
      </c>
      <c r="BK807" s="268" t="str">
        <f t="shared" si="1309"/>
        <v/>
      </c>
      <c r="BL807" s="268" t="str">
        <f t="shared" si="1310"/>
        <v/>
      </c>
      <c r="BM807" s="268" t="str">
        <f t="shared" si="1311"/>
        <v/>
      </c>
      <c r="BN807" s="268" t="str">
        <f t="shared" si="1312"/>
        <v/>
      </c>
      <c r="BO807" s="268" t="str">
        <f t="shared" si="1313"/>
        <v/>
      </c>
      <c r="BP807" s="268" t="str">
        <f t="shared" si="1314"/>
        <v/>
      </c>
      <c r="BQ807" s="268" t="str">
        <f t="shared" si="1315"/>
        <v/>
      </c>
      <c r="BR807" s="268" t="str">
        <f t="shared" si="1316"/>
        <v/>
      </c>
      <c r="BS807" s="268" t="str">
        <f t="shared" si="1317"/>
        <v/>
      </c>
      <c r="BT807" s="268" t="str">
        <f t="shared" si="1318"/>
        <v/>
      </c>
      <c r="BU807" s="268" t="str">
        <f t="shared" si="1319"/>
        <v/>
      </c>
      <c r="BV807" s="247">
        <v>1.65</v>
      </c>
      <c r="BW807" s="729">
        <f t="shared" si="1320"/>
        <v>594</v>
      </c>
      <c r="BX807" s="730">
        <f t="shared" si="1321"/>
        <v>4603.5</v>
      </c>
      <c r="BY807" s="731" t="str">
        <f t="shared" si="1322"/>
        <v>SR</v>
      </c>
    </row>
    <row r="808" s="698" customFormat="1" customHeight="1" spans="1:77">
      <c r="A808" s="248">
        <v>46148</v>
      </c>
      <c r="B808" s="248">
        <v>46195</v>
      </c>
      <c r="C808" s="268" t="s">
        <v>815</v>
      </c>
      <c r="D808" s="268" t="s">
        <v>816</v>
      </c>
      <c r="E808" s="268" t="s">
        <v>94</v>
      </c>
      <c r="F808" s="343">
        <v>720</v>
      </c>
      <c r="G808" s="268" t="s">
        <v>510</v>
      </c>
      <c r="H808" s="211" t="str">
        <f>IFERROR(VLOOKUP(E808,名称!A:E,4,0),"")</f>
        <v>三代</v>
      </c>
      <c r="I808" s="268" t="str">
        <f t="shared" si="1255"/>
        <v/>
      </c>
      <c r="J808" s="268" t="str">
        <f t="shared" si="1256"/>
        <v/>
      </c>
      <c r="K808" s="268" t="str">
        <f t="shared" si="1257"/>
        <v/>
      </c>
      <c r="L808" s="268" t="str">
        <f t="shared" si="1258"/>
        <v/>
      </c>
      <c r="M808" s="268" t="str">
        <f t="shared" si="1259"/>
        <v/>
      </c>
      <c r="N808" s="268" t="str">
        <f t="shared" si="1260"/>
        <v/>
      </c>
      <c r="O808" s="268" t="str">
        <f t="shared" si="1261"/>
        <v/>
      </c>
      <c r="P808" s="268" t="str">
        <f t="shared" si="1262"/>
        <v/>
      </c>
      <c r="Q808" s="268" t="str">
        <f t="shared" si="1263"/>
        <v/>
      </c>
      <c r="R808" s="268" t="str">
        <f t="shared" si="1264"/>
        <v/>
      </c>
      <c r="S808" s="268" t="str">
        <f t="shared" si="1265"/>
        <v/>
      </c>
      <c r="T808" s="268" t="str">
        <f t="shared" si="1266"/>
        <v/>
      </c>
      <c r="U808" s="268" t="str">
        <f t="shared" si="1267"/>
        <v/>
      </c>
      <c r="V808" s="268" t="str">
        <f t="shared" si="1268"/>
        <v/>
      </c>
      <c r="W808" s="268" t="str">
        <f t="shared" si="1269"/>
        <v/>
      </c>
      <c r="X808" s="268" t="str">
        <f t="shared" si="1270"/>
        <v/>
      </c>
      <c r="Y808" s="268" t="str">
        <f t="shared" si="1271"/>
        <v/>
      </c>
      <c r="Z808" s="268" t="str">
        <f t="shared" si="1272"/>
        <v/>
      </c>
      <c r="AA808" s="268" t="str">
        <f t="shared" si="1273"/>
        <v/>
      </c>
      <c r="AB808" s="268" t="str">
        <f t="shared" si="1274"/>
        <v/>
      </c>
      <c r="AC808" s="268" t="str">
        <f t="shared" si="1275"/>
        <v/>
      </c>
      <c r="AD808" s="268" t="str">
        <f t="shared" si="1276"/>
        <v/>
      </c>
      <c r="AE808" s="268" t="str">
        <f t="shared" si="1277"/>
        <v/>
      </c>
      <c r="AF808" s="268" t="str">
        <f t="shared" si="1278"/>
        <v/>
      </c>
      <c r="AG808" s="268" t="str">
        <f t="shared" si="1279"/>
        <v/>
      </c>
      <c r="AH808" s="268" t="str">
        <f t="shared" si="1280"/>
        <v/>
      </c>
      <c r="AI808" s="268" t="str">
        <f t="shared" si="1281"/>
        <v/>
      </c>
      <c r="AJ808" s="268" t="str">
        <f t="shared" si="1282"/>
        <v/>
      </c>
      <c r="AK808" s="268" t="str">
        <f t="shared" si="1283"/>
        <v/>
      </c>
      <c r="AL808" s="268" t="str">
        <f t="shared" si="1284"/>
        <v/>
      </c>
      <c r="AM808" s="268" t="str">
        <f t="shared" si="1285"/>
        <v/>
      </c>
      <c r="AN808" s="268" t="str">
        <f t="shared" si="1286"/>
        <v/>
      </c>
      <c r="AO808" s="268" t="str">
        <f t="shared" si="1287"/>
        <v/>
      </c>
      <c r="AP808" s="268" t="str">
        <f t="shared" si="1288"/>
        <v/>
      </c>
      <c r="AQ808" s="268" t="str">
        <f t="shared" si="1289"/>
        <v/>
      </c>
      <c r="AR808" s="268" t="str">
        <f t="shared" si="1290"/>
        <v/>
      </c>
      <c r="AS808" s="268" t="str">
        <f t="shared" si="1291"/>
        <v/>
      </c>
      <c r="AT808" s="268" t="str">
        <f t="shared" si="1292"/>
        <v/>
      </c>
      <c r="AU808" s="268" t="str">
        <f t="shared" si="1293"/>
        <v/>
      </c>
      <c r="AV808" s="268" t="str">
        <f t="shared" si="1294"/>
        <v/>
      </c>
      <c r="AW808" s="268" t="str">
        <f t="shared" si="1295"/>
        <v/>
      </c>
      <c r="AX808" s="268" t="str">
        <f t="shared" si="1296"/>
        <v/>
      </c>
      <c r="AY808" s="268">
        <f t="shared" si="1297"/>
        <v>720</v>
      </c>
      <c r="AZ808" s="268" t="str">
        <f t="shared" si="1298"/>
        <v/>
      </c>
      <c r="BA808" s="268" t="str">
        <f t="shared" si="1299"/>
        <v/>
      </c>
      <c r="BB808" s="268" t="str">
        <f t="shared" si="1300"/>
        <v/>
      </c>
      <c r="BC808" s="268" t="str">
        <f t="shared" si="1301"/>
        <v/>
      </c>
      <c r="BD808" s="268" t="str">
        <f t="shared" si="1302"/>
        <v/>
      </c>
      <c r="BE808" s="268" t="str">
        <f t="shared" si="1303"/>
        <v/>
      </c>
      <c r="BF808" s="268" t="str">
        <f t="shared" si="1304"/>
        <v/>
      </c>
      <c r="BG808" s="268" t="str">
        <f t="shared" si="1305"/>
        <v/>
      </c>
      <c r="BH808" s="268" t="str">
        <f t="shared" si="1306"/>
        <v/>
      </c>
      <c r="BI808" s="268" t="str">
        <f t="shared" si="1307"/>
        <v/>
      </c>
      <c r="BJ808" s="268" t="str">
        <f t="shared" si="1308"/>
        <v/>
      </c>
      <c r="BK808" s="268" t="str">
        <f t="shared" si="1309"/>
        <v/>
      </c>
      <c r="BL808" s="268" t="str">
        <f t="shared" si="1310"/>
        <v/>
      </c>
      <c r="BM808" s="268" t="str">
        <f t="shared" si="1311"/>
        <v/>
      </c>
      <c r="BN808" s="268" t="str">
        <f t="shared" si="1312"/>
        <v/>
      </c>
      <c r="BO808" s="268" t="str">
        <f t="shared" si="1313"/>
        <v/>
      </c>
      <c r="BP808" s="268" t="str">
        <f t="shared" si="1314"/>
        <v/>
      </c>
      <c r="BQ808" s="268" t="str">
        <f t="shared" si="1315"/>
        <v/>
      </c>
      <c r="BR808" s="268" t="str">
        <f t="shared" si="1316"/>
        <v/>
      </c>
      <c r="BS808" s="268" t="str">
        <f t="shared" si="1317"/>
        <v/>
      </c>
      <c r="BT808" s="268" t="str">
        <f t="shared" si="1318"/>
        <v/>
      </c>
      <c r="BU808" s="268" t="str">
        <f t="shared" si="1319"/>
        <v/>
      </c>
      <c r="BV808" s="247">
        <v>0.66</v>
      </c>
      <c r="BW808" s="729">
        <f t="shared" si="1320"/>
        <v>475.2</v>
      </c>
      <c r="BX808" s="730">
        <f t="shared" si="1321"/>
        <v>3682.8</v>
      </c>
      <c r="BY808" s="731" t="str">
        <f t="shared" si="1322"/>
        <v>SR</v>
      </c>
    </row>
    <row r="809" s="698" customFormat="1" customHeight="1" spans="1:77">
      <c r="A809" s="248">
        <v>46148</v>
      </c>
      <c r="B809" s="248">
        <v>46195</v>
      </c>
      <c r="C809" s="268" t="s">
        <v>815</v>
      </c>
      <c r="D809" s="268" t="s">
        <v>816</v>
      </c>
      <c r="E809" s="268" t="s">
        <v>92</v>
      </c>
      <c r="F809" s="343">
        <v>480</v>
      </c>
      <c r="G809" s="268" t="s">
        <v>510</v>
      </c>
      <c r="H809" s="211" t="str">
        <f>IFERROR(VLOOKUP(E809,名称!A:E,4,0),"")</f>
        <v>三代</v>
      </c>
      <c r="I809" s="268" t="str">
        <f t="shared" si="1255"/>
        <v/>
      </c>
      <c r="J809" s="268" t="str">
        <f t="shared" si="1256"/>
        <v/>
      </c>
      <c r="K809" s="268" t="str">
        <f t="shared" si="1257"/>
        <v/>
      </c>
      <c r="L809" s="268" t="str">
        <f t="shared" si="1258"/>
        <v/>
      </c>
      <c r="M809" s="268" t="str">
        <f t="shared" si="1259"/>
        <v/>
      </c>
      <c r="N809" s="268" t="str">
        <f t="shared" si="1260"/>
        <v/>
      </c>
      <c r="O809" s="268" t="str">
        <f t="shared" si="1261"/>
        <v/>
      </c>
      <c r="P809" s="268" t="str">
        <f t="shared" si="1262"/>
        <v/>
      </c>
      <c r="Q809" s="268" t="str">
        <f t="shared" si="1263"/>
        <v/>
      </c>
      <c r="R809" s="268" t="str">
        <f t="shared" si="1264"/>
        <v/>
      </c>
      <c r="S809" s="268" t="str">
        <f t="shared" si="1265"/>
        <v/>
      </c>
      <c r="T809" s="268" t="str">
        <f t="shared" si="1266"/>
        <v/>
      </c>
      <c r="U809" s="268" t="str">
        <f t="shared" si="1267"/>
        <v/>
      </c>
      <c r="V809" s="268" t="str">
        <f t="shared" si="1268"/>
        <v/>
      </c>
      <c r="W809" s="268" t="str">
        <f t="shared" si="1269"/>
        <v/>
      </c>
      <c r="X809" s="268" t="str">
        <f t="shared" si="1270"/>
        <v/>
      </c>
      <c r="Y809" s="268" t="str">
        <f t="shared" si="1271"/>
        <v/>
      </c>
      <c r="Z809" s="268" t="str">
        <f t="shared" si="1272"/>
        <v/>
      </c>
      <c r="AA809" s="268" t="str">
        <f t="shared" si="1273"/>
        <v/>
      </c>
      <c r="AB809" s="268" t="str">
        <f t="shared" si="1274"/>
        <v/>
      </c>
      <c r="AC809" s="268" t="str">
        <f t="shared" si="1275"/>
        <v/>
      </c>
      <c r="AD809" s="268" t="str">
        <f t="shared" si="1276"/>
        <v/>
      </c>
      <c r="AE809" s="268" t="str">
        <f t="shared" si="1277"/>
        <v/>
      </c>
      <c r="AF809" s="268" t="str">
        <f t="shared" si="1278"/>
        <v/>
      </c>
      <c r="AG809" s="268" t="str">
        <f t="shared" si="1279"/>
        <v/>
      </c>
      <c r="AH809" s="268" t="str">
        <f t="shared" si="1280"/>
        <v/>
      </c>
      <c r="AI809" s="268" t="str">
        <f t="shared" si="1281"/>
        <v/>
      </c>
      <c r="AJ809" s="268" t="str">
        <f t="shared" si="1282"/>
        <v/>
      </c>
      <c r="AK809" s="268" t="str">
        <f t="shared" si="1283"/>
        <v/>
      </c>
      <c r="AL809" s="268" t="str">
        <f t="shared" si="1284"/>
        <v/>
      </c>
      <c r="AM809" s="268" t="str">
        <f t="shared" si="1285"/>
        <v/>
      </c>
      <c r="AN809" s="268" t="str">
        <f t="shared" si="1286"/>
        <v/>
      </c>
      <c r="AO809" s="268" t="str">
        <f t="shared" si="1287"/>
        <v/>
      </c>
      <c r="AP809" s="268" t="str">
        <f t="shared" si="1288"/>
        <v/>
      </c>
      <c r="AQ809" s="268" t="str">
        <f t="shared" si="1289"/>
        <v/>
      </c>
      <c r="AR809" s="268" t="str">
        <f t="shared" si="1290"/>
        <v/>
      </c>
      <c r="AS809" s="268" t="str">
        <f t="shared" si="1291"/>
        <v/>
      </c>
      <c r="AT809" s="268" t="str">
        <f t="shared" si="1292"/>
        <v/>
      </c>
      <c r="AU809" s="268" t="str">
        <f t="shared" si="1293"/>
        <v/>
      </c>
      <c r="AV809" s="268" t="str">
        <f t="shared" si="1294"/>
        <v/>
      </c>
      <c r="AW809" s="268" t="str">
        <f t="shared" si="1295"/>
        <v/>
      </c>
      <c r="AX809" s="268">
        <f t="shared" si="1296"/>
        <v>480</v>
      </c>
      <c r="AY809" s="268" t="str">
        <f t="shared" si="1297"/>
        <v/>
      </c>
      <c r="AZ809" s="268" t="str">
        <f t="shared" si="1298"/>
        <v/>
      </c>
      <c r="BA809" s="268" t="str">
        <f t="shared" si="1299"/>
        <v/>
      </c>
      <c r="BB809" s="268" t="str">
        <f t="shared" si="1300"/>
        <v/>
      </c>
      <c r="BC809" s="268" t="str">
        <f t="shared" si="1301"/>
        <v/>
      </c>
      <c r="BD809" s="268" t="str">
        <f t="shared" si="1302"/>
        <v/>
      </c>
      <c r="BE809" s="268" t="str">
        <f t="shared" si="1303"/>
        <v/>
      </c>
      <c r="BF809" s="268" t="str">
        <f t="shared" si="1304"/>
        <v/>
      </c>
      <c r="BG809" s="268" t="str">
        <f t="shared" si="1305"/>
        <v/>
      </c>
      <c r="BH809" s="268" t="str">
        <f t="shared" si="1306"/>
        <v/>
      </c>
      <c r="BI809" s="268" t="str">
        <f t="shared" si="1307"/>
        <v/>
      </c>
      <c r="BJ809" s="268" t="str">
        <f t="shared" si="1308"/>
        <v/>
      </c>
      <c r="BK809" s="268" t="str">
        <f t="shared" si="1309"/>
        <v/>
      </c>
      <c r="BL809" s="268" t="str">
        <f t="shared" si="1310"/>
        <v/>
      </c>
      <c r="BM809" s="268" t="str">
        <f t="shared" si="1311"/>
        <v/>
      </c>
      <c r="BN809" s="268" t="str">
        <f t="shared" si="1312"/>
        <v/>
      </c>
      <c r="BO809" s="268" t="str">
        <f t="shared" si="1313"/>
        <v/>
      </c>
      <c r="BP809" s="268" t="str">
        <f t="shared" si="1314"/>
        <v/>
      </c>
      <c r="BQ809" s="268" t="str">
        <f t="shared" si="1315"/>
        <v/>
      </c>
      <c r="BR809" s="268" t="str">
        <f t="shared" si="1316"/>
        <v/>
      </c>
      <c r="BS809" s="268" t="str">
        <f t="shared" si="1317"/>
        <v/>
      </c>
      <c r="BT809" s="268" t="str">
        <f t="shared" si="1318"/>
        <v/>
      </c>
      <c r="BU809" s="268" t="str">
        <f t="shared" si="1319"/>
        <v/>
      </c>
      <c r="BV809" s="247">
        <v>0.91</v>
      </c>
      <c r="BW809" s="729">
        <f t="shared" si="1320"/>
        <v>436.8</v>
      </c>
      <c r="BX809" s="730">
        <f t="shared" si="1321"/>
        <v>3385.2</v>
      </c>
      <c r="BY809" s="731" t="str">
        <f t="shared" si="1322"/>
        <v>SR</v>
      </c>
    </row>
    <row r="810" s="698" customFormat="1" customHeight="1" spans="1:77">
      <c r="A810" s="248">
        <v>46148</v>
      </c>
      <c r="B810" s="248">
        <v>46195</v>
      </c>
      <c r="C810" s="268" t="s">
        <v>815</v>
      </c>
      <c r="D810" s="268" t="s">
        <v>816</v>
      </c>
      <c r="E810" s="268" t="s">
        <v>95</v>
      </c>
      <c r="F810" s="343">
        <v>360</v>
      </c>
      <c r="G810" s="268" t="s">
        <v>510</v>
      </c>
      <c r="H810" s="211" t="str">
        <f>IFERROR(VLOOKUP(E810,名称!A:E,4,0),"")</f>
        <v>三代</v>
      </c>
      <c r="I810" s="268" t="str">
        <f t="shared" si="1255"/>
        <v/>
      </c>
      <c r="J810" s="268" t="str">
        <f t="shared" si="1256"/>
        <v/>
      </c>
      <c r="K810" s="268" t="str">
        <f t="shared" si="1257"/>
        <v/>
      </c>
      <c r="L810" s="268" t="str">
        <f t="shared" si="1258"/>
        <v/>
      </c>
      <c r="M810" s="268" t="str">
        <f t="shared" si="1259"/>
        <v/>
      </c>
      <c r="N810" s="268" t="str">
        <f t="shared" si="1260"/>
        <v/>
      </c>
      <c r="O810" s="268" t="str">
        <f t="shared" si="1261"/>
        <v/>
      </c>
      <c r="P810" s="268" t="str">
        <f t="shared" si="1262"/>
        <v/>
      </c>
      <c r="Q810" s="268" t="str">
        <f t="shared" si="1263"/>
        <v/>
      </c>
      <c r="R810" s="268" t="str">
        <f t="shared" si="1264"/>
        <v/>
      </c>
      <c r="S810" s="268" t="str">
        <f t="shared" si="1265"/>
        <v/>
      </c>
      <c r="T810" s="268" t="str">
        <f t="shared" si="1266"/>
        <v/>
      </c>
      <c r="U810" s="268" t="str">
        <f t="shared" si="1267"/>
        <v/>
      </c>
      <c r="V810" s="268" t="str">
        <f t="shared" si="1268"/>
        <v/>
      </c>
      <c r="W810" s="268" t="str">
        <f t="shared" si="1269"/>
        <v/>
      </c>
      <c r="X810" s="268" t="str">
        <f t="shared" si="1270"/>
        <v/>
      </c>
      <c r="Y810" s="268" t="str">
        <f t="shared" si="1271"/>
        <v/>
      </c>
      <c r="Z810" s="268" t="str">
        <f t="shared" si="1272"/>
        <v/>
      </c>
      <c r="AA810" s="268" t="str">
        <f t="shared" si="1273"/>
        <v/>
      </c>
      <c r="AB810" s="268" t="str">
        <f t="shared" si="1274"/>
        <v/>
      </c>
      <c r="AC810" s="268" t="str">
        <f t="shared" si="1275"/>
        <v/>
      </c>
      <c r="AD810" s="268" t="str">
        <f t="shared" si="1276"/>
        <v/>
      </c>
      <c r="AE810" s="268" t="str">
        <f t="shared" si="1277"/>
        <v/>
      </c>
      <c r="AF810" s="268" t="str">
        <f t="shared" si="1278"/>
        <v/>
      </c>
      <c r="AG810" s="268" t="str">
        <f t="shared" si="1279"/>
        <v/>
      </c>
      <c r="AH810" s="268" t="str">
        <f t="shared" si="1280"/>
        <v/>
      </c>
      <c r="AI810" s="268" t="str">
        <f t="shared" si="1281"/>
        <v/>
      </c>
      <c r="AJ810" s="268" t="str">
        <f t="shared" si="1282"/>
        <v/>
      </c>
      <c r="AK810" s="268" t="str">
        <f t="shared" si="1283"/>
        <v/>
      </c>
      <c r="AL810" s="268" t="str">
        <f t="shared" si="1284"/>
        <v/>
      </c>
      <c r="AM810" s="268" t="str">
        <f t="shared" si="1285"/>
        <v/>
      </c>
      <c r="AN810" s="268" t="str">
        <f t="shared" si="1286"/>
        <v/>
      </c>
      <c r="AO810" s="268" t="str">
        <f t="shared" si="1287"/>
        <v/>
      </c>
      <c r="AP810" s="268" t="str">
        <f t="shared" si="1288"/>
        <v/>
      </c>
      <c r="AQ810" s="268" t="str">
        <f t="shared" si="1289"/>
        <v/>
      </c>
      <c r="AR810" s="268" t="str">
        <f t="shared" si="1290"/>
        <v/>
      </c>
      <c r="AS810" s="268" t="str">
        <f t="shared" si="1291"/>
        <v/>
      </c>
      <c r="AT810" s="268" t="str">
        <f t="shared" si="1292"/>
        <v/>
      </c>
      <c r="AU810" s="268" t="str">
        <f t="shared" si="1293"/>
        <v/>
      </c>
      <c r="AV810" s="268" t="str">
        <f t="shared" si="1294"/>
        <v/>
      </c>
      <c r="AW810" s="268" t="str">
        <f t="shared" si="1295"/>
        <v/>
      </c>
      <c r="AX810" s="268" t="str">
        <f t="shared" si="1296"/>
        <v/>
      </c>
      <c r="AY810" s="268" t="str">
        <f t="shared" si="1297"/>
        <v/>
      </c>
      <c r="AZ810" s="268">
        <f t="shared" si="1298"/>
        <v>360</v>
      </c>
      <c r="BA810" s="268" t="str">
        <f t="shared" si="1299"/>
        <v/>
      </c>
      <c r="BB810" s="268" t="str">
        <f t="shared" si="1300"/>
        <v/>
      </c>
      <c r="BC810" s="268" t="str">
        <f t="shared" si="1301"/>
        <v/>
      </c>
      <c r="BD810" s="268" t="str">
        <f t="shared" si="1302"/>
        <v/>
      </c>
      <c r="BE810" s="268" t="str">
        <f t="shared" si="1303"/>
        <v/>
      </c>
      <c r="BF810" s="268" t="str">
        <f t="shared" si="1304"/>
        <v/>
      </c>
      <c r="BG810" s="268" t="str">
        <f t="shared" si="1305"/>
        <v/>
      </c>
      <c r="BH810" s="268" t="str">
        <f t="shared" si="1306"/>
        <v/>
      </c>
      <c r="BI810" s="268" t="str">
        <f t="shared" si="1307"/>
        <v/>
      </c>
      <c r="BJ810" s="268" t="str">
        <f t="shared" si="1308"/>
        <v/>
      </c>
      <c r="BK810" s="268" t="str">
        <f t="shared" si="1309"/>
        <v/>
      </c>
      <c r="BL810" s="268" t="str">
        <f t="shared" si="1310"/>
        <v/>
      </c>
      <c r="BM810" s="268" t="str">
        <f t="shared" si="1311"/>
        <v/>
      </c>
      <c r="BN810" s="268" t="str">
        <f t="shared" si="1312"/>
        <v/>
      </c>
      <c r="BO810" s="268" t="str">
        <f t="shared" si="1313"/>
        <v/>
      </c>
      <c r="BP810" s="268" t="str">
        <f t="shared" si="1314"/>
        <v/>
      </c>
      <c r="BQ810" s="268" t="str">
        <f t="shared" si="1315"/>
        <v/>
      </c>
      <c r="BR810" s="268" t="str">
        <f t="shared" si="1316"/>
        <v/>
      </c>
      <c r="BS810" s="268" t="str">
        <f t="shared" si="1317"/>
        <v/>
      </c>
      <c r="BT810" s="268" t="str">
        <f t="shared" si="1318"/>
        <v/>
      </c>
      <c r="BU810" s="268" t="str">
        <f t="shared" si="1319"/>
        <v/>
      </c>
      <c r="BV810" s="247">
        <v>3.23</v>
      </c>
      <c r="BW810" s="729">
        <f t="shared" si="1320"/>
        <v>1162.8</v>
      </c>
      <c r="BX810" s="730">
        <f t="shared" si="1321"/>
        <v>9011.7</v>
      </c>
      <c r="BY810" s="731" t="str">
        <f t="shared" si="1322"/>
        <v>SR</v>
      </c>
    </row>
    <row r="811" s="698" customFormat="1" customHeight="1" spans="1:77">
      <c r="A811" s="248">
        <v>46148</v>
      </c>
      <c r="B811" s="248">
        <v>46195</v>
      </c>
      <c r="C811" s="268" t="s">
        <v>815</v>
      </c>
      <c r="D811" s="268" t="s">
        <v>816</v>
      </c>
      <c r="E811" s="268" t="s">
        <v>179</v>
      </c>
      <c r="F811" s="343">
        <v>720</v>
      </c>
      <c r="G811" s="268" t="s">
        <v>510</v>
      </c>
      <c r="H811" s="211" t="str">
        <f>IFERROR(VLOOKUP(E811,名称!A:E,4,0),"")</f>
        <v>三代</v>
      </c>
      <c r="I811" s="268" t="str">
        <f t="shared" si="1255"/>
        <v/>
      </c>
      <c r="J811" s="268" t="str">
        <f t="shared" si="1256"/>
        <v/>
      </c>
      <c r="K811" s="268" t="str">
        <f t="shared" si="1257"/>
        <v/>
      </c>
      <c r="L811" s="268" t="str">
        <f t="shared" si="1258"/>
        <v/>
      </c>
      <c r="M811" s="268" t="str">
        <f t="shared" si="1259"/>
        <v/>
      </c>
      <c r="N811" s="268" t="str">
        <f t="shared" si="1260"/>
        <v/>
      </c>
      <c r="O811" s="268" t="str">
        <f t="shared" si="1261"/>
        <v/>
      </c>
      <c r="P811" s="268" t="str">
        <f t="shared" si="1262"/>
        <v/>
      </c>
      <c r="Q811" s="268" t="str">
        <f t="shared" si="1263"/>
        <v/>
      </c>
      <c r="R811" s="268" t="str">
        <f t="shared" si="1264"/>
        <v/>
      </c>
      <c r="S811" s="268" t="str">
        <f t="shared" si="1265"/>
        <v/>
      </c>
      <c r="T811" s="268" t="str">
        <f t="shared" si="1266"/>
        <v/>
      </c>
      <c r="U811" s="268" t="str">
        <f t="shared" si="1267"/>
        <v/>
      </c>
      <c r="V811" s="268" t="str">
        <f t="shared" si="1268"/>
        <v/>
      </c>
      <c r="W811" s="268" t="str">
        <f t="shared" si="1269"/>
        <v/>
      </c>
      <c r="X811" s="268" t="str">
        <f t="shared" si="1270"/>
        <v/>
      </c>
      <c r="Y811" s="268" t="str">
        <f t="shared" si="1271"/>
        <v/>
      </c>
      <c r="Z811" s="268" t="str">
        <f t="shared" si="1272"/>
        <v/>
      </c>
      <c r="AA811" s="268" t="str">
        <f t="shared" si="1273"/>
        <v/>
      </c>
      <c r="AB811" s="268" t="str">
        <f t="shared" si="1274"/>
        <v/>
      </c>
      <c r="AC811" s="268" t="str">
        <f t="shared" si="1275"/>
        <v/>
      </c>
      <c r="AD811" s="268" t="str">
        <f t="shared" si="1276"/>
        <v/>
      </c>
      <c r="AE811" s="268" t="str">
        <f t="shared" si="1277"/>
        <v/>
      </c>
      <c r="AF811" s="268" t="str">
        <f t="shared" si="1278"/>
        <v/>
      </c>
      <c r="AG811" s="268" t="str">
        <f t="shared" si="1279"/>
        <v/>
      </c>
      <c r="AH811" s="268" t="str">
        <f t="shared" si="1280"/>
        <v/>
      </c>
      <c r="AI811" s="268" t="str">
        <f t="shared" si="1281"/>
        <v/>
      </c>
      <c r="AJ811" s="268" t="str">
        <f t="shared" si="1282"/>
        <v/>
      </c>
      <c r="AK811" s="268" t="str">
        <f t="shared" si="1283"/>
        <v/>
      </c>
      <c r="AL811" s="268" t="str">
        <f t="shared" si="1284"/>
        <v/>
      </c>
      <c r="AM811" s="268" t="str">
        <f t="shared" si="1285"/>
        <v/>
      </c>
      <c r="AN811" s="268" t="str">
        <f t="shared" si="1286"/>
        <v/>
      </c>
      <c r="AO811" s="268">
        <f t="shared" si="1287"/>
        <v>720</v>
      </c>
      <c r="AP811" s="268" t="str">
        <f t="shared" si="1288"/>
        <v/>
      </c>
      <c r="AQ811" s="268" t="str">
        <f t="shared" si="1289"/>
        <v/>
      </c>
      <c r="AR811" s="268" t="str">
        <f t="shared" si="1290"/>
        <v/>
      </c>
      <c r="AS811" s="268" t="str">
        <f t="shared" si="1291"/>
        <v/>
      </c>
      <c r="AT811" s="268" t="str">
        <f t="shared" si="1292"/>
        <v/>
      </c>
      <c r="AU811" s="268" t="str">
        <f t="shared" si="1293"/>
        <v/>
      </c>
      <c r="AV811" s="268" t="str">
        <f t="shared" si="1294"/>
        <v/>
      </c>
      <c r="AW811" s="268" t="str">
        <f t="shared" si="1295"/>
        <v/>
      </c>
      <c r="AX811" s="268" t="str">
        <f t="shared" si="1296"/>
        <v/>
      </c>
      <c r="AY811" s="268" t="str">
        <f t="shared" si="1297"/>
        <v/>
      </c>
      <c r="AZ811" s="268" t="str">
        <f t="shared" si="1298"/>
        <v/>
      </c>
      <c r="BA811" s="268" t="str">
        <f t="shared" si="1299"/>
        <v/>
      </c>
      <c r="BB811" s="268" t="str">
        <f t="shared" si="1300"/>
        <v/>
      </c>
      <c r="BC811" s="268" t="str">
        <f t="shared" si="1301"/>
        <v/>
      </c>
      <c r="BD811" s="268" t="str">
        <f t="shared" si="1302"/>
        <v/>
      </c>
      <c r="BE811" s="268" t="str">
        <f t="shared" si="1303"/>
        <v/>
      </c>
      <c r="BF811" s="268" t="str">
        <f t="shared" si="1304"/>
        <v/>
      </c>
      <c r="BG811" s="268" t="str">
        <f t="shared" si="1305"/>
        <v/>
      </c>
      <c r="BH811" s="268" t="str">
        <f t="shared" si="1306"/>
        <v/>
      </c>
      <c r="BI811" s="268" t="str">
        <f t="shared" si="1307"/>
        <v/>
      </c>
      <c r="BJ811" s="268" t="str">
        <f t="shared" si="1308"/>
        <v/>
      </c>
      <c r="BK811" s="268" t="str">
        <f t="shared" si="1309"/>
        <v/>
      </c>
      <c r="BL811" s="268" t="str">
        <f t="shared" si="1310"/>
        <v/>
      </c>
      <c r="BM811" s="268" t="str">
        <f t="shared" si="1311"/>
        <v/>
      </c>
      <c r="BN811" s="268" t="str">
        <f t="shared" si="1312"/>
        <v/>
      </c>
      <c r="BO811" s="268" t="str">
        <f t="shared" si="1313"/>
        <v/>
      </c>
      <c r="BP811" s="268" t="str">
        <f t="shared" si="1314"/>
        <v/>
      </c>
      <c r="BQ811" s="268" t="str">
        <f t="shared" si="1315"/>
        <v/>
      </c>
      <c r="BR811" s="268" t="str">
        <f t="shared" si="1316"/>
        <v/>
      </c>
      <c r="BS811" s="268" t="str">
        <f t="shared" si="1317"/>
        <v/>
      </c>
      <c r="BT811" s="268" t="str">
        <f t="shared" si="1318"/>
        <v/>
      </c>
      <c r="BU811" s="268" t="str">
        <f t="shared" si="1319"/>
        <v/>
      </c>
      <c r="BV811" s="247">
        <v>0.64</v>
      </c>
      <c r="BW811" s="729">
        <f t="shared" si="1320"/>
        <v>460.8</v>
      </c>
      <c r="BX811" s="730">
        <f t="shared" si="1321"/>
        <v>3571.2</v>
      </c>
      <c r="BY811" s="731" t="str">
        <f t="shared" si="1322"/>
        <v>SR</v>
      </c>
    </row>
    <row r="812" s="698" customFormat="1" customHeight="1" spans="1:77">
      <c r="A812" s="248">
        <v>46148</v>
      </c>
      <c r="B812" s="248">
        <v>46195</v>
      </c>
      <c r="C812" s="268" t="s">
        <v>815</v>
      </c>
      <c r="D812" s="268" t="s">
        <v>816</v>
      </c>
      <c r="E812" s="268" t="s">
        <v>119</v>
      </c>
      <c r="F812" s="343">
        <v>720</v>
      </c>
      <c r="G812" s="268" t="s">
        <v>510</v>
      </c>
      <c r="H812" s="211" t="str">
        <f>IFERROR(VLOOKUP(E812,名称!A:E,4,0),"")</f>
        <v>三代</v>
      </c>
      <c r="I812" s="268" t="str">
        <f t="shared" si="1255"/>
        <v/>
      </c>
      <c r="J812" s="268" t="str">
        <f t="shared" si="1256"/>
        <v/>
      </c>
      <c r="K812" s="268" t="str">
        <f t="shared" si="1257"/>
        <v/>
      </c>
      <c r="L812" s="268" t="str">
        <f t="shared" si="1258"/>
        <v/>
      </c>
      <c r="M812" s="268" t="str">
        <f t="shared" si="1259"/>
        <v/>
      </c>
      <c r="N812" s="268" t="str">
        <f t="shared" si="1260"/>
        <v/>
      </c>
      <c r="O812" s="268" t="str">
        <f t="shared" si="1261"/>
        <v/>
      </c>
      <c r="P812" s="268" t="str">
        <f t="shared" si="1262"/>
        <v/>
      </c>
      <c r="Q812" s="268" t="str">
        <f t="shared" si="1263"/>
        <v/>
      </c>
      <c r="R812" s="268" t="str">
        <f t="shared" si="1264"/>
        <v/>
      </c>
      <c r="S812" s="268" t="str">
        <f t="shared" si="1265"/>
        <v/>
      </c>
      <c r="T812" s="268" t="str">
        <f t="shared" si="1266"/>
        <v/>
      </c>
      <c r="U812" s="268" t="str">
        <f t="shared" si="1267"/>
        <v/>
      </c>
      <c r="V812" s="268" t="str">
        <f t="shared" si="1268"/>
        <v/>
      </c>
      <c r="W812" s="268" t="str">
        <f t="shared" si="1269"/>
        <v/>
      </c>
      <c r="X812" s="268" t="str">
        <f t="shared" si="1270"/>
        <v/>
      </c>
      <c r="Y812" s="268" t="str">
        <f t="shared" si="1271"/>
        <v/>
      </c>
      <c r="Z812" s="268" t="str">
        <f t="shared" si="1272"/>
        <v/>
      </c>
      <c r="AA812" s="268" t="str">
        <f t="shared" si="1273"/>
        <v/>
      </c>
      <c r="AB812" s="268" t="str">
        <f t="shared" si="1274"/>
        <v/>
      </c>
      <c r="AC812" s="268" t="str">
        <f t="shared" si="1275"/>
        <v/>
      </c>
      <c r="AD812" s="268" t="str">
        <f t="shared" si="1276"/>
        <v/>
      </c>
      <c r="AE812" s="268" t="str">
        <f t="shared" si="1277"/>
        <v/>
      </c>
      <c r="AF812" s="268" t="str">
        <f t="shared" si="1278"/>
        <v/>
      </c>
      <c r="AG812" s="268" t="str">
        <f t="shared" si="1279"/>
        <v/>
      </c>
      <c r="AH812" s="268" t="str">
        <f t="shared" si="1280"/>
        <v/>
      </c>
      <c r="AI812" s="268" t="str">
        <f t="shared" si="1281"/>
        <v/>
      </c>
      <c r="AJ812" s="268" t="str">
        <f t="shared" si="1282"/>
        <v/>
      </c>
      <c r="AK812" s="268" t="str">
        <f t="shared" si="1283"/>
        <v/>
      </c>
      <c r="AL812" s="268" t="str">
        <f t="shared" si="1284"/>
        <v/>
      </c>
      <c r="AM812" s="268" t="str">
        <f t="shared" si="1285"/>
        <v/>
      </c>
      <c r="AN812" s="268" t="str">
        <f t="shared" si="1286"/>
        <v/>
      </c>
      <c r="AO812" s="268" t="str">
        <f t="shared" si="1287"/>
        <v/>
      </c>
      <c r="AP812" s="268">
        <f t="shared" si="1288"/>
        <v>720</v>
      </c>
      <c r="AQ812" s="268" t="str">
        <f t="shared" si="1289"/>
        <v/>
      </c>
      <c r="AR812" s="268" t="str">
        <f t="shared" si="1290"/>
        <v/>
      </c>
      <c r="AS812" s="268" t="str">
        <f t="shared" si="1291"/>
        <v/>
      </c>
      <c r="AT812" s="268" t="str">
        <f t="shared" si="1292"/>
        <v/>
      </c>
      <c r="AU812" s="268" t="str">
        <f t="shared" si="1293"/>
        <v/>
      </c>
      <c r="AV812" s="268" t="str">
        <f t="shared" si="1294"/>
        <v/>
      </c>
      <c r="AW812" s="268" t="str">
        <f t="shared" si="1295"/>
        <v/>
      </c>
      <c r="AX812" s="268" t="str">
        <f t="shared" si="1296"/>
        <v/>
      </c>
      <c r="AY812" s="268" t="str">
        <f t="shared" si="1297"/>
        <v/>
      </c>
      <c r="AZ812" s="268" t="str">
        <f t="shared" si="1298"/>
        <v/>
      </c>
      <c r="BA812" s="268" t="str">
        <f t="shared" si="1299"/>
        <v/>
      </c>
      <c r="BB812" s="268" t="str">
        <f t="shared" si="1300"/>
        <v/>
      </c>
      <c r="BC812" s="268" t="str">
        <f t="shared" si="1301"/>
        <v/>
      </c>
      <c r="BD812" s="268" t="str">
        <f t="shared" si="1302"/>
        <v/>
      </c>
      <c r="BE812" s="268" t="str">
        <f t="shared" si="1303"/>
        <v/>
      </c>
      <c r="BF812" s="268" t="str">
        <f t="shared" si="1304"/>
        <v/>
      </c>
      <c r="BG812" s="268" t="str">
        <f t="shared" si="1305"/>
        <v/>
      </c>
      <c r="BH812" s="268" t="str">
        <f t="shared" si="1306"/>
        <v/>
      </c>
      <c r="BI812" s="268" t="str">
        <f t="shared" si="1307"/>
        <v/>
      </c>
      <c r="BJ812" s="268" t="str">
        <f t="shared" si="1308"/>
        <v/>
      </c>
      <c r="BK812" s="268" t="str">
        <f t="shared" si="1309"/>
        <v/>
      </c>
      <c r="BL812" s="268" t="str">
        <f t="shared" si="1310"/>
        <v/>
      </c>
      <c r="BM812" s="268" t="str">
        <f t="shared" si="1311"/>
        <v/>
      </c>
      <c r="BN812" s="268" t="str">
        <f t="shared" si="1312"/>
        <v/>
      </c>
      <c r="BO812" s="268" t="str">
        <f t="shared" si="1313"/>
        <v/>
      </c>
      <c r="BP812" s="268" t="str">
        <f t="shared" si="1314"/>
        <v/>
      </c>
      <c r="BQ812" s="268" t="str">
        <f t="shared" si="1315"/>
        <v/>
      </c>
      <c r="BR812" s="268" t="str">
        <f t="shared" si="1316"/>
        <v/>
      </c>
      <c r="BS812" s="268" t="str">
        <f t="shared" si="1317"/>
        <v/>
      </c>
      <c r="BT812" s="268" t="str">
        <f t="shared" si="1318"/>
        <v/>
      </c>
      <c r="BU812" s="268" t="str">
        <f t="shared" si="1319"/>
        <v/>
      </c>
      <c r="BV812" s="247">
        <v>0.65</v>
      </c>
      <c r="BW812" s="729">
        <f t="shared" si="1320"/>
        <v>468</v>
      </c>
      <c r="BX812" s="730">
        <f t="shared" si="1321"/>
        <v>3627</v>
      </c>
      <c r="BY812" s="731" t="str">
        <f t="shared" si="1322"/>
        <v>SR</v>
      </c>
    </row>
    <row r="813" s="698" customFormat="1" customHeight="1" spans="1:77">
      <c r="A813" s="248">
        <v>46148</v>
      </c>
      <c r="B813" s="248">
        <v>46195</v>
      </c>
      <c r="C813" s="268" t="s">
        <v>815</v>
      </c>
      <c r="D813" s="268" t="s">
        <v>816</v>
      </c>
      <c r="E813" s="268" t="s">
        <v>65</v>
      </c>
      <c r="F813" s="343">
        <v>1080</v>
      </c>
      <c r="G813" s="268" t="s">
        <v>327</v>
      </c>
      <c r="H813" s="211" t="str">
        <f>IFERROR(VLOOKUP(E813,名称!A:E,4,0),"")</f>
        <v>二代</v>
      </c>
      <c r="I813" s="268" t="str">
        <f t="shared" si="1255"/>
        <v/>
      </c>
      <c r="J813" s="268" t="str">
        <f t="shared" si="1256"/>
        <v/>
      </c>
      <c r="K813" s="268" t="str">
        <f t="shared" si="1257"/>
        <v/>
      </c>
      <c r="L813" s="268" t="str">
        <f t="shared" si="1258"/>
        <v/>
      </c>
      <c r="M813" s="268" t="str">
        <f t="shared" si="1259"/>
        <v/>
      </c>
      <c r="N813" s="268" t="str">
        <f t="shared" si="1260"/>
        <v/>
      </c>
      <c r="O813" s="268" t="str">
        <f t="shared" si="1261"/>
        <v/>
      </c>
      <c r="P813" s="268" t="str">
        <f t="shared" si="1262"/>
        <v/>
      </c>
      <c r="Q813" s="268">
        <f t="shared" si="1263"/>
        <v>1080</v>
      </c>
      <c r="R813" s="268" t="str">
        <f t="shared" si="1264"/>
        <v/>
      </c>
      <c r="S813" s="268" t="str">
        <f t="shared" si="1265"/>
        <v/>
      </c>
      <c r="T813" s="268" t="str">
        <f t="shared" si="1266"/>
        <v/>
      </c>
      <c r="U813" s="268" t="str">
        <f t="shared" si="1267"/>
        <v/>
      </c>
      <c r="V813" s="268" t="str">
        <f t="shared" si="1268"/>
        <v/>
      </c>
      <c r="W813" s="268" t="str">
        <f t="shared" si="1269"/>
        <v/>
      </c>
      <c r="X813" s="268" t="str">
        <f t="shared" si="1270"/>
        <v/>
      </c>
      <c r="Y813" s="268" t="str">
        <f t="shared" si="1271"/>
        <v/>
      </c>
      <c r="Z813" s="268" t="str">
        <f t="shared" si="1272"/>
        <v/>
      </c>
      <c r="AA813" s="268" t="str">
        <f t="shared" si="1273"/>
        <v/>
      </c>
      <c r="AB813" s="268" t="str">
        <f t="shared" si="1274"/>
        <v/>
      </c>
      <c r="AC813" s="268" t="str">
        <f t="shared" si="1275"/>
        <v/>
      </c>
      <c r="AD813" s="268" t="str">
        <f t="shared" si="1276"/>
        <v/>
      </c>
      <c r="AE813" s="268" t="str">
        <f t="shared" si="1277"/>
        <v/>
      </c>
      <c r="AF813" s="268" t="str">
        <f t="shared" si="1278"/>
        <v/>
      </c>
      <c r="AG813" s="268" t="str">
        <f t="shared" si="1279"/>
        <v/>
      </c>
      <c r="AH813" s="268" t="str">
        <f t="shared" si="1280"/>
        <v/>
      </c>
      <c r="AI813" s="268" t="str">
        <f t="shared" si="1281"/>
        <v/>
      </c>
      <c r="AJ813" s="268" t="str">
        <f t="shared" si="1282"/>
        <v/>
      </c>
      <c r="AK813" s="268" t="str">
        <f t="shared" si="1283"/>
        <v/>
      </c>
      <c r="AL813" s="268" t="str">
        <f t="shared" si="1284"/>
        <v/>
      </c>
      <c r="AM813" s="268" t="str">
        <f t="shared" si="1285"/>
        <v/>
      </c>
      <c r="AN813" s="268" t="str">
        <f t="shared" si="1286"/>
        <v/>
      </c>
      <c r="AO813" s="268" t="str">
        <f t="shared" si="1287"/>
        <v/>
      </c>
      <c r="AP813" s="268" t="str">
        <f t="shared" si="1288"/>
        <v/>
      </c>
      <c r="AQ813" s="268" t="str">
        <f t="shared" si="1289"/>
        <v/>
      </c>
      <c r="AR813" s="268" t="str">
        <f t="shared" si="1290"/>
        <v/>
      </c>
      <c r="AS813" s="268" t="str">
        <f t="shared" si="1291"/>
        <v/>
      </c>
      <c r="AT813" s="268" t="str">
        <f t="shared" si="1292"/>
        <v/>
      </c>
      <c r="AU813" s="268" t="str">
        <f t="shared" si="1293"/>
        <v/>
      </c>
      <c r="AV813" s="268" t="str">
        <f t="shared" si="1294"/>
        <v/>
      </c>
      <c r="AW813" s="268" t="str">
        <f t="shared" si="1295"/>
        <v/>
      </c>
      <c r="AX813" s="268" t="str">
        <f t="shared" si="1296"/>
        <v/>
      </c>
      <c r="AY813" s="268" t="str">
        <f t="shared" si="1297"/>
        <v/>
      </c>
      <c r="AZ813" s="268" t="str">
        <f t="shared" si="1298"/>
        <v/>
      </c>
      <c r="BA813" s="268" t="str">
        <f t="shared" si="1299"/>
        <v/>
      </c>
      <c r="BB813" s="268" t="str">
        <f t="shared" si="1300"/>
        <v/>
      </c>
      <c r="BC813" s="268" t="str">
        <f t="shared" si="1301"/>
        <v/>
      </c>
      <c r="BD813" s="268" t="str">
        <f t="shared" si="1302"/>
        <v/>
      </c>
      <c r="BE813" s="268" t="str">
        <f t="shared" si="1303"/>
        <v/>
      </c>
      <c r="BF813" s="268" t="str">
        <f t="shared" si="1304"/>
        <v/>
      </c>
      <c r="BG813" s="268" t="str">
        <f t="shared" si="1305"/>
        <v/>
      </c>
      <c r="BH813" s="268" t="str">
        <f t="shared" si="1306"/>
        <v/>
      </c>
      <c r="BI813" s="268" t="str">
        <f t="shared" si="1307"/>
        <v/>
      </c>
      <c r="BJ813" s="268" t="str">
        <f t="shared" si="1308"/>
        <v/>
      </c>
      <c r="BK813" s="268" t="str">
        <f t="shared" si="1309"/>
        <v/>
      </c>
      <c r="BL813" s="268" t="str">
        <f t="shared" si="1310"/>
        <v/>
      </c>
      <c r="BM813" s="268" t="str">
        <f t="shared" si="1311"/>
        <v/>
      </c>
      <c r="BN813" s="268" t="str">
        <f t="shared" si="1312"/>
        <v/>
      </c>
      <c r="BO813" s="268" t="str">
        <f t="shared" si="1313"/>
        <v/>
      </c>
      <c r="BP813" s="268" t="str">
        <f t="shared" si="1314"/>
        <v/>
      </c>
      <c r="BQ813" s="268" t="str">
        <f t="shared" si="1315"/>
        <v/>
      </c>
      <c r="BR813" s="268" t="str">
        <f t="shared" si="1316"/>
        <v/>
      </c>
      <c r="BS813" s="268" t="str">
        <f t="shared" si="1317"/>
        <v/>
      </c>
      <c r="BT813" s="268" t="str">
        <f t="shared" si="1318"/>
        <v/>
      </c>
      <c r="BU813" s="268" t="str">
        <f t="shared" si="1319"/>
        <v/>
      </c>
      <c r="BV813" s="247">
        <v>0.65</v>
      </c>
      <c r="BW813" s="729">
        <f t="shared" si="1320"/>
        <v>702</v>
      </c>
      <c r="BX813" s="730">
        <f t="shared" si="1321"/>
        <v>5440.5</v>
      </c>
      <c r="BY813" s="731" t="str">
        <f t="shared" si="1322"/>
        <v>SR</v>
      </c>
    </row>
    <row r="814" s="698" customFormat="1" customHeight="1" spans="1:77">
      <c r="A814" s="248">
        <v>46148</v>
      </c>
      <c r="B814" s="248">
        <v>46195</v>
      </c>
      <c r="C814" s="268" t="s">
        <v>815</v>
      </c>
      <c r="D814" s="268" t="s">
        <v>816</v>
      </c>
      <c r="E814" s="268" t="s">
        <v>52</v>
      </c>
      <c r="F814" s="343">
        <v>600</v>
      </c>
      <c r="G814" s="268" t="s">
        <v>510</v>
      </c>
      <c r="H814" s="211" t="str">
        <f>IFERROR(VLOOKUP(E814,名称!A:E,4,0),"")</f>
        <v>蛋糕</v>
      </c>
      <c r="I814" s="268" t="str">
        <f t="shared" si="1255"/>
        <v/>
      </c>
      <c r="J814" s="268" t="str">
        <f t="shared" si="1256"/>
        <v/>
      </c>
      <c r="K814" s="268" t="str">
        <f t="shared" si="1257"/>
        <v/>
      </c>
      <c r="L814" s="268" t="str">
        <f t="shared" si="1258"/>
        <v/>
      </c>
      <c r="M814" s="268" t="str">
        <f t="shared" si="1259"/>
        <v/>
      </c>
      <c r="N814" s="268" t="str">
        <f t="shared" si="1260"/>
        <v/>
      </c>
      <c r="O814" s="268" t="str">
        <f t="shared" si="1261"/>
        <v/>
      </c>
      <c r="P814" s="268" t="str">
        <f t="shared" si="1262"/>
        <v/>
      </c>
      <c r="Q814" s="268" t="str">
        <f t="shared" si="1263"/>
        <v/>
      </c>
      <c r="R814" s="268" t="str">
        <f t="shared" si="1264"/>
        <v/>
      </c>
      <c r="S814" s="268" t="str">
        <f t="shared" si="1265"/>
        <v/>
      </c>
      <c r="T814" s="268" t="str">
        <f t="shared" si="1266"/>
        <v/>
      </c>
      <c r="U814" s="268" t="str">
        <f t="shared" si="1267"/>
        <v/>
      </c>
      <c r="V814" s="268" t="str">
        <f t="shared" si="1268"/>
        <v/>
      </c>
      <c r="W814" s="268" t="str">
        <f t="shared" si="1269"/>
        <v/>
      </c>
      <c r="X814" s="268" t="str">
        <f t="shared" si="1270"/>
        <v/>
      </c>
      <c r="Y814" s="268" t="str">
        <f t="shared" si="1271"/>
        <v/>
      </c>
      <c r="Z814" s="268" t="str">
        <f t="shared" si="1272"/>
        <v/>
      </c>
      <c r="AA814" s="268" t="str">
        <f t="shared" si="1273"/>
        <v/>
      </c>
      <c r="AB814" s="268" t="str">
        <f t="shared" si="1274"/>
        <v/>
      </c>
      <c r="AC814" s="268" t="str">
        <f t="shared" si="1275"/>
        <v/>
      </c>
      <c r="AD814" s="268" t="str">
        <f t="shared" si="1276"/>
        <v/>
      </c>
      <c r="AE814" s="268" t="str">
        <f t="shared" si="1277"/>
        <v/>
      </c>
      <c r="AF814" s="268" t="str">
        <f t="shared" si="1278"/>
        <v/>
      </c>
      <c r="AG814" s="268" t="str">
        <f t="shared" si="1279"/>
        <v/>
      </c>
      <c r="AH814" s="268" t="str">
        <f t="shared" si="1280"/>
        <v/>
      </c>
      <c r="AI814" s="268" t="str">
        <f t="shared" si="1281"/>
        <v/>
      </c>
      <c r="AJ814" s="268" t="str">
        <f t="shared" si="1282"/>
        <v/>
      </c>
      <c r="AK814" s="268" t="str">
        <f t="shared" si="1283"/>
        <v/>
      </c>
      <c r="AL814" s="268" t="str">
        <f t="shared" si="1284"/>
        <v/>
      </c>
      <c r="AM814" s="268" t="str">
        <f t="shared" si="1285"/>
        <v/>
      </c>
      <c r="AN814" s="268" t="str">
        <f t="shared" si="1286"/>
        <v/>
      </c>
      <c r="AO814" s="268" t="str">
        <f t="shared" si="1287"/>
        <v/>
      </c>
      <c r="AP814" s="268" t="str">
        <f t="shared" si="1288"/>
        <v/>
      </c>
      <c r="AQ814" s="268" t="str">
        <f t="shared" si="1289"/>
        <v/>
      </c>
      <c r="AR814" s="268" t="str">
        <f t="shared" si="1290"/>
        <v/>
      </c>
      <c r="AS814" s="268" t="str">
        <f t="shared" si="1291"/>
        <v/>
      </c>
      <c r="AT814" s="268" t="str">
        <f t="shared" si="1292"/>
        <v/>
      </c>
      <c r="AU814" s="268" t="str">
        <f t="shared" si="1293"/>
        <v/>
      </c>
      <c r="AV814" s="268" t="str">
        <f t="shared" si="1294"/>
        <v/>
      </c>
      <c r="AW814" s="268" t="str">
        <f t="shared" si="1295"/>
        <v/>
      </c>
      <c r="AX814" s="268" t="str">
        <f t="shared" si="1296"/>
        <v/>
      </c>
      <c r="AY814" s="268" t="str">
        <f t="shared" si="1297"/>
        <v/>
      </c>
      <c r="AZ814" s="268" t="str">
        <f t="shared" si="1298"/>
        <v/>
      </c>
      <c r="BA814" s="268" t="str">
        <f t="shared" si="1299"/>
        <v/>
      </c>
      <c r="BB814" s="268" t="str">
        <f t="shared" si="1300"/>
        <v/>
      </c>
      <c r="BC814" s="268" t="str">
        <f t="shared" si="1301"/>
        <v/>
      </c>
      <c r="BD814" s="268" t="str">
        <f t="shared" si="1302"/>
        <v/>
      </c>
      <c r="BE814" s="268" t="str">
        <f t="shared" si="1303"/>
        <v/>
      </c>
      <c r="BF814" s="268" t="str">
        <f t="shared" si="1304"/>
        <v/>
      </c>
      <c r="BG814" s="268" t="str">
        <f t="shared" si="1305"/>
        <v/>
      </c>
      <c r="BH814" s="268">
        <f t="shared" si="1306"/>
        <v>600</v>
      </c>
      <c r="BI814" s="268" t="str">
        <f t="shared" si="1307"/>
        <v/>
      </c>
      <c r="BJ814" s="268" t="str">
        <f t="shared" si="1308"/>
        <v/>
      </c>
      <c r="BK814" s="268" t="str">
        <f t="shared" si="1309"/>
        <v/>
      </c>
      <c r="BL814" s="268" t="str">
        <f t="shared" si="1310"/>
        <v/>
      </c>
      <c r="BM814" s="268" t="str">
        <f t="shared" si="1311"/>
        <v/>
      </c>
      <c r="BN814" s="268" t="str">
        <f t="shared" si="1312"/>
        <v/>
      </c>
      <c r="BO814" s="268" t="str">
        <f t="shared" si="1313"/>
        <v/>
      </c>
      <c r="BP814" s="268" t="str">
        <f t="shared" si="1314"/>
        <v/>
      </c>
      <c r="BQ814" s="268" t="str">
        <f t="shared" si="1315"/>
        <v/>
      </c>
      <c r="BR814" s="268" t="str">
        <f t="shared" si="1316"/>
        <v/>
      </c>
      <c r="BS814" s="268" t="str">
        <f t="shared" si="1317"/>
        <v/>
      </c>
      <c r="BT814" s="268" t="str">
        <f t="shared" si="1318"/>
        <v/>
      </c>
      <c r="BU814" s="268" t="str">
        <f t="shared" si="1319"/>
        <v/>
      </c>
      <c r="BV814" s="247">
        <v>2.93</v>
      </c>
      <c r="BW814" s="729">
        <f t="shared" si="1320"/>
        <v>1758</v>
      </c>
      <c r="BX814" s="730">
        <f t="shared" si="1321"/>
        <v>13624.5</v>
      </c>
      <c r="BY814" s="731" t="str">
        <f t="shared" si="1322"/>
        <v>JC</v>
      </c>
    </row>
    <row r="815" s="698" customFormat="1" customHeight="1" spans="1:77">
      <c r="A815" s="248">
        <v>46148</v>
      </c>
      <c r="B815" s="248">
        <v>46195</v>
      </c>
      <c r="C815" s="268" t="s">
        <v>815</v>
      </c>
      <c r="D815" s="268" t="s">
        <v>816</v>
      </c>
      <c r="E815" s="268" t="s">
        <v>50</v>
      </c>
      <c r="F815" s="343">
        <v>720</v>
      </c>
      <c r="G815" s="268" t="s">
        <v>510</v>
      </c>
      <c r="H815" s="211" t="str">
        <f>IFERROR(VLOOKUP(E815,名称!A:E,4,0),"")</f>
        <v>蛋糕</v>
      </c>
      <c r="I815" s="268" t="str">
        <f t="shared" si="1255"/>
        <v/>
      </c>
      <c r="J815" s="268" t="str">
        <f t="shared" si="1256"/>
        <v/>
      </c>
      <c r="K815" s="268" t="str">
        <f t="shared" si="1257"/>
        <v/>
      </c>
      <c r="L815" s="268" t="str">
        <f t="shared" si="1258"/>
        <v/>
      </c>
      <c r="M815" s="268" t="str">
        <f t="shared" si="1259"/>
        <v/>
      </c>
      <c r="N815" s="268" t="str">
        <f t="shared" si="1260"/>
        <v/>
      </c>
      <c r="O815" s="268" t="str">
        <f t="shared" si="1261"/>
        <v/>
      </c>
      <c r="P815" s="268" t="str">
        <f t="shared" si="1262"/>
        <v/>
      </c>
      <c r="Q815" s="268" t="str">
        <f t="shared" si="1263"/>
        <v/>
      </c>
      <c r="R815" s="268" t="str">
        <f t="shared" si="1264"/>
        <v/>
      </c>
      <c r="S815" s="268" t="str">
        <f t="shared" si="1265"/>
        <v/>
      </c>
      <c r="T815" s="268" t="str">
        <f t="shared" si="1266"/>
        <v/>
      </c>
      <c r="U815" s="268" t="str">
        <f t="shared" si="1267"/>
        <v/>
      </c>
      <c r="V815" s="268" t="str">
        <f t="shared" si="1268"/>
        <v/>
      </c>
      <c r="W815" s="268" t="str">
        <f t="shared" si="1269"/>
        <v/>
      </c>
      <c r="X815" s="268" t="str">
        <f t="shared" si="1270"/>
        <v/>
      </c>
      <c r="Y815" s="268" t="str">
        <f t="shared" si="1271"/>
        <v/>
      </c>
      <c r="Z815" s="268" t="str">
        <f t="shared" si="1272"/>
        <v/>
      </c>
      <c r="AA815" s="268" t="str">
        <f t="shared" si="1273"/>
        <v/>
      </c>
      <c r="AB815" s="268" t="str">
        <f t="shared" si="1274"/>
        <v/>
      </c>
      <c r="AC815" s="268" t="str">
        <f t="shared" si="1275"/>
        <v/>
      </c>
      <c r="AD815" s="268" t="str">
        <f t="shared" si="1276"/>
        <v/>
      </c>
      <c r="AE815" s="268" t="str">
        <f t="shared" si="1277"/>
        <v/>
      </c>
      <c r="AF815" s="268" t="str">
        <f t="shared" si="1278"/>
        <v/>
      </c>
      <c r="AG815" s="268" t="str">
        <f t="shared" si="1279"/>
        <v/>
      </c>
      <c r="AH815" s="268" t="str">
        <f t="shared" si="1280"/>
        <v/>
      </c>
      <c r="AI815" s="268" t="str">
        <f t="shared" si="1281"/>
        <v/>
      </c>
      <c r="AJ815" s="268" t="str">
        <f t="shared" si="1282"/>
        <v/>
      </c>
      <c r="AK815" s="268" t="str">
        <f t="shared" si="1283"/>
        <v/>
      </c>
      <c r="AL815" s="268" t="str">
        <f t="shared" si="1284"/>
        <v/>
      </c>
      <c r="AM815" s="268" t="str">
        <f t="shared" si="1285"/>
        <v/>
      </c>
      <c r="AN815" s="268" t="str">
        <f t="shared" si="1286"/>
        <v/>
      </c>
      <c r="AO815" s="268" t="str">
        <f t="shared" si="1287"/>
        <v/>
      </c>
      <c r="AP815" s="268" t="str">
        <f t="shared" si="1288"/>
        <v/>
      </c>
      <c r="AQ815" s="268" t="str">
        <f t="shared" si="1289"/>
        <v/>
      </c>
      <c r="AR815" s="268" t="str">
        <f t="shared" si="1290"/>
        <v/>
      </c>
      <c r="AS815" s="268" t="str">
        <f t="shared" si="1291"/>
        <v/>
      </c>
      <c r="AT815" s="268" t="str">
        <f t="shared" si="1292"/>
        <v/>
      </c>
      <c r="AU815" s="268" t="str">
        <f t="shared" si="1293"/>
        <v/>
      </c>
      <c r="AV815" s="268" t="str">
        <f t="shared" si="1294"/>
        <v/>
      </c>
      <c r="AW815" s="268" t="str">
        <f t="shared" si="1295"/>
        <v/>
      </c>
      <c r="AX815" s="268" t="str">
        <f t="shared" si="1296"/>
        <v/>
      </c>
      <c r="AY815" s="268" t="str">
        <f t="shared" si="1297"/>
        <v/>
      </c>
      <c r="AZ815" s="268" t="str">
        <f t="shared" si="1298"/>
        <v/>
      </c>
      <c r="BA815" s="268" t="str">
        <f t="shared" si="1299"/>
        <v/>
      </c>
      <c r="BB815" s="268" t="str">
        <f t="shared" si="1300"/>
        <v/>
      </c>
      <c r="BC815" s="268" t="str">
        <f t="shared" si="1301"/>
        <v/>
      </c>
      <c r="BD815" s="268" t="str">
        <f t="shared" si="1302"/>
        <v/>
      </c>
      <c r="BE815" s="268" t="str">
        <f t="shared" si="1303"/>
        <v/>
      </c>
      <c r="BF815" s="268" t="str">
        <f t="shared" si="1304"/>
        <v/>
      </c>
      <c r="BG815" s="268">
        <f t="shared" si="1305"/>
        <v>720</v>
      </c>
      <c r="BH815" s="268" t="str">
        <f t="shared" si="1306"/>
        <v/>
      </c>
      <c r="BI815" s="268" t="str">
        <f t="shared" si="1307"/>
        <v/>
      </c>
      <c r="BJ815" s="268" t="str">
        <f t="shared" si="1308"/>
        <v/>
      </c>
      <c r="BK815" s="268" t="str">
        <f t="shared" si="1309"/>
        <v/>
      </c>
      <c r="BL815" s="268" t="str">
        <f t="shared" si="1310"/>
        <v/>
      </c>
      <c r="BM815" s="268" t="str">
        <f t="shared" si="1311"/>
        <v/>
      </c>
      <c r="BN815" s="268" t="str">
        <f t="shared" si="1312"/>
        <v/>
      </c>
      <c r="BO815" s="268" t="str">
        <f t="shared" si="1313"/>
        <v/>
      </c>
      <c r="BP815" s="268" t="str">
        <f t="shared" si="1314"/>
        <v/>
      </c>
      <c r="BQ815" s="268" t="str">
        <f t="shared" si="1315"/>
        <v/>
      </c>
      <c r="BR815" s="268" t="str">
        <f t="shared" si="1316"/>
        <v/>
      </c>
      <c r="BS815" s="268" t="str">
        <f t="shared" si="1317"/>
        <v/>
      </c>
      <c r="BT815" s="268" t="str">
        <f t="shared" si="1318"/>
        <v/>
      </c>
      <c r="BU815" s="268" t="str">
        <f t="shared" si="1319"/>
        <v/>
      </c>
      <c r="BV815" s="247">
        <v>1.15</v>
      </c>
      <c r="BW815" s="729">
        <f t="shared" si="1320"/>
        <v>828</v>
      </c>
      <c r="BX815" s="730">
        <f t="shared" si="1321"/>
        <v>6417</v>
      </c>
      <c r="BY815" s="731" t="str">
        <f t="shared" si="1322"/>
        <v>JC</v>
      </c>
    </row>
    <row r="816" s="698" customFormat="1" customHeight="1" spans="1:77">
      <c r="A816" s="248">
        <v>46148</v>
      </c>
      <c r="B816" s="248">
        <v>46195</v>
      </c>
      <c r="C816" s="268" t="s">
        <v>815</v>
      </c>
      <c r="D816" s="268" t="s">
        <v>816</v>
      </c>
      <c r="E816" s="268" t="s">
        <v>123</v>
      </c>
      <c r="F816" s="343">
        <v>960</v>
      </c>
      <c r="G816" s="268" t="s">
        <v>510</v>
      </c>
      <c r="H816" s="211" t="str">
        <f>IFERROR(VLOOKUP(E816,名称!A:E,4,0),"")</f>
        <v>蛋糕</v>
      </c>
      <c r="I816" s="268" t="str">
        <f t="shared" si="1255"/>
        <v/>
      </c>
      <c r="J816" s="268" t="str">
        <f t="shared" si="1256"/>
        <v/>
      </c>
      <c r="K816" s="268" t="str">
        <f t="shared" si="1257"/>
        <v/>
      </c>
      <c r="L816" s="268" t="str">
        <f t="shared" si="1258"/>
        <v/>
      </c>
      <c r="M816" s="268" t="str">
        <f t="shared" si="1259"/>
        <v/>
      </c>
      <c r="N816" s="268" t="str">
        <f t="shared" si="1260"/>
        <v/>
      </c>
      <c r="O816" s="268" t="str">
        <f t="shared" si="1261"/>
        <v/>
      </c>
      <c r="P816" s="268" t="str">
        <f t="shared" si="1262"/>
        <v/>
      </c>
      <c r="Q816" s="268" t="str">
        <f t="shared" si="1263"/>
        <v/>
      </c>
      <c r="R816" s="268" t="str">
        <f t="shared" si="1264"/>
        <v/>
      </c>
      <c r="S816" s="268" t="str">
        <f t="shared" si="1265"/>
        <v/>
      </c>
      <c r="T816" s="268" t="str">
        <f t="shared" si="1266"/>
        <v/>
      </c>
      <c r="U816" s="268" t="str">
        <f t="shared" si="1267"/>
        <v/>
      </c>
      <c r="V816" s="268" t="str">
        <f t="shared" si="1268"/>
        <v/>
      </c>
      <c r="W816" s="268" t="str">
        <f t="shared" si="1269"/>
        <v/>
      </c>
      <c r="X816" s="268" t="str">
        <f t="shared" si="1270"/>
        <v/>
      </c>
      <c r="Y816" s="268" t="str">
        <f t="shared" si="1271"/>
        <v/>
      </c>
      <c r="Z816" s="268" t="str">
        <f t="shared" si="1272"/>
        <v/>
      </c>
      <c r="AA816" s="268" t="str">
        <f t="shared" si="1273"/>
        <v/>
      </c>
      <c r="AB816" s="268" t="str">
        <f t="shared" si="1274"/>
        <v/>
      </c>
      <c r="AC816" s="268" t="str">
        <f t="shared" si="1275"/>
        <v/>
      </c>
      <c r="AD816" s="268" t="str">
        <f t="shared" si="1276"/>
        <v/>
      </c>
      <c r="AE816" s="268" t="str">
        <f t="shared" si="1277"/>
        <v/>
      </c>
      <c r="AF816" s="268" t="str">
        <f t="shared" si="1278"/>
        <v/>
      </c>
      <c r="AG816" s="268" t="str">
        <f t="shared" si="1279"/>
        <v/>
      </c>
      <c r="AH816" s="268" t="str">
        <f t="shared" si="1280"/>
        <v/>
      </c>
      <c r="AI816" s="268" t="str">
        <f t="shared" si="1281"/>
        <v/>
      </c>
      <c r="AJ816" s="268" t="str">
        <f t="shared" si="1282"/>
        <v/>
      </c>
      <c r="AK816" s="268" t="str">
        <f t="shared" si="1283"/>
        <v/>
      </c>
      <c r="AL816" s="268" t="str">
        <f t="shared" si="1284"/>
        <v/>
      </c>
      <c r="AM816" s="268" t="str">
        <f t="shared" si="1285"/>
        <v/>
      </c>
      <c r="AN816" s="268" t="str">
        <f t="shared" si="1286"/>
        <v/>
      </c>
      <c r="AO816" s="268" t="str">
        <f t="shared" si="1287"/>
        <v/>
      </c>
      <c r="AP816" s="268" t="str">
        <f t="shared" si="1288"/>
        <v/>
      </c>
      <c r="AQ816" s="268" t="str">
        <f t="shared" si="1289"/>
        <v/>
      </c>
      <c r="AR816" s="268" t="str">
        <f t="shared" si="1290"/>
        <v/>
      </c>
      <c r="AS816" s="268" t="str">
        <f t="shared" si="1291"/>
        <v/>
      </c>
      <c r="AT816" s="268" t="str">
        <f t="shared" si="1292"/>
        <v/>
      </c>
      <c r="AU816" s="268" t="str">
        <f t="shared" si="1293"/>
        <v/>
      </c>
      <c r="AV816" s="268" t="str">
        <f t="shared" si="1294"/>
        <v/>
      </c>
      <c r="AW816" s="268" t="str">
        <f t="shared" si="1295"/>
        <v/>
      </c>
      <c r="AX816" s="268" t="str">
        <f t="shared" si="1296"/>
        <v/>
      </c>
      <c r="AY816" s="268" t="str">
        <f t="shared" si="1297"/>
        <v/>
      </c>
      <c r="AZ816" s="268" t="str">
        <f t="shared" si="1298"/>
        <v/>
      </c>
      <c r="BA816" s="268" t="str">
        <f t="shared" si="1299"/>
        <v/>
      </c>
      <c r="BB816" s="268" t="str">
        <f t="shared" si="1300"/>
        <v/>
      </c>
      <c r="BC816" s="268" t="str">
        <f t="shared" si="1301"/>
        <v/>
      </c>
      <c r="BD816" s="268" t="str">
        <f t="shared" si="1302"/>
        <v/>
      </c>
      <c r="BE816" s="268" t="str">
        <f t="shared" si="1303"/>
        <v/>
      </c>
      <c r="BF816" s="268">
        <f t="shared" si="1304"/>
        <v>960</v>
      </c>
      <c r="BG816" s="268" t="str">
        <f t="shared" si="1305"/>
        <v/>
      </c>
      <c r="BH816" s="268" t="str">
        <f t="shared" si="1306"/>
        <v/>
      </c>
      <c r="BI816" s="268" t="str">
        <f t="shared" si="1307"/>
        <v/>
      </c>
      <c r="BJ816" s="268" t="str">
        <f t="shared" si="1308"/>
        <v/>
      </c>
      <c r="BK816" s="268" t="str">
        <f t="shared" si="1309"/>
        <v/>
      </c>
      <c r="BL816" s="268" t="str">
        <f t="shared" si="1310"/>
        <v/>
      </c>
      <c r="BM816" s="268" t="str">
        <f t="shared" si="1311"/>
        <v/>
      </c>
      <c r="BN816" s="268" t="str">
        <f t="shared" si="1312"/>
        <v/>
      </c>
      <c r="BO816" s="268" t="str">
        <f t="shared" si="1313"/>
        <v/>
      </c>
      <c r="BP816" s="268" t="str">
        <f t="shared" si="1314"/>
        <v/>
      </c>
      <c r="BQ816" s="268" t="str">
        <f t="shared" si="1315"/>
        <v/>
      </c>
      <c r="BR816" s="268" t="str">
        <f t="shared" si="1316"/>
        <v/>
      </c>
      <c r="BS816" s="268" t="str">
        <f t="shared" si="1317"/>
        <v/>
      </c>
      <c r="BT816" s="268" t="str">
        <f t="shared" si="1318"/>
        <v/>
      </c>
      <c r="BU816" s="268" t="str">
        <f t="shared" si="1319"/>
        <v/>
      </c>
      <c r="BV816" s="247">
        <v>0.81</v>
      </c>
      <c r="BW816" s="729">
        <f t="shared" si="1320"/>
        <v>777.6</v>
      </c>
      <c r="BX816" s="730">
        <f t="shared" si="1321"/>
        <v>6026.4</v>
      </c>
      <c r="BY816" s="731" t="str">
        <f t="shared" si="1322"/>
        <v>JC</v>
      </c>
    </row>
    <row r="817" s="698" customFormat="1" customHeight="1" spans="1:77">
      <c r="A817" s="248">
        <v>46148</v>
      </c>
      <c r="B817" s="248">
        <v>46195</v>
      </c>
      <c r="C817" s="268" t="s">
        <v>817</v>
      </c>
      <c r="D817" s="268" t="s">
        <v>818</v>
      </c>
      <c r="E817" s="268" t="s">
        <v>50</v>
      </c>
      <c r="F817" s="343">
        <v>2412</v>
      </c>
      <c r="G817" s="268" t="s">
        <v>510</v>
      </c>
      <c r="H817" s="211" t="str">
        <f>IFERROR(VLOOKUP(E817,名称!A:E,4,0),"")</f>
        <v>蛋糕</v>
      </c>
      <c r="I817" s="268" t="str">
        <f t="shared" si="1255"/>
        <v/>
      </c>
      <c r="J817" s="268" t="str">
        <f t="shared" si="1256"/>
        <v/>
      </c>
      <c r="K817" s="268" t="str">
        <f t="shared" si="1257"/>
        <v/>
      </c>
      <c r="L817" s="268" t="str">
        <f t="shared" si="1258"/>
        <v/>
      </c>
      <c r="M817" s="268" t="str">
        <f t="shared" si="1259"/>
        <v/>
      </c>
      <c r="N817" s="268" t="str">
        <f t="shared" si="1260"/>
        <v/>
      </c>
      <c r="O817" s="268" t="str">
        <f t="shared" si="1261"/>
        <v/>
      </c>
      <c r="P817" s="268" t="str">
        <f t="shared" si="1262"/>
        <v/>
      </c>
      <c r="Q817" s="268" t="str">
        <f t="shared" si="1263"/>
        <v/>
      </c>
      <c r="R817" s="268" t="str">
        <f t="shared" si="1264"/>
        <v/>
      </c>
      <c r="S817" s="268" t="str">
        <f t="shared" si="1265"/>
        <v/>
      </c>
      <c r="T817" s="268" t="str">
        <f t="shared" si="1266"/>
        <v/>
      </c>
      <c r="U817" s="268" t="str">
        <f t="shared" si="1267"/>
        <v/>
      </c>
      <c r="V817" s="268" t="str">
        <f t="shared" si="1268"/>
        <v/>
      </c>
      <c r="W817" s="268" t="str">
        <f t="shared" si="1269"/>
        <v/>
      </c>
      <c r="X817" s="268" t="str">
        <f t="shared" si="1270"/>
        <v/>
      </c>
      <c r="Y817" s="268" t="str">
        <f t="shared" si="1271"/>
        <v/>
      </c>
      <c r="Z817" s="268" t="str">
        <f t="shared" si="1272"/>
        <v/>
      </c>
      <c r="AA817" s="268" t="str">
        <f t="shared" si="1273"/>
        <v/>
      </c>
      <c r="AB817" s="268" t="str">
        <f t="shared" si="1274"/>
        <v/>
      </c>
      <c r="AC817" s="268" t="str">
        <f t="shared" si="1275"/>
        <v/>
      </c>
      <c r="AD817" s="268" t="str">
        <f t="shared" si="1276"/>
        <v/>
      </c>
      <c r="AE817" s="268" t="str">
        <f t="shared" si="1277"/>
        <v/>
      </c>
      <c r="AF817" s="268" t="str">
        <f t="shared" si="1278"/>
        <v/>
      </c>
      <c r="AG817" s="268" t="str">
        <f t="shared" si="1279"/>
        <v/>
      </c>
      <c r="AH817" s="268" t="str">
        <f t="shared" si="1280"/>
        <v/>
      </c>
      <c r="AI817" s="268" t="str">
        <f t="shared" si="1281"/>
        <v/>
      </c>
      <c r="AJ817" s="268" t="str">
        <f t="shared" si="1282"/>
        <v/>
      </c>
      <c r="AK817" s="268" t="str">
        <f t="shared" si="1283"/>
        <v/>
      </c>
      <c r="AL817" s="268" t="str">
        <f t="shared" si="1284"/>
        <v/>
      </c>
      <c r="AM817" s="268" t="str">
        <f t="shared" si="1285"/>
        <v/>
      </c>
      <c r="AN817" s="268" t="str">
        <f t="shared" si="1286"/>
        <v/>
      </c>
      <c r="AO817" s="268" t="str">
        <f t="shared" si="1287"/>
        <v/>
      </c>
      <c r="AP817" s="268" t="str">
        <f t="shared" si="1288"/>
        <v/>
      </c>
      <c r="AQ817" s="268" t="str">
        <f t="shared" si="1289"/>
        <v/>
      </c>
      <c r="AR817" s="268" t="str">
        <f t="shared" si="1290"/>
        <v/>
      </c>
      <c r="AS817" s="268" t="str">
        <f t="shared" si="1291"/>
        <v/>
      </c>
      <c r="AT817" s="268" t="str">
        <f t="shared" si="1292"/>
        <v/>
      </c>
      <c r="AU817" s="268" t="str">
        <f t="shared" si="1293"/>
        <v/>
      </c>
      <c r="AV817" s="268" t="str">
        <f t="shared" si="1294"/>
        <v/>
      </c>
      <c r="AW817" s="268" t="str">
        <f t="shared" si="1295"/>
        <v/>
      </c>
      <c r="AX817" s="268" t="str">
        <f t="shared" si="1296"/>
        <v/>
      </c>
      <c r="AY817" s="268" t="str">
        <f t="shared" si="1297"/>
        <v/>
      </c>
      <c r="AZ817" s="268" t="str">
        <f t="shared" si="1298"/>
        <v/>
      </c>
      <c r="BA817" s="268" t="str">
        <f t="shared" si="1299"/>
        <v/>
      </c>
      <c r="BB817" s="268" t="str">
        <f t="shared" si="1300"/>
        <v/>
      </c>
      <c r="BC817" s="268" t="str">
        <f t="shared" si="1301"/>
        <v/>
      </c>
      <c r="BD817" s="268" t="str">
        <f t="shared" si="1302"/>
        <v/>
      </c>
      <c r="BE817" s="268" t="str">
        <f t="shared" si="1303"/>
        <v/>
      </c>
      <c r="BF817" s="268" t="str">
        <f t="shared" si="1304"/>
        <v/>
      </c>
      <c r="BG817" s="268">
        <f t="shared" si="1305"/>
        <v>2412</v>
      </c>
      <c r="BH817" s="268" t="str">
        <f t="shared" si="1306"/>
        <v/>
      </c>
      <c r="BI817" s="268" t="str">
        <f t="shared" si="1307"/>
        <v/>
      </c>
      <c r="BJ817" s="268" t="str">
        <f t="shared" si="1308"/>
        <v/>
      </c>
      <c r="BK817" s="268" t="str">
        <f t="shared" si="1309"/>
        <v/>
      </c>
      <c r="BL817" s="268" t="str">
        <f t="shared" si="1310"/>
        <v/>
      </c>
      <c r="BM817" s="268" t="str">
        <f t="shared" si="1311"/>
        <v/>
      </c>
      <c r="BN817" s="268" t="str">
        <f t="shared" si="1312"/>
        <v/>
      </c>
      <c r="BO817" s="268" t="str">
        <f t="shared" si="1313"/>
        <v/>
      </c>
      <c r="BP817" s="268" t="str">
        <f t="shared" si="1314"/>
        <v/>
      </c>
      <c r="BQ817" s="268" t="str">
        <f t="shared" si="1315"/>
        <v/>
      </c>
      <c r="BR817" s="268" t="str">
        <f t="shared" si="1316"/>
        <v/>
      </c>
      <c r="BS817" s="268" t="str">
        <f t="shared" si="1317"/>
        <v/>
      </c>
      <c r="BT817" s="268" t="str">
        <f t="shared" si="1318"/>
        <v/>
      </c>
      <c r="BU817" s="268" t="str">
        <f t="shared" si="1319"/>
        <v/>
      </c>
      <c r="BV817" s="247">
        <v>1.15</v>
      </c>
      <c r="BW817" s="729">
        <f t="shared" si="1320"/>
        <v>2773.8</v>
      </c>
      <c r="BX817" s="730">
        <f t="shared" si="1321"/>
        <v>21496.95</v>
      </c>
      <c r="BY817" s="731" t="str">
        <f t="shared" si="1322"/>
        <v>JC</v>
      </c>
    </row>
    <row r="818" s="698" customFormat="1" customHeight="1" spans="1:77">
      <c r="A818" s="248">
        <v>46148</v>
      </c>
      <c r="B818" s="248">
        <v>46195</v>
      </c>
      <c r="C818" s="268" t="s">
        <v>817</v>
      </c>
      <c r="D818" s="268" t="s">
        <v>818</v>
      </c>
      <c r="E818" s="268" t="s">
        <v>123</v>
      </c>
      <c r="F818" s="343">
        <v>3000</v>
      </c>
      <c r="G818" s="268" t="s">
        <v>510</v>
      </c>
      <c r="H818" s="211" t="str">
        <f>IFERROR(VLOOKUP(E818,名称!A:E,4,0),"")</f>
        <v>蛋糕</v>
      </c>
      <c r="I818" s="268" t="str">
        <f t="shared" si="1255"/>
        <v/>
      </c>
      <c r="J818" s="268" t="str">
        <f t="shared" si="1256"/>
        <v/>
      </c>
      <c r="K818" s="268" t="str">
        <f t="shared" si="1257"/>
        <v/>
      </c>
      <c r="L818" s="268" t="str">
        <f t="shared" si="1258"/>
        <v/>
      </c>
      <c r="M818" s="268" t="str">
        <f t="shared" si="1259"/>
        <v/>
      </c>
      <c r="N818" s="268" t="str">
        <f t="shared" si="1260"/>
        <v/>
      </c>
      <c r="O818" s="268" t="str">
        <f t="shared" si="1261"/>
        <v/>
      </c>
      <c r="P818" s="268" t="str">
        <f t="shared" si="1262"/>
        <v/>
      </c>
      <c r="Q818" s="268" t="str">
        <f t="shared" si="1263"/>
        <v/>
      </c>
      <c r="R818" s="268" t="str">
        <f t="shared" si="1264"/>
        <v/>
      </c>
      <c r="S818" s="268" t="str">
        <f t="shared" si="1265"/>
        <v/>
      </c>
      <c r="T818" s="268" t="str">
        <f t="shared" si="1266"/>
        <v/>
      </c>
      <c r="U818" s="268" t="str">
        <f t="shared" si="1267"/>
        <v/>
      </c>
      <c r="V818" s="268" t="str">
        <f t="shared" si="1268"/>
        <v/>
      </c>
      <c r="W818" s="268" t="str">
        <f t="shared" si="1269"/>
        <v/>
      </c>
      <c r="X818" s="268" t="str">
        <f t="shared" si="1270"/>
        <v/>
      </c>
      <c r="Y818" s="268" t="str">
        <f t="shared" si="1271"/>
        <v/>
      </c>
      <c r="Z818" s="268" t="str">
        <f t="shared" si="1272"/>
        <v/>
      </c>
      <c r="AA818" s="268" t="str">
        <f t="shared" si="1273"/>
        <v/>
      </c>
      <c r="AB818" s="268" t="str">
        <f t="shared" si="1274"/>
        <v/>
      </c>
      <c r="AC818" s="268" t="str">
        <f t="shared" si="1275"/>
        <v/>
      </c>
      <c r="AD818" s="268" t="str">
        <f t="shared" si="1276"/>
        <v/>
      </c>
      <c r="AE818" s="268" t="str">
        <f t="shared" si="1277"/>
        <v/>
      </c>
      <c r="AF818" s="268" t="str">
        <f t="shared" si="1278"/>
        <v/>
      </c>
      <c r="AG818" s="268" t="str">
        <f t="shared" si="1279"/>
        <v/>
      </c>
      <c r="AH818" s="268" t="str">
        <f t="shared" si="1280"/>
        <v/>
      </c>
      <c r="AI818" s="268" t="str">
        <f t="shared" si="1281"/>
        <v/>
      </c>
      <c r="AJ818" s="268" t="str">
        <f t="shared" si="1282"/>
        <v/>
      </c>
      <c r="AK818" s="268" t="str">
        <f t="shared" si="1283"/>
        <v/>
      </c>
      <c r="AL818" s="268" t="str">
        <f t="shared" si="1284"/>
        <v/>
      </c>
      <c r="AM818" s="268" t="str">
        <f t="shared" si="1285"/>
        <v/>
      </c>
      <c r="AN818" s="268" t="str">
        <f t="shared" si="1286"/>
        <v/>
      </c>
      <c r="AO818" s="268" t="str">
        <f t="shared" si="1287"/>
        <v/>
      </c>
      <c r="AP818" s="268" t="str">
        <f t="shared" si="1288"/>
        <v/>
      </c>
      <c r="AQ818" s="268" t="str">
        <f t="shared" si="1289"/>
        <v/>
      </c>
      <c r="AR818" s="268" t="str">
        <f t="shared" si="1290"/>
        <v/>
      </c>
      <c r="AS818" s="268" t="str">
        <f t="shared" si="1291"/>
        <v/>
      </c>
      <c r="AT818" s="268" t="str">
        <f t="shared" si="1292"/>
        <v/>
      </c>
      <c r="AU818" s="268" t="str">
        <f t="shared" si="1293"/>
        <v/>
      </c>
      <c r="AV818" s="268" t="str">
        <f t="shared" si="1294"/>
        <v/>
      </c>
      <c r="AW818" s="268" t="str">
        <f t="shared" si="1295"/>
        <v/>
      </c>
      <c r="AX818" s="268" t="str">
        <f t="shared" si="1296"/>
        <v/>
      </c>
      <c r="AY818" s="268" t="str">
        <f t="shared" si="1297"/>
        <v/>
      </c>
      <c r="AZ818" s="268" t="str">
        <f t="shared" si="1298"/>
        <v/>
      </c>
      <c r="BA818" s="268" t="str">
        <f t="shared" si="1299"/>
        <v/>
      </c>
      <c r="BB818" s="268" t="str">
        <f t="shared" si="1300"/>
        <v/>
      </c>
      <c r="BC818" s="268" t="str">
        <f t="shared" si="1301"/>
        <v/>
      </c>
      <c r="BD818" s="268" t="str">
        <f t="shared" si="1302"/>
        <v/>
      </c>
      <c r="BE818" s="268" t="str">
        <f t="shared" si="1303"/>
        <v/>
      </c>
      <c r="BF818" s="268">
        <f t="shared" si="1304"/>
        <v>3000</v>
      </c>
      <c r="BG818" s="268" t="str">
        <f t="shared" si="1305"/>
        <v/>
      </c>
      <c r="BH818" s="268" t="str">
        <f t="shared" si="1306"/>
        <v/>
      </c>
      <c r="BI818" s="268" t="str">
        <f t="shared" si="1307"/>
        <v/>
      </c>
      <c r="BJ818" s="268" t="str">
        <f t="shared" si="1308"/>
        <v/>
      </c>
      <c r="BK818" s="268" t="str">
        <f t="shared" si="1309"/>
        <v/>
      </c>
      <c r="BL818" s="268" t="str">
        <f t="shared" si="1310"/>
        <v/>
      </c>
      <c r="BM818" s="268" t="str">
        <f t="shared" si="1311"/>
        <v/>
      </c>
      <c r="BN818" s="268" t="str">
        <f t="shared" si="1312"/>
        <v/>
      </c>
      <c r="BO818" s="268" t="str">
        <f t="shared" si="1313"/>
        <v/>
      </c>
      <c r="BP818" s="268" t="str">
        <f t="shared" si="1314"/>
        <v/>
      </c>
      <c r="BQ818" s="268" t="str">
        <f t="shared" si="1315"/>
        <v/>
      </c>
      <c r="BR818" s="268" t="str">
        <f t="shared" si="1316"/>
        <v/>
      </c>
      <c r="BS818" s="268" t="str">
        <f t="shared" si="1317"/>
        <v/>
      </c>
      <c r="BT818" s="268" t="str">
        <f t="shared" si="1318"/>
        <v/>
      </c>
      <c r="BU818" s="268" t="str">
        <f t="shared" si="1319"/>
        <v/>
      </c>
      <c r="BV818" s="247">
        <v>0.81</v>
      </c>
      <c r="BW818" s="729">
        <f t="shared" si="1320"/>
        <v>2430</v>
      </c>
      <c r="BX818" s="730">
        <f t="shared" si="1321"/>
        <v>18832.5</v>
      </c>
      <c r="BY818" s="731" t="str">
        <f t="shared" si="1322"/>
        <v>JC</v>
      </c>
    </row>
    <row r="819" s="698" customFormat="1" customHeight="1" spans="1:77">
      <c r="A819" s="248">
        <v>46148</v>
      </c>
      <c r="B819" s="248">
        <v>46195</v>
      </c>
      <c r="C819" s="268" t="s">
        <v>819</v>
      </c>
      <c r="D819" s="268" t="s">
        <v>820</v>
      </c>
      <c r="E819" s="268" t="s">
        <v>121</v>
      </c>
      <c r="F819" s="343">
        <v>2760</v>
      </c>
      <c r="G819" s="268" t="s">
        <v>510</v>
      </c>
      <c r="H819" s="211" t="str">
        <f>IFERROR(VLOOKUP(E819,名称!A:E,4,0),"")</f>
        <v>三代</v>
      </c>
      <c r="I819" s="268" t="str">
        <f t="shared" si="1255"/>
        <v/>
      </c>
      <c r="J819" s="268" t="str">
        <f t="shared" si="1256"/>
        <v/>
      </c>
      <c r="K819" s="268" t="str">
        <f t="shared" si="1257"/>
        <v/>
      </c>
      <c r="L819" s="268" t="str">
        <f t="shared" si="1258"/>
        <v/>
      </c>
      <c r="M819" s="268" t="str">
        <f t="shared" si="1259"/>
        <v/>
      </c>
      <c r="N819" s="268" t="str">
        <f t="shared" si="1260"/>
        <v/>
      </c>
      <c r="O819" s="268" t="str">
        <f t="shared" si="1261"/>
        <v/>
      </c>
      <c r="P819" s="268" t="str">
        <f t="shared" si="1262"/>
        <v/>
      </c>
      <c r="Q819" s="268" t="str">
        <f t="shared" si="1263"/>
        <v/>
      </c>
      <c r="R819" s="268" t="str">
        <f t="shared" si="1264"/>
        <v/>
      </c>
      <c r="S819" s="268" t="str">
        <f t="shared" si="1265"/>
        <v/>
      </c>
      <c r="T819" s="268" t="str">
        <f t="shared" si="1266"/>
        <v/>
      </c>
      <c r="U819" s="268" t="str">
        <f t="shared" si="1267"/>
        <v/>
      </c>
      <c r="V819" s="268" t="str">
        <f t="shared" si="1268"/>
        <v/>
      </c>
      <c r="W819" s="268" t="str">
        <f t="shared" si="1269"/>
        <v/>
      </c>
      <c r="X819" s="268" t="str">
        <f t="shared" si="1270"/>
        <v/>
      </c>
      <c r="Y819" s="268" t="str">
        <f t="shared" si="1271"/>
        <v/>
      </c>
      <c r="Z819" s="268" t="str">
        <f t="shared" si="1272"/>
        <v/>
      </c>
      <c r="AA819" s="268" t="str">
        <f t="shared" si="1273"/>
        <v/>
      </c>
      <c r="AB819" s="268" t="str">
        <f t="shared" si="1274"/>
        <v/>
      </c>
      <c r="AC819" s="268">
        <f t="shared" si="1275"/>
        <v>2760</v>
      </c>
      <c r="AD819" s="268" t="str">
        <f t="shared" si="1276"/>
        <v/>
      </c>
      <c r="AE819" s="268" t="str">
        <f t="shared" si="1277"/>
        <v/>
      </c>
      <c r="AF819" s="268" t="str">
        <f t="shared" si="1278"/>
        <v/>
      </c>
      <c r="AG819" s="268" t="str">
        <f t="shared" si="1279"/>
        <v/>
      </c>
      <c r="AH819" s="268" t="str">
        <f t="shared" si="1280"/>
        <v/>
      </c>
      <c r="AI819" s="268" t="str">
        <f t="shared" si="1281"/>
        <v/>
      </c>
      <c r="AJ819" s="268" t="str">
        <f t="shared" si="1282"/>
        <v/>
      </c>
      <c r="AK819" s="268" t="str">
        <f t="shared" si="1283"/>
        <v/>
      </c>
      <c r="AL819" s="268" t="str">
        <f t="shared" si="1284"/>
        <v/>
      </c>
      <c r="AM819" s="268" t="str">
        <f t="shared" si="1285"/>
        <v/>
      </c>
      <c r="AN819" s="268" t="str">
        <f t="shared" si="1286"/>
        <v/>
      </c>
      <c r="AO819" s="268" t="str">
        <f t="shared" si="1287"/>
        <v/>
      </c>
      <c r="AP819" s="268" t="str">
        <f t="shared" si="1288"/>
        <v/>
      </c>
      <c r="AQ819" s="268" t="str">
        <f t="shared" si="1289"/>
        <v/>
      </c>
      <c r="AR819" s="268" t="str">
        <f t="shared" si="1290"/>
        <v/>
      </c>
      <c r="AS819" s="268" t="str">
        <f t="shared" si="1291"/>
        <v/>
      </c>
      <c r="AT819" s="268" t="str">
        <f t="shared" si="1292"/>
        <v/>
      </c>
      <c r="AU819" s="268" t="str">
        <f t="shared" si="1293"/>
        <v/>
      </c>
      <c r="AV819" s="268" t="str">
        <f t="shared" si="1294"/>
        <v/>
      </c>
      <c r="AW819" s="268" t="str">
        <f t="shared" si="1295"/>
        <v/>
      </c>
      <c r="AX819" s="268" t="str">
        <f t="shared" si="1296"/>
        <v/>
      </c>
      <c r="AY819" s="268" t="str">
        <f t="shared" si="1297"/>
        <v/>
      </c>
      <c r="AZ819" s="268" t="str">
        <f t="shared" si="1298"/>
        <v/>
      </c>
      <c r="BA819" s="268" t="str">
        <f t="shared" si="1299"/>
        <v/>
      </c>
      <c r="BB819" s="268" t="str">
        <f t="shared" si="1300"/>
        <v/>
      </c>
      <c r="BC819" s="268" t="str">
        <f t="shared" si="1301"/>
        <v/>
      </c>
      <c r="BD819" s="268" t="str">
        <f t="shared" si="1302"/>
        <v/>
      </c>
      <c r="BE819" s="268" t="str">
        <f t="shared" si="1303"/>
        <v/>
      </c>
      <c r="BF819" s="268" t="str">
        <f t="shared" si="1304"/>
        <v/>
      </c>
      <c r="BG819" s="268" t="str">
        <f t="shared" si="1305"/>
        <v/>
      </c>
      <c r="BH819" s="268" t="str">
        <f t="shared" si="1306"/>
        <v/>
      </c>
      <c r="BI819" s="268" t="str">
        <f t="shared" si="1307"/>
        <v/>
      </c>
      <c r="BJ819" s="268" t="str">
        <f t="shared" si="1308"/>
        <v/>
      </c>
      <c r="BK819" s="268" t="str">
        <f t="shared" si="1309"/>
        <v/>
      </c>
      <c r="BL819" s="268" t="str">
        <f t="shared" si="1310"/>
        <v/>
      </c>
      <c r="BM819" s="268" t="str">
        <f t="shared" si="1311"/>
        <v/>
      </c>
      <c r="BN819" s="268" t="str">
        <f t="shared" si="1312"/>
        <v/>
      </c>
      <c r="BO819" s="268" t="str">
        <f t="shared" si="1313"/>
        <v/>
      </c>
      <c r="BP819" s="268" t="str">
        <f t="shared" si="1314"/>
        <v/>
      </c>
      <c r="BQ819" s="268" t="str">
        <f t="shared" si="1315"/>
        <v/>
      </c>
      <c r="BR819" s="268" t="str">
        <f t="shared" si="1316"/>
        <v/>
      </c>
      <c r="BS819" s="268" t="str">
        <f t="shared" si="1317"/>
        <v/>
      </c>
      <c r="BT819" s="268" t="str">
        <f t="shared" si="1318"/>
        <v/>
      </c>
      <c r="BU819" s="268" t="str">
        <f t="shared" si="1319"/>
        <v/>
      </c>
      <c r="BV819" s="247">
        <v>0.79</v>
      </c>
      <c r="BW819" s="729">
        <f t="shared" si="1320"/>
        <v>2180.4</v>
      </c>
      <c r="BX819" s="730">
        <f t="shared" si="1321"/>
        <v>16898.1</v>
      </c>
      <c r="BY819" s="731" t="str">
        <f t="shared" si="1322"/>
        <v>SR</v>
      </c>
    </row>
    <row r="820" s="698" customFormat="1" customHeight="1" spans="1:77">
      <c r="A820" s="248">
        <v>46148</v>
      </c>
      <c r="B820" s="248">
        <v>46195</v>
      </c>
      <c r="C820" s="268" t="s">
        <v>819</v>
      </c>
      <c r="D820" s="268" t="s">
        <v>820</v>
      </c>
      <c r="E820" s="268" t="s">
        <v>59</v>
      </c>
      <c r="F820" s="343">
        <v>2760</v>
      </c>
      <c r="G820" s="268" t="s">
        <v>510</v>
      </c>
      <c r="H820" s="211" t="str">
        <f>IFERROR(VLOOKUP(E820,名称!A:E,4,0),"")</f>
        <v>三代</v>
      </c>
      <c r="I820" s="268" t="str">
        <f t="shared" si="1255"/>
        <v/>
      </c>
      <c r="J820" s="268" t="str">
        <f t="shared" si="1256"/>
        <v/>
      </c>
      <c r="K820" s="268" t="str">
        <f t="shared" si="1257"/>
        <v/>
      </c>
      <c r="L820" s="268" t="str">
        <f t="shared" si="1258"/>
        <v/>
      </c>
      <c r="M820" s="268" t="str">
        <f t="shared" si="1259"/>
        <v/>
      </c>
      <c r="N820" s="268" t="str">
        <f t="shared" si="1260"/>
        <v/>
      </c>
      <c r="O820" s="268" t="str">
        <f t="shared" si="1261"/>
        <v/>
      </c>
      <c r="P820" s="268" t="str">
        <f t="shared" si="1262"/>
        <v/>
      </c>
      <c r="Q820" s="268" t="str">
        <f t="shared" si="1263"/>
        <v/>
      </c>
      <c r="R820" s="268" t="str">
        <f t="shared" si="1264"/>
        <v/>
      </c>
      <c r="S820" s="268" t="str">
        <f t="shared" si="1265"/>
        <v/>
      </c>
      <c r="T820" s="268" t="str">
        <f t="shared" si="1266"/>
        <v/>
      </c>
      <c r="U820" s="268" t="str">
        <f t="shared" si="1267"/>
        <v/>
      </c>
      <c r="V820" s="268" t="str">
        <f t="shared" si="1268"/>
        <v/>
      </c>
      <c r="W820" s="268" t="str">
        <f t="shared" si="1269"/>
        <v/>
      </c>
      <c r="X820" s="268" t="str">
        <f t="shared" si="1270"/>
        <v/>
      </c>
      <c r="Y820" s="268" t="str">
        <f t="shared" si="1271"/>
        <v/>
      </c>
      <c r="Z820" s="268" t="str">
        <f t="shared" si="1272"/>
        <v/>
      </c>
      <c r="AA820" s="268" t="str">
        <f t="shared" si="1273"/>
        <v/>
      </c>
      <c r="AB820" s="268" t="str">
        <f t="shared" si="1274"/>
        <v/>
      </c>
      <c r="AC820" s="268" t="str">
        <f t="shared" si="1275"/>
        <v/>
      </c>
      <c r="AD820" s="268">
        <f t="shared" si="1276"/>
        <v>2760</v>
      </c>
      <c r="AE820" s="268" t="str">
        <f t="shared" si="1277"/>
        <v/>
      </c>
      <c r="AF820" s="268" t="str">
        <f t="shared" si="1278"/>
        <v/>
      </c>
      <c r="AG820" s="268" t="str">
        <f t="shared" si="1279"/>
        <v/>
      </c>
      <c r="AH820" s="268" t="str">
        <f t="shared" si="1280"/>
        <v/>
      </c>
      <c r="AI820" s="268" t="str">
        <f t="shared" si="1281"/>
        <v/>
      </c>
      <c r="AJ820" s="268" t="str">
        <f t="shared" si="1282"/>
        <v/>
      </c>
      <c r="AK820" s="268" t="str">
        <f t="shared" si="1283"/>
        <v/>
      </c>
      <c r="AL820" s="268" t="str">
        <f t="shared" si="1284"/>
        <v/>
      </c>
      <c r="AM820" s="268" t="str">
        <f t="shared" si="1285"/>
        <v/>
      </c>
      <c r="AN820" s="268" t="str">
        <f t="shared" si="1286"/>
        <v/>
      </c>
      <c r="AO820" s="268" t="str">
        <f t="shared" si="1287"/>
        <v/>
      </c>
      <c r="AP820" s="268" t="str">
        <f t="shared" si="1288"/>
        <v/>
      </c>
      <c r="AQ820" s="268" t="str">
        <f t="shared" si="1289"/>
        <v/>
      </c>
      <c r="AR820" s="268" t="str">
        <f t="shared" si="1290"/>
        <v/>
      </c>
      <c r="AS820" s="268" t="str">
        <f t="shared" si="1291"/>
        <v/>
      </c>
      <c r="AT820" s="268" t="str">
        <f t="shared" si="1292"/>
        <v/>
      </c>
      <c r="AU820" s="268" t="str">
        <f t="shared" si="1293"/>
        <v/>
      </c>
      <c r="AV820" s="268" t="str">
        <f t="shared" si="1294"/>
        <v/>
      </c>
      <c r="AW820" s="268" t="str">
        <f t="shared" si="1295"/>
        <v/>
      </c>
      <c r="AX820" s="268" t="str">
        <f t="shared" si="1296"/>
        <v/>
      </c>
      <c r="AY820" s="268" t="str">
        <f t="shared" si="1297"/>
        <v/>
      </c>
      <c r="AZ820" s="268" t="str">
        <f t="shared" si="1298"/>
        <v/>
      </c>
      <c r="BA820" s="268" t="str">
        <f t="shared" si="1299"/>
        <v/>
      </c>
      <c r="BB820" s="268" t="str">
        <f t="shared" si="1300"/>
        <v/>
      </c>
      <c r="BC820" s="268" t="str">
        <f t="shared" si="1301"/>
        <v/>
      </c>
      <c r="BD820" s="268" t="str">
        <f t="shared" si="1302"/>
        <v/>
      </c>
      <c r="BE820" s="268" t="str">
        <f t="shared" si="1303"/>
        <v/>
      </c>
      <c r="BF820" s="268" t="str">
        <f t="shared" si="1304"/>
        <v/>
      </c>
      <c r="BG820" s="268" t="str">
        <f t="shared" si="1305"/>
        <v/>
      </c>
      <c r="BH820" s="268" t="str">
        <f t="shared" si="1306"/>
        <v/>
      </c>
      <c r="BI820" s="268" t="str">
        <f t="shared" si="1307"/>
        <v/>
      </c>
      <c r="BJ820" s="268" t="str">
        <f t="shared" si="1308"/>
        <v/>
      </c>
      <c r="BK820" s="268" t="str">
        <f t="shared" si="1309"/>
        <v/>
      </c>
      <c r="BL820" s="268" t="str">
        <f t="shared" si="1310"/>
        <v/>
      </c>
      <c r="BM820" s="268" t="str">
        <f t="shared" si="1311"/>
        <v/>
      </c>
      <c r="BN820" s="268" t="str">
        <f t="shared" si="1312"/>
        <v/>
      </c>
      <c r="BO820" s="268" t="str">
        <f t="shared" si="1313"/>
        <v/>
      </c>
      <c r="BP820" s="268" t="str">
        <f t="shared" si="1314"/>
        <v/>
      </c>
      <c r="BQ820" s="268" t="str">
        <f t="shared" si="1315"/>
        <v/>
      </c>
      <c r="BR820" s="268" t="str">
        <f t="shared" si="1316"/>
        <v/>
      </c>
      <c r="BS820" s="268" t="str">
        <f t="shared" si="1317"/>
        <v/>
      </c>
      <c r="BT820" s="268" t="str">
        <f t="shared" si="1318"/>
        <v/>
      </c>
      <c r="BU820" s="268" t="str">
        <f t="shared" si="1319"/>
        <v/>
      </c>
      <c r="BV820" s="247">
        <v>0.62</v>
      </c>
      <c r="BW820" s="729">
        <f t="shared" si="1320"/>
        <v>1711.2</v>
      </c>
      <c r="BX820" s="730">
        <f t="shared" si="1321"/>
        <v>13261.8</v>
      </c>
      <c r="BY820" s="731" t="str">
        <f t="shared" si="1322"/>
        <v>SR</v>
      </c>
    </row>
    <row r="821" s="698" customFormat="1" customHeight="1" spans="1:77">
      <c r="A821" s="248">
        <v>46148</v>
      </c>
      <c r="B821" s="248">
        <v>46195</v>
      </c>
      <c r="C821" s="268" t="s">
        <v>819</v>
      </c>
      <c r="D821" s="268" t="s">
        <v>820</v>
      </c>
      <c r="E821" s="268" t="s">
        <v>66</v>
      </c>
      <c r="F821" s="343">
        <v>1404</v>
      </c>
      <c r="G821" s="268" t="s">
        <v>510</v>
      </c>
      <c r="H821" s="211" t="str">
        <f>IFERROR(VLOOKUP(E821,名称!A:E,4,0),"")</f>
        <v>三代</v>
      </c>
      <c r="I821" s="268" t="str">
        <f t="shared" si="1255"/>
        <v/>
      </c>
      <c r="J821" s="268" t="str">
        <f t="shared" si="1256"/>
        <v/>
      </c>
      <c r="K821" s="268" t="str">
        <f t="shared" si="1257"/>
        <v/>
      </c>
      <c r="L821" s="268" t="str">
        <f t="shared" si="1258"/>
        <v/>
      </c>
      <c r="M821" s="268" t="str">
        <f t="shared" si="1259"/>
        <v/>
      </c>
      <c r="N821" s="268" t="str">
        <f t="shared" si="1260"/>
        <v/>
      </c>
      <c r="O821" s="268" t="str">
        <f t="shared" si="1261"/>
        <v/>
      </c>
      <c r="P821" s="268" t="str">
        <f t="shared" si="1262"/>
        <v/>
      </c>
      <c r="Q821" s="268" t="str">
        <f t="shared" si="1263"/>
        <v/>
      </c>
      <c r="R821" s="268" t="str">
        <f t="shared" si="1264"/>
        <v/>
      </c>
      <c r="S821" s="268" t="str">
        <f t="shared" si="1265"/>
        <v/>
      </c>
      <c r="T821" s="268" t="str">
        <f t="shared" si="1266"/>
        <v/>
      </c>
      <c r="U821" s="268" t="str">
        <f t="shared" si="1267"/>
        <v/>
      </c>
      <c r="V821" s="268" t="str">
        <f t="shared" si="1268"/>
        <v/>
      </c>
      <c r="W821" s="268" t="str">
        <f t="shared" si="1269"/>
        <v/>
      </c>
      <c r="X821" s="268" t="str">
        <f t="shared" si="1270"/>
        <v/>
      </c>
      <c r="Y821" s="268" t="str">
        <f t="shared" si="1271"/>
        <v/>
      </c>
      <c r="Z821" s="268" t="str">
        <f t="shared" si="1272"/>
        <v/>
      </c>
      <c r="AA821" s="268" t="str">
        <f t="shared" si="1273"/>
        <v/>
      </c>
      <c r="AB821" s="268" t="str">
        <f t="shared" si="1274"/>
        <v/>
      </c>
      <c r="AC821" s="268" t="str">
        <f t="shared" si="1275"/>
        <v/>
      </c>
      <c r="AD821" s="268" t="str">
        <f t="shared" si="1276"/>
        <v/>
      </c>
      <c r="AE821" s="268" t="str">
        <f t="shared" si="1277"/>
        <v/>
      </c>
      <c r="AF821" s="268" t="str">
        <f t="shared" si="1278"/>
        <v/>
      </c>
      <c r="AG821" s="268">
        <f t="shared" si="1279"/>
        <v>1404</v>
      </c>
      <c r="AH821" s="268" t="str">
        <f t="shared" si="1280"/>
        <v/>
      </c>
      <c r="AI821" s="268" t="str">
        <f t="shared" si="1281"/>
        <v/>
      </c>
      <c r="AJ821" s="268" t="str">
        <f t="shared" si="1282"/>
        <v/>
      </c>
      <c r="AK821" s="268" t="str">
        <f t="shared" si="1283"/>
        <v/>
      </c>
      <c r="AL821" s="268" t="str">
        <f t="shared" si="1284"/>
        <v/>
      </c>
      <c r="AM821" s="268" t="str">
        <f t="shared" si="1285"/>
        <v/>
      </c>
      <c r="AN821" s="268" t="str">
        <f t="shared" si="1286"/>
        <v/>
      </c>
      <c r="AO821" s="268" t="str">
        <f t="shared" si="1287"/>
        <v/>
      </c>
      <c r="AP821" s="268" t="str">
        <f t="shared" si="1288"/>
        <v/>
      </c>
      <c r="AQ821" s="268" t="str">
        <f t="shared" si="1289"/>
        <v/>
      </c>
      <c r="AR821" s="268" t="str">
        <f t="shared" si="1290"/>
        <v/>
      </c>
      <c r="AS821" s="268" t="str">
        <f t="shared" si="1291"/>
        <v/>
      </c>
      <c r="AT821" s="268" t="str">
        <f t="shared" si="1292"/>
        <v/>
      </c>
      <c r="AU821" s="268" t="str">
        <f t="shared" si="1293"/>
        <v/>
      </c>
      <c r="AV821" s="268" t="str">
        <f t="shared" si="1294"/>
        <v/>
      </c>
      <c r="AW821" s="268" t="str">
        <f t="shared" si="1295"/>
        <v/>
      </c>
      <c r="AX821" s="268" t="str">
        <f t="shared" si="1296"/>
        <v/>
      </c>
      <c r="AY821" s="268" t="str">
        <f t="shared" si="1297"/>
        <v/>
      </c>
      <c r="AZ821" s="268" t="str">
        <f t="shared" si="1298"/>
        <v/>
      </c>
      <c r="BA821" s="268" t="str">
        <f t="shared" si="1299"/>
        <v/>
      </c>
      <c r="BB821" s="268" t="str">
        <f t="shared" si="1300"/>
        <v/>
      </c>
      <c r="BC821" s="268" t="str">
        <f t="shared" si="1301"/>
        <v/>
      </c>
      <c r="BD821" s="268" t="str">
        <f t="shared" si="1302"/>
        <v/>
      </c>
      <c r="BE821" s="268" t="str">
        <f t="shared" si="1303"/>
        <v/>
      </c>
      <c r="BF821" s="268" t="str">
        <f t="shared" si="1304"/>
        <v/>
      </c>
      <c r="BG821" s="268" t="str">
        <f t="shared" si="1305"/>
        <v/>
      </c>
      <c r="BH821" s="268" t="str">
        <f t="shared" si="1306"/>
        <v/>
      </c>
      <c r="BI821" s="268" t="str">
        <f t="shared" si="1307"/>
        <v/>
      </c>
      <c r="BJ821" s="268" t="str">
        <f t="shared" si="1308"/>
        <v/>
      </c>
      <c r="BK821" s="268" t="str">
        <f t="shared" si="1309"/>
        <v/>
      </c>
      <c r="BL821" s="268" t="str">
        <f t="shared" si="1310"/>
        <v/>
      </c>
      <c r="BM821" s="268" t="str">
        <f t="shared" si="1311"/>
        <v/>
      </c>
      <c r="BN821" s="268" t="str">
        <f t="shared" si="1312"/>
        <v/>
      </c>
      <c r="BO821" s="268" t="str">
        <f t="shared" si="1313"/>
        <v/>
      </c>
      <c r="BP821" s="268" t="str">
        <f t="shared" si="1314"/>
        <v/>
      </c>
      <c r="BQ821" s="268" t="str">
        <f t="shared" si="1315"/>
        <v/>
      </c>
      <c r="BR821" s="268" t="str">
        <f t="shared" si="1316"/>
        <v/>
      </c>
      <c r="BS821" s="268" t="str">
        <f t="shared" si="1317"/>
        <v/>
      </c>
      <c r="BT821" s="268" t="str">
        <f t="shared" si="1318"/>
        <v/>
      </c>
      <c r="BU821" s="268" t="str">
        <f t="shared" si="1319"/>
        <v/>
      </c>
      <c r="BV821" s="247">
        <v>2.02</v>
      </c>
      <c r="BW821" s="729">
        <f t="shared" si="1320"/>
        <v>2836.08</v>
      </c>
      <c r="BX821" s="730">
        <f t="shared" si="1321"/>
        <v>21979.62</v>
      </c>
      <c r="BY821" s="731" t="str">
        <f t="shared" si="1322"/>
        <v>SR</v>
      </c>
    </row>
    <row r="822" s="698" customFormat="1" customHeight="1" spans="1:77">
      <c r="A822" s="248">
        <v>46148</v>
      </c>
      <c r="B822" s="248">
        <v>46195</v>
      </c>
      <c r="C822" s="268" t="s">
        <v>819</v>
      </c>
      <c r="D822" s="268" t="s">
        <v>820</v>
      </c>
      <c r="E822" s="268" t="s">
        <v>68</v>
      </c>
      <c r="F822" s="343">
        <v>1200</v>
      </c>
      <c r="G822" s="268" t="s">
        <v>510</v>
      </c>
      <c r="H822" s="211" t="str">
        <f>IFERROR(VLOOKUP(E822,名称!A:E,4,0),"")</f>
        <v>三代</v>
      </c>
      <c r="I822" s="268" t="str">
        <f t="shared" si="1255"/>
        <v/>
      </c>
      <c r="J822" s="268" t="str">
        <f t="shared" si="1256"/>
        <v/>
      </c>
      <c r="K822" s="268" t="str">
        <f t="shared" si="1257"/>
        <v/>
      </c>
      <c r="L822" s="268" t="str">
        <f t="shared" si="1258"/>
        <v/>
      </c>
      <c r="M822" s="268" t="str">
        <f t="shared" si="1259"/>
        <v/>
      </c>
      <c r="N822" s="268" t="str">
        <f t="shared" si="1260"/>
        <v/>
      </c>
      <c r="O822" s="268" t="str">
        <f t="shared" si="1261"/>
        <v/>
      </c>
      <c r="P822" s="268" t="str">
        <f t="shared" si="1262"/>
        <v/>
      </c>
      <c r="Q822" s="268" t="str">
        <f t="shared" si="1263"/>
        <v/>
      </c>
      <c r="R822" s="268" t="str">
        <f t="shared" si="1264"/>
        <v/>
      </c>
      <c r="S822" s="268" t="str">
        <f t="shared" si="1265"/>
        <v/>
      </c>
      <c r="T822" s="268" t="str">
        <f t="shared" si="1266"/>
        <v/>
      </c>
      <c r="U822" s="268" t="str">
        <f t="shared" si="1267"/>
        <v/>
      </c>
      <c r="V822" s="268" t="str">
        <f t="shared" si="1268"/>
        <v/>
      </c>
      <c r="W822" s="268" t="str">
        <f t="shared" si="1269"/>
        <v/>
      </c>
      <c r="X822" s="268" t="str">
        <f t="shared" si="1270"/>
        <v/>
      </c>
      <c r="Y822" s="268" t="str">
        <f t="shared" si="1271"/>
        <v/>
      </c>
      <c r="Z822" s="268" t="str">
        <f t="shared" si="1272"/>
        <v/>
      </c>
      <c r="AA822" s="268" t="str">
        <f t="shared" si="1273"/>
        <v/>
      </c>
      <c r="AB822" s="268" t="str">
        <f t="shared" si="1274"/>
        <v/>
      </c>
      <c r="AC822" s="268" t="str">
        <f t="shared" si="1275"/>
        <v/>
      </c>
      <c r="AD822" s="268" t="str">
        <f t="shared" si="1276"/>
        <v/>
      </c>
      <c r="AE822" s="268" t="str">
        <f t="shared" si="1277"/>
        <v/>
      </c>
      <c r="AF822" s="268" t="str">
        <f t="shared" si="1278"/>
        <v/>
      </c>
      <c r="AG822" s="268" t="str">
        <f t="shared" si="1279"/>
        <v/>
      </c>
      <c r="AH822" s="268">
        <f t="shared" si="1280"/>
        <v>1200</v>
      </c>
      <c r="AI822" s="268" t="str">
        <f t="shared" si="1281"/>
        <v/>
      </c>
      <c r="AJ822" s="268" t="str">
        <f t="shared" si="1282"/>
        <v/>
      </c>
      <c r="AK822" s="268" t="str">
        <f t="shared" si="1283"/>
        <v/>
      </c>
      <c r="AL822" s="268" t="str">
        <f t="shared" si="1284"/>
        <v/>
      </c>
      <c r="AM822" s="268" t="str">
        <f t="shared" si="1285"/>
        <v/>
      </c>
      <c r="AN822" s="268" t="str">
        <f t="shared" si="1286"/>
        <v/>
      </c>
      <c r="AO822" s="268" t="str">
        <f t="shared" si="1287"/>
        <v/>
      </c>
      <c r="AP822" s="268" t="str">
        <f t="shared" si="1288"/>
        <v/>
      </c>
      <c r="AQ822" s="268" t="str">
        <f t="shared" si="1289"/>
        <v/>
      </c>
      <c r="AR822" s="268" t="str">
        <f t="shared" si="1290"/>
        <v/>
      </c>
      <c r="AS822" s="268" t="str">
        <f t="shared" si="1291"/>
        <v/>
      </c>
      <c r="AT822" s="268" t="str">
        <f t="shared" si="1292"/>
        <v/>
      </c>
      <c r="AU822" s="268" t="str">
        <f t="shared" si="1293"/>
        <v/>
      </c>
      <c r="AV822" s="268" t="str">
        <f t="shared" si="1294"/>
        <v/>
      </c>
      <c r="AW822" s="268" t="str">
        <f t="shared" si="1295"/>
        <v/>
      </c>
      <c r="AX822" s="268" t="str">
        <f t="shared" si="1296"/>
        <v/>
      </c>
      <c r="AY822" s="268" t="str">
        <f t="shared" si="1297"/>
        <v/>
      </c>
      <c r="AZ822" s="268" t="str">
        <f t="shared" si="1298"/>
        <v/>
      </c>
      <c r="BA822" s="268" t="str">
        <f t="shared" si="1299"/>
        <v/>
      </c>
      <c r="BB822" s="268" t="str">
        <f t="shared" si="1300"/>
        <v/>
      </c>
      <c r="BC822" s="268" t="str">
        <f t="shared" si="1301"/>
        <v/>
      </c>
      <c r="BD822" s="268" t="str">
        <f t="shared" si="1302"/>
        <v/>
      </c>
      <c r="BE822" s="268" t="str">
        <f t="shared" si="1303"/>
        <v/>
      </c>
      <c r="BF822" s="268" t="str">
        <f t="shared" si="1304"/>
        <v/>
      </c>
      <c r="BG822" s="268" t="str">
        <f t="shared" si="1305"/>
        <v/>
      </c>
      <c r="BH822" s="268" t="str">
        <f t="shared" si="1306"/>
        <v/>
      </c>
      <c r="BI822" s="268" t="str">
        <f t="shared" si="1307"/>
        <v/>
      </c>
      <c r="BJ822" s="268" t="str">
        <f t="shared" si="1308"/>
        <v/>
      </c>
      <c r="BK822" s="268" t="str">
        <f t="shared" si="1309"/>
        <v/>
      </c>
      <c r="BL822" s="268" t="str">
        <f t="shared" si="1310"/>
        <v/>
      </c>
      <c r="BM822" s="268" t="str">
        <f t="shared" si="1311"/>
        <v/>
      </c>
      <c r="BN822" s="268" t="str">
        <f t="shared" si="1312"/>
        <v/>
      </c>
      <c r="BO822" s="268" t="str">
        <f t="shared" si="1313"/>
        <v/>
      </c>
      <c r="BP822" s="268" t="str">
        <f t="shared" si="1314"/>
        <v/>
      </c>
      <c r="BQ822" s="268" t="str">
        <f t="shared" si="1315"/>
        <v/>
      </c>
      <c r="BR822" s="268" t="str">
        <f t="shared" si="1316"/>
        <v/>
      </c>
      <c r="BS822" s="268" t="str">
        <f t="shared" si="1317"/>
        <v/>
      </c>
      <c r="BT822" s="268" t="str">
        <f t="shared" si="1318"/>
        <v/>
      </c>
      <c r="BU822" s="268" t="str">
        <f t="shared" si="1319"/>
        <v/>
      </c>
      <c r="BV822" s="247">
        <v>3.09</v>
      </c>
      <c r="BW822" s="729">
        <f t="shared" si="1320"/>
        <v>3708</v>
      </c>
      <c r="BX822" s="730">
        <f t="shared" si="1321"/>
        <v>28737</v>
      </c>
      <c r="BY822" s="731" t="str">
        <f t="shared" si="1322"/>
        <v>SR</v>
      </c>
    </row>
    <row r="823" s="698" customFormat="1" customHeight="1" spans="1:77">
      <c r="A823" s="248">
        <v>46148</v>
      </c>
      <c r="B823" s="248">
        <v>46195</v>
      </c>
      <c r="C823" s="268" t="s">
        <v>819</v>
      </c>
      <c r="D823" s="268" t="s">
        <v>820</v>
      </c>
      <c r="E823" s="268" t="s">
        <v>72</v>
      </c>
      <c r="F823" s="343">
        <v>1800</v>
      </c>
      <c r="G823" s="268" t="s">
        <v>510</v>
      </c>
      <c r="H823" s="211" t="str">
        <f>IFERROR(VLOOKUP(E823,名称!A:E,4,0),"")</f>
        <v>三代</v>
      </c>
      <c r="I823" s="268" t="str">
        <f t="shared" si="1255"/>
        <v/>
      </c>
      <c r="J823" s="268" t="str">
        <f t="shared" si="1256"/>
        <v/>
      </c>
      <c r="K823" s="268" t="str">
        <f t="shared" si="1257"/>
        <v/>
      </c>
      <c r="L823" s="268" t="str">
        <f t="shared" si="1258"/>
        <v/>
      </c>
      <c r="M823" s="268" t="str">
        <f t="shared" si="1259"/>
        <v/>
      </c>
      <c r="N823" s="268" t="str">
        <f t="shared" si="1260"/>
        <v/>
      </c>
      <c r="O823" s="268" t="str">
        <f t="shared" si="1261"/>
        <v/>
      </c>
      <c r="P823" s="268" t="str">
        <f t="shared" si="1262"/>
        <v/>
      </c>
      <c r="Q823" s="268" t="str">
        <f t="shared" si="1263"/>
        <v/>
      </c>
      <c r="R823" s="268" t="str">
        <f t="shared" si="1264"/>
        <v/>
      </c>
      <c r="S823" s="268" t="str">
        <f t="shared" si="1265"/>
        <v/>
      </c>
      <c r="T823" s="268" t="str">
        <f t="shared" si="1266"/>
        <v/>
      </c>
      <c r="U823" s="268" t="str">
        <f t="shared" si="1267"/>
        <v/>
      </c>
      <c r="V823" s="268" t="str">
        <f t="shared" si="1268"/>
        <v/>
      </c>
      <c r="W823" s="268" t="str">
        <f t="shared" si="1269"/>
        <v/>
      </c>
      <c r="X823" s="268" t="str">
        <f t="shared" si="1270"/>
        <v/>
      </c>
      <c r="Y823" s="268" t="str">
        <f t="shared" si="1271"/>
        <v/>
      </c>
      <c r="Z823" s="268" t="str">
        <f t="shared" si="1272"/>
        <v/>
      </c>
      <c r="AA823" s="268" t="str">
        <f t="shared" si="1273"/>
        <v/>
      </c>
      <c r="AB823" s="268" t="str">
        <f t="shared" si="1274"/>
        <v/>
      </c>
      <c r="AC823" s="268" t="str">
        <f t="shared" si="1275"/>
        <v/>
      </c>
      <c r="AD823" s="268" t="str">
        <f t="shared" si="1276"/>
        <v/>
      </c>
      <c r="AE823" s="268" t="str">
        <f t="shared" si="1277"/>
        <v/>
      </c>
      <c r="AF823" s="268" t="str">
        <f t="shared" si="1278"/>
        <v/>
      </c>
      <c r="AG823" s="268" t="str">
        <f t="shared" si="1279"/>
        <v/>
      </c>
      <c r="AH823" s="268" t="str">
        <f t="shared" si="1280"/>
        <v/>
      </c>
      <c r="AI823" s="268" t="str">
        <f t="shared" si="1281"/>
        <v/>
      </c>
      <c r="AJ823" s="268" t="str">
        <f t="shared" si="1282"/>
        <v/>
      </c>
      <c r="AK823" s="268" t="str">
        <f t="shared" si="1283"/>
        <v/>
      </c>
      <c r="AL823" s="268">
        <f t="shared" si="1284"/>
        <v>1800</v>
      </c>
      <c r="AM823" s="268" t="str">
        <f t="shared" si="1285"/>
        <v/>
      </c>
      <c r="AN823" s="268" t="str">
        <f t="shared" si="1286"/>
        <v/>
      </c>
      <c r="AO823" s="268" t="str">
        <f t="shared" si="1287"/>
        <v/>
      </c>
      <c r="AP823" s="268" t="str">
        <f t="shared" si="1288"/>
        <v/>
      </c>
      <c r="AQ823" s="268" t="str">
        <f t="shared" si="1289"/>
        <v/>
      </c>
      <c r="AR823" s="268" t="str">
        <f t="shared" si="1290"/>
        <v/>
      </c>
      <c r="AS823" s="268" t="str">
        <f t="shared" si="1291"/>
        <v/>
      </c>
      <c r="AT823" s="268" t="str">
        <f t="shared" si="1292"/>
        <v/>
      </c>
      <c r="AU823" s="268" t="str">
        <f t="shared" si="1293"/>
        <v/>
      </c>
      <c r="AV823" s="268" t="str">
        <f t="shared" si="1294"/>
        <v/>
      </c>
      <c r="AW823" s="268" t="str">
        <f t="shared" si="1295"/>
        <v/>
      </c>
      <c r="AX823" s="268" t="str">
        <f t="shared" si="1296"/>
        <v/>
      </c>
      <c r="AY823" s="268" t="str">
        <f t="shared" si="1297"/>
        <v/>
      </c>
      <c r="AZ823" s="268" t="str">
        <f t="shared" si="1298"/>
        <v/>
      </c>
      <c r="BA823" s="268" t="str">
        <f t="shared" si="1299"/>
        <v/>
      </c>
      <c r="BB823" s="268" t="str">
        <f t="shared" si="1300"/>
        <v/>
      </c>
      <c r="BC823" s="268" t="str">
        <f t="shared" si="1301"/>
        <v/>
      </c>
      <c r="BD823" s="268" t="str">
        <f t="shared" si="1302"/>
        <v/>
      </c>
      <c r="BE823" s="268" t="str">
        <f t="shared" si="1303"/>
        <v/>
      </c>
      <c r="BF823" s="268" t="str">
        <f t="shared" si="1304"/>
        <v/>
      </c>
      <c r="BG823" s="268" t="str">
        <f t="shared" si="1305"/>
        <v/>
      </c>
      <c r="BH823" s="268" t="str">
        <f t="shared" si="1306"/>
        <v/>
      </c>
      <c r="BI823" s="268" t="str">
        <f t="shared" si="1307"/>
        <v/>
      </c>
      <c r="BJ823" s="268" t="str">
        <f t="shared" si="1308"/>
        <v/>
      </c>
      <c r="BK823" s="268" t="str">
        <f t="shared" si="1309"/>
        <v/>
      </c>
      <c r="BL823" s="268" t="str">
        <f t="shared" si="1310"/>
        <v/>
      </c>
      <c r="BM823" s="268" t="str">
        <f t="shared" si="1311"/>
        <v/>
      </c>
      <c r="BN823" s="268" t="str">
        <f t="shared" si="1312"/>
        <v/>
      </c>
      <c r="BO823" s="268" t="str">
        <f t="shared" si="1313"/>
        <v/>
      </c>
      <c r="BP823" s="268" t="str">
        <f t="shared" si="1314"/>
        <v/>
      </c>
      <c r="BQ823" s="268" t="str">
        <f t="shared" si="1315"/>
        <v/>
      </c>
      <c r="BR823" s="268" t="str">
        <f t="shared" si="1316"/>
        <v/>
      </c>
      <c r="BS823" s="268" t="str">
        <f t="shared" si="1317"/>
        <v/>
      </c>
      <c r="BT823" s="268" t="str">
        <f t="shared" si="1318"/>
        <v/>
      </c>
      <c r="BU823" s="268" t="str">
        <f t="shared" si="1319"/>
        <v/>
      </c>
      <c r="BV823" s="247">
        <v>1.58</v>
      </c>
      <c r="BW823" s="729">
        <f t="shared" si="1320"/>
        <v>2844</v>
      </c>
      <c r="BX823" s="730">
        <f t="shared" si="1321"/>
        <v>22041</v>
      </c>
      <c r="BY823" s="731" t="str">
        <f t="shared" si="1322"/>
        <v>SR</v>
      </c>
    </row>
    <row r="824" s="698" customFormat="1" customHeight="1" spans="1:77">
      <c r="A824" s="248">
        <v>46148</v>
      </c>
      <c r="B824" s="248">
        <v>46195</v>
      </c>
      <c r="C824" s="268" t="s">
        <v>819</v>
      </c>
      <c r="D824" s="268" t="s">
        <v>820</v>
      </c>
      <c r="E824" s="211" t="s">
        <v>112</v>
      </c>
      <c r="F824" s="343">
        <v>820</v>
      </c>
      <c r="G824" s="268" t="s">
        <v>510</v>
      </c>
      <c r="H824" s="211" t="str">
        <f>IFERROR(VLOOKUP(E824,名称!A:E,4,0),"")</f>
        <v>三代</v>
      </c>
      <c r="I824" s="268" t="str">
        <f t="shared" si="1255"/>
        <v/>
      </c>
      <c r="J824" s="268" t="str">
        <f t="shared" si="1256"/>
        <v/>
      </c>
      <c r="K824" s="268" t="str">
        <f t="shared" si="1257"/>
        <v/>
      </c>
      <c r="L824" s="268" t="str">
        <f t="shared" si="1258"/>
        <v/>
      </c>
      <c r="M824" s="268" t="str">
        <f t="shared" si="1259"/>
        <v/>
      </c>
      <c r="N824" s="268" t="str">
        <f t="shared" si="1260"/>
        <v/>
      </c>
      <c r="O824" s="268" t="str">
        <f t="shared" si="1261"/>
        <v/>
      </c>
      <c r="P824" s="268" t="str">
        <f t="shared" si="1262"/>
        <v/>
      </c>
      <c r="Q824" s="268" t="str">
        <f t="shared" si="1263"/>
        <v/>
      </c>
      <c r="R824" s="268" t="str">
        <f t="shared" si="1264"/>
        <v/>
      </c>
      <c r="S824" s="268" t="str">
        <f t="shared" si="1265"/>
        <v/>
      </c>
      <c r="T824" s="268" t="str">
        <f t="shared" si="1266"/>
        <v/>
      </c>
      <c r="U824" s="268" t="str">
        <f t="shared" si="1267"/>
        <v/>
      </c>
      <c r="V824" s="268" t="str">
        <f t="shared" si="1268"/>
        <v/>
      </c>
      <c r="W824" s="268" t="str">
        <f t="shared" si="1269"/>
        <v/>
      </c>
      <c r="X824" s="268" t="str">
        <f t="shared" si="1270"/>
        <v/>
      </c>
      <c r="Y824" s="268" t="str">
        <f t="shared" si="1271"/>
        <v/>
      </c>
      <c r="Z824" s="268" t="str">
        <f t="shared" si="1272"/>
        <v/>
      </c>
      <c r="AA824" s="268" t="str">
        <f t="shared" si="1273"/>
        <v/>
      </c>
      <c r="AB824" s="268" t="str">
        <f t="shared" si="1274"/>
        <v/>
      </c>
      <c r="AC824" s="268" t="str">
        <f t="shared" si="1275"/>
        <v/>
      </c>
      <c r="AD824" s="268" t="str">
        <f t="shared" si="1276"/>
        <v/>
      </c>
      <c r="AE824" s="268" t="str">
        <f t="shared" si="1277"/>
        <v/>
      </c>
      <c r="AF824" s="268" t="str">
        <f t="shared" si="1278"/>
        <v/>
      </c>
      <c r="AG824" s="268" t="str">
        <f t="shared" si="1279"/>
        <v/>
      </c>
      <c r="AH824" s="268" t="str">
        <f t="shared" si="1280"/>
        <v/>
      </c>
      <c r="AI824" s="268">
        <f t="shared" si="1281"/>
        <v>820</v>
      </c>
      <c r="AJ824" s="268" t="str">
        <f t="shared" si="1282"/>
        <v/>
      </c>
      <c r="AK824" s="268" t="str">
        <f t="shared" si="1283"/>
        <v/>
      </c>
      <c r="AL824" s="268" t="str">
        <f t="shared" si="1284"/>
        <v/>
      </c>
      <c r="AM824" s="268" t="str">
        <f t="shared" si="1285"/>
        <v/>
      </c>
      <c r="AN824" s="268" t="str">
        <f t="shared" si="1286"/>
        <v/>
      </c>
      <c r="AO824" s="268" t="str">
        <f t="shared" si="1287"/>
        <v/>
      </c>
      <c r="AP824" s="268" t="str">
        <f t="shared" si="1288"/>
        <v/>
      </c>
      <c r="AQ824" s="268" t="str">
        <f t="shared" si="1289"/>
        <v/>
      </c>
      <c r="AR824" s="268" t="str">
        <f t="shared" si="1290"/>
        <v/>
      </c>
      <c r="AS824" s="268" t="str">
        <f t="shared" si="1291"/>
        <v/>
      </c>
      <c r="AT824" s="268" t="str">
        <f t="shared" si="1292"/>
        <v/>
      </c>
      <c r="AU824" s="268" t="str">
        <f t="shared" si="1293"/>
        <v/>
      </c>
      <c r="AV824" s="268" t="str">
        <f t="shared" si="1294"/>
        <v/>
      </c>
      <c r="AW824" s="268" t="str">
        <f t="shared" si="1295"/>
        <v/>
      </c>
      <c r="AX824" s="268" t="str">
        <f t="shared" si="1296"/>
        <v/>
      </c>
      <c r="AY824" s="268" t="str">
        <f t="shared" si="1297"/>
        <v/>
      </c>
      <c r="AZ824" s="268" t="str">
        <f t="shared" si="1298"/>
        <v/>
      </c>
      <c r="BA824" s="268" t="str">
        <f t="shared" si="1299"/>
        <v/>
      </c>
      <c r="BB824" s="268" t="str">
        <f t="shared" si="1300"/>
        <v/>
      </c>
      <c r="BC824" s="268" t="str">
        <f t="shared" si="1301"/>
        <v/>
      </c>
      <c r="BD824" s="268" t="str">
        <f t="shared" si="1302"/>
        <v/>
      </c>
      <c r="BE824" s="268" t="str">
        <f t="shared" si="1303"/>
        <v/>
      </c>
      <c r="BF824" s="268" t="str">
        <f t="shared" si="1304"/>
        <v/>
      </c>
      <c r="BG824" s="268" t="str">
        <f t="shared" si="1305"/>
        <v/>
      </c>
      <c r="BH824" s="268" t="str">
        <f t="shared" si="1306"/>
        <v/>
      </c>
      <c r="BI824" s="268" t="str">
        <f t="shared" si="1307"/>
        <v/>
      </c>
      <c r="BJ824" s="268" t="str">
        <f t="shared" si="1308"/>
        <v/>
      </c>
      <c r="BK824" s="268" t="str">
        <f t="shared" si="1309"/>
        <v/>
      </c>
      <c r="BL824" s="268" t="str">
        <f t="shared" si="1310"/>
        <v/>
      </c>
      <c r="BM824" s="268" t="str">
        <f t="shared" si="1311"/>
        <v/>
      </c>
      <c r="BN824" s="268" t="str">
        <f t="shared" si="1312"/>
        <v/>
      </c>
      <c r="BO824" s="268" t="str">
        <f t="shared" si="1313"/>
        <v/>
      </c>
      <c r="BP824" s="268" t="str">
        <f t="shared" si="1314"/>
        <v/>
      </c>
      <c r="BQ824" s="268" t="str">
        <f t="shared" si="1315"/>
        <v/>
      </c>
      <c r="BR824" s="268" t="str">
        <f t="shared" si="1316"/>
        <v/>
      </c>
      <c r="BS824" s="268" t="str">
        <f t="shared" si="1317"/>
        <v/>
      </c>
      <c r="BT824" s="268" t="str">
        <f t="shared" si="1318"/>
        <v/>
      </c>
      <c r="BU824" s="268" t="str">
        <f t="shared" si="1319"/>
        <v/>
      </c>
      <c r="BV824" s="247">
        <v>9.12</v>
      </c>
      <c r="BW824" s="729">
        <f t="shared" si="1320"/>
        <v>7478.4</v>
      </c>
      <c r="BX824" s="730">
        <f t="shared" si="1321"/>
        <v>57957.6</v>
      </c>
      <c r="BY824" s="731" t="str">
        <f t="shared" si="1322"/>
        <v>SR</v>
      </c>
    </row>
    <row r="825" s="698" customFormat="1" customHeight="1" spans="1:77">
      <c r="A825" s="248">
        <v>46148</v>
      </c>
      <c r="B825" s="248">
        <v>46195</v>
      </c>
      <c r="C825" s="268" t="s">
        <v>819</v>
      </c>
      <c r="D825" s="268" t="s">
        <v>820</v>
      </c>
      <c r="E825" s="268" t="s">
        <v>85</v>
      </c>
      <c r="F825" s="343">
        <v>4920</v>
      </c>
      <c r="G825" s="268" t="s">
        <v>510</v>
      </c>
      <c r="H825" s="211" t="str">
        <f>IFERROR(VLOOKUP(E825,名称!A:E,4,0),"")</f>
        <v>三代</v>
      </c>
      <c r="I825" s="268" t="str">
        <f t="shared" si="1255"/>
        <v/>
      </c>
      <c r="J825" s="268" t="str">
        <f t="shared" si="1256"/>
        <v/>
      </c>
      <c r="K825" s="268" t="str">
        <f t="shared" si="1257"/>
        <v/>
      </c>
      <c r="L825" s="268" t="str">
        <f t="shared" si="1258"/>
        <v/>
      </c>
      <c r="M825" s="268" t="str">
        <f t="shared" si="1259"/>
        <v/>
      </c>
      <c r="N825" s="268" t="str">
        <f t="shared" si="1260"/>
        <v/>
      </c>
      <c r="O825" s="268" t="str">
        <f t="shared" si="1261"/>
        <v/>
      </c>
      <c r="P825" s="268" t="str">
        <f t="shared" si="1262"/>
        <v/>
      </c>
      <c r="Q825" s="268" t="str">
        <f t="shared" si="1263"/>
        <v/>
      </c>
      <c r="R825" s="268" t="str">
        <f t="shared" si="1264"/>
        <v/>
      </c>
      <c r="S825" s="268" t="str">
        <f t="shared" si="1265"/>
        <v/>
      </c>
      <c r="T825" s="268" t="str">
        <f t="shared" si="1266"/>
        <v/>
      </c>
      <c r="U825" s="268" t="str">
        <f t="shared" si="1267"/>
        <v/>
      </c>
      <c r="V825" s="268" t="str">
        <f t="shared" si="1268"/>
        <v/>
      </c>
      <c r="W825" s="268" t="str">
        <f t="shared" si="1269"/>
        <v/>
      </c>
      <c r="X825" s="268" t="str">
        <f t="shared" si="1270"/>
        <v/>
      </c>
      <c r="Y825" s="268" t="str">
        <f t="shared" si="1271"/>
        <v/>
      </c>
      <c r="Z825" s="268" t="str">
        <f t="shared" si="1272"/>
        <v/>
      </c>
      <c r="AA825" s="268" t="str">
        <f t="shared" si="1273"/>
        <v/>
      </c>
      <c r="AB825" s="268" t="str">
        <f t="shared" si="1274"/>
        <v/>
      </c>
      <c r="AC825" s="268" t="str">
        <f t="shared" si="1275"/>
        <v/>
      </c>
      <c r="AD825" s="268" t="str">
        <f t="shared" si="1276"/>
        <v/>
      </c>
      <c r="AE825" s="268" t="str">
        <f t="shared" si="1277"/>
        <v/>
      </c>
      <c r="AF825" s="268" t="str">
        <f t="shared" si="1278"/>
        <v/>
      </c>
      <c r="AG825" s="268" t="str">
        <f t="shared" si="1279"/>
        <v/>
      </c>
      <c r="AH825" s="268" t="str">
        <f t="shared" si="1280"/>
        <v/>
      </c>
      <c r="AI825" s="268" t="str">
        <f t="shared" si="1281"/>
        <v/>
      </c>
      <c r="AJ825" s="268" t="str">
        <f t="shared" si="1282"/>
        <v/>
      </c>
      <c r="AK825" s="268" t="str">
        <f t="shared" si="1283"/>
        <v/>
      </c>
      <c r="AL825" s="268" t="str">
        <f t="shared" si="1284"/>
        <v/>
      </c>
      <c r="AM825" s="268" t="str">
        <f t="shared" si="1285"/>
        <v/>
      </c>
      <c r="AN825" s="268">
        <f t="shared" si="1286"/>
        <v>4920</v>
      </c>
      <c r="AO825" s="268" t="str">
        <f t="shared" si="1287"/>
        <v/>
      </c>
      <c r="AP825" s="268" t="str">
        <f t="shared" si="1288"/>
        <v/>
      </c>
      <c r="AQ825" s="268" t="str">
        <f t="shared" si="1289"/>
        <v/>
      </c>
      <c r="AR825" s="268" t="str">
        <f t="shared" si="1290"/>
        <v/>
      </c>
      <c r="AS825" s="268" t="str">
        <f t="shared" si="1291"/>
        <v/>
      </c>
      <c r="AT825" s="268" t="str">
        <f t="shared" si="1292"/>
        <v/>
      </c>
      <c r="AU825" s="268" t="str">
        <f t="shared" si="1293"/>
        <v/>
      </c>
      <c r="AV825" s="268" t="str">
        <f t="shared" si="1294"/>
        <v/>
      </c>
      <c r="AW825" s="268" t="str">
        <f t="shared" si="1295"/>
        <v/>
      </c>
      <c r="AX825" s="268" t="str">
        <f t="shared" si="1296"/>
        <v/>
      </c>
      <c r="AY825" s="268" t="str">
        <f t="shared" si="1297"/>
        <v/>
      </c>
      <c r="AZ825" s="268" t="str">
        <f t="shared" si="1298"/>
        <v/>
      </c>
      <c r="BA825" s="268" t="str">
        <f t="shared" si="1299"/>
        <v/>
      </c>
      <c r="BB825" s="268" t="str">
        <f t="shared" si="1300"/>
        <v/>
      </c>
      <c r="BC825" s="268" t="str">
        <f t="shared" si="1301"/>
        <v/>
      </c>
      <c r="BD825" s="268" t="str">
        <f t="shared" si="1302"/>
        <v/>
      </c>
      <c r="BE825" s="268" t="str">
        <f t="shared" si="1303"/>
        <v/>
      </c>
      <c r="BF825" s="268" t="str">
        <f t="shared" si="1304"/>
        <v/>
      </c>
      <c r="BG825" s="268" t="str">
        <f t="shared" si="1305"/>
        <v/>
      </c>
      <c r="BH825" s="268" t="str">
        <f t="shared" si="1306"/>
        <v/>
      </c>
      <c r="BI825" s="268" t="str">
        <f t="shared" si="1307"/>
        <v/>
      </c>
      <c r="BJ825" s="268" t="str">
        <f t="shared" si="1308"/>
        <v/>
      </c>
      <c r="BK825" s="268" t="str">
        <f t="shared" si="1309"/>
        <v/>
      </c>
      <c r="BL825" s="268" t="str">
        <f t="shared" si="1310"/>
        <v/>
      </c>
      <c r="BM825" s="268" t="str">
        <f t="shared" si="1311"/>
        <v/>
      </c>
      <c r="BN825" s="268" t="str">
        <f t="shared" si="1312"/>
        <v/>
      </c>
      <c r="BO825" s="268" t="str">
        <f t="shared" si="1313"/>
        <v/>
      </c>
      <c r="BP825" s="268" t="str">
        <f t="shared" si="1314"/>
        <v/>
      </c>
      <c r="BQ825" s="268" t="str">
        <f t="shared" si="1315"/>
        <v/>
      </c>
      <c r="BR825" s="268" t="str">
        <f t="shared" si="1316"/>
        <v/>
      </c>
      <c r="BS825" s="268" t="str">
        <f t="shared" si="1317"/>
        <v/>
      </c>
      <c r="BT825" s="268" t="str">
        <f t="shared" si="1318"/>
        <v/>
      </c>
      <c r="BU825" s="268" t="str">
        <f t="shared" si="1319"/>
        <v/>
      </c>
      <c r="BV825" s="247">
        <v>0.88</v>
      </c>
      <c r="BW825" s="729">
        <f t="shared" si="1320"/>
        <v>4329.6</v>
      </c>
      <c r="BX825" s="730">
        <f t="shared" si="1321"/>
        <v>33554.4</v>
      </c>
      <c r="BY825" s="731" t="str">
        <f t="shared" si="1322"/>
        <v>SR</v>
      </c>
    </row>
    <row r="826" s="698" customFormat="1" customHeight="1" spans="1:77">
      <c r="A826" s="248">
        <v>46148</v>
      </c>
      <c r="B826" s="248">
        <v>46195</v>
      </c>
      <c r="C826" s="268" t="s">
        <v>819</v>
      </c>
      <c r="D826" s="268" t="s">
        <v>820</v>
      </c>
      <c r="E826" s="268" t="s">
        <v>109</v>
      </c>
      <c r="F826" s="343">
        <v>2400</v>
      </c>
      <c r="G826" s="268" t="s">
        <v>510</v>
      </c>
      <c r="H826" s="211" t="str">
        <f>IFERROR(VLOOKUP(E826,名称!A:E,4,0),"")</f>
        <v>三代</v>
      </c>
      <c r="I826" s="268" t="str">
        <f t="shared" si="1255"/>
        <v/>
      </c>
      <c r="J826" s="268" t="str">
        <f t="shared" si="1256"/>
        <v/>
      </c>
      <c r="K826" s="268" t="str">
        <f t="shared" si="1257"/>
        <v/>
      </c>
      <c r="L826" s="268" t="str">
        <f t="shared" si="1258"/>
        <v/>
      </c>
      <c r="M826" s="268" t="str">
        <f t="shared" si="1259"/>
        <v/>
      </c>
      <c r="N826" s="268" t="str">
        <f t="shared" si="1260"/>
        <v/>
      </c>
      <c r="O826" s="268" t="str">
        <f t="shared" si="1261"/>
        <v/>
      </c>
      <c r="P826" s="268" t="str">
        <f t="shared" si="1262"/>
        <v/>
      </c>
      <c r="Q826" s="268" t="str">
        <f t="shared" si="1263"/>
        <v/>
      </c>
      <c r="R826" s="268" t="str">
        <f t="shared" si="1264"/>
        <v/>
      </c>
      <c r="S826" s="268" t="str">
        <f t="shared" si="1265"/>
        <v/>
      </c>
      <c r="T826" s="268" t="str">
        <f t="shared" si="1266"/>
        <v/>
      </c>
      <c r="U826" s="268" t="str">
        <f t="shared" si="1267"/>
        <v/>
      </c>
      <c r="V826" s="268" t="str">
        <f t="shared" si="1268"/>
        <v/>
      </c>
      <c r="W826" s="268" t="str">
        <f t="shared" si="1269"/>
        <v/>
      </c>
      <c r="X826" s="268" t="str">
        <f t="shared" si="1270"/>
        <v/>
      </c>
      <c r="Y826" s="268" t="str">
        <f t="shared" si="1271"/>
        <v/>
      </c>
      <c r="Z826" s="268" t="str">
        <f t="shared" si="1272"/>
        <v/>
      </c>
      <c r="AA826" s="268" t="str">
        <f t="shared" si="1273"/>
        <v/>
      </c>
      <c r="AB826" s="268" t="str">
        <f t="shared" si="1274"/>
        <v/>
      </c>
      <c r="AC826" s="268" t="str">
        <f t="shared" si="1275"/>
        <v/>
      </c>
      <c r="AD826" s="268" t="str">
        <f t="shared" si="1276"/>
        <v/>
      </c>
      <c r="AE826" s="268" t="str">
        <f t="shared" si="1277"/>
        <v/>
      </c>
      <c r="AF826" s="268" t="str">
        <f t="shared" si="1278"/>
        <v/>
      </c>
      <c r="AG826" s="268" t="str">
        <f t="shared" si="1279"/>
        <v/>
      </c>
      <c r="AH826" s="268" t="str">
        <f t="shared" si="1280"/>
        <v/>
      </c>
      <c r="AI826" s="268" t="str">
        <f t="shared" si="1281"/>
        <v/>
      </c>
      <c r="AJ826" s="268" t="str">
        <f t="shared" si="1282"/>
        <v/>
      </c>
      <c r="AK826" s="268" t="str">
        <f t="shared" si="1283"/>
        <v/>
      </c>
      <c r="AL826" s="268" t="str">
        <f t="shared" si="1284"/>
        <v/>
      </c>
      <c r="AM826" s="268" t="str">
        <f t="shared" si="1285"/>
        <v/>
      </c>
      <c r="AN826" s="268" t="str">
        <f t="shared" si="1286"/>
        <v/>
      </c>
      <c r="AO826" s="268" t="str">
        <f t="shared" si="1287"/>
        <v/>
      </c>
      <c r="AP826" s="268" t="str">
        <f t="shared" si="1288"/>
        <v/>
      </c>
      <c r="AQ826" s="268" t="str">
        <f t="shared" si="1289"/>
        <v/>
      </c>
      <c r="AR826" s="268" t="str">
        <f t="shared" si="1290"/>
        <v/>
      </c>
      <c r="AS826" s="268" t="str">
        <f t="shared" si="1291"/>
        <v/>
      </c>
      <c r="AT826" s="268" t="str">
        <f t="shared" si="1292"/>
        <v/>
      </c>
      <c r="AU826" s="268" t="str">
        <f t="shared" si="1293"/>
        <v/>
      </c>
      <c r="AV826" s="268" t="str">
        <f t="shared" si="1294"/>
        <v/>
      </c>
      <c r="AW826" s="268" t="str">
        <f t="shared" si="1295"/>
        <v/>
      </c>
      <c r="AX826" s="268" t="str">
        <f t="shared" si="1296"/>
        <v/>
      </c>
      <c r="AY826" s="268" t="str">
        <f t="shared" si="1297"/>
        <v/>
      </c>
      <c r="AZ826" s="268" t="str">
        <f t="shared" si="1298"/>
        <v/>
      </c>
      <c r="BA826" s="268" t="str">
        <f t="shared" si="1299"/>
        <v/>
      </c>
      <c r="BB826" s="268" t="str">
        <f t="shared" si="1300"/>
        <v/>
      </c>
      <c r="BC826" s="268">
        <f t="shared" si="1301"/>
        <v>2400</v>
      </c>
      <c r="BD826" s="268" t="str">
        <f t="shared" si="1302"/>
        <v/>
      </c>
      <c r="BE826" s="268" t="str">
        <f t="shared" si="1303"/>
        <v/>
      </c>
      <c r="BF826" s="268" t="str">
        <f t="shared" si="1304"/>
        <v/>
      </c>
      <c r="BG826" s="268" t="str">
        <f t="shared" si="1305"/>
        <v/>
      </c>
      <c r="BH826" s="268" t="str">
        <f t="shared" si="1306"/>
        <v/>
      </c>
      <c r="BI826" s="268" t="str">
        <f t="shared" si="1307"/>
        <v/>
      </c>
      <c r="BJ826" s="268" t="str">
        <f t="shared" si="1308"/>
        <v/>
      </c>
      <c r="BK826" s="268" t="str">
        <f t="shared" si="1309"/>
        <v/>
      </c>
      <c r="BL826" s="268" t="str">
        <f t="shared" si="1310"/>
        <v/>
      </c>
      <c r="BM826" s="268" t="str">
        <f t="shared" si="1311"/>
        <v/>
      </c>
      <c r="BN826" s="268" t="str">
        <f t="shared" si="1312"/>
        <v/>
      </c>
      <c r="BO826" s="268" t="str">
        <f t="shared" si="1313"/>
        <v/>
      </c>
      <c r="BP826" s="268" t="str">
        <f t="shared" si="1314"/>
        <v/>
      </c>
      <c r="BQ826" s="268" t="str">
        <f t="shared" si="1315"/>
        <v/>
      </c>
      <c r="BR826" s="268" t="str">
        <f t="shared" si="1316"/>
        <v/>
      </c>
      <c r="BS826" s="268" t="str">
        <f t="shared" si="1317"/>
        <v/>
      </c>
      <c r="BT826" s="268" t="str">
        <f t="shared" si="1318"/>
        <v/>
      </c>
      <c r="BU826" s="268" t="str">
        <f t="shared" si="1319"/>
        <v/>
      </c>
      <c r="BV826" s="247">
        <v>0.59</v>
      </c>
      <c r="BW826" s="729">
        <f t="shared" si="1320"/>
        <v>1416</v>
      </c>
      <c r="BX826" s="730">
        <f t="shared" si="1321"/>
        <v>10974</v>
      </c>
      <c r="BY826" s="731" t="str">
        <f t="shared" si="1322"/>
        <v>JS</v>
      </c>
    </row>
    <row r="827" s="698" customFormat="1" customHeight="1" spans="1:77">
      <c r="A827" s="248">
        <v>46148</v>
      </c>
      <c r="B827" s="248">
        <v>46195</v>
      </c>
      <c r="C827" s="268" t="s">
        <v>819</v>
      </c>
      <c r="D827" s="268" t="s">
        <v>820</v>
      </c>
      <c r="E827" s="268" t="s">
        <v>63</v>
      </c>
      <c r="F827" s="343">
        <v>600</v>
      </c>
      <c r="G827" s="268" t="s">
        <v>510</v>
      </c>
      <c r="H827" s="211" t="str">
        <f>IFERROR(VLOOKUP(E827,名称!A:E,4,0),"")</f>
        <v>三代</v>
      </c>
      <c r="I827" s="268" t="str">
        <f t="shared" si="1255"/>
        <v/>
      </c>
      <c r="J827" s="268" t="str">
        <f t="shared" si="1256"/>
        <v/>
      </c>
      <c r="K827" s="268" t="str">
        <f t="shared" si="1257"/>
        <v/>
      </c>
      <c r="L827" s="268" t="str">
        <f t="shared" si="1258"/>
        <v/>
      </c>
      <c r="M827" s="268" t="str">
        <f t="shared" si="1259"/>
        <v/>
      </c>
      <c r="N827" s="268" t="str">
        <f t="shared" si="1260"/>
        <v/>
      </c>
      <c r="O827" s="268" t="str">
        <f t="shared" si="1261"/>
        <v/>
      </c>
      <c r="P827" s="268" t="str">
        <f t="shared" si="1262"/>
        <v/>
      </c>
      <c r="Q827" s="268" t="str">
        <f t="shared" si="1263"/>
        <v/>
      </c>
      <c r="R827" s="268" t="str">
        <f t="shared" si="1264"/>
        <v/>
      </c>
      <c r="S827" s="268" t="str">
        <f t="shared" si="1265"/>
        <v/>
      </c>
      <c r="T827" s="268" t="str">
        <f t="shared" si="1266"/>
        <v/>
      </c>
      <c r="U827" s="268" t="str">
        <f t="shared" si="1267"/>
        <v/>
      </c>
      <c r="V827" s="268" t="str">
        <f t="shared" si="1268"/>
        <v/>
      </c>
      <c r="W827" s="268" t="str">
        <f t="shared" si="1269"/>
        <v/>
      </c>
      <c r="X827" s="268" t="str">
        <f t="shared" si="1270"/>
        <v/>
      </c>
      <c r="Y827" s="268" t="str">
        <f t="shared" si="1271"/>
        <v/>
      </c>
      <c r="Z827" s="268" t="str">
        <f t="shared" si="1272"/>
        <v/>
      </c>
      <c r="AA827" s="268" t="str">
        <f t="shared" si="1273"/>
        <v/>
      </c>
      <c r="AB827" s="268" t="str">
        <f t="shared" si="1274"/>
        <v/>
      </c>
      <c r="AC827" s="268" t="str">
        <f t="shared" si="1275"/>
        <v/>
      </c>
      <c r="AD827" s="268" t="str">
        <f t="shared" si="1276"/>
        <v/>
      </c>
      <c r="AE827" s="268" t="str">
        <f t="shared" si="1277"/>
        <v/>
      </c>
      <c r="AF827" s="268">
        <f t="shared" si="1278"/>
        <v>600</v>
      </c>
      <c r="AG827" s="268" t="str">
        <f t="shared" si="1279"/>
        <v/>
      </c>
      <c r="AH827" s="268" t="str">
        <f t="shared" si="1280"/>
        <v/>
      </c>
      <c r="AI827" s="268" t="str">
        <f t="shared" si="1281"/>
        <v/>
      </c>
      <c r="AJ827" s="268" t="str">
        <f t="shared" si="1282"/>
        <v/>
      </c>
      <c r="AK827" s="268" t="str">
        <f t="shared" si="1283"/>
        <v/>
      </c>
      <c r="AL827" s="268" t="str">
        <f t="shared" si="1284"/>
        <v/>
      </c>
      <c r="AM827" s="268" t="str">
        <f t="shared" si="1285"/>
        <v/>
      </c>
      <c r="AN827" s="268" t="str">
        <f t="shared" si="1286"/>
        <v/>
      </c>
      <c r="AO827" s="268" t="str">
        <f t="shared" si="1287"/>
        <v/>
      </c>
      <c r="AP827" s="268" t="str">
        <f t="shared" si="1288"/>
        <v/>
      </c>
      <c r="AQ827" s="268" t="str">
        <f t="shared" si="1289"/>
        <v/>
      </c>
      <c r="AR827" s="268" t="str">
        <f t="shared" si="1290"/>
        <v/>
      </c>
      <c r="AS827" s="268" t="str">
        <f t="shared" si="1291"/>
        <v/>
      </c>
      <c r="AT827" s="268" t="str">
        <f t="shared" si="1292"/>
        <v/>
      </c>
      <c r="AU827" s="268" t="str">
        <f t="shared" si="1293"/>
        <v/>
      </c>
      <c r="AV827" s="268" t="str">
        <f t="shared" si="1294"/>
        <v/>
      </c>
      <c r="AW827" s="268" t="str">
        <f t="shared" si="1295"/>
        <v/>
      </c>
      <c r="AX827" s="268" t="str">
        <f t="shared" si="1296"/>
        <v/>
      </c>
      <c r="AY827" s="268" t="str">
        <f t="shared" si="1297"/>
        <v/>
      </c>
      <c r="AZ827" s="268" t="str">
        <f t="shared" si="1298"/>
        <v/>
      </c>
      <c r="BA827" s="268" t="str">
        <f t="shared" si="1299"/>
        <v/>
      </c>
      <c r="BB827" s="268" t="str">
        <f t="shared" si="1300"/>
        <v/>
      </c>
      <c r="BC827" s="268" t="str">
        <f t="shared" si="1301"/>
        <v/>
      </c>
      <c r="BD827" s="268" t="str">
        <f t="shared" si="1302"/>
        <v/>
      </c>
      <c r="BE827" s="268" t="str">
        <f t="shared" si="1303"/>
        <v/>
      </c>
      <c r="BF827" s="268" t="str">
        <f t="shared" si="1304"/>
        <v/>
      </c>
      <c r="BG827" s="268" t="str">
        <f t="shared" si="1305"/>
        <v/>
      </c>
      <c r="BH827" s="268" t="str">
        <f t="shared" si="1306"/>
        <v/>
      </c>
      <c r="BI827" s="268" t="str">
        <f t="shared" si="1307"/>
        <v/>
      </c>
      <c r="BJ827" s="268" t="str">
        <f t="shared" si="1308"/>
        <v/>
      </c>
      <c r="BK827" s="268" t="str">
        <f t="shared" si="1309"/>
        <v/>
      </c>
      <c r="BL827" s="268" t="str">
        <f t="shared" si="1310"/>
        <v/>
      </c>
      <c r="BM827" s="268" t="str">
        <f t="shared" si="1311"/>
        <v/>
      </c>
      <c r="BN827" s="268" t="str">
        <f t="shared" si="1312"/>
        <v/>
      </c>
      <c r="BO827" s="268" t="str">
        <f t="shared" si="1313"/>
        <v/>
      </c>
      <c r="BP827" s="268" t="str">
        <f t="shared" si="1314"/>
        <v/>
      </c>
      <c r="BQ827" s="268" t="str">
        <f t="shared" si="1315"/>
        <v/>
      </c>
      <c r="BR827" s="268" t="str">
        <f t="shared" si="1316"/>
        <v/>
      </c>
      <c r="BS827" s="268" t="str">
        <f t="shared" si="1317"/>
        <v/>
      </c>
      <c r="BT827" s="268" t="str">
        <f t="shared" si="1318"/>
        <v/>
      </c>
      <c r="BU827" s="268" t="str">
        <f t="shared" si="1319"/>
        <v/>
      </c>
      <c r="BV827" s="247">
        <v>0.62</v>
      </c>
      <c r="BW827" s="729">
        <f t="shared" si="1320"/>
        <v>372</v>
      </c>
      <c r="BX827" s="730">
        <f t="shared" si="1321"/>
        <v>2883</v>
      </c>
      <c r="BY827" s="731" t="str">
        <f t="shared" si="1322"/>
        <v>SR</v>
      </c>
    </row>
    <row r="828" s="698" customFormat="1" customHeight="1" spans="1:77">
      <c r="A828" s="248">
        <v>46148</v>
      </c>
      <c r="B828" s="248">
        <v>46195</v>
      </c>
      <c r="C828" s="268" t="s">
        <v>819</v>
      </c>
      <c r="D828" s="268" t="s">
        <v>820</v>
      </c>
      <c r="E828" s="268" t="s">
        <v>61</v>
      </c>
      <c r="F828" s="343">
        <v>1800</v>
      </c>
      <c r="G828" s="268" t="s">
        <v>510</v>
      </c>
      <c r="H828" s="211" t="str">
        <f>IFERROR(VLOOKUP(E828,名称!A:E,4,0),"")</f>
        <v>三代</v>
      </c>
      <c r="I828" s="268" t="str">
        <f t="shared" ref="I828:I877" si="1323">IF(OR($E828="",I$1=""),"",IF(TRIM(LEFT($E828,MIN(IFERROR(FIND("CDU",UPPER($E828)),999),IFERROR(FIND("BULK",UPPER($E828)),999),IFERROR(FIND("-",$E828),999),IFERROR(FIND("（",$E828),999))-1))=I$1,$F828,""))</f>
        <v/>
      </c>
      <c r="J828" s="268" t="str">
        <f t="shared" ref="J828:J877" si="1324">IF(OR($E828="",J$1=""),"",IF(TRIM(LEFT($E828,MIN(IFERROR(FIND("CDU",UPPER($E828)),999),IFERROR(FIND("BULK",UPPER($E828)),999),IFERROR(FIND("-",$E828),999),IFERROR(FIND("（",$E828),999))-1))=J$1,$F828,""))</f>
        <v/>
      </c>
      <c r="K828" s="268" t="str">
        <f t="shared" ref="K828:K877" si="1325">IF(OR($E828="",K$1=""),"",IF(TRIM(LEFT($E828,MIN(IFERROR(FIND("CDU",UPPER($E828)),999),IFERROR(FIND("BULK",UPPER($E828)),999),IFERROR(FIND("-",$E828),999),IFERROR(FIND("（",$E828),999))-1))=K$1,$F828,""))</f>
        <v/>
      </c>
      <c r="L828" s="268" t="str">
        <f t="shared" ref="L828:L877" si="1326">IF(OR($E828="",L$1=""),"",IF(TRIM(LEFT($E828,MIN(IFERROR(FIND("CDU",UPPER($E828)),999),IFERROR(FIND("BULK",UPPER($E828)),999),IFERROR(FIND("-",$E828),999),IFERROR(FIND("（",$E828),999))-1))=L$1,$F828,""))</f>
        <v/>
      </c>
      <c r="M828" s="268" t="str">
        <f t="shared" ref="M828:M877" si="1327">IF(OR($E828="",M$1=""),"",IF(TRIM(LEFT($E828,MIN(IFERROR(FIND("CDU",UPPER($E828)),999),IFERROR(FIND("BULK",UPPER($E828)),999),IFERROR(FIND("-",$E828),999),IFERROR(FIND("（",$E828),999))-1))=M$1,$F828,""))</f>
        <v/>
      </c>
      <c r="N828" s="268" t="str">
        <f t="shared" ref="N828:N877" si="1328">IF(OR($E828="",N$1=""),"",IF(TRIM(LEFT($E828,MIN(IFERROR(FIND("CDU",UPPER($E828)),999),IFERROR(FIND("BULK",UPPER($E828)),999),IFERROR(FIND("-",$E828),999),IFERROR(FIND("（",$E828),999))-1))=N$1,$F828,""))</f>
        <v/>
      </c>
      <c r="O828" s="268" t="str">
        <f t="shared" ref="O828:O877" si="1329">IF(OR($E828="",O$1=""),"",IF(TRIM(LEFT($E828,MIN(IFERROR(FIND("CDU",UPPER($E828)),999),IFERROR(FIND("BULK",UPPER($E828)),999),IFERROR(FIND("-",$E828),999),IFERROR(FIND("（",$E828),999))-1))=O$1,$F828,""))</f>
        <v/>
      </c>
      <c r="P828" s="268" t="str">
        <f t="shared" ref="P828:P877" si="1330">IF(OR($E828="",P$1=""),"",IF(TRIM(LEFT($E828,MIN(IFERROR(FIND("CDU",UPPER($E828)),999),IFERROR(FIND("BULK",UPPER($E828)),999),IFERROR(FIND("-",$E828),999),IFERROR(FIND("（",$E828),999))-1))=P$1,$F828,""))</f>
        <v/>
      </c>
      <c r="Q828" s="268" t="str">
        <f t="shared" ref="Q828:Q877" si="1331">IF(OR($E828="",Q$1=""),"",IF(TRIM(LEFT($E828,MIN(IFERROR(FIND("CDU",UPPER($E828)),999),IFERROR(FIND("BULK",UPPER($E828)),999),IFERROR(FIND("-",$E828),999),IFERROR(FIND("（",$E828),999))-1))=Q$1,$F828,""))</f>
        <v/>
      </c>
      <c r="R828" s="268" t="str">
        <f t="shared" ref="R828:R877" si="1332">IF(OR($E828="",R$1=""),"",IF(TRIM(LEFT($E828,MIN(IFERROR(FIND("CDU",UPPER($E828)),999),IFERROR(FIND("BULK",UPPER($E828)),999),IFERROR(FIND("-",$E828),999),IFERROR(FIND("（",$E828),999))-1))=R$1,$F828,""))</f>
        <v/>
      </c>
      <c r="S828" s="268" t="str">
        <f t="shared" ref="S828:S877" si="1333">IF(OR($E828="",S$1=""),"",IF(TRIM(LEFT($E828,MIN(IFERROR(FIND("CDU",UPPER($E828)),999),IFERROR(FIND("BULK",UPPER($E828)),999),IFERROR(FIND("-",$E828),999),IFERROR(FIND("（",$E828),999))-1))=S$1,$F828,""))</f>
        <v/>
      </c>
      <c r="T828" s="268" t="str">
        <f t="shared" ref="T828:T877" si="1334">IF(OR($E828="",T$1=""),"",IF(TRIM(LEFT($E828,MIN(IFERROR(FIND("CDU",UPPER($E828)),999),IFERROR(FIND("BULK",UPPER($E828)),999),IFERROR(FIND("-",$E828),999),IFERROR(FIND("（",$E828),999))-1))=T$1,$F828,""))</f>
        <v/>
      </c>
      <c r="U828" s="268" t="str">
        <f t="shared" ref="U828:U877" si="1335">IF(OR($E828="",U$1=""),"",IF(TRIM(LEFT($E828,MIN(IFERROR(FIND("CDU",UPPER($E828)),999),IFERROR(FIND("BULK",UPPER($E828)),999),IFERROR(FIND("-",$E828),999),IFERROR(FIND("（",$E828),999))-1))=U$1,$F828,""))</f>
        <v/>
      </c>
      <c r="V828" s="268" t="str">
        <f t="shared" ref="V828:V877" si="1336">IF(OR($E828="",V$1=""),"",IF(TRIM(LEFT($E828,MIN(IFERROR(FIND("CDU",UPPER($E828)),999),IFERROR(FIND("BULK",UPPER($E828)),999),IFERROR(FIND("-",$E828),999),IFERROR(FIND("（",$E828),999))-1))=V$1,$F828,""))</f>
        <v/>
      </c>
      <c r="W828" s="268" t="str">
        <f t="shared" ref="W828:W877" si="1337">IF(OR($E828="",W$1=""),"",IF(TRIM(LEFT($E828,MIN(IFERROR(FIND("CDU",UPPER($E828)),999),IFERROR(FIND("BULK",UPPER($E828)),999),IFERROR(FIND("-",$E828),999),IFERROR(FIND("（",$E828),999))-1))=W$1,$F828,""))</f>
        <v/>
      </c>
      <c r="X828" s="268" t="str">
        <f t="shared" ref="X828:X877" si="1338">IF(OR($E828="",X$1=""),"",IF(TRIM(LEFT($E828,MIN(IFERROR(FIND("CDU",UPPER($E828)),999),IFERROR(FIND("BULK",UPPER($E828)),999),IFERROR(FIND("-",$E828),999),IFERROR(FIND("（",$E828),999))-1))=X$1,$F828,""))</f>
        <v/>
      </c>
      <c r="Y828" s="268" t="str">
        <f t="shared" ref="Y828:Y877" si="1339">IF(OR($E828="",Y$1=""),"",IF(TRIM(LEFT($E828,MIN(IFERROR(FIND("CDU",UPPER($E828)),999),IFERROR(FIND("BULK",UPPER($E828)),999),IFERROR(FIND("-",$E828),999),IFERROR(FIND("（",$E828),999))-1))=Y$1,$F828,""))</f>
        <v/>
      </c>
      <c r="Z828" s="268" t="str">
        <f t="shared" ref="Z828:Z877" si="1340">IF(OR($E828="",Z$1=""),"",IF(TRIM(LEFT($E828,MIN(IFERROR(FIND("CDU",UPPER($E828)),999),IFERROR(FIND("BULK",UPPER($E828)),999),IFERROR(FIND("-",$E828),999),IFERROR(FIND("（",$E828),999))-1))=Z$1,$F828,""))</f>
        <v/>
      </c>
      <c r="AA828" s="268" t="str">
        <f t="shared" ref="AA828:AA877" si="1341">IF(OR($E828="",AA$1=""),"",IF(TRIM(LEFT($E828,MIN(IFERROR(FIND("CDU",UPPER($E828)),999),IFERROR(FIND("BULK",UPPER($E828)),999),IFERROR(FIND("-",$E828),999),IFERROR(FIND("（",$E828),999))-1))=AA$1,$F828,""))</f>
        <v/>
      </c>
      <c r="AB828" s="268" t="str">
        <f t="shared" ref="AB828:AB877" si="1342">IF(OR($E828="",AB$1=""),"",IF(TRIM(LEFT($E828,MIN(IFERROR(FIND("CDU",UPPER($E828)),999),IFERROR(FIND("BULK",UPPER($E828)),999),IFERROR(FIND("-",$E828),999),IFERROR(FIND("（",$E828),999))-1))=AB$1,$F828,""))</f>
        <v/>
      </c>
      <c r="AC828" s="268" t="str">
        <f t="shared" ref="AC828:AC877" si="1343">IF(OR($E828="",AC$1=""),"",IF(TRIM(LEFT($E828,MIN(IFERROR(FIND("CDU",UPPER($E828)),999),IFERROR(FIND("BULK",UPPER($E828)),999),IFERROR(FIND("-",$E828),999),IFERROR(FIND("（",$E828),999))-1))=AC$1,$F828,""))</f>
        <v/>
      </c>
      <c r="AD828" s="268" t="str">
        <f t="shared" ref="AD828:AD877" si="1344">IF(OR($E828="",AD$1=""),"",IF(TRIM(LEFT($E828,MIN(IFERROR(FIND("CDU",UPPER($E828)),999),IFERROR(FIND("BULK",UPPER($E828)),999),IFERROR(FIND("-",$E828),999),IFERROR(FIND("（",$E828),999))-1))=AD$1,$F828,""))</f>
        <v/>
      </c>
      <c r="AE828" s="268">
        <f t="shared" ref="AE828:AE877" si="1345">IF(OR($E828="",AE$1=""),"",IF(TRIM(LEFT($E828,MIN(IFERROR(FIND("CDU",UPPER($E828)),999),IFERROR(FIND("BULK",UPPER($E828)),999),IFERROR(FIND("-",$E828),999),IFERROR(FIND("（",$E828),999))-1))=AE$1,$F828,""))</f>
        <v>1800</v>
      </c>
      <c r="AF828" s="268" t="str">
        <f t="shared" ref="AF828:AF877" si="1346">IF(OR($E828="",AF$1=""),"",IF(TRIM(LEFT($E828,MIN(IFERROR(FIND("CDU",UPPER($E828)),999),IFERROR(FIND("BULK",UPPER($E828)),999),IFERROR(FIND("-",$E828),999),IFERROR(FIND("（",$E828),999))-1))=AF$1,$F828,""))</f>
        <v/>
      </c>
      <c r="AG828" s="268" t="str">
        <f t="shared" ref="AG828:AG877" si="1347">IF(OR($E828="",AG$1=""),"",IF(TRIM(LEFT($E828,MIN(IFERROR(FIND("CDU",UPPER($E828)),999),IFERROR(FIND("BULK",UPPER($E828)),999),IFERROR(FIND("-",$E828),999),IFERROR(FIND("（",$E828),999))-1))=AG$1,$F828,""))</f>
        <v/>
      </c>
      <c r="AH828" s="268" t="str">
        <f t="shared" ref="AH828:AH877" si="1348">IF(OR($E828="",AH$1=""),"",IF(TRIM(LEFT($E828,MIN(IFERROR(FIND("CDU",UPPER($E828)),999),IFERROR(FIND("BULK",UPPER($E828)),999),IFERROR(FIND("-",$E828),999),IFERROR(FIND("（",$E828),999))-1))=AH$1,$F828,""))</f>
        <v/>
      </c>
      <c r="AI828" s="268" t="str">
        <f t="shared" ref="AI828:AI877" si="1349">IF(OR($E828="",AI$1=""),"",IF(TRIM(LEFT($E828,MIN(IFERROR(FIND("CDU",UPPER($E828)),999),IFERROR(FIND("BULK",UPPER($E828)),999),IFERROR(FIND("-",$E828),999),IFERROR(FIND("（",$E828),999))-1))=AI$1,$F828,""))</f>
        <v/>
      </c>
      <c r="AJ828" s="268" t="str">
        <f t="shared" ref="AJ828:AJ877" si="1350">IF(OR($E828="",AJ$1=""),"",IF(TRIM(LEFT($E828,MIN(IFERROR(FIND("CDU",UPPER($E828)),999),IFERROR(FIND("BULK",UPPER($E828)),999),IFERROR(FIND("-",$E828),999),IFERROR(FIND("（",$E828),999))-1))=AJ$1,$F828,""))</f>
        <v/>
      </c>
      <c r="AK828" s="268" t="str">
        <f t="shared" ref="AK828:AK877" si="1351">IF(OR($E828="",AK$1=""),"",IF(TRIM(LEFT($E828,MIN(IFERROR(FIND("CDU",UPPER($E828)),999),IFERROR(FIND("BULK",UPPER($E828)),999),IFERROR(FIND("-",$E828),999),IFERROR(FIND("（",$E828),999))-1))=AK$1,$F828,""))</f>
        <v/>
      </c>
      <c r="AL828" s="268" t="str">
        <f t="shared" ref="AL828:AL877" si="1352">IF(OR($E828="",AL$1=""),"",IF(TRIM(LEFT($E828,MIN(IFERROR(FIND("CDU",UPPER($E828)),999),IFERROR(FIND("BULK",UPPER($E828)),999),IFERROR(FIND("-",$E828),999),IFERROR(FIND("（",$E828),999))-1))=AL$1,$F828,""))</f>
        <v/>
      </c>
      <c r="AM828" s="268" t="str">
        <f t="shared" ref="AM828:AM877" si="1353">IF(OR($E828="",AM$1=""),"",IF(TRIM(LEFT($E828,MIN(IFERROR(FIND("CDU",UPPER($E828)),999),IFERROR(FIND("BULK",UPPER($E828)),999),IFERROR(FIND("-",$E828),999),IFERROR(FIND("（",$E828),999))-1))=AM$1,$F828,""))</f>
        <v/>
      </c>
      <c r="AN828" s="268" t="str">
        <f t="shared" ref="AN828:AN877" si="1354">IF(OR($E828="",AN$1=""),"",IF(TRIM(LEFT($E828,MIN(IFERROR(FIND("CDU",UPPER($E828)),999),IFERROR(FIND("BULK",UPPER($E828)),999),IFERROR(FIND("-",$E828),999),IFERROR(FIND("（",$E828),999))-1))=AN$1,$F828,""))</f>
        <v/>
      </c>
      <c r="AO828" s="268" t="str">
        <f t="shared" ref="AO828:AO877" si="1355">IF(OR($E828="",AO$1=""),"",IF(TRIM(LEFT($E828,MIN(IFERROR(FIND("CDU",UPPER($E828)),999),IFERROR(FIND("BULK",UPPER($E828)),999),IFERROR(FIND("-",$E828),999),IFERROR(FIND("（",$E828),999))-1))=AO$1,$F828,""))</f>
        <v/>
      </c>
      <c r="AP828" s="268" t="str">
        <f t="shared" ref="AP828:AP877" si="1356">IF(OR($E828="",AP$1=""),"",IF(TRIM(LEFT($E828,MIN(IFERROR(FIND("CDU",UPPER($E828)),999),IFERROR(FIND("BULK",UPPER($E828)),999),IFERROR(FIND("-",$E828),999),IFERROR(FIND("（",$E828),999))-1))=AP$1,$F828,""))</f>
        <v/>
      </c>
      <c r="AQ828" s="268" t="str">
        <f t="shared" ref="AQ828:AQ877" si="1357">IF(OR($E828="",AQ$1=""),"",IF(TRIM(LEFT($E828,MIN(IFERROR(FIND("CDU",UPPER($E828)),999),IFERROR(FIND("BULK",UPPER($E828)),999),IFERROR(FIND("-",$E828),999),IFERROR(FIND("（",$E828),999))-1))=AQ$1,$F828,""))</f>
        <v/>
      </c>
      <c r="AR828" s="268" t="str">
        <f t="shared" ref="AR828:AR877" si="1358">IF(OR($E828="",AR$1=""),"",IF(TRIM(LEFT($E828,MIN(IFERROR(FIND("CDU",UPPER($E828)),999),IFERROR(FIND("BULK",UPPER($E828)),999),IFERROR(FIND("-",$E828),999),IFERROR(FIND("（",$E828),999))-1))=AR$1,$F828,""))</f>
        <v/>
      </c>
      <c r="AS828" s="268" t="str">
        <f t="shared" ref="AS828:AS877" si="1359">IF(OR($E828="",AS$1=""),"",IF(TRIM(LEFT($E828,MIN(IFERROR(FIND("CDU",UPPER($E828)),999),IFERROR(FIND("BULK",UPPER($E828)),999),IFERROR(FIND("-",$E828),999),IFERROR(FIND("（",$E828),999))-1))=AS$1,$F828,""))</f>
        <v/>
      </c>
      <c r="AT828" s="268" t="str">
        <f t="shared" ref="AT828:AT877" si="1360">IF(OR($E828="",AT$1=""),"",IF(TRIM(LEFT($E828,MIN(IFERROR(FIND("CDU",UPPER($E828)),999),IFERROR(FIND("BULK",UPPER($E828)),999),IFERROR(FIND("-",$E828),999),IFERROR(FIND("（",$E828),999))-1))=AT$1,$F828,""))</f>
        <v/>
      </c>
      <c r="AU828" s="268" t="str">
        <f t="shared" ref="AU828:AU877" si="1361">IF(OR($E828="",AU$1=""),"",IF(TRIM(LEFT($E828,MIN(IFERROR(FIND("CDU",UPPER($E828)),999),IFERROR(FIND("BULK",UPPER($E828)),999),IFERROR(FIND("-",$E828),999),IFERROR(FIND("（",$E828),999))-1))=AU$1,$F828,""))</f>
        <v/>
      </c>
      <c r="AV828" s="268" t="str">
        <f t="shared" ref="AV828:AV877" si="1362">IF(OR($E828="",AV$1=""),"",IF(TRIM(LEFT($E828,MIN(IFERROR(FIND("CDU",UPPER($E828)),999),IFERROR(FIND("BULK",UPPER($E828)),999),IFERROR(FIND("-",$E828),999),IFERROR(FIND("（",$E828),999))-1))=AV$1,$F828,""))</f>
        <v/>
      </c>
      <c r="AW828" s="268" t="str">
        <f t="shared" ref="AW828:AW877" si="1363">IF(OR($E828="",AW$1=""),"",IF(TRIM(LEFT($E828,MIN(IFERROR(FIND("CDU",UPPER($E828)),999),IFERROR(FIND("BULK",UPPER($E828)),999),IFERROR(FIND("-",$E828),999),IFERROR(FIND("（",$E828),999))-1))=AW$1,$F828,""))</f>
        <v/>
      </c>
      <c r="AX828" s="268" t="str">
        <f t="shared" ref="AX828:AX877" si="1364">IF(OR($E828="",AX$1=""),"",IF(TRIM(LEFT($E828,MIN(IFERROR(FIND("CDU",UPPER($E828)),999),IFERROR(FIND("BULK",UPPER($E828)),999),IFERROR(FIND("-",$E828),999),IFERROR(FIND("（",$E828),999))-1))=AX$1,$F828,""))</f>
        <v/>
      </c>
      <c r="AY828" s="268" t="str">
        <f t="shared" ref="AY828:AY877" si="1365">IF(OR($E828="",AY$1=""),"",IF(TRIM(LEFT($E828,MIN(IFERROR(FIND("CDU",UPPER($E828)),999),IFERROR(FIND("BULK",UPPER($E828)),999),IFERROR(FIND("-",$E828),999),IFERROR(FIND("（",$E828),999))-1))=AY$1,$F828,""))</f>
        <v/>
      </c>
      <c r="AZ828" s="268" t="str">
        <f t="shared" ref="AZ828:AZ877" si="1366">IF(OR($E828="",AZ$1=""),"",IF(TRIM(LEFT($E828,MIN(IFERROR(FIND("CDU",UPPER($E828)),999),IFERROR(FIND("BULK",UPPER($E828)),999),IFERROR(FIND("-",$E828),999),IFERROR(FIND("（",$E828),999))-1))=AZ$1,$F828,""))</f>
        <v/>
      </c>
      <c r="BA828" s="268" t="str">
        <f t="shared" ref="BA828:BA877" si="1367">IF(OR($E828="",BA$1=""),"",IF(TRIM(LEFT($E828,MIN(IFERROR(FIND("CDU",UPPER($E828)),999),IFERROR(FIND("BULK",UPPER($E828)),999),IFERROR(FIND("-",$E828),999),IFERROR(FIND("（",$E828),999))-1))=BA$1,$F828,""))</f>
        <v/>
      </c>
      <c r="BB828" s="268" t="str">
        <f t="shared" ref="BB828:BB877" si="1368">IF(OR($E828="",BB$1=""),"",IF(TRIM(LEFT($E828,MIN(IFERROR(FIND("CDU",UPPER($E828)),999),IFERROR(FIND("BULK",UPPER($E828)),999),IFERROR(FIND("-",$E828),999),IFERROR(FIND("（",$E828),999))-1))=BB$1,$F828,""))</f>
        <v/>
      </c>
      <c r="BC828" s="268" t="str">
        <f t="shared" ref="BC828:BC877" si="1369">IF(OR($E828="",BC$1=""),"",IF(TRIM(LEFT($E828,MIN(IFERROR(FIND("CDU",UPPER($E828)),999),IFERROR(FIND("BULK",UPPER($E828)),999),IFERROR(FIND("-",$E828),999),IFERROR(FIND("（",$E828),999))-1))=BC$1,$F828,""))</f>
        <v/>
      </c>
      <c r="BD828" s="268" t="str">
        <f t="shared" ref="BD828:BD877" si="1370">IF(OR($E828="",BD$1=""),"",IF(TRIM(LEFT($E828,MIN(IFERROR(FIND("CDU",UPPER($E828)),999),IFERROR(FIND("BULK",UPPER($E828)),999),IFERROR(FIND("-",$E828),999),IFERROR(FIND("（",$E828),999))-1))=BD$1,$F828,""))</f>
        <v/>
      </c>
      <c r="BE828" s="268" t="str">
        <f t="shared" ref="BE828:BE877" si="1371">IF(OR($E828="",BE$1=""),"",IF(TRIM(LEFT($E828,MIN(IFERROR(FIND("CDU",UPPER($E828)),999),IFERROR(FIND("BULK",UPPER($E828)),999),IFERROR(FIND("-",$E828),999),IFERROR(FIND("（",$E828),999))-1))=BE$1,$F828,""))</f>
        <v/>
      </c>
      <c r="BF828" s="268" t="str">
        <f t="shared" ref="BF828:BF877" si="1372">IF(OR($E828="",BF$1=""),"",IF(TRIM(LEFT($E828,MIN(IFERROR(FIND("CDU",UPPER($E828)),999),IFERROR(FIND("BULK",UPPER($E828)),999),IFERROR(FIND("-",$E828),999),IFERROR(FIND("（",$E828),999))-1))=BF$1,$F828,""))</f>
        <v/>
      </c>
      <c r="BG828" s="268" t="str">
        <f t="shared" ref="BG828:BG877" si="1373">IF(OR($E828="",BG$1=""),"",IF(TRIM(LEFT($E828,MIN(IFERROR(FIND("CDU",UPPER($E828)),999),IFERROR(FIND("BULK",UPPER($E828)),999),IFERROR(FIND("-",$E828),999),IFERROR(FIND("（",$E828),999))-1))=BG$1,$F828,""))</f>
        <v/>
      </c>
      <c r="BH828" s="268" t="str">
        <f t="shared" ref="BH828:BH877" si="1374">IF(OR($E828="",BH$1=""),"",IF(TRIM(LEFT($E828,MIN(IFERROR(FIND("CDU",UPPER($E828)),999),IFERROR(FIND("BULK",UPPER($E828)),999),IFERROR(FIND("-",$E828),999),IFERROR(FIND("（",$E828),999))-1))=BH$1,$F828,""))</f>
        <v/>
      </c>
      <c r="BI828" s="268" t="str">
        <f t="shared" ref="BI828:BI877" si="1375">IF(OR($E828="",BI$1=""),"",IF(TRIM(LEFT($E828,MIN(IFERROR(FIND("CDU",UPPER($E828)),999),IFERROR(FIND("BULK",UPPER($E828)),999),IFERROR(FIND("-",$E828),999),IFERROR(FIND("（",$E828),999))-1))=BI$1,$F828,""))</f>
        <v/>
      </c>
      <c r="BJ828" s="268" t="str">
        <f t="shared" ref="BJ828:BJ877" si="1376">IF(OR($E828="",BJ$1=""),"",IF(TRIM(LEFT($E828,MIN(IFERROR(FIND("CDU",UPPER($E828)),999),IFERROR(FIND("BULK",UPPER($E828)),999),IFERROR(FIND("-",$E828),999),IFERROR(FIND("（",$E828),999))-1))=BJ$1,$F828,""))</f>
        <v/>
      </c>
      <c r="BK828" s="268" t="str">
        <f t="shared" ref="BK828:BK877" si="1377">IF(OR($E828="",BK$1=""),"",IF(TRIM(LEFT($E828,MIN(IFERROR(FIND("CDU",UPPER($E828)),999),IFERROR(FIND("BULK",UPPER($E828)),999),IFERROR(FIND("-",$E828),999),IFERROR(FIND("（",$E828),999))-1))=BK$1,$F828,""))</f>
        <v/>
      </c>
      <c r="BL828" s="268" t="str">
        <f t="shared" ref="BL828:BL877" si="1378">IF(OR($E828="",BL$1=""),"",IF(TRIM(LEFT($E828,MIN(IFERROR(FIND("CDU",UPPER($E828)),999),IFERROR(FIND("BULK",UPPER($E828)),999),IFERROR(FIND("-",$E828),999),IFERROR(FIND("（",$E828),999))-1))=BL$1,$F828,""))</f>
        <v/>
      </c>
      <c r="BM828" s="268" t="str">
        <f t="shared" ref="BM828:BM877" si="1379">IF(OR($E828="",BM$1=""),"",IF(TRIM(LEFT($E828,MIN(IFERROR(FIND("CDU",UPPER($E828)),999),IFERROR(FIND("BULK",UPPER($E828)),999),IFERROR(FIND("-",$E828),999),IFERROR(FIND("（",$E828),999))-1))=BM$1,$F828,""))</f>
        <v/>
      </c>
      <c r="BN828" s="268" t="str">
        <f t="shared" si="1312"/>
        <v/>
      </c>
      <c r="BO828" s="268" t="str">
        <f t="shared" si="1313"/>
        <v/>
      </c>
      <c r="BP828" s="268" t="str">
        <f t="shared" si="1314"/>
        <v/>
      </c>
      <c r="BQ828" s="268" t="str">
        <f t="shared" si="1315"/>
        <v/>
      </c>
      <c r="BR828" s="268" t="str">
        <f t="shared" si="1316"/>
        <v/>
      </c>
      <c r="BS828" s="268" t="str">
        <f t="shared" si="1317"/>
        <v/>
      </c>
      <c r="BT828" s="268" t="str">
        <f t="shared" ref="BT828:BT877" si="1380">IF(OR($E828="",BT$1=""),"",IF(TRIM(LEFT($E828,MIN(IFERROR(FIND("CDU",UPPER($E828)),999),IFERROR(FIND("BULK",UPPER($E828)),999),IFERROR(FIND("-",$E828),999),IFERROR(FIND("（",$E828),999))-1))=BT$1,$F828,""))</f>
        <v/>
      </c>
      <c r="BU828" s="268" t="str">
        <f t="shared" ref="BU828:BU877" si="1381">IF(OR($E828="",BU$1=""),"",IF(TRIM(LEFT($E828,MIN(IFERROR(FIND("CDU",UPPER($E828)),999),IFERROR(FIND("BULK",UPPER($E828)),999),IFERROR(FIND("-",$E828),999),IFERROR(FIND("（",$E828),999))-1))=BU$1,$F828,""))</f>
        <v/>
      </c>
      <c r="BV828" s="247">
        <v>0.61</v>
      </c>
      <c r="BW828" s="729">
        <f t="shared" ref="BW828:BW877" si="1382">SUM(I828:BU828)*BV828</f>
        <v>1098</v>
      </c>
      <c r="BX828" s="730">
        <f t="shared" ref="BX828:BX877" si="1383">BW828*7.75</f>
        <v>8509.5</v>
      </c>
      <c r="BY828" s="731" t="str">
        <f t="shared" ref="BY828:BY877" si="1384">MID(E828,1,2)</f>
        <v>SR</v>
      </c>
    </row>
    <row r="829" s="698" customFormat="1" customHeight="1" spans="1:77">
      <c r="A829" s="248">
        <v>46148</v>
      </c>
      <c r="B829" s="248">
        <v>46195</v>
      </c>
      <c r="C829" s="268" t="s">
        <v>819</v>
      </c>
      <c r="D829" s="268" t="s">
        <v>820</v>
      </c>
      <c r="E829" s="268" t="s">
        <v>116</v>
      </c>
      <c r="F829" s="343">
        <v>1440</v>
      </c>
      <c r="G829" s="268" t="s">
        <v>510</v>
      </c>
      <c r="H829" s="211" t="str">
        <f>IFERROR(VLOOKUP(E829,名称!A:E,4,0),"")</f>
        <v>三代</v>
      </c>
      <c r="I829" s="268" t="str">
        <f t="shared" si="1323"/>
        <v/>
      </c>
      <c r="J829" s="268" t="str">
        <f t="shared" si="1324"/>
        <v/>
      </c>
      <c r="K829" s="268" t="str">
        <f t="shared" si="1325"/>
        <v/>
      </c>
      <c r="L829" s="268" t="str">
        <f t="shared" si="1326"/>
        <v/>
      </c>
      <c r="M829" s="268" t="str">
        <f t="shared" si="1327"/>
        <v/>
      </c>
      <c r="N829" s="268" t="str">
        <f t="shared" si="1328"/>
        <v/>
      </c>
      <c r="O829" s="268" t="str">
        <f t="shared" si="1329"/>
        <v/>
      </c>
      <c r="P829" s="268" t="str">
        <f t="shared" si="1330"/>
        <v/>
      </c>
      <c r="Q829" s="268" t="str">
        <f t="shared" si="1331"/>
        <v/>
      </c>
      <c r="R829" s="268" t="str">
        <f t="shared" si="1332"/>
        <v/>
      </c>
      <c r="S829" s="268" t="str">
        <f t="shared" si="1333"/>
        <v/>
      </c>
      <c r="T829" s="268" t="str">
        <f t="shared" si="1334"/>
        <v/>
      </c>
      <c r="U829" s="268" t="str">
        <f t="shared" si="1335"/>
        <v/>
      </c>
      <c r="V829" s="268" t="str">
        <f t="shared" si="1336"/>
        <v/>
      </c>
      <c r="W829" s="268" t="str">
        <f t="shared" si="1337"/>
        <v/>
      </c>
      <c r="X829" s="268" t="str">
        <f t="shared" si="1338"/>
        <v/>
      </c>
      <c r="Y829" s="268" t="str">
        <f t="shared" si="1339"/>
        <v/>
      </c>
      <c r="Z829" s="268" t="str">
        <f t="shared" si="1340"/>
        <v/>
      </c>
      <c r="AA829" s="268" t="str">
        <f t="shared" si="1341"/>
        <v/>
      </c>
      <c r="AB829" s="268" t="str">
        <f t="shared" si="1342"/>
        <v/>
      </c>
      <c r="AC829" s="268" t="str">
        <f t="shared" si="1343"/>
        <v/>
      </c>
      <c r="AD829" s="268" t="str">
        <f t="shared" si="1344"/>
        <v/>
      </c>
      <c r="AE829" s="268" t="str">
        <f t="shared" si="1345"/>
        <v/>
      </c>
      <c r="AF829" s="268" t="str">
        <f t="shared" si="1346"/>
        <v/>
      </c>
      <c r="AG829" s="268" t="str">
        <f t="shared" si="1347"/>
        <v/>
      </c>
      <c r="AH829" s="268" t="str">
        <f t="shared" si="1348"/>
        <v/>
      </c>
      <c r="AI829" s="268" t="str">
        <f t="shared" si="1349"/>
        <v/>
      </c>
      <c r="AJ829" s="268" t="str">
        <f t="shared" si="1350"/>
        <v/>
      </c>
      <c r="AK829" s="268" t="str">
        <f t="shared" si="1351"/>
        <v/>
      </c>
      <c r="AL829" s="268" t="str">
        <f t="shared" si="1352"/>
        <v/>
      </c>
      <c r="AM829" s="268">
        <f t="shared" si="1353"/>
        <v>1440</v>
      </c>
      <c r="AN829" s="268" t="str">
        <f t="shared" si="1354"/>
        <v/>
      </c>
      <c r="AO829" s="268" t="str">
        <f t="shared" si="1355"/>
        <v/>
      </c>
      <c r="AP829" s="268" t="str">
        <f t="shared" si="1356"/>
        <v/>
      </c>
      <c r="AQ829" s="268" t="str">
        <f t="shared" si="1357"/>
        <v/>
      </c>
      <c r="AR829" s="268" t="str">
        <f t="shared" si="1358"/>
        <v/>
      </c>
      <c r="AS829" s="268" t="str">
        <f t="shared" si="1359"/>
        <v/>
      </c>
      <c r="AT829" s="268" t="str">
        <f t="shared" si="1360"/>
        <v/>
      </c>
      <c r="AU829" s="268" t="str">
        <f t="shared" si="1361"/>
        <v/>
      </c>
      <c r="AV829" s="268" t="str">
        <f t="shared" si="1362"/>
        <v/>
      </c>
      <c r="AW829" s="268" t="str">
        <f t="shared" si="1363"/>
        <v/>
      </c>
      <c r="AX829" s="268" t="str">
        <f t="shared" si="1364"/>
        <v/>
      </c>
      <c r="AY829" s="268" t="str">
        <f t="shared" si="1365"/>
        <v/>
      </c>
      <c r="AZ829" s="268" t="str">
        <f t="shared" si="1366"/>
        <v/>
      </c>
      <c r="BA829" s="268" t="str">
        <f t="shared" si="1367"/>
        <v/>
      </c>
      <c r="BB829" s="268" t="str">
        <f t="shared" si="1368"/>
        <v/>
      </c>
      <c r="BC829" s="268" t="str">
        <f t="shared" si="1369"/>
        <v/>
      </c>
      <c r="BD829" s="268" t="str">
        <f t="shared" si="1370"/>
        <v/>
      </c>
      <c r="BE829" s="268" t="str">
        <f t="shared" si="1371"/>
        <v/>
      </c>
      <c r="BF829" s="268" t="str">
        <f t="shared" si="1372"/>
        <v/>
      </c>
      <c r="BG829" s="268" t="str">
        <f t="shared" si="1373"/>
        <v/>
      </c>
      <c r="BH829" s="268" t="str">
        <f t="shared" si="1374"/>
        <v/>
      </c>
      <c r="BI829" s="268" t="str">
        <f t="shared" si="1375"/>
        <v/>
      </c>
      <c r="BJ829" s="268" t="str">
        <f t="shared" si="1376"/>
        <v/>
      </c>
      <c r="BK829" s="268" t="str">
        <f t="shared" si="1377"/>
        <v/>
      </c>
      <c r="BL829" s="268" t="str">
        <f t="shared" si="1378"/>
        <v/>
      </c>
      <c r="BM829" s="268" t="str">
        <f t="shared" si="1379"/>
        <v/>
      </c>
      <c r="BN829" s="268" t="str">
        <f t="shared" si="1312"/>
        <v/>
      </c>
      <c r="BO829" s="268" t="str">
        <f t="shared" si="1313"/>
        <v/>
      </c>
      <c r="BP829" s="268" t="str">
        <f t="shared" si="1314"/>
        <v/>
      </c>
      <c r="BQ829" s="268" t="str">
        <f t="shared" si="1315"/>
        <v/>
      </c>
      <c r="BR829" s="268" t="str">
        <f t="shared" si="1316"/>
        <v/>
      </c>
      <c r="BS829" s="268" t="str">
        <f t="shared" si="1317"/>
        <v/>
      </c>
      <c r="BT829" s="268" t="str">
        <f t="shared" si="1380"/>
        <v/>
      </c>
      <c r="BU829" s="268" t="str">
        <f t="shared" si="1381"/>
        <v/>
      </c>
      <c r="BV829" s="247">
        <v>1.56</v>
      </c>
      <c r="BW829" s="729">
        <f t="shared" si="1382"/>
        <v>2246.4</v>
      </c>
      <c r="BX829" s="730">
        <f t="shared" si="1383"/>
        <v>17409.6</v>
      </c>
      <c r="BY829" s="731" t="str">
        <f t="shared" si="1384"/>
        <v>SR</v>
      </c>
    </row>
    <row r="830" s="698" customFormat="1" customHeight="1" spans="1:77">
      <c r="A830" s="248">
        <v>46148</v>
      </c>
      <c r="B830" s="248">
        <v>46195</v>
      </c>
      <c r="C830" s="268" t="s">
        <v>819</v>
      </c>
      <c r="D830" s="268" t="s">
        <v>820</v>
      </c>
      <c r="E830" s="268" t="s">
        <v>97</v>
      </c>
      <c r="F830" s="343">
        <v>1200</v>
      </c>
      <c r="G830" s="268" t="s">
        <v>510</v>
      </c>
      <c r="H830" s="211" t="str">
        <f>IFERROR(VLOOKUP(E830,名称!A:E,4,0),"")</f>
        <v>三代</v>
      </c>
      <c r="I830" s="268" t="str">
        <f t="shared" si="1323"/>
        <v/>
      </c>
      <c r="J830" s="268" t="str">
        <f t="shared" si="1324"/>
        <v/>
      </c>
      <c r="K830" s="268" t="str">
        <f t="shared" si="1325"/>
        <v/>
      </c>
      <c r="L830" s="268" t="str">
        <f t="shared" si="1326"/>
        <v/>
      </c>
      <c r="M830" s="268" t="str">
        <f t="shared" si="1327"/>
        <v/>
      </c>
      <c r="N830" s="268" t="str">
        <f t="shared" si="1328"/>
        <v/>
      </c>
      <c r="O830" s="268" t="str">
        <f t="shared" si="1329"/>
        <v/>
      </c>
      <c r="P830" s="268" t="str">
        <f t="shared" si="1330"/>
        <v/>
      </c>
      <c r="Q830" s="268" t="str">
        <f t="shared" si="1331"/>
        <v/>
      </c>
      <c r="R830" s="268" t="str">
        <f t="shared" si="1332"/>
        <v/>
      </c>
      <c r="S830" s="268" t="str">
        <f t="shared" si="1333"/>
        <v/>
      </c>
      <c r="T830" s="268" t="str">
        <f t="shared" si="1334"/>
        <v/>
      </c>
      <c r="U830" s="268" t="str">
        <f t="shared" si="1335"/>
        <v/>
      </c>
      <c r="V830" s="268" t="str">
        <f t="shared" si="1336"/>
        <v/>
      </c>
      <c r="W830" s="268" t="str">
        <f t="shared" si="1337"/>
        <v/>
      </c>
      <c r="X830" s="268" t="str">
        <f t="shared" si="1338"/>
        <v/>
      </c>
      <c r="Y830" s="268" t="str">
        <f t="shared" si="1339"/>
        <v/>
      </c>
      <c r="Z830" s="268" t="str">
        <f t="shared" si="1340"/>
        <v/>
      </c>
      <c r="AA830" s="268" t="str">
        <f t="shared" si="1341"/>
        <v/>
      </c>
      <c r="AB830" s="268" t="str">
        <f t="shared" si="1342"/>
        <v/>
      </c>
      <c r="AC830" s="268" t="str">
        <f t="shared" si="1343"/>
        <v/>
      </c>
      <c r="AD830" s="268" t="str">
        <f t="shared" si="1344"/>
        <v/>
      </c>
      <c r="AE830" s="268" t="str">
        <f t="shared" si="1345"/>
        <v/>
      </c>
      <c r="AF830" s="268" t="str">
        <f t="shared" si="1346"/>
        <v/>
      </c>
      <c r="AG830" s="268" t="str">
        <f t="shared" si="1347"/>
        <v/>
      </c>
      <c r="AH830" s="268" t="str">
        <f t="shared" si="1348"/>
        <v/>
      </c>
      <c r="AI830" s="268" t="str">
        <f t="shared" si="1349"/>
        <v/>
      </c>
      <c r="AJ830" s="268" t="str">
        <f t="shared" si="1350"/>
        <v/>
      </c>
      <c r="AK830" s="268" t="str">
        <f t="shared" si="1351"/>
        <v/>
      </c>
      <c r="AL830" s="268" t="str">
        <f t="shared" si="1352"/>
        <v/>
      </c>
      <c r="AM830" s="268" t="str">
        <f t="shared" si="1353"/>
        <v/>
      </c>
      <c r="AN830" s="268" t="str">
        <f t="shared" si="1354"/>
        <v/>
      </c>
      <c r="AO830" s="268" t="str">
        <f t="shared" si="1355"/>
        <v/>
      </c>
      <c r="AP830" s="268" t="str">
        <f t="shared" si="1356"/>
        <v/>
      </c>
      <c r="AQ830" s="268" t="str">
        <f t="shared" si="1357"/>
        <v/>
      </c>
      <c r="AR830" s="268" t="str">
        <f t="shared" si="1358"/>
        <v/>
      </c>
      <c r="AS830" s="268" t="str">
        <f t="shared" si="1359"/>
        <v/>
      </c>
      <c r="AT830" s="268" t="str">
        <f t="shared" si="1360"/>
        <v/>
      </c>
      <c r="AU830" s="268" t="str">
        <f t="shared" si="1361"/>
        <v/>
      </c>
      <c r="AV830" s="268" t="str">
        <f t="shared" si="1362"/>
        <v/>
      </c>
      <c r="AW830" s="268" t="str">
        <f t="shared" si="1363"/>
        <v/>
      </c>
      <c r="AX830" s="268" t="str">
        <f t="shared" si="1364"/>
        <v/>
      </c>
      <c r="AY830" s="268" t="str">
        <f t="shared" si="1365"/>
        <v/>
      </c>
      <c r="AZ830" s="268" t="str">
        <f t="shared" si="1366"/>
        <v/>
      </c>
      <c r="BA830" s="268">
        <f t="shared" si="1367"/>
        <v>1200</v>
      </c>
      <c r="BB830" s="268" t="str">
        <f t="shared" si="1368"/>
        <v/>
      </c>
      <c r="BC830" s="268" t="str">
        <f t="shared" si="1369"/>
        <v/>
      </c>
      <c r="BD830" s="268" t="str">
        <f t="shared" si="1370"/>
        <v/>
      </c>
      <c r="BE830" s="268" t="str">
        <f t="shared" si="1371"/>
        <v/>
      </c>
      <c r="BF830" s="268" t="str">
        <f t="shared" si="1372"/>
        <v/>
      </c>
      <c r="BG830" s="268" t="str">
        <f t="shared" si="1373"/>
        <v/>
      </c>
      <c r="BH830" s="268" t="str">
        <f t="shared" si="1374"/>
        <v/>
      </c>
      <c r="BI830" s="268" t="str">
        <f t="shared" si="1375"/>
        <v/>
      </c>
      <c r="BJ830" s="268" t="str">
        <f t="shared" si="1376"/>
        <v/>
      </c>
      <c r="BK830" s="268" t="str">
        <f t="shared" si="1377"/>
        <v/>
      </c>
      <c r="BL830" s="268" t="str">
        <f t="shared" si="1378"/>
        <v/>
      </c>
      <c r="BM830" s="268" t="str">
        <f t="shared" si="1379"/>
        <v/>
      </c>
      <c r="BN830" s="268" t="str">
        <f t="shared" si="1312"/>
        <v/>
      </c>
      <c r="BO830" s="268" t="str">
        <f t="shared" si="1313"/>
        <v/>
      </c>
      <c r="BP830" s="268" t="str">
        <f t="shared" si="1314"/>
        <v/>
      </c>
      <c r="BQ830" s="268" t="str">
        <f t="shared" si="1315"/>
        <v/>
      </c>
      <c r="BR830" s="268" t="str">
        <f t="shared" si="1316"/>
        <v/>
      </c>
      <c r="BS830" s="268" t="str">
        <f t="shared" si="1317"/>
        <v/>
      </c>
      <c r="BT830" s="268" t="str">
        <f t="shared" si="1380"/>
        <v/>
      </c>
      <c r="BU830" s="268" t="str">
        <f t="shared" si="1381"/>
        <v/>
      </c>
      <c r="BV830" s="247">
        <v>0.62</v>
      </c>
      <c r="BW830" s="729">
        <f t="shared" si="1382"/>
        <v>744</v>
      </c>
      <c r="BX830" s="730">
        <f t="shared" si="1383"/>
        <v>5766</v>
      </c>
      <c r="BY830" s="731" t="str">
        <f t="shared" si="1384"/>
        <v>SR</v>
      </c>
    </row>
    <row r="831" s="698" customFormat="1" customHeight="1" spans="1:77">
      <c r="A831" s="248">
        <v>46148</v>
      </c>
      <c r="B831" s="248">
        <v>46195</v>
      </c>
      <c r="C831" s="268" t="s">
        <v>819</v>
      </c>
      <c r="D831" s="268" t="s">
        <v>820</v>
      </c>
      <c r="E831" s="268" t="s">
        <v>98</v>
      </c>
      <c r="F831" s="343">
        <v>1200</v>
      </c>
      <c r="G831" s="268" t="s">
        <v>510</v>
      </c>
      <c r="H831" s="211" t="str">
        <f>IFERROR(VLOOKUP(E831,名称!A:E,4,0),"")</f>
        <v>三代</v>
      </c>
      <c r="I831" s="268" t="str">
        <f t="shared" si="1323"/>
        <v/>
      </c>
      <c r="J831" s="268" t="str">
        <f t="shared" si="1324"/>
        <v/>
      </c>
      <c r="K831" s="268" t="str">
        <f t="shared" si="1325"/>
        <v/>
      </c>
      <c r="L831" s="268" t="str">
        <f t="shared" si="1326"/>
        <v/>
      </c>
      <c r="M831" s="268" t="str">
        <f t="shared" si="1327"/>
        <v/>
      </c>
      <c r="N831" s="268" t="str">
        <f t="shared" si="1328"/>
        <v/>
      </c>
      <c r="O831" s="268" t="str">
        <f t="shared" si="1329"/>
        <v/>
      </c>
      <c r="P831" s="268" t="str">
        <f t="shared" si="1330"/>
        <v/>
      </c>
      <c r="Q831" s="268" t="str">
        <f t="shared" si="1331"/>
        <v/>
      </c>
      <c r="R831" s="268" t="str">
        <f t="shared" si="1332"/>
        <v/>
      </c>
      <c r="S831" s="268" t="str">
        <f t="shared" si="1333"/>
        <v/>
      </c>
      <c r="T831" s="268" t="str">
        <f t="shared" si="1334"/>
        <v/>
      </c>
      <c r="U831" s="268" t="str">
        <f t="shared" si="1335"/>
        <v/>
      </c>
      <c r="V831" s="268" t="str">
        <f t="shared" si="1336"/>
        <v/>
      </c>
      <c r="W831" s="268" t="str">
        <f t="shared" si="1337"/>
        <v/>
      </c>
      <c r="X831" s="268" t="str">
        <f t="shared" si="1338"/>
        <v/>
      </c>
      <c r="Y831" s="268" t="str">
        <f t="shared" si="1339"/>
        <v/>
      </c>
      <c r="Z831" s="268" t="str">
        <f t="shared" si="1340"/>
        <v/>
      </c>
      <c r="AA831" s="268" t="str">
        <f t="shared" si="1341"/>
        <v/>
      </c>
      <c r="AB831" s="268" t="str">
        <f t="shared" si="1342"/>
        <v/>
      </c>
      <c r="AC831" s="268" t="str">
        <f t="shared" si="1343"/>
        <v/>
      </c>
      <c r="AD831" s="268" t="str">
        <f t="shared" si="1344"/>
        <v/>
      </c>
      <c r="AE831" s="268" t="str">
        <f t="shared" si="1345"/>
        <v/>
      </c>
      <c r="AF831" s="268" t="str">
        <f t="shared" si="1346"/>
        <v/>
      </c>
      <c r="AG831" s="268" t="str">
        <f t="shared" si="1347"/>
        <v/>
      </c>
      <c r="AH831" s="268" t="str">
        <f t="shared" si="1348"/>
        <v/>
      </c>
      <c r="AI831" s="268" t="str">
        <f t="shared" si="1349"/>
        <v/>
      </c>
      <c r="AJ831" s="268" t="str">
        <f t="shared" si="1350"/>
        <v/>
      </c>
      <c r="AK831" s="268" t="str">
        <f t="shared" si="1351"/>
        <v/>
      </c>
      <c r="AL831" s="268" t="str">
        <f t="shared" si="1352"/>
        <v/>
      </c>
      <c r="AM831" s="268" t="str">
        <f t="shared" si="1353"/>
        <v/>
      </c>
      <c r="AN831" s="268" t="str">
        <f t="shared" si="1354"/>
        <v/>
      </c>
      <c r="AO831" s="268" t="str">
        <f t="shared" si="1355"/>
        <v/>
      </c>
      <c r="AP831" s="268" t="str">
        <f t="shared" si="1356"/>
        <v/>
      </c>
      <c r="AQ831" s="268" t="str">
        <f t="shared" si="1357"/>
        <v/>
      </c>
      <c r="AR831" s="268" t="str">
        <f t="shared" si="1358"/>
        <v/>
      </c>
      <c r="AS831" s="268" t="str">
        <f t="shared" si="1359"/>
        <v/>
      </c>
      <c r="AT831" s="268" t="str">
        <f t="shared" si="1360"/>
        <v/>
      </c>
      <c r="AU831" s="268" t="str">
        <f t="shared" si="1361"/>
        <v/>
      </c>
      <c r="AV831" s="268" t="str">
        <f t="shared" si="1362"/>
        <v/>
      </c>
      <c r="AW831" s="268" t="str">
        <f t="shared" si="1363"/>
        <v/>
      </c>
      <c r="AX831" s="268" t="str">
        <f t="shared" si="1364"/>
        <v/>
      </c>
      <c r="AY831" s="268" t="str">
        <f t="shared" si="1365"/>
        <v/>
      </c>
      <c r="AZ831" s="268" t="str">
        <f t="shared" si="1366"/>
        <v/>
      </c>
      <c r="BA831" s="268" t="str">
        <f t="shared" si="1367"/>
        <v/>
      </c>
      <c r="BB831" s="268">
        <f t="shared" si="1368"/>
        <v>1200</v>
      </c>
      <c r="BC831" s="268" t="str">
        <f t="shared" si="1369"/>
        <v/>
      </c>
      <c r="BD831" s="268" t="str">
        <f t="shared" si="1370"/>
        <v/>
      </c>
      <c r="BE831" s="268" t="str">
        <f t="shared" si="1371"/>
        <v/>
      </c>
      <c r="BF831" s="268" t="str">
        <f t="shared" si="1372"/>
        <v/>
      </c>
      <c r="BG831" s="268" t="str">
        <f t="shared" si="1373"/>
        <v/>
      </c>
      <c r="BH831" s="268" t="str">
        <f t="shared" si="1374"/>
        <v/>
      </c>
      <c r="BI831" s="268" t="str">
        <f t="shared" si="1375"/>
        <v/>
      </c>
      <c r="BJ831" s="268" t="str">
        <f t="shared" si="1376"/>
        <v/>
      </c>
      <c r="BK831" s="268" t="str">
        <f t="shared" si="1377"/>
        <v/>
      </c>
      <c r="BL831" s="268" t="str">
        <f t="shared" si="1378"/>
        <v/>
      </c>
      <c r="BM831" s="268" t="str">
        <f t="shared" si="1379"/>
        <v/>
      </c>
      <c r="BN831" s="268" t="str">
        <f t="shared" si="1312"/>
        <v/>
      </c>
      <c r="BO831" s="268" t="str">
        <f t="shared" si="1313"/>
        <v/>
      </c>
      <c r="BP831" s="268" t="str">
        <f t="shared" si="1314"/>
        <v/>
      </c>
      <c r="BQ831" s="268" t="str">
        <f t="shared" si="1315"/>
        <v/>
      </c>
      <c r="BR831" s="268" t="str">
        <f t="shared" si="1316"/>
        <v/>
      </c>
      <c r="BS831" s="268" t="str">
        <f t="shared" si="1317"/>
        <v/>
      </c>
      <c r="BT831" s="268" t="str">
        <f t="shared" si="1380"/>
        <v/>
      </c>
      <c r="BU831" s="268" t="str">
        <f t="shared" si="1381"/>
        <v/>
      </c>
      <c r="BV831" s="247">
        <v>1.58</v>
      </c>
      <c r="BW831" s="729">
        <f t="shared" si="1382"/>
        <v>1896</v>
      </c>
      <c r="BX831" s="730">
        <f t="shared" si="1383"/>
        <v>14694</v>
      </c>
      <c r="BY831" s="731" t="str">
        <f t="shared" si="1384"/>
        <v>SR</v>
      </c>
    </row>
    <row r="832" s="698" customFormat="1" customHeight="1" spans="1:77">
      <c r="A832" s="248">
        <v>46148</v>
      </c>
      <c r="B832" s="248">
        <v>46195</v>
      </c>
      <c r="C832" s="268" t="s">
        <v>819</v>
      </c>
      <c r="D832" s="268" t="s">
        <v>820</v>
      </c>
      <c r="E832" s="268" t="s">
        <v>94</v>
      </c>
      <c r="F832" s="343">
        <v>1440</v>
      </c>
      <c r="G832" s="268" t="s">
        <v>510</v>
      </c>
      <c r="H832" s="211" t="str">
        <f>IFERROR(VLOOKUP(E832,名称!A:E,4,0),"")</f>
        <v>三代</v>
      </c>
      <c r="I832" s="268" t="str">
        <f t="shared" si="1323"/>
        <v/>
      </c>
      <c r="J832" s="268" t="str">
        <f t="shared" si="1324"/>
        <v/>
      </c>
      <c r="K832" s="268" t="str">
        <f t="shared" si="1325"/>
        <v/>
      </c>
      <c r="L832" s="268" t="str">
        <f t="shared" si="1326"/>
        <v/>
      </c>
      <c r="M832" s="268" t="str">
        <f t="shared" si="1327"/>
        <v/>
      </c>
      <c r="N832" s="268" t="str">
        <f t="shared" si="1328"/>
        <v/>
      </c>
      <c r="O832" s="268" t="str">
        <f t="shared" si="1329"/>
        <v/>
      </c>
      <c r="P832" s="268" t="str">
        <f t="shared" si="1330"/>
        <v/>
      </c>
      <c r="Q832" s="268" t="str">
        <f t="shared" si="1331"/>
        <v/>
      </c>
      <c r="R832" s="268" t="str">
        <f t="shared" si="1332"/>
        <v/>
      </c>
      <c r="S832" s="268" t="str">
        <f t="shared" si="1333"/>
        <v/>
      </c>
      <c r="T832" s="268" t="str">
        <f t="shared" si="1334"/>
        <v/>
      </c>
      <c r="U832" s="268" t="str">
        <f t="shared" si="1335"/>
        <v/>
      </c>
      <c r="V832" s="268" t="str">
        <f t="shared" si="1336"/>
        <v/>
      </c>
      <c r="W832" s="268" t="str">
        <f t="shared" si="1337"/>
        <v/>
      </c>
      <c r="X832" s="268" t="str">
        <f t="shared" si="1338"/>
        <v/>
      </c>
      <c r="Y832" s="268" t="str">
        <f t="shared" si="1339"/>
        <v/>
      </c>
      <c r="Z832" s="268" t="str">
        <f t="shared" si="1340"/>
        <v/>
      </c>
      <c r="AA832" s="268" t="str">
        <f t="shared" si="1341"/>
        <v/>
      </c>
      <c r="AB832" s="268" t="str">
        <f t="shared" si="1342"/>
        <v/>
      </c>
      <c r="AC832" s="268" t="str">
        <f t="shared" si="1343"/>
        <v/>
      </c>
      <c r="AD832" s="268" t="str">
        <f t="shared" si="1344"/>
        <v/>
      </c>
      <c r="AE832" s="268" t="str">
        <f t="shared" si="1345"/>
        <v/>
      </c>
      <c r="AF832" s="268" t="str">
        <f t="shared" si="1346"/>
        <v/>
      </c>
      <c r="AG832" s="268" t="str">
        <f t="shared" si="1347"/>
        <v/>
      </c>
      <c r="AH832" s="268" t="str">
        <f t="shared" si="1348"/>
        <v/>
      </c>
      <c r="AI832" s="268" t="str">
        <f t="shared" si="1349"/>
        <v/>
      </c>
      <c r="AJ832" s="268" t="str">
        <f t="shared" si="1350"/>
        <v/>
      </c>
      <c r="AK832" s="268" t="str">
        <f t="shared" si="1351"/>
        <v/>
      </c>
      <c r="AL832" s="268" t="str">
        <f t="shared" si="1352"/>
        <v/>
      </c>
      <c r="AM832" s="268" t="str">
        <f t="shared" si="1353"/>
        <v/>
      </c>
      <c r="AN832" s="268" t="str">
        <f t="shared" si="1354"/>
        <v/>
      </c>
      <c r="AO832" s="268" t="str">
        <f t="shared" si="1355"/>
        <v/>
      </c>
      <c r="AP832" s="268" t="str">
        <f t="shared" si="1356"/>
        <v/>
      </c>
      <c r="AQ832" s="268" t="str">
        <f t="shared" si="1357"/>
        <v/>
      </c>
      <c r="AR832" s="268" t="str">
        <f t="shared" si="1358"/>
        <v/>
      </c>
      <c r="AS832" s="268" t="str">
        <f t="shared" si="1359"/>
        <v/>
      </c>
      <c r="AT832" s="268" t="str">
        <f t="shared" si="1360"/>
        <v/>
      </c>
      <c r="AU832" s="268" t="str">
        <f t="shared" si="1361"/>
        <v/>
      </c>
      <c r="AV832" s="268" t="str">
        <f t="shared" si="1362"/>
        <v/>
      </c>
      <c r="AW832" s="268" t="str">
        <f t="shared" si="1363"/>
        <v/>
      </c>
      <c r="AX832" s="268" t="str">
        <f t="shared" si="1364"/>
        <v/>
      </c>
      <c r="AY832" s="268">
        <f t="shared" si="1365"/>
        <v>1440</v>
      </c>
      <c r="AZ832" s="268" t="str">
        <f t="shared" si="1366"/>
        <v/>
      </c>
      <c r="BA832" s="268" t="str">
        <f t="shared" si="1367"/>
        <v/>
      </c>
      <c r="BB832" s="268" t="str">
        <f t="shared" si="1368"/>
        <v/>
      </c>
      <c r="BC832" s="268" t="str">
        <f t="shared" si="1369"/>
        <v/>
      </c>
      <c r="BD832" s="268" t="str">
        <f t="shared" si="1370"/>
        <v/>
      </c>
      <c r="BE832" s="268" t="str">
        <f t="shared" si="1371"/>
        <v/>
      </c>
      <c r="BF832" s="268" t="str">
        <f t="shared" si="1372"/>
        <v/>
      </c>
      <c r="BG832" s="268" t="str">
        <f t="shared" si="1373"/>
        <v/>
      </c>
      <c r="BH832" s="268" t="str">
        <f t="shared" si="1374"/>
        <v/>
      </c>
      <c r="BI832" s="268" t="str">
        <f t="shared" si="1375"/>
        <v/>
      </c>
      <c r="BJ832" s="268" t="str">
        <f t="shared" si="1376"/>
        <v/>
      </c>
      <c r="BK832" s="268" t="str">
        <f t="shared" si="1377"/>
        <v/>
      </c>
      <c r="BL832" s="268" t="str">
        <f t="shared" si="1378"/>
        <v/>
      </c>
      <c r="BM832" s="268" t="str">
        <f t="shared" si="1379"/>
        <v/>
      </c>
      <c r="BN832" s="268" t="str">
        <f t="shared" si="1312"/>
        <v/>
      </c>
      <c r="BO832" s="268" t="str">
        <f t="shared" si="1313"/>
        <v/>
      </c>
      <c r="BP832" s="268" t="str">
        <f t="shared" si="1314"/>
        <v/>
      </c>
      <c r="BQ832" s="268" t="str">
        <f t="shared" si="1315"/>
        <v/>
      </c>
      <c r="BR832" s="268" t="str">
        <f t="shared" si="1316"/>
        <v/>
      </c>
      <c r="BS832" s="268" t="str">
        <f t="shared" si="1317"/>
        <v/>
      </c>
      <c r="BT832" s="268" t="str">
        <f t="shared" si="1380"/>
        <v/>
      </c>
      <c r="BU832" s="268" t="str">
        <f t="shared" si="1381"/>
        <v/>
      </c>
      <c r="BV832" s="247">
        <v>0.62</v>
      </c>
      <c r="BW832" s="729">
        <f t="shared" si="1382"/>
        <v>892.8</v>
      </c>
      <c r="BX832" s="730">
        <f t="shared" si="1383"/>
        <v>6919.2</v>
      </c>
      <c r="BY832" s="731" t="str">
        <f t="shared" si="1384"/>
        <v>SR</v>
      </c>
    </row>
    <row r="833" s="698" customFormat="1" customHeight="1" spans="1:77">
      <c r="A833" s="248">
        <v>46148</v>
      </c>
      <c r="B833" s="248">
        <v>46195</v>
      </c>
      <c r="C833" s="268" t="s">
        <v>819</v>
      </c>
      <c r="D833" s="268" t="s">
        <v>820</v>
      </c>
      <c r="E833" s="268" t="s">
        <v>92</v>
      </c>
      <c r="F833" s="343">
        <v>1200</v>
      </c>
      <c r="G833" s="268" t="s">
        <v>510</v>
      </c>
      <c r="H833" s="211" t="str">
        <f>IFERROR(VLOOKUP(E833,名称!A:E,4,0),"")</f>
        <v>三代</v>
      </c>
      <c r="I833" s="268" t="str">
        <f t="shared" si="1323"/>
        <v/>
      </c>
      <c r="J833" s="268" t="str">
        <f t="shared" si="1324"/>
        <v/>
      </c>
      <c r="K833" s="268" t="str">
        <f t="shared" si="1325"/>
        <v/>
      </c>
      <c r="L833" s="268" t="str">
        <f t="shared" si="1326"/>
        <v/>
      </c>
      <c r="M833" s="268" t="str">
        <f t="shared" si="1327"/>
        <v/>
      </c>
      <c r="N833" s="268" t="str">
        <f t="shared" si="1328"/>
        <v/>
      </c>
      <c r="O833" s="268" t="str">
        <f t="shared" si="1329"/>
        <v/>
      </c>
      <c r="P833" s="268" t="str">
        <f t="shared" si="1330"/>
        <v/>
      </c>
      <c r="Q833" s="268" t="str">
        <f t="shared" si="1331"/>
        <v/>
      </c>
      <c r="R833" s="268" t="str">
        <f t="shared" si="1332"/>
        <v/>
      </c>
      <c r="S833" s="268" t="str">
        <f t="shared" si="1333"/>
        <v/>
      </c>
      <c r="T833" s="268" t="str">
        <f t="shared" si="1334"/>
        <v/>
      </c>
      <c r="U833" s="268" t="str">
        <f t="shared" si="1335"/>
        <v/>
      </c>
      <c r="V833" s="268" t="str">
        <f t="shared" si="1336"/>
        <v/>
      </c>
      <c r="W833" s="268" t="str">
        <f t="shared" si="1337"/>
        <v/>
      </c>
      <c r="X833" s="268" t="str">
        <f t="shared" si="1338"/>
        <v/>
      </c>
      <c r="Y833" s="268" t="str">
        <f t="shared" si="1339"/>
        <v/>
      </c>
      <c r="Z833" s="268" t="str">
        <f t="shared" si="1340"/>
        <v/>
      </c>
      <c r="AA833" s="268" t="str">
        <f t="shared" si="1341"/>
        <v/>
      </c>
      <c r="AB833" s="268" t="str">
        <f t="shared" si="1342"/>
        <v/>
      </c>
      <c r="AC833" s="268" t="str">
        <f t="shared" si="1343"/>
        <v/>
      </c>
      <c r="AD833" s="268" t="str">
        <f t="shared" si="1344"/>
        <v/>
      </c>
      <c r="AE833" s="268" t="str">
        <f t="shared" si="1345"/>
        <v/>
      </c>
      <c r="AF833" s="268" t="str">
        <f t="shared" si="1346"/>
        <v/>
      </c>
      <c r="AG833" s="268" t="str">
        <f t="shared" si="1347"/>
        <v/>
      </c>
      <c r="AH833" s="268" t="str">
        <f t="shared" si="1348"/>
        <v/>
      </c>
      <c r="AI833" s="268" t="str">
        <f t="shared" si="1349"/>
        <v/>
      </c>
      <c r="AJ833" s="268" t="str">
        <f t="shared" si="1350"/>
        <v/>
      </c>
      <c r="AK833" s="268" t="str">
        <f t="shared" si="1351"/>
        <v/>
      </c>
      <c r="AL833" s="268" t="str">
        <f t="shared" si="1352"/>
        <v/>
      </c>
      <c r="AM833" s="268" t="str">
        <f t="shared" si="1353"/>
        <v/>
      </c>
      <c r="AN833" s="268" t="str">
        <f t="shared" si="1354"/>
        <v/>
      </c>
      <c r="AO833" s="268" t="str">
        <f t="shared" si="1355"/>
        <v/>
      </c>
      <c r="AP833" s="268" t="str">
        <f t="shared" si="1356"/>
        <v/>
      </c>
      <c r="AQ833" s="268" t="str">
        <f t="shared" si="1357"/>
        <v/>
      </c>
      <c r="AR833" s="268" t="str">
        <f t="shared" si="1358"/>
        <v/>
      </c>
      <c r="AS833" s="268" t="str">
        <f t="shared" si="1359"/>
        <v/>
      </c>
      <c r="AT833" s="268" t="str">
        <f t="shared" si="1360"/>
        <v/>
      </c>
      <c r="AU833" s="268" t="str">
        <f t="shared" si="1361"/>
        <v/>
      </c>
      <c r="AV833" s="268" t="str">
        <f t="shared" si="1362"/>
        <v/>
      </c>
      <c r="AW833" s="268" t="str">
        <f t="shared" si="1363"/>
        <v/>
      </c>
      <c r="AX833" s="268">
        <f t="shared" si="1364"/>
        <v>1200</v>
      </c>
      <c r="AY833" s="268" t="str">
        <f t="shared" si="1365"/>
        <v/>
      </c>
      <c r="AZ833" s="268" t="str">
        <f t="shared" si="1366"/>
        <v/>
      </c>
      <c r="BA833" s="268" t="str">
        <f t="shared" si="1367"/>
        <v/>
      </c>
      <c r="BB833" s="268" t="str">
        <f t="shared" si="1368"/>
        <v/>
      </c>
      <c r="BC833" s="268" t="str">
        <f t="shared" si="1369"/>
        <v/>
      </c>
      <c r="BD833" s="268" t="str">
        <f t="shared" si="1370"/>
        <v/>
      </c>
      <c r="BE833" s="268" t="str">
        <f t="shared" si="1371"/>
        <v/>
      </c>
      <c r="BF833" s="268" t="str">
        <f t="shared" si="1372"/>
        <v/>
      </c>
      <c r="BG833" s="268" t="str">
        <f t="shared" si="1373"/>
        <v/>
      </c>
      <c r="BH833" s="268" t="str">
        <f t="shared" si="1374"/>
        <v/>
      </c>
      <c r="BI833" s="268" t="str">
        <f t="shared" si="1375"/>
        <v/>
      </c>
      <c r="BJ833" s="268" t="str">
        <f t="shared" si="1376"/>
        <v/>
      </c>
      <c r="BK833" s="268" t="str">
        <f t="shared" si="1377"/>
        <v/>
      </c>
      <c r="BL833" s="268" t="str">
        <f t="shared" si="1378"/>
        <v/>
      </c>
      <c r="BM833" s="268" t="str">
        <f t="shared" si="1379"/>
        <v/>
      </c>
      <c r="BN833" s="268" t="str">
        <f t="shared" si="1312"/>
        <v/>
      </c>
      <c r="BO833" s="268" t="str">
        <f t="shared" si="1313"/>
        <v/>
      </c>
      <c r="BP833" s="268" t="str">
        <f t="shared" si="1314"/>
        <v/>
      </c>
      <c r="BQ833" s="268" t="str">
        <f t="shared" si="1315"/>
        <v/>
      </c>
      <c r="BR833" s="268" t="str">
        <f t="shared" si="1316"/>
        <v/>
      </c>
      <c r="BS833" s="268" t="str">
        <f t="shared" si="1317"/>
        <v/>
      </c>
      <c r="BT833" s="268" t="str">
        <f t="shared" si="1380"/>
        <v/>
      </c>
      <c r="BU833" s="268" t="str">
        <f t="shared" si="1381"/>
        <v/>
      </c>
      <c r="BV833" s="247">
        <v>0.86</v>
      </c>
      <c r="BW833" s="729">
        <f t="shared" si="1382"/>
        <v>1032</v>
      </c>
      <c r="BX833" s="730">
        <f t="shared" si="1383"/>
        <v>7998</v>
      </c>
      <c r="BY833" s="731" t="str">
        <f t="shared" si="1384"/>
        <v>SR</v>
      </c>
    </row>
    <row r="834" s="698" customFormat="1" customHeight="1" spans="1:77">
      <c r="A834" s="248">
        <v>46148</v>
      </c>
      <c r="B834" s="248">
        <v>46195</v>
      </c>
      <c r="C834" s="268" t="s">
        <v>819</v>
      </c>
      <c r="D834" s="268" t="s">
        <v>820</v>
      </c>
      <c r="E834" s="268" t="s">
        <v>95</v>
      </c>
      <c r="F834" s="343">
        <v>960</v>
      </c>
      <c r="G834" s="268" t="s">
        <v>510</v>
      </c>
      <c r="H834" s="211" t="str">
        <f>IFERROR(VLOOKUP(E834,名称!A:E,4,0),"")</f>
        <v>三代</v>
      </c>
      <c r="I834" s="268" t="str">
        <f t="shared" si="1323"/>
        <v/>
      </c>
      <c r="J834" s="268" t="str">
        <f t="shared" si="1324"/>
        <v/>
      </c>
      <c r="K834" s="268" t="str">
        <f t="shared" si="1325"/>
        <v/>
      </c>
      <c r="L834" s="268" t="str">
        <f t="shared" si="1326"/>
        <v/>
      </c>
      <c r="M834" s="268" t="str">
        <f t="shared" si="1327"/>
        <v/>
      </c>
      <c r="N834" s="268" t="str">
        <f t="shared" si="1328"/>
        <v/>
      </c>
      <c r="O834" s="268" t="str">
        <f t="shared" si="1329"/>
        <v/>
      </c>
      <c r="P834" s="268" t="str">
        <f t="shared" si="1330"/>
        <v/>
      </c>
      <c r="Q834" s="268" t="str">
        <f t="shared" si="1331"/>
        <v/>
      </c>
      <c r="R834" s="268" t="str">
        <f t="shared" si="1332"/>
        <v/>
      </c>
      <c r="S834" s="268" t="str">
        <f t="shared" si="1333"/>
        <v/>
      </c>
      <c r="T834" s="268" t="str">
        <f t="shared" si="1334"/>
        <v/>
      </c>
      <c r="U834" s="268" t="str">
        <f t="shared" si="1335"/>
        <v/>
      </c>
      <c r="V834" s="268" t="str">
        <f t="shared" si="1336"/>
        <v/>
      </c>
      <c r="W834" s="268" t="str">
        <f t="shared" si="1337"/>
        <v/>
      </c>
      <c r="X834" s="268" t="str">
        <f t="shared" si="1338"/>
        <v/>
      </c>
      <c r="Y834" s="268" t="str">
        <f t="shared" si="1339"/>
        <v/>
      </c>
      <c r="Z834" s="268" t="str">
        <f t="shared" si="1340"/>
        <v/>
      </c>
      <c r="AA834" s="268" t="str">
        <f t="shared" si="1341"/>
        <v/>
      </c>
      <c r="AB834" s="268" t="str">
        <f t="shared" si="1342"/>
        <v/>
      </c>
      <c r="AC834" s="268" t="str">
        <f t="shared" si="1343"/>
        <v/>
      </c>
      <c r="AD834" s="268" t="str">
        <f t="shared" si="1344"/>
        <v/>
      </c>
      <c r="AE834" s="268" t="str">
        <f t="shared" si="1345"/>
        <v/>
      </c>
      <c r="AF834" s="268" t="str">
        <f t="shared" si="1346"/>
        <v/>
      </c>
      <c r="AG834" s="268" t="str">
        <f t="shared" si="1347"/>
        <v/>
      </c>
      <c r="AH834" s="268" t="str">
        <f t="shared" si="1348"/>
        <v/>
      </c>
      <c r="AI834" s="268" t="str">
        <f t="shared" si="1349"/>
        <v/>
      </c>
      <c r="AJ834" s="268" t="str">
        <f t="shared" si="1350"/>
        <v/>
      </c>
      <c r="AK834" s="268" t="str">
        <f t="shared" si="1351"/>
        <v/>
      </c>
      <c r="AL834" s="268" t="str">
        <f t="shared" si="1352"/>
        <v/>
      </c>
      <c r="AM834" s="268" t="str">
        <f t="shared" si="1353"/>
        <v/>
      </c>
      <c r="AN834" s="268" t="str">
        <f t="shared" si="1354"/>
        <v/>
      </c>
      <c r="AO834" s="268" t="str">
        <f t="shared" si="1355"/>
        <v/>
      </c>
      <c r="AP834" s="268" t="str">
        <f t="shared" si="1356"/>
        <v/>
      </c>
      <c r="AQ834" s="268" t="str">
        <f t="shared" si="1357"/>
        <v/>
      </c>
      <c r="AR834" s="268" t="str">
        <f t="shared" si="1358"/>
        <v/>
      </c>
      <c r="AS834" s="268" t="str">
        <f t="shared" si="1359"/>
        <v/>
      </c>
      <c r="AT834" s="268" t="str">
        <f t="shared" si="1360"/>
        <v/>
      </c>
      <c r="AU834" s="268" t="str">
        <f t="shared" si="1361"/>
        <v/>
      </c>
      <c r="AV834" s="268" t="str">
        <f t="shared" si="1362"/>
        <v/>
      </c>
      <c r="AW834" s="268" t="str">
        <f t="shared" si="1363"/>
        <v/>
      </c>
      <c r="AX834" s="268" t="str">
        <f t="shared" si="1364"/>
        <v/>
      </c>
      <c r="AY834" s="268" t="str">
        <f t="shared" si="1365"/>
        <v/>
      </c>
      <c r="AZ834" s="268">
        <f t="shared" si="1366"/>
        <v>960</v>
      </c>
      <c r="BA834" s="268" t="str">
        <f t="shared" si="1367"/>
        <v/>
      </c>
      <c r="BB834" s="268" t="str">
        <f t="shared" si="1368"/>
        <v/>
      </c>
      <c r="BC834" s="268" t="str">
        <f t="shared" si="1369"/>
        <v/>
      </c>
      <c r="BD834" s="268" t="str">
        <f t="shared" si="1370"/>
        <v/>
      </c>
      <c r="BE834" s="268" t="str">
        <f t="shared" si="1371"/>
        <v/>
      </c>
      <c r="BF834" s="268" t="str">
        <f t="shared" si="1372"/>
        <v/>
      </c>
      <c r="BG834" s="268" t="str">
        <f t="shared" si="1373"/>
        <v/>
      </c>
      <c r="BH834" s="268" t="str">
        <f t="shared" si="1374"/>
        <v/>
      </c>
      <c r="BI834" s="268" t="str">
        <f t="shared" si="1375"/>
        <v/>
      </c>
      <c r="BJ834" s="268" t="str">
        <f t="shared" si="1376"/>
        <v/>
      </c>
      <c r="BK834" s="268" t="str">
        <f t="shared" si="1377"/>
        <v/>
      </c>
      <c r="BL834" s="268" t="str">
        <f t="shared" si="1378"/>
        <v/>
      </c>
      <c r="BM834" s="268" t="str">
        <f t="shared" si="1379"/>
        <v/>
      </c>
      <c r="BN834" s="268" t="str">
        <f t="shared" si="1312"/>
        <v/>
      </c>
      <c r="BO834" s="268" t="str">
        <f t="shared" si="1313"/>
        <v/>
      </c>
      <c r="BP834" s="268" t="str">
        <f t="shared" si="1314"/>
        <v/>
      </c>
      <c r="BQ834" s="268" t="str">
        <f t="shared" si="1315"/>
        <v/>
      </c>
      <c r="BR834" s="268" t="str">
        <f t="shared" si="1316"/>
        <v/>
      </c>
      <c r="BS834" s="268" t="str">
        <f t="shared" si="1317"/>
        <v/>
      </c>
      <c r="BT834" s="268" t="str">
        <f t="shared" si="1380"/>
        <v/>
      </c>
      <c r="BU834" s="268" t="str">
        <f t="shared" si="1381"/>
        <v/>
      </c>
      <c r="BV834" s="247">
        <v>3.09</v>
      </c>
      <c r="BW834" s="729">
        <f t="shared" si="1382"/>
        <v>2966.4</v>
      </c>
      <c r="BX834" s="730">
        <f t="shared" si="1383"/>
        <v>22989.6</v>
      </c>
      <c r="BY834" s="731" t="str">
        <f t="shared" si="1384"/>
        <v>SR</v>
      </c>
    </row>
    <row r="835" s="698" customFormat="1" customHeight="1" spans="1:77">
      <c r="A835" s="248">
        <v>46148</v>
      </c>
      <c r="B835" s="248">
        <v>46195</v>
      </c>
      <c r="C835" s="268" t="s">
        <v>819</v>
      </c>
      <c r="D835" s="268" t="s">
        <v>820</v>
      </c>
      <c r="E835" s="268" t="s">
        <v>179</v>
      </c>
      <c r="F835" s="343">
        <v>1440</v>
      </c>
      <c r="G835" s="268" t="s">
        <v>510</v>
      </c>
      <c r="H835" s="211" t="str">
        <f>IFERROR(VLOOKUP(E835,名称!A:E,4,0),"")</f>
        <v>三代</v>
      </c>
      <c r="I835" s="268" t="str">
        <f t="shared" si="1323"/>
        <v/>
      </c>
      <c r="J835" s="268" t="str">
        <f t="shared" si="1324"/>
        <v/>
      </c>
      <c r="K835" s="268" t="str">
        <f t="shared" si="1325"/>
        <v/>
      </c>
      <c r="L835" s="268" t="str">
        <f t="shared" si="1326"/>
        <v/>
      </c>
      <c r="M835" s="268" t="str">
        <f t="shared" si="1327"/>
        <v/>
      </c>
      <c r="N835" s="268" t="str">
        <f t="shared" si="1328"/>
        <v/>
      </c>
      <c r="O835" s="268" t="str">
        <f t="shared" si="1329"/>
        <v/>
      </c>
      <c r="P835" s="268" t="str">
        <f t="shared" si="1330"/>
        <v/>
      </c>
      <c r="Q835" s="268" t="str">
        <f t="shared" si="1331"/>
        <v/>
      </c>
      <c r="R835" s="268" t="str">
        <f t="shared" si="1332"/>
        <v/>
      </c>
      <c r="S835" s="268" t="str">
        <f t="shared" si="1333"/>
        <v/>
      </c>
      <c r="T835" s="268" t="str">
        <f t="shared" si="1334"/>
        <v/>
      </c>
      <c r="U835" s="268" t="str">
        <f t="shared" si="1335"/>
        <v/>
      </c>
      <c r="V835" s="268" t="str">
        <f t="shared" si="1336"/>
        <v/>
      </c>
      <c r="W835" s="268" t="str">
        <f t="shared" si="1337"/>
        <v/>
      </c>
      <c r="X835" s="268" t="str">
        <f t="shared" si="1338"/>
        <v/>
      </c>
      <c r="Y835" s="268" t="str">
        <f t="shared" si="1339"/>
        <v/>
      </c>
      <c r="Z835" s="268" t="str">
        <f t="shared" si="1340"/>
        <v/>
      </c>
      <c r="AA835" s="268" t="str">
        <f t="shared" si="1341"/>
        <v/>
      </c>
      <c r="AB835" s="268" t="str">
        <f t="shared" si="1342"/>
        <v/>
      </c>
      <c r="AC835" s="268" t="str">
        <f t="shared" si="1343"/>
        <v/>
      </c>
      <c r="AD835" s="268" t="str">
        <f t="shared" si="1344"/>
        <v/>
      </c>
      <c r="AE835" s="268" t="str">
        <f t="shared" si="1345"/>
        <v/>
      </c>
      <c r="AF835" s="268" t="str">
        <f t="shared" si="1346"/>
        <v/>
      </c>
      <c r="AG835" s="268" t="str">
        <f t="shared" si="1347"/>
        <v/>
      </c>
      <c r="AH835" s="268" t="str">
        <f t="shared" si="1348"/>
        <v/>
      </c>
      <c r="AI835" s="268" t="str">
        <f t="shared" si="1349"/>
        <v/>
      </c>
      <c r="AJ835" s="268" t="str">
        <f t="shared" si="1350"/>
        <v/>
      </c>
      <c r="AK835" s="268" t="str">
        <f t="shared" si="1351"/>
        <v/>
      </c>
      <c r="AL835" s="268" t="str">
        <f t="shared" si="1352"/>
        <v/>
      </c>
      <c r="AM835" s="268" t="str">
        <f t="shared" si="1353"/>
        <v/>
      </c>
      <c r="AN835" s="268" t="str">
        <f t="shared" si="1354"/>
        <v/>
      </c>
      <c r="AO835" s="268">
        <f t="shared" si="1355"/>
        <v>1440</v>
      </c>
      <c r="AP835" s="268" t="str">
        <f t="shared" si="1356"/>
        <v/>
      </c>
      <c r="AQ835" s="268" t="str">
        <f t="shared" si="1357"/>
        <v/>
      </c>
      <c r="AR835" s="268" t="str">
        <f t="shared" si="1358"/>
        <v/>
      </c>
      <c r="AS835" s="268" t="str">
        <f t="shared" si="1359"/>
        <v/>
      </c>
      <c r="AT835" s="268" t="str">
        <f t="shared" si="1360"/>
        <v/>
      </c>
      <c r="AU835" s="268" t="str">
        <f t="shared" si="1361"/>
        <v/>
      </c>
      <c r="AV835" s="268" t="str">
        <f t="shared" si="1362"/>
        <v/>
      </c>
      <c r="AW835" s="268" t="str">
        <f t="shared" si="1363"/>
        <v/>
      </c>
      <c r="AX835" s="268" t="str">
        <f t="shared" si="1364"/>
        <v/>
      </c>
      <c r="AY835" s="268" t="str">
        <f t="shared" si="1365"/>
        <v/>
      </c>
      <c r="AZ835" s="268" t="str">
        <f t="shared" si="1366"/>
        <v/>
      </c>
      <c r="BA835" s="268" t="str">
        <f t="shared" si="1367"/>
        <v/>
      </c>
      <c r="BB835" s="268" t="str">
        <f t="shared" si="1368"/>
        <v/>
      </c>
      <c r="BC835" s="268" t="str">
        <f t="shared" si="1369"/>
        <v/>
      </c>
      <c r="BD835" s="268" t="str">
        <f t="shared" si="1370"/>
        <v/>
      </c>
      <c r="BE835" s="268" t="str">
        <f t="shared" si="1371"/>
        <v/>
      </c>
      <c r="BF835" s="268" t="str">
        <f t="shared" si="1372"/>
        <v/>
      </c>
      <c r="BG835" s="268" t="str">
        <f t="shared" si="1373"/>
        <v/>
      </c>
      <c r="BH835" s="268" t="str">
        <f t="shared" si="1374"/>
        <v/>
      </c>
      <c r="BI835" s="268" t="str">
        <f t="shared" si="1375"/>
        <v/>
      </c>
      <c r="BJ835" s="268" t="str">
        <f t="shared" si="1376"/>
        <v/>
      </c>
      <c r="BK835" s="268" t="str">
        <f t="shared" si="1377"/>
        <v/>
      </c>
      <c r="BL835" s="268" t="str">
        <f t="shared" si="1378"/>
        <v/>
      </c>
      <c r="BM835" s="268" t="str">
        <f t="shared" si="1379"/>
        <v/>
      </c>
      <c r="BN835" s="268" t="str">
        <f t="shared" si="1312"/>
        <v/>
      </c>
      <c r="BO835" s="268" t="str">
        <f t="shared" si="1313"/>
        <v/>
      </c>
      <c r="BP835" s="268" t="str">
        <f t="shared" si="1314"/>
        <v/>
      </c>
      <c r="BQ835" s="268" t="str">
        <f t="shared" si="1315"/>
        <v/>
      </c>
      <c r="BR835" s="268" t="str">
        <f t="shared" si="1316"/>
        <v/>
      </c>
      <c r="BS835" s="268" t="str">
        <f t="shared" si="1317"/>
        <v/>
      </c>
      <c r="BT835" s="268" t="str">
        <f t="shared" si="1380"/>
        <v/>
      </c>
      <c r="BU835" s="268" t="str">
        <f t="shared" si="1381"/>
        <v/>
      </c>
      <c r="BV835" s="247">
        <v>0.6</v>
      </c>
      <c r="BW835" s="729">
        <f t="shared" si="1382"/>
        <v>864</v>
      </c>
      <c r="BX835" s="730">
        <f t="shared" si="1383"/>
        <v>6696</v>
      </c>
      <c r="BY835" s="731" t="str">
        <f t="shared" si="1384"/>
        <v>SR</v>
      </c>
    </row>
    <row r="836" s="698" customFormat="1" customHeight="1" spans="1:77">
      <c r="A836" s="248">
        <v>46148</v>
      </c>
      <c r="B836" s="248">
        <v>46195</v>
      </c>
      <c r="C836" s="268" t="s">
        <v>819</v>
      </c>
      <c r="D836" s="268" t="s">
        <v>820</v>
      </c>
      <c r="E836" s="268" t="s">
        <v>119</v>
      </c>
      <c r="F836" s="343">
        <v>2040</v>
      </c>
      <c r="G836" s="268" t="s">
        <v>510</v>
      </c>
      <c r="H836" s="211" t="str">
        <f>IFERROR(VLOOKUP(E836,名称!A:E,4,0),"")</f>
        <v>三代</v>
      </c>
      <c r="I836" s="268" t="str">
        <f t="shared" si="1323"/>
        <v/>
      </c>
      <c r="J836" s="268" t="str">
        <f t="shared" si="1324"/>
        <v/>
      </c>
      <c r="K836" s="268" t="str">
        <f t="shared" si="1325"/>
        <v/>
      </c>
      <c r="L836" s="268" t="str">
        <f t="shared" si="1326"/>
        <v/>
      </c>
      <c r="M836" s="268" t="str">
        <f t="shared" si="1327"/>
        <v/>
      </c>
      <c r="N836" s="268" t="str">
        <f t="shared" si="1328"/>
        <v/>
      </c>
      <c r="O836" s="268" t="str">
        <f t="shared" si="1329"/>
        <v/>
      </c>
      <c r="P836" s="268" t="str">
        <f t="shared" si="1330"/>
        <v/>
      </c>
      <c r="Q836" s="268" t="str">
        <f t="shared" si="1331"/>
        <v/>
      </c>
      <c r="R836" s="268" t="str">
        <f t="shared" si="1332"/>
        <v/>
      </c>
      <c r="S836" s="268" t="str">
        <f t="shared" si="1333"/>
        <v/>
      </c>
      <c r="T836" s="268" t="str">
        <f t="shared" si="1334"/>
        <v/>
      </c>
      <c r="U836" s="268" t="str">
        <f t="shared" si="1335"/>
        <v/>
      </c>
      <c r="V836" s="268" t="str">
        <f t="shared" si="1336"/>
        <v/>
      </c>
      <c r="W836" s="268" t="str">
        <f t="shared" si="1337"/>
        <v/>
      </c>
      <c r="X836" s="268" t="str">
        <f t="shared" si="1338"/>
        <v/>
      </c>
      <c r="Y836" s="268" t="str">
        <f t="shared" si="1339"/>
        <v/>
      </c>
      <c r="Z836" s="268" t="str">
        <f t="shared" si="1340"/>
        <v/>
      </c>
      <c r="AA836" s="268" t="str">
        <f t="shared" si="1341"/>
        <v/>
      </c>
      <c r="AB836" s="268" t="str">
        <f t="shared" si="1342"/>
        <v/>
      </c>
      <c r="AC836" s="268" t="str">
        <f t="shared" si="1343"/>
        <v/>
      </c>
      <c r="AD836" s="268" t="str">
        <f t="shared" si="1344"/>
        <v/>
      </c>
      <c r="AE836" s="268" t="str">
        <f t="shared" si="1345"/>
        <v/>
      </c>
      <c r="AF836" s="268" t="str">
        <f t="shared" si="1346"/>
        <v/>
      </c>
      <c r="AG836" s="268" t="str">
        <f t="shared" si="1347"/>
        <v/>
      </c>
      <c r="AH836" s="268" t="str">
        <f t="shared" si="1348"/>
        <v/>
      </c>
      <c r="AI836" s="268" t="str">
        <f t="shared" si="1349"/>
        <v/>
      </c>
      <c r="AJ836" s="268" t="str">
        <f t="shared" si="1350"/>
        <v/>
      </c>
      <c r="AK836" s="268" t="str">
        <f t="shared" si="1351"/>
        <v/>
      </c>
      <c r="AL836" s="268" t="str">
        <f t="shared" si="1352"/>
        <v/>
      </c>
      <c r="AM836" s="268" t="str">
        <f t="shared" si="1353"/>
        <v/>
      </c>
      <c r="AN836" s="268" t="str">
        <f t="shared" si="1354"/>
        <v/>
      </c>
      <c r="AO836" s="268" t="str">
        <f t="shared" si="1355"/>
        <v/>
      </c>
      <c r="AP836" s="268">
        <f t="shared" si="1356"/>
        <v>2040</v>
      </c>
      <c r="AQ836" s="268" t="str">
        <f t="shared" si="1357"/>
        <v/>
      </c>
      <c r="AR836" s="268" t="str">
        <f t="shared" si="1358"/>
        <v/>
      </c>
      <c r="AS836" s="268" t="str">
        <f t="shared" si="1359"/>
        <v/>
      </c>
      <c r="AT836" s="268" t="str">
        <f t="shared" si="1360"/>
        <v/>
      </c>
      <c r="AU836" s="268" t="str">
        <f t="shared" si="1361"/>
        <v/>
      </c>
      <c r="AV836" s="268" t="str">
        <f t="shared" si="1362"/>
        <v/>
      </c>
      <c r="AW836" s="268" t="str">
        <f t="shared" si="1363"/>
        <v/>
      </c>
      <c r="AX836" s="268" t="str">
        <f t="shared" si="1364"/>
        <v/>
      </c>
      <c r="AY836" s="268" t="str">
        <f t="shared" si="1365"/>
        <v/>
      </c>
      <c r="AZ836" s="268" t="str">
        <f t="shared" si="1366"/>
        <v/>
      </c>
      <c r="BA836" s="268" t="str">
        <f t="shared" si="1367"/>
        <v/>
      </c>
      <c r="BB836" s="268" t="str">
        <f t="shared" si="1368"/>
        <v/>
      </c>
      <c r="BC836" s="268" t="str">
        <f t="shared" si="1369"/>
        <v/>
      </c>
      <c r="BD836" s="268" t="str">
        <f t="shared" si="1370"/>
        <v/>
      </c>
      <c r="BE836" s="268" t="str">
        <f t="shared" si="1371"/>
        <v/>
      </c>
      <c r="BF836" s="268" t="str">
        <f t="shared" si="1372"/>
        <v/>
      </c>
      <c r="BG836" s="268" t="str">
        <f t="shared" si="1373"/>
        <v/>
      </c>
      <c r="BH836" s="268" t="str">
        <f t="shared" si="1374"/>
        <v/>
      </c>
      <c r="BI836" s="268" t="str">
        <f t="shared" si="1375"/>
        <v/>
      </c>
      <c r="BJ836" s="268" t="str">
        <f t="shared" si="1376"/>
        <v/>
      </c>
      <c r="BK836" s="268" t="str">
        <f t="shared" si="1377"/>
        <v/>
      </c>
      <c r="BL836" s="268" t="str">
        <f t="shared" si="1378"/>
        <v/>
      </c>
      <c r="BM836" s="268" t="str">
        <f t="shared" si="1379"/>
        <v/>
      </c>
      <c r="BN836" s="268" t="str">
        <f t="shared" si="1312"/>
        <v/>
      </c>
      <c r="BO836" s="268" t="str">
        <f t="shared" si="1313"/>
        <v/>
      </c>
      <c r="BP836" s="268" t="str">
        <f t="shared" si="1314"/>
        <v/>
      </c>
      <c r="BQ836" s="268" t="str">
        <f t="shared" si="1315"/>
        <v/>
      </c>
      <c r="BR836" s="268" t="str">
        <f t="shared" si="1316"/>
        <v/>
      </c>
      <c r="BS836" s="268" t="str">
        <f t="shared" si="1317"/>
        <v/>
      </c>
      <c r="BT836" s="268" t="str">
        <f t="shared" si="1380"/>
        <v/>
      </c>
      <c r="BU836" s="268" t="str">
        <f t="shared" si="1381"/>
        <v/>
      </c>
      <c r="BV836" s="247">
        <v>0.61</v>
      </c>
      <c r="BW836" s="729">
        <f t="shared" si="1382"/>
        <v>1244.4</v>
      </c>
      <c r="BX836" s="730">
        <f t="shared" si="1383"/>
        <v>9644.1</v>
      </c>
      <c r="BY836" s="731" t="str">
        <f t="shared" si="1384"/>
        <v>SR</v>
      </c>
    </row>
    <row r="837" s="698" customFormat="1" customHeight="1" spans="1:77">
      <c r="A837" s="248">
        <v>46148</v>
      </c>
      <c r="B837" s="248">
        <v>46195</v>
      </c>
      <c r="C837" s="268" t="s">
        <v>819</v>
      </c>
      <c r="D837" s="268" t="s">
        <v>820</v>
      </c>
      <c r="E837" s="268" t="s">
        <v>65</v>
      </c>
      <c r="F837" s="343">
        <v>1560</v>
      </c>
      <c r="G837" s="268" t="s">
        <v>327</v>
      </c>
      <c r="H837" s="211" t="str">
        <f>IFERROR(VLOOKUP(E837,名称!A:E,4,0),"")</f>
        <v>二代</v>
      </c>
      <c r="I837" s="268" t="str">
        <f t="shared" si="1323"/>
        <v/>
      </c>
      <c r="J837" s="268" t="str">
        <f t="shared" si="1324"/>
        <v/>
      </c>
      <c r="K837" s="268" t="str">
        <f t="shared" si="1325"/>
        <v/>
      </c>
      <c r="L837" s="268" t="str">
        <f t="shared" si="1326"/>
        <v/>
      </c>
      <c r="M837" s="268" t="str">
        <f t="shared" si="1327"/>
        <v/>
      </c>
      <c r="N837" s="268" t="str">
        <f t="shared" si="1328"/>
        <v/>
      </c>
      <c r="O837" s="268" t="str">
        <f t="shared" si="1329"/>
        <v/>
      </c>
      <c r="P837" s="268" t="str">
        <f t="shared" si="1330"/>
        <v/>
      </c>
      <c r="Q837" s="268">
        <f t="shared" si="1331"/>
        <v>1560</v>
      </c>
      <c r="R837" s="268" t="str">
        <f t="shared" si="1332"/>
        <v/>
      </c>
      <c r="S837" s="268" t="str">
        <f t="shared" si="1333"/>
        <v/>
      </c>
      <c r="T837" s="268" t="str">
        <f t="shared" si="1334"/>
        <v/>
      </c>
      <c r="U837" s="268" t="str">
        <f t="shared" si="1335"/>
        <v/>
      </c>
      <c r="V837" s="268" t="str">
        <f t="shared" si="1336"/>
        <v/>
      </c>
      <c r="W837" s="268" t="str">
        <f t="shared" si="1337"/>
        <v/>
      </c>
      <c r="X837" s="268" t="str">
        <f t="shared" si="1338"/>
        <v/>
      </c>
      <c r="Y837" s="268" t="str">
        <f t="shared" si="1339"/>
        <v/>
      </c>
      <c r="Z837" s="268" t="str">
        <f t="shared" si="1340"/>
        <v/>
      </c>
      <c r="AA837" s="268" t="str">
        <f t="shared" si="1341"/>
        <v/>
      </c>
      <c r="AB837" s="268" t="str">
        <f t="shared" si="1342"/>
        <v/>
      </c>
      <c r="AC837" s="268" t="str">
        <f t="shared" si="1343"/>
        <v/>
      </c>
      <c r="AD837" s="268" t="str">
        <f t="shared" si="1344"/>
        <v/>
      </c>
      <c r="AE837" s="268" t="str">
        <f t="shared" si="1345"/>
        <v/>
      </c>
      <c r="AF837" s="268" t="str">
        <f t="shared" si="1346"/>
        <v/>
      </c>
      <c r="AG837" s="268" t="str">
        <f t="shared" si="1347"/>
        <v/>
      </c>
      <c r="AH837" s="268" t="str">
        <f t="shared" si="1348"/>
        <v/>
      </c>
      <c r="AI837" s="268" t="str">
        <f t="shared" si="1349"/>
        <v/>
      </c>
      <c r="AJ837" s="268" t="str">
        <f t="shared" si="1350"/>
        <v/>
      </c>
      <c r="AK837" s="268" t="str">
        <f t="shared" si="1351"/>
        <v/>
      </c>
      <c r="AL837" s="268" t="str">
        <f t="shared" si="1352"/>
        <v/>
      </c>
      <c r="AM837" s="268" t="str">
        <f t="shared" si="1353"/>
        <v/>
      </c>
      <c r="AN837" s="268" t="str">
        <f t="shared" si="1354"/>
        <v/>
      </c>
      <c r="AO837" s="268" t="str">
        <f t="shared" si="1355"/>
        <v/>
      </c>
      <c r="AP837" s="268" t="str">
        <f t="shared" si="1356"/>
        <v/>
      </c>
      <c r="AQ837" s="268" t="str">
        <f t="shared" si="1357"/>
        <v/>
      </c>
      <c r="AR837" s="268" t="str">
        <f t="shared" si="1358"/>
        <v/>
      </c>
      <c r="AS837" s="268" t="str">
        <f t="shared" si="1359"/>
        <v/>
      </c>
      <c r="AT837" s="268" t="str">
        <f t="shared" si="1360"/>
        <v/>
      </c>
      <c r="AU837" s="268" t="str">
        <f t="shared" si="1361"/>
        <v/>
      </c>
      <c r="AV837" s="268" t="str">
        <f t="shared" si="1362"/>
        <v/>
      </c>
      <c r="AW837" s="268" t="str">
        <f t="shared" si="1363"/>
        <v/>
      </c>
      <c r="AX837" s="268" t="str">
        <f t="shared" si="1364"/>
        <v/>
      </c>
      <c r="AY837" s="268" t="str">
        <f t="shared" si="1365"/>
        <v/>
      </c>
      <c r="AZ837" s="268" t="str">
        <f t="shared" si="1366"/>
        <v/>
      </c>
      <c r="BA837" s="268" t="str">
        <f t="shared" si="1367"/>
        <v/>
      </c>
      <c r="BB837" s="268" t="str">
        <f t="shared" si="1368"/>
        <v/>
      </c>
      <c r="BC837" s="268" t="str">
        <f t="shared" si="1369"/>
        <v/>
      </c>
      <c r="BD837" s="268" t="str">
        <f t="shared" si="1370"/>
        <v/>
      </c>
      <c r="BE837" s="268" t="str">
        <f t="shared" si="1371"/>
        <v/>
      </c>
      <c r="BF837" s="268" t="str">
        <f t="shared" si="1372"/>
        <v/>
      </c>
      <c r="BG837" s="268" t="str">
        <f t="shared" si="1373"/>
        <v/>
      </c>
      <c r="BH837" s="268" t="str">
        <f t="shared" si="1374"/>
        <v/>
      </c>
      <c r="BI837" s="268" t="str">
        <f t="shared" si="1375"/>
        <v/>
      </c>
      <c r="BJ837" s="268" t="str">
        <f t="shared" si="1376"/>
        <v/>
      </c>
      <c r="BK837" s="268" t="str">
        <f t="shared" si="1377"/>
        <v/>
      </c>
      <c r="BL837" s="268" t="str">
        <f t="shared" si="1378"/>
        <v/>
      </c>
      <c r="BM837" s="268" t="str">
        <f t="shared" si="1379"/>
        <v/>
      </c>
      <c r="BN837" s="268" t="str">
        <f t="shared" si="1312"/>
        <v/>
      </c>
      <c r="BO837" s="268" t="str">
        <f t="shared" si="1313"/>
        <v/>
      </c>
      <c r="BP837" s="268" t="str">
        <f t="shared" si="1314"/>
        <v/>
      </c>
      <c r="BQ837" s="268" t="str">
        <f t="shared" si="1315"/>
        <v/>
      </c>
      <c r="BR837" s="268" t="str">
        <f t="shared" si="1316"/>
        <v/>
      </c>
      <c r="BS837" s="268" t="str">
        <f t="shared" si="1317"/>
        <v/>
      </c>
      <c r="BT837" s="268" t="str">
        <f t="shared" si="1380"/>
        <v/>
      </c>
      <c r="BU837" s="268" t="str">
        <f t="shared" si="1381"/>
        <v/>
      </c>
      <c r="BV837" s="247">
        <v>0.61</v>
      </c>
      <c r="BW837" s="729">
        <f t="shared" si="1382"/>
        <v>951.6</v>
      </c>
      <c r="BX837" s="730">
        <f t="shared" si="1383"/>
        <v>7374.9</v>
      </c>
      <c r="BY837" s="731" t="str">
        <f t="shared" si="1384"/>
        <v>SR</v>
      </c>
    </row>
    <row r="838" s="698" customFormat="1" customHeight="1" spans="1:77">
      <c r="A838" s="248">
        <v>46148</v>
      </c>
      <c r="B838" s="248">
        <v>46195</v>
      </c>
      <c r="C838" s="268" t="s">
        <v>819</v>
      </c>
      <c r="D838" s="268" t="s">
        <v>820</v>
      </c>
      <c r="E838" s="268" t="s">
        <v>52</v>
      </c>
      <c r="F838" s="343">
        <v>2016</v>
      </c>
      <c r="G838" s="268" t="s">
        <v>510</v>
      </c>
      <c r="H838" s="211" t="str">
        <f>IFERROR(VLOOKUP(E838,名称!A:E,4,0),"")</f>
        <v>蛋糕</v>
      </c>
      <c r="I838" s="268" t="str">
        <f t="shared" si="1323"/>
        <v/>
      </c>
      <c r="J838" s="268" t="str">
        <f t="shared" si="1324"/>
        <v/>
      </c>
      <c r="K838" s="268" t="str">
        <f t="shared" si="1325"/>
        <v/>
      </c>
      <c r="L838" s="268" t="str">
        <f t="shared" si="1326"/>
        <v/>
      </c>
      <c r="M838" s="268" t="str">
        <f t="shared" si="1327"/>
        <v/>
      </c>
      <c r="N838" s="268" t="str">
        <f t="shared" si="1328"/>
        <v/>
      </c>
      <c r="O838" s="268" t="str">
        <f t="shared" si="1329"/>
        <v/>
      </c>
      <c r="P838" s="268" t="str">
        <f t="shared" si="1330"/>
        <v/>
      </c>
      <c r="Q838" s="268" t="str">
        <f t="shared" si="1331"/>
        <v/>
      </c>
      <c r="R838" s="268" t="str">
        <f t="shared" si="1332"/>
        <v/>
      </c>
      <c r="S838" s="268" t="str">
        <f t="shared" si="1333"/>
        <v/>
      </c>
      <c r="T838" s="268" t="str">
        <f t="shared" si="1334"/>
        <v/>
      </c>
      <c r="U838" s="268" t="str">
        <f t="shared" si="1335"/>
        <v/>
      </c>
      <c r="V838" s="268" t="str">
        <f t="shared" si="1336"/>
        <v/>
      </c>
      <c r="W838" s="268" t="str">
        <f t="shared" si="1337"/>
        <v/>
      </c>
      <c r="X838" s="268" t="str">
        <f t="shared" si="1338"/>
        <v/>
      </c>
      <c r="Y838" s="268" t="str">
        <f t="shared" si="1339"/>
        <v/>
      </c>
      <c r="Z838" s="268" t="str">
        <f t="shared" si="1340"/>
        <v/>
      </c>
      <c r="AA838" s="268" t="str">
        <f t="shared" si="1341"/>
        <v/>
      </c>
      <c r="AB838" s="268" t="str">
        <f t="shared" si="1342"/>
        <v/>
      </c>
      <c r="AC838" s="268" t="str">
        <f t="shared" si="1343"/>
        <v/>
      </c>
      <c r="AD838" s="268" t="str">
        <f t="shared" si="1344"/>
        <v/>
      </c>
      <c r="AE838" s="268" t="str">
        <f t="shared" si="1345"/>
        <v/>
      </c>
      <c r="AF838" s="268" t="str">
        <f t="shared" si="1346"/>
        <v/>
      </c>
      <c r="AG838" s="268" t="str">
        <f t="shared" si="1347"/>
        <v/>
      </c>
      <c r="AH838" s="268" t="str">
        <f t="shared" si="1348"/>
        <v/>
      </c>
      <c r="AI838" s="268" t="str">
        <f t="shared" si="1349"/>
        <v/>
      </c>
      <c r="AJ838" s="268" t="str">
        <f t="shared" si="1350"/>
        <v/>
      </c>
      <c r="AK838" s="268" t="str">
        <f t="shared" si="1351"/>
        <v/>
      </c>
      <c r="AL838" s="268" t="str">
        <f t="shared" si="1352"/>
        <v/>
      </c>
      <c r="AM838" s="268" t="str">
        <f t="shared" si="1353"/>
        <v/>
      </c>
      <c r="AN838" s="268" t="str">
        <f t="shared" si="1354"/>
        <v/>
      </c>
      <c r="AO838" s="268" t="str">
        <f t="shared" si="1355"/>
        <v/>
      </c>
      <c r="AP838" s="268" t="str">
        <f t="shared" si="1356"/>
        <v/>
      </c>
      <c r="AQ838" s="268" t="str">
        <f t="shared" si="1357"/>
        <v/>
      </c>
      <c r="AR838" s="268" t="str">
        <f t="shared" si="1358"/>
        <v/>
      </c>
      <c r="AS838" s="268" t="str">
        <f t="shared" si="1359"/>
        <v/>
      </c>
      <c r="AT838" s="268" t="str">
        <f t="shared" si="1360"/>
        <v/>
      </c>
      <c r="AU838" s="268" t="str">
        <f t="shared" si="1361"/>
        <v/>
      </c>
      <c r="AV838" s="268" t="str">
        <f t="shared" si="1362"/>
        <v/>
      </c>
      <c r="AW838" s="268" t="str">
        <f t="shared" si="1363"/>
        <v/>
      </c>
      <c r="AX838" s="268" t="str">
        <f t="shared" si="1364"/>
        <v/>
      </c>
      <c r="AY838" s="268" t="str">
        <f t="shared" si="1365"/>
        <v/>
      </c>
      <c r="AZ838" s="268" t="str">
        <f t="shared" si="1366"/>
        <v/>
      </c>
      <c r="BA838" s="268" t="str">
        <f t="shared" si="1367"/>
        <v/>
      </c>
      <c r="BB838" s="268" t="str">
        <f t="shared" si="1368"/>
        <v/>
      </c>
      <c r="BC838" s="268" t="str">
        <f t="shared" si="1369"/>
        <v/>
      </c>
      <c r="BD838" s="268" t="str">
        <f t="shared" si="1370"/>
        <v/>
      </c>
      <c r="BE838" s="268" t="str">
        <f t="shared" si="1371"/>
        <v/>
      </c>
      <c r="BF838" s="268" t="str">
        <f t="shared" si="1372"/>
        <v/>
      </c>
      <c r="BG838" s="268" t="str">
        <f t="shared" si="1373"/>
        <v/>
      </c>
      <c r="BH838" s="268">
        <f t="shared" si="1374"/>
        <v>2016</v>
      </c>
      <c r="BI838" s="268" t="str">
        <f t="shared" si="1375"/>
        <v/>
      </c>
      <c r="BJ838" s="268" t="str">
        <f t="shared" si="1376"/>
        <v/>
      </c>
      <c r="BK838" s="268" t="str">
        <f t="shared" si="1377"/>
        <v/>
      </c>
      <c r="BL838" s="268" t="str">
        <f t="shared" si="1378"/>
        <v/>
      </c>
      <c r="BM838" s="268" t="str">
        <f t="shared" si="1379"/>
        <v/>
      </c>
      <c r="BN838" s="268" t="str">
        <f t="shared" si="1312"/>
        <v/>
      </c>
      <c r="BO838" s="268" t="str">
        <f t="shared" si="1313"/>
        <v/>
      </c>
      <c r="BP838" s="268" t="str">
        <f t="shared" si="1314"/>
        <v/>
      </c>
      <c r="BQ838" s="268" t="str">
        <f t="shared" si="1315"/>
        <v/>
      </c>
      <c r="BR838" s="268" t="str">
        <f t="shared" si="1316"/>
        <v/>
      </c>
      <c r="BS838" s="268" t="str">
        <f t="shared" si="1317"/>
        <v/>
      </c>
      <c r="BT838" s="268" t="str">
        <f t="shared" si="1380"/>
        <v/>
      </c>
      <c r="BU838" s="268" t="str">
        <f t="shared" si="1381"/>
        <v/>
      </c>
      <c r="BV838" s="247">
        <v>2.76</v>
      </c>
      <c r="BW838" s="729">
        <f t="shared" si="1382"/>
        <v>5564.16</v>
      </c>
      <c r="BX838" s="730">
        <f t="shared" si="1383"/>
        <v>43122.24</v>
      </c>
      <c r="BY838" s="731" t="str">
        <f t="shared" si="1384"/>
        <v>JC</v>
      </c>
    </row>
    <row r="839" s="698" customFormat="1" customHeight="1" spans="1:77">
      <c r="A839" s="248">
        <v>46148</v>
      </c>
      <c r="B839" s="248">
        <v>46195</v>
      </c>
      <c r="C839" s="268" t="s">
        <v>819</v>
      </c>
      <c r="D839" s="268" t="s">
        <v>820</v>
      </c>
      <c r="E839" s="268" t="s">
        <v>50</v>
      </c>
      <c r="F839" s="343">
        <v>3006</v>
      </c>
      <c r="G839" s="268" t="s">
        <v>510</v>
      </c>
      <c r="H839" s="211" t="str">
        <f>IFERROR(VLOOKUP(E839,名称!A:E,4,0),"")</f>
        <v>蛋糕</v>
      </c>
      <c r="I839" s="268" t="str">
        <f t="shared" si="1323"/>
        <v/>
      </c>
      <c r="J839" s="268" t="str">
        <f t="shared" si="1324"/>
        <v/>
      </c>
      <c r="K839" s="268" t="str">
        <f t="shared" si="1325"/>
        <v/>
      </c>
      <c r="L839" s="268" t="str">
        <f t="shared" si="1326"/>
        <v/>
      </c>
      <c r="M839" s="268" t="str">
        <f t="shared" si="1327"/>
        <v/>
      </c>
      <c r="N839" s="268" t="str">
        <f t="shared" si="1328"/>
        <v/>
      </c>
      <c r="O839" s="268" t="str">
        <f t="shared" si="1329"/>
        <v/>
      </c>
      <c r="P839" s="268" t="str">
        <f t="shared" si="1330"/>
        <v/>
      </c>
      <c r="Q839" s="268" t="str">
        <f t="shared" si="1331"/>
        <v/>
      </c>
      <c r="R839" s="268" t="str">
        <f t="shared" si="1332"/>
        <v/>
      </c>
      <c r="S839" s="268" t="str">
        <f t="shared" si="1333"/>
        <v/>
      </c>
      <c r="T839" s="268" t="str">
        <f t="shared" si="1334"/>
        <v/>
      </c>
      <c r="U839" s="268" t="str">
        <f t="shared" si="1335"/>
        <v/>
      </c>
      <c r="V839" s="268" t="str">
        <f t="shared" si="1336"/>
        <v/>
      </c>
      <c r="W839" s="268" t="str">
        <f t="shared" si="1337"/>
        <v/>
      </c>
      <c r="X839" s="268" t="str">
        <f t="shared" si="1338"/>
        <v/>
      </c>
      <c r="Y839" s="268" t="str">
        <f t="shared" si="1339"/>
        <v/>
      </c>
      <c r="Z839" s="268" t="str">
        <f t="shared" si="1340"/>
        <v/>
      </c>
      <c r="AA839" s="268" t="str">
        <f t="shared" si="1341"/>
        <v/>
      </c>
      <c r="AB839" s="268" t="str">
        <f t="shared" si="1342"/>
        <v/>
      </c>
      <c r="AC839" s="268" t="str">
        <f t="shared" si="1343"/>
        <v/>
      </c>
      <c r="AD839" s="268" t="str">
        <f t="shared" si="1344"/>
        <v/>
      </c>
      <c r="AE839" s="268" t="str">
        <f t="shared" si="1345"/>
        <v/>
      </c>
      <c r="AF839" s="268" t="str">
        <f t="shared" si="1346"/>
        <v/>
      </c>
      <c r="AG839" s="268" t="str">
        <f t="shared" si="1347"/>
        <v/>
      </c>
      <c r="AH839" s="268" t="str">
        <f t="shared" si="1348"/>
        <v/>
      </c>
      <c r="AI839" s="268" t="str">
        <f t="shared" si="1349"/>
        <v/>
      </c>
      <c r="AJ839" s="268" t="str">
        <f t="shared" si="1350"/>
        <v/>
      </c>
      <c r="AK839" s="268" t="str">
        <f t="shared" si="1351"/>
        <v/>
      </c>
      <c r="AL839" s="268" t="str">
        <f t="shared" si="1352"/>
        <v/>
      </c>
      <c r="AM839" s="268" t="str">
        <f t="shared" si="1353"/>
        <v/>
      </c>
      <c r="AN839" s="268" t="str">
        <f t="shared" si="1354"/>
        <v/>
      </c>
      <c r="AO839" s="268" t="str">
        <f t="shared" si="1355"/>
        <v/>
      </c>
      <c r="AP839" s="268" t="str">
        <f t="shared" si="1356"/>
        <v/>
      </c>
      <c r="AQ839" s="268" t="str">
        <f t="shared" si="1357"/>
        <v/>
      </c>
      <c r="AR839" s="268" t="str">
        <f t="shared" si="1358"/>
        <v/>
      </c>
      <c r="AS839" s="268" t="str">
        <f t="shared" si="1359"/>
        <v/>
      </c>
      <c r="AT839" s="268" t="str">
        <f t="shared" si="1360"/>
        <v/>
      </c>
      <c r="AU839" s="268" t="str">
        <f t="shared" si="1361"/>
        <v/>
      </c>
      <c r="AV839" s="268" t="str">
        <f t="shared" si="1362"/>
        <v/>
      </c>
      <c r="AW839" s="268" t="str">
        <f t="shared" si="1363"/>
        <v/>
      </c>
      <c r="AX839" s="268" t="str">
        <f t="shared" si="1364"/>
        <v/>
      </c>
      <c r="AY839" s="268" t="str">
        <f t="shared" si="1365"/>
        <v/>
      </c>
      <c r="AZ839" s="268" t="str">
        <f t="shared" si="1366"/>
        <v/>
      </c>
      <c r="BA839" s="268" t="str">
        <f t="shared" si="1367"/>
        <v/>
      </c>
      <c r="BB839" s="268" t="str">
        <f t="shared" si="1368"/>
        <v/>
      </c>
      <c r="BC839" s="268" t="str">
        <f t="shared" si="1369"/>
        <v/>
      </c>
      <c r="BD839" s="268" t="str">
        <f t="shared" si="1370"/>
        <v/>
      </c>
      <c r="BE839" s="268" t="str">
        <f t="shared" si="1371"/>
        <v/>
      </c>
      <c r="BF839" s="268" t="str">
        <f t="shared" si="1372"/>
        <v/>
      </c>
      <c r="BG839" s="268">
        <f t="shared" si="1373"/>
        <v>3006</v>
      </c>
      <c r="BH839" s="268" t="str">
        <f t="shared" si="1374"/>
        <v/>
      </c>
      <c r="BI839" s="268" t="str">
        <f t="shared" si="1375"/>
        <v/>
      </c>
      <c r="BJ839" s="268" t="str">
        <f t="shared" si="1376"/>
        <v/>
      </c>
      <c r="BK839" s="268" t="str">
        <f t="shared" si="1377"/>
        <v/>
      </c>
      <c r="BL839" s="268" t="str">
        <f t="shared" si="1378"/>
        <v/>
      </c>
      <c r="BM839" s="268" t="str">
        <f t="shared" si="1379"/>
        <v/>
      </c>
      <c r="BN839" s="268" t="str">
        <f t="shared" si="1312"/>
        <v/>
      </c>
      <c r="BO839" s="268" t="str">
        <f t="shared" si="1313"/>
        <v/>
      </c>
      <c r="BP839" s="268" t="str">
        <f t="shared" si="1314"/>
        <v/>
      </c>
      <c r="BQ839" s="268" t="str">
        <f t="shared" si="1315"/>
        <v/>
      </c>
      <c r="BR839" s="268" t="str">
        <f t="shared" si="1316"/>
        <v/>
      </c>
      <c r="BS839" s="268" t="str">
        <f t="shared" si="1317"/>
        <v/>
      </c>
      <c r="BT839" s="268" t="str">
        <f t="shared" si="1380"/>
        <v/>
      </c>
      <c r="BU839" s="268" t="str">
        <f t="shared" si="1381"/>
        <v/>
      </c>
      <c r="BV839" s="247">
        <v>1.08</v>
      </c>
      <c r="BW839" s="729">
        <f t="shared" si="1382"/>
        <v>3246.48</v>
      </c>
      <c r="BX839" s="730">
        <f t="shared" si="1383"/>
        <v>25160.22</v>
      </c>
      <c r="BY839" s="731" t="str">
        <f t="shared" si="1384"/>
        <v>JC</v>
      </c>
    </row>
    <row r="840" s="698" customFormat="1" customHeight="1" spans="1:77">
      <c r="A840" s="248">
        <v>46148</v>
      </c>
      <c r="B840" s="248">
        <v>46195</v>
      </c>
      <c r="C840" s="268" t="s">
        <v>819</v>
      </c>
      <c r="D840" s="268" t="s">
        <v>820</v>
      </c>
      <c r="E840" s="268" t="s">
        <v>123</v>
      </c>
      <c r="F840" s="343">
        <v>3000</v>
      </c>
      <c r="G840" s="268" t="s">
        <v>510</v>
      </c>
      <c r="H840" s="211" t="str">
        <f>IFERROR(VLOOKUP(E840,名称!A:E,4,0),"")</f>
        <v>蛋糕</v>
      </c>
      <c r="I840" s="268" t="str">
        <f t="shared" si="1323"/>
        <v/>
      </c>
      <c r="J840" s="268" t="str">
        <f t="shared" si="1324"/>
        <v/>
      </c>
      <c r="K840" s="268" t="str">
        <f t="shared" si="1325"/>
        <v/>
      </c>
      <c r="L840" s="268" t="str">
        <f t="shared" si="1326"/>
        <v/>
      </c>
      <c r="M840" s="268" t="str">
        <f t="shared" si="1327"/>
        <v/>
      </c>
      <c r="N840" s="268" t="str">
        <f t="shared" si="1328"/>
        <v/>
      </c>
      <c r="O840" s="268" t="str">
        <f t="shared" si="1329"/>
        <v/>
      </c>
      <c r="P840" s="268" t="str">
        <f t="shared" si="1330"/>
        <v/>
      </c>
      <c r="Q840" s="268" t="str">
        <f t="shared" si="1331"/>
        <v/>
      </c>
      <c r="R840" s="268" t="str">
        <f t="shared" si="1332"/>
        <v/>
      </c>
      <c r="S840" s="268" t="str">
        <f t="shared" si="1333"/>
        <v/>
      </c>
      <c r="T840" s="268" t="str">
        <f t="shared" si="1334"/>
        <v/>
      </c>
      <c r="U840" s="268" t="str">
        <f t="shared" si="1335"/>
        <v/>
      </c>
      <c r="V840" s="268" t="str">
        <f t="shared" si="1336"/>
        <v/>
      </c>
      <c r="W840" s="268" t="str">
        <f t="shared" si="1337"/>
        <v/>
      </c>
      <c r="X840" s="268" t="str">
        <f t="shared" si="1338"/>
        <v/>
      </c>
      <c r="Y840" s="268" t="str">
        <f t="shared" si="1339"/>
        <v/>
      </c>
      <c r="Z840" s="268" t="str">
        <f t="shared" si="1340"/>
        <v/>
      </c>
      <c r="AA840" s="268" t="str">
        <f t="shared" si="1341"/>
        <v/>
      </c>
      <c r="AB840" s="268" t="str">
        <f t="shared" si="1342"/>
        <v/>
      </c>
      <c r="AC840" s="268" t="str">
        <f t="shared" si="1343"/>
        <v/>
      </c>
      <c r="AD840" s="268" t="str">
        <f t="shared" si="1344"/>
        <v/>
      </c>
      <c r="AE840" s="268" t="str">
        <f t="shared" si="1345"/>
        <v/>
      </c>
      <c r="AF840" s="268" t="str">
        <f t="shared" si="1346"/>
        <v/>
      </c>
      <c r="AG840" s="268" t="str">
        <f t="shared" si="1347"/>
        <v/>
      </c>
      <c r="AH840" s="268" t="str">
        <f t="shared" si="1348"/>
        <v/>
      </c>
      <c r="AI840" s="268" t="str">
        <f t="shared" si="1349"/>
        <v/>
      </c>
      <c r="AJ840" s="268" t="str">
        <f t="shared" si="1350"/>
        <v/>
      </c>
      <c r="AK840" s="268" t="str">
        <f t="shared" si="1351"/>
        <v/>
      </c>
      <c r="AL840" s="268" t="str">
        <f t="shared" si="1352"/>
        <v/>
      </c>
      <c r="AM840" s="268" t="str">
        <f t="shared" si="1353"/>
        <v/>
      </c>
      <c r="AN840" s="268" t="str">
        <f t="shared" si="1354"/>
        <v/>
      </c>
      <c r="AO840" s="268" t="str">
        <f t="shared" si="1355"/>
        <v/>
      </c>
      <c r="AP840" s="268" t="str">
        <f t="shared" si="1356"/>
        <v/>
      </c>
      <c r="AQ840" s="268" t="str">
        <f t="shared" si="1357"/>
        <v/>
      </c>
      <c r="AR840" s="268" t="str">
        <f t="shared" si="1358"/>
        <v/>
      </c>
      <c r="AS840" s="268" t="str">
        <f t="shared" si="1359"/>
        <v/>
      </c>
      <c r="AT840" s="268" t="str">
        <f t="shared" si="1360"/>
        <v/>
      </c>
      <c r="AU840" s="268" t="str">
        <f t="shared" si="1361"/>
        <v/>
      </c>
      <c r="AV840" s="268" t="str">
        <f t="shared" si="1362"/>
        <v/>
      </c>
      <c r="AW840" s="268" t="str">
        <f t="shared" si="1363"/>
        <v/>
      </c>
      <c r="AX840" s="268" t="str">
        <f t="shared" si="1364"/>
        <v/>
      </c>
      <c r="AY840" s="268" t="str">
        <f t="shared" si="1365"/>
        <v/>
      </c>
      <c r="AZ840" s="268" t="str">
        <f t="shared" si="1366"/>
        <v/>
      </c>
      <c r="BA840" s="268" t="str">
        <f t="shared" si="1367"/>
        <v/>
      </c>
      <c r="BB840" s="268" t="str">
        <f t="shared" si="1368"/>
        <v/>
      </c>
      <c r="BC840" s="268" t="str">
        <f t="shared" si="1369"/>
        <v/>
      </c>
      <c r="BD840" s="268" t="str">
        <f t="shared" si="1370"/>
        <v/>
      </c>
      <c r="BE840" s="268" t="str">
        <f t="shared" si="1371"/>
        <v/>
      </c>
      <c r="BF840" s="268">
        <f t="shared" si="1372"/>
        <v>3000</v>
      </c>
      <c r="BG840" s="268" t="str">
        <f t="shared" si="1373"/>
        <v/>
      </c>
      <c r="BH840" s="268" t="str">
        <f t="shared" si="1374"/>
        <v/>
      </c>
      <c r="BI840" s="268" t="str">
        <f t="shared" si="1375"/>
        <v/>
      </c>
      <c r="BJ840" s="268" t="str">
        <f t="shared" si="1376"/>
        <v/>
      </c>
      <c r="BK840" s="268" t="str">
        <f t="shared" si="1377"/>
        <v/>
      </c>
      <c r="BL840" s="268" t="str">
        <f t="shared" si="1378"/>
        <v/>
      </c>
      <c r="BM840" s="268" t="str">
        <f t="shared" si="1379"/>
        <v/>
      </c>
      <c r="BN840" s="268" t="str">
        <f t="shared" si="1312"/>
        <v/>
      </c>
      <c r="BO840" s="268" t="str">
        <f t="shared" si="1313"/>
        <v/>
      </c>
      <c r="BP840" s="268" t="str">
        <f t="shared" si="1314"/>
        <v/>
      </c>
      <c r="BQ840" s="268" t="str">
        <f t="shared" si="1315"/>
        <v/>
      </c>
      <c r="BR840" s="268" t="str">
        <f t="shared" si="1316"/>
        <v/>
      </c>
      <c r="BS840" s="268" t="str">
        <f t="shared" si="1317"/>
        <v/>
      </c>
      <c r="BT840" s="268" t="str">
        <f t="shared" si="1380"/>
        <v/>
      </c>
      <c r="BU840" s="268" t="str">
        <f t="shared" si="1381"/>
        <v/>
      </c>
      <c r="BV840" s="247">
        <v>0.77</v>
      </c>
      <c r="BW840" s="729">
        <f t="shared" si="1382"/>
        <v>2310</v>
      </c>
      <c r="BX840" s="730">
        <f t="shared" si="1383"/>
        <v>17902.5</v>
      </c>
      <c r="BY840" s="731" t="str">
        <f t="shared" si="1384"/>
        <v>JC</v>
      </c>
    </row>
    <row r="841" s="698" customFormat="1" customHeight="1" spans="1:77">
      <c r="A841" s="248">
        <v>46148</v>
      </c>
      <c r="B841" s="248">
        <v>46195</v>
      </c>
      <c r="C841" s="268" t="s">
        <v>821</v>
      </c>
      <c r="D841" s="268" t="s">
        <v>822</v>
      </c>
      <c r="E841" s="268" t="s">
        <v>121</v>
      </c>
      <c r="F841" s="343">
        <v>2760</v>
      </c>
      <c r="G841" s="268" t="s">
        <v>510</v>
      </c>
      <c r="H841" s="211" t="str">
        <f>IFERROR(VLOOKUP(E841,名称!A:E,4,0),"")</f>
        <v>三代</v>
      </c>
      <c r="I841" s="268" t="str">
        <f t="shared" si="1323"/>
        <v/>
      </c>
      <c r="J841" s="268" t="str">
        <f t="shared" si="1324"/>
        <v/>
      </c>
      <c r="K841" s="268" t="str">
        <f t="shared" si="1325"/>
        <v/>
      </c>
      <c r="L841" s="268" t="str">
        <f t="shared" si="1326"/>
        <v/>
      </c>
      <c r="M841" s="268" t="str">
        <f t="shared" si="1327"/>
        <v/>
      </c>
      <c r="N841" s="268" t="str">
        <f t="shared" si="1328"/>
        <v/>
      </c>
      <c r="O841" s="268" t="str">
        <f t="shared" si="1329"/>
        <v/>
      </c>
      <c r="P841" s="268" t="str">
        <f t="shared" si="1330"/>
        <v/>
      </c>
      <c r="Q841" s="268" t="str">
        <f t="shared" si="1331"/>
        <v/>
      </c>
      <c r="R841" s="268" t="str">
        <f t="shared" si="1332"/>
        <v/>
      </c>
      <c r="S841" s="268" t="str">
        <f t="shared" si="1333"/>
        <v/>
      </c>
      <c r="T841" s="268" t="str">
        <f t="shared" si="1334"/>
        <v/>
      </c>
      <c r="U841" s="268" t="str">
        <f t="shared" si="1335"/>
        <v/>
      </c>
      <c r="V841" s="268" t="str">
        <f t="shared" si="1336"/>
        <v/>
      </c>
      <c r="W841" s="268" t="str">
        <f t="shared" si="1337"/>
        <v/>
      </c>
      <c r="X841" s="268" t="str">
        <f t="shared" si="1338"/>
        <v/>
      </c>
      <c r="Y841" s="268" t="str">
        <f t="shared" si="1339"/>
        <v/>
      </c>
      <c r="Z841" s="268" t="str">
        <f t="shared" si="1340"/>
        <v/>
      </c>
      <c r="AA841" s="268" t="str">
        <f t="shared" si="1341"/>
        <v/>
      </c>
      <c r="AB841" s="268" t="str">
        <f t="shared" si="1342"/>
        <v/>
      </c>
      <c r="AC841" s="268">
        <f t="shared" si="1343"/>
        <v>2760</v>
      </c>
      <c r="AD841" s="268" t="str">
        <f t="shared" si="1344"/>
        <v/>
      </c>
      <c r="AE841" s="268" t="str">
        <f t="shared" si="1345"/>
        <v/>
      </c>
      <c r="AF841" s="268" t="str">
        <f t="shared" si="1346"/>
        <v/>
      </c>
      <c r="AG841" s="268" t="str">
        <f t="shared" si="1347"/>
        <v/>
      </c>
      <c r="AH841" s="268" t="str">
        <f t="shared" si="1348"/>
        <v/>
      </c>
      <c r="AI841" s="268" t="str">
        <f t="shared" si="1349"/>
        <v/>
      </c>
      <c r="AJ841" s="268" t="str">
        <f t="shared" si="1350"/>
        <v/>
      </c>
      <c r="AK841" s="268" t="str">
        <f t="shared" si="1351"/>
        <v/>
      </c>
      <c r="AL841" s="268" t="str">
        <f t="shared" si="1352"/>
        <v/>
      </c>
      <c r="AM841" s="268" t="str">
        <f t="shared" si="1353"/>
        <v/>
      </c>
      <c r="AN841" s="268" t="str">
        <f t="shared" si="1354"/>
        <v/>
      </c>
      <c r="AO841" s="268" t="str">
        <f t="shared" si="1355"/>
        <v/>
      </c>
      <c r="AP841" s="268" t="str">
        <f t="shared" si="1356"/>
        <v/>
      </c>
      <c r="AQ841" s="268" t="str">
        <f t="shared" si="1357"/>
        <v/>
      </c>
      <c r="AR841" s="268" t="str">
        <f t="shared" si="1358"/>
        <v/>
      </c>
      <c r="AS841" s="268" t="str">
        <f t="shared" si="1359"/>
        <v/>
      </c>
      <c r="AT841" s="268" t="str">
        <f t="shared" si="1360"/>
        <v/>
      </c>
      <c r="AU841" s="268" t="str">
        <f t="shared" si="1361"/>
        <v/>
      </c>
      <c r="AV841" s="268" t="str">
        <f t="shared" si="1362"/>
        <v/>
      </c>
      <c r="AW841" s="268" t="str">
        <f t="shared" si="1363"/>
        <v/>
      </c>
      <c r="AX841" s="268" t="str">
        <f t="shared" si="1364"/>
        <v/>
      </c>
      <c r="AY841" s="268" t="str">
        <f t="shared" si="1365"/>
        <v/>
      </c>
      <c r="AZ841" s="268" t="str">
        <f t="shared" si="1366"/>
        <v/>
      </c>
      <c r="BA841" s="268" t="str">
        <f t="shared" si="1367"/>
        <v/>
      </c>
      <c r="BB841" s="268" t="str">
        <f t="shared" si="1368"/>
        <v/>
      </c>
      <c r="BC841" s="268" t="str">
        <f t="shared" si="1369"/>
        <v/>
      </c>
      <c r="BD841" s="268" t="str">
        <f t="shared" si="1370"/>
        <v/>
      </c>
      <c r="BE841" s="268" t="str">
        <f t="shared" si="1371"/>
        <v/>
      </c>
      <c r="BF841" s="268" t="str">
        <f t="shared" si="1372"/>
        <v/>
      </c>
      <c r="BG841" s="268" t="str">
        <f t="shared" si="1373"/>
        <v/>
      </c>
      <c r="BH841" s="268" t="str">
        <f t="shared" si="1374"/>
        <v/>
      </c>
      <c r="BI841" s="268" t="str">
        <f t="shared" si="1375"/>
        <v/>
      </c>
      <c r="BJ841" s="268" t="str">
        <f t="shared" si="1376"/>
        <v/>
      </c>
      <c r="BK841" s="268" t="str">
        <f t="shared" si="1377"/>
        <v/>
      </c>
      <c r="BL841" s="268" t="str">
        <f t="shared" si="1378"/>
        <v/>
      </c>
      <c r="BM841" s="268" t="str">
        <f t="shared" si="1379"/>
        <v/>
      </c>
      <c r="BN841" s="268" t="str">
        <f t="shared" si="1312"/>
        <v/>
      </c>
      <c r="BO841" s="268" t="str">
        <f t="shared" si="1313"/>
        <v/>
      </c>
      <c r="BP841" s="268" t="str">
        <f t="shared" si="1314"/>
        <v/>
      </c>
      <c r="BQ841" s="268" t="str">
        <f t="shared" si="1315"/>
        <v/>
      </c>
      <c r="BR841" s="268" t="str">
        <f t="shared" si="1316"/>
        <v/>
      </c>
      <c r="BS841" s="268" t="str">
        <f t="shared" si="1317"/>
        <v/>
      </c>
      <c r="BT841" s="268" t="str">
        <f t="shared" si="1380"/>
        <v/>
      </c>
      <c r="BU841" s="268" t="str">
        <f t="shared" si="1381"/>
        <v/>
      </c>
      <c r="BV841" s="247">
        <v>0.79</v>
      </c>
      <c r="BW841" s="729">
        <f t="shared" si="1382"/>
        <v>2180.4</v>
      </c>
      <c r="BX841" s="730">
        <f t="shared" si="1383"/>
        <v>16898.1</v>
      </c>
      <c r="BY841" s="731" t="str">
        <f t="shared" si="1384"/>
        <v>SR</v>
      </c>
    </row>
    <row r="842" s="698" customFormat="1" customHeight="1" spans="1:77">
      <c r="A842" s="248">
        <v>46148</v>
      </c>
      <c r="B842" s="248">
        <v>46195</v>
      </c>
      <c r="C842" s="268" t="s">
        <v>821</v>
      </c>
      <c r="D842" s="268" t="s">
        <v>822</v>
      </c>
      <c r="E842" s="268" t="s">
        <v>59</v>
      </c>
      <c r="F842" s="343">
        <v>3120</v>
      </c>
      <c r="G842" s="268" t="s">
        <v>510</v>
      </c>
      <c r="H842" s="211" t="str">
        <f>IFERROR(VLOOKUP(E842,名称!A:E,4,0),"")</f>
        <v>三代</v>
      </c>
      <c r="I842" s="268" t="str">
        <f t="shared" si="1323"/>
        <v/>
      </c>
      <c r="J842" s="268" t="str">
        <f t="shared" si="1324"/>
        <v/>
      </c>
      <c r="K842" s="268" t="str">
        <f t="shared" si="1325"/>
        <v/>
      </c>
      <c r="L842" s="268" t="str">
        <f t="shared" si="1326"/>
        <v/>
      </c>
      <c r="M842" s="268" t="str">
        <f t="shared" si="1327"/>
        <v/>
      </c>
      <c r="N842" s="268" t="str">
        <f t="shared" si="1328"/>
        <v/>
      </c>
      <c r="O842" s="268" t="str">
        <f t="shared" si="1329"/>
        <v/>
      </c>
      <c r="P842" s="268" t="str">
        <f t="shared" si="1330"/>
        <v/>
      </c>
      <c r="Q842" s="268" t="str">
        <f t="shared" si="1331"/>
        <v/>
      </c>
      <c r="R842" s="268" t="str">
        <f t="shared" si="1332"/>
        <v/>
      </c>
      <c r="S842" s="268" t="str">
        <f t="shared" si="1333"/>
        <v/>
      </c>
      <c r="T842" s="268" t="str">
        <f t="shared" si="1334"/>
        <v/>
      </c>
      <c r="U842" s="268" t="str">
        <f t="shared" si="1335"/>
        <v/>
      </c>
      <c r="V842" s="268" t="str">
        <f t="shared" si="1336"/>
        <v/>
      </c>
      <c r="W842" s="268" t="str">
        <f t="shared" si="1337"/>
        <v/>
      </c>
      <c r="X842" s="268" t="str">
        <f t="shared" si="1338"/>
        <v/>
      </c>
      <c r="Y842" s="268" t="str">
        <f t="shared" si="1339"/>
        <v/>
      </c>
      <c r="Z842" s="268" t="str">
        <f t="shared" si="1340"/>
        <v/>
      </c>
      <c r="AA842" s="268" t="str">
        <f t="shared" si="1341"/>
        <v/>
      </c>
      <c r="AB842" s="268" t="str">
        <f t="shared" si="1342"/>
        <v/>
      </c>
      <c r="AC842" s="268" t="str">
        <f t="shared" si="1343"/>
        <v/>
      </c>
      <c r="AD842" s="268">
        <f t="shared" si="1344"/>
        <v>3120</v>
      </c>
      <c r="AE842" s="268" t="str">
        <f t="shared" si="1345"/>
        <v/>
      </c>
      <c r="AF842" s="268" t="str">
        <f t="shared" si="1346"/>
        <v/>
      </c>
      <c r="AG842" s="268" t="str">
        <f t="shared" si="1347"/>
        <v/>
      </c>
      <c r="AH842" s="268" t="str">
        <f t="shared" si="1348"/>
        <v/>
      </c>
      <c r="AI842" s="268" t="str">
        <f t="shared" si="1349"/>
        <v/>
      </c>
      <c r="AJ842" s="268" t="str">
        <f t="shared" si="1350"/>
        <v/>
      </c>
      <c r="AK842" s="268" t="str">
        <f t="shared" si="1351"/>
        <v/>
      </c>
      <c r="AL842" s="268" t="str">
        <f t="shared" si="1352"/>
        <v/>
      </c>
      <c r="AM842" s="268" t="str">
        <f t="shared" si="1353"/>
        <v/>
      </c>
      <c r="AN842" s="268" t="str">
        <f t="shared" si="1354"/>
        <v/>
      </c>
      <c r="AO842" s="268" t="str">
        <f t="shared" si="1355"/>
        <v/>
      </c>
      <c r="AP842" s="268" t="str">
        <f t="shared" si="1356"/>
        <v/>
      </c>
      <c r="AQ842" s="268" t="str">
        <f t="shared" si="1357"/>
        <v/>
      </c>
      <c r="AR842" s="268" t="str">
        <f t="shared" si="1358"/>
        <v/>
      </c>
      <c r="AS842" s="268" t="str">
        <f t="shared" si="1359"/>
        <v/>
      </c>
      <c r="AT842" s="268" t="str">
        <f t="shared" si="1360"/>
        <v/>
      </c>
      <c r="AU842" s="268" t="str">
        <f t="shared" si="1361"/>
        <v/>
      </c>
      <c r="AV842" s="268" t="str">
        <f t="shared" si="1362"/>
        <v/>
      </c>
      <c r="AW842" s="268" t="str">
        <f t="shared" si="1363"/>
        <v/>
      </c>
      <c r="AX842" s="268" t="str">
        <f t="shared" si="1364"/>
        <v/>
      </c>
      <c r="AY842" s="268" t="str">
        <f t="shared" si="1365"/>
        <v/>
      </c>
      <c r="AZ842" s="268" t="str">
        <f t="shared" si="1366"/>
        <v/>
      </c>
      <c r="BA842" s="268" t="str">
        <f t="shared" si="1367"/>
        <v/>
      </c>
      <c r="BB842" s="268" t="str">
        <f t="shared" si="1368"/>
        <v/>
      </c>
      <c r="BC842" s="268" t="str">
        <f t="shared" si="1369"/>
        <v/>
      </c>
      <c r="BD842" s="268" t="str">
        <f t="shared" si="1370"/>
        <v/>
      </c>
      <c r="BE842" s="268" t="str">
        <f t="shared" si="1371"/>
        <v/>
      </c>
      <c r="BF842" s="268" t="str">
        <f t="shared" si="1372"/>
        <v/>
      </c>
      <c r="BG842" s="268" t="str">
        <f t="shared" si="1373"/>
        <v/>
      </c>
      <c r="BH842" s="268" t="str">
        <f t="shared" si="1374"/>
        <v/>
      </c>
      <c r="BI842" s="268" t="str">
        <f t="shared" si="1375"/>
        <v/>
      </c>
      <c r="BJ842" s="268" t="str">
        <f t="shared" si="1376"/>
        <v/>
      </c>
      <c r="BK842" s="268" t="str">
        <f t="shared" si="1377"/>
        <v/>
      </c>
      <c r="BL842" s="268" t="str">
        <f t="shared" si="1378"/>
        <v/>
      </c>
      <c r="BM842" s="268" t="str">
        <f t="shared" si="1379"/>
        <v/>
      </c>
      <c r="BN842" s="268" t="str">
        <f t="shared" si="1312"/>
        <v/>
      </c>
      <c r="BO842" s="268" t="str">
        <f t="shared" si="1313"/>
        <v/>
      </c>
      <c r="BP842" s="268" t="str">
        <f t="shared" si="1314"/>
        <v/>
      </c>
      <c r="BQ842" s="268" t="str">
        <f t="shared" si="1315"/>
        <v/>
      </c>
      <c r="BR842" s="268" t="str">
        <f t="shared" si="1316"/>
        <v/>
      </c>
      <c r="BS842" s="268" t="str">
        <f t="shared" si="1317"/>
        <v/>
      </c>
      <c r="BT842" s="268" t="str">
        <f t="shared" si="1380"/>
        <v/>
      </c>
      <c r="BU842" s="268" t="str">
        <f t="shared" si="1381"/>
        <v/>
      </c>
      <c r="BV842" s="247">
        <v>0.62</v>
      </c>
      <c r="BW842" s="729">
        <f t="shared" si="1382"/>
        <v>1934.4</v>
      </c>
      <c r="BX842" s="730">
        <f t="shared" si="1383"/>
        <v>14991.6</v>
      </c>
      <c r="BY842" s="731" t="str">
        <f t="shared" si="1384"/>
        <v>SR</v>
      </c>
    </row>
    <row r="843" s="698" customFormat="1" customHeight="1" spans="1:77">
      <c r="A843" s="248">
        <v>46148</v>
      </c>
      <c r="B843" s="248">
        <v>46195</v>
      </c>
      <c r="C843" s="268" t="s">
        <v>821</v>
      </c>
      <c r="D843" s="268" t="s">
        <v>822</v>
      </c>
      <c r="E843" s="268" t="s">
        <v>66</v>
      </c>
      <c r="F843" s="343">
        <v>1440</v>
      </c>
      <c r="G843" s="268" t="s">
        <v>510</v>
      </c>
      <c r="H843" s="211" t="str">
        <f>IFERROR(VLOOKUP(E843,名称!A:E,4,0),"")</f>
        <v>三代</v>
      </c>
      <c r="I843" s="268" t="str">
        <f t="shared" si="1323"/>
        <v/>
      </c>
      <c r="J843" s="268" t="str">
        <f t="shared" si="1324"/>
        <v/>
      </c>
      <c r="K843" s="268" t="str">
        <f t="shared" si="1325"/>
        <v/>
      </c>
      <c r="L843" s="268" t="str">
        <f t="shared" si="1326"/>
        <v/>
      </c>
      <c r="M843" s="268" t="str">
        <f t="shared" si="1327"/>
        <v/>
      </c>
      <c r="N843" s="268" t="str">
        <f t="shared" si="1328"/>
        <v/>
      </c>
      <c r="O843" s="268" t="str">
        <f t="shared" si="1329"/>
        <v/>
      </c>
      <c r="P843" s="268" t="str">
        <f t="shared" si="1330"/>
        <v/>
      </c>
      <c r="Q843" s="268" t="str">
        <f t="shared" si="1331"/>
        <v/>
      </c>
      <c r="R843" s="268" t="str">
        <f t="shared" si="1332"/>
        <v/>
      </c>
      <c r="S843" s="268" t="str">
        <f t="shared" si="1333"/>
        <v/>
      </c>
      <c r="T843" s="268" t="str">
        <f t="shared" si="1334"/>
        <v/>
      </c>
      <c r="U843" s="268" t="str">
        <f t="shared" si="1335"/>
        <v/>
      </c>
      <c r="V843" s="268" t="str">
        <f t="shared" si="1336"/>
        <v/>
      </c>
      <c r="W843" s="268" t="str">
        <f t="shared" si="1337"/>
        <v/>
      </c>
      <c r="X843" s="268" t="str">
        <f t="shared" si="1338"/>
        <v/>
      </c>
      <c r="Y843" s="268" t="str">
        <f t="shared" si="1339"/>
        <v/>
      </c>
      <c r="Z843" s="268" t="str">
        <f t="shared" si="1340"/>
        <v/>
      </c>
      <c r="AA843" s="268" t="str">
        <f t="shared" si="1341"/>
        <v/>
      </c>
      <c r="AB843" s="268" t="str">
        <f t="shared" si="1342"/>
        <v/>
      </c>
      <c r="AC843" s="268" t="str">
        <f t="shared" si="1343"/>
        <v/>
      </c>
      <c r="AD843" s="268" t="str">
        <f t="shared" si="1344"/>
        <v/>
      </c>
      <c r="AE843" s="268" t="str">
        <f t="shared" si="1345"/>
        <v/>
      </c>
      <c r="AF843" s="268" t="str">
        <f t="shared" si="1346"/>
        <v/>
      </c>
      <c r="AG843" s="268">
        <f t="shared" si="1347"/>
        <v>1440</v>
      </c>
      <c r="AH843" s="268" t="str">
        <f t="shared" si="1348"/>
        <v/>
      </c>
      <c r="AI843" s="268" t="str">
        <f t="shared" si="1349"/>
        <v/>
      </c>
      <c r="AJ843" s="268" t="str">
        <f t="shared" si="1350"/>
        <v/>
      </c>
      <c r="AK843" s="268" t="str">
        <f t="shared" si="1351"/>
        <v/>
      </c>
      <c r="AL843" s="268" t="str">
        <f t="shared" si="1352"/>
        <v/>
      </c>
      <c r="AM843" s="268" t="str">
        <f t="shared" si="1353"/>
        <v/>
      </c>
      <c r="AN843" s="268" t="str">
        <f t="shared" si="1354"/>
        <v/>
      </c>
      <c r="AO843" s="268" t="str">
        <f t="shared" si="1355"/>
        <v/>
      </c>
      <c r="AP843" s="268" t="str">
        <f t="shared" si="1356"/>
        <v/>
      </c>
      <c r="AQ843" s="268" t="str">
        <f t="shared" si="1357"/>
        <v/>
      </c>
      <c r="AR843" s="268" t="str">
        <f t="shared" si="1358"/>
        <v/>
      </c>
      <c r="AS843" s="268" t="str">
        <f t="shared" si="1359"/>
        <v/>
      </c>
      <c r="AT843" s="268" t="str">
        <f t="shared" si="1360"/>
        <v/>
      </c>
      <c r="AU843" s="268" t="str">
        <f t="shared" si="1361"/>
        <v/>
      </c>
      <c r="AV843" s="268" t="str">
        <f t="shared" si="1362"/>
        <v/>
      </c>
      <c r="AW843" s="268" t="str">
        <f t="shared" si="1363"/>
        <v/>
      </c>
      <c r="AX843" s="268" t="str">
        <f t="shared" si="1364"/>
        <v/>
      </c>
      <c r="AY843" s="268" t="str">
        <f t="shared" si="1365"/>
        <v/>
      </c>
      <c r="AZ843" s="268" t="str">
        <f t="shared" si="1366"/>
        <v/>
      </c>
      <c r="BA843" s="268" t="str">
        <f t="shared" si="1367"/>
        <v/>
      </c>
      <c r="BB843" s="268" t="str">
        <f t="shared" si="1368"/>
        <v/>
      </c>
      <c r="BC843" s="268" t="str">
        <f t="shared" si="1369"/>
        <v/>
      </c>
      <c r="BD843" s="268" t="str">
        <f t="shared" si="1370"/>
        <v/>
      </c>
      <c r="BE843" s="268" t="str">
        <f t="shared" si="1371"/>
        <v/>
      </c>
      <c r="BF843" s="268" t="str">
        <f t="shared" si="1372"/>
        <v/>
      </c>
      <c r="BG843" s="268" t="str">
        <f t="shared" si="1373"/>
        <v/>
      </c>
      <c r="BH843" s="268" t="str">
        <f t="shared" si="1374"/>
        <v/>
      </c>
      <c r="BI843" s="268" t="str">
        <f t="shared" si="1375"/>
        <v/>
      </c>
      <c r="BJ843" s="268" t="str">
        <f t="shared" si="1376"/>
        <v/>
      </c>
      <c r="BK843" s="268" t="str">
        <f t="shared" si="1377"/>
        <v/>
      </c>
      <c r="BL843" s="268" t="str">
        <f t="shared" si="1378"/>
        <v/>
      </c>
      <c r="BM843" s="268" t="str">
        <f t="shared" si="1379"/>
        <v/>
      </c>
      <c r="BN843" s="268" t="str">
        <f t="shared" si="1312"/>
        <v/>
      </c>
      <c r="BO843" s="268" t="str">
        <f t="shared" si="1313"/>
        <v/>
      </c>
      <c r="BP843" s="268" t="str">
        <f t="shared" si="1314"/>
        <v/>
      </c>
      <c r="BQ843" s="268" t="str">
        <f t="shared" si="1315"/>
        <v/>
      </c>
      <c r="BR843" s="268" t="str">
        <f t="shared" si="1316"/>
        <v/>
      </c>
      <c r="BS843" s="268" t="str">
        <f t="shared" si="1317"/>
        <v/>
      </c>
      <c r="BT843" s="268" t="str">
        <f t="shared" si="1380"/>
        <v/>
      </c>
      <c r="BU843" s="268" t="str">
        <f t="shared" si="1381"/>
        <v/>
      </c>
      <c r="BV843" s="247">
        <v>2.02</v>
      </c>
      <c r="BW843" s="729">
        <f t="shared" si="1382"/>
        <v>2908.8</v>
      </c>
      <c r="BX843" s="730">
        <f t="shared" si="1383"/>
        <v>22543.2</v>
      </c>
      <c r="BY843" s="731" t="str">
        <f t="shared" si="1384"/>
        <v>SR</v>
      </c>
    </row>
    <row r="844" s="698" customFormat="1" customHeight="1" spans="1:77">
      <c r="A844" s="248">
        <v>46148</v>
      </c>
      <c r="B844" s="248">
        <v>46195</v>
      </c>
      <c r="C844" s="268" t="s">
        <v>821</v>
      </c>
      <c r="D844" s="268" t="s">
        <v>822</v>
      </c>
      <c r="E844" s="268" t="s">
        <v>68</v>
      </c>
      <c r="F844" s="343">
        <v>1200</v>
      </c>
      <c r="G844" s="268" t="s">
        <v>510</v>
      </c>
      <c r="H844" s="211" t="str">
        <f>IFERROR(VLOOKUP(E844,名称!A:E,4,0),"")</f>
        <v>三代</v>
      </c>
      <c r="I844" s="268" t="str">
        <f t="shared" si="1323"/>
        <v/>
      </c>
      <c r="J844" s="268" t="str">
        <f t="shared" si="1324"/>
        <v/>
      </c>
      <c r="K844" s="268" t="str">
        <f t="shared" si="1325"/>
        <v/>
      </c>
      <c r="L844" s="268" t="str">
        <f t="shared" si="1326"/>
        <v/>
      </c>
      <c r="M844" s="268" t="str">
        <f t="shared" si="1327"/>
        <v/>
      </c>
      <c r="N844" s="268" t="str">
        <f t="shared" si="1328"/>
        <v/>
      </c>
      <c r="O844" s="268" t="str">
        <f t="shared" si="1329"/>
        <v/>
      </c>
      <c r="P844" s="268" t="str">
        <f t="shared" si="1330"/>
        <v/>
      </c>
      <c r="Q844" s="268" t="str">
        <f t="shared" si="1331"/>
        <v/>
      </c>
      <c r="R844" s="268" t="str">
        <f t="shared" si="1332"/>
        <v/>
      </c>
      <c r="S844" s="268" t="str">
        <f t="shared" si="1333"/>
        <v/>
      </c>
      <c r="T844" s="268" t="str">
        <f t="shared" si="1334"/>
        <v/>
      </c>
      <c r="U844" s="268" t="str">
        <f t="shared" si="1335"/>
        <v/>
      </c>
      <c r="V844" s="268" t="str">
        <f t="shared" si="1336"/>
        <v/>
      </c>
      <c r="W844" s="268" t="str">
        <f t="shared" si="1337"/>
        <v/>
      </c>
      <c r="X844" s="268" t="str">
        <f t="shared" si="1338"/>
        <v/>
      </c>
      <c r="Y844" s="268" t="str">
        <f t="shared" si="1339"/>
        <v/>
      </c>
      <c r="Z844" s="268" t="str">
        <f t="shared" si="1340"/>
        <v/>
      </c>
      <c r="AA844" s="268" t="str">
        <f t="shared" si="1341"/>
        <v/>
      </c>
      <c r="AB844" s="268" t="str">
        <f t="shared" si="1342"/>
        <v/>
      </c>
      <c r="AC844" s="268" t="str">
        <f t="shared" si="1343"/>
        <v/>
      </c>
      <c r="AD844" s="268" t="str">
        <f t="shared" si="1344"/>
        <v/>
      </c>
      <c r="AE844" s="268" t="str">
        <f t="shared" si="1345"/>
        <v/>
      </c>
      <c r="AF844" s="268" t="str">
        <f t="shared" si="1346"/>
        <v/>
      </c>
      <c r="AG844" s="268" t="str">
        <f t="shared" si="1347"/>
        <v/>
      </c>
      <c r="AH844" s="268">
        <f t="shared" si="1348"/>
        <v>1200</v>
      </c>
      <c r="AI844" s="268" t="str">
        <f t="shared" si="1349"/>
        <v/>
      </c>
      <c r="AJ844" s="268" t="str">
        <f t="shared" si="1350"/>
        <v/>
      </c>
      <c r="AK844" s="268" t="str">
        <f t="shared" si="1351"/>
        <v/>
      </c>
      <c r="AL844" s="268" t="str">
        <f t="shared" si="1352"/>
        <v/>
      </c>
      <c r="AM844" s="268" t="str">
        <f t="shared" si="1353"/>
        <v/>
      </c>
      <c r="AN844" s="268" t="str">
        <f t="shared" si="1354"/>
        <v/>
      </c>
      <c r="AO844" s="268" t="str">
        <f t="shared" si="1355"/>
        <v/>
      </c>
      <c r="AP844" s="268" t="str">
        <f t="shared" si="1356"/>
        <v/>
      </c>
      <c r="AQ844" s="268" t="str">
        <f t="shared" si="1357"/>
        <v/>
      </c>
      <c r="AR844" s="268" t="str">
        <f t="shared" si="1358"/>
        <v/>
      </c>
      <c r="AS844" s="268" t="str">
        <f t="shared" si="1359"/>
        <v/>
      </c>
      <c r="AT844" s="268" t="str">
        <f t="shared" si="1360"/>
        <v/>
      </c>
      <c r="AU844" s="268" t="str">
        <f t="shared" si="1361"/>
        <v/>
      </c>
      <c r="AV844" s="268" t="str">
        <f t="shared" si="1362"/>
        <v/>
      </c>
      <c r="AW844" s="268" t="str">
        <f t="shared" si="1363"/>
        <v/>
      </c>
      <c r="AX844" s="268" t="str">
        <f t="shared" si="1364"/>
        <v/>
      </c>
      <c r="AY844" s="268" t="str">
        <f t="shared" si="1365"/>
        <v/>
      </c>
      <c r="AZ844" s="268" t="str">
        <f t="shared" si="1366"/>
        <v/>
      </c>
      <c r="BA844" s="268" t="str">
        <f t="shared" si="1367"/>
        <v/>
      </c>
      <c r="BB844" s="268" t="str">
        <f t="shared" si="1368"/>
        <v/>
      </c>
      <c r="BC844" s="268" t="str">
        <f t="shared" si="1369"/>
        <v/>
      </c>
      <c r="BD844" s="268" t="str">
        <f t="shared" si="1370"/>
        <v/>
      </c>
      <c r="BE844" s="268" t="str">
        <f t="shared" si="1371"/>
        <v/>
      </c>
      <c r="BF844" s="268" t="str">
        <f t="shared" si="1372"/>
        <v/>
      </c>
      <c r="BG844" s="268" t="str">
        <f t="shared" si="1373"/>
        <v/>
      </c>
      <c r="BH844" s="268" t="str">
        <f t="shared" si="1374"/>
        <v/>
      </c>
      <c r="BI844" s="268" t="str">
        <f t="shared" si="1375"/>
        <v/>
      </c>
      <c r="BJ844" s="268" t="str">
        <f t="shared" si="1376"/>
        <v/>
      </c>
      <c r="BK844" s="268" t="str">
        <f t="shared" si="1377"/>
        <v/>
      </c>
      <c r="BL844" s="268" t="str">
        <f t="shared" si="1378"/>
        <v/>
      </c>
      <c r="BM844" s="268" t="str">
        <f t="shared" si="1379"/>
        <v/>
      </c>
      <c r="BN844" s="268" t="str">
        <f t="shared" si="1312"/>
        <v/>
      </c>
      <c r="BO844" s="268" t="str">
        <f t="shared" si="1313"/>
        <v/>
      </c>
      <c r="BP844" s="268" t="str">
        <f t="shared" si="1314"/>
        <v/>
      </c>
      <c r="BQ844" s="268" t="str">
        <f t="shared" si="1315"/>
        <v/>
      </c>
      <c r="BR844" s="268" t="str">
        <f t="shared" si="1316"/>
        <v/>
      </c>
      <c r="BS844" s="268" t="str">
        <f t="shared" si="1317"/>
        <v/>
      </c>
      <c r="BT844" s="268" t="str">
        <f t="shared" si="1380"/>
        <v/>
      </c>
      <c r="BU844" s="268" t="str">
        <f t="shared" si="1381"/>
        <v/>
      </c>
      <c r="BV844" s="247">
        <v>3.09</v>
      </c>
      <c r="BW844" s="729">
        <f t="shared" si="1382"/>
        <v>3708</v>
      </c>
      <c r="BX844" s="730">
        <f t="shared" si="1383"/>
        <v>28737</v>
      </c>
      <c r="BY844" s="731" t="str">
        <f t="shared" si="1384"/>
        <v>SR</v>
      </c>
    </row>
    <row r="845" s="698" customFormat="1" customHeight="1" spans="1:77">
      <c r="A845" s="248">
        <v>46148</v>
      </c>
      <c r="B845" s="248">
        <v>46195</v>
      </c>
      <c r="C845" s="268" t="s">
        <v>821</v>
      </c>
      <c r="D845" s="268" t="s">
        <v>822</v>
      </c>
      <c r="E845" s="268" t="s">
        <v>72</v>
      </c>
      <c r="F845" s="343">
        <v>1512</v>
      </c>
      <c r="G845" s="268" t="s">
        <v>510</v>
      </c>
      <c r="H845" s="211" t="str">
        <f>IFERROR(VLOOKUP(E845,名称!A:E,4,0),"")</f>
        <v>三代</v>
      </c>
      <c r="I845" s="268" t="str">
        <f t="shared" si="1323"/>
        <v/>
      </c>
      <c r="J845" s="268" t="str">
        <f t="shared" si="1324"/>
        <v/>
      </c>
      <c r="K845" s="268" t="str">
        <f t="shared" si="1325"/>
        <v/>
      </c>
      <c r="L845" s="268" t="str">
        <f t="shared" si="1326"/>
        <v/>
      </c>
      <c r="M845" s="268" t="str">
        <f t="shared" si="1327"/>
        <v/>
      </c>
      <c r="N845" s="268" t="str">
        <f t="shared" si="1328"/>
        <v/>
      </c>
      <c r="O845" s="268" t="str">
        <f t="shared" si="1329"/>
        <v/>
      </c>
      <c r="P845" s="268" t="str">
        <f t="shared" si="1330"/>
        <v/>
      </c>
      <c r="Q845" s="268" t="str">
        <f t="shared" si="1331"/>
        <v/>
      </c>
      <c r="R845" s="268" t="str">
        <f t="shared" si="1332"/>
        <v/>
      </c>
      <c r="S845" s="268" t="str">
        <f t="shared" si="1333"/>
        <v/>
      </c>
      <c r="T845" s="268" t="str">
        <f t="shared" si="1334"/>
        <v/>
      </c>
      <c r="U845" s="268" t="str">
        <f t="shared" si="1335"/>
        <v/>
      </c>
      <c r="V845" s="268" t="str">
        <f t="shared" si="1336"/>
        <v/>
      </c>
      <c r="W845" s="268" t="str">
        <f t="shared" si="1337"/>
        <v/>
      </c>
      <c r="X845" s="268" t="str">
        <f t="shared" si="1338"/>
        <v/>
      </c>
      <c r="Y845" s="268" t="str">
        <f t="shared" si="1339"/>
        <v/>
      </c>
      <c r="Z845" s="268" t="str">
        <f t="shared" si="1340"/>
        <v/>
      </c>
      <c r="AA845" s="268" t="str">
        <f t="shared" si="1341"/>
        <v/>
      </c>
      <c r="AB845" s="268" t="str">
        <f t="shared" si="1342"/>
        <v/>
      </c>
      <c r="AC845" s="268" t="str">
        <f t="shared" si="1343"/>
        <v/>
      </c>
      <c r="AD845" s="268" t="str">
        <f t="shared" si="1344"/>
        <v/>
      </c>
      <c r="AE845" s="268" t="str">
        <f t="shared" si="1345"/>
        <v/>
      </c>
      <c r="AF845" s="268" t="str">
        <f t="shared" si="1346"/>
        <v/>
      </c>
      <c r="AG845" s="268" t="str">
        <f t="shared" si="1347"/>
        <v/>
      </c>
      <c r="AH845" s="268" t="str">
        <f t="shared" si="1348"/>
        <v/>
      </c>
      <c r="AI845" s="268" t="str">
        <f t="shared" si="1349"/>
        <v/>
      </c>
      <c r="AJ845" s="268" t="str">
        <f t="shared" si="1350"/>
        <v/>
      </c>
      <c r="AK845" s="268" t="str">
        <f t="shared" si="1351"/>
        <v/>
      </c>
      <c r="AL845" s="268">
        <f t="shared" si="1352"/>
        <v>1512</v>
      </c>
      <c r="AM845" s="268" t="str">
        <f t="shared" si="1353"/>
        <v/>
      </c>
      <c r="AN845" s="268" t="str">
        <f t="shared" si="1354"/>
        <v/>
      </c>
      <c r="AO845" s="268" t="str">
        <f t="shared" si="1355"/>
        <v/>
      </c>
      <c r="AP845" s="268" t="str">
        <f t="shared" si="1356"/>
        <v/>
      </c>
      <c r="AQ845" s="268" t="str">
        <f t="shared" si="1357"/>
        <v/>
      </c>
      <c r="AR845" s="268" t="str">
        <f t="shared" si="1358"/>
        <v/>
      </c>
      <c r="AS845" s="268" t="str">
        <f t="shared" si="1359"/>
        <v/>
      </c>
      <c r="AT845" s="268" t="str">
        <f t="shared" si="1360"/>
        <v/>
      </c>
      <c r="AU845" s="268" t="str">
        <f t="shared" si="1361"/>
        <v/>
      </c>
      <c r="AV845" s="268" t="str">
        <f t="shared" si="1362"/>
        <v/>
      </c>
      <c r="AW845" s="268" t="str">
        <f t="shared" si="1363"/>
        <v/>
      </c>
      <c r="AX845" s="268" t="str">
        <f t="shared" si="1364"/>
        <v/>
      </c>
      <c r="AY845" s="268" t="str">
        <f t="shared" si="1365"/>
        <v/>
      </c>
      <c r="AZ845" s="268" t="str">
        <f t="shared" si="1366"/>
        <v/>
      </c>
      <c r="BA845" s="268" t="str">
        <f t="shared" si="1367"/>
        <v/>
      </c>
      <c r="BB845" s="268" t="str">
        <f t="shared" si="1368"/>
        <v/>
      </c>
      <c r="BC845" s="268" t="str">
        <f t="shared" si="1369"/>
        <v/>
      </c>
      <c r="BD845" s="268" t="str">
        <f t="shared" si="1370"/>
        <v/>
      </c>
      <c r="BE845" s="268" t="str">
        <f t="shared" si="1371"/>
        <v/>
      </c>
      <c r="BF845" s="268" t="str">
        <f t="shared" si="1372"/>
        <v/>
      </c>
      <c r="BG845" s="268" t="str">
        <f t="shared" si="1373"/>
        <v/>
      </c>
      <c r="BH845" s="268" t="str">
        <f t="shared" si="1374"/>
        <v/>
      </c>
      <c r="BI845" s="268" t="str">
        <f t="shared" si="1375"/>
        <v/>
      </c>
      <c r="BJ845" s="268" t="str">
        <f t="shared" si="1376"/>
        <v/>
      </c>
      <c r="BK845" s="268" t="str">
        <f t="shared" si="1377"/>
        <v/>
      </c>
      <c r="BL845" s="268" t="str">
        <f t="shared" si="1378"/>
        <v/>
      </c>
      <c r="BM845" s="268" t="str">
        <f t="shared" si="1379"/>
        <v/>
      </c>
      <c r="BN845" s="268" t="str">
        <f t="shared" si="1312"/>
        <v/>
      </c>
      <c r="BO845" s="268" t="str">
        <f t="shared" si="1313"/>
        <v/>
      </c>
      <c r="BP845" s="268" t="str">
        <f t="shared" si="1314"/>
        <v/>
      </c>
      <c r="BQ845" s="268" t="str">
        <f t="shared" si="1315"/>
        <v/>
      </c>
      <c r="BR845" s="268" t="str">
        <f t="shared" si="1316"/>
        <v/>
      </c>
      <c r="BS845" s="268" t="str">
        <f t="shared" si="1317"/>
        <v/>
      </c>
      <c r="BT845" s="268" t="str">
        <f t="shared" si="1380"/>
        <v/>
      </c>
      <c r="BU845" s="268" t="str">
        <f t="shared" si="1381"/>
        <v/>
      </c>
      <c r="BV845" s="247">
        <v>1.58</v>
      </c>
      <c r="BW845" s="729">
        <f t="shared" si="1382"/>
        <v>2388.96</v>
      </c>
      <c r="BX845" s="730">
        <f t="shared" si="1383"/>
        <v>18514.44</v>
      </c>
      <c r="BY845" s="731" t="str">
        <f t="shared" si="1384"/>
        <v>SR</v>
      </c>
    </row>
    <row r="846" s="698" customFormat="1" customHeight="1" spans="1:77">
      <c r="A846" s="248">
        <v>46148</v>
      </c>
      <c r="B846" s="248">
        <v>46195</v>
      </c>
      <c r="C846" s="268" t="s">
        <v>821</v>
      </c>
      <c r="D846" s="268" t="s">
        <v>822</v>
      </c>
      <c r="E846" s="211" t="s">
        <v>112</v>
      </c>
      <c r="F846" s="343">
        <v>560</v>
      </c>
      <c r="G846" s="268" t="s">
        <v>510</v>
      </c>
      <c r="H846" s="211" t="str">
        <f>IFERROR(VLOOKUP(E846,名称!A:E,4,0),"")</f>
        <v>三代</v>
      </c>
      <c r="I846" s="268" t="str">
        <f t="shared" si="1323"/>
        <v/>
      </c>
      <c r="J846" s="268" t="str">
        <f t="shared" si="1324"/>
        <v/>
      </c>
      <c r="K846" s="268" t="str">
        <f t="shared" si="1325"/>
        <v/>
      </c>
      <c r="L846" s="268" t="str">
        <f t="shared" si="1326"/>
        <v/>
      </c>
      <c r="M846" s="268" t="str">
        <f t="shared" si="1327"/>
        <v/>
      </c>
      <c r="N846" s="268" t="str">
        <f t="shared" si="1328"/>
        <v/>
      </c>
      <c r="O846" s="268" t="str">
        <f t="shared" si="1329"/>
        <v/>
      </c>
      <c r="P846" s="268" t="str">
        <f t="shared" si="1330"/>
        <v/>
      </c>
      <c r="Q846" s="268" t="str">
        <f t="shared" si="1331"/>
        <v/>
      </c>
      <c r="R846" s="268" t="str">
        <f t="shared" si="1332"/>
        <v/>
      </c>
      <c r="S846" s="268" t="str">
        <f t="shared" si="1333"/>
        <v/>
      </c>
      <c r="T846" s="268" t="str">
        <f t="shared" si="1334"/>
        <v/>
      </c>
      <c r="U846" s="268" t="str">
        <f t="shared" si="1335"/>
        <v/>
      </c>
      <c r="V846" s="268" t="str">
        <f t="shared" si="1336"/>
        <v/>
      </c>
      <c r="W846" s="268" t="str">
        <f t="shared" si="1337"/>
        <v/>
      </c>
      <c r="X846" s="268" t="str">
        <f t="shared" si="1338"/>
        <v/>
      </c>
      <c r="Y846" s="268" t="str">
        <f t="shared" si="1339"/>
        <v/>
      </c>
      <c r="Z846" s="268" t="str">
        <f t="shared" si="1340"/>
        <v/>
      </c>
      <c r="AA846" s="268" t="str">
        <f t="shared" si="1341"/>
        <v/>
      </c>
      <c r="AB846" s="268" t="str">
        <f t="shared" si="1342"/>
        <v/>
      </c>
      <c r="AC846" s="268" t="str">
        <f t="shared" si="1343"/>
        <v/>
      </c>
      <c r="AD846" s="268" t="str">
        <f t="shared" si="1344"/>
        <v/>
      </c>
      <c r="AE846" s="268" t="str">
        <f t="shared" si="1345"/>
        <v/>
      </c>
      <c r="AF846" s="268" t="str">
        <f t="shared" si="1346"/>
        <v/>
      </c>
      <c r="AG846" s="268" t="str">
        <f t="shared" si="1347"/>
        <v/>
      </c>
      <c r="AH846" s="268" t="str">
        <f t="shared" si="1348"/>
        <v/>
      </c>
      <c r="AI846" s="268">
        <f t="shared" si="1349"/>
        <v>560</v>
      </c>
      <c r="AJ846" s="268" t="str">
        <f t="shared" si="1350"/>
        <v/>
      </c>
      <c r="AK846" s="268" t="str">
        <f t="shared" si="1351"/>
        <v/>
      </c>
      <c r="AL846" s="268" t="str">
        <f t="shared" si="1352"/>
        <v/>
      </c>
      <c r="AM846" s="268" t="str">
        <f t="shared" si="1353"/>
        <v/>
      </c>
      <c r="AN846" s="268" t="str">
        <f t="shared" si="1354"/>
        <v/>
      </c>
      <c r="AO846" s="268" t="str">
        <f t="shared" si="1355"/>
        <v/>
      </c>
      <c r="AP846" s="268" t="str">
        <f t="shared" si="1356"/>
        <v/>
      </c>
      <c r="AQ846" s="268" t="str">
        <f t="shared" si="1357"/>
        <v/>
      </c>
      <c r="AR846" s="268" t="str">
        <f t="shared" si="1358"/>
        <v/>
      </c>
      <c r="AS846" s="268" t="str">
        <f t="shared" si="1359"/>
        <v/>
      </c>
      <c r="AT846" s="268" t="str">
        <f t="shared" si="1360"/>
        <v/>
      </c>
      <c r="AU846" s="268" t="str">
        <f t="shared" si="1361"/>
        <v/>
      </c>
      <c r="AV846" s="268" t="str">
        <f t="shared" si="1362"/>
        <v/>
      </c>
      <c r="AW846" s="268" t="str">
        <f t="shared" si="1363"/>
        <v/>
      </c>
      <c r="AX846" s="268" t="str">
        <f t="shared" si="1364"/>
        <v/>
      </c>
      <c r="AY846" s="268" t="str">
        <f t="shared" si="1365"/>
        <v/>
      </c>
      <c r="AZ846" s="268" t="str">
        <f t="shared" si="1366"/>
        <v/>
      </c>
      <c r="BA846" s="268" t="str">
        <f t="shared" si="1367"/>
        <v/>
      </c>
      <c r="BB846" s="268" t="str">
        <f t="shared" si="1368"/>
        <v/>
      </c>
      <c r="BC846" s="268" t="str">
        <f t="shared" si="1369"/>
        <v/>
      </c>
      <c r="BD846" s="268" t="str">
        <f t="shared" si="1370"/>
        <v/>
      </c>
      <c r="BE846" s="268" t="str">
        <f t="shared" si="1371"/>
        <v/>
      </c>
      <c r="BF846" s="268" t="str">
        <f t="shared" si="1372"/>
        <v/>
      </c>
      <c r="BG846" s="268" t="str">
        <f t="shared" si="1373"/>
        <v/>
      </c>
      <c r="BH846" s="268" t="str">
        <f t="shared" si="1374"/>
        <v/>
      </c>
      <c r="BI846" s="268" t="str">
        <f t="shared" si="1375"/>
        <v/>
      </c>
      <c r="BJ846" s="268" t="str">
        <f t="shared" si="1376"/>
        <v/>
      </c>
      <c r="BK846" s="268" t="str">
        <f t="shared" si="1377"/>
        <v/>
      </c>
      <c r="BL846" s="268" t="str">
        <f t="shared" si="1378"/>
        <v/>
      </c>
      <c r="BM846" s="268" t="str">
        <f t="shared" si="1379"/>
        <v/>
      </c>
      <c r="BN846" s="268" t="str">
        <f t="shared" si="1312"/>
        <v/>
      </c>
      <c r="BO846" s="268" t="str">
        <f t="shared" si="1313"/>
        <v/>
      </c>
      <c r="BP846" s="268" t="str">
        <f t="shared" si="1314"/>
        <v/>
      </c>
      <c r="BQ846" s="268" t="str">
        <f t="shared" si="1315"/>
        <v/>
      </c>
      <c r="BR846" s="268" t="str">
        <f t="shared" si="1316"/>
        <v/>
      </c>
      <c r="BS846" s="268" t="str">
        <f t="shared" si="1317"/>
        <v/>
      </c>
      <c r="BT846" s="268" t="str">
        <f t="shared" si="1380"/>
        <v/>
      </c>
      <c r="BU846" s="268" t="str">
        <f t="shared" si="1381"/>
        <v/>
      </c>
      <c r="BV846" s="247">
        <v>9.12</v>
      </c>
      <c r="BW846" s="729">
        <f t="shared" si="1382"/>
        <v>5107.2</v>
      </c>
      <c r="BX846" s="730">
        <f t="shared" si="1383"/>
        <v>39580.8</v>
      </c>
      <c r="BY846" s="731" t="str">
        <f t="shared" si="1384"/>
        <v>SR</v>
      </c>
    </row>
    <row r="847" s="698" customFormat="1" customHeight="1" spans="1:77">
      <c r="A847" s="248">
        <v>46148</v>
      </c>
      <c r="B847" s="248">
        <v>46195</v>
      </c>
      <c r="C847" s="268" t="s">
        <v>821</v>
      </c>
      <c r="D847" s="268" t="s">
        <v>822</v>
      </c>
      <c r="E847" s="268" t="s">
        <v>85</v>
      </c>
      <c r="F847" s="343">
        <v>4080</v>
      </c>
      <c r="G847" s="268" t="s">
        <v>510</v>
      </c>
      <c r="H847" s="211" t="str">
        <f>IFERROR(VLOOKUP(E847,名称!A:E,4,0),"")</f>
        <v>三代</v>
      </c>
      <c r="I847" s="268" t="str">
        <f t="shared" si="1323"/>
        <v/>
      </c>
      <c r="J847" s="268" t="str">
        <f t="shared" si="1324"/>
        <v/>
      </c>
      <c r="K847" s="268" t="str">
        <f t="shared" si="1325"/>
        <v/>
      </c>
      <c r="L847" s="268" t="str">
        <f t="shared" si="1326"/>
        <v/>
      </c>
      <c r="M847" s="268" t="str">
        <f t="shared" si="1327"/>
        <v/>
      </c>
      <c r="N847" s="268" t="str">
        <f t="shared" si="1328"/>
        <v/>
      </c>
      <c r="O847" s="268" t="str">
        <f t="shared" si="1329"/>
        <v/>
      </c>
      <c r="P847" s="268" t="str">
        <f t="shared" si="1330"/>
        <v/>
      </c>
      <c r="Q847" s="268" t="str">
        <f t="shared" si="1331"/>
        <v/>
      </c>
      <c r="R847" s="268" t="str">
        <f t="shared" si="1332"/>
        <v/>
      </c>
      <c r="S847" s="268" t="str">
        <f t="shared" si="1333"/>
        <v/>
      </c>
      <c r="T847" s="268" t="str">
        <f t="shared" si="1334"/>
        <v/>
      </c>
      <c r="U847" s="268" t="str">
        <f t="shared" si="1335"/>
        <v/>
      </c>
      <c r="V847" s="268" t="str">
        <f t="shared" si="1336"/>
        <v/>
      </c>
      <c r="W847" s="268" t="str">
        <f t="shared" si="1337"/>
        <v/>
      </c>
      <c r="X847" s="268" t="str">
        <f t="shared" si="1338"/>
        <v/>
      </c>
      <c r="Y847" s="268" t="str">
        <f t="shared" si="1339"/>
        <v/>
      </c>
      <c r="Z847" s="268" t="str">
        <f t="shared" si="1340"/>
        <v/>
      </c>
      <c r="AA847" s="268" t="str">
        <f t="shared" si="1341"/>
        <v/>
      </c>
      <c r="AB847" s="268" t="str">
        <f t="shared" si="1342"/>
        <v/>
      </c>
      <c r="AC847" s="268" t="str">
        <f t="shared" si="1343"/>
        <v/>
      </c>
      <c r="AD847" s="268" t="str">
        <f t="shared" si="1344"/>
        <v/>
      </c>
      <c r="AE847" s="268" t="str">
        <f t="shared" si="1345"/>
        <v/>
      </c>
      <c r="AF847" s="268" t="str">
        <f t="shared" si="1346"/>
        <v/>
      </c>
      <c r="AG847" s="268" t="str">
        <f t="shared" si="1347"/>
        <v/>
      </c>
      <c r="AH847" s="268" t="str">
        <f t="shared" si="1348"/>
        <v/>
      </c>
      <c r="AI847" s="268" t="str">
        <f t="shared" si="1349"/>
        <v/>
      </c>
      <c r="AJ847" s="268" t="str">
        <f t="shared" si="1350"/>
        <v/>
      </c>
      <c r="AK847" s="268" t="str">
        <f t="shared" si="1351"/>
        <v/>
      </c>
      <c r="AL847" s="268" t="str">
        <f t="shared" si="1352"/>
        <v/>
      </c>
      <c r="AM847" s="268" t="str">
        <f t="shared" si="1353"/>
        <v/>
      </c>
      <c r="AN847" s="268">
        <f t="shared" si="1354"/>
        <v>4080</v>
      </c>
      <c r="AO847" s="268" t="str">
        <f t="shared" si="1355"/>
        <v/>
      </c>
      <c r="AP847" s="268" t="str">
        <f t="shared" si="1356"/>
        <v/>
      </c>
      <c r="AQ847" s="268" t="str">
        <f t="shared" si="1357"/>
        <v/>
      </c>
      <c r="AR847" s="268" t="str">
        <f t="shared" si="1358"/>
        <v/>
      </c>
      <c r="AS847" s="268" t="str">
        <f t="shared" si="1359"/>
        <v/>
      </c>
      <c r="AT847" s="268" t="str">
        <f t="shared" si="1360"/>
        <v/>
      </c>
      <c r="AU847" s="268" t="str">
        <f t="shared" si="1361"/>
        <v/>
      </c>
      <c r="AV847" s="268" t="str">
        <f t="shared" si="1362"/>
        <v/>
      </c>
      <c r="AW847" s="268" t="str">
        <f t="shared" si="1363"/>
        <v/>
      </c>
      <c r="AX847" s="268" t="str">
        <f t="shared" si="1364"/>
        <v/>
      </c>
      <c r="AY847" s="268" t="str">
        <f t="shared" si="1365"/>
        <v/>
      </c>
      <c r="AZ847" s="268" t="str">
        <f t="shared" si="1366"/>
        <v/>
      </c>
      <c r="BA847" s="268" t="str">
        <f t="shared" si="1367"/>
        <v/>
      </c>
      <c r="BB847" s="268" t="str">
        <f t="shared" si="1368"/>
        <v/>
      </c>
      <c r="BC847" s="268" t="str">
        <f t="shared" si="1369"/>
        <v/>
      </c>
      <c r="BD847" s="268" t="str">
        <f t="shared" si="1370"/>
        <v/>
      </c>
      <c r="BE847" s="268" t="str">
        <f t="shared" si="1371"/>
        <v/>
      </c>
      <c r="BF847" s="268" t="str">
        <f t="shared" si="1372"/>
        <v/>
      </c>
      <c r="BG847" s="268" t="str">
        <f t="shared" si="1373"/>
        <v/>
      </c>
      <c r="BH847" s="268" t="str">
        <f t="shared" si="1374"/>
        <v/>
      </c>
      <c r="BI847" s="268" t="str">
        <f t="shared" si="1375"/>
        <v/>
      </c>
      <c r="BJ847" s="268" t="str">
        <f t="shared" si="1376"/>
        <v/>
      </c>
      <c r="BK847" s="268" t="str">
        <f t="shared" si="1377"/>
        <v/>
      </c>
      <c r="BL847" s="268" t="str">
        <f t="shared" si="1378"/>
        <v/>
      </c>
      <c r="BM847" s="268" t="str">
        <f t="shared" si="1379"/>
        <v/>
      </c>
      <c r="BN847" s="268" t="str">
        <f t="shared" si="1312"/>
        <v/>
      </c>
      <c r="BO847" s="268" t="str">
        <f t="shared" si="1313"/>
        <v/>
      </c>
      <c r="BP847" s="268" t="str">
        <f t="shared" si="1314"/>
        <v/>
      </c>
      <c r="BQ847" s="268" t="str">
        <f t="shared" si="1315"/>
        <v/>
      </c>
      <c r="BR847" s="268" t="str">
        <f t="shared" si="1316"/>
        <v/>
      </c>
      <c r="BS847" s="268" t="str">
        <f t="shared" si="1317"/>
        <v/>
      </c>
      <c r="BT847" s="268" t="str">
        <f t="shared" si="1380"/>
        <v/>
      </c>
      <c r="BU847" s="268" t="str">
        <f t="shared" si="1381"/>
        <v/>
      </c>
      <c r="BV847" s="247">
        <v>0.88</v>
      </c>
      <c r="BW847" s="729">
        <f t="shared" si="1382"/>
        <v>3590.4</v>
      </c>
      <c r="BX847" s="730">
        <f t="shared" si="1383"/>
        <v>27825.6</v>
      </c>
      <c r="BY847" s="731" t="str">
        <f t="shared" si="1384"/>
        <v>SR</v>
      </c>
    </row>
    <row r="848" s="698" customFormat="1" customHeight="1" spans="1:77">
      <c r="A848" s="248">
        <v>46148</v>
      </c>
      <c r="B848" s="248">
        <v>46195</v>
      </c>
      <c r="C848" s="268" t="s">
        <v>821</v>
      </c>
      <c r="D848" s="268" t="s">
        <v>822</v>
      </c>
      <c r="E848" s="268" t="s">
        <v>109</v>
      </c>
      <c r="F848" s="343">
        <v>2040</v>
      </c>
      <c r="G848" s="268" t="s">
        <v>510</v>
      </c>
      <c r="H848" s="211" t="str">
        <f>IFERROR(VLOOKUP(E848,名称!A:E,4,0),"")</f>
        <v>三代</v>
      </c>
      <c r="I848" s="268" t="str">
        <f t="shared" si="1323"/>
        <v/>
      </c>
      <c r="J848" s="268" t="str">
        <f t="shared" si="1324"/>
        <v/>
      </c>
      <c r="K848" s="268" t="str">
        <f t="shared" si="1325"/>
        <v/>
      </c>
      <c r="L848" s="268" t="str">
        <f t="shared" si="1326"/>
        <v/>
      </c>
      <c r="M848" s="268" t="str">
        <f t="shared" si="1327"/>
        <v/>
      </c>
      <c r="N848" s="268" t="str">
        <f t="shared" si="1328"/>
        <v/>
      </c>
      <c r="O848" s="268" t="str">
        <f t="shared" si="1329"/>
        <v/>
      </c>
      <c r="P848" s="268" t="str">
        <f t="shared" si="1330"/>
        <v/>
      </c>
      <c r="Q848" s="268" t="str">
        <f t="shared" si="1331"/>
        <v/>
      </c>
      <c r="R848" s="268" t="str">
        <f t="shared" si="1332"/>
        <v/>
      </c>
      <c r="S848" s="268" t="str">
        <f t="shared" si="1333"/>
        <v/>
      </c>
      <c r="T848" s="268" t="str">
        <f t="shared" si="1334"/>
        <v/>
      </c>
      <c r="U848" s="268" t="str">
        <f t="shared" si="1335"/>
        <v/>
      </c>
      <c r="V848" s="268" t="str">
        <f t="shared" si="1336"/>
        <v/>
      </c>
      <c r="W848" s="268" t="str">
        <f t="shared" si="1337"/>
        <v/>
      </c>
      <c r="X848" s="268" t="str">
        <f t="shared" si="1338"/>
        <v/>
      </c>
      <c r="Y848" s="268" t="str">
        <f t="shared" si="1339"/>
        <v/>
      </c>
      <c r="Z848" s="268" t="str">
        <f t="shared" si="1340"/>
        <v/>
      </c>
      <c r="AA848" s="268" t="str">
        <f t="shared" si="1341"/>
        <v/>
      </c>
      <c r="AB848" s="268" t="str">
        <f t="shared" si="1342"/>
        <v/>
      </c>
      <c r="AC848" s="268" t="str">
        <f t="shared" si="1343"/>
        <v/>
      </c>
      <c r="AD848" s="268" t="str">
        <f t="shared" si="1344"/>
        <v/>
      </c>
      <c r="AE848" s="268" t="str">
        <f t="shared" si="1345"/>
        <v/>
      </c>
      <c r="AF848" s="268" t="str">
        <f t="shared" si="1346"/>
        <v/>
      </c>
      <c r="AG848" s="268" t="str">
        <f t="shared" si="1347"/>
        <v/>
      </c>
      <c r="AH848" s="268" t="str">
        <f t="shared" si="1348"/>
        <v/>
      </c>
      <c r="AI848" s="268" t="str">
        <f t="shared" si="1349"/>
        <v/>
      </c>
      <c r="AJ848" s="268" t="str">
        <f t="shared" si="1350"/>
        <v/>
      </c>
      <c r="AK848" s="268" t="str">
        <f t="shared" si="1351"/>
        <v/>
      </c>
      <c r="AL848" s="268" t="str">
        <f t="shared" si="1352"/>
        <v/>
      </c>
      <c r="AM848" s="268" t="str">
        <f t="shared" si="1353"/>
        <v/>
      </c>
      <c r="AN848" s="268" t="str">
        <f t="shared" si="1354"/>
        <v/>
      </c>
      <c r="AO848" s="268" t="str">
        <f t="shared" si="1355"/>
        <v/>
      </c>
      <c r="AP848" s="268" t="str">
        <f t="shared" si="1356"/>
        <v/>
      </c>
      <c r="AQ848" s="268" t="str">
        <f t="shared" si="1357"/>
        <v/>
      </c>
      <c r="AR848" s="268" t="str">
        <f t="shared" si="1358"/>
        <v/>
      </c>
      <c r="AS848" s="268" t="str">
        <f t="shared" si="1359"/>
        <v/>
      </c>
      <c r="AT848" s="268" t="str">
        <f t="shared" si="1360"/>
        <v/>
      </c>
      <c r="AU848" s="268" t="str">
        <f t="shared" si="1361"/>
        <v/>
      </c>
      <c r="AV848" s="268" t="str">
        <f t="shared" si="1362"/>
        <v/>
      </c>
      <c r="AW848" s="268" t="str">
        <f t="shared" si="1363"/>
        <v/>
      </c>
      <c r="AX848" s="268" t="str">
        <f t="shared" si="1364"/>
        <v/>
      </c>
      <c r="AY848" s="268" t="str">
        <f t="shared" si="1365"/>
        <v/>
      </c>
      <c r="AZ848" s="268" t="str">
        <f t="shared" si="1366"/>
        <v/>
      </c>
      <c r="BA848" s="268" t="str">
        <f t="shared" si="1367"/>
        <v/>
      </c>
      <c r="BB848" s="268" t="str">
        <f t="shared" si="1368"/>
        <v/>
      </c>
      <c r="BC848" s="268">
        <f t="shared" si="1369"/>
        <v>2040</v>
      </c>
      <c r="BD848" s="268" t="str">
        <f t="shared" si="1370"/>
        <v/>
      </c>
      <c r="BE848" s="268" t="str">
        <f t="shared" si="1371"/>
        <v/>
      </c>
      <c r="BF848" s="268" t="str">
        <f t="shared" si="1372"/>
        <v/>
      </c>
      <c r="BG848" s="268" t="str">
        <f t="shared" si="1373"/>
        <v/>
      </c>
      <c r="BH848" s="268" t="str">
        <f t="shared" si="1374"/>
        <v/>
      </c>
      <c r="BI848" s="268" t="str">
        <f t="shared" si="1375"/>
        <v/>
      </c>
      <c r="BJ848" s="268" t="str">
        <f t="shared" si="1376"/>
        <v/>
      </c>
      <c r="BK848" s="268" t="str">
        <f t="shared" si="1377"/>
        <v/>
      </c>
      <c r="BL848" s="268" t="str">
        <f t="shared" si="1378"/>
        <v/>
      </c>
      <c r="BM848" s="268" t="str">
        <f t="shared" si="1379"/>
        <v/>
      </c>
      <c r="BN848" s="268" t="str">
        <f t="shared" si="1312"/>
        <v/>
      </c>
      <c r="BO848" s="268" t="str">
        <f t="shared" si="1313"/>
        <v/>
      </c>
      <c r="BP848" s="268" t="str">
        <f t="shared" si="1314"/>
        <v/>
      </c>
      <c r="BQ848" s="268" t="str">
        <f t="shared" si="1315"/>
        <v/>
      </c>
      <c r="BR848" s="268" t="str">
        <f t="shared" si="1316"/>
        <v/>
      </c>
      <c r="BS848" s="268" t="str">
        <f t="shared" si="1317"/>
        <v/>
      </c>
      <c r="BT848" s="268" t="str">
        <f t="shared" si="1380"/>
        <v/>
      </c>
      <c r="BU848" s="268" t="str">
        <f t="shared" si="1381"/>
        <v/>
      </c>
      <c r="BV848" s="247">
        <v>0.59</v>
      </c>
      <c r="BW848" s="729">
        <f t="shared" si="1382"/>
        <v>1203.6</v>
      </c>
      <c r="BX848" s="730">
        <f t="shared" si="1383"/>
        <v>9327.9</v>
      </c>
      <c r="BY848" s="731" t="str">
        <f t="shared" si="1384"/>
        <v>JS</v>
      </c>
    </row>
    <row r="849" s="698" customFormat="1" customHeight="1" spans="1:77">
      <c r="A849" s="248">
        <v>46148</v>
      </c>
      <c r="B849" s="248">
        <v>46195</v>
      </c>
      <c r="C849" s="268" t="s">
        <v>821</v>
      </c>
      <c r="D849" s="268" t="s">
        <v>822</v>
      </c>
      <c r="E849" s="268" t="s">
        <v>63</v>
      </c>
      <c r="F849" s="343">
        <v>1560</v>
      </c>
      <c r="G849" s="268" t="s">
        <v>510</v>
      </c>
      <c r="H849" s="211" t="str">
        <f>IFERROR(VLOOKUP(E849,名称!A:E,4,0),"")</f>
        <v>三代</v>
      </c>
      <c r="I849" s="268" t="str">
        <f t="shared" si="1323"/>
        <v/>
      </c>
      <c r="J849" s="268" t="str">
        <f t="shared" si="1324"/>
        <v/>
      </c>
      <c r="K849" s="268" t="str">
        <f t="shared" si="1325"/>
        <v/>
      </c>
      <c r="L849" s="268" t="str">
        <f t="shared" si="1326"/>
        <v/>
      </c>
      <c r="M849" s="268" t="str">
        <f t="shared" si="1327"/>
        <v/>
      </c>
      <c r="N849" s="268" t="str">
        <f t="shared" si="1328"/>
        <v/>
      </c>
      <c r="O849" s="268" t="str">
        <f t="shared" si="1329"/>
        <v/>
      </c>
      <c r="P849" s="268" t="str">
        <f t="shared" si="1330"/>
        <v/>
      </c>
      <c r="Q849" s="268" t="str">
        <f t="shared" si="1331"/>
        <v/>
      </c>
      <c r="R849" s="268" t="str">
        <f t="shared" si="1332"/>
        <v/>
      </c>
      <c r="S849" s="268" t="str">
        <f t="shared" si="1333"/>
        <v/>
      </c>
      <c r="T849" s="268" t="str">
        <f t="shared" si="1334"/>
        <v/>
      </c>
      <c r="U849" s="268" t="str">
        <f t="shared" si="1335"/>
        <v/>
      </c>
      <c r="V849" s="268" t="str">
        <f t="shared" si="1336"/>
        <v/>
      </c>
      <c r="W849" s="268" t="str">
        <f t="shared" si="1337"/>
        <v/>
      </c>
      <c r="X849" s="268" t="str">
        <f t="shared" si="1338"/>
        <v/>
      </c>
      <c r="Y849" s="268" t="str">
        <f t="shared" si="1339"/>
        <v/>
      </c>
      <c r="Z849" s="268" t="str">
        <f t="shared" si="1340"/>
        <v/>
      </c>
      <c r="AA849" s="268" t="str">
        <f t="shared" si="1341"/>
        <v/>
      </c>
      <c r="AB849" s="268" t="str">
        <f t="shared" si="1342"/>
        <v/>
      </c>
      <c r="AC849" s="268" t="str">
        <f t="shared" si="1343"/>
        <v/>
      </c>
      <c r="AD849" s="268" t="str">
        <f t="shared" si="1344"/>
        <v/>
      </c>
      <c r="AE849" s="268" t="str">
        <f t="shared" si="1345"/>
        <v/>
      </c>
      <c r="AF849" s="268">
        <f t="shared" si="1346"/>
        <v>1560</v>
      </c>
      <c r="AG849" s="268" t="str">
        <f t="shared" si="1347"/>
        <v/>
      </c>
      <c r="AH849" s="268" t="str">
        <f t="shared" si="1348"/>
        <v/>
      </c>
      <c r="AI849" s="268" t="str">
        <f t="shared" si="1349"/>
        <v/>
      </c>
      <c r="AJ849" s="268" t="str">
        <f t="shared" si="1350"/>
        <v/>
      </c>
      <c r="AK849" s="268" t="str">
        <f t="shared" si="1351"/>
        <v/>
      </c>
      <c r="AL849" s="268" t="str">
        <f t="shared" si="1352"/>
        <v/>
      </c>
      <c r="AM849" s="268" t="str">
        <f t="shared" si="1353"/>
        <v/>
      </c>
      <c r="AN849" s="268" t="str">
        <f t="shared" si="1354"/>
        <v/>
      </c>
      <c r="AO849" s="268" t="str">
        <f t="shared" si="1355"/>
        <v/>
      </c>
      <c r="AP849" s="268" t="str">
        <f t="shared" si="1356"/>
        <v/>
      </c>
      <c r="AQ849" s="268" t="str">
        <f t="shared" si="1357"/>
        <v/>
      </c>
      <c r="AR849" s="268" t="str">
        <f t="shared" si="1358"/>
        <v/>
      </c>
      <c r="AS849" s="268" t="str">
        <f t="shared" si="1359"/>
        <v/>
      </c>
      <c r="AT849" s="268" t="str">
        <f t="shared" si="1360"/>
        <v/>
      </c>
      <c r="AU849" s="268" t="str">
        <f t="shared" si="1361"/>
        <v/>
      </c>
      <c r="AV849" s="268" t="str">
        <f t="shared" si="1362"/>
        <v/>
      </c>
      <c r="AW849" s="268" t="str">
        <f t="shared" si="1363"/>
        <v/>
      </c>
      <c r="AX849" s="268" t="str">
        <f t="shared" si="1364"/>
        <v/>
      </c>
      <c r="AY849" s="268" t="str">
        <f t="shared" si="1365"/>
        <v/>
      </c>
      <c r="AZ849" s="268" t="str">
        <f t="shared" si="1366"/>
        <v/>
      </c>
      <c r="BA849" s="268" t="str">
        <f t="shared" si="1367"/>
        <v/>
      </c>
      <c r="BB849" s="268" t="str">
        <f t="shared" si="1368"/>
        <v/>
      </c>
      <c r="BC849" s="268" t="str">
        <f t="shared" si="1369"/>
        <v/>
      </c>
      <c r="BD849" s="268" t="str">
        <f t="shared" si="1370"/>
        <v/>
      </c>
      <c r="BE849" s="268" t="str">
        <f t="shared" si="1371"/>
        <v/>
      </c>
      <c r="BF849" s="268" t="str">
        <f t="shared" si="1372"/>
        <v/>
      </c>
      <c r="BG849" s="268" t="str">
        <f t="shared" si="1373"/>
        <v/>
      </c>
      <c r="BH849" s="268" t="str">
        <f t="shared" si="1374"/>
        <v/>
      </c>
      <c r="BI849" s="268" t="str">
        <f t="shared" si="1375"/>
        <v/>
      </c>
      <c r="BJ849" s="268" t="str">
        <f t="shared" si="1376"/>
        <v/>
      </c>
      <c r="BK849" s="268" t="str">
        <f t="shared" si="1377"/>
        <v/>
      </c>
      <c r="BL849" s="268" t="str">
        <f t="shared" si="1378"/>
        <v/>
      </c>
      <c r="BM849" s="268" t="str">
        <f t="shared" si="1379"/>
        <v/>
      </c>
      <c r="BN849" s="268" t="str">
        <f t="shared" si="1312"/>
        <v/>
      </c>
      <c r="BO849" s="268" t="str">
        <f t="shared" si="1313"/>
        <v/>
      </c>
      <c r="BP849" s="268" t="str">
        <f t="shared" si="1314"/>
        <v/>
      </c>
      <c r="BQ849" s="268" t="str">
        <f t="shared" si="1315"/>
        <v/>
      </c>
      <c r="BR849" s="268" t="str">
        <f t="shared" si="1316"/>
        <v/>
      </c>
      <c r="BS849" s="268" t="str">
        <f t="shared" si="1317"/>
        <v/>
      </c>
      <c r="BT849" s="268" t="str">
        <f t="shared" si="1380"/>
        <v/>
      </c>
      <c r="BU849" s="268" t="str">
        <f t="shared" si="1381"/>
        <v/>
      </c>
      <c r="BV849" s="247">
        <v>0.62</v>
      </c>
      <c r="BW849" s="729">
        <f t="shared" si="1382"/>
        <v>967.2</v>
      </c>
      <c r="BX849" s="730">
        <f t="shared" si="1383"/>
        <v>7495.8</v>
      </c>
      <c r="BY849" s="731" t="str">
        <f t="shared" si="1384"/>
        <v>SR</v>
      </c>
    </row>
    <row r="850" s="698" customFormat="1" customHeight="1" spans="1:77">
      <c r="A850" s="248">
        <v>46148</v>
      </c>
      <c r="B850" s="248">
        <v>46195</v>
      </c>
      <c r="C850" s="268" t="s">
        <v>821</v>
      </c>
      <c r="D850" s="268" t="s">
        <v>822</v>
      </c>
      <c r="E850" s="268" t="s">
        <v>61</v>
      </c>
      <c r="F850" s="343">
        <v>2040</v>
      </c>
      <c r="G850" s="268" t="s">
        <v>510</v>
      </c>
      <c r="H850" s="211" t="str">
        <f>IFERROR(VLOOKUP(E850,名称!A:E,4,0),"")</f>
        <v>三代</v>
      </c>
      <c r="I850" s="268" t="str">
        <f t="shared" si="1323"/>
        <v/>
      </c>
      <c r="J850" s="268" t="str">
        <f t="shared" si="1324"/>
        <v/>
      </c>
      <c r="K850" s="268" t="str">
        <f t="shared" si="1325"/>
        <v/>
      </c>
      <c r="L850" s="268" t="str">
        <f t="shared" si="1326"/>
        <v/>
      </c>
      <c r="M850" s="268" t="str">
        <f t="shared" si="1327"/>
        <v/>
      </c>
      <c r="N850" s="268" t="str">
        <f t="shared" si="1328"/>
        <v/>
      </c>
      <c r="O850" s="268" t="str">
        <f t="shared" si="1329"/>
        <v/>
      </c>
      <c r="P850" s="268" t="str">
        <f t="shared" si="1330"/>
        <v/>
      </c>
      <c r="Q850" s="268" t="str">
        <f t="shared" si="1331"/>
        <v/>
      </c>
      <c r="R850" s="268" t="str">
        <f t="shared" si="1332"/>
        <v/>
      </c>
      <c r="S850" s="268" t="str">
        <f t="shared" si="1333"/>
        <v/>
      </c>
      <c r="T850" s="268" t="str">
        <f t="shared" si="1334"/>
        <v/>
      </c>
      <c r="U850" s="268" t="str">
        <f t="shared" si="1335"/>
        <v/>
      </c>
      <c r="V850" s="268" t="str">
        <f t="shared" si="1336"/>
        <v/>
      </c>
      <c r="W850" s="268" t="str">
        <f t="shared" si="1337"/>
        <v/>
      </c>
      <c r="X850" s="268" t="str">
        <f t="shared" si="1338"/>
        <v/>
      </c>
      <c r="Y850" s="268" t="str">
        <f t="shared" si="1339"/>
        <v/>
      </c>
      <c r="Z850" s="268" t="str">
        <f t="shared" si="1340"/>
        <v/>
      </c>
      <c r="AA850" s="268" t="str">
        <f t="shared" si="1341"/>
        <v/>
      </c>
      <c r="AB850" s="268" t="str">
        <f t="shared" si="1342"/>
        <v/>
      </c>
      <c r="AC850" s="268" t="str">
        <f t="shared" si="1343"/>
        <v/>
      </c>
      <c r="AD850" s="268" t="str">
        <f t="shared" si="1344"/>
        <v/>
      </c>
      <c r="AE850" s="268">
        <f t="shared" si="1345"/>
        <v>2040</v>
      </c>
      <c r="AF850" s="268" t="str">
        <f t="shared" si="1346"/>
        <v/>
      </c>
      <c r="AG850" s="268" t="str">
        <f t="shared" si="1347"/>
        <v/>
      </c>
      <c r="AH850" s="268" t="str">
        <f t="shared" si="1348"/>
        <v/>
      </c>
      <c r="AI850" s="268" t="str">
        <f t="shared" si="1349"/>
        <v/>
      </c>
      <c r="AJ850" s="268" t="str">
        <f t="shared" si="1350"/>
        <v/>
      </c>
      <c r="AK850" s="268" t="str">
        <f t="shared" si="1351"/>
        <v/>
      </c>
      <c r="AL850" s="268" t="str">
        <f t="shared" si="1352"/>
        <v/>
      </c>
      <c r="AM850" s="268" t="str">
        <f t="shared" si="1353"/>
        <v/>
      </c>
      <c r="AN850" s="268" t="str">
        <f t="shared" si="1354"/>
        <v/>
      </c>
      <c r="AO850" s="268" t="str">
        <f t="shared" si="1355"/>
        <v/>
      </c>
      <c r="AP850" s="268" t="str">
        <f t="shared" si="1356"/>
        <v/>
      </c>
      <c r="AQ850" s="268" t="str">
        <f t="shared" si="1357"/>
        <v/>
      </c>
      <c r="AR850" s="268" t="str">
        <f t="shared" si="1358"/>
        <v/>
      </c>
      <c r="AS850" s="268" t="str">
        <f t="shared" si="1359"/>
        <v/>
      </c>
      <c r="AT850" s="268" t="str">
        <f t="shared" si="1360"/>
        <v/>
      </c>
      <c r="AU850" s="268" t="str">
        <f t="shared" si="1361"/>
        <v/>
      </c>
      <c r="AV850" s="268" t="str">
        <f t="shared" si="1362"/>
        <v/>
      </c>
      <c r="AW850" s="268" t="str">
        <f t="shared" si="1363"/>
        <v/>
      </c>
      <c r="AX850" s="268" t="str">
        <f t="shared" si="1364"/>
        <v/>
      </c>
      <c r="AY850" s="268" t="str">
        <f t="shared" si="1365"/>
        <v/>
      </c>
      <c r="AZ850" s="268" t="str">
        <f t="shared" si="1366"/>
        <v/>
      </c>
      <c r="BA850" s="268" t="str">
        <f t="shared" si="1367"/>
        <v/>
      </c>
      <c r="BB850" s="268" t="str">
        <f t="shared" si="1368"/>
        <v/>
      </c>
      <c r="BC850" s="268" t="str">
        <f t="shared" si="1369"/>
        <v/>
      </c>
      <c r="BD850" s="268" t="str">
        <f t="shared" si="1370"/>
        <v/>
      </c>
      <c r="BE850" s="268" t="str">
        <f t="shared" si="1371"/>
        <v/>
      </c>
      <c r="BF850" s="268" t="str">
        <f t="shared" si="1372"/>
        <v/>
      </c>
      <c r="BG850" s="268" t="str">
        <f t="shared" si="1373"/>
        <v/>
      </c>
      <c r="BH850" s="268" t="str">
        <f t="shared" si="1374"/>
        <v/>
      </c>
      <c r="BI850" s="268" t="str">
        <f t="shared" si="1375"/>
        <v/>
      </c>
      <c r="BJ850" s="268" t="str">
        <f t="shared" si="1376"/>
        <v/>
      </c>
      <c r="BK850" s="268" t="str">
        <f t="shared" si="1377"/>
        <v/>
      </c>
      <c r="BL850" s="268" t="str">
        <f t="shared" si="1378"/>
        <v/>
      </c>
      <c r="BM850" s="268" t="str">
        <f t="shared" si="1379"/>
        <v/>
      </c>
      <c r="BN850" s="268" t="str">
        <f t="shared" si="1312"/>
        <v/>
      </c>
      <c r="BO850" s="268" t="str">
        <f t="shared" si="1313"/>
        <v/>
      </c>
      <c r="BP850" s="268" t="str">
        <f t="shared" si="1314"/>
        <v/>
      </c>
      <c r="BQ850" s="268" t="str">
        <f t="shared" si="1315"/>
        <v/>
      </c>
      <c r="BR850" s="268" t="str">
        <f t="shared" si="1316"/>
        <v/>
      </c>
      <c r="BS850" s="268" t="str">
        <f t="shared" si="1317"/>
        <v/>
      </c>
      <c r="BT850" s="268" t="str">
        <f t="shared" si="1380"/>
        <v/>
      </c>
      <c r="BU850" s="268" t="str">
        <f t="shared" si="1381"/>
        <v/>
      </c>
      <c r="BV850" s="247">
        <v>0.61</v>
      </c>
      <c r="BW850" s="729">
        <f t="shared" si="1382"/>
        <v>1244.4</v>
      </c>
      <c r="BX850" s="730">
        <f t="shared" si="1383"/>
        <v>9644.1</v>
      </c>
      <c r="BY850" s="731" t="str">
        <f t="shared" si="1384"/>
        <v>SR</v>
      </c>
    </row>
    <row r="851" s="698" customFormat="1" customHeight="1" spans="1:77">
      <c r="A851" s="248">
        <v>46148</v>
      </c>
      <c r="B851" s="248">
        <v>46195</v>
      </c>
      <c r="C851" s="268" t="s">
        <v>821</v>
      </c>
      <c r="D851" s="268" t="s">
        <v>822</v>
      </c>
      <c r="E851" s="268" t="s">
        <v>116</v>
      </c>
      <c r="F851" s="343">
        <v>1560</v>
      </c>
      <c r="G851" s="268" t="s">
        <v>510</v>
      </c>
      <c r="H851" s="211" t="str">
        <f>IFERROR(VLOOKUP(E851,名称!A:E,4,0),"")</f>
        <v>三代</v>
      </c>
      <c r="I851" s="268" t="str">
        <f t="shared" si="1323"/>
        <v/>
      </c>
      <c r="J851" s="268" t="str">
        <f t="shared" si="1324"/>
        <v/>
      </c>
      <c r="K851" s="268" t="str">
        <f t="shared" si="1325"/>
        <v/>
      </c>
      <c r="L851" s="268" t="str">
        <f t="shared" si="1326"/>
        <v/>
      </c>
      <c r="M851" s="268" t="str">
        <f t="shared" si="1327"/>
        <v/>
      </c>
      <c r="N851" s="268" t="str">
        <f t="shared" si="1328"/>
        <v/>
      </c>
      <c r="O851" s="268" t="str">
        <f t="shared" si="1329"/>
        <v/>
      </c>
      <c r="P851" s="268" t="str">
        <f t="shared" si="1330"/>
        <v/>
      </c>
      <c r="Q851" s="268" t="str">
        <f t="shared" si="1331"/>
        <v/>
      </c>
      <c r="R851" s="268" t="str">
        <f t="shared" si="1332"/>
        <v/>
      </c>
      <c r="S851" s="268" t="str">
        <f t="shared" si="1333"/>
        <v/>
      </c>
      <c r="T851" s="268" t="str">
        <f t="shared" si="1334"/>
        <v/>
      </c>
      <c r="U851" s="268" t="str">
        <f t="shared" si="1335"/>
        <v/>
      </c>
      <c r="V851" s="268" t="str">
        <f t="shared" si="1336"/>
        <v/>
      </c>
      <c r="W851" s="268" t="str">
        <f t="shared" si="1337"/>
        <v/>
      </c>
      <c r="X851" s="268" t="str">
        <f t="shared" si="1338"/>
        <v/>
      </c>
      <c r="Y851" s="268" t="str">
        <f t="shared" si="1339"/>
        <v/>
      </c>
      <c r="Z851" s="268" t="str">
        <f t="shared" si="1340"/>
        <v/>
      </c>
      <c r="AA851" s="268" t="str">
        <f t="shared" si="1341"/>
        <v/>
      </c>
      <c r="AB851" s="268" t="str">
        <f t="shared" si="1342"/>
        <v/>
      </c>
      <c r="AC851" s="268" t="str">
        <f t="shared" si="1343"/>
        <v/>
      </c>
      <c r="AD851" s="268" t="str">
        <f t="shared" si="1344"/>
        <v/>
      </c>
      <c r="AE851" s="268" t="str">
        <f t="shared" si="1345"/>
        <v/>
      </c>
      <c r="AF851" s="268" t="str">
        <f t="shared" si="1346"/>
        <v/>
      </c>
      <c r="AG851" s="268" t="str">
        <f t="shared" si="1347"/>
        <v/>
      </c>
      <c r="AH851" s="268" t="str">
        <f t="shared" si="1348"/>
        <v/>
      </c>
      <c r="AI851" s="268" t="str">
        <f t="shared" si="1349"/>
        <v/>
      </c>
      <c r="AJ851" s="268" t="str">
        <f t="shared" si="1350"/>
        <v/>
      </c>
      <c r="AK851" s="268" t="str">
        <f t="shared" si="1351"/>
        <v/>
      </c>
      <c r="AL851" s="268" t="str">
        <f t="shared" si="1352"/>
        <v/>
      </c>
      <c r="AM851" s="268">
        <f t="shared" si="1353"/>
        <v>1560</v>
      </c>
      <c r="AN851" s="268" t="str">
        <f t="shared" si="1354"/>
        <v/>
      </c>
      <c r="AO851" s="268" t="str">
        <f t="shared" si="1355"/>
        <v/>
      </c>
      <c r="AP851" s="268" t="str">
        <f t="shared" si="1356"/>
        <v/>
      </c>
      <c r="AQ851" s="268" t="str">
        <f t="shared" si="1357"/>
        <v/>
      </c>
      <c r="AR851" s="268" t="str">
        <f t="shared" si="1358"/>
        <v/>
      </c>
      <c r="AS851" s="268" t="str">
        <f t="shared" si="1359"/>
        <v/>
      </c>
      <c r="AT851" s="268" t="str">
        <f t="shared" si="1360"/>
        <v/>
      </c>
      <c r="AU851" s="268" t="str">
        <f t="shared" si="1361"/>
        <v/>
      </c>
      <c r="AV851" s="268" t="str">
        <f t="shared" si="1362"/>
        <v/>
      </c>
      <c r="AW851" s="268" t="str">
        <f t="shared" si="1363"/>
        <v/>
      </c>
      <c r="AX851" s="268" t="str">
        <f t="shared" si="1364"/>
        <v/>
      </c>
      <c r="AY851" s="268" t="str">
        <f t="shared" si="1365"/>
        <v/>
      </c>
      <c r="AZ851" s="268" t="str">
        <f t="shared" si="1366"/>
        <v/>
      </c>
      <c r="BA851" s="268" t="str">
        <f t="shared" si="1367"/>
        <v/>
      </c>
      <c r="BB851" s="268" t="str">
        <f t="shared" si="1368"/>
        <v/>
      </c>
      <c r="BC851" s="268" t="str">
        <f t="shared" si="1369"/>
        <v/>
      </c>
      <c r="BD851" s="268" t="str">
        <f t="shared" si="1370"/>
        <v/>
      </c>
      <c r="BE851" s="268" t="str">
        <f t="shared" si="1371"/>
        <v/>
      </c>
      <c r="BF851" s="268" t="str">
        <f t="shared" si="1372"/>
        <v/>
      </c>
      <c r="BG851" s="268" t="str">
        <f t="shared" si="1373"/>
        <v/>
      </c>
      <c r="BH851" s="268" t="str">
        <f t="shared" si="1374"/>
        <v/>
      </c>
      <c r="BI851" s="268" t="str">
        <f t="shared" si="1375"/>
        <v/>
      </c>
      <c r="BJ851" s="268" t="str">
        <f t="shared" si="1376"/>
        <v/>
      </c>
      <c r="BK851" s="268" t="str">
        <f t="shared" si="1377"/>
        <v/>
      </c>
      <c r="BL851" s="268" t="str">
        <f t="shared" si="1378"/>
        <v/>
      </c>
      <c r="BM851" s="268" t="str">
        <f t="shared" si="1379"/>
        <v/>
      </c>
      <c r="BN851" s="268" t="str">
        <f t="shared" si="1312"/>
        <v/>
      </c>
      <c r="BO851" s="268" t="str">
        <f t="shared" si="1313"/>
        <v/>
      </c>
      <c r="BP851" s="268" t="str">
        <f t="shared" si="1314"/>
        <v/>
      </c>
      <c r="BQ851" s="268" t="str">
        <f t="shared" si="1315"/>
        <v/>
      </c>
      <c r="BR851" s="268" t="str">
        <f t="shared" si="1316"/>
        <v/>
      </c>
      <c r="BS851" s="268" t="str">
        <f t="shared" si="1317"/>
        <v/>
      </c>
      <c r="BT851" s="268" t="str">
        <f t="shared" si="1380"/>
        <v/>
      </c>
      <c r="BU851" s="268" t="str">
        <f t="shared" si="1381"/>
        <v/>
      </c>
      <c r="BV851" s="247">
        <v>1.56</v>
      </c>
      <c r="BW851" s="729">
        <f t="shared" si="1382"/>
        <v>2433.6</v>
      </c>
      <c r="BX851" s="730">
        <f t="shared" si="1383"/>
        <v>18860.4</v>
      </c>
      <c r="BY851" s="731" t="str">
        <f t="shared" si="1384"/>
        <v>SR</v>
      </c>
    </row>
    <row r="852" s="698" customFormat="1" customHeight="1" spans="1:77">
      <c r="A852" s="248">
        <v>46148</v>
      </c>
      <c r="B852" s="248">
        <v>46195</v>
      </c>
      <c r="C852" s="268" t="s">
        <v>821</v>
      </c>
      <c r="D852" s="268" t="s">
        <v>822</v>
      </c>
      <c r="E852" s="268" t="s">
        <v>97</v>
      </c>
      <c r="F852" s="343">
        <v>1560</v>
      </c>
      <c r="G852" s="268" t="s">
        <v>510</v>
      </c>
      <c r="H852" s="211" t="str">
        <f>IFERROR(VLOOKUP(E852,名称!A:E,4,0),"")</f>
        <v>三代</v>
      </c>
      <c r="I852" s="268" t="str">
        <f t="shared" si="1323"/>
        <v/>
      </c>
      <c r="J852" s="268" t="str">
        <f t="shared" si="1324"/>
        <v/>
      </c>
      <c r="K852" s="268" t="str">
        <f t="shared" si="1325"/>
        <v/>
      </c>
      <c r="L852" s="268" t="str">
        <f t="shared" si="1326"/>
        <v/>
      </c>
      <c r="M852" s="268" t="str">
        <f t="shared" si="1327"/>
        <v/>
      </c>
      <c r="N852" s="268" t="str">
        <f t="shared" si="1328"/>
        <v/>
      </c>
      <c r="O852" s="268" t="str">
        <f t="shared" si="1329"/>
        <v/>
      </c>
      <c r="P852" s="268" t="str">
        <f t="shared" si="1330"/>
        <v/>
      </c>
      <c r="Q852" s="268" t="str">
        <f t="shared" si="1331"/>
        <v/>
      </c>
      <c r="R852" s="268" t="str">
        <f t="shared" si="1332"/>
        <v/>
      </c>
      <c r="S852" s="268" t="str">
        <f t="shared" si="1333"/>
        <v/>
      </c>
      <c r="T852" s="268" t="str">
        <f t="shared" si="1334"/>
        <v/>
      </c>
      <c r="U852" s="268" t="str">
        <f t="shared" si="1335"/>
        <v/>
      </c>
      <c r="V852" s="268" t="str">
        <f t="shared" si="1336"/>
        <v/>
      </c>
      <c r="W852" s="268" t="str">
        <f t="shared" si="1337"/>
        <v/>
      </c>
      <c r="X852" s="268" t="str">
        <f t="shared" si="1338"/>
        <v/>
      </c>
      <c r="Y852" s="268" t="str">
        <f t="shared" si="1339"/>
        <v/>
      </c>
      <c r="Z852" s="268" t="str">
        <f t="shared" si="1340"/>
        <v/>
      </c>
      <c r="AA852" s="268" t="str">
        <f t="shared" si="1341"/>
        <v/>
      </c>
      <c r="AB852" s="268" t="str">
        <f t="shared" si="1342"/>
        <v/>
      </c>
      <c r="AC852" s="268" t="str">
        <f t="shared" si="1343"/>
        <v/>
      </c>
      <c r="AD852" s="268" t="str">
        <f t="shared" si="1344"/>
        <v/>
      </c>
      <c r="AE852" s="268" t="str">
        <f t="shared" si="1345"/>
        <v/>
      </c>
      <c r="AF852" s="268" t="str">
        <f t="shared" si="1346"/>
        <v/>
      </c>
      <c r="AG852" s="268" t="str">
        <f t="shared" si="1347"/>
        <v/>
      </c>
      <c r="AH852" s="268" t="str">
        <f t="shared" si="1348"/>
        <v/>
      </c>
      <c r="AI852" s="268" t="str">
        <f t="shared" si="1349"/>
        <v/>
      </c>
      <c r="AJ852" s="268" t="str">
        <f t="shared" si="1350"/>
        <v/>
      </c>
      <c r="AK852" s="268" t="str">
        <f t="shared" si="1351"/>
        <v/>
      </c>
      <c r="AL852" s="268" t="str">
        <f t="shared" si="1352"/>
        <v/>
      </c>
      <c r="AM852" s="268" t="str">
        <f t="shared" si="1353"/>
        <v/>
      </c>
      <c r="AN852" s="268" t="str">
        <f t="shared" si="1354"/>
        <v/>
      </c>
      <c r="AO852" s="268" t="str">
        <f t="shared" si="1355"/>
        <v/>
      </c>
      <c r="AP852" s="268" t="str">
        <f t="shared" si="1356"/>
        <v/>
      </c>
      <c r="AQ852" s="268" t="str">
        <f t="shared" si="1357"/>
        <v/>
      </c>
      <c r="AR852" s="268" t="str">
        <f t="shared" si="1358"/>
        <v/>
      </c>
      <c r="AS852" s="268" t="str">
        <f t="shared" si="1359"/>
        <v/>
      </c>
      <c r="AT852" s="268" t="str">
        <f t="shared" si="1360"/>
        <v/>
      </c>
      <c r="AU852" s="268" t="str">
        <f t="shared" si="1361"/>
        <v/>
      </c>
      <c r="AV852" s="268" t="str">
        <f t="shared" si="1362"/>
        <v/>
      </c>
      <c r="AW852" s="268" t="str">
        <f t="shared" si="1363"/>
        <v/>
      </c>
      <c r="AX852" s="268" t="str">
        <f t="shared" si="1364"/>
        <v/>
      </c>
      <c r="AY852" s="268" t="str">
        <f t="shared" si="1365"/>
        <v/>
      </c>
      <c r="AZ852" s="268" t="str">
        <f t="shared" si="1366"/>
        <v/>
      </c>
      <c r="BA852" s="268">
        <f t="shared" si="1367"/>
        <v>1560</v>
      </c>
      <c r="BB852" s="268" t="str">
        <f t="shared" si="1368"/>
        <v/>
      </c>
      <c r="BC852" s="268" t="str">
        <f t="shared" si="1369"/>
        <v/>
      </c>
      <c r="BD852" s="268" t="str">
        <f t="shared" si="1370"/>
        <v/>
      </c>
      <c r="BE852" s="268" t="str">
        <f t="shared" si="1371"/>
        <v/>
      </c>
      <c r="BF852" s="268" t="str">
        <f t="shared" si="1372"/>
        <v/>
      </c>
      <c r="BG852" s="268" t="str">
        <f t="shared" si="1373"/>
        <v/>
      </c>
      <c r="BH852" s="268" t="str">
        <f t="shared" si="1374"/>
        <v/>
      </c>
      <c r="BI852" s="268" t="str">
        <f t="shared" si="1375"/>
        <v/>
      </c>
      <c r="BJ852" s="268" t="str">
        <f t="shared" si="1376"/>
        <v/>
      </c>
      <c r="BK852" s="268" t="str">
        <f t="shared" si="1377"/>
        <v/>
      </c>
      <c r="BL852" s="268" t="str">
        <f t="shared" si="1378"/>
        <v/>
      </c>
      <c r="BM852" s="268" t="str">
        <f t="shared" si="1379"/>
        <v/>
      </c>
      <c r="BN852" s="268" t="str">
        <f t="shared" si="1312"/>
        <v/>
      </c>
      <c r="BO852" s="268" t="str">
        <f t="shared" si="1313"/>
        <v/>
      </c>
      <c r="BP852" s="268" t="str">
        <f t="shared" si="1314"/>
        <v/>
      </c>
      <c r="BQ852" s="268" t="str">
        <f t="shared" si="1315"/>
        <v/>
      </c>
      <c r="BR852" s="268" t="str">
        <f t="shared" si="1316"/>
        <v/>
      </c>
      <c r="BS852" s="268" t="str">
        <f t="shared" si="1317"/>
        <v/>
      </c>
      <c r="BT852" s="268" t="str">
        <f t="shared" si="1380"/>
        <v/>
      </c>
      <c r="BU852" s="268" t="str">
        <f t="shared" si="1381"/>
        <v/>
      </c>
      <c r="BV852" s="247">
        <v>0.62</v>
      </c>
      <c r="BW852" s="729">
        <f t="shared" si="1382"/>
        <v>967.2</v>
      </c>
      <c r="BX852" s="730">
        <f t="shared" si="1383"/>
        <v>7495.8</v>
      </c>
      <c r="BY852" s="731" t="str">
        <f t="shared" si="1384"/>
        <v>SR</v>
      </c>
    </row>
    <row r="853" s="698" customFormat="1" customHeight="1" spans="1:77">
      <c r="A853" s="248">
        <v>46148</v>
      </c>
      <c r="B853" s="248">
        <v>46195</v>
      </c>
      <c r="C853" s="268" t="s">
        <v>821</v>
      </c>
      <c r="D853" s="268" t="s">
        <v>822</v>
      </c>
      <c r="E853" s="268" t="s">
        <v>98</v>
      </c>
      <c r="F853" s="343">
        <v>1200</v>
      </c>
      <c r="G853" s="268" t="s">
        <v>510</v>
      </c>
      <c r="H853" s="211" t="str">
        <f>IFERROR(VLOOKUP(E853,名称!A:E,4,0),"")</f>
        <v>三代</v>
      </c>
      <c r="I853" s="268" t="str">
        <f t="shared" si="1323"/>
        <v/>
      </c>
      <c r="J853" s="268" t="str">
        <f t="shared" si="1324"/>
        <v/>
      </c>
      <c r="K853" s="268" t="str">
        <f t="shared" si="1325"/>
        <v/>
      </c>
      <c r="L853" s="268" t="str">
        <f t="shared" si="1326"/>
        <v/>
      </c>
      <c r="M853" s="268" t="str">
        <f t="shared" si="1327"/>
        <v/>
      </c>
      <c r="N853" s="268" t="str">
        <f t="shared" si="1328"/>
        <v/>
      </c>
      <c r="O853" s="268" t="str">
        <f t="shared" si="1329"/>
        <v/>
      </c>
      <c r="P853" s="268" t="str">
        <f t="shared" si="1330"/>
        <v/>
      </c>
      <c r="Q853" s="268" t="str">
        <f t="shared" si="1331"/>
        <v/>
      </c>
      <c r="R853" s="268" t="str">
        <f t="shared" si="1332"/>
        <v/>
      </c>
      <c r="S853" s="268" t="str">
        <f t="shared" si="1333"/>
        <v/>
      </c>
      <c r="T853" s="268" t="str">
        <f t="shared" si="1334"/>
        <v/>
      </c>
      <c r="U853" s="268" t="str">
        <f t="shared" si="1335"/>
        <v/>
      </c>
      <c r="V853" s="268" t="str">
        <f t="shared" si="1336"/>
        <v/>
      </c>
      <c r="W853" s="268" t="str">
        <f t="shared" si="1337"/>
        <v/>
      </c>
      <c r="X853" s="268" t="str">
        <f t="shared" si="1338"/>
        <v/>
      </c>
      <c r="Y853" s="268" t="str">
        <f t="shared" si="1339"/>
        <v/>
      </c>
      <c r="Z853" s="268" t="str">
        <f t="shared" si="1340"/>
        <v/>
      </c>
      <c r="AA853" s="268" t="str">
        <f t="shared" si="1341"/>
        <v/>
      </c>
      <c r="AB853" s="268" t="str">
        <f t="shared" si="1342"/>
        <v/>
      </c>
      <c r="AC853" s="268" t="str">
        <f t="shared" si="1343"/>
        <v/>
      </c>
      <c r="AD853" s="268" t="str">
        <f t="shared" si="1344"/>
        <v/>
      </c>
      <c r="AE853" s="268" t="str">
        <f t="shared" si="1345"/>
        <v/>
      </c>
      <c r="AF853" s="268" t="str">
        <f t="shared" si="1346"/>
        <v/>
      </c>
      <c r="AG853" s="268" t="str">
        <f t="shared" si="1347"/>
        <v/>
      </c>
      <c r="AH853" s="268" t="str">
        <f t="shared" si="1348"/>
        <v/>
      </c>
      <c r="AI853" s="268" t="str">
        <f t="shared" si="1349"/>
        <v/>
      </c>
      <c r="AJ853" s="268" t="str">
        <f t="shared" si="1350"/>
        <v/>
      </c>
      <c r="AK853" s="268" t="str">
        <f t="shared" si="1351"/>
        <v/>
      </c>
      <c r="AL853" s="268" t="str">
        <f t="shared" si="1352"/>
        <v/>
      </c>
      <c r="AM853" s="268" t="str">
        <f t="shared" si="1353"/>
        <v/>
      </c>
      <c r="AN853" s="268" t="str">
        <f t="shared" si="1354"/>
        <v/>
      </c>
      <c r="AO853" s="268" t="str">
        <f t="shared" si="1355"/>
        <v/>
      </c>
      <c r="AP853" s="268" t="str">
        <f t="shared" si="1356"/>
        <v/>
      </c>
      <c r="AQ853" s="268" t="str">
        <f t="shared" si="1357"/>
        <v/>
      </c>
      <c r="AR853" s="268" t="str">
        <f t="shared" si="1358"/>
        <v/>
      </c>
      <c r="AS853" s="268" t="str">
        <f t="shared" si="1359"/>
        <v/>
      </c>
      <c r="AT853" s="268" t="str">
        <f t="shared" si="1360"/>
        <v/>
      </c>
      <c r="AU853" s="268" t="str">
        <f t="shared" si="1361"/>
        <v/>
      </c>
      <c r="AV853" s="268" t="str">
        <f t="shared" si="1362"/>
        <v/>
      </c>
      <c r="AW853" s="268" t="str">
        <f t="shared" si="1363"/>
        <v/>
      </c>
      <c r="AX853" s="268" t="str">
        <f t="shared" si="1364"/>
        <v/>
      </c>
      <c r="AY853" s="268" t="str">
        <f t="shared" si="1365"/>
        <v/>
      </c>
      <c r="AZ853" s="268" t="str">
        <f t="shared" si="1366"/>
        <v/>
      </c>
      <c r="BA853" s="268" t="str">
        <f t="shared" si="1367"/>
        <v/>
      </c>
      <c r="BB853" s="268">
        <f t="shared" si="1368"/>
        <v>1200</v>
      </c>
      <c r="BC853" s="268" t="str">
        <f t="shared" si="1369"/>
        <v/>
      </c>
      <c r="BD853" s="268" t="str">
        <f t="shared" si="1370"/>
        <v/>
      </c>
      <c r="BE853" s="268" t="str">
        <f t="shared" si="1371"/>
        <v/>
      </c>
      <c r="BF853" s="268" t="str">
        <f t="shared" si="1372"/>
        <v/>
      </c>
      <c r="BG853" s="268" t="str">
        <f t="shared" si="1373"/>
        <v/>
      </c>
      <c r="BH853" s="268" t="str">
        <f t="shared" si="1374"/>
        <v/>
      </c>
      <c r="BI853" s="268" t="str">
        <f t="shared" si="1375"/>
        <v/>
      </c>
      <c r="BJ853" s="268" t="str">
        <f t="shared" si="1376"/>
        <v/>
      </c>
      <c r="BK853" s="268" t="str">
        <f t="shared" si="1377"/>
        <v/>
      </c>
      <c r="BL853" s="268" t="str">
        <f t="shared" si="1378"/>
        <v/>
      </c>
      <c r="BM853" s="268" t="str">
        <f t="shared" si="1379"/>
        <v/>
      </c>
      <c r="BN853" s="268" t="str">
        <f t="shared" si="1312"/>
        <v/>
      </c>
      <c r="BO853" s="268" t="str">
        <f t="shared" si="1313"/>
        <v/>
      </c>
      <c r="BP853" s="268" t="str">
        <f t="shared" si="1314"/>
        <v/>
      </c>
      <c r="BQ853" s="268" t="str">
        <f t="shared" si="1315"/>
        <v/>
      </c>
      <c r="BR853" s="268" t="str">
        <f t="shared" si="1316"/>
        <v/>
      </c>
      <c r="BS853" s="268" t="str">
        <f t="shared" si="1317"/>
        <v/>
      </c>
      <c r="BT853" s="268" t="str">
        <f t="shared" si="1380"/>
        <v/>
      </c>
      <c r="BU853" s="268" t="str">
        <f t="shared" si="1381"/>
        <v/>
      </c>
      <c r="BV853" s="247">
        <v>1.58</v>
      </c>
      <c r="BW853" s="729">
        <f t="shared" si="1382"/>
        <v>1896</v>
      </c>
      <c r="BX853" s="730">
        <f t="shared" si="1383"/>
        <v>14694</v>
      </c>
      <c r="BY853" s="731" t="str">
        <f t="shared" si="1384"/>
        <v>SR</v>
      </c>
    </row>
    <row r="854" s="698" customFormat="1" customHeight="1" spans="1:77">
      <c r="A854" s="248">
        <v>46148</v>
      </c>
      <c r="B854" s="248">
        <v>46195</v>
      </c>
      <c r="C854" s="268" t="s">
        <v>821</v>
      </c>
      <c r="D854" s="268" t="s">
        <v>822</v>
      </c>
      <c r="E854" s="268" t="s">
        <v>94</v>
      </c>
      <c r="F854" s="343">
        <v>3120</v>
      </c>
      <c r="G854" s="268" t="s">
        <v>510</v>
      </c>
      <c r="H854" s="211" t="str">
        <f>IFERROR(VLOOKUP(E854,名称!A:E,4,0),"")</f>
        <v>三代</v>
      </c>
      <c r="I854" s="268" t="str">
        <f t="shared" si="1323"/>
        <v/>
      </c>
      <c r="J854" s="268" t="str">
        <f t="shared" si="1324"/>
        <v/>
      </c>
      <c r="K854" s="268" t="str">
        <f t="shared" si="1325"/>
        <v/>
      </c>
      <c r="L854" s="268" t="str">
        <f t="shared" si="1326"/>
        <v/>
      </c>
      <c r="M854" s="268" t="str">
        <f t="shared" si="1327"/>
        <v/>
      </c>
      <c r="N854" s="268" t="str">
        <f t="shared" si="1328"/>
        <v/>
      </c>
      <c r="O854" s="268" t="str">
        <f t="shared" si="1329"/>
        <v/>
      </c>
      <c r="P854" s="268" t="str">
        <f t="shared" si="1330"/>
        <v/>
      </c>
      <c r="Q854" s="268" t="str">
        <f t="shared" si="1331"/>
        <v/>
      </c>
      <c r="R854" s="268" t="str">
        <f t="shared" si="1332"/>
        <v/>
      </c>
      <c r="S854" s="268" t="str">
        <f t="shared" si="1333"/>
        <v/>
      </c>
      <c r="T854" s="268" t="str">
        <f t="shared" si="1334"/>
        <v/>
      </c>
      <c r="U854" s="268" t="str">
        <f t="shared" si="1335"/>
        <v/>
      </c>
      <c r="V854" s="268" t="str">
        <f t="shared" si="1336"/>
        <v/>
      </c>
      <c r="W854" s="268" t="str">
        <f t="shared" si="1337"/>
        <v/>
      </c>
      <c r="X854" s="268" t="str">
        <f t="shared" si="1338"/>
        <v/>
      </c>
      <c r="Y854" s="268" t="str">
        <f t="shared" si="1339"/>
        <v/>
      </c>
      <c r="Z854" s="268" t="str">
        <f t="shared" si="1340"/>
        <v/>
      </c>
      <c r="AA854" s="268" t="str">
        <f t="shared" si="1341"/>
        <v/>
      </c>
      <c r="AB854" s="268" t="str">
        <f t="shared" si="1342"/>
        <v/>
      </c>
      <c r="AC854" s="268" t="str">
        <f t="shared" si="1343"/>
        <v/>
      </c>
      <c r="AD854" s="268" t="str">
        <f t="shared" si="1344"/>
        <v/>
      </c>
      <c r="AE854" s="268" t="str">
        <f t="shared" si="1345"/>
        <v/>
      </c>
      <c r="AF854" s="268" t="str">
        <f t="shared" si="1346"/>
        <v/>
      </c>
      <c r="AG854" s="268" t="str">
        <f t="shared" si="1347"/>
        <v/>
      </c>
      <c r="AH854" s="268" t="str">
        <f t="shared" si="1348"/>
        <v/>
      </c>
      <c r="AI854" s="268" t="str">
        <f t="shared" si="1349"/>
        <v/>
      </c>
      <c r="AJ854" s="268" t="str">
        <f t="shared" si="1350"/>
        <v/>
      </c>
      <c r="AK854" s="268" t="str">
        <f t="shared" si="1351"/>
        <v/>
      </c>
      <c r="AL854" s="268" t="str">
        <f t="shared" si="1352"/>
        <v/>
      </c>
      <c r="AM854" s="268" t="str">
        <f t="shared" si="1353"/>
        <v/>
      </c>
      <c r="AN854" s="268" t="str">
        <f t="shared" si="1354"/>
        <v/>
      </c>
      <c r="AO854" s="268" t="str">
        <f t="shared" si="1355"/>
        <v/>
      </c>
      <c r="AP854" s="268" t="str">
        <f t="shared" si="1356"/>
        <v/>
      </c>
      <c r="AQ854" s="268" t="str">
        <f t="shared" si="1357"/>
        <v/>
      </c>
      <c r="AR854" s="268" t="str">
        <f t="shared" si="1358"/>
        <v/>
      </c>
      <c r="AS854" s="268" t="str">
        <f t="shared" si="1359"/>
        <v/>
      </c>
      <c r="AT854" s="268" t="str">
        <f t="shared" si="1360"/>
        <v/>
      </c>
      <c r="AU854" s="268" t="str">
        <f t="shared" si="1361"/>
        <v/>
      </c>
      <c r="AV854" s="268" t="str">
        <f t="shared" si="1362"/>
        <v/>
      </c>
      <c r="AW854" s="268" t="str">
        <f t="shared" si="1363"/>
        <v/>
      </c>
      <c r="AX854" s="268" t="str">
        <f t="shared" si="1364"/>
        <v/>
      </c>
      <c r="AY854" s="268">
        <f t="shared" si="1365"/>
        <v>3120</v>
      </c>
      <c r="AZ854" s="268" t="str">
        <f t="shared" si="1366"/>
        <v/>
      </c>
      <c r="BA854" s="268" t="str">
        <f t="shared" si="1367"/>
        <v/>
      </c>
      <c r="BB854" s="268" t="str">
        <f t="shared" si="1368"/>
        <v/>
      </c>
      <c r="BC854" s="268" t="str">
        <f t="shared" si="1369"/>
        <v/>
      </c>
      <c r="BD854" s="268" t="str">
        <f t="shared" si="1370"/>
        <v/>
      </c>
      <c r="BE854" s="268" t="str">
        <f t="shared" si="1371"/>
        <v/>
      </c>
      <c r="BF854" s="268" t="str">
        <f t="shared" si="1372"/>
        <v/>
      </c>
      <c r="BG854" s="268" t="str">
        <f t="shared" si="1373"/>
        <v/>
      </c>
      <c r="BH854" s="268" t="str">
        <f t="shared" si="1374"/>
        <v/>
      </c>
      <c r="BI854" s="268" t="str">
        <f t="shared" si="1375"/>
        <v/>
      </c>
      <c r="BJ854" s="268" t="str">
        <f t="shared" si="1376"/>
        <v/>
      </c>
      <c r="BK854" s="268" t="str">
        <f t="shared" si="1377"/>
        <v/>
      </c>
      <c r="BL854" s="268" t="str">
        <f t="shared" si="1378"/>
        <v/>
      </c>
      <c r="BM854" s="268" t="str">
        <f t="shared" si="1379"/>
        <v/>
      </c>
      <c r="BN854" s="268" t="str">
        <f t="shared" si="1312"/>
        <v/>
      </c>
      <c r="BO854" s="268" t="str">
        <f t="shared" si="1313"/>
        <v/>
      </c>
      <c r="BP854" s="268" t="str">
        <f t="shared" si="1314"/>
        <v/>
      </c>
      <c r="BQ854" s="268" t="str">
        <f t="shared" si="1315"/>
        <v/>
      </c>
      <c r="BR854" s="268" t="str">
        <f t="shared" si="1316"/>
        <v/>
      </c>
      <c r="BS854" s="268" t="str">
        <f t="shared" si="1317"/>
        <v/>
      </c>
      <c r="BT854" s="268" t="str">
        <f t="shared" si="1380"/>
        <v/>
      </c>
      <c r="BU854" s="268" t="str">
        <f t="shared" si="1381"/>
        <v/>
      </c>
      <c r="BV854" s="247">
        <v>0.62</v>
      </c>
      <c r="BW854" s="729">
        <f t="shared" si="1382"/>
        <v>1934.4</v>
      </c>
      <c r="BX854" s="730">
        <f t="shared" si="1383"/>
        <v>14991.6</v>
      </c>
      <c r="BY854" s="731" t="str">
        <f t="shared" si="1384"/>
        <v>SR</v>
      </c>
    </row>
    <row r="855" s="698" customFormat="1" customHeight="1" spans="1:77">
      <c r="A855" s="248">
        <v>46148</v>
      </c>
      <c r="B855" s="248">
        <v>46195</v>
      </c>
      <c r="C855" s="268" t="s">
        <v>821</v>
      </c>
      <c r="D855" s="268" t="s">
        <v>822</v>
      </c>
      <c r="E855" s="268" t="s">
        <v>92</v>
      </c>
      <c r="F855" s="343">
        <v>960</v>
      </c>
      <c r="G855" s="268" t="s">
        <v>510</v>
      </c>
      <c r="H855" s="211" t="str">
        <f>IFERROR(VLOOKUP(E855,名称!A:E,4,0),"")</f>
        <v>三代</v>
      </c>
      <c r="I855" s="268" t="str">
        <f t="shared" si="1323"/>
        <v/>
      </c>
      <c r="J855" s="268" t="str">
        <f t="shared" si="1324"/>
        <v/>
      </c>
      <c r="K855" s="268" t="str">
        <f t="shared" si="1325"/>
        <v/>
      </c>
      <c r="L855" s="268" t="str">
        <f t="shared" si="1326"/>
        <v/>
      </c>
      <c r="M855" s="268" t="str">
        <f t="shared" si="1327"/>
        <v/>
      </c>
      <c r="N855" s="268" t="str">
        <f t="shared" si="1328"/>
        <v/>
      </c>
      <c r="O855" s="268" t="str">
        <f t="shared" si="1329"/>
        <v/>
      </c>
      <c r="P855" s="268" t="str">
        <f t="shared" si="1330"/>
        <v/>
      </c>
      <c r="Q855" s="268" t="str">
        <f t="shared" si="1331"/>
        <v/>
      </c>
      <c r="R855" s="268" t="str">
        <f t="shared" si="1332"/>
        <v/>
      </c>
      <c r="S855" s="268" t="str">
        <f t="shared" si="1333"/>
        <v/>
      </c>
      <c r="T855" s="268" t="str">
        <f t="shared" si="1334"/>
        <v/>
      </c>
      <c r="U855" s="268" t="str">
        <f t="shared" si="1335"/>
        <v/>
      </c>
      <c r="V855" s="268" t="str">
        <f t="shared" si="1336"/>
        <v/>
      </c>
      <c r="W855" s="268" t="str">
        <f t="shared" si="1337"/>
        <v/>
      </c>
      <c r="X855" s="268" t="str">
        <f t="shared" si="1338"/>
        <v/>
      </c>
      <c r="Y855" s="268" t="str">
        <f t="shared" si="1339"/>
        <v/>
      </c>
      <c r="Z855" s="268" t="str">
        <f t="shared" si="1340"/>
        <v/>
      </c>
      <c r="AA855" s="268" t="str">
        <f t="shared" si="1341"/>
        <v/>
      </c>
      <c r="AB855" s="268" t="str">
        <f t="shared" si="1342"/>
        <v/>
      </c>
      <c r="AC855" s="268" t="str">
        <f t="shared" si="1343"/>
        <v/>
      </c>
      <c r="AD855" s="268" t="str">
        <f t="shared" si="1344"/>
        <v/>
      </c>
      <c r="AE855" s="268" t="str">
        <f t="shared" si="1345"/>
        <v/>
      </c>
      <c r="AF855" s="268" t="str">
        <f t="shared" si="1346"/>
        <v/>
      </c>
      <c r="AG855" s="268" t="str">
        <f t="shared" si="1347"/>
        <v/>
      </c>
      <c r="AH855" s="268" t="str">
        <f t="shared" si="1348"/>
        <v/>
      </c>
      <c r="AI855" s="268" t="str">
        <f t="shared" si="1349"/>
        <v/>
      </c>
      <c r="AJ855" s="268" t="str">
        <f t="shared" si="1350"/>
        <v/>
      </c>
      <c r="AK855" s="268" t="str">
        <f t="shared" si="1351"/>
        <v/>
      </c>
      <c r="AL855" s="268" t="str">
        <f t="shared" si="1352"/>
        <v/>
      </c>
      <c r="AM855" s="268" t="str">
        <f t="shared" si="1353"/>
        <v/>
      </c>
      <c r="AN855" s="268" t="str">
        <f t="shared" si="1354"/>
        <v/>
      </c>
      <c r="AO855" s="268" t="str">
        <f t="shared" si="1355"/>
        <v/>
      </c>
      <c r="AP855" s="268" t="str">
        <f t="shared" si="1356"/>
        <v/>
      </c>
      <c r="AQ855" s="268" t="str">
        <f t="shared" si="1357"/>
        <v/>
      </c>
      <c r="AR855" s="268" t="str">
        <f t="shared" si="1358"/>
        <v/>
      </c>
      <c r="AS855" s="268" t="str">
        <f t="shared" si="1359"/>
        <v/>
      </c>
      <c r="AT855" s="268" t="str">
        <f t="shared" si="1360"/>
        <v/>
      </c>
      <c r="AU855" s="268" t="str">
        <f t="shared" si="1361"/>
        <v/>
      </c>
      <c r="AV855" s="268" t="str">
        <f t="shared" si="1362"/>
        <v/>
      </c>
      <c r="AW855" s="268" t="str">
        <f t="shared" si="1363"/>
        <v/>
      </c>
      <c r="AX855" s="268">
        <f t="shared" si="1364"/>
        <v>960</v>
      </c>
      <c r="AY855" s="268" t="str">
        <f t="shared" si="1365"/>
        <v/>
      </c>
      <c r="AZ855" s="268" t="str">
        <f t="shared" si="1366"/>
        <v/>
      </c>
      <c r="BA855" s="268" t="str">
        <f t="shared" si="1367"/>
        <v/>
      </c>
      <c r="BB855" s="268" t="str">
        <f t="shared" si="1368"/>
        <v/>
      </c>
      <c r="BC855" s="268" t="str">
        <f t="shared" si="1369"/>
        <v/>
      </c>
      <c r="BD855" s="268" t="str">
        <f t="shared" si="1370"/>
        <v/>
      </c>
      <c r="BE855" s="268" t="str">
        <f t="shared" si="1371"/>
        <v/>
      </c>
      <c r="BF855" s="268" t="str">
        <f t="shared" si="1372"/>
        <v/>
      </c>
      <c r="BG855" s="268" t="str">
        <f t="shared" si="1373"/>
        <v/>
      </c>
      <c r="BH855" s="268" t="str">
        <f t="shared" si="1374"/>
        <v/>
      </c>
      <c r="BI855" s="268" t="str">
        <f t="shared" si="1375"/>
        <v/>
      </c>
      <c r="BJ855" s="268" t="str">
        <f t="shared" si="1376"/>
        <v/>
      </c>
      <c r="BK855" s="268" t="str">
        <f t="shared" si="1377"/>
        <v/>
      </c>
      <c r="BL855" s="268" t="str">
        <f t="shared" si="1378"/>
        <v/>
      </c>
      <c r="BM855" s="268" t="str">
        <f t="shared" si="1379"/>
        <v/>
      </c>
      <c r="BN855" s="268" t="str">
        <f t="shared" si="1312"/>
        <v/>
      </c>
      <c r="BO855" s="268" t="str">
        <f t="shared" si="1313"/>
        <v/>
      </c>
      <c r="BP855" s="268" t="str">
        <f t="shared" si="1314"/>
        <v/>
      </c>
      <c r="BQ855" s="268" t="str">
        <f t="shared" si="1315"/>
        <v/>
      </c>
      <c r="BR855" s="268" t="str">
        <f t="shared" si="1316"/>
        <v/>
      </c>
      <c r="BS855" s="268" t="str">
        <f t="shared" si="1317"/>
        <v/>
      </c>
      <c r="BT855" s="268" t="str">
        <f t="shared" si="1380"/>
        <v/>
      </c>
      <c r="BU855" s="268" t="str">
        <f t="shared" si="1381"/>
        <v/>
      </c>
      <c r="BV855" s="247">
        <v>0.86</v>
      </c>
      <c r="BW855" s="729">
        <f t="shared" si="1382"/>
        <v>825.6</v>
      </c>
      <c r="BX855" s="730">
        <f t="shared" si="1383"/>
        <v>6398.4</v>
      </c>
      <c r="BY855" s="731" t="str">
        <f t="shared" si="1384"/>
        <v>SR</v>
      </c>
    </row>
    <row r="856" s="698" customFormat="1" customHeight="1" spans="1:77">
      <c r="A856" s="248">
        <v>46148</v>
      </c>
      <c r="B856" s="248">
        <v>46195</v>
      </c>
      <c r="C856" s="268" t="s">
        <v>821</v>
      </c>
      <c r="D856" s="268" t="s">
        <v>822</v>
      </c>
      <c r="E856" s="268" t="s">
        <v>95</v>
      </c>
      <c r="F856" s="343">
        <v>720</v>
      </c>
      <c r="G856" s="268" t="s">
        <v>510</v>
      </c>
      <c r="H856" s="211" t="str">
        <f>IFERROR(VLOOKUP(E856,名称!A:E,4,0),"")</f>
        <v>三代</v>
      </c>
      <c r="I856" s="268" t="str">
        <f t="shared" si="1323"/>
        <v/>
      </c>
      <c r="J856" s="268" t="str">
        <f t="shared" si="1324"/>
        <v/>
      </c>
      <c r="K856" s="268" t="str">
        <f t="shared" si="1325"/>
        <v/>
      </c>
      <c r="L856" s="268" t="str">
        <f t="shared" si="1326"/>
        <v/>
      </c>
      <c r="M856" s="268" t="str">
        <f t="shared" si="1327"/>
        <v/>
      </c>
      <c r="N856" s="268" t="str">
        <f t="shared" si="1328"/>
        <v/>
      </c>
      <c r="O856" s="268" t="str">
        <f t="shared" si="1329"/>
        <v/>
      </c>
      <c r="P856" s="268" t="str">
        <f t="shared" si="1330"/>
        <v/>
      </c>
      <c r="Q856" s="268" t="str">
        <f t="shared" si="1331"/>
        <v/>
      </c>
      <c r="R856" s="268" t="str">
        <f t="shared" si="1332"/>
        <v/>
      </c>
      <c r="S856" s="268" t="str">
        <f t="shared" si="1333"/>
        <v/>
      </c>
      <c r="T856" s="268" t="str">
        <f t="shared" si="1334"/>
        <v/>
      </c>
      <c r="U856" s="268" t="str">
        <f t="shared" si="1335"/>
        <v/>
      </c>
      <c r="V856" s="268" t="str">
        <f t="shared" si="1336"/>
        <v/>
      </c>
      <c r="W856" s="268" t="str">
        <f t="shared" si="1337"/>
        <v/>
      </c>
      <c r="X856" s="268" t="str">
        <f t="shared" si="1338"/>
        <v/>
      </c>
      <c r="Y856" s="268" t="str">
        <f t="shared" si="1339"/>
        <v/>
      </c>
      <c r="Z856" s="268" t="str">
        <f t="shared" si="1340"/>
        <v/>
      </c>
      <c r="AA856" s="268" t="str">
        <f t="shared" si="1341"/>
        <v/>
      </c>
      <c r="AB856" s="268" t="str">
        <f t="shared" si="1342"/>
        <v/>
      </c>
      <c r="AC856" s="268" t="str">
        <f t="shared" si="1343"/>
        <v/>
      </c>
      <c r="AD856" s="268" t="str">
        <f t="shared" si="1344"/>
        <v/>
      </c>
      <c r="AE856" s="268" t="str">
        <f t="shared" si="1345"/>
        <v/>
      </c>
      <c r="AF856" s="268" t="str">
        <f t="shared" si="1346"/>
        <v/>
      </c>
      <c r="AG856" s="268" t="str">
        <f t="shared" si="1347"/>
        <v/>
      </c>
      <c r="AH856" s="268" t="str">
        <f t="shared" si="1348"/>
        <v/>
      </c>
      <c r="AI856" s="268" t="str">
        <f t="shared" si="1349"/>
        <v/>
      </c>
      <c r="AJ856" s="268" t="str">
        <f t="shared" si="1350"/>
        <v/>
      </c>
      <c r="AK856" s="268" t="str">
        <f t="shared" si="1351"/>
        <v/>
      </c>
      <c r="AL856" s="268" t="str">
        <f t="shared" si="1352"/>
        <v/>
      </c>
      <c r="AM856" s="268" t="str">
        <f t="shared" si="1353"/>
        <v/>
      </c>
      <c r="AN856" s="268" t="str">
        <f t="shared" si="1354"/>
        <v/>
      </c>
      <c r="AO856" s="268" t="str">
        <f t="shared" si="1355"/>
        <v/>
      </c>
      <c r="AP856" s="268" t="str">
        <f t="shared" si="1356"/>
        <v/>
      </c>
      <c r="AQ856" s="268" t="str">
        <f t="shared" si="1357"/>
        <v/>
      </c>
      <c r="AR856" s="268" t="str">
        <f t="shared" si="1358"/>
        <v/>
      </c>
      <c r="AS856" s="268" t="str">
        <f t="shared" si="1359"/>
        <v/>
      </c>
      <c r="AT856" s="268" t="str">
        <f t="shared" si="1360"/>
        <v/>
      </c>
      <c r="AU856" s="268" t="str">
        <f t="shared" si="1361"/>
        <v/>
      </c>
      <c r="AV856" s="268" t="str">
        <f t="shared" si="1362"/>
        <v/>
      </c>
      <c r="AW856" s="268" t="str">
        <f t="shared" si="1363"/>
        <v/>
      </c>
      <c r="AX856" s="268" t="str">
        <f t="shared" si="1364"/>
        <v/>
      </c>
      <c r="AY856" s="268" t="str">
        <f t="shared" si="1365"/>
        <v/>
      </c>
      <c r="AZ856" s="268">
        <f t="shared" si="1366"/>
        <v>720</v>
      </c>
      <c r="BA856" s="268" t="str">
        <f t="shared" si="1367"/>
        <v/>
      </c>
      <c r="BB856" s="268" t="str">
        <f t="shared" si="1368"/>
        <v/>
      </c>
      <c r="BC856" s="268" t="str">
        <f t="shared" si="1369"/>
        <v/>
      </c>
      <c r="BD856" s="268" t="str">
        <f t="shared" si="1370"/>
        <v/>
      </c>
      <c r="BE856" s="268" t="str">
        <f t="shared" si="1371"/>
        <v/>
      </c>
      <c r="BF856" s="268" t="str">
        <f t="shared" si="1372"/>
        <v/>
      </c>
      <c r="BG856" s="268" t="str">
        <f t="shared" si="1373"/>
        <v/>
      </c>
      <c r="BH856" s="268" t="str">
        <f t="shared" si="1374"/>
        <v/>
      </c>
      <c r="BI856" s="268" t="str">
        <f t="shared" si="1375"/>
        <v/>
      </c>
      <c r="BJ856" s="268" t="str">
        <f t="shared" si="1376"/>
        <v/>
      </c>
      <c r="BK856" s="268" t="str">
        <f t="shared" si="1377"/>
        <v/>
      </c>
      <c r="BL856" s="268" t="str">
        <f t="shared" si="1378"/>
        <v/>
      </c>
      <c r="BM856" s="268" t="str">
        <f t="shared" si="1379"/>
        <v/>
      </c>
      <c r="BN856" s="268" t="str">
        <f t="shared" si="1312"/>
        <v/>
      </c>
      <c r="BO856" s="268" t="str">
        <f t="shared" si="1313"/>
        <v/>
      </c>
      <c r="BP856" s="268" t="str">
        <f t="shared" si="1314"/>
        <v/>
      </c>
      <c r="BQ856" s="268" t="str">
        <f t="shared" si="1315"/>
        <v/>
      </c>
      <c r="BR856" s="268" t="str">
        <f t="shared" si="1316"/>
        <v/>
      </c>
      <c r="BS856" s="268" t="str">
        <f t="shared" si="1317"/>
        <v/>
      </c>
      <c r="BT856" s="268" t="str">
        <f t="shared" si="1380"/>
        <v/>
      </c>
      <c r="BU856" s="268" t="str">
        <f t="shared" si="1381"/>
        <v/>
      </c>
      <c r="BV856" s="247">
        <v>3.09</v>
      </c>
      <c r="BW856" s="729">
        <f t="shared" si="1382"/>
        <v>2224.8</v>
      </c>
      <c r="BX856" s="730">
        <f t="shared" si="1383"/>
        <v>17242.2</v>
      </c>
      <c r="BY856" s="731" t="str">
        <f t="shared" si="1384"/>
        <v>SR</v>
      </c>
    </row>
    <row r="857" s="698" customFormat="1" customHeight="1" spans="1:77">
      <c r="A857" s="248">
        <v>46148</v>
      </c>
      <c r="B857" s="248">
        <v>46195</v>
      </c>
      <c r="C857" s="268" t="s">
        <v>821</v>
      </c>
      <c r="D857" s="268" t="s">
        <v>822</v>
      </c>
      <c r="E857" s="268" t="s">
        <v>179</v>
      </c>
      <c r="F857" s="343">
        <v>1560</v>
      </c>
      <c r="G857" s="268" t="s">
        <v>510</v>
      </c>
      <c r="H857" s="211" t="str">
        <f>IFERROR(VLOOKUP(E857,名称!A:E,4,0),"")</f>
        <v>三代</v>
      </c>
      <c r="I857" s="268" t="str">
        <f t="shared" si="1323"/>
        <v/>
      </c>
      <c r="J857" s="268" t="str">
        <f t="shared" si="1324"/>
        <v/>
      </c>
      <c r="K857" s="268" t="str">
        <f t="shared" si="1325"/>
        <v/>
      </c>
      <c r="L857" s="268" t="str">
        <f t="shared" si="1326"/>
        <v/>
      </c>
      <c r="M857" s="268" t="str">
        <f t="shared" si="1327"/>
        <v/>
      </c>
      <c r="N857" s="268" t="str">
        <f t="shared" si="1328"/>
        <v/>
      </c>
      <c r="O857" s="268" t="str">
        <f t="shared" si="1329"/>
        <v/>
      </c>
      <c r="P857" s="268" t="str">
        <f t="shared" si="1330"/>
        <v/>
      </c>
      <c r="Q857" s="268" t="str">
        <f t="shared" si="1331"/>
        <v/>
      </c>
      <c r="R857" s="268" t="str">
        <f t="shared" si="1332"/>
        <v/>
      </c>
      <c r="S857" s="268" t="str">
        <f t="shared" si="1333"/>
        <v/>
      </c>
      <c r="T857" s="268" t="str">
        <f t="shared" si="1334"/>
        <v/>
      </c>
      <c r="U857" s="268" t="str">
        <f t="shared" si="1335"/>
        <v/>
      </c>
      <c r="V857" s="268" t="str">
        <f t="shared" si="1336"/>
        <v/>
      </c>
      <c r="W857" s="268" t="str">
        <f t="shared" si="1337"/>
        <v/>
      </c>
      <c r="X857" s="268" t="str">
        <f t="shared" si="1338"/>
        <v/>
      </c>
      <c r="Y857" s="268" t="str">
        <f t="shared" si="1339"/>
        <v/>
      </c>
      <c r="Z857" s="268" t="str">
        <f t="shared" si="1340"/>
        <v/>
      </c>
      <c r="AA857" s="268" t="str">
        <f t="shared" si="1341"/>
        <v/>
      </c>
      <c r="AB857" s="268" t="str">
        <f t="shared" si="1342"/>
        <v/>
      </c>
      <c r="AC857" s="268" t="str">
        <f t="shared" si="1343"/>
        <v/>
      </c>
      <c r="AD857" s="268" t="str">
        <f t="shared" si="1344"/>
        <v/>
      </c>
      <c r="AE857" s="268" t="str">
        <f t="shared" si="1345"/>
        <v/>
      </c>
      <c r="AF857" s="268" t="str">
        <f t="shared" si="1346"/>
        <v/>
      </c>
      <c r="AG857" s="268" t="str">
        <f t="shared" si="1347"/>
        <v/>
      </c>
      <c r="AH857" s="268" t="str">
        <f t="shared" si="1348"/>
        <v/>
      </c>
      <c r="AI857" s="268" t="str">
        <f t="shared" si="1349"/>
        <v/>
      </c>
      <c r="AJ857" s="268" t="str">
        <f t="shared" si="1350"/>
        <v/>
      </c>
      <c r="AK857" s="268" t="str">
        <f t="shared" si="1351"/>
        <v/>
      </c>
      <c r="AL857" s="268" t="str">
        <f t="shared" si="1352"/>
        <v/>
      </c>
      <c r="AM857" s="268" t="str">
        <f t="shared" si="1353"/>
        <v/>
      </c>
      <c r="AN857" s="268" t="str">
        <f t="shared" si="1354"/>
        <v/>
      </c>
      <c r="AO857" s="268">
        <f t="shared" si="1355"/>
        <v>1560</v>
      </c>
      <c r="AP857" s="268" t="str">
        <f t="shared" si="1356"/>
        <v/>
      </c>
      <c r="AQ857" s="268" t="str">
        <f t="shared" si="1357"/>
        <v/>
      </c>
      <c r="AR857" s="268" t="str">
        <f t="shared" si="1358"/>
        <v/>
      </c>
      <c r="AS857" s="268" t="str">
        <f t="shared" si="1359"/>
        <v/>
      </c>
      <c r="AT857" s="268" t="str">
        <f t="shared" si="1360"/>
        <v/>
      </c>
      <c r="AU857" s="268" t="str">
        <f t="shared" si="1361"/>
        <v/>
      </c>
      <c r="AV857" s="268" t="str">
        <f t="shared" si="1362"/>
        <v/>
      </c>
      <c r="AW857" s="268" t="str">
        <f t="shared" si="1363"/>
        <v/>
      </c>
      <c r="AX857" s="268" t="str">
        <f t="shared" si="1364"/>
        <v/>
      </c>
      <c r="AY857" s="268" t="str">
        <f t="shared" si="1365"/>
        <v/>
      </c>
      <c r="AZ857" s="268" t="str">
        <f t="shared" si="1366"/>
        <v/>
      </c>
      <c r="BA857" s="268" t="str">
        <f t="shared" si="1367"/>
        <v/>
      </c>
      <c r="BB857" s="268" t="str">
        <f t="shared" si="1368"/>
        <v/>
      </c>
      <c r="BC857" s="268" t="str">
        <f t="shared" si="1369"/>
        <v/>
      </c>
      <c r="BD857" s="268" t="str">
        <f t="shared" si="1370"/>
        <v/>
      </c>
      <c r="BE857" s="268" t="str">
        <f t="shared" si="1371"/>
        <v/>
      </c>
      <c r="BF857" s="268" t="str">
        <f t="shared" si="1372"/>
        <v/>
      </c>
      <c r="BG857" s="268" t="str">
        <f t="shared" si="1373"/>
        <v/>
      </c>
      <c r="BH857" s="268" t="str">
        <f t="shared" si="1374"/>
        <v/>
      </c>
      <c r="BI857" s="268" t="str">
        <f t="shared" si="1375"/>
        <v/>
      </c>
      <c r="BJ857" s="268" t="str">
        <f t="shared" si="1376"/>
        <v/>
      </c>
      <c r="BK857" s="268" t="str">
        <f t="shared" si="1377"/>
        <v/>
      </c>
      <c r="BL857" s="268" t="str">
        <f t="shared" si="1378"/>
        <v/>
      </c>
      <c r="BM857" s="268" t="str">
        <f t="shared" si="1379"/>
        <v/>
      </c>
      <c r="BN857" s="268" t="str">
        <f t="shared" si="1312"/>
        <v/>
      </c>
      <c r="BO857" s="268" t="str">
        <f t="shared" si="1313"/>
        <v/>
      </c>
      <c r="BP857" s="268" t="str">
        <f t="shared" si="1314"/>
        <v/>
      </c>
      <c r="BQ857" s="268" t="str">
        <f t="shared" si="1315"/>
        <v/>
      </c>
      <c r="BR857" s="268" t="str">
        <f t="shared" si="1316"/>
        <v/>
      </c>
      <c r="BS857" s="268" t="str">
        <f t="shared" si="1317"/>
        <v/>
      </c>
      <c r="BT857" s="268" t="str">
        <f t="shared" si="1380"/>
        <v/>
      </c>
      <c r="BU857" s="268" t="str">
        <f t="shared" si="1381"/>
        <v/>
      </c>
      <c r="BV857" s="247">
        <v>0.6</v>
      </c>
      <c r="BW857" s="729">
        <f t="shared" si="1382"/>
        <v>936</v>
      </c>
      <c r="BX857" s="730">
        <f t="shared" si="1383"/>
        <v>7254</v>
      </c>
      <c r="BY857" s="731" t="str">
        <f t="shared" si="1384"/>
        <v>SR</v>
      </c>
    </row>
    <row r="858" s="698" customFormat="1" customHeight="1" spans="1:77">
      <c r="A858" s="248">
        <v>46148</v>
      </c>
      <c r="B858" s="248">
        <v>46195</v>
      </c>
      <c r="C858" s="268" t="s">
        <v>821</v>
      </c>
      <c r="D858" s="268" t="s">
        <v>822</v>
      </c>
      <c r="E858" s="268" t="s">
        <v>119</v>
      </c>
      <c r="F858" s="343">
        <v>1560</v>
      </c>
      <c r="G858" s="268" t="s">
        <v>510</v>
      </c>
      <c r="H858" s="211" t="str">
        <f>IFERROR(VLOOKUP(E858,名称!A:E,4,0),"")</f>
        <v>三代</v>
      </c>
      <c r="I858" s="268" t="str">
        <f t="shared" si="1323"/>
        <v/>
      </c>
      <c r="J858" s="268" t="str">
        <f t="shared" si="1324"/>
        <v/>
      </c>
      <c r="K858" s="268" t="str">
        <f t="shared" si="1325"/>
        <v/>
      </c>
      <c r="L858" s="268" t="str">
        <f t="shared" si="1326"/>
        <v/>
      </c>
      <c r="M858" s="268" t="str">
        <f t="shared" si="1327"/>
        <v/>
      </c>
      <c r="N858" s="268" t="str">
        <f t="shared" si="1328"/>
        <v/>
      </c>
      <c r="O858" s="268" t="str">
        <f t="shared" si="1329"/>
        <v/>
      </c>
      <c r="P858" s="268" t="str">
        <f t="shared" si="1330"/>
        <v/>
      </c>
      <c r="Q858" s="268" t="str">
        <f t="shared" si="1331"/>
        <v/>
      </c>
      <c r="R858" s="268" t="str">
        <f t="shared" si="1332"/>
        <v/>
      </c>
      <c r="S858" s="268" t="str">
        <f t="shared" si="1333"/>
        <v/>
      </c>
      <c r="T858" s="268" t="str">
        <f t="shared" si="1334"/>
        <v/>
      </c>
      <c r="U858" s="268" t="str">
        <f t="shared" si="1335"/>
        <v/>
      </c>
      <c r="V858" s="268" t="str">
        <f t="shared" si="1336"/>
        <v/>
      </c>
      <c r="W858" s="268" t="str">
        <f t="shared" si="1337"/>
        <v/>
      </c>
      <c r="X858" s="268" t="str">
        <f t="shared" si="1338"/>
        <v/>
      </c>
      <c r="Y858" s="268" t="str">
        <f t="shared" si="1339"/>
        <v/>
      </c>
      <c r="Z858" s="268" t="str">
        <f t="shared" si="1340"/>
        <v/>
      </c>
      <c r="AA858" s="268" t="str">
        <f t="shared" si="1341"/>
        <v/>
      </c>
      <c r="AB858" s="268" t="str">
        <f t="shared" si="1342"/>
        <v/>
      </c>
      <c r="AC858" s="268" t="str">
        <f t="shared" si="1343"/>
        <v/>
      </c>
      <c r="AD858" s="268" t="str">
        <f t="shared" si="1344"/>
        <v/>
      </c>
      <c r="AE858" s="268" t="str">
        <f t="shared" si="1345"/>
        <v/>
      </c>
      <c r="AF858" s="268" t="str">
        <f t="shared" si="1346"/>
        <v/>
      </c>
      <c r="AG858" s="268" t="str">
        <f t="shared" si="1347"/>
        <v/>
      </c>
      <c r="AH858" s="268" t="str">
        <f t="shared" si="1348"/>
        <v/>
      </c>
      <c r="AI858" s="268" t="str">
        <f t="shared" si="1349"/>
        <v/>
      </c>
      <c r="AJ858" s="268" t="str">
        <f t="shared" si="1350"/>
        <v/>
      </c>
      <c r="AK858" s="268" t="str">
        <f t="shared" si="1351"/>
        <v/>
      </c>
      <c r="AL858" s="268" t="str">
        <f t="shared" si="1352"/>
        <v/>
      </c>
      <c r="AM858" s="268" t="str">
        <f t="shared" si="1353"/>
        <v/>
      </c>
      <c r="AN858" s="268" t="str">
        <f t="shared" si="1354"/>
        <v/>
      </c>
      <c r="AO858" s="268" t="str">
        <f t="shared" si="1355"/>
        <v/>
      </c>
      <c r="AP858" s="268">
        <f t="shared" si="1356"/>
        <v>1560</v>
      </c>
      <c r="AQ858" s="268" t="str">
        <f t="shared" si="1357"/>
        <v/>
      </c>
      <c r="AR858" s="268" t="str">
        <f t="shared" si="1358"/>
        <v/>
      </c>
      <c r="AS858" s="268" t="str">
        <f t="shared" si="1359"/>
        <v/>
      </c>
      <c r="AT858" s="268" t="str">
        <f t="shared" si="1360"/>
        <v/>
      </c>
      <c r="AU858" s="268" t="str">
        <f t="shared" si="1361"/>
        <v/>
      </c>
      <c r="AV858" s="268" t="str">
        <f t="shared" si="1362"/>
        <v/>
      </c>
      <c r="AW858" s="268" t="str">
        <f t="shared" si="1363"/>
        <v/>
      </c>
      <c r="AX858" s="268" t="str">
        <f t="shared" si="1364"/>
        <v/>
      </c>
      <c r="AY858" s="268" t="str">
        <f t="shared" si="1365"/>
        <v/>
      </c>
      <c r="AZ858" s="268" t="str">
        <f t="shared" si="1366"/>
        <v/>
      </c>
      <c r="BA858" s="268" t="str">
        <f t="shared" si="1367"/>
        <v/>
      </c>
      <c r="BB858" s="268" t="str">
        <f t="shared" si="1368"/>
        <v/>
      </c>
      <c r="BC858" s="268" t="str">
        <f t="shared" si="1369"/>
        <v/>
      </c>
      <c r="BD858" s="268" t="str">
        <f t="shared" si="1370"/>
        <v/>
      </c>
      <c r="BE858" s="268" t="str">
        <f t="shared" si="1371"/>
        <v/>
      </c>
      <c r="BF858" s="268" t="str">
        <f t="shared" si="1372"/>
        <v/>
      </c>
      <c r="BG858" s="268" t="str">
        <f t="shared" si="1373"/>
        <v/>
      </c>
      <c r="BH858" s="268" t="str">
        <f t="shared" si="1374"/>
        <v/>
      </c>
      <c r="BI858" s="268" t="str">
        <f t="shared" si="1375"/>
        <v/>
      </c>
      <c r="BJ858" s="268" t="str">
        <f t="shared" si="1376"/>
        <v/>
      </c>
      <c r="BK858" s="268" t="str">
        <f t="shared" si="1377"/>
        <v/>
      </c>
      <c r="BL858" s="268" t="str">
        <f t="shared" si="1378"/>
        <v/>
      </c>
      <c r="BM858" s="268" t="str">
        <f t="shared" si="1379"/>
        <v/>
      </c>
      <c r="BN858" s="268" t="str">
        <f t="shared" si="1312"/>
        <v/>
      </c>
      <c r="BO858" s="268" t="str">
        <f t="shared" si="1313"/>
        <v/>
      </c>
      <c r="BP858" s="268" t="str">
        <f t="shared" si="1314"/>
        <v/>
      </c>
      <c r="BQ858" s="268" t="str">
        <f t="shared" si="1315"/>
        <v/>
      </c>
      <c r="BR858" s="268" t="str">
        <f t="shared" si="1316"/>
        <v/>
      </c>
      <c r="BS858" s="268" t="str">
        <f t="shared" si="1317"/>
        <v/>
      </c>
      <c r="BT858" s="268" t="str">
        <f t="shared" si="1380"/>
        <v/>
      </c>
      <c r="BU858" s="268" t="str">
        <f t="shared" si="1381"/>
        <v/>
      </c>
      <c r="BV858" s="247">
        <v>0.61</v>
      </c>
      <c r="BW858" s="729">
        <f t="shared" si="1382"/>
        <v>951.6</v>
      </c>
      <c r="BX858" s="730">
        <f t="shared" si="1383"/>
        <v>7374.9</v>
      </c>
      <c r="BY858" s="731" t="str">
        <f t="shared" si="1384"/>
        <v>SR</v>
      </c>
    </row>
    <row r="859" s="698" customFormat="1" customHeight="1" spans="1:77">
      <c r="A859" s="248">
        <v>46148</v>
      </c>
      <c r="B859" s="248">
        <v>46195</v>
      </c>
      <c r="C859" s="268" t="s">
        <v>821</v>
      </c>
      <c r="D859" s="268" t="s">
        <v>822</v>
      </c>
      <c r="E859" s="268" t="s">
        <v>65</v>
      </c>
      <c r="F859" s="343">
        <v>3120</v>
      </c>
      <c r="G859" s="268" t="s">
        <v>327</v>
      </c>
      <c r="H859" s="211" t="str">
        <f>IFERROR(VLOOKUP(E859,名称!A:E,4,0),"")</f>
        <v>二代</v>
      </c>
      <c r="I859" s="268" t="str">
        <f t="shared" si="1323"/>
        <v/>
      </c>
      <c r="J859" s="268" t="str">
        <f t="shared" si="1324"/>
        <v/>
      </c>
      <c r="K859" s="268" t="str">
        <f t="shared" si="1325"/>
        <v/>
      </c>
      <c r="L859" s="268" t="str">
        <f t="shared" si="1326"/>
        <v/>
      </c>
      <c r="M859" s="268" t="str">
        <f t="shared" si="1327"/>
        <v/>
      </c>
      <c r="N859" s="268" t="str">
        <f t="shared" si="1328"/>
        <v/>
      </c>
      <c r="O859" s="268" t="str">
        <f t="shared" si="1329"/>
        <v/>
      </c>
      <c r="P859" s="268" t="str">
        <f t="shared" si="1330"/>
        <v/>
      </c>
      <c r="Q859" s="268">
        <f t="shared" si="1331"/>
        <v>3120</v>
      </c>
      <c r="R859" s="268" t="str">
        <f t="shared" si="1332"/>
        <v/>
      </c>
      <c r="S859" s="268" t="str">
        <f t="shared" si="1333"/>
        <v/>
      </c>
      <c r="T859" s="268" t="str">
        <f t="shared" si="1334"/>
        <v/>
      </c>
      <c r="U859" s="268" t="str">
        <f t="shared" si="1335"/>
        <v/>
      </c>
      <c r="V859" s="268" t="str">
        <f t="shared" si="1336"/>
        <v/>
      </c>
      <c r="W859" s="268" t="str">
        <f t="shared" si="1337"/>
        <v/>
      </c>
      <c r="X859" s="268" t="str">
        <f t="shared" si="1338"/>
        <v/>
      </c>
      <c r="Y859" s="268" t="str">
        <f t="shared" si="1339"/>
        <v/>
      </c>
      <c r="Z859" s="268" t="str">
        <f t="shared" si="1340"/>
        <v/>
      </c>
      <c r="AA859" s="268" t="str">
        <f t="shared" si="1341"/>
        <v/>
      </c>
      <c r="AB859" s="268" t="str">
        <f t="shared" si="1342"/>
        <v/>
      </c>
      <c r="AC859" s="268" t="str">
        <f t="shared" si="1343"/>
        <v/>
      </c>
      <c r="AD859" s="268" t="str">
        <f t="shared" si="1344"/>
        <v/>
      </c>
      <c r="AE859" s="268" t="str">
        <f t="shared" si="1345"/>
        <v/>
      </c>
      <c r="AF859" s="268" t="str">
        <f t="shared" si="1346"/>
        <v/>
      </c>
      <c r="AG859" s="268" t="str">
        <f t="shared" si="1347"/>
        <v/>
      </c>
      <c r="AH859" s="268" t="str">
        <f t="shared" si="1348"/>
        <v/>
      </c>
      <c r="AI859" s="268" t="str">
        <f t="shared" si="1349"/>
        <v/>
      </c>
      <c r="AJ859" s="268" t="str">
        <f t="shared" si="1350"/>
        <v/>
      </c>
      <c r="AK859" s="268" t="str">
        <f t="shared" si="1351"/>
        <v/>
      </c>
      <c r="AL859" s="268" t="str">
        <f t="shared" si="1352"/>
        <v/>
      </c>
      <c r="AM859" s="268" t="str">
        <f t="shared" si="1353"/>
        <v/>
      </c>
      <c r="AN859" s="268" t="str">
        <f t="shared" si="1354"/>
        <v/>
      </c>
      <c r="AO859" s="268" t="str">
        <f t="shared" si="1355"/>
        <v/>
      </c>
      <c r="AP859" s="268" t="str">
        <f t="shared" si="1356"/>
        <v/>
      </c>
      <c r="AQ859" s="268" t="str">
        <f t="shared" si="1357"/>
        <v/>
      </c>
      <c r="AR859" s="268" t="str">
        <f t="shared" si="1358"/>
        <v/>
      </c>
      <c r="AS859" s="268" t="str">
        <f t="shared" si="1359"/>
        <v/>
      </c>
      <c r="AT859" s="268" t="str">
        <f t="shared" si="1360"/>
        <v/>
      </c>
      <c r="AU859" s="268" t="str">
        <f t="shared" si="1361"/>
        <v/>
      </c>
      <c r="AV859" s="268" t="str">
        <f t="shared" si="1362"/>
        <v/>
      </c>
      <c r="AW859" s="268" t="str">
        <f t="shared" si="1363"/>
        <v/>
      </c>
      <c r="AX859" s="268" t="str">
        <f t="shared" si="1364"/>
        <v/>
      </c>
      <c r="AY859" s="268" t="str">
        <f t="shared" si="1365"/>
        <v/>
      </c>
      <c r="AZ859" s="268" t="str">
        <f t="shared" si="1366"/>
        <v/>
      </c>
      <c r="BA859" s="268" t="str">
        <f t="shared" si="1367"/>
        <v/>
      </c>
      <c r="BB859" s="268" t="str">
        <f t="shared" si="1368"/>
        <v/>
      </c>
      <c r="BC859" s="268" t="str">
        <f t="shared" si="1369"/>
        <v/>
      </c>
      <c r="BD859" s="268" t="str">
        <f t="shared" si="1370"/>
        <v/>
      </c>
      <c r="BE859" s="268" t="str">
        <f t="shared" si="1371"/>
        <v/>
      </c>
      <c r="BF859" s="268" t="str">
        <f t="shared" si="1372"/>
        <v/>
      </c>
      <c r="BG859" s="268" t="str">
        <f t="shared" si="1373"/>
        <v/>
      </c>
      <c r="BH859" s="268" t="str">
        <f t="shared" si="1374"/>
        <v/>
      </c>
      <c r="BI859" s="268" t="str">
        <f t="shared" si="1375"/>
        <v/>
      </c>
      <c r="BJ859" s="268" t="str">
        <f t="shared" si="1376"/>
        <v/>
      </c>
      <c r="BK859" s="268" t="str">
        <f t="shared" si="1377"/>
        <v/>
      </c>
      <c r="BL859" s="268" t="str">
        <f t="shared" si="1378"/>
        <v/>
      </c>
      <c r="BM859" s="268" t="str">
        <f t="shared" si="1379"/>
        <v/>
      </c>
      <c r="BN859" s="268" t="str">
        <f t="shared" si="1312"/>
        <v/>
      </c>
      <c r="BO859" s="268" t="str">
        <f t="shared" si="1313"/>
        <v/>
      </c>
      <c r="BP859" s="268" t="str">
        <f t="shared" si="1314"/>
        <v/>
      </c>
      <c r="BQ859" s="268" t="str">
        <f t="shared" si="1315"/>
        <v/>
      </c>
      <c r="BR859" s="268" t="str">
        <f t="shared" si="1316"/>
        <v/>
      </c>
      <c r="BS859" s="268" t="str">
        <f t="shared" si="1317"/>
        <v/>
      </c>
      <c r="BT859" s="268" t="str">
        <f t="shared" si="1380"/>
        <v/>
      </c>
      <c r="BU859" s="268" t="str">
        <f t="shared" si="1381"/>
        <v/>
      </c>
      <c r="BV859" s="247">
        <v>0.61</v>
      </c>
      <c r="BW859" s="729">
        <f t="shared" si="1382"/>
        <v>1903.2</v>
      </c>
      <c r="BX859" s="730">
        <f t="shared" si="1383"/>
        <v>14749.8</v>
      </c>
      <c r="BY859" s="731" t="str">
        <f t="shared" si="1384"/>
        <v>SR</v>
      </c>
    </row>
    <row r="860" s="698" customFormat="1" customHeight="1" spans="1:77">
      <c r="A860" s="248">
        <v>46148</v>
      </c>
      <c r="B860" s="248">
        <v>46195</v>
      </c>
      <c r="C860" s="268" t="s">
        <v>821</v>
      </c>
      <c r="D860" s="268" t="s">
        <v>822</v>
      </c>
      <c r="E860" s="268" t="s">
        <v>52</v>
      </c>
      <c r="F860" s="343">
        <v>1440</v>
      </c>
      <c r="G860" s="268" t="s">
        <v>510</v>
      </c>
      <c r="H860" s="211" t="str">
        <f>IFERROR(VLOOKUP(E860,名称!A:E,4,0),"")</f>
        <v>蛋糕</v>
      </c>
      <c r="I860" s="268" t="str">
        <f t="shared" si="1323"/>
        <v/>
      </c>
      <c r="J860" s="268" t="str">
        <f t="shared" si="1324"/>
        <v/>
      </c>
      <c r="K860" s="268" t="str">
        <f t="shared" si="1325"/>
        <v/>
      </c>
      <c r="L860" s="268" t="str">
        <f t="shared" si="1326"/>
        <v/>
      </c>
      <c r="M860" s="268" t="str">
        <f t="shared" si="1327"/>
        <v/>
      </c>
      <c r="N860" s="268" t="str">
        <f t="shared" si="1328"/>
        <v/>
      </c>
      <c r="O860" s="268" t="str">
        <f t="shared" si="1329"/>
        <v/>
      </c>
      <c r="P860" s="268" t="str">
        <f t="shared" si="1330"/>
        <v/>
      </c>
      <c r="Q860" s="268" t="str">
        <f t="shared" si="1331"/>
        <v/>
      </c>
      <c r="R860" s="268" t="str">
        <f t="shared" si="1332"/>
        <v/>
      </c>
      <c r="S860" s="268" t="str">
        <f t="shared" si="1333"/>
        <v/>
      </c>
      <c r="T860" s="268" t="str">
        <f t="shared" si="1334"/>
        <v/>
      </c>
      <c r="U860" s="268" t="str">
        <f t="shared" si="1335"/>
        <v/>
      </c>
      <c r="V860" s="268" t="str">
        <f t="shared" si="1336"/>
        <v/>
      </c>
      <c r="W860" s="268" t="str">
        <f t="shared" si="1337"/>
        <v/>
      </c>
      <c r="X860" s="268" t="str">
        <f t="shared" si="1338"/>
        <v/>
      </c>
      <c r="Y860" s="268" t="str">
        <f t="shared" si="1339"/>
        <v/>
      </c>
      <c r="Z860" s="268" t="str">
        <f t="shared" si="1340"/>
        <v/>
      </c>
      <c r="AA860" s="268" t="str">
        <f t="shared" si="1341"/>
        <v/>
      </c>
      <c r="AB860" s="268" t="str">
        <f t="shared" si="1342"/>
        <v/>
      </c>
      <c r="AC860" s="268" t="str">
        <f t="shared" si="1343"/>
        <v/>
      </c>
      <c r="AD860" s="268" t="str">
        <f t="shared" si="1344"/>
        <v/>
      </c>
      <c r="AE860" s="268" t="str">
        <f t="shared" si="1345"/>
        <v/>
      </c>
      <c r="AF860" s="268" t="str">
        <f t="shared" si="1346"/>
        <v/>
      </c>
      <c r="AG860" s="268" t="str">
        <f t="shared" si="1347"/>
        <v/>
      </c>
      <c r="AH860" s="268" t="str">
        <f t="shared" si="1348"/>
        <v/>
      </c>
      <c r="AI860" s="268" t="str">
        <f t="shared" si="1349"/>
        <v/>
      </c>
      <c r="AJ860" s="268" t="str">
        <f t="shared" si="1350"/>
        <v/>
      </c>
      <c r="AK860" s="268" t="str">
        <f t="shared" si="1351"/>
        <v/>
      </c>
      <c r="AL860" s="268" t="str">
        <f t="shared" si="1352"/>
        <v/>
      </c>
      <c r="AM860" s="268" t="str">
        <f t="shared" si="1353"/>
        <v/>
      </c>
      <c r="AN860" s="268" t="str">
        <f t="shared" si="1354"/>
        <v/>
      </c>
      <c r="AO860" s="268" t="str">
        <f t="shared" si="1355"/>
        <v/>
      </c>
      <c r="AP860" s="268" t="str">
        <f t="shared" si="1356"/>
        <v/>
      </c>
      <c r="AQ860" s="268" t="str">
        <f t="shared" si="1357"/>
        <v/>
      </c>
      <c r="AR860" s="268" t="str">
        <f t="shared" si="1358"/>
        <v/>
      </c>
      <c r="AS860" s="268" t="str">
        <f t="shared" si="1359"/>
        <v/>
      </c>
      <c r="AT860" s="268" t="str">
        <f t="shared" si="1360"/>
        <v/>
      </c>
      <c r="AU860" s="268" t="str">
        <f t="shared" si="1361"/>
        <v/>
      </c>
      <c r="AV860" s="268" t="str">
        <f t="shared" si="1362"/>
        <v/>
      </c>
      <c r="AW860" s="268" t="str">
        <f t="shared" si="1363"/>
        <v/>
      </c>
      <c r="AX860" s="268" t="str">
        <f t="shared" si="1364"/>
        <v/>
      </c>
      <c r="AY860" s="268" t="str">
        <f t="shared" si="1365"/>
        <v/>
      </c>
      <c r="AZ860" s="268" t="str">
        <f t="shared" si="1366"/>
        <v/>
      </c>
      <c r="BA860" s="268" t="str">
        <f t="shared" si="1367"/>
        <v/>
      </c>
      <c r="BB860" s="268" t="str">
        <f t="shared" si="1368"/>
        <v/>
      </c>
      <c r="BC860" s="268" t="str">
        <f t="shared" si="1369"/>
        <v/>
      </c>
      <c r="BD860" s="268" t="str">
        <f t="shared" si="1370"/>
        <v/>
      </c>
      <c r="BE860" s="268" t="str">
        <f t="shared" si="1371"/>
        <v/>
      </c>
      <c r="BF860" s="268" t="str">
        <f t="shared" si="1372"/>
        <v/>
      </c>
      <c r="BG860" s="268" t="str">
        <f t="shared" si="1373"/>
        <v/>
      </c>
      <c r="BH860" s="268">
        <f t="shared" si="1374"/>
        <v>1440</v>
      </c>
      <c r="BI860" s="268" t="str">
        <f t="shared" si="1375"/>
        <v/>
      </c>
      <c r="BJ860" s="268" t="str">
        <f t="shared" si="1376"/>
        <v/>
      </c>
      <c r="BK860" s="268" t="str">
        <f t="shared" si="1377"/>
        <v/>
      </c>
      <c r="BL860" s="268" t="str">
        <f t="shared" si="1378"/>
        <v/>
      </c>
      <c r="BM860" s="268" t="str">
        <f t="shared" si="1379"/>
        <v/>
      </c>
      <c r="BN860" s="268" t="str">
        <f t="shared" ref="BN860:BN923" si="1385">IF(OR($E860="",BN$1=""),"",IF(TRIM(LEFT($E860,MIN(IFERROR(FIND("CDU",UPPER($E860)),999),IFERROR(FIND("BULK",UPPER($E860)),999),IFERROR(FIND("-",$E860),999),IFERROR(FIND("（",$E860),999))-1))=BN$1,$F860,""))</f>
        <v/>
      </c>
      <c r="BO860" s="268" t="str">
        <f t="shared" ref="BO860:BO923" si="1386">IF(OR($E860="",BO$1=""),"",IF(TRIM(LEFT($E860,MIN(IFERROR(FIND("CDU",UPPER($E860)),999),IFERROR(FIND("BULK",UPPER($E860)),999),IFERROR(FIND("-",$E860),999),IFERROR(FIND("（",$E860),999))-1))=BO$1,$F860,""))</f>
        <v/>
      </c>
      <c r="BP860" s="268" t="str">
        <f t="shared" ref="BP860:BP923" si="1387">IF(OR($E860="",BP$1=""),"",IF(TRIM(LEFT($E860,MIN(IFERROR(FIND("CDU",UPPER($E860)),999),IFERROR(FIND("BULK",UPPER($E860)),999),IFERROR(FIND("-",$E860),999),IFERROR(FIND("（",$E860),999))-1))=BP$1,$F860,""))</f>
        <v/>
      </c>
      <c r="BQ860" s="268" t="str">
        <f t="shared" ref="BQ860:BQ923" si="1388">IF(OR($E860="",BQ$1=""),"",IF(TRIM(LEFT($E860,MIN(IFERROR(FIND("CDU",UPPER($E860)),999),IFERROR(FIND("BULK",UPPER($E860)),999),IFERROR(FIND("-",$E860),999),IFERROR(FIND("（",$E860),999))-1))=BQ$1,$F860,""))</f>
        <v/>
      </c>
      <c r="BR860" s="268" t="str">
        <f t="shared" ref="BR860:BR923" si="1389">IF(OR($E860="",BR$1=""),"",IF(TRIM(LEFT($E860,MIN(IFERROR(FIND("CDU",UPPER($E860)),999),IFERROR(FIND("BULK",UPPER($E860)),999),IFERROR(FIND("-",$E860),999),IFERROR(FIND("（",$E860),999))-1))=BR$1,$F860,""))</f>
        <v/>
      </c>
      <c r="BS860" s="268" t="str">
        <f t="shared" ref="BS860:BS923" si="1390">IF(OR($E860="",BS$1=""),"",IF(TRIM(LEFT($E860,MIN(IFERROR(FIND("CDU",UPPER($E860)),999),IFERROR(FIND("BULK",UPPER($E860)),999),IFERROR(FIND("-",$E860),999),IFERROR(FIND("（",$E860),999))-1))=BS$1,$F860,""))</f>
        <v/>
      </c>
      <c r="BT860" s="268" t="str">
        <f t="shared" si="1380"/>
        <v/>
      </c>
      <c r="BU860" s="268" t="str">
        <f t="shared" si="1381"/>
        <v/>
      </c>
      <c r="BV860" s="247">
        <v>2.76</v>
      </c>
      <c r="BW860" s="729">
        <f t="shared" si="1382"/>
        <v>3974.4</v>
      </c>
      <c r="BX860" s="730">
        <f t="shared" si="1383"/>
        <v>30801.6</v>
      </c>
      <c r="BY860" s="731" t="str">
        <f t="shared" si="1384"/>
        <v>JC</v>
      </c>
    </row>
    <row r="861" s="698" customFormat="1" customHeight="1" spans="1:77">
      <c r="A861" s="248">
        <v>46148</v>
      </c>
      <c r="B861" s="248">
        <v>46195</v>
      </c>
      <c r="C861" s="268" t="s">
        <v>821</v>
      </c>
      <c r="D861" s="268" t="s">
        <v>822</v>
      </c>
      <c r="E861" s="268" t="s">
        <v>50</v>
      </c>
      <c r="F861" s="343">
        <v>2970</v>
      </c>
      <c r="G861" s="268" t="s">
        <v>510</v>
      </c>
      <c r="H861" s="211" t="str">
        <f>IFERROR(VLOOKUP(E861,名称!A:E,4,0),"")</f>
        <v>蛋糕</v>
      </c>
      <c r="I861" s="268" t="str">
        <f t="shared" si="1323"/>
        <v/>
      </c>
      <c r="J861" s="268" t="str">
        <f t="shared" si="1324"/>
        <v/>
      </c>
      <c r="K861" s="268" t="str">
        <f t="shared" si="1325"/>
        <v/>
      </c>
      <c r="L861" s="268" t="str">
        <f t="shared" si="1326"/>
        <v/>
      </c>
      <c r="M861" s="268" t="str">
        <f t="shared" si="1327"/>
        <v/>
      </c>
      <c r="N861" s="268" t="str">
        <f t="shared" si="1328"/>
        <v/>
      </c>
      <c r="O861" s="268" t="str">
        <f t="shared" si="1329"/>
        <v/>
      </c>
      <c r="P861" s="268" t="str">
        <f t="shared" si="1330"/>
        <v/>
      </c>
      <c r="Q861" s="268" t="str">
        <f t="shared" si="1331"/>
        <v/>
      </c>
      <c r="R861" s="268" t="str">
        <f t="shared" si="1332"/>
        <v/>
      </c>
      <c r="S861" s="268" t="str">
        <f t="shared" si="1333"/>
        <v/>
      </c>
      <c r="T861" s="268" t="str">
        <f t="shared" si="1334"/>
        <v/>
      </c>
      <c r="U861" s="268" t="str">
        <f t="shared" si="1335"/>
        <v/>
      </c>
      <c r="V861" s="268" t="str">
        <f t="shared" si="1336"/>
        <v/>
      </c>
      <c r="W861" s="268" t="str">
        <f t="shared" si="1337"/>
        <v/>
      </c>
      <c r="X861" s="268" t="str">
        <f t="shared" si="1338"/>
        <v/>
      </c>
      <c r="Y861" s="268" t="str">
        <f t="shared" si="1339"/>
        <v/>
      </c>
      <c r="Z861" s="268" t="str">
        <f t="shared" si="1340"/>
        <v/>
      </c>
      <c r="AA861" s="268" t="str">
        <f t="shared" si="1341"/>
        <v/>
      </c>
      <c r="AB861" s="268" t="str">
        <f t="shared" si="1342"/>
        <v/>
      </c>
      <c r="AC861" s="268" t="str">
        <f t="shared" si="1343"/>
        <v/>
      </c>
      <c r="AD861" s="268" t="str">
        <f t="shared" si="1344"/>
        <v/>
      </c>
      <c r="AE861" s="268" t="str">
        <f t="shared" si="1345"/>
        <v/>
      </c>
      <c r="AF861" s="268" t="str">
        <f t="shared" si="1346"/>
        <v/>
      </c>
      <c r="AG861" s="268" t="str">
        <f t="shared" si="1347"/>
        <v/>
      </c>
      <c r="AH861" s="268" t="str">
        <f t="shared" si="1348"/>
        <v/>
      </c>
      <c r="AI861" s="268" t="str">
        <f t="shared" si="1349"/>
        <v/>
      </c>
      <c r="AJ861" s="268" t="str">
        <f t="shared" si="1350"/>
        <v/>
      </c>
      <c r="AK861" s="268" t="str">
        <f t="shared" si="1351"/>
        <v/>
      </c>
      <c r="AL861" s="268" t="str">
        <f t="shared" si="1352"/>
        <v/>
      </c>
      <c r="AM861" s="268" t="str">
        <f t="shared" si="1353"/>
        <v/>
      </c>
      <c r="AN861" s="268" t="str">
        <f t="shared" si="1354"/>
        <v/>
      </c>
      <c r="AO861" s="268" t="str">
        <f t="shared" si="1355"/>
        <v/>
      </c>
      <c r="AP861" s="268" t="str">
        <f t="shared" si="1356"/>
        <v/>
      </c>
      <c r="AQ861" s="268" t="str">
        <f t="shared" si="1357"/>
        <v/>
      </c>
      <c r="AR861" s="268" t="str">
        <f t="shared" si="1358"/>
        <v/>
      </c>
      <c r="AS861" s="268" t="str">
        <f t="shared" si="1359"/>
        <v/>
      </c>
      <c r="AT861" s="268" t="str">
        <f t="shared" si="1360"/>
        <v/>
      </c>
      <c r="AU861" s="268" t="str">
        <f t="shared" si="1361"/>
        <v/>
      </c>
      <c r="AV861" s="268" t="str">
        <f t="shared" si="1362"/>
        <v/>
      </c>
      <c r="AW861" s="268" t="str">
        <f t="shared" si="1363"/>
        <v/>
      </c>
      <c r="AX861" s="268" t="str">
        <f t="shared" si="1364"/>
        <v/>
      </c>
      <c r="AY861" s="268" t="str">
        <f t="shared" si="1365"/>
        <v/>
      </c>
      <c r="AZ861" s="268" t="str">
        <f t="shared" si="1366"/>
        <v/>
      </c>
      <c r="BA861" s="268" t="str">
        <f t="shared" si="1367"/>
        <v/>
      </c>
      <c r="BB861" s="268" t="str">
        <f t="shared" si="1368"/>
        <v/>
      </c>
      <c r="BC861" s="268" t="str">
        <f t="shared" si="1369"/>
        <v/>
      </c>
      <c r="BD861" s="268" t="str">
        <f t="shared" si="1370"/>
        <v/>
      </c>
      <c r="BE861" s="268" t="str">
        <f t="shared" si="1371"/>
        <v/>
      </c>
      <c r="BF861" s="268" t="str">
        <f t="shared" si="1372"/>
        <v/>
      </c>
      <c r="BG861" s="268">
        <f t="shared" si="1373"/>
        <v>2970</v>
      </c>
      <c r="BH861" s="268" t="str">
        <f t="shared" si="1374"/>
        <v/>
      </c>
      <c r="BI861" s="268" t="str">
        <f t="shared" si="1375"/>
        <v/>
      </c>
      <c r="BJ861" s="268" t="str">
        <f t="shared" si="1376"/>
        <v/>
      </c>
      <c r="BK861" s="268" t="str">
        <f t="shared" si="1377"/>
        <v/>
      </c>
      <c r="BL861" s="268" t="str">
        <f t="shared" si="1378"/>
        <v/>
      </c>
      <c r="BM861" s="268" t="str">
        <f t="shared" si="1379"/>
        <v/>
      </c>
      <c r="BN861" s="268" t="str">
        <f t="shared" si="1385"/>
        <v/>
      </c>
      <c r="BO861" s="268" t="str">
        <f t="shared" si="1386"/>
        <v/>
      </c>
      <c r="BP861" s="268" t="str">
        <f t="shared" si="1387"/>
        <v/>
      </c>
      <c r="BQ861" s="268" t="str">
        <f t="shared" si="1388"/>
        <v/>
      </c>
      <c r="BR861" s="268" t="str">
        <f t="shared" si="1389"/>
        <v/>
      </c>
      <c r="BS861" s="268" t="str">
        <f t="shared" si="1390"/>
        <v/>
      </c>
      <c r="BT861" s="268" t="str">
        <f t="shared" si="1380"/>
        <v/>
      </c>
      <c r="BU861" s="268" t="str">
        <f t="shared" si="1381"/>
        <v/>
      </c>
      <c r="BV861" s="247">
        <v>1.08</v>
      </c>
      <c r="BW861" s="729">
        <f t="shared" si="1382"/>
        <v>3207.6</v>
      </c>
      <c r="BX861" s="730">
        <f t="shared" si="1383"/>
        <v>24858.9</v>
      </c>
      <c r="BY861" s="731" t="str">
        <f t="shared" si="1384"/>
        <v>JC</v>
      </c>
    </row>
    <row r="862" s="698" customFormat="1" customHeight="1" spans="1:77">
      <c r="A862" s="248">
        <v>46148</v>
      </c>
      <c r="B862" s="248">
        <v>46195</v>
      </c>
      <c r="C862" s="268" t="s">
        <v>821</v>
      </c>
      <c r="D862" s="268" t="s">
        <v>822</v>
      </c>
      <c r="E862" s="268" t="s">
        <v>123</v>
      </c>
      <c r="F862" s="343">
        <v>3120</v>
      </c>
      <c r="G862" s="268" t="s">
        <v>510</v>
      </c>
      <c r="H862" s="211" t="str">
        <f>IFERROR(VLOOKUP(E862,名称!A:E,4,0),"")</f>
        <v>蛋糕</v>
      </c>
      <c r="I862" s="268" t="str">
        <f t="shared" si="1323"/>
        <v/>
      </c>
      <c r="J862" s="268" t="str">
        <f t="shared" si="1324"/>
        <v/>
      </c>
      <c r="K862" s="268" t="str">
        <f t="shared" si="1325"/>
        <v/>
      </c>
      <c r="L862" s="268" t="str">
        <f t="shared" si="1326"/>
        <v/>
      </c>
      <c r="M862" s="268" t="str">
        <f t="shared" si="1327"/>
        <v/>
      </c>
      <c r="N862" s="268" t="str">
        <f t="shared" si="1328"/>
        <v/>
      </c>
      <c r="O862" s="268" t="str">
        <f t="shared" si="1329"/>
        <v/>
      </c>
      <c r="P862" s="268" t="str">
        <f t="shared" si="1330"/>
        <v/>
      </c>
      <c r="Q862" s="268" t="str">
        <f t="shared" si="1331"/>
        <v/>
      </c>
      <c r="R862" s="268" t="str">
        <f t="shared" si="1332"/>
        <v/>
      </c>
      <c r="S862" s="268" t="str">
        <f t="shared" si="1333"/>
        <v/>
      </c>
      <c r="T862" s="268" t="str">
        <f t="shared" si="1334"/>
        <v/>
      </c>
      <c r="U862" s="268" t="str">
        <f t="shared" si="1335"/>
        <v/>
      </c>
      <c r="V862" s="268" t="str">
        <f t="shared" si="1336"/>
        <v/>
      </c>
      <c r="W862" s="268" t="str">
        <f t="shared" si="1337"/>
        <v/>
      </c>
      <c r="X862" s="268" t="str">
        <f t="shared" si="1338"/>
        <v/>
      </c>
      <c r="Y862" s="268" t="str">
        <f t="shared" si="1339"/>
        <v/>
      </c>
      <c r="Z862" s="268" t="str">
        <f t="shared" si="1340"/>
        <v/>
      </c>
      <c r="AA862" s="268" t="str">
        <f t="shared" si="1341"/>
        <v/>
      </c>
      <c r="AB862" s="268" t="str">
        <f t="shared" si="1342"/>
        <v/>
      </c>
      <c r="AC862" s="268" t="str">
        <f t="shared" si="1343"/>
        <v/>
      </c>
      <c r="AD862" s="268" t="str">
        <f t="shared" si="1344"/>
        <v/>
      </c>
      <c r="AE862" s="268" t="str">
        <f t="shared" si="1345"/>
        <v/>
      </c>
      <c r="AF862" s="268" t="str">
        <f t="shared" si="1346"/>
        <v/>
      </c>
      <c r="AG862" s="268" t="str">
        <f t="shared" si="1347"/>
        <v/>
      </c>
      <c r="AH862" s="268" t="str">
        <f t="shared" si="1348"/>
        <v/>
      </c>
      <c r="AI862" s="268" t="str">
        <f t="shared" si="1349"/>
        <v/>
      </c>
      <c r="AJ862" s="268" t="str">
        <f t="shared" si="1350"/>
        <v/>
      </c>
      <c r="AK862" s="268" t="str">
        <f t="shared" si="1351"/>
        <v/>
      </c>
      <c r="AL862" s="268" t="str">
        <f t="shared" si="1352"/>
        <v/>
      </c>
      <c r="AM862" s="268" t="str">
        <f t="shared" si="1353"/>
        <v/>
      </c>
      <c r="AN862" s="268" t="str">
        <f t="shared" si="1354"/>
        <v/>
      </c>
      <c r="AO862" s="268" t="str">
        <f t="shared" si="1355"/>
        <v/>
      </c>
      <c r="AP862" s="268" t="str">
        <f t="shared" si="1356"/>
        <v/>
      </c>
      <c r="AQ862" s="268" t="str">
        <f t="shared" si="1357"/>
        <v/>
      </c>
      <c r="AR862" s="268" t="str">
        <f t="shared" si="1358"/>
        <v/>
      </c>
      <c r="AS862" s="268" t="str">
        <f t="shared" si="1359"/>
        <v/>
      </c>
      <c r="AT862" s="268" t="str">
        <f t="shared" si="1360"/>
        <v/>
      </c>
      <c r="AU862" s="268" t="str">
        <f t="shared" si="1361"/>
        <v/>
      </c>
      <c r="AV862" s="268" t="str">
        <f t="shared" si="1362"/>
        <v/>
      </c>
      <c r="AW862" s="268" t="str">
        <f t="shared" si="1363"/>
        <v/>
      </c>
      <c r="AX862" s="268" t="str">
        <f t="shared" si="1364"/>
        <v/>
      </c>
      <c r="AY862" s="268" t="str">
        <f t="shared" si="1365"/>
        <v/>
      </c>
      <c r="AZ862" s="268" t="str">
        <f t="shared" si="1366"/>
        <v/>
      </c>
      <c r="BA862" s="268" t="str">
        <f t="shared" si="1367"/>
        <v/>
      </c>
      <c r="BB862" s="268" t="str">
        <f t="shared" si="1368"/>
        <v/>
      </c>
      <c r="BC862" s="268" t="str">
        <f t="shared" si="1369"/>
        <v/>
      </c>
      <c r="BD862" s="268" t="str">
        <f t="shared" si="1370"/>
        <v/>
      </c>
      <c r="BE862" s="268" t="str">
        <f t="shared" si="1371"/>
        <v/>
      </c>
      <c r="BF862" s="268">
        <f t="shared" si="1372"/>
        <v>3120</v>
      </c>
      <c r="BG862" s="268" t="str">
        <f t="shared" si="1373"/>
        <v/>
      </c>
      <c r="BH862" s="268" t="str">
        <f t="shared" si="1374"/>
        <v/>
      </c>
      <c r="BI862" s="268" t="str">
        <f t="shared" si="1375"/>
        <v/>
      </c>
      <c r="BJ862" s="268" t="str">
        <f t="shared" si="1376"/>
        <v/>
      </c>
      <c r="BK862" s="268" t="str">
        <f t="shared" si="1377"/>
        <v/>
      </c>
      <c r="BL862" s="268" t="str">
        <f t="shared" si="1378"/>
        <v/>
      </c>
      <c r="BM862" s="268" t="str">
        <f t="shared" si="1379"/>
        <v/>
      </c>
      <c r="BN862" s="268" t="str">
        <f t="shared" si="1385"/>
        <v/>
      </c>
      <c r="BO862" s="268" t="str">
        <f t="shared" si="1386"/>
        <v/>
      </c>
      <c r="BP862" s="268" t="str">
        <f t="shared" si="1387"/>
        <v/>
      </c>
      <c r="BQ862" s="268" t="str">
        <f t="shared" si="1388"/>
        <v/>
      </c>
      <c r="BR862" s="268" t="str">
        <f t="shared" si="1389"/>
        <v/>
      </c>
      <c r="BS862" s="268" t="str">
        <f t="shared" si="1390"/>
        <v/>
      </c>
      <c r="BT862" s="268" t="str">
        <f t="shared" si="1380"/>
        <v/>
      </c>
      <c r="BU862" s="268" t="str">
        <f t="shared" si="1381"/>
        <v/>
      </c>
      <c r="BV862" s="247">
        <v>0.77</v>
      </c>
      <c r="BW862" s="729">
        <f t="shared" si="1382"/>
        <v>2402.4</v>
      </c>
      <c r="BX862" s="730">
        <f t="shared" si="1383"/>
        <v>18618.6</v>
      </c>
      <c r="BY862" s="731" t="str">
        <f t="shared" si="1384"/>
        <v>JC</v>
      </c>
    </row>
    <row r="863" s="698" customFormat="1" customHeight="1" spans="1:77">
      <c r="A863" s="248">
        <v>46149</v>
      </c>
      <c r="B863" s="248">
        <v>46202</v>
      </c>
      <c r="C863" s="268" t="s">
        <v>823</v>
      </c>
      <c r="D863" s="268" t="s">
        <v>824</v>
      </c>
      <c r="E863" s="268" t="s">
        <v>102</v>
      </c>
      <c r="F863" s="343">
        <v>70008</v>
      </c>
      <c r="G863" s="268" t="s">
        <v>270</v>
      </c>
      <c r="H863" s="211" t="str">
        <f>IFERROR(VLOOKUP(E863,名称!A:E,4,0),"")</f>
        <v>三代</v>
      </c>
      <c r="I863" s="268" t="str">
        <f t="shared" si="1323"/>
        <v/>
      </c>
      <c r="J863" s="268" t="str">
        <f t="shared" si="1324"/>
        <v/>
      </c>
      <c r="K863" s="268" t="str">
        <f t="shared" si="1325"/>
        <v/>
      </c>
      <c r="L863" s="268" t="str">
        <f t="shared" si="1326"/>
        <v/>
      </c>
      <c r="M863" s="268" t="str">
        <f t="shared" si="1327"/>
        <v/>
      </c>
      <c r="N863" s="268" t="str">
        <f t="shared" si="1328"/>
        <v/>
      </c>
      <c r="O863" s="268" t="str">
        <f t="shared" si="1329"/>
        <v/>
      </c>
      <c r="P863" s="268" t="str">
        <f t="shared" si="1330"/>
        <v/>
      </c>
      <c r="Q863" s="268" t="str">
        <f t="shared" si="1331"/>
        <v/>
      </c>
      <c r="R863" s="268" t="str">
        <f t="shared" si="1332"/>
        <v/>
      </c>
      <c r="S863" s="268" t="str">
        <f t="shared" si="1333"/>
        <v/>
      </c>
      <c r="T863" s="268" t="str">
        <f t="shared" si="1334"/>
        <v/>
      </c>
      <c r="U863" s="268" t="str">
        <f t="shared" si="1335"/>
        <v/>
      </c>
      <c r="V863" s="268" t="str">
        <f t="shared" si="1336"/>
        <v/>
      </c>
      <c r="W863" s="268" t="str">
        <f t="shared" si="1337"/>
        <v/>
      </c>
      <c r="X863" s="268" t="str">
        <f t="shared" si="1338"/>
        <v/>
      </c>
      <c r="Y863" s="268" t="str">
        <f t="shared" si="1339"/>
        <v/>
      </c>
      <c r="Z863" s="268" t="str">
        <f t="shared" si="1340"/>
        <v/>
      </c>
      <c r="AA863" s="268" t="str">
        <f t="shared" si="1341"/>
        <v/>
      </c>
      <c r="AB863" s="268" t="str">
        <f t="shared" si="1342"/>
        <v/>
      </c>
      <c r="AC863" s="268" t="str">
        <f t="shared" si="1343"/>
        <v/>
      </c>
      <c r="AD863" s="268">
        <f t="shared" si="1344"/>
        <v>70008</v>
      </c>
      <c r="AE863" s="268" t="str">
        <f t="shared" si="1345"/>
        <v/>
      </c>
      <c r="AF863" s="268" t="str">
        <f t="shared" si="1346"/>
        <v/>
      </c>
      <c r="AG863" s="268" t="str">
        <f t="shared" si="1347"/>
        <v/>
      </c>
      <c r="AH863" s="268" t="str">
        <f t="shared" si="1348"/>
        <v/>
      </c>
      <c r="AI863" s="268" t="str">
        <f t="shared" si="1349"/>
        <v/>
      </c>
      <c r="AJ863" s="268" t="str">
        <f t="shared" si="1350"/>
        <v/>
      </c>
      <c r="AK863" s="268" t="str">
        <f t="shared" si="1351"/>
        <v/>
      </c>
      <c r="AL863" s="268" t="str">
        <f t="shared" si="1352"/>
        <v/>
      </c>
      <c r="AM863" s="268" t="str">
        <f t="shared" si="1353"/>
        <v/>
      </c>
      <c r="AN863" s="268" t="str">
        <f t="shared" si="1354"/>
        <v/>
      </c>
      <c r="AO863" s="268" t="str">
        <f t="shared" si="1355"/>
        <v/>
      </c>
      <c r="AP863" s="268" t="str">
        <f t="shared" si="1356"/>
        <v/>
      </c>
      <c r="AQ863" s="268" t="str">
        <f t="shared" si="1357"/>
        <v/>
      </c>
      <c r="AR863" s="268" t="str">
        <f t="shared" si="1358"/>
        <v/>
      </c>
      <c r="AS863" s="268" t="str">
        <f t="shared" si="1359"/>
        <v/>
      </c>
      <c r="AT863" s="268" t="str">
        <f t="shared" si="1360"/>
        <v/>
      </c>
      <c r="AU863" s="268" t="str">
        <f t="shared" si="1361"/>
        <v/>
      </c>
      <c r="AV863" s="268" t="str">
        <f t="shared" si="1362"/>
        <v/>
      </c>
      <c r="AW863" s="268" t="str">
        <f t="shared" si="1363"/>
        <v/>
      </c>
      <c r="AX863" s="268" t="str">
        <f t="shared" si="1364"/>
        <v/>
      </c>
      <c r="AY863" s="268" t="str">
        <f t="shared" si="1365"/>
        <v/>
      </c>
      <c r="AZ863" s="268" t="str">
        <f t="shared" si="1366"/>
        <v/>
      </c>
      <c r="BA863" s="268" t="str">
        <f t="shared" si="1367"/>
        <v/>
      </c>
      <c r="BB863" s="268" t="str">
        <f t="shared" si="1368"/>
        <v/>
      </c>
      <c r="BC863" s="268" t="str">
        <f t="shared" si="1369"/>
        <v/>
      </c>
      <c r="BD863" s="268" t="str">
        <f t="shared" si="1370"/>
        <v/>
      </c>
      <c r="BE863" s="268" t="str">
        <f t="shared" si="1371"/>
        <v/>
      </c>
      <c r="BF863" s="268" t="str">
        <f t="shared" si="1372"/>
        <v/>
      </c>
      <c r="BG863" s="268" t="str">
        <f t="shared" si="1373"/>
        <v/>
      </c>
      <c r="BH863" s="268" t="str">
        <f t="shared" si="1374"/>
        <v/>
      </c>
      <c r="BI863" s="268" t="str">
        <f t="shared" si="1375"/>
        <v/>
      </c>
      <c r="BJ863" s="268" t="str">
        <f t="shared" si="1376"/>
        <v/>
      </c>
      <c r="BK863" s="268" t="str">
        <f t="shared" si="1377"/>
        <v/>
      </c>
      <c r="BL863" s="268" t="str">
        <f t="shared" si="1378"/>
        <v/>
      </c>
      <c r="BM863" s="268" t="str">
        <f t="shared" si="1379"/>
        <v/>
      </c>
      <c r="BN863" s="268" t="str">
        <f t="shared" si="1385"/>
        <v/>
      </c>
      <c r="BO863" s="268" t="str">
        <f t="shared" si="1386"/>
        <v/>
      </c>
      <c r="BP863" s="268" t="str">
        <f t="shared" si="1387"/>
        <v/>
      </c>
      <c r="BQ863" s="268" t="str">
        <f t="shared" si="1388"/>
        <v/>
      </c>
      <c r="BR863" s="268" t="str">
        <f t="shared" si="1389"/>
        <v/>
      </c>
      <c r="BS863" s="268" t="str">
        <f t="shared" si="1390"/>
        <v/>
      </c>
      <c r="BT863" s="268" t="str">
        <f t="shared" si="1380"/>
        <v/>
      </c>
      <c r="BU863" s="268" t="str">
        <f t="shared" si="1381"/>
        <v/>
      </c>
      <c r="BV863" s="247">
        <v>0.61</v>
      </c>
      <c r="BW863" s="729">
        <f t="shared" si="1382"/>
        <v>42704.88</v>
      </c>
      <c r="BX863" s="730">
        <f t="shared" si="1383"/>
        <v>330962.82</v>
      </c>
      <c r="BY863" s="731" t="str">
        <f t="shared" si="1384"/>
        <v>SR</v>
      </c>
    </row>
    <row r="864" s="697" customFormat="1" customHeight="1" spans="1:77">
      <c r="A864" s="174">
        <v>46150</v>
      </c>
      <c r="B864" s="178">
        <v>46237</v>
      </c>
      <c r="C864" s="176" t="s">
        <v>825</v>
      </c>
      <c r="D864" s="176" t="s">
        <v>826</v>
      </c>
      <c r="E864" s="176" t="s">
        <v>112</v>
      </c>
      <c r="F864" s="741">
        <v>7000</v>
      </c>
      <c r="G864" s="176" t="s">
        <v>334</v>
      </c>
      <c r="H864" s="118" t="str">
        <f>IFERROR(VLOOKUP(E864,名称!A:E,4,0),"")</f>
        <v>三代</v>
      </c>
      <c r="I864" s="418" t="str">
        <f t="shared" si="1323"/>
        <v/>
      </c>
      <c r="J864" s="418" t="str">
        <f t="shared" si="1324"/>
        <v/>
      </c>
      <c r="K864" s="418" t="str">
        <f t="shared" si="1325"/>
        <v/>
      </c>
      <c r="L864" s="418" t="str">
        <f t="shared" si="1326"/>
        <v/>
      </c>
      <c r="M864" s="418" t="str">
        <f t="shared" si="1327"/>
        <v/>
      </c>
      <c r="N864" s="418" t="str">
        <f t="shared" si="1328"/>
        <v/>
      </c>
      <c r="O864" s="418" t="str">
        <f t="shared" si="1329"/>
        <v/>
      </c>
      <c r="P864" s="418" t="str">
        <f t="shared" si="1330"/>
        <v/>
      </c>
      <c r="Q864" s="418" t="str">
        <f t="shared" si="1331"/>
        <v/>
      </c>
      <c r="R864" s="418" t="str">
        <f t="shared" si="1332"/>
        <v/>
      </c>
      <c r="S864" s="418" t="str">
        <f t="shared" si="1333"/>
        <v/>
      </c>
      <c r="T864" s="418" t="str">
        <f t="shared" si="1334"/>
        <v/>
      </c>
      <c r="U864" s="418" t="str">
        <f t="shared" si="1335"/>
        <v/>
      </c>
      <c r="V864" s="418" t="str">
        <f t="shared" si="1336"/>
        <v/>
      </c>
      <c r="W864" s="418" t="str">
        <f t="shared" si="1337"/>
        <v/>
      </c>
      <c r="X864" s="418" t="str">
        <f t="shared" si="1338"/>
        <v/>
      </c>
      <c r="Y864" s="418" t="str">
        <f t="shared" si="1339"/>
        <v/>
      </c>
      <c r="Z864" s="418" t="str">
        <f t="shared" si="1340"/>
        <v/>
      </c>
      <c r="AA864" s="418" t="str">
        <f t="shared" si="1341"/>
        <v/>
      </c>
      <c r="AB864" s="418" t="str">
        <f t="shared" si="1342"/>
        <v/>
      </c>
      <c r="AC864" s="418" t="str">
        <f t="shared" si="1343"/>
        <v/>
      </c>
      <c r="AD864" s="418" t="str">
        <f t="shared" si="1344"/>
        <v/>
      </c>
      <c r="AE864" s="418" t="str">
        <f t="shared" si="1345"/>
        <v/>
      </c>
      <c r="AF864" s="418" t="str">
        <f t="shared" si="1346"/>
        <v/>
      </c>
      <c r="AG864" s="418" t="str">
        <f t="shared" si="1347"/>
        <v/>
      </c>
      <c r="AH864" s="418" t="str">
        <f t="shared" si="1348"/>
        <v/>
      </c>
      <c r="AI864" s="418">
        <f t="shared" si="1349"/>
        <v>7000</v>
      </c>
      <c r="AJ864" s="418" t="str">
        <f t="shared" si="1350"/>
        <v/>
      </c>
      <c r="AK864" s="418" t="str">
        <f t="shared" si="1351"/>
        <v/>
      </c>
      <c r="AL864" s="418" t="str">
        <f t="shared" si="1352"/>
        <v/>
      </c>
      <c r="AM864" s="418" t="str">
        <f t="shared" si="1353"/>
        <v/>
      </c>
      <c r="AN864" s="418" t="str">
        <f t="shared" si="1354"/>
        <v/>
      </c>
      <c r="AO864" s="418" t="str">
        <f t="shared" si="1355"/>
        <v/>
      </c>
      <c r="AP864" s="418" t="str">
        <f t="shared" si="1356"/>
        <v/>
      </c>
      <c r="AQ864" s="418" t="str">
        <f t="shared" si="1357"/>
        <v/>
      </c>
      <c r="AR864" s="418" t="str">
        <f t="shared" si="1358"/>
        <v/>
      </c>
      <c r="AS864" s="418" t="str">
        <f t="shared" si="1359"/>
        <v/>
      </c>
      <c r="AT864" s="418" t="str">
        <f t="shared" si="1360"/>
        <v/>
      </c>
      <c r="AU864" s="418" t="str">
        <f t="shared" si="1361"/>
        <v/>
      </c>
      <c r="AV864" s="418" t="str">
        <f t="shared" si="1362"/>
        <v/>
      </c>
      <c r="AW864" s="418" t="str">
        <f t="shared" si="1363"/>
        <v/>
      </c>
      <c r="AX864" s="418" t="str">
        <f t="shared" si="1364"/>
        <v/>
      </c>
      <c r="AY864" s="418" t="str">
        <f t="shared" si="1365"/>
        <v/>
      </c>
      <c r="AZ864" s="418" t="str">
        <f t="shared" si="1366"/>
        <v/>
      </c>
      <c r="BA864" s="418" t="str">
        <f t="shared" si="1367"/>
        <v/>
      </c>
      <c r="BB864" s="418" t="str">
        <f t="shared" si="1368"/>
        <v/>
      </c>
      <c r="BC864" s="418" t="str">
        <f t="shared" si="1369"/>
        <v/>
      </c>
      <c r="BD864" s="418" t="str">
        <f t="shared" si="1370"/>
        <v/>
      </c>
      <c r="BE864" s="418" t="str">
        <f t="shared" si="1371"/>
        <v/>
      </c>
      <c r="BF864" s="418" t="str">
        <f t="shared" si="1372"/>
        <v/>
      </c>
      <c r="BG864" s="418" t="str">
        <f t="shared" si="1373"/>
        <v/>
      </c>
      <c r="BH864" s="418" t="str">
        <f t="shared" si="1374"/>
        <v/>
      </c>
      <c r="BI864" s="418" t="str">
        <f t="shared" si="1375"/>
        <v/>
      </c>
      <c r="BJ864" s="418" t="str">
        <f t="shared" si="1376"/>
        <v/>
      </c>
      <c r="BK864" s="418" t="str">
        <f t="shared" si="1377"/>
        <v/>
      </c>
      <c r="BL864" s="418" t="str">
        <f t="shared" si="1378"/>
        <v/>
      </c>
      <c r="BM864" s="418" t="str">
        <f t="shared" si="1379"/>
        <v/>
      </c>
      <c r="BN864" s="418" t="str">
        <f t="shared" si="1385"/>
        <v/>
      </c>
      <c r="BO864" s="418" t="str">
        <f t="shared" si="1386"/>
        <v/>
      </c>
      <c r="BP864" s="418" t="str">
        <f t="shared" si="1387"/>
        <v/>
      </c>
      <c r="BQ864" s="418" t="str">
        <f t="shared" si="1388"/>
        <v/>
      </c>
      <c r="BR864" s="418" t="str">
        <f t="shared" si="1389"/>
        <v/>
      </c>
      <c r="BS864" s="418" t="str">
        <f t="shared" si="1390"/>
        <v/>
      </c>
      <c r="BT864" s="418" t="str">
        <f t="shared" si="1380"/>
        <v/>
      </c>
      <c r="BU864" s="418" t="str">
        <f t="shared" si="1381"/>
        <v/>
      </c>
      <c r="BV864" s="742">
        <v>9.15</v>
      </c>
      <c r="BW864" s="723">
        <f t="shared" si="1382"/>
        <v>64050</v>
      </c>
      <c r="BX864" s="724">
        <f t="shared" si="1383"/>
        <v>496387.5</v>
      </c>
      <c r="BY864" s="725" t="str">
        <f t="shared" si="1384"/>
        <v>SR</v>
      </c>
    </row>
    <row r="865" s="698" customFormat="1" customHeight="1" spans="1:77">
      <c r="A865" s="227">
        <v>46150</v>
      </c>
      <c r="B865" s="244">
        <v>46203</v>
      </c>
      <c r="C865" s="242" t="s">
        <v>827</v>
      </c>
      <c r="D865" s="242" t="s">
        <v>828</v>
      </c>
      <c r="E865" s="242" t="s">
        <v>99</v>
      </c>
      <c r="F865" s="231">
        <v>15600</v>
      </c>
      <c r="G865" s="242" t="s">
        <v>510</v>
      </c>
      <c r="H865" s="211" t="str">
        <f>IFERROR(VLOOKUP(E865,名称!A:E,4,0),"")</f>
        <v>三代</v>
      </c>
      <c r="I865" s="268" t="str">
        <f t="shared" si="1323"/>
        <v/>
      </c>
      <c r="J865" s="268" t="str">
        <f t="shared" si="1324"/>
        <v/>
      </c>
      <c r="K865" s="268" t="str">
        <f t="shared" si="1325"/>
        <v/>
      </c>
      <c r="L865" s="268" t="str">
        <f t="shared" si="1326"/>
        <v/>
      </c>
      <c r="M865" s="268" t="str">
        <f t="shared" si="1327"/>
        <v/>
      </c>
      <c r="N865" s="268" t="str">
        <f t="shared" si="1328"/>
        <v/>
      </c>
      <c r="O865" s="268" t="str">
        <f t="shared" si="1329"/>
        <v/>
      </c>
      <c r="P865" s="268" t="str">
        <f t="shared" si="1330"/>
        <v/>
      </c>
      <c r="Q865" s="268" t="str">
        <f t="shared" si="1331"/>
        <v/>
      </c>
      <c r="R865" s="268" t="str">
        <f t="shared" si="1332"/>
        <v/>
      </c>
      <c r="S865" s="268" t="str">
        <f t="shared" si="1333"/>
        <v/>
      </c>
      <c r="T865" s="268" t="str">
        <f t="shared" si="1334"/>
        <v/>
      </c>
      <c r="U865" s="268" t="str">
        <f t="shared" si="1335"/>
        <v/>
      </c>
      <c r="V865" s="268" t="str">
        <f t="shared" si="1336"/>
        <v/>
      </c>
      <c r="W865" s="268" t="str">
        <f t="shared" si="1337"/>
        <v/>
      </c>
      <c r="X865" s="268" t="str">
        <f t="shared" si="1338"/>
        <v/>
      </c>
      <c r="Y865" s="268" t="str">
        <f t="shared" si="1339"/>
        <v/>
      </c>
      <c r="Z865" s="268" t="str">
        <f t="shared" si="1340"/>
        <v/>
      </c>
      <c r="AA865" s="268" t="str">
        <f t="shared" si="1341"/>
        <v/>
      </c>
      <c r="AB865" s="268" t="str">
        <f t="shared" si="1342"/>
        <v/>
      </c>
      <c r="AC865" s="268">
        <f t="shared" si="1343"/>
        <v>15600</v>
      </c>
      <c r="AD865" s="268" t="str">
        <f t="shared" si="1344"/>
        <v/>
      </c>
      <c r="AE865" s="268" t="str">
        <f t="shared" si="1345"/>
        <v/>
      </c>
      <c r="AF865" s="268" t="str">
        <f t="shared" si="1346"/>
        <v/>
      </c>
      <c r="AG865" s="268" t="str">
        <f t="shared" si="1347"/>
        <v/>
      </c>
      <c r="AH865" s="268" t="str">
        <f t="shared" si="1348"/>
        <v/>
      </c>
      <c r="AI865" s="268" t="str">
        <f t="shared" si="1349"/>
        <v/>
      </c>
      <c r="AJ865" s="268" t="str">
        <f t="shared" si="1350"/>
        <v/>
      </c>
      <c r="AK865" s="268" t="str">
        <f t="shared" si="1351"/>
        <v/>
      </c>
      <c r="AL865" s="268" t="str">
        <f t="shared" si="1352"/>
        <v/>
      </c>
      <c r="AM865" s="268" t="str">
        <f t="shared" si="1353"/>
        <v/>
      </c>
      <c r="AN865" s="268" t="str">
        <f t="shared" si="1354"/>
        <v/>
      </c>
      <c r="AO865" s="268" t="str">
        <f t="shared" si="1355"/>
        <v/>
      </c>
      <c r="AP865" s="268" t="str">
        <f t="shared" si="1356"/>
        <v/>
      </c>
      <c r="AQ865" s="268" t="str">
        <f t="shared" si="1357"/>
        <v/>
      </c>
      <c r="AR865" s="268" t="str">
        <f t="shared" si="1358"/>
        <v/>
      </c>
      <c r="AS865" s="268" t="str">
        <f t="shared" si="1359"/>
        <v/>
      </c>
      <c r="AT865" s="268" t="str">
        <f t="shared" si="1360"/>
        <v/>
      </c>
      <c r="AU865" s="268" t="str">
        <f t="shared" si="1361"/>
        <v/>
      </c>
      <c r="AV865" s="268" t="str">
        <f t="shared" si="1362"/>
        <v/>
      </c>
      <c r="AW865" s="268" t="str">
        <f t="shared" si="1363"/>
        <v/>
      </c>
      <c r="AX865" s="268" t="str">
        <f t="shared" si="1364"/>
        <v/>
      </c>
      <c r="AY865" s="268" t="str">
        <f t="shared" si="1365"/>
        <v/>
      </c>
      <c r="AZ865" s="268" t="str">
        <f t="shared" si="1366"/>
        <v/>
      </c>
      <c r="BA865" s="268" t="str">
        <f t="shared" si="1367"/>
        <v/>
      </c>
      <c r="BB865" s="268" t="str">
        <f t="shared" si="1368"/>
        <v/>
      </c>
      <c r="BC865" s="268" t="str">
        <f t="shared" si="1369"/>
        <v/>
      </c>
      <c r="BD865" s="268" t="str">
        <f t="shared" si="1370"/>
        <v/>
      </c>
      <c r="BE865" s="268" t="str">
        <f t="shared" si="1371"/>
        <v/>
      </c>
      <c r="BF865" s="268" t="str">
        <f t="shared" si="1372"/>
        <v/>
      </c>
      <c r="BG865" s="268" t="str">
        <f t="shared" si="1373"/>
        <v/>
      </c>
      <c r="BH865" s="268" t="str">
        <f t="shared" si="1374"/>
        <v/>
      </c>
      <c r="BI865" s="268" t="str">
        <f t="shared" si="1375"/>
        <v/>
      </c>
      <c r="BJ865" s="268" t="str">
        <f t="shared" si="1376"/>
        <v/>
      </c>
      <c r="BK865" s="268" t="str">
        <f t="shared" si="1377"/>
        <v/>
      </c>
      <c r="BL865" s="268" t="str">
        <f t="shared" si="1378"/>
        <v/>
      </c>
      <c r="BM865" s="268" t="str">
        <f t="shared" si="1379"/>
        <v/>
      </c>
      <c r="BN865" s="268" t="str">
        <f t="shared" si="1385"/>
        <v/>
      </c>
      <c r="BO865" s="268" t="str">
        <f t="shared" si="1386"/>
        <v/>
      </c>
      <c r="BP865" s="268" t="str">
        <f t="shared" si="1387"/>
        <v/>
      </c>
      <c r="BQ865" s="268" t="str">
        <f t="shared" si="1388"/>
        <v/>
      </c>
      <c r="BR865" s="268" t="str">
        <f t="shared" si="1389"/>
        <v/>
      </c>
      <c r="BS865" s="268" t="str">
        <f t="shared" si="1390"/>
        <v/>
      </c>
      <c r="BT865" s="268" t="str">
        <f t="shared" si="1380"/>
        <v/>
      </c>
      <c r="BU865" s="268" t="str">
        <f t="shared" si="1381"/>
        <v/>
      </c>
      <c r="BV865" s="247">
        <v>0.87</v>
      </c>
      <c r="BW865" s="729">
        <f t="shared" si="1382"/>
        <v>13572</v>
      </c>
      <c r="BX865" s="730">
        <f t="shared" si="1383"/>
        <v>105183</v>
      </c>
      <c r="BY865" s="731" t="str">
        <f t="shared" si="1384"/>
        <v>SR</v>
      </c>
    </row>
    <row r="866" s="698" customFormat="1" customHeight="1" spans="1:77">
      <c r="A866" s="227">
        <v>46150</v>
      </c>
      <c r="B866" s="244">
        <v>46203</v>
      </c>
      <c r="C866" s="242" t="s">
        <v>827</v>
      </c>
      <c r="D866" s="242" t="s">
        <v>828</v>
      </c>
      <c r="E866" s="242" t="s">
        <v>66</v>
      </c>
      <c r="F866" s="231">
        <v>5100</v>
      </c>
      <c r="G866" s="242" t="s">
        <v>510</v>
      </c>
      <c r="H866" s="211" t="str">
        <f>IFERROR(VLOOKUP(E866,名称!A:E,4,0),"")</f>
        <v>三代</v>
      </c>
      <c r="I866" s="268" t="str">
        <f t="shared" si="1323"/>
        <v/>
      </c>
      <c r="J866" s="268" t="str">
        <f t="shared" si="1324"/>
        <v/>
      </c>
      <c r="K866" s="268" t="str">
        <f t="shared" si="1325"/>
        <v/>
      </c>
      <c r="L866" s="268" t="str">
        <f t="shared" si="1326"/>
        <v/>
      </c>
      <c r="M866" s="268" t="str">
        <f t="shared" si="1327"/>
        <v/>
      </c>
      <c r="N866" s="268" t="str">
        <f t="shared" si="1328"/>
        <v/>
      </c>
      <c r="O866" s="268" t="str">
        <f t="shared" si="1329"/>
        <v/>
      </c>
      <c r="P866" s="268" t="str">
        <f t="shared" si="1330"/>
        <v/>
      </c>
      <c r="Q866" s="268" t="str">
        <f t="shared" si="1331"/>
        <v/>
      </c>
      <c r="R866" s="268" t="str">
        <f t="shared" si="1332"/>
        <v/>
      </c>
      <c r="S866" s="268" t="str">
        <f t="shared" si="1333"/>
        <v/>
      </c>
      <c r="T866" s="268" t="str">
        <f t="shared" si="1334"/>
        <v/>
      </c>
      <c r="U866" s="268" t="str">
        <f t="shared" si="1335"/>
        <v/>
      </c>
      <c r="V866" s="268" t="str">
        <f t="shared" si="1336"/>
        <v/>
      </c>
      <c r="W866" s="268" t="str">
        <f t="shared" si="1337"/>
        <v/>
      </c>
      <c r="X866" s="268" t="str">
        <f t="shared" si="1338"/>
        <v/>
      </c>
      <c r="Y866" s="268" t="str">
        <f t="shared" si="1339"/>
        <v/>
      </c>
      <c r="Z866" s="268" t="str">
        <f t="shared" si="1340"/>
        <v/>
      </c>
      <c r="AA866" s="268" t="str">
        <f t="shared" si="1341"/>
        <v/>
      </c>
      <c r="AB866" s="268" t="str">
        <f t="shared" si="1342"/>
        <v/>
      </c>
      <c r="AC866" s="268" t="str">
        <f t="shared" si="1343"/>
        <v/>
      </c>
      <c r="AD866" s="268" t="str">
        <f t="shared" si="1344"/>
        <v/>
      </c>
      <c r="AE866" s="268" t="str">
        <f t="shared" si="1345"/>
        <v/>
      </c>
      <c r="AF866" s="268" t="str">
        <f t="shared" si="1346"/>
        <v/>
      </c>
      <c r="AG866" s="268">
        <f t="shared" si="1347"/>
        <v>5100</v>
      </c>
      <c r="AH866" s="268" t="str">
        <f t="shared" si="1348"/>
        <v/>
      </c>
      <c r="AI866" s="268" t="str">
        <f t="shared" si="1349"/>
        <v/>
      </c>
      <c r="AJ866" s="268" t="str">
        <f t="shared" si="1350"/>
        <v/>
      </c>
      <c r="AK866" s="268" t="str">
        <f t="shared" si="1351"/>
        <v/>
      </c>
      <c r="AL866" s="268" t="str">
        <f t="shared" si="1352"/>
        <v/>
      </c>
      <c r="AM866" s="268" t="str">
        <f t="shared" si="1353"/>
        <v/>
      </c>
      <c r="AN866" s="268" t="str">
        <f t="shared" si="1354"/>
        <v/>
      </c>
      <c r="AO866" s="268" t="str">
        <f t="shared" si="1355"/>
        <v/>
      </c>
      <c r="AP866" s="268" t="str">
        <f t="shared" si="1356"/>
        <v/>
      </c>
      <c r="AQ866" s="268" t="str">
        <f t="shared" si="1357"/>
        <v/>
      </c>
      <c r="AR866" s="268" t="str">
        <f t="shared" si="1358"/>
        <v/>
      </c>
      <c r="AS866" s="268" t="str">
        <f t="shared" si="1359"/>
        <v/>
      </c>
      <c r="AT866" s="268" t="str">
        <f t="shared" si="1360"/>
        <v/>
      </c>
      <c r="AU866" s="268" t="str">
        <f t="shared" si="1361"/>
        <v/>
      </c>
      <c r="AV866" s="268" t="str">
        <f t="shared" si="1362"/>
        <v/>
      </c>
      <c r="AW866" s="268" t="str">
        <f t="shared" si="1363"/>
        <v/>
      </c>
      <c r="AX866" s="268" t="str">
        <f t="shared" si="1364"/>
        <v/>
      </c>
      <c r="AY866" s="268" t="str">
        <f t="shared" si="1365"/>
        <v/>
      </c>
      <c r="AZ866" s="268" t="str">
        <f t="shared" si="1366"/>
        <v/>
      </c>
      <c r="BA866" s="268" t="str">
        <f t="shared" si="1367"/>
        <v/>
      </c>
      <c r="BB866" s="268" t="str">
        <f t="shared" si="1368"/>
        <v/>
      </c>
      <c r="BC866" s="268" t="str">
        <f t="shared" si="1369"/>
        <v/>
      </c>
      <c r="BD866" s="268" t="str">
        <f t="shared" si="1370"/>
        <v/>
      </c>
      <c r="BE866" s="268" t="str">
        <f t="shared" si="1371"/>
        <v/>
      </c>
      <c r="BF866" s="268" t="str">
        <f t="shared" si="1372"/>
        <v/>
      </c>
      <c r="BG866" s="268" t="str">
        <f t="shared" si="1373"/>
        <v/>
      </c>
      <c r="BH866" s="268" t="str">
        <f t="shared" si="1374"/>
        <v/>
      </c>
      <c r="BI866" s="268" t="str">
        <f t="shared" si="1375"/>
        <v/>
      </c>
      <c r="BJ866" s="268" t="str">
        <f t="shared" si="1376"/>
        <v/>
      </c>
      <c r="BK866" s="268" t="str">
        <f t="shared" si="1377"/>
        <v/>
      </c>
      <c r="BL866" s="268" t="str">
        <f t="shared" si="1378"/>
        <v/>
      </c>
      <c r="BM866" s="268" t="str">
        <f t="shared" si="1379"/>
        <v/>
      </c>
      <c r="BN866" s="268" t="str">
        <f t="shared" si="1385"/>
        <v/>
      </c>
      <c r="BO866" s="268" t="str">
        <f t="shared" si="1386"/>
        <v/>
      </c>
      <c r="BP866" s="268" t="str">
        <f t="shared" si="1387"/>
        <v/>
      </c>
      <c r="BQ866" s="268" t="str">
        <f t="shared" si="1388"/>
        <v/>
      </c>
      <c r="BR866" s="268" t="str">
        <f t="shared" si="1389"/>
        <v/>
      </c>
      <c r="BS866" s="268" t="str">
        <f t="shared" si="1390"/>
        <v/>
      </c>
      <c r="BT866" s="268" t="str">
        <f t="shared" si="1380"/>
        <v/>
      </c>
      <c r="BU866" s="268" t="str">
        <f t="shared" si="1381"/>
        <v/>
      </c>
      <c r="BV866" s="247">
        <v>2.02</v>
      </c>
      <c r="BW866" s="729">
        <f t="shared" si="1382"/>
        <v>10302</v>
      </c>
      <c r="BX866" s="730">
        <f t="shared" si="1383"/>
        <v>79840.5</v>
      </c>
      <c r="BY866" s="731" t="str">
        <f t="shared" si="1384"/>
        <v>SR</v>
      </c>
    </row>
    <row r="867" s="698" customFormat="1" customHeight="1" spans="1:77">
      <c r="A867" s="227">
        <v>46150</v>
      </c>
      <c r="B867" s="244">
        <v>46203</v>
      </c>
      <c r="C867" s="242" t="s">
        <v>827</v>
      </c>
      <c r="D867" s="242" t="s">
        <v>828</v>
      </c>
      <c r="E867" s="242" t="s">
        <v>68</v>
      </c>
      <c r="F867" s="231">
        <v>1700</v>
      </c>
      <c r="G867" s="242" t="s">
        <v>510</v>
      </c>
      <c r="H867" s="211" t="str">
        <f>IFERROR(VLOOKUP(E867,名称!A:E,4,0),"")</f>
        <v>三代</v>
      </c>
      <c r="I867" s="268" t="str">
        <f t="shared" si="1323"/>
        <v/>
      </c>
      <c r="J867" s="268" t="str">
        <f t="shared" si="1324"/>
        <v/>
      </c>
      <c r="K867" s="268" t="str">
        <f t="shared" si="1325"/>
        <v/>
      </c>
      <c r="L867" s="268" t="str">
        <f t="shared" si="1326"/>
        <v/>
      </c>
      <c r="M867" s="268" t="str">
        <f t="shared" si="1327"/>
        <v/>
      </c>
      <c r="N867" s="268" t="str">
        <f t="shared" si="1328"/>
        <v/>
      </c>
      <c r="O867" s="268" t="str">
        <f t="shared" si="1329"/>
        <v/>
      </c>
      <c r="P867" s="268" t="str">
        <f t="shared" si="1330"/>
        <v/>
      </c>
      <c r="Q867" s="268" t="str">
        <f t="shared" si="1331"/>
        <v/>
      </c>
      <c r="R867" s="268" t="str">
        <f t="shared" si="1332"/>
        <v/>
      </c>
      <c r="S867" s="268" t="str">
        <f t="shared" si="1333"/>
        <v/>
      </c>
      <c r="T867" s="268" t="str">
        <f t="shared" si="1334"/>
        <v/>
      </c>
      <c r="U867" s="268" t="str">
        <f t="shared" si="1335"/>
        <v/>
      </c>
      <c r="V867" s="268" t="str">
        <f t="shared" si="1336"/>
        <v/>
      </c>
      <c r="W867" s="268" t="str">
        <f t="shared" si="1337"/>
        <v/>
      </c>
      <c r="X867" s="268" t="str">
        <f t="shared" si="1338"/>
        <v/>
      </c>
      <c r="Y867" s="268" t="str">
        <f t="shared" si="1339"/>
        <v/>
      </c>
      <c r="Z867" s="268" t="str">
        <f t="shared" si="1340"/>
        <v/>
      </c>
      <c r="AA867" s="268" t="str">
        <f t="shared" si="1341"/>
        <v/>
      </c>
      <c r="AB867" s="268" t="str">
        <f t="shared" si="1342"/>
        <v/>
      </c>
      <c r="AC867" s="268" t="str">
        <f t="shared" si="1343"/>
        <v/>
      </c>
      <c r="AD867" s="268" t="str">
        <f t="shared" si="1344"/>
        <v/>
      </c>
      <c r="AE867" s="268" t="str">
        <f t="shared" si="1345"/>
        <v/>
      </c>
      <c r="AF867" s="268" t="str">
        <f t="shared" si="1346"/>
        <v/>
      </c>
      <c r="AG867" s="268" t="str">
        <f t="shared" si="1347"/>
        <v/>
      </c>
      <c r="AH867" s="268">
        <f t="shared" si="1348"/>
        <v>1700</v>
      </c>
      <c r="AI867" s="268" t="str">
        <f t="shared" si="1349"/>
        <v/>
      </c>
      <c r="AJ867" s="268" t="str">
        <f t="shared" si="1350"/>
        <v/>
      </c>
      <c r="AK867" s="268" t="str">
        <f t="shared" si="1351"/>
        <v/>
      </c>
      <c r="AL867" s="268" t="str">
        <f t="shared" si="1352"/>
        <v/>
      </c>
      <c r="AM867" s="268" t="str">
        <f t="shared" si="1353"/>
        <v/>
      </c>
      <c r="AN867" s="268" t="str">
        <f t="shared" si="1354"/>
        <v/>
      </c>
      <c r="AO867" s="268" t="str">
        <f t="shared" si="1355"/>
        <v/>
      </c>
      <c r="AP867" s="268" t="str">
        <f t="shared" si="1356"/>
        <v/>
      </c>
      <c r="AQ867" s="268" t="str">
        <f t="shared" si="1357"/>
        <v/>
      </c>
      <c r="AR867" s="268" t="str">
        <f t="shared" si="1358"/>
        <v/>
      </c>
      <c r="AS867" s="268" t="str">
        <f t="shared" si="1359"/>
        <v/>
      </c>
      <c r="AT867" s="268" t="str">
        <f t="shared" si="1360"/>
        <v/>
      </c>
      <c r="AU867" s="268" t="str">
        <f t="shared" si="1361"/>
        <v/>
      </c>
      <c r="AV867" s="268" t="str">
        <f t="shared" si="1362"/>
        <v/>
      </c>
      <c r="AW867" s="268" t="str">
        <f t="shared" si="1363"/>
        <v/>
      </c>
      <c r="AX867" s="268" t="str">
        <f t="shared" si="1364"/>
        <v/>
      </c>
      <c r="AY867" s="268" t="str">
        <f t="shared" si="1365"/>
        <v/>
      </c>
      <c r="AZ867" s="268" t="str">
        <f t="shared" si="1366"/>
        <v/>
      </c>
      <c r="BA867" s="268" t="str">
        <f t="shared" si="1367"/>
        <v/>
      </c>
      <c r="BB867" s="268" t="str">
        <f t="shared" si="1368"/>
        <v/>
      </c>
      <c r="BC867" s="268" t="str">
        <f t="shared" si="1369"/>
        <v/>
      </c>
      <c r="BD867" s="268" t="str">
        <f t="shared" si="1370"/>
        <v/>
      </c>
      <c r="BE867" s="268" t="str">
        <f t="shared" si="1371"/>
        <v/>
      </c>
      <c r="BF867" s="268" t="str">
        <f t="shared" si="1372"/>
        <v/>
      </c>
      <c r="BG867" s="268" t="str">
        <f t="shared" si="1373"/>
        <v/>
      </c>
      <c r="BH867" s="268" t="str">
        <f t="shared" si="1374"/>
        <v/>
      </c>
      <c r="BI867" s="268" t="str">
        <f t="shared" si="1375"/>
        <v/>
      </c>
      <c r="BJ867" s="268" t="str">
        <f t="shared" si="1376"/>
        <v/>
      </c>
      <c r="BK867" s="268" t="str">
        <f t="shared" si="1377"/>
        <v/>
      </c>
      <c r="BL867" s="268" t="str">
        <f t="shared" si="1378"/>
        <v/>
      </c>
      <c r="BM867" s="268" t="str">
        <f t="shared" si="1379"/>
        <v/>
      </c>
      <c r="BN867" s="268" t="str">
        <f t="shared" si="1385"/>
        <v/>
      </c>
      <c r="BO867" s="268" t="str">
        <f t="shared" si="1386"/>
        <v/>
      </c>
      <c r="BP867" s="268" t="str">
        <f t="shared" si="1387"/>
        <v/>
      </c>
      <c r="BQ867" s="268" t="str">
        <f t="shared" si="1388"/>
        <v/>
      </c>
      <c r="BR867" s="268" t="str">
        <f t="shared" si="1389"/>
        <v/>
      </c>
      <c r="BS867" s="268" t="str">
        <f t="shared" si="1390"/>
        <v/>
      </c>
      <c r="BT867" s="268" t="str">
        <f t="shared" si="1380"/>
        <v/>
      </c>
      <c r="BU867" s="268" t="str">
        <f t="shared" si="1381"/>
        <v/>
      </c>
      <c r="BV867" s="247">
        <v>3.09</v>
      </c>
      <c r="BW867" s="729">
        <f t="shared" si="1382"/>
        <v>5253</v>
      </c>
      <c r="BX867" s="730">
        <f t="shared" si="1383"/>
        <v>40710.75</v>
      </c>
      <c r="BY867" s="731" t="str">
        <f t="shared" si="1384"/>
        <v>SR</v>
      </c>
    </row>
    <row r="868" s="698" customFormat="1" customHeight="1" spans="1:77">
      <c r="A868" s="227">
        <v>46150</v>
      </c>
      <c r="B868" s="244">
        <v>46203</v>
      </c>
      <c r="C868" s="242" t="s">
        <v>827</v>
      </c>
      <c r="D868" s="242" t="s">
        <v>828</v>
      </c>
      <c r="E868" s="242" t="s">
        <v>85</v>
      </c>
      <c r="F868" s="231">
        <v>12000</v>
      </c>
      <c r="G868" s="242" t="s">
        <v>510</v>
      </c>
      <c r="H868" s="211" t="str">
        <f>IFERROR(VLOOKUP(E868,名称!A:E,4,0),"")</f>
        <v>三代</v>
      </c>
      <c r="I868" s="268" t="str">
        <f t="shared" si="1323"/>
        <v/>
      </c>
      <c r="J868" s="268" t="str">
        <f t="shared" si="1324"/>
        <v/>
      </c>
      <c r="K868" s="268" t="str">
        <f t="shared" si="1325"/>
        <v/>
      </c>
      <c r="L868" s="268" t="str">
        <f t="shared" si="1326"/>
        <v/>
      </c>
      <c r="M868" s="268" t="str">
        <f t="shared" si="1327"/>
        <v/>
      </c>
      <c r="N868" s="268" t="str">
        <f t="shared" si="1328"/>
        <v/>
      </c>
      <c r="O868" s="268" t="str">
        <f t="shared" si="1329"/>
        <v/>
      </c>
      <c r="P868" s="268" t="str">
        <f t="shared" si="1330"/>
        <v/>
      </c>
      <c r="Q868" s="268" t="str">
        <f t="shared" si="1331"/>
        <v/>
      </c>
      <c r="R868" s="268" t="str">
        <f t="shared" si="1332"/>
        <v/>
      </c>
      <c r="S868" s="268" t="str">
        <f t="shared" si="1333"/>
        <v/>
      </c>
      <c r="T868" s="268" t="str">
        <f t="shared" si="1334"/>
        <v/>
      </c>
      <c r="U868" s="268" t="str">
        <f t="shared" si="1335"/>
        <v/>
      </c>
      <c r="V868" s="268" t="str">
        <f t="shared" si="1336"/>
        <v/>
      </c>
      <c r="W868" s="268" t="str">
        <f t="shared" si="1337"/>
        <v/>
      </c>
      <c r="X868" s="268" t="str">
        <f t="shared" si="1338"/>
        <v/>
      </c>
      <c r="Y868" s="268" t="str">
        <f t="shared" si="1339"/>
        <v/>
      </c>
      <c r="Z868" s="268" t="str">
        <f t="shared" si="1340"/>
        <v/>
      </c>
      <c r="AA868" s="268" t="str">
        <f t="shared" si="1341"/>
        <v/>
      </c>
      <c r="AB868" s="268" t="str">
        <f t="shared" si="1342"/>
        <v/>
      </c>
      <c r="AC868" s="268" t="str">
        <f t="shared" si="1343"/>
        <v/>
      </c>
      <c r="AD868" s="268" t="str">
        <f t="shared" si="1344"/>
        <v/>
      </c>
      <c r="AE868" s="268" t="str">
        <f t="shared" si="1345"/>
        <v/>
      </c>
      <c r="AF868" s="268" t="str">
        <f t="shared" si="1346"/>
        <v/>
      </c>
      <c r="AG868" s="268" t="str">
        <f t="shared" si="1347"/>
        <v/>
      </c>
      <c r="AH868" s="268" t="str">
        <f t="shared" si="1348"/>
        <v/>
      </c>
      <c r="AI868" s="268" t="str">
        <f t="shared" si="1349"/>
        <v/>
      </c>
      <c r="AJ868" s="268" t="str">
        <f t="shared" si="1350"/>
        <v/>
      </c>
      <c r="AK868" s="268" t="str">
        <f t="shared" si="1351"/>
        <v/>
      </c>
      <c r="AL868" s="268" t="str">
        <f t="shared" si="1352"/>
        <v/>
      </c>
      <c r="AM868" s="268" t="str">
        <f t="shared" si="1353"/>
        <v/>
      </c>
      <c r="AN868" s="268">
        <f t="shared" si="1354"/>
        <v>12000</v>
      </c>
      <c r="AO868" s="268" t="str">
        <f t="shared" si="1355"/>
        <v/>
      </c>
      <c r="AP868" s="268" t="str">
        <f t="shared" si="1356"/>
        <v/>
      </c>
      <c r="AQ868" s="268" t="str">
        <f t="shared" si="1357"/>
        <v/>
      </c>
      <c r="AR868" s="268" t="str">
        <f t="shared" si="1358"/>
        <v/>
      </c>
      <c r="AS868" s="268" t="str">
        <f t="shared" si="1359"/>
        <v/>
      </c>
      <c r="AT868" s="268" t="str">
        <f t="shared" si="1360"/>
        <v/>
      </c>
      <c r="AU868" s="268" t="str">
        <f t="shared" si="1361"/>
        <v/>
      </c>
      <c r="AV868" s="268" t="str">
        <f t="shared" si="1362"/>
        <v/>
      </c>
      <c r="AW868" s="268" t="str">
        <f t="shared" si="1363"/>
        <v/>
      </c>
      <c r="AX868" s="268" t="str">
        <f t="shared" si="1364"/>
        <v/>
      </c>
      <c r="AY868" s="268" t="str">
        <f t="shared" si="1365"/>
        <v/>
      </c>
      <c r="AZ868" s="268" t="str">
        <f t="shared" si="1366"/>
        <v/>
      </c>
      <c r="BA868" s="268" t="str">
        <f t="shared" si="1367"/>
        <v/>
      </c>
      <c r="BB868" s="268" t="str">
        <f t="shared" si="1368"/>
        <v/>
      </c>
      <c r="BC868" s="268" t="str">
        <f t="shared" si="1369"/>
        <v/>
      </c>
      <c r="BD868" s="268" t="str">
        <f t="shared" si="1370"/>
        <v/>
      </c>
      <c r="BE868" s="268" t="str">
        <f t="shared" si="1371"/>
        <v/>
      </c>
      <c r="BF868" s="268" t="str">
        <f t="shared" si="1372"/>
        <v/>
      </c>
      <c r="BG868" s="268" t="str">
        <f t="shared" si="1373"/>
        <v/>
      </c>
      <c r="BH868" s="268" t="str">
        <f t="shared" si="1374"/>
        <v/>
      </c>
      <c r="BI868" s="268" t="str">
        <f t="shared" si="1375"/>
        <v/>
      </c>
      <c r="BJ868" s="268" t="str">
        <f t="shared" si="1376"/>
        <v/>
      </c>
      <c r="BK868" s="268" t="str">
        <f t="shared" si="1377"/>
        <v/>
      </c>
      <c r="BL868" s="268" t="str">
        <f t="shared" si="1378"/>
        <v/>
      </c>
      <c r="BM868" s="268" t="str">
        <f t="shared" si="1379"/>
        <v/>
      </c>
      <c r="BN868" s="268" t="str">
        <f t="shared" si="1385"/>
        <v/>
      </c>
      <c r="BO868" s="268" t="str">
        <f t="shared" si="1386"/>
        <v/>
      </c>
      <c r="BP868" s="268" t="str">
        <f t="shared" si="1387"/>
        <v/>
      </c>
      <c r="BQ868" s="268" t="str">
        <f t="shared" si="1388"/>
        <v/>
      </c>
      <c r="BR868" s="268" t="str">
        <f t="shared" si="1389"/>
        <v/>
      </c>
      <c r="BS868" s="268" t="str">
        <f t="shared" si="1390"/>
        <v/>
      </c>
      <c r="BT868" s="268" t="str">
        <f t="shared" si="1380"/>
        <v/>
      </c>
      <c r="BU868" s="268" t="str">
        <f t="shared" si="1381"/>
        <v/>
      </c>
      <c r="BV868" s="247">
        <v>0.88</v>
      </c>
      <c r="BW868" s="729">
        <f t="shared" si="1382"/>
        <v>10560</v>
      </c>
      <c r="BX868" s="730">
        <f t="shared" si="1383"/>
        <v>81840</v>
      </c>
      <c r="BY868" s="731" t="str">
        <f t="shared" si="1384"/>
        <v>SR</v>
      </c>
    </row>
    <row r="869" s="698" customFormat="1" customHeight="1" spans="1:77">
      <c r="A869" s="227">
        <v>46150</v>
      </c>
      <c r="B869" s="244">
        <v>46203</v>
      </c>
      <c r="C869" s="242" t="s">
        <v>827</v>
      </c>
      <c r="D869" s="242" t="s">
        <v>828</v>
      </c>
      <c r="E869" s="242" t="s">
        <v>109</v>
      </c>
      <c r="F869" s="231">
        <v>13200</v>
      </c>
      <c r="G869" s="242" t="s">
        <v>510</v>
      </c>
      <c r="H869" s="211" t="str">
        <f>IFERROR(VLOOKUP(E869,名称!A:E,4,0),"")</f>
        <v>三代</v>
      </c>
      <c r="I869" s="268" t="str">
        <f t="shared" si="1323"/>
        <v/>
      </c>
      <c r="J869" s="268" t="str">
        <f t="shared" si="1324"/>
        <v/>
      </c>
      <c r="K869" s="268" t="str">
        <f t="shared" si="1325"/>
        <v/>
      </c>
      <c r="L869" s="268" t="str">
        <f t="shared" si="1326"/>
        <v/>
      </c>
      <c r="M869" s="268" t="str">
        <f t="shared" si="1327"/>
        <v/>
      </c>
      <c r="N869" s="268" t="str">
        <f t="shared" si="1328"/>
        <v/>
      </c>
      <c r="O869" s="268" t="str">
        <f t="shared" si="1329"/>
        <v/>
      </c>
      <c r="P869" s="268" t="str">
        <f t="shared" si="1330"/>
        <v/>
      </c>
      <c r="Q869" s="268" t="str">
        <f t="shared" si="1331"/>
        <v/>
      </c>
      <c r="R869" s="268" t="str">
        <f t="shared" si="1332"/>
        <v/>
      </c>
      <c r="S869" s="268" t="str">
        <f t="shared" si="1333"/>
        <v/>
      </c>
      <c r="T869" s="268" t="str">
        <f t="shared" si="1334"/>
        <v/>
      </c>
      <c r="U869" s="268" t="str">
        <f t="shared" si="1335"/>
        <v/>
      </c>
      <c r="V869" s="268" t="str">
        <f t="shared" si="1336"/>
        <v/>
      </c>
      <c r="W869" s="268" t="str">
        <f t="shared" si="1337"/>
        <v/>
      </c>
      <c r="X869" s="268" t="str">
        <f t="shared" si="1338"/>
        <v/>
      </c>
      <c r="Y869" s="268" t="str">
        <f t="shared" si="1339"/>
        <v/>
      </c>
      <c r="Z869" s="268" t="str">
        <f t="shared" si="1340"/>
        <v/>
      </c>
      <c r="AA869" s="268" t="str">
        <f t="shared" si="1341"/>
        <v/>
      </c>
      <c r="AB869" s="268" t="str">
        <f t="shared" si="1342"/>
        <v/>
      </c>
      <c r="AC869" s="268" t="str">
        <f t="shared" si="1343"/>
        <v/>
      </c>
      <c r="AD869" s="268" t="str">
        <f t="shared" si="1344"/>
        <v/>
      </c>
      <c r="AE869" s="268" t="str">
        <f t="shared" si="1345"/>
        <v/>
      </c>
      <c r="AF869" s="268" t="str">
        <f t="shared" si="1346"/>
        <v/>
      </c>
      <c r="AG869" s="268" t="str">
        <f t="shared" si="1347"/>
        <v/>
      </c>
      <c r="AH869" s="268" t="str">
        <f t="shared" si="1348"/>
        <v/>
      </c>
      <c r="AI869" s="268" t="str">
        <f t="shared" si="1349"/>
        <v/>
      </c>
      <c r="AJ869" s="268" t="str">
        <f t="shared" si="1350"/>
        <v/>
      </c>
      <c r="AK869" s="268" t="str">
        <f t="shared" si="1351"/>
        <v/>
      </c>
      <c r="AL869" s="268" t="str">
        <f t="shared" si="1352"/>
        <v/>
      </c>
      <c r="AM869" s="268" t="str">
        <f t="shared" si="1353"/>
        <v/>
      </c>
      <c r="AN869" s="268" t="str">
        <f t="shared" si="1354"/>
        <v/>
      </c>
      <c r="AO869" s="268" t="str">
        <f t="shared" si="1355"/>
        <v/>
      </c>
      <c r="AP869" s="268" t="str">
        <f t="shared" si="1356"/>
        <v/>
      </c>
      <c r="AQ869" s="268" t="str">
        <f t="shared" si="1357"/>
        <v/>
      </c>
      <c r="AR869" s="268" t="str">
        <f t="shared" si="1358"/>
        <v/>
      </c>
      <c r="AS869" s="268" t="str">
        <f t="shared" si="1359"/>
        <v/>
      </c>
      <c r="AT869" s="268" t="str">
        <f t="shared" si="1360"/>
        <v/>
      </c>
      <c r="AU869" s="268" t="str">
        <f t="shared" si="1361"/>
        <v/>
      </c>
      <c r="AV869" s="268" t="str">
        <f t="shared" si="1362"/>
        <v/>
      </c>
      <c r="AW869" s="268" t="str">
        <f t="shared" si="1363"/>
        <v/>
      </c>
      <c r="AX869" s="268" t="str">
        <f t="shared" si="1364"/>
        <v/>
      </c>
      <c r="AY869" s="268" t="str">
        <f t="shared" si="1365"/>
        <v/>
      </c>
      <c r="AZ869" s="268" t="str">
        <f t="shared" si="1366"/>
        <v/>
      </c>
      <c r="BA869" s="268" t="str">
        <f t="shared" si="1367"/>
        <v/>
      </c>
      <c r="BB869" s="268" t="str">
        <f t="shared" si="1368"/>
        <v/>
      </c>
      <c r="BC869" s="268">
        <f t="shared" si="1369"/>
        <v>13200</v>
      </c>
      <c r="BD869" s="268" t="str">
        <f t="shared" si="1370"/>
        <v/>
      </c>
      <c r="BE869" s="268" t="str">
        <f t="shared" si="1371"/>
        <v/>
      </c>
      <c r="BF869" s="268" t="str">
        <f t="shared" si="1372"/>
        <v/>
      </c>
      <c r="BG869" s="268" t="str">
        <f t="shared" si="1373"/>
        <v/>
      </c>
      <c r="BH869" s="268" t="str">
        <f t="shared" si="1374"/>
        <v/>
      </c>
      <c r="BI869" s="268" t="str">
        <f t="shared" si="1375"/>
        <v/>
      </c>
      <c r="BJ869" s="268" t="str">
        <f t="shared" si="1376"/>
        <v/>
      </c>
      <c r="BK869" s="268" t="str">
        <f t="shared" si="1377"/>
        <v/>
      </c>
      <c r="BL869" s="268" t="str">
        <f t="shared" si="1378"/>
        <v/>
      </c>
      <c r="BM869" s="268" t="str">
        <f t="shared" si="1379"/>
        <v/>
      </c>
      <c r="BN869" s="268" t="str">
        <f t="shared" si="1385"/>
        <v/>
      </c>
      <c r="BO869" s="268" t="str">
        <f t="shared" si="1386"/>
        <v/>
      </c>
      <c r="BP869" s="268" t="str">
        <f t="shared" si="1387"/>
        <v/>
      </c>
      <c r="BQ869" s="268" t="str">
        <f t="shared" si="1388"/>
        <v/>
      </c>
      <c r="BR869" s="268" t="str">
        <f t="shared" si="1389"/>
        <v/>
      </c>
      <c r="BS869" s="268" t="str">
        <f t="shared" si="1390"/>
        <v/>
      </c>
      <c r="BT869" s="268" t="str">
        <f t="shared" si="1380"/>
        <v/>
      </c>
      <c r="BU869" s="268" t="str">
        <f t="shared" si="1381"/>
        <v/>
      </c>
      <c r="BV869" s="247">
        <v>0.59</v>
      </c>
      <c r="BW869" s="729">
        <f t="shared" si="1382"/>
        <v>7788</v>
      </c>
      <c r="BX869" s="730">
        <f t="shared" si="1383"/>
        <v>60357</v>
      </c>
      <c r="BY869" s="731" t="str">
        <f t="shared" si="1384"/>
        <v>JS</v>
      </c>
    </row>
    <row r="870" s="698" customFormat="1" customHeight="1" spans="1:77">
      <c r="A870" s="227">
        <v>46150</v>
      </c>
      <c r="B870" s="244">
        <v>46213</v>
      </c>
      <c r="C870" s="242"/>
      <c r="D870" s="242" t="s">
        <v>829</v>
      </c>
      <c r="E870" s="242" t="s">
        <v>50</v>
      </c>
      <c r="F870" s="231">
        <v>6012</v>
      </c>
      <c r="G870" s="242" t="s">
        <v>510</v>
      </c>
      <c r="H870" s="211" t="str">
        <f>IFERROR(VLOOKUP(E870,名称!A:E,4,0),"")</f>
        <v>蛋糕</v>
      </c>
      <c r="I870" s="268" t="str">
        <f t="shared" si="1323"/>
        <v/>
      </c>
      <c r="J870" s="268" t="str">
        <f t="shared" si="1324"/>
        <v/>
      </c>
      <c r="K870" s="268" t="str">
        <f t="shared" si="1325"/>
        <v/>
      </c>
      <c r="L870" s="268" t="str">
        <f t="shared" si="1326"/>
        <v/>
      </c>
      <c r="M870" s="268" t="str">
        <f t="shared" si="1327"/>
        <v/>
      </c>
      <c r="N870" s="268" t="str">
        <f t="shared" si="1328"/>
        <v/>
      </c>
      <c r="O870" s="268" t="str">
        <f t="shared" si="1329"/>
        <v/>
      </c>
      <c r="P870" s="268" t="str">
        <f t="shared" si="1330"/>
        <v/>
      </c>
      <c r="Q870" s="268" t="str">
        <f t="shared" si="1331"/>
        <v/>
      </c>
      <c r="R870" s="268" t="str">
        <f t="shared" si="1332"/>
        <v/>
      </c>
      <c r="S870" s="268" t="str">
        <f t="shared" si="1333"/>
        <v/>
      </c>
      <c r="T870" s="268" t="str">
        <f t="shared" si="1334"/>
        <v/>
      </c>
      <c r="U870" s="268" t="str">
        <f t="shared" si="1335"/>
        <v/>
      </c>
      <c r="V870" s="268" t="str">
        <f t="shared" si="1336"/>
        <v/>
      </c>
      <c r="W870" s="268" t="str">
        <f t="shared" si="1337"/>
        <v/>
      </c>
      <c r="X870" s="268" t="str">
        <f t="shared" si="1338"/>
        <v/>
      </c>
      <c r="Y870" s="268" t="str">
        <f t="shared" si="1339"/>
        <v/>
      </c>
      <c r="Z870" s="268" t="str">
        <f t="shared" si="1340"/>
        <v/>
      </c>
      <c r="AA870" s="268" t="str">
        <f t="shared" si="1341"/>
        <v/>
      </c>
      <c r="AB870" s="268" t="str">
        <f t="shared" si="1342"/>
        <v/>
      </c>
      <c r="AC870" s="268" t="str">
        <f t="shared" si="1343"/>
        <v/>
      </c>
      <c r="AD870" s="268" t="str">
        <f t="shared" si="1344"/>
        <v/>
      </c>
      <c r="AE870" s="268" t="str">
        <f t="shared" si="1345"/>
        <v/>
      </c>
      <c r="AF870" s="268" t="str">
        <f t="shared" si="1346"/>
        <v/>
      </c>
      <c r="AG870" s="268" t="str">
        <f t="shared" si="1347"/>
        <v/>
      </c>
      <c r="AH870" s="268" t="str">
        <f t="shared" si="1348"/>
        <v/>
      </c>
      <c r="AI870" s="268" t="str">
        <f t="shared" si="1349"/>
        <v/>
      </c>
      <c r="AJ870" s="268" t="str">
        <f t="shared" si="1350"/>
        <v/>
      </c>
      <c r="AK870" s="268" t="str">
        <f t="shared" si="1351"/>
        <v/>
      </c>
      <c r="AL870" s="268" t="str">
        <f t="shared" si="1352"/>
        <v/>
      </c>
      <c r="AM870" s="268" t="str">
        <f t="shared" si="1353"/>
        <v/>
      </c>
      <c r="AN870" s="268" t="str">
        <f t="shared" si="1354"/>
        <v/>
      </c>
      <c r="AO870" s="268" t="str">
        <f t="shared" si="1355"/>
        <v/>
      </c>
      <c r="AP870" s="268" t="str">
        <f t="shared" si="1356"/>
        <v/>
      </c>
      <c r="AQ870" s="268" t="str">
        <f t="shared" si="1357"/>
        <v/>
      </c>
      <c r="AR870" s="268" t="str">
        <f t="shared" si="1358"/>
        <v/>
      </c>
      <c r="AS870" s="268" t="str">
        <f t="shared" si="1359"/>
        <v/>
      </c>
      <c r="AT870" s="268" t="str">
        <f t="shared" si="1360"/>
        <v/>
      </c>
      <c r="AU870" s="268" t="str">
        <f t="shared" si="1361"/>
        <v/>
      </c>
      <c r="AV870" s="268" t="str">
        <f t="shared" si="1362"/>
        <v/>
      </c>
      <c r="AW870" s="268" t="str">
        <f t="shared" si="1363"/>
        <v/>
      </c>
      <c r="AX870" s="268" t="str">
        <f t="shared" si="1364"/>
        <v/>
      </c>
      <c r="AY870" s="268" t="str">
        <f t="shared" si="1365"/>
        <v/>
      </c>
      <c r="AZ870" s="268" t="str">
        <f t="shared" si="1366"/>
        <v/>
      </c>
      <c r="BA870" s="268" t="str">
        <f t="shared" si="1367"/>
        <v/>
      </c>
      <c r="BB870" s="268" t="str">
        <f t="shared" si="1368"/>
        <v/>
      </c>
      <c r="BC870" s="268" t="str">
        <f t="shared" si="1369"/>
        <v/>
      </c>
      <c r="BD870" s="268" t="str">
        <f t="shared" si="1370"/>
        <v/>
      </c>
      <c r="BE870" s="268" t="str">
        <f t="shared" si="1371"/>
        <v/>
      </c>
      <c r="BF870" s="268" t="str">
        <f t="shared" si="1372"/>
        <v/>
      </c>
      <c r="BG870" s="268">
        <f t="shared" si="1373"/>
        <v>6012</v>
      </c>
      <c r="BH870" s="268" t="str">
        <f t="shared" si="1374"/>
        <v/>
      </c>
      <c r="BI870" s="268" t="str">
        <f t="shared" si="1375"/>
        <v/>
      </c>
      <c r="BJ870" s="268" t="str">
        <f t="shared" si="1376"/>
        <v/>
      </c>
      <c r="BK870" s="268" t="str">
        <f t="shared" si="1377"/>
        <v/>
      </c>
      <c r="BL870" s="268" t="str">
        <f t="shared" si="1378"/>
        <v/>
      </c>
      <c r="BM870" s="268" t="str">
        <f t="shared" si="1379"/>
        <v/>
      </c>
      <c r="BN870" s="268" t="str">
        <f t="shared" si="1385"/>
        <v/>
      </c>
      <c r="BO870" s="268" t="str">
        <f t="shared" si="1386"/>
        <v/>
      </c>
      <c r="BP870" s="268" t="str">
        <f t="shared" si="1387"/>
        <v/>
      </c>
      <c r="BQ870" s="268" t="str">
        <f t="shared" si="1388"/>
        <v/>
      </c>
      <c r="BR870" s="268" t="str">
        <f t="shared" si="1389"/>
        <v/>
      </c>
      <c r="BS870" s="268" t="str">
        <f t="shared" si="1390"/>
        <v/>
      </c>
      <c r="BT870" s="268" t="str">
        <f t="shared" si="1380"/>
        <v/>
      </c>
      <c r="BU870" s="268" t="str">
        <f t="shared" si="1381"/>
        <v/>
      </c>
      <c r="BV870" s="247">
        <v>1.15</v>
      </c>
      <c r="BW870" s="729">
        <f t="shared" si="1382"/>
        <v>6913.8</v>
      </c>
      <c r="BX870" s="730">
        <f t="shared" si="1383"/>
        <v>53581.95</v>
      </c>
      <c r="BY870" s="731" t="str">
        <f t="shared" si="1384"/>
        <v>JC</v>
      </c>
    </row>
    <row r="871" s="698" customFormat="1" customHeight="1" spans="1:77">
      <c r="A871" s="227">
        <v>46150</v>
      </c>
      <c r="B871" s="244">
        <v>46213</v>
      </c>
      <c r="C871" s="242"/>
      <c r="D871" s="242" t="s">
        <v>829</v>
      </c>
      <c r="E871" s="242" t="s">
        <v>88</v>
      </c>
      <c r="F871" s="231">
        <v>5016</v>
      </c>
      <c r="G871" s="242" t="s">
        <v>510</v>
      </c>
      <c r="H871" s="211" t="str">
        <f>IFERROR(VLOOKUP(E871,名称!A:E,4,0),"")</f>
        <v>三代</v>
      </c>
      <c r="I871" s="268" t="str">
        <f t="shared" si="1323"/>
        <v/>
      </c>
      <c r="J871" s="268" t="str">
        <f t="shared" si="1324"/>
        <v/>
      </c>
      <c r="K871" s="268" t="str">
        <f t="shared" si="1325"/>
        <v/>
      </c>
      <c r="L871" s="268" t="str">
        <f t="shared" si="1326"/>
        <v/>
      </c>
      <c r="M871" s="268" t="str">
        <f t="shared" si="1327"/>
        <v/>
      </c>
      <c r="N871" s="268" t="str">
        <f t="shared" si="1328"/>
        <v/>
      </c>
      <c r="O871" s="268" t="str">
        <f t="shared" si="1329"/>
        <v/>
      </c>
      <c r="P871" s="268" t="str">
        <f t="shared" si="1330"/>
        <v/>
      </c>
      <c r="Q871" s="268" t="str">
        <f t="shared" si="1331"/>
        <v/>
      </c>
      <c r="R871" s="268" t="str">
        <f t="shared" si="1332"/>
        <v/>
      </c>
      <c r="S871" s="268" t="str">
        <f t="shared" si="1333"/>
        <v/>
      </c>
      <c r="T871" s="268" t="str">
        <f t="shared" si="1334"/>
        <v/>
      </c>
      <c r="U871" s="268" t="str">
        <f t="shared" si="1335"/>
        <v/>
      </c>
      <c r="V871" s="268" t="str">
        <f t="shared" si="1336"/>
        <v/>
      </c>
      <c r="W871" s="268" t="str">
        <f t="shared" si="1337"/>
        <v/>
      </c>
      <c r="X871" s="268" t="str">
        <f t="shared" si="1338"/>
        <v/>
      </c>
      <c r="Y871" s="268" t="str">
        <f t="shared" si="1339"/>
        <v/>
      </c>
      <c r="Z871" s="268" t="str">
        <f t="shared" si="1340"/>
        <v/>
      </c>
      <c r="AA871" s="268" t="str">
        <f t="shared" si="1341"/>
        <v/>
      </c>
      <c r="AB871" s="268" t="str">
        <f t="shared" si="1342"/>
        <v/>
      </c>
      <c r="AC871" s="268" t="str">
        <f t="shared" si="1343"/>
        <v/>
      </c>
      <c r="AD871" s="268" t="str">
        <f t="shared" si="1344"/>
        <v/>
      </c>
      <c r="AE871" s="268" t="str">
        <f t="shared" si="1345"/>
        <v/>
      </c>
      <c r="AF871" s="268" t="str">
        <f t="shared" si="1346"/>
        <v/>
      </c>
      <c r="AG871" s="268" t="str">
        <f t="shared" si="1347"/>
        <v/>
      </c>
      <c r="AH871" s="268" t="str">
        <f t="shared" si="1348"/>
        <v/>
      </c>
      <c r="AI871" s="268" t="str">
        <f t="shared" si="1349"/>
        <v/>
      </c>
      <c r="AJ871" s="268" t="str">
        <f t="shared" si="1350"/>
        <v/>
      </c>
      <c r="AK871" s="268" t="str">
        <f t="shared" si="1351"/>
        <v/>
      </c>
      <c r="AL871" s="268" t="str">
        <f t="shared" si="1352"/>
        <v/>
      </c>
      <c r="AM871" s="268" t="str">
        <f t="shared" si="1353"/>
        <v/>
      </c>
      <c r="AN871" s="268" t="str">
        <f t="shared" si="1354"/>
        <v/>
      </c>
      <c r="AO871" s="268" t="str">
        <f t="shared" si="1355"/>
        <v/>
      </c>
      <c r="AP871" s="268" t="str">
        <f t="shared" si="1356"/>
        <v/>
      </c>
      <c r="AQ871" s="268" t="str">
        <f t="shared" si="1357"/>
        <v/>
      </c>
      <c r="AR871" s="268" t="str">
        <f t="shared" si="1358"/>
        <v/>
      </c>
      <c r="AS871" s="268" t="str">
        <f t="shared" si="1359"/>
        <v/>
      </c>
      <c r="AT871" s="268">
        <f t="shared" si="1360"/>
        <v>5016</v>
      </c>
      <c r="AU871" s="268" t="str">
        <f t="shared" si="1361"/>
        <v/>
      </c>
      <c r="AV871" s="268" t="str">
        <f t="shared" si="1362"/>
        <v/>
      </c>
      <c r="AW871" s="268" t="str">
        <f t="shared" si="1363"/>
        <v/>
      </c>
      <c r="AX871" s="268" t="str">
        <f t="shared" si="1364"/>
        <v/>
      </c>
      <c r="AY871" s="268" t="str">
        <f t="shared" si="1365"/>
        <v/>
      </c>
      <c r="AZ871" s="268" t="str">
        <f t="shared" si="1366"/>
        <v/>
      </c>
      <c r="BA871" s="268" t="str">
        <f t="shared" si="1367"/>
        <v/>
      </c>
      <c r="BB871" s="268" t="str">
        <f t="shared" si="1368"/>
        <v/>
      </c>
      <c r="BC871" s="268" t="str">
        <f t="shared" si="1369"/>
        <v/>
      </c>
      <c r="BD871" s="268" t="str">
        <f t="shared" si="1370"/>
        <v/>
      </c>
      <c r="BE871" s="268" t="str">
        <f t="shared" si="1371"/>
        <v/>
      </c>
      <c r="BF871" s="268" t="str">
        <f t="shared" si="1372"/>
        <v/>
      </c>
      <c r="BG871" s="268" t="str">
        <f t="shared" si="1373"/>
        <v/>
      </c>
      <c r="BH871" s="268" t="str">
        <f t="shared" si="1374"/>
        <v/>
      </c>
      <c r="BI871" s="268" t="str">
        <f t="shared" si="1375"/>
        <v/>
      </c>
      <c r="BJ871" s="268" t="str">
        <f t="shared" si="1376"/>
        <v/>
      </c>
      <c r="BK871" s="268" t="str">
        <f t="shared" si="1377"/>
        <v/>
      </c>
      <c r="BL871" s="268" t="str">
        <f t="shared" si="1378"/>
        <v/>
      </c>
      <c r="BM871" s="268" t="str">
        <f t="shared" si="1379"/>
        <v/>
      </c>
      <c r="BN871" s="268" t="str">
        <f t="shared" si="1385"/>
        <v/>
      </c>
      <c r="BO871" s="268" t="str">
        <f t="shared" si="1386"/>
        <v/>
      </c>
      <c r="BP871" s="268" t="str">
        <f t="shared" si="1387"/>
        <v/>
      </c>
      <c r="BQ871" s="268" t="str">
        <f t="shared" si="1388"/>
        <v/>
      </c>
      <c r="BR871" s="268" t="str">
        <f t="shared" si="1389"/>
        <v/>
      </c>
      <c r="BS871" s="268" t="str">
        <f t="shared" si="1390"/>
        <v/>
      </c>
      <c r="BT871" s="268" t="str">
        <f t="shared" si="1380"/>
        <v/>
      </c>
      <c r="BU871" s="268" t="str">
        <f t="shared" si="1381"/>
        <v/>
      </c>
      <c r="BV871" s="247">
        <v>0.83</v>
      </c>
      <c r="BW871" s="729">
        <f t="shared" si="1382"/>
        <v>4163.28</v>
      </c>
      <c r="BX871" s="730">
        <f t="shared" si="1383"/>
        <v>32265.42</v>
      </c>
      <c r="BY871" s="731" t="str">
        <f t="shared" si="1384"/>
        <v>SR</v>
      </c>
    </row>
    <row r="872" s="698" customFormat="1" customHeight="1" spans="1:77">
      <c r="A872" s="227">
        <v>46150</v>
      </c>
      <c r="B872" s="244">
        <v>46213</v>
      </c>
      <c r="C872" s="242"/>
      <c r="D872" s="242" t="s">
        <v>829</v>
      </c>
      <c r="E872" s="242" t="s">
        <v>59</v>
      </c>
      <c r="F872" s="231">
        <v>10008</v>
      </c>
      <c r="G872" s="242" t="s">
        <v>510</v>
      </c>
      <c r="H872" s="211" t="str">
        <f>IFERROR(VLOOKUP(E872,名称!A:E,4,0),"")</f>
        <v>三代</v>
      </c>
      <c r="I872" s="268" t="str">
        <f t="shared" si="1323"/>
        <v/>
      </c>
      <c r="J872" s="268" t="str">
        <f t="shared" si="1324"/>
        <v/>
      </c>
      <c r="K872" s="268" t="str">
        <f t="shared" si="1325"/>
        <v/>
      </c>
      <c r="L872" s="268" t="str">
        <f t="shared" si="1326"/>
        <v/>
      </c>
      <c r="M872" s="268" t="str">
        <f t="shared" si="1327"/>
        <v/>
      </c>
      <c r="N872" s="268" t="str">
        <f t="shared" si="1328"/>
        <v/>
      </c>
      <c r="O872" s="268" t="str">
        <f t="shared" si="1329"/>
        <v/>
      </c>
      <c r="P872" s="268" t="str">
        <f t="shared" si="1330"/>
        <v/>
      </c>
      <c r="Q872" s="268" t="str">
        <f t="shared" si="1331"/>
        <v/>
      </c>
      <c r="R872" s="268" t="str">
        <f t="shared" si="1332"/>
        <v/>
      </c>
      <c r="S872" s="268" t="str">
        <f t="shared" si="1333"/>
        <v/>
      </c>
      <c r="T872" s="268" t="str">
        <f t="shared" si="1334"/>
        <v/>
      </c>
      <c r="U872" s="268" t="str">
        <f t="shared" si="1335"/>
        <v/>
      </c>
      <c r="V872" s="268" t="str">
        <f t="shared" si="1336"/>
        <v/>
      </c>
      <c r="W872" s="268" t="str">
        <f t="shared" si="1337"/>
        <v/>
      </c>
      <c r="X872" s="268" t="str">
        <f t="shared" si="1338"/>
        <v/>
      </c>
      <c r="Y872" s="268" t="str">
        <f t="shared" si="1339"/>
        <v/>
      </c>
      <c r="Z872" s="268" t="str">
        <f t="shared" si="1340"/>
        <v/>
      </c>
      <c r="AA872" s="268" t="str">
        <f t="shared" si="1341"/>
        <v/>
      </c>
      <c r="AB872" s="268" t="str">
        <f t="shared" si="1342"/>
        <v/>
      </c>
      <c r="AC872" s="268" t="str">
        <f t="shared" si="1343"/>
        <v/>
      </c>
      <c r="AD872" s="268">
        <f t="shared" si="1344"/>
        <v>10008</v>
      </c>
      <c r="AE872" s="268" t="str">
        <f t="shared" si="1345"/>
        <v/>
      </c>
      <c r="AF872" s="268" t="str">
        <f t="shared" si="1346"/>
        <v/>
      </c>
      <c r="AG872" s="268" t="str">
        <f t="shared" si="1347"/>
        <v/>
      </c>
      <c r="AH872" s="268" t="str">
        <f t="shared" si="1348"/>
        <v/>
      </c>
      <c r="AI872" s="268" t="str">
        <f t="shared" si="1349"/>
        <v/>
      </c>
      <c r="AJ872" s="268" t="str">
        <f t="shared" si="1350"/>
        <v/>
      </c>
      <c r="AK872" s="268" t="str">
        <f t="shared" si="1351"/>
        <v/>
      </c>
      <c r="AL872" s="268" t="str">
        <f t="shared" si="1352"/>
        <v/>
      </c>
      <c r="AM872" s="268" t="str">
        <f t="shared" si="1353"/>
        <v/>
      </c>
      <c r="AN872" s="268" t="str">
        <f t="shared" si="1354"/>
        <v/>
      </c>
      <c r="AO872" s="268" t="str">
        <f t="shared" si="1355"/>
        <v/>
      </c>
      <c r="AP872" s="268" t="str">
        <f t="shared" si="1356"/>
        <v/>
      </c>
      <c r="AQ872" s="268" t="str">
        <f t="shared" si="1357"/>
        <v/>
      </c>
      <c r="AR872" s="268" t="str">
        <f t="shared" si="1358"/>
        <v/>
      </c>
      <c r="AS872" s="268" t="str">
        <f t="shared" si="1359"/>
        <v/>
      </c>
      <c r="AT872" s="268" t="str">
        <f t="shared" si="1360"/>
        <v/>
      </c>
      <c r="AU872" s="268" t="str">
        <f t="shared" si="1361"/>
        <v/>
      </c>
      <c r="AV872" s="268" t="str">
        <f t="shared" si="1362"/>
        <v/>
      </c>
      <c r="AW872" s="268" t="str">
        <f t="shared" si="1363"/>
        <v/>
      </c>
      <c r="AX872" s="268" t="str">
        <f t="shared" si="1364"/>
        <v/>
      </c>
      <c r="AY872" s="268" t="str">
        <f t="shared" si="1365"/>
        <v/>
      </c>
      <c r="AZ872" s="268" t="str">
        <f t="shared" si="1366"/>
        <v/>
      </c>
      <c r="BA872" s="268" t="str">
        <f t="shared" si="1367"/>
        <v/>
      </c>
      <c r="BB872" s="268" t="str">
        <f t="shared" si="1368"/>
        <v/>
      </c>
      <c r="BC872" s="268" t="str">
        <f t="shared" si="1369"/>
        <v/>
      </c>
      <c r="BD872" s="268" t="str">
        <f t="shared" si="1370"/>
        <v/>
      </c>
      <c r="BE872" s="268" t="str">
        <f t="shared" si="1371"/>
        <v/>
      </c>
      <c r="BF872" s="268" t="str">
        <f t="shared" si="1372"/>
        <v/>
      </c>
      <c r="BG872" s="268" t="str">
        <f t="shared" si="1373"/>
        <v/>
      </c>
      <c r="BH872" s="268" t="str">
        <f t="shared" si="1374"/>
        <v/>
      </c>
      <c r="BI872" s="268" t="str">
        <f t="shared" si="1375"/>
        <v/>
      </c>
      <c r="BJ872" s="268" t="str">
        <f t="shared" si="1376"/>
        <v/>
      </c>
      <c r="BK872" s="268" t="str">
        <f t="shared" si="1377"/>
        <v/>
      </c>
      <c r="BL872" s="268" t="str">
        <f t="shared" si="1378"/>
        <v/>
      </c>
      <c r="BM872" s="268" t="str">
        <f t="shared" si="1379"/>
        <v/>
      </c>
      <c r="BN872" s="268" t="str">
        <f t="shared" si="1385"/>
        <v/>
      </c>
      <c r="BO872" s="268" t="str">
        <f t="shared" si="1386"/>
        <v/>
      </c>
      <c r="BP872" s="268" t="str">
        <f t="shared" si="1387"/>
        <v/>
      </c>
      <c r="BQ872" s="268" t="str">
        <f t="shared" si="1388"/>
        <v/>
      </c>
      <c r="BR872" s="268" t="str">
        <f t="shared" si="1389"/>
        <v/>
      </c>
      <c r="BS872" s="268" t="str">
        <f t="shared" si="1390"/>
        <v/>
      </c>
      <c r="BT872" s="268" t="str">
        <f t="shared" si="1380"/>
        <v/>
      </c>
      <c r="BU872" s="268" t="str">
        <f t="shared" si="1381"/>
        <v/>
      </c>
      <c r="BV872" s="247">
        <v>0.66</v>
      </c>
      <c r="BW872" s="729">
        <f t="shared" si="1382"/>
        <v>6605.28</v>
      </c>
      <c r="BX872" s="730">
        <f t="shared" si="1383"/>
        <v>51190.92</v>
      </c>
      <c r="BY872" s="731" t="str">
        <f t="shared" si="1384"/>
        <v>SR</v>
      </c>
    </row>
    <row r="873" s="698" customFormat="1" customHeight="1" spans="1:77">
      <c r="A873" s="227">
        <v>46150</v>
      </c>
      <c r="B873" s="244">
        <v>46213</v>
      </c>
      <c r="C873" s="242"/>
      <c r="D873" s="242" t="s">
        <v>829</v>
      </c>
      <c r="E873" s="242" t="s">
        <v>121</v>
      </c>
      <c r="F873" s="231">
        <v>5004</v>
      </c>
      <c r="G873" s="242" t="s">
        <v>510</v>
      </c>
      <c r="H873" s="211" t="str">
        <f>IFERROR(VLOOKUP(E873,名称!A:E,4,0),"")</f>
        <v>三代</v>
      </c>
      <c r="I873" s="268" t="str">
        <f t="shared" si="1323"/>
        <v/>
      </c>
      <c r="J873" s="268" t="str">
        <f t="shared" si="1324"/>
        <v/>
      </c>
      <c r="K873" s="268" t="str">
        <f t="shared" si="1325"/>
        <v/>
      </c>
      <c r="L873" s="268" t="str">
        <f t="shared" si="1326"/>
        <v/>
      </c>
      <c r="M873" s="268" t="str">
        <f t="shared" si="1327"/>
        <v/>
      </c>
      <c r="N873" s="268" t="str">
        <f t="shared" si="1328"/>
        <v/>
      </c>
      <c r="O873" s="268" t="str">
        <f t="shared" si="1329"/>
        <v/>
      </c>
      <c r="P873" s="268" t="str">
        <f t="shared" si="1330"/>
        <v/>
      </c>
      <c r="Q873" s="268" t="str">
        <f t="shared" si="1331"/>
        <v/>
      </c>
      <c r="R873" s="268" t="str">
        <f t="shared" si="1332"/>
        <v/>
      </c>
      <c r="S873" s="268" t="str">
        <f t="shared" si="1333"/>
        <v/>
      </c>
      <c r="T873" s="268" t="str">
        <f t="shared" si="1334"/>
        <v/>
      </c>
      <c r="U873" s="268" t="str">
        <f t="shared" si="1335"/>
        <v/>
      </c>
      <c r="V873" s="268" t="str">
        <f t="shared" si="1336"/>
        <v/>
      </c>
      <c r="W873" s="268" t="str">
        <f t="shared" si="1337"/>
        <v/>
      </c>
      <c r="X873" s="268" t="str">
        <f t="shared" si="1338"/>
        <v/>
      </c>
      <c r="Y873" s="268" t="str">
        <f t="shared" si="1339"/>
        <v/>
      </c>
      <c r="Z873" s="268" t="str">
        <f t="shared" si="1340"/>
        <v/>
      </c>
      <c r="AA873" s="268" t="str">
        <f t="shared" si="1341"/>
        <v/>
      </c>
      <c r="AB873" s="268" t="str">
        <f t="shared" si="1342"/>
        <v/>
      </c>
      <c r="AC873" s="268">
        <f t="shared" si="1343"/>
        <v>5004</v>
      </c>
      <c r="AD873" s="268" t="str">
        <f t="shared" si="1344"/>
        <v/>
      </c>
      <c r="AE873" s="268" t="str">
        <f t="shared" si="1345"/>
        <v/>
      </c>
      <c r="AF873" s="268" t="str">
        <f t="shared" si="1346"/>
        <v/>
      </c>
      <c r="AG873" s="268" t="str">
        <f t="shared" si="1347"/>
        <v/>
      </c>
      <c r="AH873" s="268" t="str">
        <f t="shared" si="1348"/>
        <v/>
      </c>
      <c r="AI873" s="268" t="str">
        <f t="shared" si="1349"/>
        <v/>
      </c>
      <c r="AJ873" s="268" t="str">
        <f t="shared" si="1350"/>
        <v/>
      </c>
      <c r="AK873" s="268" t="str">
        <f t="shared" si="1351"/>
        <v/>
      </c>
      <c r="AL873" s="268" t="str">
        <f t="shared" si="1352"/>
        <v/>
      </c>
      <c r="AM873" s="268" t="str">
        <f t="shared" si="1353"/>
        <v/>
      </c>
      <c r="AN873" s="268" t="str">
        <f t="shared" si="1354"/>
        <v/>
      </c>
      <c r="AO873" s="268" t="str">
        <f t="shared" si="1355"/>
        <v/>
      </c>
      <c r="AP873" s="268" t="str">
        <f t="shared" si="1356"/>
        <v/>
      </c>
      <c r="AQ873" s="268" t="str">
        <f t="shared" si="1357"/>
        <v/>
      </c>
      <c r="AR873" s="268" t="str">
        <f t="shared" si="1358"/>
        <v/>
      </c>
      <c r="AS873" s="268" t="str">
        <f t="shared" si="1359"/>
        <v/>
      </c>
      <c r="AT873" s="268" t="str">
        <f t="shared" si="1360"/>
        <v/>
      </c>
      <c r="AU873" s="268" t="str">
        <f t="shared" si="1361"/>
        <v/>
      </c>
      <c r="AV873" s="268" t="str">
        <f t="shared" si="1362"/>
        <v/>
      </c>
      <c r="AW873" s="268" t="str">
        <f t="shared" si="1363"/>
        <v/>
      </c>
      <c r="AX873" s="268" t="str">
        <f t="shared" si="1364"/>
        <v/>
      </c>
      <c r="AY873" s="268" t="str">
        <f t="shared" si="1365"/>
        <v/>
      </c>
      <c r="AZ873" s="268" t="str">
        <f t="shared" si="1366"/>
        <v/>
      </c>
      <c r="BA873" s="268" t="str">
        <f t="shared" si="1367"/>
        <v/>
      </c>
      <c r="BB873" s="268" t="str">
        <f t="shared" si="1368"/>
        <v/>
      </c>
      <c r="BC873" s="268" t="str">
        <f t="shared" si="1369"/>
        <v/>
      </c>
      <c r="BD873" s="268" t="str">
        <f t="shared" si="1370"/>
        <v/>
      </c>
      <c r="BE873" s="268" t="str">
        <f t="shared" si="1371"/>
        <v/>
      </c>
      <c r="BF873" s="268" t="str">
        <f t="shared" si="1372"/>
        <v/>
      </c>
      <c r="BG873" s="268" t="str">
        <f t="shared" si="1373"/>
        <v/>
      </c>
      <c r="BH873" s="268" t="str">
        <f t="shared" si="1374"/>
        <v/>
      </c>
      <c r="BI873" s="268" t="str">
        <f t="shared" si="1375"/>
        <v/>
      </c>
      <c r="BJ873" s="268" t="str">
        <f t="shared" si="1376"/>
        <v/>
      </c>
      <c r="BK873" s="268" t="str">
        <f t="shared" si="1377"/>
        <v/>
      </c>
      <c r="BL873" s="268" t="str">
        <f t="shared" si="1378"/>
        <v/>
      </c>
      <c r="BM873" s="268" t="str">
        <f t="shared" si="1379"/>
        <v/>
      </c>
      <c r="BN873" s="268" t="str">
        <f t="shared" si="1385"/>
        <v/>
      </c>
      <c r="BO873" s="268" t="str">
        <f t="shared" si="1386"/>
        <v/>
      </c>
      <c r="BP873" s="268" t="str">
        <f t="shared" si="1387"/>
        <v/>
      </c>
      <c r="BQ873" s="268" t="str">
        <f t="shared" si="1388"/>
        <v/>
      </c>
      <c r="BR873" s="268" t="str">
        <f t="shared" si="1389"/>
        <v/>
      </c>
      <c r="BS873" s="268" t="str">
        <f t="shared" si="1390"/>
        <v/>
      </c>
      <c r="BT873" s="268" t="str">
        <f t="shared" si="1380"/>
        <v/>
      </c>
      <c r="BU873" s="268" t="str">
        <f t="shared" si="1381"/>
        <v/>
      </c>
      <c r="BV873" s="247">
        <v>0.8</v>
      </c>
      <c r="BW873" s="729">
        <f t="shared" si="1382"/>
        <v>4003.2</v>
      </c>
      <c r="BX873" s="730">
        <f t="shared" si="1383"/>
        <v>31024.8</v>
      </c>
      <c r="BY873" s="731" t="str">
        <f t="shared" si="1384"/>
        <v>SR</v>
      </c>
    </row>
    <row r="874" s="698" customFormat="1" customHeight="1" spans="1:77">
      <c r="A874" s="227">
        <v>46150</v>
      </c>
      <c r="B874" s="244">
        <v>46213</v>
      </c>
      <c r="C874" s="242"/>
      <c r="D874" s="242" t="s">
        <v>829</v>
      </c>
      <c r="E874" s="242" t="s">
        <v>89</v>
      </c>
      <c r="F874" s="231">
        <v>2004</v>
      </c>
      <c r="G874" s="242" t="s">
        <v>510</v>
      </c>
      <c r="H874" s="211" t="str">
        <f>IFERROR(VLOOKUP(E874,名称!A:E,4,0),"")</f>
        <v>三代</v>
      </c>
      <c r="I874" s="268" t="str">
        <f t="shared" si="1323"/>
        <v/>
      </c>
      <c r="J874" s="268" t="str">
        <f t="shared" si="1324"/>
        <v/>
      </c>
      <c r="K874" s="268" t="str">
        <f t="shared" si="1325"/>
        <v/>
      </c>
      <c r="L874" s="268" t="str">
        <f t="shared" si="1326"/>
        <v/>
      </c>
      <c r="M874" s="268" t="str">
        <f t="shared" si="1327"/>
        <v/>
      </c>
      <c r="N874" s="268" t="str">
        <f t="shared" si="1328"/>
        <v/>
      </c>
      <c r="O874" s="268" t="str">
        <f t="shared" si="1329"/>
        <v/>
      </c>
      <c r="P874" s="268" t="str">
        <f t="shared" si="1330"/>
        <v/>
      </c>
      <c r="Q874" s="268" t="str">
        <f t="shared" si="1331"/>
        <v/>
      </c>
      <c r="R874" s="268" t="str">
        <f t="shared" si="1332"/>
        <v/>
      </c>
      <c r="S874" s="268" t="str">
        <f t="shared" si="1333"/>
        <v/>
      </c>
      <c r="T874" s="268" t="str">
        <f t="shared" si="1334"/>
        <v/>
      </c>
      <c r="U874" s="268" t="str">
        <f t="shared" si="1335"/>
        <v/>
      </c>
      <c r="V874" s="268" t="str">
        <f t="shared" si="1336"/>
        <v/>
      </c>
      <c r="W874" s="268" t="str">
        <f t="shared" si="1337"/>
        <v/>
      </c>
      <c r="X874" s="268" t="str">
        <f t="shared" si="1338"/>
        <v/>
      </c>
      <c r="Y874" s="268" t="str">
        <f t="shared" si="1339"/>
        <v/>
      </c>
      <c r="Z874" s="268" t="str">
        <f t="shared" si="1340"/>
        <v/>
      </c>
      <c r="AA874" s="268" t="str">
        <f t="shared" si="1341"/>
        <v/>
      </c>
      <c r="AB874" s="268" t="str">
        <f t="shared" si="1342"/>
        <v/>
      </c>
      <c r="AC874" s="268" t="str">
        <f t="shared" si="1343"/>
        <v/>
      </c>
      <c r="AD874" s="268" t="str">
        <f t="shared" si="1344"/>
        <v/>
      </c>
      <c r="AE874" s="268" t="str">
        <f t="shared" si="1345"/>
        <v/>
      </c>
      <c r="AF874" s="268" t="str">
        <f t="shared" si="1346"/>
        <v/>
      </c>
      <c r="AG874" s="268" t="str">
        <f t="shared" si="1347"/>
        <v/>
      </c>
      <c r="AH874" s="268" t="str">
        <f t="shared" si="1348"/>
        <v/>
      </c>
      <c r="AI874" s="268" t="str">
        <f t="shared" si="1349"/>
        <v/>
      </c>
      <c r="AJ874" s="268" t="str">
        <f t="shared" si="1350"/>
        <v/>
      </c>
      <c r="AK874" s="268" t="str">
        <f t="shared" si="1351"/>
        <v/>
      </c>
      <c r="AL874" s="268" t="str">
        <f t="shared" si="1352"/>
        <v/>
      </c>
      <c r="AM874" s="268" t="str">
        <f t="shared" si="1353"/>
        <v/>
      </c>
      <c r="AN874" s="268" t="str">
        <f t="shared" si="1354"/>
        <v/>
      </c>
      <c r="AO874" s="268" t="str">
        <f t="shared" si="1355"/>
        <v/>
      </c>
      <c r="AP874" s="268" t="str">
        <f t="shared" si="1356"/>
        <v/>
      </c>
      <c r="AQ874" s="268" t="str">
        <f t="shared" si="1357"/>
        <v/>
      </c>
      <c r="AR874" s="268" t="str">
        <f t="shared" si="1358"/>
        <v/>
      </c>
      <c r="AS874" s="268" t="str">
        <f t="shared" si="1359"/>
        <v/>
      </c>
      <c r="AT874" s="268" t="str">
        <f t="shared" si="1360"/>
        <v/>
      </c>
      <c r="AU874" s="268">
        <f t="shared" si="1361"/>
        <v>2004</v>
      </c>
      <c r="AV874" s="268" t="str">
        <f t="shared" si="1362"/>
        <v/>
      </c>
      <c r="AW874" s="268" t="str">
        <f t="shared" si="1363"/>
        <v/>
      </c>
      <c r="AX874" s="268" t="str">
        <f t="shared" si="1364"/>
        <v/>
      </c>
      <c r="AY874" s="268" t="str">
        <f t="shared" si="1365"/>
        <v/>
      </c>
      <c r="AZ874" s="268" t="str">
        <f t="shared" si="1366"/>
        <v/>
      </c>
      <c r="BA874" s="268" t="str">
        <f t="shared" si="1367"/>
        <v/>
      </c>
      <c r="BB874" s="268" t="str">
        <f t="shared" si="1368"/>
        <v/>
      </c>
      <c r="BC874" s="268" t="str">
        <f t="shared" si="1369"/>
        <v/>
      </c>
      <c r="BD874" s="268" t="str">
        <f t="shared" si="1370"/>
        <v/>
      </c>
      <c r="BE874" s="268" t="str">
        <f t="shared" si="1371"/>
        <v/>
      </c>
      <c r="BF874" s="268" t="str">
        <f t="shared" si="1372"/>
        <v/>
      </c>
      <c r="BG874" s="268" t="str">
        <f t="shared" si="1373"/>
        <v/>
      </c>
      <c r="BH874" s="268" t="str">
        <f t="shared" si="1374"/>
        <v/>
      </c>
      <c r="BI874" s="268" t="str">
        <f t="shared" si="1375"/>
        <v/>
      </c>
      <c r="BJ874" s="268" t="str">
        <f t="shared" si="1376"/>
        <v/>
      </c>
      <c r="BK874" s="268" t="str">
        <f t="shared" si="1377"/>
        <v/>
      </c>
      <c r="BL874" s="268" t="str">
        <f t="shared" si="1378"/>
        <v/>
      </c>
      <c r="BM874" s="268" t="str">
        <f t="shared" si="1379"/>
        <v/>
      </c>
      <c r="BN874" s="268" t="str">
        <f t="shared" si="1385"/>
        <v/>
      </c>
      <c r="BO874" s="268" t="str">
        <f t="shared" si="1386"/>
        <v/>
      </c>
      <c r="BP874" s="268" t="str">
        <f t="shared" si="1387"/>
        <v/>
      </c>
      <c r="BQ874" s="268" t="str">
        <f t="shared" si="1388"/>
        <v/>
      </c>
      <c r="BR874" s="268" t="str">
        <f t="shared" si="1389"/>
        <v/>
      </c>
      <c r="BS874" s="268" t="str">
        <f t="shared" si="1390"/>
        <v/>
      </c>
      <c r="BT874" s="268" t="str">
        <f t="shared" si="1380"/>
        <v/>
      </c>
      <c r="BU874" s="268" t="str">
        <f t="shared" si="1381"/>
        <v/>
      </c>
      <c r="BV874" s="247">
        <v>1.9</v>
      </c>
      <c r="BW874" s="729">
        <f t="shared" si="1382"/>
        <v>3807.6</v>
      </c>
      <c r="BX874" s="730">
        <f t="shared" si="1383"/>
        <v>29508.9</v>
      </c>
      <c r="BY874" s="731" t="str">
        <f t="shared" si="1384"/>
        <v>SR</v>
      </c>
    </row>
    <row r="875" s="698" customFormat="1" customHeight="1" spans="1:77">
      <c r="A875" s="227">
        <v>46150</v>
      </c>
      <c r="B875" s="244">
        <v>46213</v>
      </c>
      <c r="C875" s="242"/>
      <c r="D875" s="242" t="s">
        <v>829</v>
      </c>
      <c r="E875" s="242" t="s">
        <v>66</v>
      </c>
      <c r="F875" s="231">
        <v>3000</v>
      </c>
      <c r="G875" s="242" t="s">
        <v>510</v>
      </c>
      <c r="H875" s="211" t="str">
        <f>IFERROR(VLOOKUP(E875,名称!A:E,4,0),"")</f>
        <v>三代</v>
      </c>
      <c r="I875" s="268" t="str">
        <f t="shared" si="1323"/>
        <v/>
      </c>
      <c r="J875" s="268" t="str">
        <f t="shared" si="1324"/>
        <v/>
      </c>
      <c r="K875" s="268" t="str">
        <f t="shared" si="1325"/>
        <v/>
      </c>
      <c r="L875" s="268" t="str">
        <f t="shared" si="1326"/>
        <v/>
      </c>
      <c r="M875" s="268" t="str">
        <f t="shared" si="1327"/>
        <v/>
      </c>
      <c r="N875" s="268" t="str">
        <f t="shared" si="1328"/>
        <v/>
      </c>
      <c r="O875" s="268" t="str">
        <f t="shared" si="1329"/>
        <v/>
      </c>
      <c r="P875" s="268" t="str">
        <f t="shared" si="1330"/>
        <v/>
      </c>
      <c r="Q875" s="268" t="str">
        <f t="shared" si="1331"/>
        <v/>
      </c>
      <c r="R875" s="268" t="str">
        <f t="shared" si="1332"/>
        <v/>
      </c>
      <c r="S875" s="268" t="str">
        <f t="shared" si="1333"/>
        <v/>
      </c>
      <c r="T875" s="268" t="str">
        <f t="shared" si="1334"/>
        <v/>
      </c>
      <c r="U875" s="268" t="str">
        <f t="shared" si="1335"/>
        <v/>
      </c>
      <c r="V875" s="268" t="str">
        <f t="shared" si="1336"/>
        <v/>
      </c>
      <c r="W875" s="268" t="str">
        <f t="shared" si="1337"/>
        <v/>
      </c>
      <c r="X875" s="268" t="str">
        <f t="shared" si="1338"/>
        <v/>
      </c>
      <c r="Y875" s="268" t="str">
        <f t="shared" si="1339"/>
        <v/>
      </c>
      <c r="Z875" s="268" t="str">
        <f t="shared" si="1340"/>
        <v/>
      </c>
      <c r="AA875" s="268" t="str">
        <f t="shared" si="1341"/>
        <v/>
      </c>
      <c r="AB875" s="268" t="str">
        <f t="shared" si="1342"/>
        <v/>
      </c>
      <c r="AC875" s="268" t="str">
        <f t="shared" si="1343"/>
        <v/>
      </c>
      <c r="AD875" s="268" t="str">
        <f t="shared" si="1344"/>
        <v/>
      </c>
      <c r="AE875" s="268" t="str">
        <f t="shared" si="1345"/>
        <v/>
      </c>
      <c r="AF875" s="268" t="str">
        <f t="shared" si="1346"/>
        <v/>
      </c>
      <c r="AG875" s="268">
        <f t="shared" si="1347"/>
        <v>3000</v>
      </c>
      <c r="AH875" s="268" t="str">
        <f t="shared" si="1348"/>
        <v/>
      </c>
      <c r="AI875" s="268" t="str">
        <f t="shared" si="1349"/>
        <v/>
      </c>
      <c r="AJ875" s="268" t="str">
        <f t="shared" si="1350"/>
        <v/>
      </c>
      <c r="AK875" s="268" t="str">
        <f t="shared" si="1351"/>
        <v/>
      </c>
      <c r="AL875" s="268" t="str">
        <f t="shared" si="1352"/>
        <v/>
      </c>
      <c r="AM875" s="268" t="str">
        <f t="shared" si="1353"/>
        <v/>
      </c>
      <c r="AN875" s="268" t="str">
        <f t="shared" si="1354"/>
        <v/>
      </c>
      <c r="AO875" s="268" t="str">
        <f t="shared" si="1355"/>
        <v/>
      </c>
      <c r="AP875" s="268" t="str">
        <f t="shared" si="1356"/>
        <v/>
      </c>
      <c r="AQ875" s="268" t="str">
        <f t="shared" si="1357"/>
        <v/>
      </c>
      <c r="AR875" s="268" t="str">
        <f t="shared" si="1358"/>
        <v/>
      </c>
      <c r="AS875" s="268" t="str">
        <f t="shared" si="1359"/>
        <v/>
      </c>
      <c r="AT875" s="268" t="str">
        <f t="shared" si="1360"/>
        <v/>
      </c>
      <c r="AU875" s="268" t="str">
        <f t="shared" si="1361"/>
        <v/>
      </c>
      <c r="AV875" s="268" t="str">
        <f t="shared" si="1362"/>
        <v/>
      </c>
      <c r="AW875" s="268" t="str">
        <f t="shared" si="1363"/>
        <v/>
      </c>
      <c r="AX875" s="268" t="str">
        <f t="shared" si="1364"/>
        <v/>
      </c>
      <c r="AY875" s="268" t="str">
        <f t="shared" si="1365"/>
        <v/>
      </c>
      <c r="AZ875" s="268" t="str">
        <f t="shared" si="1366"/>
        <v/>
      </c>
      <c r="BA875" s="268" t="str">
        <f t="shared" si="1367"/>
        <v/>
      </c>
      <c r="BB875" s="268" t="str">
        <f t="shared" si="1368"/>
        <v/>
      </c>
      <c r="BC875" s="268" t="str">
        <f t="shared" si="1369"/>
        <v/>
      </c>
      <c r="BD875" s="268" t="str">
        <f t="shared" si="1370"/>
        <v/>
      </c>
      <c r="BE875" s="268" t="str">
        <f t="shared" si="1371"/>
        <v/>
      </c>
      <c r="BF875" s="268" t="str">
        <f t="shared" si="1372"/>
        <v/>
      </c>
      <c r="BG875" s="268" t="str">
        <f t="shared" si="1373"/>
        <v/>
      </c>
      <c r="BH875" s="268" t="str">
        <f t="shared" si="1374"/>
        <v/>
      </c>
      <c r="BI875" s="268" t="str">
        <f t="shared" si="1375"/>
        <v/>
      </c>
      <c r="BJ875" s="268" t="str">
        <f t="shared" si="1376"/>
        <v/>
      </c>
      <c r="BK875" s="268" t="str">
        <f t="shared" si="1377"/>
        <v/>
      </c>
      <c r="BL875" s="268" t="str">
        <f t="shared" si="1378"/>
        <v/>
      </c>
      <c r="BM875" s="268" t="str">
        <f t="shared" si="1379"/>
        <v/>
      </c>
      <c r="BN875" s="268" t="str">
        <f t="shared" si="1385"/>
        <v/>
      </c>
      <c r="BO875" s="268" t="str">
        <f t="shared" si="1386"/>
        <v/>
      </c>
      <c r="BP875" s="268" t="str">
        <f t="shared" si="1387"/>
        <v/>
      </c>
      <c r="BQ875" s="268" t="str">
        <f t="shared" si="1388"/>
        <v/>
      </c>
      <c r="BR875" s="268" t="str">
        <f t="shared" si="1389"/>
        <v/>
      </c>
      <c r="BS875" s="268" t="str">
        <f t="shared" si="1390"/>
        <v/>
      </c>
      <c r="BT875" s="268" t="str">
        <f t="shared" si="1380"/>
        <v/>
      </c>
      <c r="BU875" s="268" t="str">
        <f t="shared" si="1381"/>
        <v/>
      </c>
      <c r="BV875" s="247">
        <v>2.09</v>
      </c>
      <c r="BW875" s="729">
        <f t="shared" si="1382"/>
        <v>6270</v>
      </c>
      <c r="BX875" s="730">
        <f t="shared" si="1383"/>
        <v>48592.5</v>
      </c>
      <c r="BY875" s="731" t="str">
        <f t="shared" si="1384"/>
        <v>SR</v>
      </c>
    </row>
    <row r="876" s="698" customFormat="1" customHeight="1" spans="1:77">
      <c r="A876" s="227">
        <v>46150</v>
      </c>
      <c r="B876" s="244">
        <v>46213</v>
      </c>
      <c r="C876" s="242"/>
      <c r="D876" s="242" t="s">
        <v>829</v>
      </c>
      <c r="E876" s="242" t="s">
        <v>84</v>
      </c>
      <c r="F876" s="231">
        <v>3006</v>
      </c>
      <c r="G876" s="242" t="s">
        <v>510</v>
      </c>
      <c r="H876" s="211" t="str">
        <f>IFERROR(VLOOKUP(E876,名称!A:E,4,0),"")</f>
        <v>三代</v>
      </c>
      <c r="I876" s="268" t="str">
        <f t="shared" si="1323"/>
        <v/>
      </c>
      <c r="J876" s="268" t="str">
        <f t="shared" si="1324"/>
        <v/>
      </c>
      <c r="K876" s="268" t="str">
        <f t="shared" si="1325"/>
        <v/>
      </c>
      <c r="L876" s="268" t="str">
        <f t="shared" si="1326"/>
        <v/>
      </c>
      <c r="M876" s="268" t="str">
        <f t="shared" si="1327"/>
        <v/>
      </c>
      <c r="N876" s="268" t="str">
        <f t="shared" si="1328"/>
        <v/>
      </c>
      <c r="O876" s="268" t="str">
        <f t="shared" si="1329"/>
        <v/>
      </c>
      <c r="P876" s="268" t="str">
        <f t="shared" si="1330"/>
        <v/>
      </c>
      <c r="Q876" s="268" t="str">
        <f t="shared" si="1331"/>
        <v/>
      </c>
      <c r="R876" s="268" t="str">
        <f t="shared" si="1332"/>
        <v/>
      </c>
      <c r="S876" s="268" t="str">
        <f t="shared" si="1333"/>
        <v/>
      </c>
      <c r="T876" s="268" t="str">
        <f t="shared" si="1334"/>
        <v/>
      </c>
      <c r="U876" s="268" t="str">
        <f t="shared" si="1335"/>
        <v/>
      </c>
      <c r="V876" s="268" t="str">
        <f t="shared" si="1336"/>
        <v/>
      </c>
      <c r="W876" s="268" t="str">
        <f t="shared" si="1337"/>
        <v/>
      </c>
      <c r="X876" s="268" t="str">
        <f t="shared" si="1338"/>
        <v/>
      </c>
      <c r="Y876" s="268" t="str">
        <f t="shared" si="1339"/>
        <v/>
      </c>
      <c r="Z876" s="268" t="str">
        <f t="shared" si="1340"/>
        <v/>
      </c>
      <c r="AA876" s="268" t="str">
        <f t="shared" si="1341"/>
        <v/>
      </c>
      <c r="AB876" s="268" t="str">
        <f t="shared" si="1342"/>
        <v/>
      </c>
      <c r="AC876" s="268" t="str">
        <f t="shared" si="1343"/>
        <v/>
      </c>
      <c r="AD876" s="268" t="str">
        <f t="shared" si="1344"/>
        <v/>
      </c>
      <c r="AE876" s="268" t="str">
        <f t="shared" si="1345"/>
        <v/>
      </c>
      <c r="AF876" s="268" t="str">
        <f t="shared" si="1346"/>
        <v/>
      </c>
      <c r="AG876" s="268" t="str">
        <f t="shared" si="1347"/>
        <v/>
      </c>
      <c r="AH876" s="268" t="str">
        <f t="shared" si="1348"/>
        <v/>
      </c>
      <c r="AI876" s="268" t="str">
        <f t="shared" si="1349"/>
        <v/>
      </c>
      <c r="AJ876" s="268" t="str">
        <f t="shared" si="1350"/>
        <v/>
      </c>
      <c r="AK876" s="268" t="str">
        <f t="shared" si="1351"/>
        <v/>
      </c>
      <c r="AL876" s="268" t="str">
        <f t="shared" si="1352"/>
        <v/>
      </c>
      <c r="AM876" s="268" t="str">
        <f t="shared" si="1353"/>
        <v/>
      </c>
      <c r="AN876" s="268">
        <f t="shared" si="1354"/>
        <v>3006</v>
      </c>
      <c r="AO876" s="268" t="str">
        <f t="shared" si="1355"/>
        <v/>
      </c>
      <c r="AP876" s="268" t="str">
        <f t="shared" si="1356"/>
        <v/>
      </c>
      <c r="AQ876" s="268" t="str">
        <f t="shared" si="1357"/>
        <v/>
      </c>
      <c r="AR876" s="268" t="str">
        <f t="shared" si="1358"/>
        <v/>
      </c>
      <c r="AS876" s="268" t="str">
        <f t="shared" si="1359"/>
        <v/>
      </c>
      <c r="AT876" s="268" t="str">
        <f t="shared" si="1360"/>
        <v/>
      </c>
      <c r="AU876" s="268" t="str">
        <f t="shared" si="1361"/>
        <v/>
      </c>
      <c r="AV876" s="268" t="str">
        <f t="shared" si="1362"/>
        <v/>
      </c>
      <c r="AW876" s="268" t="str">
        <f t="shared" si="1363"/>
        <v/>
      </c>
      <c r="AX876" s="268" t="str">
        <f t="shared" si="1364"/>
        <v/>
      </c>
      <c r="AY876" s="268" t="str">
        <f t="shared" si="1365"/>
        <v/>
      </c>
      <c r="AZ876" s="268" t="str">
        <f t="shared" si="1366"/>
        <v/>
      </c>
      <c r="BA876" s="268" t="str">
        <f t="shared" si="1367"/>
        <v/>
      </c>
      <c r="BB876" s="268" t="str">
        <f t="shared" si="1368"/>
        <v/>
      </c>
      <c r="BC876" s="268" t="str">
        <f t="shared" si="1369"/>
        <v/>
      </c>
      <c r="BD876" s="268" t="str">
        <f t="shared" si="1370"/>
        <v/>
      </c>
      <c r="BE876" s="268" t="str">
        <f t="shared" si="1371"/>
        <v/>
      </c>
      <c r="BF876" s="268" t="str">
        <f t="shared" si="1372"/>
        <v/>
      </c>
      <c r="BG876" s="268" t="str">
        <f t="shared" si="1373"/>
        <v/>
      </c>
      <c r="BH876" s="268" t="str">
        <f t="shared" si="1374"/>
        <v/>
      </c>
      <c r="BI876" s="268" t="str">
        <f t="shared" si="1375"/>
        <v/>
      </c>
      <c r="BJ876" s="268" t="str">
        <f t="shared" si="1376"/>
        <v/>
      </c>
      <c r="BK876" s="268" t="str">
        <f t="shared" si="1377"/>
        <v/>
      </c>
      <c r="BL876" s="268" t="str">
        <f t="shared" si="1378"/>
        <v/>
      </c>
      <c r="BM876" s="268" t="str">
        <f t="shared" si="1379"/>
        <v/>
      </c>
      <c r="BN876" s="268" t="str">
        <f t="shared" si="1385"/>
        <v/>
      </c>
      <c r="BO876" s="268" t="str">
        <f t="shared" si="1386"/>
        <v/>
      </c>
      <c r="BP876" s="268" t="str">
        <f t="shared" si="1387"/>
        <v/>
      </c>
      <c r="BQ876" s="268" t="str">
        <f t="shared" si="1388"/>
        <v/>
      </c>
      <c r="BR876" s="268" t="str">
        <f t="shared" si="1389"/>
        <v/>
      </c>
      <c r="BS876" s="268" t="str">
        <f t="shared" si="1390"/>
        <v/>
      </c>
      <c r="BT876" s="268" t="str">
        <f t="shared" si="1380"/>
        <v/>
      </c>
      <c r="BU876" s="268" t="str">
        <f t="shared" si="1381"/>
        <v/>
      </c>
      <c r="BV876" s="247">
        <v>0.91</v>
      </c>
      <c r="BW876" s="729">
        <f t="shared" si="1382"/>
        <v>2735.46</v>
      </c>
      <c r="BX876" s="730">
        <f t="shared" si="1383"/>
        <v>21199.82</v>
      </c>
      <c r="BY876" s="731" t="str">
        <f t="shared" si="1384"/>
        <v>SR</v>
      </c>
    </row>
    <row r="877" s="698" customFormat="1" customHeight="1" spans="1:77">
      <c r="A877" s="227">
        <v>46150</v>
      </c>
      <c r="B877" s="244">
        <v>46213</v>
      </c>
      <c r="C877" s="242"/>
      <c r="D877" s="242" t="s">
        <v>829</v>
      </c>
      <c r="E877" s="242" t="s">
        <v>125</v>
      </c>
      <c r="F877" s="231">
        <v>1500</v>
      </c>
      <c r="G877" s="242" t="s">
        <v>510</v>
      </c>
      <c r="H877" s="211" t="str">
        <f>IFERROR(VLOOKUP(E877,名称!A:E,4,0),"")</f>
        <v>三代</v>
      </c>
      <c r="I877" s="268" t="str">
        <f t="shared" si="1323"/>
        <v/>
      </c>
      <c r="J877" s="268" t="str">
        <f t="shared" si="1324"/>
        <v/>
      </c>
      <c r="K877" s="268" t="str">
        <f t="shared" si="1325"/>
        <v/>
      </c>
      <c r="L877" s="268" t="str">
        <f t="shared" si="1326"/>
        <v/>
      </c>
      <c r="M877" s="268" t="str">
        <f t="shared" si="1327"/>
        <v/>
      </c>
      <c r="N877" s="268" t="str">
        <f t="shared" si="1328"/>
        <v/>
      </c>
      <c r="O877" s="268" t="str">
        <f t="shared" si="1329"/>
        <v/>
      </c>
      <c r="P877" s="268" t="str">
        <f t="shared" si="1330"/>
        <v/>
      </c>
      <c r="Q877" s="268" t="str">
        <f t="shared" si="1331"/>
        <v/>
      </c>
      <c r="R877" s="268" t="str">
        <f t="shared" si="1332"/>
        <v/>
      </c>
      <c r="S877" s="268" t="str">
        <f t="shared" si="1333"/>
        <v/>
      </c>
      <c r="T877" s="268" t="str">
        <f t="shared" si="1334"/>
        <v/>
      </c>
      <c r="U877" s="268" t="str">
        <f t="shared" si="1335"/>
        <v/>
      </c>
      <c r="V877" s="268" t="str">
        <f t="shared" si="1336"/>
        <v/>
      </c>
      <c r="W877" s="268" t="str">
        <f t="shared" si="1337"/>
        <v/>
      </c>
      <c r="X877" s="268" t="str">
        <f t="shared" si="1338"/>
        <v/>
      </c>
      <c r="Y877" s="268" t="str">
        <f t="shared" si="1339"/>
        <v/>
      </c>
      <c r="Z877" s="268" t="str">
        <f t="shared" si="1340"/>
        <v/>
      </c>
      <c r="AA877" s="268" t="str">
        <f t="shared" si="1341"/>
        <v/>
      </c>
      <c r="AB877" s="268" t="str">
        <f t="shared" si="1342"/>
        <v/>
      </c>
      <c r="AC877" s="268" t="str">
        <f t="shared" si="1343"/>
        <v/>
      </c>
      <c r="AD877" s="268" t="str">
        <f t="shared" si="1344"/>
        <v/>
      </c>
      <c r="AE877" s="268" t="str">
        <f t="shared" si="1345"/>
        <v/>
      </c>
      <c r="AF877" s="268" t="str">
        <f t="shared" si="1346"/>
        <v/>
      </c>
      <c r="AG877" s="268" t="str">
        <f t="shared" si="1347"/>
        <v/>
      </c>
      <c r="AH877" s="268" t="str">
        <f t="shared" si="1348"/>
        <v/>
      </c>
      <c r="AI877" s="268" t="str">
        <f t="shared" si="1349"/>
        <v/>
      </c>
      <c r="AJ877" s="268" t="str">
        <f t="shared" si="1350"/>
        <v/>
      </c>
      <c r="AK877" s="268" t="str">
        <f t="shared" si="1351"/>
        <v/>
      </c>
      <c r="AL877" s="268" t="str">
        <f t="shared" si="1352"/>
        <v/>
      </c>
      <c r="AM877" s="268" t="str">
        <f t="shared" si="1353"/>
        <v/>
      </c>
      <c r="AN877" s="268" t="str">
        <f t="shared" si="1354"/>
        <v/>
      </c>
      <c r="AO877" s="268" t="str">
        <f t="shared" si="1355"/>
        <v/>
      </c>
      <c r="AP877" s="268" t="str">
        <f t="shared" si="1356"/>
        <v/>
      </c>
      <c r="AQ877" s="268" t="str">
        <f t="shared" si="1357"/>
        <v/>
      </c>
      <c r="AR877" s="268">
        <f t="shared" si="1358"/>
        <v>1500</v>
      </c>
      <c r="AS877" s="268" t="str">
        <f t="shared" si="1359"/>
        <v/>
      </c>
      <c r="AT877" s="268" t="str">
        <f t="shared" si="1360"/>
        <v/>
      </c>
      <c r="AU877" s="268" t="str">
        <f t="shared" si="1361"/>
        <v/>
      </c>
      <c r="AV877" s="268" t="str">
        <f t="shared" si="1362"/>
        <v/>
      </c>
      <c r="AW877" s="268" t="str">
        <f t="shared" si="1363"/>
        <v/>
      </c>
      <c r="AX877" s="268" t="str">
        <f t="shared" si="1364"/>
        <v/>
      </c>
      <c r="AY877" s="268" t="str">
        <f t="shared" si="1365"/>
        <v/>
      </c>
      <c r="AZ877" s="268" t="str">
        <f t="shared" si="1366"/>
        <v/>
      </c>
      <c r="BA877" s="268" t="str">
        <f t="shared" si="1367"/>
        <v/>
      </c>
      <c r="BB877" s="268" t="str">
        <f t="shared" si="1368"/>
        <v/>
      </c>
      <c r="BC877" s="268" t="str">
        <f t="shared" si="1369"/>
        <v/>
      </c>
      <c r="BD877" s="268" t="str">
        <f t="shared" si="1370"/>
        <v/>
      </c>
      <c r="BE877" s="268" t="str">
        <f t="shared" si="1371"/>
        <v/>
      </c>
      <c r="BF877" s="268" t="str">
        <f t="shared" si="1372"/>
        <v/>
      </c>
      <c r="BG877" s="268" t="str">
        <f t="shared" si="1373"/>
        <v/>
      </c>
      <c r="BH877" s="268" t="str">
        <f t="shared" si="1374"/>
        <v/>
      </c>
      <c r="BI877" s="268" t="str">
        <f t="shared" si="1375"/>
        <v/>
      </c>
      <c r="BJ877" s="268" t="str">
        <f t="shared" si="1376"/>
        <v/>
      </c>
      <c r="BK877" s="268" t="str">
        <f t="shared" si="1377"/>
        <v/>
      </c>
      <c r="BL877" s="268" t="str">
        <f t="shared" si="1378"/>
        <v/>
      </c>
      <c r="BM877" s="268" t="str">
        <f t="shared" si="1379"/>
        <v/>
      </c>
      <c r="BN877" s="268" t="str">
        <f t="shared" si="1385"/>
        <v/>
      </c>
      <c r="BO877" s="268" t="str">
        <f t="shared" si="1386"/>
        <v/>
      </c>
      <c r="BP877" s="268" t="str">
        <f t="shared" si="1387"/>
        <v/>
      </c>
      <c r="BQ877" s="268" t="str">
        <f t="shared" si="1388"/>
        <v/>
      </c>
      <c r="BR877" s="268" t="str">
        <f t="shared" si="1389"/>
        <v/>
      </c>
      <c r="BS877" s="268" t="str">
        <f t="shared" si="1390"/>
        <v/>
      </c>
      <c r="BT877" s="268" t="str">
        <f t="shared" si="1380"/>
        <v/>
      </c>
      <c r="BU877" s="268" t="str">
        <f t="shared" si="1381"/>
        <v/>
      </c>
      <c r="BV877" s="247">
        <v>1.65</v>
      </c>
      <c r="BW877" s="729">
        <f t="shared" si="1382"/>
        <v>2475</v>
      </c>
      <c r="BX877" s="730">
        <f t="shared" si="1383"/>
        <v>19181.25</v>
      </c>
      <c r="BY877" s="731" t="str">
        <f t="shared" si="1384"/>
        <v>SR</v>
      </c>
    </row>
    <row r="878" s="698" customFormat="1" customHeight="1" spans="1:77">
      <c r="A878" s="227">
        <v>46150</v>
      </c>
      <c r="B878" s="244">
        <v>46191</v>
      </c>
      <c r="C878" s="242" t="s">
        <v>830</v>
      </c>
      <c r="D878" s="242" t="s">
        <v>831</v>
      </c>
      <c r="E878" s="242" t="s">
        <v>60</v>
      </c>
      <c r="F878" s="231">
        <v>1200</v>
      </c>
      <c r="G878" s="242" t="s">
        <v>253</v>
      </c>
      <c r="H878" s="211" t="str">
        <f>IFERROR(VLOOKUP(E878,名称!A:E,4,0),"")</f>
        <v>三代</v>
      </c>
      <c r="I878" s="268" t="str">
        <f t="shared" ref="I878:I941" si="1391">IF(OR($E878="",I$1=""),"",IF(TRIM(LEFT($E878,MIN(IFERROR(FIND("CDU",UPPER($E878)),999),IFERROR(FIND("BULK",UPPER($E878)),999),IFERROR(FIND("-",$E878),999),IFERROR(FIND("（",$E878),999))-1))=I$1,$F878,""))</f>
        <v/>
      </c>
      <c r="J878" s="268" t="str">
        <f t="shared" ref="J878:J941" si="1392">IF(OR($E878="",J$1=""),"",IF(TRIM(LEFT($E878,MIN(IFERROR(FIND("CDU",UPPER($E878)),999),IFERROR(FIND("BULK",UPPER($E878)),999),IFERROR(FIND("-",$E878),999),IFERROR(FIND("（",$E878),999))-1))=J$1,$F878,""))</f>
        <v/>
      </c>
      <c r="K878" s="268" t="str">
        <f t="shared" ref="K878:K941" si="1393">IF(OR($E878="",K$1=""),"",IF(TRIM(LEFT($E878,MIN(IFERROR(FIND("CDU",UPPER($E878)),999),IFERROR(FIND("BULK",UPPER($E878)),999),IFERROR(FIND("-",$E878),999),IFERROR(FIND("（",$E878),999))-1))=K$1,$F878,""))</f>
        <v/>
      </c>
      <c r="L878" s="268" t="str">
        <f t="shared" ref="L878:L941" si="1394">IF(OR($E878="",L$1=""),"",IF(TRIM(LEFT($E878,MIN(IFERROR(FIND("CDU",UPPER($E878)),999),IFERROR(FIND("BULK",UPPER($E878)),999),IFERROR(FIND("-",$E878),999),IFERROR(FIND("（",$E878),999))-1))=L$1,$F878,""))</f>
        <v/>
      </c>
      <c r="M878" s="268" t="str">
        <f t="shared" ref="M878:M941" si="1395">IF(OR($E878="",M$1=""),"",IF(TRIM(LEFT($E878,MIN(IFERROR(FIND("CDU",UPPER($E878)),999),IFERROR(FIND("BULK",UPPER($E878)),999),IFERROR(FIND("-",$E878),999),IFERROR(FIND("（",$E878),999))-1))=M$1,$F878,""))</f>
        <v/>
      </c>
      <c r="N878" s="268" t="str">
        <f t="shared" ref="N878:N941" si="1396">IF(OR($E878="",N$1=""),"",IF(TRIM(LEFT($E878,MIN(IFERROR(FIND("CDU",UPPER($E878)),999),IFERROR(FIND("BULK",UPPER($E878)),999),IFERROR(FIND("-",$E878),999),IFERROR(FIND("（",$E878),999))-1))=N$1,$F878,""))</f>
        <v/>
      </c>
      <c r="O878" s="268" t="str">
        <f t="shared" ref="O878:O941" si="1397">IF(OR($E878="",O$1=""),"",IF(TRIM(LEFT($E878,MIN(IFERROR(FIND("CDU",UPPER($E878)),999),IFERROR(FIND("BULK",UPPER($E878)),999),IFERROR(FIND("-",$E878),999),IFERROR(FIND("（",$E878),999))-1))=O$1,$F878,""))</f>
        <v/>
      </c>
      <c r="P878" s="268" t="str">
        <f t="shared" ref="P878:P941" si="1398">IF(OR($E878="",P$1=""),"",IF(TRIM(LEFT($E878,MIN(IFERROR(FIND("CDU",UPPER($E878)),999),IFERROR(FIND("BULK",UPPER($E878)),999),IFERROR(FIND("-",$E878),999),IFERROR(FIND("（",$E878),999))-1))=P$1,$F878,""))</f>
        <v/>
      </c>
      <c r="Q878" s="268" t="str">
        <f t="shared" ref="Q878:Q941" si="1399">IF(OR($E878="",Q$1=""),"",IF(TRIM(LEFT($E878,MIN(IFERROR(FIND("CDU",UPPER($E878)),999),IFERROR(FIND("BULK",UPPER($E878)),999),IFERROR(FIND("-",$E878),999),IFERROR(FIND("（",$E878),999))-1))=Q$1,$F878,""))</f>
        <v/>
      </c>
      <c r="R878" s="268" t="str">
        <f t="shared" ref="R878:R941" si="1400">IF(OR($E878="",R$1=""),"",IF(TRIM(LEFT($E878,MIN(IFERROR(FIND("CDU",UPPER($E878)),999),IFERROR(FIND("BULK",UPPER($E878)),999),IFERROR(FIND("-",$E878),999),IFERROR(FIND("（",$E878),999))-1))=R$1,$F878,""))</f>
        <v/>
      </c>
      <c r="S878" s="268" t="str">
        <f t="shared" ref="S878:S941" si="1401">IF(OR($E878="",S$1=""),"",IF(TRIM(LEFT($E878,MIN(IFERROR(FIND("CDU",UPPER($E878)),999),IFERROR(FIND("BULK",UPPER($E878)),999),IFERROR(FIND("-",$E878),999),IFERROR(FIND("（",$E878),999))-1))=S$1,$F878,""))</f>
        <v/>
      </c>
      <c r="T878" s="268" t="str">
        <f t="shared" ref="T878:T941" si="1402">IF(OR($E878="",T$1=""),"",IF(TRIM(LEFT($E878,MIN(IFERROR(FIND("CDU",UPPER($E878)),999),IFERROR(FIND("BULK",UPPER($E878)),999),IFERROR(FIND("-",$E878),999),IFERROR(FIND("（",$E878),999))-1))=T$1,$F878,""))</f>
        <v/>
      </c>
      <c r="U878" s="268" t="str">
        <f t="shared" ref="U878:U941" si="1403">IF(OR($E878="",U$1=""),"",IF(TRIM(LEFT($E878,MIN(IFERROR(FIND("CDU",UPPER($E878)),999),IFERROR(FIND("BULK",UPPER($E878)),999),IFERROR(FIND("-",$E878),999),IFERROR(FIND("（",$E878),999))-1))=U$1,$F878,""))</f>
        <v/>
      </c>
      <c r="V878" s="268" t="str">
        <f t="shared" ref="V878:V941" si="1404">IF(OR($E878="",V$1=""),"",IF(TRIM(LEFT($E878,MIN(IFERROR(FIND("CDU",UPPER($E878)),999),IFERROR(FIND("BULK",UPPER($E878)),999),IFERROR(FIND("-",$E878),999),IFERROR(FIND("（",$E878),999))-1))=V$1,$F878,""))</f>
        <v/>
      </c>
      <c r="W878" s="268" t="str">
        <f t="shared" ref="W878:W941" si="1405">IF(OR($E878="",W$1=""),"",IF(TRIM(LEFT($E878,MIN(IFERROR(FIND("CDU",UPPER($E878)),999),IFERROR(FIND("BULK",UPPER($E878)),999),IFERROR(FIND("-",$E878),999),IFERROR(FIND("（",$E878),999))-1))=W$1,$F878,""))</f>
        <v/>
      </c>
      <c r="X878" s="268" t="str">
        <f t="shared" ref="X878:X941" si="1406">IF(OR($E878="",X$1=""),"",IF(TRIM(LEFT($E878,MIN(IFERROR(FIND("CDU",UPPER($E878)),999),IFERROR(FIND("BULK",UPPER($E878)),999),IFERROR(FIND("-",$E878),999),IFERROR(FIND("（",$E878),999))-1))=X$1,$F878,""))</f>
        <v/>
      </c>
      <c r="Y878" s="268" t="str">
        <f t="shared" ref="Y878:Y941" si="1407">IF(OR($E878="",Y$1=""),"",IF(TRIM(LEFT($E878,MIN(IFERROR(FIND("CDU",UPPER($E878)),999),IFERROR(FIND("BULK",UPPER($E878)),999),IFERROR(FIND("-",$E878),999),IFERROR(FIND("（",$E878),999))-1))=Y$1,$F878,""))</f>
        <v/>
      </c>
      <c r="Z878" s="268" t="str">
        <f t="shared" ref="Z878:Z941" si="1408">IF(OR($E878="",Z$1=""),"",IF(TRIM(LEFT($E878,MIN(IFERROR(FIND("CDU",UPPER($E878)),999),IFERROR(FIND("BULK",UPPER($E878)),999),IFERROR(FIND("-",$E878),999),IFERROR(FIND("（",$E878),999))-1))=Z$1,$F878,""))</f>
        <v/>
      </c>
      <c r="AA878" s="268" t="str">
        <f t="shared" ref="AA878:AA941" si="1409">IF(OR($E878="",AA$1=""),"",IF(TRIM(LEFT($E878,MIN(IFERROR(FIND("CDU",UPPER($E878)),999),IFERROR(FIND("BULK",UPPER($E878)),999),IFERROR(FIND("-",$E878),999),IFERROR(FIND("（",$E878),999))-1))=AA$1,$F878,""))</f>
        <v/>
      </c>
      <c r="AB878" s="268" t="str">
        <f t="shared" ref="AB878:AB941" si="1410">IF(OR($E878="",AB$1=""),"",IF(TRIM(LEFT($E878,MIN(IFERROR(FIND("CDU",UPPER($E878)),999),IFERROR(FIND("BULK",UPPER($E878)),999),IFERROR(FIND("-",$E878),999),IFERROR(FIND("（",$E878),999))-1))=AB$1,$F878,""))</f>
        <v/>
      </c>
      <c r="AC878" s="268" t="str">
        <f t="shared" ref="AC878:AC941" si="1411">IF(OR($E878="",AC$1=""),"",IF(TRIM(LEFT($E878,MIN(IFERROR(FIND("CDU",UPPER($E878)),999),IFERROR(FIND("BULK",UPPER($E878)),999),IFERROR(FIND("-",$E878),999),IFERROR(FIND("（",$E878),999))-1))=AC$1,$F878,""))</f>
        <v/>
      </c>
      <c r="AD878" s="268" t="str">
        <f t="shared" ref="AD878:AD941" si="1412">IF(OR($E878="",AD$1=""),"",IF(TRIM(LEFT($E878,MIN(IFERROR(FIND("CDU",UPPER($E878)),999),IFERROR(FIND("BULK",UPPER($E878)),999),IFERROR(FIND("-",$E878),999),IFERROR(FIND("（",$E878),999))-1))=AD$1,$F878,""))</f>
        <v/>
      </c>
      <c r="AE878" s="268">
        <f t="shared" ref="AE878:AE941" si="1413">IF(OR($E878="",AE$1=""),"",IF(TRIM(LEFT($E878,MIN(IFERROR(FIND("CDU",UPPER($E878)),999),IFERROR(FIND("BULK",UPPER($E878)),999),IFERROR(FIND("-",$E878),999),IFERROR(FIND("（",$E878),999))-1))=AE$1,$F878,""))</f>
        <v>1200</v>
      </c>
      <c r="AF878" s="268" t="str">
        <f t="shared" ref="AF878:AF941" si="1414">IF(OR($E878="",AF$1=""),"",IF(TRIM(LEFT($E878,MIN(IFERROR(FIND("CDU",UPPER($E878)),999),IFERROR(FIND("BULK",UPPER($E878)),999),IFERROR(FIND("-",$E878),999),IFERROR(FIND("（",$E878),999))-1))=AF$1,$F878,""))</f>
        <v/>
      </c>
      <c r="AG878" s="268" t="str">
        <f t="shared" ref="AG878:AG941" si="1415">IF(OR($E878="",AG$1=""),"",IF(TRIM(LEFT($E878,MIN(IFERROR(FIND("CDU",UPPER($E878)),999),IFERROR(FIND("BULK",UPPER($E878)),999),IFERROR(FIND("-",$E878),999),IFERROR(FIND("（",$E878),999))-1))=AG$1,$F878,""))</f>
        <v/>
      </c>
      <c r="AH878" s="268" t="str">
        <f t="shared" ref="AH878:AH941" si="1416">IF(OR($E878="",AH$1=""),"",IF(TRIM(LEFT($E878,MIN(IFERROR(FIND("CDU",UPPER($E878)),999),IFERROR(FIND("BULK",UPPER($E878)),999),IFERROR(FIND("-",$E878),999),IFERROR(FIND("（",$E878),999))-1))=AH$1,$F878,""))</f>
        <v/>
      </c>
      <c r="AI878" s="268" t="str">
        <f t="shared" ref="AI878:AI941" si="1417">IF(OR($E878="",AI$1=""),"",IF(TRIM(LEFT($E878,MIN(IFERROR(FIND("CDU",UPPER($E878)),999),IFERROR(FIND("BULK",UPPER($E878)),999),IFERROR(FIND("-",$E878),999),IFERROR(FIND("（",$E878),999))-1))=AI$1,$F878,""))</f>
        <v/>
      </c>
      <c r="AJ878" s="268" t="str">
        <f t="shared" ref="AJ878:AJ941" si="1418">IF(OR($E878="",AJ$1=""),"",IF(TRIM(LEFT($E878,MIN(IFERROR(FIND("CDU",UPPER($E878)),999),IFERROR(FIND("BULK",UPPER($E878)),999),IFERROR(FIND("-",$E878),999),IFERROR(FIND("（",$E878),999))-1))=AJ$1,$F878,""))</f>
        <v/>
      </c>
      <c r="AK878" s="268" t="str">
        <f t="shared" ref="AK878:AK941" si="1419">IF(OR($E878="",AK$1=""),"",IF(TRIM(LEFT($E878,MIN(IFERROR(FIND("CDU",UPPER($E878)),999),IFERROR(FIND("BULK",UPPER($E878)),999),IFERROR(FIND("-",$E878),999),IFERROR(FIND("（",$E878),999))-1))=AK$1,$F878,""))</f>
        <v/>
      </c>
      <c r="AL878" s="268" t="str">
        <f t="shared" ref="AL878:AL941" si="1420">IF(OR($E878="",AL$1=""),"",IF(TRIM(LEFT($E878,MIN(IFERROR(FIND("CDU",UPPER($E878)),999),IFERROR(FIND("BULK",UPPER($E878)),999),IFERROR(FIND("-",$E878),999),IFERROR(FIND("（",$E878),999))-1))=AL$1,$F878,""))</f>
        <v/>
      </c>
      <c r="AM878" s="268" t="str">
        <f t="shared" ref="AM878:AM941" si="1421">IF(OR($E878="",AM$1=""),"",IF(TRIM(LEFT($E878,MIN(IFERROR(FIND("CDU",UPPER($E878)),999),IFERROR(FIND("BULK",UPPER($E878)),999),IFERROR(FIND("-",$E878),999),IFERROR(FIND("（",$E878),999))-1))=AM$1,$F878,""))</f>
        <v/>
      </c>
      <c r="AN878" s="268" t="str">
        <f t="shared" ref="AN878:AN941" si="1422">IF(OR($E878="",AN$1=""),"",IF(TRIM(LEFT($E878,MIN(IFERROR(FIND("CDU",UPPER($E878)),999),IFERROR(FIND("BULK",UPPER($E878)),999),IFERROR(FIND("-",$E878),999),IFERROR(FIND("（",$E878),999))-1))=AN$1,$F878,""))</f>
        <v/>
      </c>
      <c r="AO878" s="268" t="str">
        <f t="shared" ref="AO878:AO941" si="1423">IF(OR($E878="",AO$1=""),"",IF(TRIM(LEFT($E878,MIN(IFERROR(FIND("CDU",UPPER($E878)),999),IFERROR(FIND("BULK",UPPER($E878)),999),IFERROR(FIND("-",$E878),999),IFERROR(FIND("（",$E878),999))-1))=AO$1,$F878,""))</f>
        <v/>
      </c>
      <c r="AP878" s="268" t="str">
        <f t="shared" ref="AP878:AP941" si="1424">IF(OR($E878="",AP$1=""),"",IF(TRIM(LEFT($E878,MIN(IFERROR(FIND("CDU",UPPER($E878)),999),IFERROR(FIND("BULK",UPPER($E878)),999),IFERROR(FIND("-",$E878),999),IFERROR(FIND("（",$E878),999))-1))=AP$1,$F878,""))</f>
        <v/>
      </c>
      <c r="AQ878" s="268" t="str">
        <f t="shared" ref="AQ878:AQ941" si="1425">IF(OR($E878="",AQ$1=""),"",IF(TRIM(LEFT($E878,MIN(IFERROR(FIND("CDU",UPPER($E878)),999),IFERROR(FIND("BULK",UPPER($E878)),999),IFERROR(FIND("-",$E878),999),IFERROR(FIND("（",$E878),999))-1))=AQ$1,$F878,""))</f>
        <v/>
      </c>
      <c r="AR878" s="268" t="str">
        <f t="shared" ref="AR878:AR941" si="1426">IF(OR($E878="",AR$1=""),"",IF(TRIM(LEFT($E878,MIN(IFERROR(FIND("CDU",UPPER($E878)),999),IFERROR(FIND("BULK",UPPER($E878)),999),IFERROR(FIND("-",$E878),999),IFERROR(FIND("（",$E878),999))-1))=AR$1,$F878,""))</f>
        <v/>
      </c>
      <c r="AS878" s="268" t="str">
        <f t="shared" ref="AS878:AS941" si="1427">IF(OR($E878="",AS$1=""),"",IF(TRIM(LEFT($E878,MIN(IFERROR(FIND("CDU",UPPER($E878)),999),IFERROR(FIND("BULK",UPPER($E878)),999),IFERROR(FIND("-",$E878),999),IFERROR(FIND("（",$E878),999))-1))=AS$1,$F878,""))</f>
        <v/>
      </c>
      <c r="AT878" s="268" t="str">
        <f t="shared" ref="AT878:AT941" si="1428">IF(OR($E878="",AT$1=""),"",IF(TRIM(LEFT($E878,MIN(IFERROR(FIND("CDU",UPPER($E878)),999),IFERROR(FIND("BULK",UPPER($E878)),999),IFERROR(FIND("-",$E878),999),IFERROR(FIND("（",$E878),999))-1))=AT$1,$F878,""))</f>
        <v/>
      </c>
      <c r="AU878" s="268" t="str">
        <f t="shared" ref="AU878:AU941" si="1429">IF(OR($E878="",AU$1=""),"",IF(TRIM(LEFT($E878,MIN(IFERROR(FIND("CDU",UPPER($E878)),999),IFERROR(FIND("BULK",UPPER($E878)),999),IFERROR(FIND("-",$E878),999),IFERROR(FIND("（",$E878),999))-1))=AU$1,$F878,""))</f>
        <v/>
      </c>
      <c r="AV878" s="268" t="str">
        <f t="shared" ref="AV878:AV941" si="1430">IF(OR($E878="",AV$1=""),"",IF(TRIM(LEFT($E878,MIN(IFERROR(FIND("CDU",UPPER($E878)),999),IFERROR(FIND("BULK",UPPER($E878)),999),IFERROR(FIND("-",$E878),999),IFERROR(FIND("（",$E878),999))-1))=AV$1,$F878,""))</f>
        <v/>
      </c>
      <c r="AW878" s="268" t="str">
        <f t="shared" ref="AW878:AW941" si="1431">IF(OR($E878="",AW$1=""),"",IF(TRIM(LEFT($E878,MIN(IFERROR(FIND("CDU",UPPER($E878)),999),IFERROR(FIND("BULK",UPPER($E878)),999),IFERROR(FIND("-",$E878),999),IFERROR(FIND("（",$E878),999))-1))=AW$1,$F878,""))</f>
        <v/>
      </c>
      <c r="AX878" s="268" t="str">
        <f t="shared" ref="AX878:AX941" si="1432">IF(OR($E878="",AX$1=""),"",IF(TRIM(LEFT($E878,MIN(IFERROR(FIND("CDU",UPPER($E878)),999),IFERROR(FIND("BULK",UPPER($E878)),999),IFERROR(FIND("-",$E878),999),IFERROR(FIND("（",$E878),999))-1))=AX$1,$F878,""))</f>
        <v/>
      </c>
      <c r="AY878" s="268" t="str">
        <f t="shared" ref="AY878:AY941" si="1433">IF(OR($E878="",AY$1=""),"",IF(TRIM(LEFT($E878,MIN(IFERROR(FIND("CDU",UPPER($E878)),999),IFERROR(FIND("BULK",UPPER($E878)),999),IFERROR(FIND("-",$E878),999),IFERROR(FIND("（",$E878),999))-1))=AY$1,$F878,""))</f>
        <v/>
      </c>
      <c r="AZ878" s="268" t="str">
        <f t="shared" ref="AZ878:AZ941" si="1434">IF(OR($E878="",AZ$1=""),"",IF(TRIM(LEFT($E878,MIN(IFERROR(FIND("CDU",UPPER($E878)),999),IFERROR(FIND("BULK",UPPER($E878)),999),IFERROR(FIND("-",$E878),999),IFERROR(FIND("（",$E878),999))-1))=AZ$1,$F878,""))</f>
        <v/>
      </c>
      <c r="BA878" s="268" t="str">
        <f t="shared" ref="BA878:BA941" si="1435">IF(OR($E878="",BA$1=""),"",IF(TRIM(LEFT($E878,MIN(IFERROR(FIND("CDU",UPPER($E878)),999),IFERROR(FIND("BULK",UPPER($E878)),999),IFERROR(FIND("-",$E878),999),IFERROR(FIND("（",$E878),999))-1))=BA$1,$F878,""))</f>
        <v/>
      </c>
      <c r="BB878" s="268" t="str">
        <f t="shared" ref="BB878:BB941" si="1436">IF(OR($E878="",BB$1=""),"",IF(TRIM(LEFT($E878,MIN(IFERROR(FIND("CDU",UPPER($E878)),999),IFERROR(FIND("BULK",UPPER($E878)),999),IFERROR(FIND("-",$E878),999),IFERROR(FIND("（",$E878),999))-1))=BB$1,$F878,""))</f>
        <v/>
      </c>
      <c r="BC878" s="268" t="str">
        <f t="shared" ref="BC878:BC941" si="1437">IF(OR($E878="",BC$1=""),"",IF(TRIM(LEFT($E878,MIN(IFERROR(FIND("CDU",UPPER($E878)),999),IFERROR(FIND("BULK",UPPER($E878)),999),IFERROR(FIND("-",$E878),999),IFERROR(FIND("（",$E878),999))-1))=BC$1,$F878,""))</f>
        <v/>
      </c>
      <c r="BD878" s="268" t="str">
        <f t="shared" ref="BD878:BD941" si="1438">IF(OR($E878="",BD$1=""),"",IF(TRIM(LEFT($E878,MIN(IFERROR(FIND("CDU",UPPER($E878)),999),IFERROR(FIND("BULK",UPPER($E878)),999),IFERROR(FIND("-",$E878),999),IFERROR(FIND("（",$E878),999))-1))=BD$1,$F878,""))</f>
        <v/>
      </c>
      <c r="BE878" s="268" t="str">
        <f t="shared" ref="BE878:BE941" si="1439">IF(OR($E878="",BE$1=""),"",IF(TRIM(LEFT($E878,MIN(IFERROR(FIND("CDU",UPPER($E878)),999),IFERROR(FIND("BULK",UPPER($E878)),999),IFERROR(FIND("-",$E878),999),IFERROR(FIND("（",$E878),999))-1))=BE$1,$F878,""))</f>
        <v/>
      </c>
      <c r="BF878" s="268" t="str">
        <f t="shared" ref="BF878:BF941" si="1440">IF(OR($E878="",BF$1=""),"",IF(TRIM(LEFT($E878,MIN(IFERROR(FIND("CDU",UPPER($E878)),999),IFERROR(FIND("BULK",UPPER($E878)),999),IFERROR(FIND("-",$E878),999),IFERROR(FIND("（",$E878),999))-1))=BF$1,$F878,""))</f>
        <v/>
      </c>
      <c r="BG878" s="268" t="str">
        <f t="shared" ref="BG878:BG941" si="1441">IF(OR($E878="",BG$1=""),"",IF(TRIM(LEFT($E878,MIN(IFERROR(FIND("CDU",UPPER($E878)),999),IFERROR(FIND("BULK",UPPER($E878)),999),IFERROR(FIND("-",$E878),999),IFERROR(FIND("（",$E878),999))-1))=BG$1,$F878,""))</f>
        <v/>
      </c>
      <c r="BH878" s="268" t="str">
        <f t="shared" ref="BH878:BH941" si="1442">IF(OR($E878="",BH$1=""),"",IF(TRIM(LEFT($E878,MIN(IFERROR(FIND("CDU",UPPER($E878)),999),IFERROR(FIND("BULK",UPPER($E878)),999),IFERROR(FIND("-",$E878),999),IFERROR(FIND("（",$E878),999))-1))=BH$1,$F878,""))</f>
        <v/>
      </c>
      <c r="BI878" s="268" t="str">
        <f t="shared" ref="BI878:BI941" si="1443">IF(OR($E878="",BI$1=""),"",IF(TRIM(LEFT($E878,MIN(IFERROR(FIND("CDU",UPPER($E878)),999),IFERROR(FIND("BULK",UPPER($E878)),999),IFERROR(FIND("-",$E878),999),IFERROR(FIND("（",$E878),999))-1))=BI$1,$F878,""))</f>
        <v/>
      </c>
      <c r="BJ878" s="268" t="str">
        <f t="shared" ref="BJ878:BJ941" si="1444">IF(OR($E878="",BJ$1=""),"",IF(TRIM(LEFT($E878,MIN(IFERROR(FIND("CDU",UPPER($E878)),999),IFERROR(FIND("BULK",UPPER($E878)),999),IFERROR(FIND("-",$E878),999),IFERROR(FIND("（",$E878),999))-1))=BJ$1,$F878,""))</f>
        <v/>
      </c>
      <c r="BK878" s="268" t="str">
        <f t="shared" ref="BK878:BK941" si="1445">IF(OR($E878="",BK$1=""),"",IF(TRIM(LEFT($E878,MIN(IFERROR(FIND("CDU",UPPER($E878)),999),IFERROR(FIND("BULK",UPPER($E878)),999),IFERROR(FIND("-",$E878),999),IFERROR(FIND("（",$E878),999))-1))=BK$1,$F878,""))</f>
        <v/>
      </c>
      <c r="BL878" s="268" t="str">
        <f t="shared" ref="BL878:BL941" si="1446">IF(OR($E878="",BL$1=""),"",IF(TRIM(LEFT($E878,MIN(IFERROR(FIND("CDU",UPPER($E878)),999),IFERROR(FIND("BULK",UPPER($E878)),999),IFERROR(FIND("-",$E878),999),IFERROR(FIND("（",$E878),999))-1))=BL$1,$F878,""))</f>
        <v/>
      </c>
      <c r="BM878" s="268" t="str">
        <f t="shared" ref="BM878:BM941" si="1447">IF(OR($E878="",BM$1=""),"",IF(TRIM(LEFT($E878,MIN(IFERROR(FIND("CDU",UPPER($E878)),999),IFERROR(FIND("BULK",UPPER($E878)),999),IFERROR(FIND("-",$E878),999),IFERROR(FIND("（",$E878),999))-1))=BM$1,$F878,""))</f>
        <v/>
      </c>
      <c r="BN878" s="268" t="str">
        <f t="shared" si="1385"/>
        <v/>
      </c>
      <c r="BO878" s="268" t="str">
        <f t="shared" si="1386"/>
        <v/>
      </c>
      <c r="BP878" s="268" t="str">
        <f t="shared" si="1387"/>
        <v/>
      </c>
      <c r="BQ878" s="268" t="str">
        <f t="shared" si="1388"/>
        <v/>
      </c>
      <c r="BR878" s="268" t="str">
        <f t="shared" si="1389"/>
        <v/>
      </c>
      <c r="BS878" s="268" t="str">
        <f t="shared" si="1390"/>
        <v/>
      </c>
      <c r="BT878" s="268" t="str">
        <f t="shared" ref="BT878:BT941" si="1448">IF(OR($E878="",BT$1=""),"",IF(TRIM(LEFT($E878,MIN(IFERROR(FIND("CDU",UPPER($E878)),999),IFERROR(FIND("BULK",UPPER($E878)),999),IFERROR(FIND("-",$E878),999),IFERROR(FIND("（",$E878),999))-1))=BT$1,$F878,""))</f>
        <v/>
      </c>
      <c r="BU878" s="268" t="str">
        <f t="shared" ref="BU878:BU941" si="1449">IF(OR($E878="",BU$1=""),"",IF(TRIM(LEFT($E878,MIN(IFERROR(FIND("CDU",UPPER($E878)),999),IFERROR(FIND("BULK",UPPER($E878)),999),IFERROR(FIND("-",$E878),999),IFERROR(FIND("（",$E878),999))-1))=BU$1,$F878,""))</f>
        <v/>
      </c>
      <c r="BV878" s="247">
        <v>0.63</v>
      </c>
      <c r="BW878" s="729">
        <f t="shared" ref="BW878:BW911" si="1450">SUM(I878:BU878)*BV878</f>
        <v>756</v>
      </c>
      <c r="BX878" s="730">
        <f t="shared" ref="BX878:BX911" si="1451">BW878*7.75</f>
        <v>5859</v>
      </c>
      <c r="BY878" s="731" t="str">
        <f t="shared" ref="BY878:BY911" si="1452">MID(E878,1,2)</f>
        <v>SR</v>
      </c>
    </row>
    <row r="879" s="698" customFormat="1" customHeight="1" spans="1:77">
      <c r="A879" s="248">
        <v>46150</v>
      </c>
      <c r="B879" s="248">
        <v>46210</v>
      </c>
      <c r="C879" s="211"/>
      <c r="D879" s="211" t="s">
        <v>832</v>
      </c>
      <c r="E879" s="211" t="s">
        <v>119</v>
      </c>
      <c r="F879" s="343">
        <v>1680</v>
      </c>
      <c r="G879" s="242" t="s">
        <v>510</v>
      </c>
      <c r="H879" s="211" t="str">
        <f>IFERROR(VLOOKUP(E879,名称!A:E,4,0),"")</f>
        <v>三代</v>
      </c>
      <c r="I879" s="268" t="str">
        <f t="shared" si="1391"/>
        <v/>
      </c>
      <c r="J879" s="268" t="str">
        <f t="shared" si="1392"/>
        <v/>
      </c>
      <c r="K879" s="268" t="str">
        <f t="shared" si="1393"/>
        <v/>
      </c>
      <c r="L879" s="268" t="str">
        <f t="shared" si="1394"/>
        <v/>
      </c>
      <c r="M879" s="268" t="str">
        <f t="shared" si="1395"/>
        <v/>
      </c>
      <c r="N879" s="268" t="str">
        <f t="shared" si="1396"/>
        <v/>
      </c>
      <c r="O879" s="268" t="str">
        <f t="shared" si="1397"/>
        <v/>
      </c>
      <c r="P879" s="268" t="str">
        <f t="shared" si="1398"/>
        <v/>
      </c>
      <c r="Q879" s="268" t="str">
        <f t="shared" si="1399"/>
        <v/>
      </c>
      <c r="R879" s="268" t="str">
        <f t="shared" si="1400"/>
        <v/>
      </c>
      <c r="S879" s="268" t="str">
        <f t="shared" si="1401"/>
        <v/>
      </c>
      <c r="T879" s="268" t="str">
        <f t="shared" si="1402"/>
        <v/>
      </c>
      <c r="U879" s="268" t="str">
        <f t="shared" si="1403"/>
        <v/>
      </c>
      <c r="V879" s="268" t="str">
        <f t="shared" si="1404"/>
        <v/>
      </c>
      <c r="W879" s="268" t="str">
        <f t="shared" si="1405"/>
        <v/>
      </c>
      <c r="X879" s="268" t="str">
        <f t="shared" si="1406"/>
        <v/>
      </c>
      <c r="Y879" s="268" t="str">
        <f t="shared" si="1407"/>
        <v/>
      </c>
      <c r="Z879" s="268" t="str">
        <f t="shared" si="1408"/>
        <v/>
      </c>
      <c r="AA879" s="268" t="str">
        <f t="shared" si="1409"/>
        <v/>
      </c>
      <c r="AB879" s="268" t="str">
        <f t="shared" si="1410"/>
        <v/>
      </c>
      <c r="AC879" s="268" t="str">
        <f t="shared" si="1411"/>
        <v/>
      </c>
      <c r="AD879" s="268" t="str">
        <f t="shared" si="1412"/>
        <v/>
      </c>
      <c r="AE879" s="268" t="str">
        <f t="shared" si="1413"/>
        <v/>
      </c>
      <c r="AF879" s="268" t="str">
        <f t="shared" si="1414"/>
        <v/>
      </c>
      <c r="AG879" s="268" t="str">
        <f t="shared" si="1415"/>
        <v/>
      </c>
      <c r="AH879" s="268" t="str">
        <f t="shared" si="1416"/>
        <v/>
      </c>
      <c r="AI879" s="268" t="str">
        <f t="shared" si="1417"/>
        <v/>
      </c>
      <c r="AJ879" s="268" t="str">
        <f t="shared" si="1418"/>
        <v/>
      </c>
      <c r="AK879" s="268" t="str">
        <f t="shared" si="1419"/>
        <v/>
      </c>
      <c r="AL879" s="268" t="str">
        <f t="shared" si="1420"/>
        <v/>
      </c>
      <c r="AM879" s="268" t="str">
        <f t="shared" si="1421"/>
        <v/>
      </c>
      <c r="AN879" s="268" t="str">
        <f t="shared" si="1422"/>
        <v/>
      </c>
      <c r="AO879" s="268" t="str">
        <f t="shared" si="1423"/>
        <v/>
      </c>
      <c r="AP879" s="268">
        <f t="shared" si="1424"/>
        <v>1680</v>
      </c>
      <c r="AQ879" s="268" t="str">
        <f t="shared" si="1425"/>
        <v/>
      </c>
      <c r="AR879" s="268" t="str">
        <f t="shared" si="1426"/>
        <v/>
      </c>
      <c r="AS879" s="268" t="str">
        <f t="shared" si="1427"/>
        <v/>
      </c>
      <c r="AT879" s="268" t="str">
        <f t="shared" si="1428"/>
        <v/>
      </c>
      <c r="AU879" s="268" t="str">
        <f t="shared" si="1429"/>
        <v/>
      </c>
      <c r="AV879" s="268" t="str">
        <f t="shared" si="1430"/>
        <v/>
      </c>
      <c r="AW879" s="268" t="str">
        <f t="shared" si="1431"/>
        <v/>
      </c>
      <c r="AX879" s="268" t="str">
        <f t="shared" si="1432"/>
        <v/>
      </c>
      <c r="AY879" s="268" t="str">
        <f t="shared" si="1433"/>
        <v/>
      </c>
      <c r="AZ879" s="268" t="str">
        <f t="shared" si="1434"/>
        <v/>
      </c>
      <c r="BA879" s="268" t="str">
        <f t="shared" si="1435"/>
        <v/>
      </c>
      <c r="BB879" s="268" t="str">
        <f t="shared" si="1436"/>
        <v/>
      </c>
      <c r="BC879" s="268" t="str">
        <f t="shared" si="1437"/>
        <v/>
      </c>
      <c r="BD879" s="268" t="str">
        <f t="shared" si="1438"/>
        <v/>
      </c>
      <c r="BE879" s="268" t="str">
        <f t="shared" si="1439"/>
        <v/>
      </c>
      <c r="BF879" s="268" t="str">
        <f t="shared" si="1440"/>
        <v/>
      </c>
      <c r="BG879" s="268" t="str">
        <f t="shared" si="1441"/>
        <v/>
      </c>
      <c r="BH879" s="268" t="str">
        <f t="shared" si="1442"/>
        <v/>
      </c>
      <c r="BI879" s="268" t="str">
        <f t="shared" si="1443"/>
        <v/>
      </c>
      <c r="BJ879" s="268" t="str">
        <f t="shared" si="1444"/>
        <v/>
      </c>
      <c r="BK879" s="268" t="str">
        <f t="shared" si="1445"/>
        <v/>
      </c>
      <c r="BL879" s="268" t="str">
        <f t="shared" si="1446"/>
        <v/>
      </c>
      <c r="BM879" s="268" t="str">
        <f t="shared" si="1447"/>
        <v/>
      </c>
      <c r="BN879" s="268" t="str">
        <f t="shared" si="1385"/>
        <v/>
      </c>
      <c r="BO879" s="268" t="str">
        <f t="shared" si="1386"/>
        <v/>
      </c>
      <c r="BP879" s="268" t="str">
        <f t="shared" si="1387"/>
        <v/>
      </c>
      <c r="BQ879" s="268" t="str">
        <f t="shared" si="1388"/>
        <v/>
      </c>
      <c r="BR879" s="268" t="str">
        <f t="shared" si="1389"/>
        <v/>
      </c>
      <c r="BS879" s="268" t="str">
        <f t="shared" si="1390"/>
        <v/>
      </c>
      <c r="BT879" s="268" t="str">
        <f t="shared" si="1448"/>
        <v/>
      </c>
      <c r="BU879" s="268" t="str">
        <f t="shared" si="1449"/>
        <v/>
      </c>
      <c r="BV879" s="247">
        <v>0.65</v>
      </c>
      <c r="BW879" s="729">
        <f t="shared" si="1450"/>
        <v>1092</v>
      </c>
      <c r="BX879" s="730">
        <f t="shared" si="1451"/>
        <v>8463</v>
      </c>
      <c r="BY879" s="731" t="str">
        <f t="shared" si="1452"/>
        <v>SR</v>
      </c>
    </row>
    <row r="880" s="698" customFormat="1" customHeight="1" spans="1:77">
      <c r="A880" s="248">
        <v>46150</v>
      </c>
      <c r="B880" s="248">
        <v>46210</v>
      </c>
      <c r="C880" s="211"/>
      <c r="D880" s="211" t="s">
        <v>832</v>
      </c>
      <c r="E880" s="211" t="s">
        <v>125</v>
      </c>
      <c r="F880" s="343">
        <v>720</v>
      </c>
      <c r="G880" s="242" t="s">
        <v>510</v>
      </c>
      <c r="H880" s="211" t="str">
        <f>IFERROR(VLOOKUP(E880,名称!A:E,4,0),"")</f>
        <v>三代</v>
      </c>
      <c r="I880" s="268" t="str">
        <f t="shared" si="1391"/>
        <v/>
      </c>
      <c r="J880" s="268" t="str">
        <f t="shared" si="1392"/>
        <v/>
      </c>
      <c r="K880" s="268" t="str">
        <f t="shared" si="1393"/>
        <v/>
      </c>
      <c r="L880" s="268" t="str">
        <f t="shared" si="1394"/>
        <v/>
      </c>
      <c r="M880" s="268" t="str">
        <f t="shared" si="1395"/>
        <v/>
      </c>
      <c r="N880" s="268" t="str">
        <f t="shared" si="1396"/>
        <v/>
      </c>
      <c r="O880" s="268" t="str">
        <f t="shared" si="1397"/>
        <v/>
      </c>
      <c r="P880" s="268" t="str">
        <f t="shared" si="1398"/>
        <v/>
      </c>
      <c r="Q880" s="268" t="str">
        <f t="shared" si="1399"/>
        <v/>
      </c>
      <c r="R880" s="268" t="str">
        <f t="shared" si="1400"/>
        <v/>
      </c>
      <c r="S880" s="268" t="str">
        <f t="shared" si="1401"/>
        <v/>
      </c>
      <c r="T880" s="268" t="str">
        <f t="shared" si="1402"/>
        <v/>
      </c>
      <c r="U880" s="268" t="str">
        <f t="shared" si="1403"/>
        <v/>
      </c>
      <c r="V880" s="268" t="str">
        <f t="shared" si="1404"/>
        <v/>
      </c>
      <c r="W880" s="268" t="str">
        <f t="shared" si="1405"/>
        <v/>
      </c>
      <c r="X880" s="268" t="str">
        <f t="shared" si="1406"/>
        <v/>
      </c>
      <c r="Y880" s="268" t="str">
        <f t="shared" si="1407"/>
        <v/>
      </c>
      <c r="Z880" s="268" t="str">
        <f t="shared" si="1408"/>
        <v/>
      </c>
      <c r="AA880" s="268" t="str">
        <f t="shared" si="1409"/>
        <v/>
      </c>
      <c r="AB880" s="268" t="str">
        <f t="shared" si="1410"/>
        <v/>
      </c>
      <c r="AC880" s="268" t="str">
        <f t="shared" si="1411"/>
        <v/>
      </c>
      <c r="AD880" s="268" t="str">
        <f t="shared" si="1412"/>
        <v/>
      </c>
      <c r="AE880" s="268" t="str">
        <f t="shared" si="1413"/>
        <v/>
      </c>
      <c r="AF880" s="268" t="str">
        <f t="shared" si="1414"/>
        <v/>
      </c>
      <c r="AG880" s="268" t="str">
        <f t="shared" si="1415"/>
        <v/>
      </c>
      <c r="AH880" s="268" t="str">
        <f t="shared" si="1416"/>
        <v/>
      </c>
      <c r="AI880" s="268" t="str">
        <f t="shared" si="1417"/>
        <v/>
      </c>
      <c r="AJ880" s="268" t="str">
        <f t="shared" si="1418"/>
        <v/>
      </c>
      <c r="AK880" s="268" t="str">
        <f t="shared" si="1419"/>
        <v/>
      </c>
      <c r="AL880" s="268" t="str">
        <f t="shared" si="1420"/>
        <v/>
      </c>
      <c r="AM880" s="268" t="str">
        <f t="shared" si="1421"/>
        <v/>
      </c>
      <c r="AN880" s="268" t="str">
        <f t="shared" si="1422"/>
        <v/>
      </c>
      <c r="AO880" s="268" t="str">
        <f t="shared" si="1423"/>
        <v/>
      </c>
      <c r="AP880" s="268" t="str">
        <f t="shared" si="1424"/>
        <v/>
      </c>
      <c r="AQ880" s="268" t="str">
        <f t="shared" si="1425"/>
        <v/>
      </c>
      <c r="AR880" s="268">
        <f t="shared" si="1426"/>
        <v>720</v>
      </c>
      <c r="AS880" s="268" t="str">
        <f t="shared" si="1427"/>
        <v/>
      </c>
      <c r="AT880" s="268" t="str">
        <f t="shared" si="1428"/>
        <v/>
      </c>
      <c r="AU880" s="268" t="str">
        <f t="shared" si="1429"/>
        <v/>
      </c>
      <c r="AV880" s="268" t="str">
        <f t="shared" si="1430"/>
        <v/>
      </c>
      <c r="AW880" s="268" t="str">
        <f t="shared" si="1431"/>
        <v/>
      </c>
      <c r="AX880" s="268" t="str">
        <f t="shared" si="1432"/>
        <v/>
      </c>
      <c r="AY880" s="268" t="str">
        <f t="shared" si="1433"/>
        <v/>
      </c>
      <c r="AZ880" s="268" t="str">
        <f t="shared" si="1434"/>
        <v/>
      </c>
      <c r="BA880" s="268" t="str">
        <f t="shared" si="1435"/>
        <v/>
      </c>
      <c r="BB880" s="268" t="str">
        <f t="shared" si="1436"/>
        <v/>
      </c>
      <c r="BC880" s="268" t="str">
        <f t="shared" si="1437"/>
        <v/>
      </c>
      <c r="BD880" s="268" t="str">
        <f t="shared" si="1438"/>
        <v/>
      </c>
      <c r="BE880" s="268" t="str">
        <f t="shared" si="1439"/>
        <v/>
      </c>
      <c r="BF880" s="268" t="str">
        <f t="shared" si="1440"/>
        <v/>
      </c>
      <c r="BG880" s="268" t="str">
        <f t="shared" si="1441"/>
        <v/>
      </c>
      <c r="BH880" s="268" t="str">
        <f t="shared" si="1442"/>
        <v/>
      </c>
      <c r="BI880" s="268" t="str">
        <f t="shared" si="1443"/>
        <v/>
      </c>
      <c r="BJ880" s="268" t="str">
        <f t="shared" si="1444"/>
        <v/>
      </c>
      <c r="BK880" s="268" t="str">
        <f t="shared" si="1445"/>
        <v/>
      </c>
      <c r="BL880" s="268" t="str">
        <f t="shared" si="1446"/>
        <v/>
      </c>
      <c r="BM880" s="268" t="str">
        <f t="shared" si="1447"/>
        <v/>
      </c>
      <c r="BN880" s="268" t="str">
        <f t="shared" si="1385"/>
        <v/>
      </c>
      <c r="BO880" s="268" t="str">
        <f t="shared" si="1386"/>
        <v/>
      </c>
      <c r="BP880" s="268" t="str">
        <f t="shared" si="1387"/>
        <v/>
      </c>
      <c r="BQ880" s="268" t="str">
        <f t="shared" si="1388"/>
        <v/>
      </c>
      <c r="BR880" s="268" t="str">
        <f t="shared" si="1389"/>
        <v/>
      </c>
      <c r="BS880" s="268" t="str">
        <f t="shared" si="1390"/>
        <v/>
      </c>
      <c r="BT880" s="268" t="str">
        <f t="shared" si="1448"/>
        <v/>
      </c>
      <c r="BU880" s="268" t="str">
        <f t="shared" si="1449"/>
        <v/>
      </c>
      <c r="BV880" s="247">
        <v>1.65</v>
      </c>
      <c r="BW880" s="729">
        <f t="shared" si="1450"/>
        <v>1188</v>
      </c>
      <c r="BX880" s="730">
        <f t="shared" si="1451"/>
        <v>9207</v>
      </c>
      <c r="BY880" s="731" t="str">
        <f t="shared" si="1452"/>
        <v>SR</v>
      </c>
    </row>
    <row r="881" s="698" customFormat="1" customHeight="1" spans="1:77">
      <c r="A881" s="248">
        <v>46150</v>
      </c>
      <c r="B881" s="248">
        <v>46210</v>
      </c>
      <c r="C881" s="211"/>
      <c r="D881" s="211" t="s">
        <v>832</v>
      </c>
      <c r="E881" s="211" t="s">
        <v>94</v>
      </c>
      <c r="F881" s="343">
        <v>1200</v>
      </c>
      <c r="G881" s="242" t="s">
        <v>510</v>
      </c>
      <c r="H881" s="211" t="str">
        <f>IFERROR(VLOOKUP(E881,名称!A:E,4,0),"")</f>
        <v>三代</v>
      </c>
      <c r="I881" s="268" t="str">
        <f t="shared" si="1391"/>
        <v/>
      </c>
      <c r="J881" s="268" t="str">
        <f t="shared" si="1392"/>
        <v/>
      </c>
      <c r="K881" s="268" t="str">
        <f t="shared" si="1393"/>
        <v/>
      </c>
      <c r="L881" s="268" t="str">
        <f t="shared" si="1394"/>
        <v/>
      </c>
      <c r="M881" s="268" t="str">
        <f t="shared" si="1395"/>
        <v/>
      </c>
      <c r="N881" s="268" t="str">
        <f t="shared" si="1396"/>
        <v/>
      </c>
      <c r="O881" s="268" t="str">
        <f t="shared" si="1397"/>
        <v/>
      </c>
      <c r="P881" s="268" t="str">
        <f t="shared" si="1398"/>
        <v/>
      </c>
      <c r="Q881" s="268" t="str">
        <f t="shared" si="1399"/>
        <v/>
      </c>
      <c r="R881" s="268" t="str">
        <f t="shared" si="1400"/>
        <v/>
      </c>
      <c r="S881" s="268" t="str">
        <f t="shared" si="1401"/>
        <v/>
      </c>
      <c r="T881" s="268" t="str">
        <f t="shared" si="1402"/>
        <v/>
      </c>
      <c r="U881" s="268" t="str">
        <f t="shared" si="1403"/>
        <v/>
      </c>
      <c r="V881" s="268" t="str">
        <f t="shared" si="1404"/>
        <v/>
      </c>
      <c r="W881" s="268" t="str">
        <f t="shared" si="1405"/>
        <v/>
      </c>
      <c r="X881" s="268" t="str">
        <f t="shared" si="1406"/>
        <v/>
      </c>
      <c r="Y881" s="268" t="str">
        <f t="shared" si="1407"/>
        <v/>
      </c>
      <c r="Z881" s="268" t="str">
        <f t="shared" si="1408"/>
        <v/>
      </c>
      <c r="AA881" s="268" t="str">
        <f t="shared" si="1409"/>
        <v/>
      </c>
      <c r="AB881" s="268" t="str">
        <f t="shared" si="1410"/>
        <v/>
      </c>
      <c r="AC881" s="268" t="str">
        <f t="shared" si="1411"/>
        <v/>
      </c>
      <c r="AD881" s="268" t="str">
        <f t="shared" si="1412"/>
        <v/>
      </c>
      <c r="AE881" s="268" t="str">
        <f t="shared" si="1413"/>
        <v/>
      </c>
      <c r="AF881" s="268" t="str">
        <f t="shared" si="1414"/>
        <v/>
      </c>
      <c r="AG881" s="268" t="str">
        <f t="shared" si="1415"/>
        <v/>
      </c>
      <c r="AH881" s="268" t="str">
        <f t="shared" si="1416"/>
        <v/>
      </c>
      <c r="AI881" s="268" t="str">
        <f t="shared" si="1417"/>
        <v/>
      </c>
      <c r="AJ881" s="268" t="str">
        <f t="shared" si="1418"/>
        <v/>
      </c>
      <c r="AK881" s="268" t="str">
        <f t="shared" si="1419"/>
        <v/>
      </c>
      <c r="AL881" s="268" t="str">
        <f t="shared" si="1420"/>
        <v/>
      </c>
      <c r="AM881" s="268" t="str">
        <f t="shared" si="1421"/>
        <v/>
      </c>
      <c r="AN881" s="268" t="str">
        <f t="shared" si="1422"/>
        <v/>
      </c>
      <c r="AO881" s="268" t="str">
        <f t="shared" si="1423"/>
        <v/>
      </c>
      <c r="AP881" s="268" t="str">
        <f t="shared" si="1424"/>
        <v/>
      </c>
      <c r="AQ881" s="268" t="str">
        <f t="shared" si="1425"/>
        <v/>
      </c>
      <c r="AR881" s="268" t="str">
        <f t="shared" si="1426"/>
        <v/>
      </c>
      <c r="AS881" s="268" t="str">
        <f t="shared" si="1427"/>
        <v/>
      </c>
      <c r="AT881" s="268" t="str">
        <f t="shared" si="1428"/>
        <v/>
      </c>
      <c r="AU881" s="268" t="str">
        <f t="shared" si="1429"/>
        <v/>
      </c>
      <c r="AV881" s="268" t="str">
        <f t="shared" si="1430"/>
        <v/>
      </c>
      <c r="AW881" s="268" t="str">
        <f t="shared" si="1431"/>
        <v/>
      </c>
      <c r="AX881" s="268" t="str">
        <f t="shared" si="1432"/>
        <v/>
      </c>
      <c r="AY881" s="268">
        <f t="shared" si="1433"/>
        <v>1200</v>
      </c>
      <c r="AZ881" s="268" t="str">
        <f t="shared" si="1434"/>
        <v/>
      </c>
      <c r="BA881" s="268" t="str">
        <f t="shared" si="1435"/>
        <v/>
      </c>
      <c r="BB881" s="268" t="str">
        <f t="shared" si="1436"/>
        <v/>
      </c>
      <c r="BC881" s="268" t="str">
        <f t="shared" si="1437"/>
        <v/>
      </c>
      <c r="BD881" s="268" t="str">
        <f t="shared" si="1438"/>
        <v/>
      </c>
      <c r="BE881" s="268" t="str">
        <f t="shared" si="1439"/>
        <v/>
      </c>
      <c r="BF881" s="268" t="str">
        <f t="shared" si="1440"/>
        <v/>
      </c>
      <c r="BG881" s="268" t="str">
        <f t="shared" si="1441"/>
        <v/>
      </c>
      <c r="BH881" s="268" t="str">
        <f t="shared" si="1442"/>
        <v/>
      </c>
      <c r="BI881" s="268" t="str">
        <f t="shared" si="1443"/>
        <v/>
      </c>
      <c r="BJ881" s="268" t="str">
        <f t="shared" si="1444"/>
        <v/>
      </c>
      <c r="BK881" s="268" t="str">
        <f t="shared" si="1445"/>
        <v/>
      </c>
      <c r="BL881" s="268" t="str">
        <f t="shared" si="1446"/>
        <v/>
      </c>
      <c r="BM881" s="268" t="str">
        <f t="shared" si="1447"/>
        <v/>
      </c>
      <c r="BN881" s="268" t="str">
        <f t="shared" si="1385"/>
        <v/>
      </c>
      <c r="BO881" s="268" t="str">
        <f t="shared" si="1386"/>
        <v/>
      </c>
      <c r="BP881" s="268" t="str">
        <f t="shared" si="1387"/>
        <v/>
      </c>
      <c r="BQ881" s="268" t="str">
        <f t="shared" si="1388"/>
        <v/>
      </c>
      <c r="BR881" s="268" t="str">
        <f t="shared" si="1389"/>
        <v/>
      </c>
      <c r="BS881" s="268" t="str">
        <f t="shared" si="1390"/>
        <v/>
      </c>
      <c r="BT881" s="268" t="str">
        <f t="shared" si="1448"/>
        <v/>
      </c>
      <c r="BU881" s="268" t="str">
        <f t="shared" si="1449"/>
        <v/>
      </c>
      <c r="BV881" s="247">
        <v>0.66</v>
      </c>
      <c r="BW881" s="729">
        <f t="shared" si="1450"/>
        <v>792</v>
      </c>
      <c r="BX881" s="730">
        <f t="shared" si="1451"/>
        <v>6138</v>
      </c>
      <c r="BY881" s="731" t="str">
        <f t="shared" si="1452"/>
        <v>SR</v>
      </c>
    </row>
    <row r="882" s="698" customFormat="1" customHeight="1" spans="1:77">
      <c r="A882" s="248">
        <v>46150</v>
      </c>
      <c r="B882" s="248">
        <v>46210</v>
      </c>
      <c r="C882" s="211"/>
      <c r="D882" s="211" t="s">
        <v>832</v>
      </c>
      <c r="E882" s="211" t="s">
        <v>52</v>
      </c>
      <c r="F882" s="343">
        <v>1080</v>
      </c>
      <c r="G882" s="242" t="s">
        <v>510</v>
      </c>
      <c r="H882" s="211" t="str">
        <f>IFERROR(VLOOKUP(E882,名称!A:E,4,0),"")</f>
        <v>蛋糕</v>
      </c>
      <c r="I882" s="268" t="str">
        <f t="shared" si="1391"/>
        <v/>
      </c>
      <c r="J882" s="268" t="str">
        <f t="shared" si="1392"/>
        <v/>
      </c>
      <c r="K882" s="268" t="str">
        <f t="shared" si="1393"/>
        <v/>
      </c>
      <c r="L882" s="268" t="str">
        <f t="shared" si="1394"/>
        <v/>
      </c>
      <c r="M882" s="268" t="str">
        <f t="shared" si="1395"/>
        <v/>
      </c>
      <c r="N882" s="268" t="str">
        <f t="shared" si="1396"/>
        <v/>
      </c>
      <c r="O882" s="268" t="str">
        <f t="shared" si="1397"/>
        <v/>
      </c>
      <c r="P882" s="268" t="str">
        <f t="shared" si="1398"/>
        <v/>
      </c>
      <c r="Q882" s="268" t="str">
        <f t="shared" si="1399"/>
        <v/>
      </c>
      <c r="R882" s="268" t="str">
        <f t="shared" si="1400"/>
        <v/>
      </c>
      <c r="S882" s="268" t="str">
        <f t="shared" si="1401"/>
        <v/>
      </c>
      <c r="T882" s="268" t="str">
        <f t="shared" si="1402"/>
        <v/>
      </c>
      <c r="U882" s="268" t="str">
        <f t="shared" si="1403"/>
        <v/>
      </c>
      <c r="V882" s="268" t="str">
        <f t="shared" si="1404"/>
        <v/>
      </c>
      <c r="W882" s="268" t="str">
        <f t="shared" si="1405"/>
        <v/>
      </c>
      <c r="X882" s="268" t="str">
        <f t="shared" si="1406"/>
        <v/>
      </c>
      <c r="Y882" s="268" t="str">
        <f t="shared" si="1407"/>
        <v/>
      </c>
      <c r="Z882" s="268" t="str">
        <f t="shared" si="1408"/>
        <v/>
      </c>
      <c r="AA882" s="268" t="str">
        <f t="shared" si="1409"/>
        <v/>
      </c>
      <c r="AB882" s="268" t="str">
        <f t="shared" si="1410"/>
        <v/>
      </c>
      <c r="AC882" s="268" t="str">
        <f t="shared" si="1411"/>
        <v/>
      </c>
      <c r="AD882" s="268" t="str">
        <f t="shared" si="1412"/>
        <v/>
      </c>
      <c r="AE882" s="268" t="str">
        <f t="shared" si="1413"/>
        <v/>
      </c>
      <c r="AF882" s="268" t="str">
        <f t="shared" si="1414"/>
        <v/>
      </c>
      <c r="AG882" s="268" t="str">
        <f t="shared" si="1415"/>
        <v/>
      </c>
      <c r="AH882" s="268" t="str">
        <f t="shared" si="1416"/>
        <v/>
      </c>
      <c r="AI882" s="268" t="str">
        <f t="shared" si="1417"/>
        <v/>
      </c>
      <c r="AJ882" s="268" t="str">
        <f t="shared" si="1418"/>
        <v/>
      </c>
      <c r="AK882" s="268" t="str">
        <f t="shared" si="1419"/>
        <v/>
      </c>
      <c r="AL882" s="268" t="str">
        <f t="shared" si="1420"/>
        <v/>
      </c>
      <c r="AM882" s="268" t="str">
        <f t="shared" si="1421"/>
        <v/>
      </c>
      <c r="AN882" s="268" t="str">
        <f t="shared" si="1422"/>
        <v/>
      </c>
      <c r="AO882" s="268" t="str">
        <f t="shared" si="1423"/>
        <v/>
      </c>
      <c r="AP882" s="268" t="str">
        <f t="shared" si="1424"/>
        <v/>
      </c>
      <c r="AQ882" s="268" t="str">
        <f t="shared" si="1425"/>
        <v/>
      </c>
      <c r="AR882" s="268" t="str">
        <f t="shared" si="1426"/>
        <v/>
      </c>
      <c r="AS882" s="268" t="str">
        <f t="shared" si="1427"/>
        <v/>
      </c>
      <c r="AT882" s="268" t="str">
        <f t="shared" si="1428"/>
        <v/>
      </c>
      <c r="AU882" s="268" t="str">
        <f t="shared" si="1429"/>
        <v/>
      </c>
      <c r="AV882" s="268" t="str">
        <f t="shared" si="1430"/>
        <v/>
      </c>
      <c r="AW882" s="268" t="str">
        <f t="shared" si="1431"/>
        <v/>
      </c>
      <c r="AX882" s="268" t="str">
        <f t="shared" si="1432"/>
        <v/>
      </c>
      <c r="AY882" s="268" t="str">
        <f t="shared" si="1433"/>
        <v/>
      </c>
      <c r="AZ882" s="268" t="str">
        <f t="shared" si="1434"/>
        <v/>
      </c>
      <c r="BA882" s="268" t="str">
        <f t="shared" si="1435"/>
        <v/>
      </c>
      <c r="BB882" s="268" t="str">
        <f t="shared" si="1436"/>
        <v/>
      </c>
      <c r="BC882" s="268" t="str">
        <f t="shared" si="1437"/>
        <v/>
      </c>
      <c r="BD882" s="268" t="str">
        <f t="shared" si="1438"/>
        <v/>
      </c>
      <c r="BE882" s="268" t="str">
        <f t="shared" si="1439"/>
        <v/>
      </c>
      <c r="BF882" s="268" t="str">
        <f t="shared" si="1440"/>
        <v/>
      </c>
      <c r="BG882" s="268" t="str">
        <f t="shared" si="1441"/>
        <v/>
      </c>
      <c r="BH882" s="268">
        <f t="shared" si="1442"/>
        <v>1080</v>
      </c>
      <c r="BI882" s="268" t="str">
        <f t="shared" si="1443"/>
        <v/>
      </c>
      <c r="BJ882" s="268" t="str">
        <f t="shared" si="1444"/>
        <v/>
      </c>
      <c r="BK882" s="268" t="str">
        <f t="shared" si="1445"/>
        <v/>
      </c>
      <c r="BL882" s="268" t="str">
        <f t="shared" si="1446"/>
        <v/>
      </c>
      <c r="BM882" s="268" t="str">
        <f t="shared" si="1447"/>
        <v/>
      </c>
      <c r="BN882" s="268" t="str">
        <f t="shared" si="1385"/>
        <v/>
      </c>
      <c r="BO882" s="268" t="str">
        <f t="shared" si="1386"/>
        <v/>
      </c>
      <c r="BP882" s="268" t="str">
        <f t="shared" si="1387"/>
        <v/>
      </c>
      <c r="BQ882" s="268" t="str">
        <f t="shared" si="1388"/>
        <v/>
      </c>
      <c r="BR882" s="268" t="str">
        <f t="shared" si="1389"/>
        <v/>
      </c>
      <c r="BS882" s="268" t="str">
        <f t="shared" si="1390"/>
        <v/>
      </c>
      <c r="BT882" s="268" t="str">
        <f t="shared" si="1448"/>
        <v/>
      </c>
      <c r="BU882" s="268" t="str">
        <f t="shared" si="1449"/>
        <v/>
      </c>
      <c r="BV882" s="247">
        <v>2.93</v>
      </c>
      <c r="BW882" s="729">
        <f t="shared" si="1450"/>
        <v>3164.4</v>
      </c>
      <c r="BX882" s="730">
        <f t="shared" si="1451"/>
        <v>24524.1</v>
      </c>
      <c r="BY882" s="731" t="str">
        <f t="shared" si="1452"/>
        <v>JC</v>
      </c>
    </row>
    <row r="883" s="698" customFormat="1" customHeight="1" spans="1:77">
      <c r="A883" s="248">
        <v>46150</v>
      </c>
      <c r="B883" s="248">
        <v>46210</v>
      </c>
      <c r="C883" s="211"/>
      <c r="D883" s="211" t="s">
        <v>832</v>
      </c>
      <c r="E883" s="211" t="s">
        <v>50</v>
      </c>
      <c r="F883" s="343">
        <v>2700</v>
      </c>
      <c r="G883" s="242" t="s">
        <v>510</v>
      </c>
      <c r="H883" s="211" t="str">
        <f>IFERROR(VLOOKUP(E883,名称!A:E,4,0),"")</f>
        <v>蛋糕</v>
      </c>
      <c r="I883" s="268" t="str">
        <f t="shared" si="1391"/>
        <v/>
      </c>
      <c r="J883" s="268" t="str">
        <f t="shared" si="1392"/>
        <v/>
      </c>
      <c r="K883" s="268" t="str">
        <f t="shared" si="1393"/>
        <v/>
      </c>
      <c r="L883" s="268" t="str">
        <f t="shared" si="1394"/>
        <v/>
      </c>
      <c r="M883" s="268" t="str">
        <f t="shared" si="1395"/>
        <v/>
      </c>
      <c r="N883" s="268" t="str">
        <f t="shared" si="1396"/>
        <v/>
      </c>
      <c r="O883" s="268" t="str">
        <f t="shared" si="1397"/>
        <v/>
      </c>
      <c r="P883" s="268" t="str">
        <f t="shared" si="1398"/>
        <v/>
      </c>
      <c r="Q883" s="268" t="str">
        <f t="shared" si="1399"/>
        <v/>
      </c>
      <c r="R883" s="268" t="str">
        <f t="shared" si="1400"/>
        <v/>
      </c>
      <c r="S883" s="268" t="str">
        <f t="shared" si="1401"/>
        <v/>
      </c>
      <c r="T883" s="268" t="str">
        <f t="shared" si="1402"/>
        <v/>
      </c>
      <c r="U883" s="268" t="str">
        <f t="shared" si="1403"/>
        <v/>
      </c>
      <c r="V883" s="268" t="str">
        <f t="shared" si="1404"/>
        <v/>
      </c>
      <c r="W883" s="268" t="str">
        <f t="shared" si="1405"/>
        <v/>
      </c>
      <c r="X883" s="268" t="str">
        <f t="shared" si="1406"/>
        <v/>
      </c>
      <c r="Y883" s="268" t="str">
        <f t="shared" si="1407"/>
        <v/>
      </c>
      <c r="Z883" s="268" t="str">
        <f t="shared" si="1408"/>
        <v/>
      </c>
      <c r="AA883" s="268" t="str">
        <f t="shared" si="1409"/>
        <v/>
      </c>
      <c r="AB883" s="268" t="str">
        <f t="shared" si="1410"/>
        <v/>
      </c>
      <c r="AC883" s="268" t="str">
        <f t="shared" si="1411"/>
        <v/>
      </c>
      <c r="AD883" s="268" t="str">
        <f t="shared" si="1412"/>
        <v/>
      </c>
      <c r="AE883" s="268" t="str">
        <f t="shared" si="1413"/>
        <v/>
      </c>
      <c r="AF883" s="268" t="str">
        <f t="shared" si="1414"/>
        <v/>
      </c>
      <c r="AG883" s="268" t="str">
        <f t="shared" si="1415"/>
        <v/>
      </c>
      <c r="AH883" s="268" t="str">
        <f t="shared" si="1416"/>
        <v/>
      </c>
      <c r="AI883" s="268" t="str">
        <f t="shared" si="1417"/>
        <v/>
      </c>
      <c r="AJ883" s="268" t="str">
        <f t="shared" si="1418"/>
        <v/>
      </c>
      <c r="AK883" s="268" t="str">
        <f t="shared" si="1419"/>
        <v/>
      </c>
      <c r="AL883" s="268" t="str">
        <f t="shared" si="1420"/>
        <v/>
      </c>
      <c r="AM883" s="268" t="str">
        <f t="shared" si="1421"/>
        <v/>
      </c>
      <c r="AN883" s="268" t="str">
        <f t="shared" si="1422"/>
        <v/>
      </c>
      <c r="AO883" s="268" t="str">
        <f t="shared" si="1423"/>
        <v/>
      </c>
      <c r="AP883" s="268" t="str">
        <f t="shared" si="1424"/>
        <v/>
      </c>
      <c r="AQ883" s="268" t="str">
        <f t="shared" si="1425"/>
        <v/>
      </c>
      <c r="AR883" s="268" t="str">
        <f t="shared" si="1426"/>
        <v/>
      </c>
      <c r="AS883" s="268" t="str">
        <f t="shared" si="1427"/>
        <v/>
      </c>
      <c r="AT883" s="268" t="str">
        <f t="shared" si="1428"/>
        <v/>
      </c>
      <c r="AU883" s="268" t="str">
        <f t="shared" si="1429"/>
        <v/>
      </c>
      <c r="AV883" s="268" t="str">
        <f t="shared" si="1430"/>
        <v/>
      </c>
      <c r="AW883" s="268" t="str">
        <f t="shared" si="1431"/>
        <v/>
      </c>
      <c r="AX883" s="268" t="str">
        <f t="shared" si="1432"/>
        <v/>
      </c>
      <c r="AY883" s="268" t="str">
        <f t="shared" si="1433"/>
        <v/>
      </c>
      <c r="AZ883" s="268" t="str">
        <f t="shared" si="1434"/>
        <v/>
      </c>
      <c r="BA883" s="268" t="str">
        <f t="shared" si="1435"/>
        <v/>
      </c>
      <c r="BB883" s="268" t="str">
        <f t="shared" si="1436"/>
        <v/>
      </c>
      <c r="BC883" s="268" t="str">
        <f t="shared" si="1437"/>
        <v/>
      </c>
      <c r="BD883" s="268" t="str">
        <f t="shared" si="1438"/>
        <v/>
      </c>
      <c r="BE883" s="268" t="str">
        <f t="shared" si="1439"/>
        <v/>
      </c>
      <c r="BF883" s="268" t="str">
        <f t="shared" si="1440"/>
        <v/>
      </c>
      <c r="BG883" s="268">
        <f t="shared" si="1441"/>
        <v>2700</v>
      </c>
      <c r="BH883" s="268" t="str">
        <f t="shared" si="1442"/>
        <v/>
      </c>
      <c r="BI883" s="268" t="str">
        <f t="shared" si="1443"/>
        <v/>
      </c>
      <c r="BJ883" s="268" t="str">
        <f t="shared" si="1444"/>
        <v/>
      </c>
      <c r="BK883" s="268" t="str">
        <f t="shared" si="1445"/>
        <v/>
      </c>
      <c r="BL883" s="268" t="str">
        <f t="shared" si="1446"/>
        <v/>
      </c>
      <c r="BM883" s="268" t="str">
        <f t="shared" si="1447"/>
        <v/>
      </c>
      <c r="BN883" s="268" t="str">
        <f t="shared" si="1385"/>
        <v/>
      </c>
      <c r="BO883" s="268" t="str">
        <f t="shared" si="1386"/>
        <v/>
      </c>
      <c r="BP883" s="268" t="str">
        <f t="shared" si="1387"/>
        <v/>
      </c>
      <c r="BQ883" s="268" t="str">
        <f t="shared" si="1388"/>
        <v/>
      </c>
      <c r="BR883" s="268" t="str">
        <f t="shared" si="1389"/>
        <v/>
      </c>
      <c r="BS883" s="268" t="str">
        <f t="shared" si="1390"/>
        <v/>
      </c>
      <c r="BT883" s="268" t="str">
        <f t="shared" si="1448"/>
        <v/>
      </c>
      <c r="BU883" s="268" t="str">
        <f t="shared" si="1449"/>
        <v/>
      </c>
      <c r="BV883" s="247">
        <v>1.15</v>
      </c>
      <c r="BW883" s="729">
        <f t="shared" si="1450"/>
        <v>3105</v>
      </c>
      <c r="BX883" s="730">
        <f t="shared" si="1451"/>
        <v>24063.75</v>
      </c>
      <c r="BY883" s="731" t="str">
        <f t="shared" si="1452"/>
        <v>JC</v>
      </c>
    </row>
    <row r="884" s="698" customFormat="1" customHeight="1" spans="1:77">
      <c r="A884" s="248">
        <v>46150</v>
      </c>
      <c r="B884" s="248">
        <v>46203</v>
      </c>
      <c r="C884" s="242" t="s">
        <v>833</v>
      </c>
      <c r="D884" s="242" t="s">
        <v>834</v>
      </c>
      <c r="E884" s="242" t="s">
        <v>121</v>
      </c>
      <c r="F884" s="231">
        <v>780</v>
      </c>
      <c r="G884" s="242" t="s">
        <v>510</v>
      </c>
      <c r="H884" s="211" t="str">
        <f>IFERROR(VLOOKUP(E884,名称!A:E,4,0),"")</f>
        <v>三代</v>
      </c>
      <c r="I884" s="268" t="str">
        <f t="shared" si="1391"/>
        <v/>
      </c>
      <c r="J884" s="268" t="str">
        <f t="shared" si="1392"/>
        <v/>
      </c>
      <c r="K884" s="268" t="str">
        <f t="shared" si="1393"/>
        <v/>
      </c>
      <c r="L884" s="268" t="str">
        <f t="shared" si="1394"/>
        <v/>
      </c>
      <c r="M884" s="268" t="str">
        <f t="shared" si="1395"/>
        <v/>
      </c>
      <c r="N884" s="268" t="str">
        <f t="shared" si="1396"/>
        <v/>
      </c>
      <c r="O884" s="268" t="str">
        <f t="shared" si="1397"/>
        <v/>
      </c>
      <c r="P884" s="268" t="str">
        <f t="shared" si="1398"/>
        <v/>
      </c>
      <c r="Q884" s="268" t="str">
        <f t="shared" si="1399"/>
        <v/>
      </c>
      <c r="R884" s="268" t="str">
        <f t="shared" si="1400"/>
        <v/>
      </c>
      <c r="S884" s="268" t="str">
        <f t="shared" si="1401"/>
        <v/>
      </c>
      <c r="T884" s="268" t="str">
        <f t="shared" si="1402"/>
        <v/>
      </c>
      <c r="U884" s="268" t="str">
        <f t="shared" si="1403"/>
        <v/>
      </c>
      <c r="V884" s="268" t="str">
        <f t="shared" si="1404"/>
        <v/>
      </c>
      <c r="W884" s="268" t="str">
        <f t="shared" si="1405"/>
        <v/>
      </c>
      <c r="X884" s="268" t="str">
        <f t="shared" si="1406"/>
        <v/>
      </c>
      <c r="Y884" s="268" t="str">
        <f t="shared" si="1407"/>
        <v/>
      </c>
      <c r="Z884" s="268" t="str">
        <f t="shared" si="1408"/>
        <v/>
      </c>
      <c r="AA884" s="268" t="str">
        <f t="shared" si="1409"/>
        <v/>
      </c>
      <c r="AB884" s="268" t="str">
        <f t="shared" si="1410"/>
        <v/>
      </c>
      <c r="AC884" s="268">
        <f t="shared" si="1411"/>
        <v>780</v>
      </c>
      <c r="AD884" s="268" t="str">
        <f t="shared" si="1412"/>
        <v/>
      </c>
      <c r="AE884" s="268" t="str">
        <f t="shared" si="1413"/>
        <v/>
      </c>
      <c r="AF884" s="268" t="str">
        <f t="shared" si="1414"/>
        <v/>
      </c>
      <c r="AG884" s="268" t="str">
        <f t="shared" si="1415"/>
        <v/>
      </c>
      <c r="AH884" s="268" t="str">
        <f t="shared" si="1416"/>
        <v/>
      </c>
      <c r="AI884" s="268" t="str">
        <f t="shared" si="1417"/>
        <v/>
      </c>
      <c r="AJ884" s="268" t="str">
        <f t="shared" si="1418"/>
        <v/>
      </c>
      <c r="AK884" s="268" t="str">
        <f t="shared" si="1419"/>
        <v/>
      </c>
      <c r="AL884" s="268" t="str">
        <f t="shared" si="1420"/>
        <v/>
      </c>
      <c r="AM884" s="268" t="str">
        <f t="shared" si="1421"/>
        <v/>
      </c>
      <c r="AN884" s="268" t="str">
        <f t="shared" si="1422"/>
        <v/>
      </c>
      <c r="AO884" s="268" t="str">
        <f t="shared" si="1423"/>
        <v/>
      </c>
      <c r="AP884" s="268" t="str">
        <f t="shared" si="1424"/>
        <v/>
      </c>
      <c r="AQ884" s="268" t="str">
        <f t="shared" si="1425"/>
        <v/>
      </c>
      <c r="AR884" s="268" t="str">
        <f t="shared" si="1426"/>
        <v/>
      </c>
      <c r="AS884" s="268" t="str">
        <f t="shared" si="1427"/>
        <v/>
      </c>
      <c r="AT884" s="268" t="str">
        <f t="shared" si="1428"/>
        <v/>
      </c>
      <c r="AU884" s="268" t="str">
        <f t="shared" si="1429"/>
        <v/>
      </c>
      <c r="AV884" s="268" t="str">
        <f t="shared" si="1430"/>
        <v/>
      </c>
      <c r="AW884" s="268" t="str">
        <f t="shared" si="1431"/>
        <v/>
      </c>
      <c r="AX884" s="268" t="str">
        <f t="shared" si="1432"/>
        <v/>
      </c>
      <c r="AY884" s="268" t="str">
        <f t="shared" si="1433"/>
        <v/>
      </c>
      <c r="AZ884" s="268" t="str">
        <f t="shared" si="1434"/>
        <v/>
      </c>
      <c r="BA884" s="268" t="str">
        <f t="shared" si="1435"/>
        <v/>
      </c>
      <c r="BB884" s="268" t="str">
        <f t="shared" si="1436"/>
        <v/>
      </c>
      <c r="BC884" s="268" t="str">
        <f t="shared" si="1437"/>
        <v/>
      </c>
      <c r="BD884" s="268" t="str">
        <f t="shared" si="1438"/>
        <v/>
      </c>
      <c r="BE884" s="268" t="str">
        <f t="shared" si="1439"/>
        <v/>
      </c>
      <c r="BF884" s="268" t="str">
        <f t="shared" si="1440"/>
        <v/>
      </c>
      <c r="BG884" s="268" t="str">
        <f t="shared" si="1441"/>
        <v/>
      </c>
      <c r="BH884" s="268" t="str">
        <f t="shared" si="1442"/>
        <v/>
      </c>
      <c r="BI884" s="268" t="str">
        <f t="shared" si="1443"/>
        <v/>
      </c>
      <c r="BJ884" s="268" t="str">
        <f t="shared" si="1444"/>
        <v/>
      </c>
      <c r="BK884" s="268" t="str">
        <f t="shared" si="1445"/>
        <v/>
      </c>
      <c r="BL884" s="268" t="str">
        <f t="shared" si="1446"/>
        <v/>
      </c>
      <c r="BM884" s="268" t="str">
        <f t="shared" si="1447"/>
        <v/>
      </c>
      <c r="BN884" s="268" t="str">
        <f t="shared" si="1385"/>
        <v/>
      </c>
      <c r="BO884" s="268" t="str">
        <f t="shared" si="1386"/>
        <v/>
      </c>
      <c r="BP884" s="268" t="str">
        <f t="shared" si="1387"/>
        <v/>
      </c>
      <c r="BQ884" s="268" t="str">
        <f t="shared" si="1388"/>
        <v/>
      </c>
      <c r="BR884" s="268" t="str">
        <f t="shared" si="1389"/>
        <v/>
      </c>
      <c r="BS884" s="268" t="str">
        <f t="shared" si="1390"/>
        <v/>
      </c>
      <c r="BT884" s="268" t="str">
        <f t="shared" si="1448"/>
        <v/>
      </c>
      <c r="BU884" s="268" t="str">
        <f t="shared" si="1449"/>
        <v/>
      </c>
      <c r="BV884" s="247">
        <v>0.78</v>
      </c>
      <c r="BW884" s="729">
        <f t="shared" si="1450"/>
        <v>608.4</v>
      </c>
      <c r="BX884" s="730">
        <f t="shared" si="1451"/>
        <v>4715.1</v>
      </c>
      <c r="BY884" s="731" t="str">
        <f t="shared" si="1452"/>
        <v>SR</v>
      </c>
    </row>
    <row r="885" s="698" customFormat="1" customHeight="1" spans="1:77">
      <c r="A885" s="248">
        <v>46150</v>
      </c>
      <c r="B885" s="248">
        <v>46203</v>
      </c>
      <c r="C885" s="242" t="s">
        <v>833</v>
      </c>
      <c r="D885" s="242" t="s">
        <v>834</v>
      </c>
      <c r="E885" s="242" t="s">
        <v>55</v>
      </c>
      <c r="F885" s="231">
        <v>720</v>
      </c>
      <c r="G885" s="242" t="s">
        <v>510</v>
      </c>
      <c r="H885" s="211" t="str">
        <f>IFERROR(VLOOKUP(E885,名称!A:E,4,0),"")</f>
        <v>三代</v>
      </c>
      <c r="I885" s="268" t="str">
        <f t="shared" si="1391"/>
        <v/>
      </c>
      <c r="J885" s="268" t="str">
        <f t="shared" si="1392"/>
        <v/>
      </c>
      <c r="K885" s="268" t="str">
        <f t="shared" si="1393"/>
        <v/>
      </c>
      <c r="L885" s="268" t="str">
        <f t="shared" si="1394"/>
        <v/>
      </c>
      <c r="M885" s="268" t="str">
        <f t="shared" si="1395"/>
        <v/>
      </c>
      <c r="N885" s="268" t="str">
        <f t="shared" si="1396"/>
        <v/>
      </c>
      <c r="O885" s="268" t="str">
        <f t="shared" si="1397"/>
        <v/>
      </c>
      <c r="P885" s="268" t="str">
        <f t="shared" si="1398"/>
        <v/>
      </c>
      <c r="Q885" s="268" t="str">
        <f t="shared" si="1399"/>
        <v/>
      </c>
      <c r="R885" s="268" t="str">
        <f t="shared" si="1400"/>
        <v/>
      </c>
      <c r="S885" s="268" t="str">
        <f t="shared" si="1401"/>
        <v/>
      </c>
      <c r="T885" s="268" t="str">
        <f t="shared" si="1402"/>
        <v/>
      </c>
      <c r="U885" s="268" t="str">
        <f t="shared" si="1403"/>
        <v/>
      </c>
      <c r="V885" s="268" t="str">
        <f t="shared" si="1404"/>
        <v/>
      </c>
      <c r="W885" s="268" t="str">
        <f t="shared" si="1405"/>
        <v/>
      </c>
      <c r="X885" s="268" t="str">
        <f t="shared" si="1406"/>
        <v/>
      </c>
      <c r="Y885" s="268" t="str">
        <f t="shared" si="1407"/>
        <v/>
      </c>
      <c r="Z885" s="268" t="str">
        <f t="shared" si="1408"/>
        <v/>
      </c>
      <c r="AA885" s="268" t="str">
        <f t="shared" si="1409"/>
        <v/>
      </c>
      <c r="AB885" s="268" t="str">
        <f t="shared" si="1410"/>
        <v/>
      </c>
      <c r="AC885" s="268">
        <f t="shared" si="1411"/>
        <v>720</v>
      </c>
      <c r="AD885" s="268" t="str">
        <f t="shared" si="1412"/>
        <v/>
      </c>
      <c r="AE885" s="268" t="str">
        <f t="shared" si="1413"/>
        <v/>
      </c>
      <c r="AF885" s="268" t="str">
        <f t="shared" si="1414"/>
        <v/>
      </c>
      <c r="AG885" s="268" t="str">
        <f t="shared" si="1415"/>
        <v/>
      </c>
      <c r="AH885" s="268" t="str">
        <f t="shared" si="1416"/>
        <v/>
      </c>
      <c r="AI885" s="268" t="str">
        <f t="shared" si="1417"/>
        <v/>
      </c>
      <c r="AJ885" s="268" t="str">
        <f t="shared" si="1418"/>
        <v/>
      </c>
      <c r="AK885" s="268" t="str">
        <f t="shared" si="1419"/>
        <v/>
      </c>
      <c r="AL885" s="268" t="str">
        <f t="shared" si="1420"/>
        <v/>
      </c>
      <c r="AM885" s="268" t="str">
        <f t="shared" si="1421"/>
        <v/>
      </c>
      <c r="AN885" s="268" t="str">
        <f t="shared" si="1422"/>
        <v/>
      </c>
      <c r="AO885" s="268" t="str">
        <f t="shared" si="1423"/>
        <v/>
      </c>
      <c r="AP885" s="268" t="str">
        <f t="shared" si="1424"/>
        <v/>
      </c>
      <c r="AQ885" s="268" t="str">
        <f t="shared" si="1425"/>
        <v/>
      </c>
      <c r="AR885" s="268" t="str">
        <f t="shared" si="1426"/>
        <v/>
      </c>
      <c r="AS885" s="268" t="str">
        <f t="shared" si="1427"/>
        <v/>
      </c>
      <c r="AT885" s="268" t="str">
        <f t="shared" si="1428"/>
        <v/>
      </c>
      <c r="AU885" s="268" t="str">
        <f t="shared" si="1429"/>
        <v/>
      </c>
      <c r="AV885" s="268" t="str">
        <f t="shared" si="1430"/>
        <v/>
      </c>
      <c r="AW885" s="268" t="str">
        <f t="shared" si="1431"/>
        <v/>
      </c>
      <c r="AX885" s="268" t="str">
        <f t="shared" si="1432"/>
        <v/>
      </c>
      <c r="AY885" s="268" t="str">
        <f t="shared" si="1433"/>
        <v/>
      </c>
      <c r="AZ885" s="268" t="str">
        <f t="shared" si="1434"/>
        <v/>
      </c>
      <c r="BA885" s="268" t="str">
        <f t="shared" si="1435"/>
        <v/>
      </c>
      <c r="BB885" s="268" t="str">
        <f t="shared" si="1436"/>
        <v/>
      </c>
      <c r="BC885" s="268" t="str">
        <f t="shared" si="1437"/>
        <v/>
      </c>
      <c r="BD885" s="268" t="str">
        <f t="shared" si="1438"/>
        <v/>
      </c>
      <c r="BE885" s="268" t="str">
        <f t="shared" si="1439"/>
        <v/>
      </c>
      <c r="BF885" s="268" t="str">
        <f t="shared" si="1440"/>
        <v/>
      </c>
      <c r="BG885" s="268" t="str">
        <f t="shared" si="1441"/>
        <v/>
      </c>
      <c r="BH885" s="268" t="str">
        <f t="shared" si="1442"/>
        <v/>
      </c>
      <c r="BI885" s="268" t="str">
        <f t="shared" si="1443"/>
        <v/>
      </c>
      <c r="BJ885" s="268" t="str">
        <f t="shared" si="1444"/>
        <v/>
      </c>
      <c r="BK885" s="268" t="str">
        <f t="shared" si="1445"/>
        <v/>
      </c>
      <c r="BL885" s="268" t="str">
        <f t="shared" si="1446"/>
        <v/>
      </c>
      <c r="BM885" s="268" t="str">
        <f t="shared" si="1447"/>
        <v/>
      </c>
      <c r="BN885" s="268" t="str">
        <f t="shared" si="1385"/>
        <v/>
      </c>
      <c r="BO885" s="268" t="str">
        <f t="shared" si="1386"/>
        <v/>
      </c>
      <c r="BP885" s="268" t="str">
        <f t="shared" si="1387"/>
        <v/>
      </c>
      <c r="BQ885" s="268" t="str">
        <f t="shared" si="1388"/>
        <v/>
      </c>
      <c r="BR885" s="268" t="str">
        <f t="shared" si="1389"/>
        <v/>
      </c>
      <c r="BS885" s="268" t="str">
        <f t="shared" si="1390"/>
        <v/>
      </c>
      <c r="BT885" s="268" t="str">
        <f t="shared" si="1448"/>
        <v/>
      </c>
      <c r="BU885" s="268" t="str">
        <f t="shared" si="1449"/>
        <v/>
      </c>
      <c r="BV885" s="247">
        <v>0.86</v>
      </c>
      <c r="BW885" s="729">
        <f t="shared" si="1450"/>
        <v>619.2</v>
      </c>
      <c r="BX885" s="730">
        <f t="shared" si="1451"/>
        <v>4798.8</v>
      </c>
      <c r="BY885" s="731" t="str">
        <f t="shared" si="1452"/>
        <v>SR</v>
      </c>
    </row>
    <row r="886" s="698" customFormat="1" customHeight="1" spans="1:77">
      <c r="A886" s="248">
        <v>46150</v>
      </c>
      <c r="B886" s="248">
        <v>46203</v>
      </c>
      <c r="C886" s="242" t="s">
        <v>833</v>
      </c>
      <c r="D886" s="242" t="s">
        <v>834</v>
      </c>
      <c r="E886" s="242" t="s">
        <v>59</v>
      </c>
      <c r="F886" s="231">
        <v>1920</v>
      </c>
      <c r="G886" s="242" t="s">
        <v>510</v>
      </c>
      <c r="H886" s="211" t="str">
        <f>IFERROR(VLOOKUP(E886,名称!A:E,4,0),"")</f>
        <v>三代</v>
      </c>
      <c r="I886" s="268" t="str">
        <f t="shared" si="1391"/>
        <v/>
      </c>
      <c r="J886" s="268" t="str">
        <f t="shared" si="1392"/>
        <v/>
      </c>
      <c r="K886" s="268" t="str">
        <f t="shared" si="1393"/>
        <v/>
      </c>
      <c r="L886" s="268" t="str">
        <f t="shared" si="1394"/>
        <v/>
      </c>
      <c r="M886" s="268" t="str">
        <f t="shared" si="1395"/>
        <v/>
      </c>
      <c r="N886" s="268" t="str">
        <f t="shared" si="1396"/>
        <v/>
      </c>
      <c r="O886" s="268" t="str">
        <f t="shared" si="1397"/>
        <v/>
      </c>
      <c r="P886" s="268" t="str">
        <f t="shared" si="1398"/>
        <v/>
      </c>
      <c r="Q886" s="268" t="str">
        <f t="shared" si="1399"/>
        <v/>
      </c>
      <c r="R886" s="268" t="str">
        <f t="shared" si="1400"/>
        <v/>
      </c>
      <c r="S886" s="268" t="str">
        <f t="shared" si="1401"/>
        <v/>
      </c>
      <c r="T886" s="268" t="str">
        <f t="shared" si="1402"/>
        <v/>
      </c>
      <c r="U886" s="268" t="str">
        <f t="shared" si="1403"/>
        <v/>
      </c>
      <c r="V886" s="268" t="str">
        <f t="shared" si="1404"/>
        <v/>
      </c>
      <c r="W886" s="268" t="str">
        <f t="shared" si="1405"/>
        <v/>
      </c>
      <c r="X886" s="268" t="str">
        <f t="shared" si="1406"/>
        <v/>
      </c>
      <c r="Y886" s="268" t="str">
        <f t="shared" si="1407"/>
        <v/>
      </c>
      <c r="Z886" s="268" t="str">
        <f t="shared" si="1408"/>
        <v/>
      </c>
      <c r="AA886" s="268" t="str">
        <f t="shared" si="1409"/>
        <v/>
      </c>
      <c r="AB886" s="268" t="str">
        <f t="shared" si="1410"/>
        <v/>
      </c>
      <c r="AC886" s="268" t="str">
        <f t="shared" si="1411"/>
        <v/>
      </c>
      <c r="AD886" s="268">
        <f t="shared" si="1412"/>
        <v>1920</v>
      </c>
      <c r="AE886" s="268" t="str">
        <f t="shared" si="1413"/>
        <v/>
      </c>
      <c r="AF886" s="268" t="str">
        <f t="shared" si="1414"/>
        <v/>
      </c>
      <c r="AG886" s="268" t="str">
        <f t="shared" si="1415"/>
        <v/>
      </c>
      <c r="AH886" s="268" t="str">
        <f t="shared" si="1416"/>
        <v/>
      </c>
      <c r="AI886" s="268" t="str">
        <f t="shared" si="1417"/>
        <v/>
      </c>
      <c r="AJ886" s="268" t="str">
        <f t="shared" si="1418"/>
        <v/>
      </c>
      <c r="AK886" s="268" t="str">
        <f t="shared" si="1419"/>
        <v/>
      </c>
      <c r="AL886" s="268" t="str">
        <f t="shared" si="1420"/>
        <v/>
      </c>
      <c r="AM886" s="268" t="str">
        <f t="shared" si="1421"/>
        <v/>
      </c>
      <c r="AN886" s="268" t="str">
        <f t="shared" si="1422"/>
        <v/>
      </c>
      <c r="AO886" s="268" t="str">
        <f t="shared" si="1423"/>
        <v/>
      </c>
      <c r="AP886" s="268" t="str">
        <f t="shared" si="1424"/>
        <v/>
      </c>
      <c r="AQ886" s="268" t="str">
        <f t="shared" si="1425"/>
        <v/>
      </c>
      <c r="AR886" s="268" t="str">
        <f t="shared" si="1426"/>
        <v/>
      </c>
      <c r="AS886" s="268" t="str">
        <f t="shared" si="1427"/>
        <v/>
      </c>
      <c r="AT886" s="268" t="str">
        <f t="shared" si="1428"/>
        <v/>
      </c>
      <c r="AU886" s="268" t="str">
        <f t="shared" si="1429"/>
        <v/>
      </c>
      <c r="AV886" s="268" t="str">
        <f t="shared" si="1430"/>
        <v/>
      </c>
      <c r="AW886" s="268" t="str">
        <f t="shared" si="1431"/>
        <v/>
      </c>
      <c r="AX886" s="268" t="str">
        <f t="shared" si="1432"/>
        <v/>
      </c>
      <c r="AY886" s="268" t="str">
        <f t="shared" si="1433"/>
        <v/>
      </c>
      <c r="AZ886" s="268" t="str">
        <f t="shared" si="1434"/>
        <v/>
      </c>
      <c r="BA886" s="268" t="str">
        <f t="shared" si="1435"/>
        <v/>
      </c>
      <c r="BB886" s="268" t="str">
        <f t="shared" si="1436"/>
        <v/>
      </c>
      <c r="BC886" s="268" t="str">
        <f t="shared" si="1437"/>
        <v/>
      </c>
      <c r="BD886" s="268" t="str">
        <f t="shared" si="1438"/>
        <v/>
      </c>
      <c r="BE886" s="268" t="str">
        <f t="shared" si="1439"/>
        <v/>
      </c>
      <c r="BF886" s="268" t="str">
        <f t="shared" si="1440"/>
        <v/>
      </c>
      <c r="BG886" s="268" t="str">
        <f t="shared" si="1441"/>
        <v/>
      </c>
      <c r="BH886" s="268" t="str">
        <f t="shared" si="1442"/>
        <v/>
      </c>
      <c r="BI886" s="268" t="str">
        <f t="shared" si="1443"/>
        <v/>
      </c>
      <c r="BJ886" s="268" t="str">
        <f t="shared" si="1444"/>
        <v/>
      </c>
      <c r="BK886" s="268" t="str">
        <f t="shared" si="1445"/>
        <v/>
      </c>
      <c r="BL886" s="268" t="str">
        <f t="shared" si="1446"/>
        <v/>
      </c>
      <c r="BM886" s="268" t="str">
        <f t="shared" si="1447"/>
        <v/>
      </c>
      <c r="BN886" s="268" t="str">
        <f t="shared" si="1385"/>
        <v/>
      </c>
      <c r="BO886" s="268" t="str">
        <f t="shared" si="1386"/>
        <v/>
      </c>
      <c r="BP886" s="268" t="str">
        <f t="shared" si="1387"/>
        <v/>
      </c>
      <c r="BQ886" s="268" t="str">
        <f t="shared" si="1388"/>
        <v/>
      </c>
      <c r="BR886" s="268" t="str">
        <f t="shared" si="1389"/>
        <v/>
      </c>
      <c r="BS886" s="268" t="str">
        <f t="shared" si="1390"/>
        <v/>
      </c>
      <c r="BT886" s="268" t="str">
        <f t="shared" si="1448"/>
        <v/>
      </c>
      <c r="BU886" s="268" t="str">
        <f t="shared" si="1449"/>
        <v/>
      </c>
      <c r="BV886" s="247">
        <v>0.61</v>
      </c>
      <c r="BW886" s="729">
        <f t="shared" si="1450"/>
        <v>1171.2</v>
      </c>
      <c r="BX886" s="730">
        <f t="shared" si="1451"/>
        <v>9076.8</v>
      </c>
      <c r="BY886" s="731" t="str">
        <f t="shared" si="1452"/>
        <v>SR</v>
      </c>
    </row>
    <row r="887" s="698" customFormat="1" customHeight="1" spans="1:77">
      <c r="A887" s="248">
        <v>46150</v>
      </c>
      <c r="B887" s="248">
        <v>46203</v>
      </c>
      <c r="C887" s="242" t="s">
        <v>833</v>
      </c>
      <c r="D887" s="242" t="s">
        <v>834</v>
      </c>
      <c r="E887" s="242" t="s">
        <v>66</v>
      </c>
      <c r="F887" s="231">
        <v>960</v>
      </c>
      <c r="G887" s="242" t="s">
        <v>510</v>
      </c>
      <c r="H887" s="211" t="str">
        <f>IFERROR(VLOOKUP(E887,名称!A:E,4,0),"")</f>
        <v>三代</v>
      </c>
      <c r="I887" s="268" t="str">
        <f t="shared" si="1391"/>
        <v/>
      </c>
      <c r="J887" s="268" t="str">
        <f t="shared" si="1392"/>
        <v/>
      </c>
      <c r="K887" s="268" t="str">
        <f t="shared" si="1393"/>
        <v/>
      </c>
      <c r="L887" s="268" t="str">
        <f t="shared" si="1394"/>
        <v/>
      </c>
      <c r="M887" s="268" t="str">
        <f t="shared" si="1395"/>
        <v/>
      </c>
      <c r="N887" s="268" t="str">
        <f t="shared" si="1396"/>
        <v/>
      </c>
      <c r="O887" s="268" t="str">
        <f t="shared" si="1397"/>
        <v/>
      </c>
      <c r="P887" s="268" t="str">
        <f t="shared" si="1398"/>
        <v/>
      </c>
      <c r="Q887" s="268" t="str">
        <f t="shared" si="1399"/>
        <v/>
      </c>
      <c r="R887" s="268" t="str">
        <f t="shared" si="1400"/>
        <v/>
      </c>
      <c r="S887" s="268" t="str">
        <f t="shared" si="1401"/>
        <v/>
      </c>
      <c r="T887" s="268" t="str">
        <f t="shared" si="1402"/>
        <v/>
      </c>
      <c r="U887" s="268" t="str">
        <f t="shared" si="1403"/>
        <v/>
      </c>
      <c r="V887" s="268" t="str">
        <f t="shared" si="1404"/>
        <v/>
      </c>
      <c r="W887" s="268" t="str">
        <f t="shared" si="1405"/>
        <v/>
      </c>
      <c r="X887" s="268" t="str">
        <f t="shared" si="1406"/>
        <v/>
      </c>
      <c r="Y887" s="268" t="str">
        <f t="shared" si="1407"/>
        <v/>
      </c>
      <c r="Z887" s="268" t="str">
        <f t="shared" si="1408"/>
        <v/>
      </c>
      <c r="AA887" s="268" t="str">
        <f t="shared" si="1409"/>
        <v/>
      </c>
      <c r="AB887" s="268" t="str">
        <f t="shared" si="1410"/>
        <v/>
      </c>
      <c r="AC887" s="268" t="str">
        <f t="shared" si="1411"/>
        <v/>
      </c>
      <c r="AD887" s="268" t="str">
        <f t="shared" si="1412"/>
        <v/>
      </c>
      <c r="AE887" s="268" t="str">
        <f t="shared" si="1413"/>
        <v/>
      </c>
      <c r="AF887" s="268" t="str">
        <f t="shared" si="1414"/>
        <v/>
      </c>
      <c r="AG887" s="268">
        <f t="shared" si="1415"/>
        <v>960</v>
      </c>
      <c r="AH887" s="268" t="str">
        <f t="shared" si="1416"/>
        <v/>
      </c>
      <c r="AI887" s="268" t="str">
        <f t="shared" si="1417"/>
        <v/>
      </c>
      <c r="AJ887" s="268" t="str">
        <f t="shared" si="1418"/>
        <v/>
      </c>
      <c r="AK887" s="268" t="str">
        <f t="shared" si="1419"/>
        <v/>
      </c>
      <c r="AL887" s="268" t="str">
        <f t="shared" si="1420"/>
        <v/>
      </c>
      <c r="AM887" s="268" t="str">
        <f t="shared" si="1421"/>
        <v/>
      </c>
      <c r="AN887" s="268" t="str">
        <f t="shared" si="1422"/>
        <v/>
      </c>
      <c r="AO887" s="268" t="str">
        <f t="shared" si="1423"/>
        <v/>
      </c>
      <c r="AP887" s="268" t="str">
        <f t="shared" si="1424"/>
        <v/>
      </c>
      <c r="AQ887" s="268" t="str">
        <f t="shared" si="1425"/>
        <v/>
      </c>
      <c r="AR887" s="268" t="str">
        <f t="shared" si="1426"/>
        <v/>
      </c>
      <c r="AS887" s="268" t="str">
        <f t="shared" si="1427"/>
        <v/>
      </c>
      <c r="AT887" s="268" t="str">
        <f t="shared" si="1428"/>
        <v/>
      </c>
      <c r="AU887" s="268" t="str">
        <f t="shared" si="1429"/>
        <v/>
      </c>
      <c r="AV887" s="268" t="str">
        <f t="shared" si="1430"/>
        <v/>
      </c>
      <c r="AW887" s="268" t="str">
        <f t="shared" si="1431"/>
        <v/>
      </c>
      <c r="AX887" s="268" t="str">
        <f t="shared" si="1432"/>
        <v/>
      </c>
      <c r="AY887" s="268" t="str">
        <f t="shared" si="1433"/>
        <v/>
      </c>
      <c r="AZ887" s="268" t="str">
        <f t="shared" si="1434"/>
        <v/>
      </c>
      <c r="BA887" s="268" t="str">
        <f t="shared" si="1435"/>
        <v/>
      </c>
      <c r="BB887" s="268" t="str">
        <f t="shared" si="1436"/>
        <v/>
      </c>
      <c r="BC887" s="268" t="str">
        <f t="shared" si="1437"/>
        <v/>
      </c>
      <c r="BD887" s="268" t="str">
        <f t="shared" si="1438"/>
        <v/>
      </c>
      <c r="BE887" s="268" t="str">
        <f t="shared" si="1439"/>
        <v/>
      </c>
      <c r="BF887" s="268" t="str">
        <f t="shared" si="1440"/>
        <v/>
      </c>
      <c r="BG887" s="268" t="str">
        <f t="shared" si="1441"/>
        <v/>
      </c>
      <c r="BH887" s="268" t="str">
        <f t="shared" si="1442"/>
        <v/>
      </c>
      <c r="BI887" s="268" t="str">
        <f t="shared" si="1443"/>
        <v/>
      </c>
      <c r="BJ887" s="268" t="str">
        <f t="shared" si="1444"/>
        <v/>
      </c>
      <c r="BK887" s="268" t="str">
        <f t="shared" si="1445"/>
        <v/>
      </c>
      <c r="BL887" s="268" t="str">
        <f t="shared" si="1446"/>
        <v/>
      </c>
      <c r="BM887" s="268" t="str">
        <f t="shared" si="1447"/>
        <v/>
      </c>
      <c r="BN887" s="268" t="str">
        <f t="shared" si="1385"/>
        <v/>
      </c>
      <c r="BO887" s="268" t="str">
        <f t="shared" si="1386"/>
        <v/>
      </c>
      <c r="BP887" s="268" t="str">
        <f t="shared" si="1387"/>
        <v/>
      </c>
      <c r="BQ887" s="268" t="str">
        <f t="shared" si="1388"/>
        <v/>
      </c>
      <c r="BR887" s="268" t="str">
        <f t="shared" si="1389"/>
        <v/>
      </c>
      <c r="BS887" s="268" t="str">
        <f t="shared" si="1390"/>
        <v/>
      </c>
      <c r="BT887" s="268" t="str">
        <f t="shared" si="1448"/>
        <v/>
      </c>
      <c r="BU887" s="268" t="str">
        <f t="shared" si="1449"/>
        <v/>
      </c>
      <c r="BV887" s="247">
        <v>1.99</v>
      </c>
      <c r="BW887" s="729">
        <f t="shared" si="1450"/>
        <v>1910.4</v>
      </c>
      <c r="BX887" s="730">
        <f t="shared" si="1451"/>
        <v>14805.6</v>
      </c>
      <c r="BY887" s="731" t="str">
        <f t="shared" si="1452"/>
        <v>SR</v>
      </c>
    </row>
    <row r="888" s="698" customFormat="1" customHeight="1" spans="1:77">
      <c r="A888" s="248">
        <v>46150</v>
      </c>
      <c r="B888" s="248">
        <v>46203</v>
      </c>
      <c r="C888" s="242" t="s">
        <v>833</v>
      </c>
      <c r="D888" s="242" t="s">
        <v>834</v>
      </c>
      <c r="E888" s="242" t="s">
        <v>68</v>
      </c>
      <c r="F888" s="231">
        <v>400</v>
      </c>
      <c r="G888" s="242" t="s">
        <v>510</v>
      </c>
      <c r="H888" s="211" t="str">
        <f>IFERROR(VLOOKUP(E888,名称!A:E,4,0),"")</f>
        <v>三代</v>
      </c>
      <c r="I888" s="268" t="str">
        <f t="shared" si="1391"/>
        <v/>
      </c>
      <c r="J888" s="268" t="str">
        <f t="shared" si="1392"/>
        <v/>
      </c>
      <c r="K888" s="268" t="str">
        <f t="shared" si="1393"/>
        <v/>
      </c>
      <c r="L888" s="268" t="str">
        <f t="shared" si="1394"/>
        <v/>
      </c>
      <c r="M888" s="268" t="str">
        <f t="shared" si="1395"/>
        <v/>
      </c>
      <c r="N888" s="268" t="str">
        <f t="shared" si="1396"/>
        <v/>
      </c>
      <c r="O888" s="268" t="str">
        <f t="shared" si="1397"/>
        <v/>
      </c>
      <c r="P888" s="268" t="str">
        <f t="shared" si="1398"/>
        <v/>
      </c>
      <c r="Q888" s="268" t="str">
        <f t="shared" si="1399"/>
        <v/>
      </c>
      <c r="R888" s="268" t="str">
        <f t="shared" si="1400"/>
        <v/>
      </c>
      <c r="S888" s="268" t="str">
        <f t="shared" si="1401"/>
        <v/>
      </c>
      <c r="T888" s="268" t="str">
        <f t="shared" si="1402"/>
        <v/>
      </c>
      <c r="U888" s="268" t="str">
        <f t="shared" si="1403"/>
        <v/>
      </c>
      <c r="V888" s="268" t="str">
        <f t="shared" si="1404"/>
        <v/>
      </c>
      <c r="W888" s="268" t="str">
        <f t="shared" si="1405"/>
        <v/>
      </c>
      <c r="X888" s="268" t="str">
        <f t="shared" si="1406"/>
        <v/>
      </c>
      <c r="Y888" s="268" t="str">
        <f t="shared" si="1407"/>
        <v/>
      </c>
      <c r="Z888" s="268" t="str">
        <f t="shared" si="1408"/>
        <v/>
      </c>
      <c r="AA888" s="268" t="str">
        <f t="shared" si="1409"/>
        <v/>
      </c>
      <c r="AB888" s="268" t="str">
        <f t="shared" si="1410"/>
        <v/>
      </c>
      <c r="AC888" s="268" t="str">
        <f t="shared" si="1411"/>
        <v/>
      </c>
      <c r="AD888" s="268" t="str">
        <f t="shared" si="1412"/>
        <v/>
      </c>
      <c r="AE888" s="268" t="str">
        <f t="shared" si="1413"/>
        <v/>
      </c>
      <c r="AF888" s="268" t="str">
        <f t="shared" si="1414"/>
        <v/>
      </c>
      <c r="AG888" s="268" t="str">
        <f t="shared" si="1415"/>
        <v/>
      </c>
      <c r="AH888" s="268">
        <f t="shared" si="1416"/>
        <v>400</v>
      </c>
      <c r="AI888" s="268" t="str">
        <f t="shared" si="1417"/>
        <v/>
      </c>
      <c r="AJ888" s="268" t="str">
        <f t="shared" si="1418"/>
        <v/>
      </c>
      <c r="AK888" s="268" t="str">
        <f t="shared" si="1419"/>
        <v/>
      </c>
      <c r="AL888" s="268" t="str">
        <f t="shared" si="1420"/>
        <v/>
      </c>
      <c r="AM888" s="268" t="str">
        <f t="shared" si="1421"/>
        <v/>
      </c>
      <c r="AN888" s="268" t="str">
        <f t="shared" si="1422"/>
        <v/>
      </c>
      <c r="AO888" s="268" t="str">
        <f t="shared" si="1423"/>
        <v/>
      </c>
      <c r="AP888" s="268" t="str">
        <f t="shared" si="1424"/>
        <v/>
      </c>
      <c r="AQ888" s="268" t="str">
        <f t="shared" si="1425"/>
        <v/>
      </c>
      <c r="AR888" s="268" t="str">
        <f t="shared" si="1426"/>
        <v/>
      </c>
      <c r="AS888" s="268" t="str">
        <f t="shared" si="1427"/>
        <v/>
      </c>
      <c r="AT888" s="268" t="str">
        <f t="shared" si="1428"/>
        <v/>
      </c>
      <c r="AU888" s="268" t="str">
        <f t="shared" si="1429"/>
        <v/>
      </c>
      <c r="AV888" s="268" t="str">
        <f t="shared" si="1430"/>
        <v/>
      </c>
      <c r="AW888" s="268" t="str">
        <f t="shared" si="1431"/>
        <v/>
      </c>
      <c r="AX888" s="268" t="str">
        <f t="shared" si="1432"/>
        <v/>
      </c>
      <c r="AY888" s="268" t="str">
        <f t="shared" si="1433"/>
        <v/>
      </c>
      <c r="AZ888" s="268" t="str">
        <f t="shared" si="1434"/>
        <v/>
      </c>
      <c r="BA888" s="268" t="str">
        <f t="shared" si="1435"/>
        <v/>
      </c>
      <c r="BB888" s="268" t="str">
        <f t="shared" si="1436"/>
        <v/>
      </c>
      <c r="BC888" s="268" t="str">
        <f t="shared" si="1437"/>
        <v/>
      </c>
      <c r="BD888" s="268" t="str">
        <f t="shared" si="1438"/>
        <v/>
      </c>
      <c r="BE888" s="268" t="str">
        <f t="shared" si="1439"/>
        <v/>
      </c>
      <c r="BF888" s="268" t="str">
        <f t="shared" si="1440"/>
        <v/>
      </c>
      <c r="BG888" s="268" t="str">
        <f t="shared" si="1441"/>
        <v/>
      </c>
      <c r="BH888" s="268" t="str">
        <f t="shared" si="1442"/>
        <v/>
      </c>
      <c r="BI888" s="268" t="str">
        <f t="shared" si="1443"/>
        <v/>
      </c>
      <c r="BJ888" s="268" t="str">
        <f t="shared" si="1444"/>
        <v/>
      </c>
      <c r="BK888" s="268" t="str">
        <f t="shared" si="1445"/>
        <v/>
      </c>
      <c r="BL888" s="268" t="str">
        <f t="shared" si="1446"/>
        <v/>
      </c>
      <c r="BM888" s="268" t="str">
        <f t="shared" si="1447"/>
        <v/>
      </c>
      <c r="BN888" s="268" t="str">
        <f t="shared" si="1385"/>
        <v/>
      </c>
      <c r="BO888" s="268" t="str">
        <f t="shared" si="1386"/>
        <v/>
      </c>
      <c r="BP888" s="268" t="str">
        <f t="shared" si="1387"/>
        <v/>
      </c>
      <c r="BQ888" s="268" t="str">
        <f t="shared" si="1388"/>
        <v/>
      </c>
      <c r="BR888" s="268" t="str">
        <f t="shared" si="1389"/>
        <v/>
      </c>
      <c r="BS888" s="268" t="str">
        <f t="shared" si="1390"/>
        <v/>
      </c>
      <c r="BT888" s="268" t="str">
        <f t="shared" si="1448"/>
        <v/>
      </c>
      <c r="BU888" s="268" t="str">
        <f t="shared" si="1449"/>
        <v/>
      </c>
      <c r="BV888" s="247">
        <v>2.99</v>
      </c>
      <c r="BW888" s="729">
        <f t="shared" si="1450"/>
        <v>1196</v>
      </c>
      <c r="BX888" s="730">
        <f t="shared" si="1451"/>
        <v>9269</v>
      </c>
      <c r="BY888" s="731" t="str">
        <f t="shared" si="1452"/>
        <v>SR</v>
      </c>
    </row>
    <row r="889" s="698" customFormat="1" customHeight="1" spans="1:77">
      <c r="A889" s="248">
        <v>46150</v>
      </c>
      <c r="B889" s="248">
        <v>46203</v>
      </c>
      <c r="C889" s="242" t="s">
        <v>833</v>
      </c>
      <c r="D889" s="242" t="s">
        <v>834</v>
      </c>
      <c r="E889" s="242" t="s">
        <v>72</v>
      </c>
      <c r="F889" s="231">
        <v>480</v>
      </c>
      <c r="G889" s="242" t="s">
        <v>510</v>
      </c>
      <c r="H889" s="211" t="str">
        <f>IFERROR(VLOOKUP(E889,名称!A:E,4,0),"")</f>
        <v>三代</v>
      </c>
      <c r="I889" s="268" t="str">
        <f t="shared" si="1391"/>
        <v/>
      </c>
      <c r="J889" s="268" t="str">
        <f t="shared" si="1392"/>
        <v/>
      </c>
      <c r="K889" s="268" t="str">
        <f t="shared" si="1393"/>
        <v/>
      </c>
      <c r="L889" s="268" t="str">
        <f t="shared" si="1394"/>
        <v/>
      </c>
      <c r="M889" s="268" t="str">
        <f t="shared" si="1395"/>
        <v/>
      </c>
      <c r="N889" s="268" t="str">
        <f t="shared" si="1396"/>
        <v/>
      </c>
      <c r="O889" s="268" t="str">
        <f t="shared" si="1397"/>
        <v/>
      </c>
      <c r="P889" s="268" t="str">
        <f t="shared" si="1398"/>
        <v/>
      </c>
      <c r="Q889" s="268" t="str">
        <f t="shared" si="1399"/>
        <v/>
      </c>
      <c r="R889" s="268" t="str">
        <f t="shared" si="1400"/>
        <v/>
      </c>
      <c r="S889" s="268" t="str">
        <f t="shared" si="1401"/>
        <v/>
      </c>
      <c r="T889" s="268" t="str">
        <f t="shared" si="1402"/>
        <v/>
      </c>
      <c r="U889" s="268" t="str">
        <f t="shared" si="1403"/>
        <v/>
      </c>
      <c r="V889" s="268" t="str">
        <f t="shared" si="1404"/>
        <v/>
      </c>
      <c r="W889" s="268" t="str">
        <f t="shared" si="1405"/>
        <v/>
      </c>
      <c r="X889" s="268" t="str">
        <f t="shared" si="1406"/>
        <v/>
      </c>
      <c r="Y889" s="268" t="str">
        <f t="shared" si="1407"/>
        <v/>
      </c>
      <c r="Z889" s="268" t="str">
        <f t="shared" si="1408"/>
        <v/>
      </c>
      <c r="AA889" s="268" t="str">
        <f t="shared" si="1409"/>
        <v/>
      </c>
      <c r="AB889" s="268" t="str">
        <f t="shared" si="1410"/>
        <v/>
      </c>
      <c r="AC889" s="268" t="str">
        <f t="shared" si="1411"/>
        <v/>
      </c>
      <c r="AD889" s="268" t="str">
        <f t="shared" si="1412"/>
        <v/>
      </c>
      <c r="AE889" s="268" t="str">
        <f t="shared" si="1413"/>
        <v/>
      </c>
      <c r="AF889" s="268" t="str">
        <f t="shared" si="1414"/>
        <v/>
      </c>
      <c r="AG889" s="268" t="str">
        <f t="shared" si="1415"/>
        <v/>
      </c>
      <c r="AH889" s="268" t="str">
        <f t="shared" si="1416"/>
        <v/>
      </c>
      <c r="AI889" s="268" t="str">
        <f t="shared" si="1417"/>
        <v/>
      </c>
      <c r="AJ889" s="268" t="str">
        <f t="shared" si="1418"/>
        <v/>
      </c>
      <c r="AK889" s="268" t="str">
        <f t="shared" si="1419"/>
        <v/>
      </c>
      <c r="AL889" s="268">
        <f t="shared" si="1420"/>
        <v>480</v>
      </c>
      <c r="AM889" s="268" t="str">
        <f t="shared" si="1421"/>
        <v/>
      </c>
      <c r="AN889" s="268" t="str">
        <f t="shared" si="1422"/>
        <v/>
      </c>
      <c r="AO889" s="268" t="str">
        <f t="shared" si="1423"/>
        <v/>
      </c>
      <c r="AP889" s="268" t="str">
        <f t="shared" si="1424"/>
        <v/>
      </c>
      <c r="AQ889" s="268" t="str">
        <f t="shared" si="1425"/>
        <v/>
      </c>
      <c r="AR889" s="268" t="str">
        <f t="shared" si="1426"/>
        <v/>
      </c>
      <c r="AS889" s="268" t="str">
        <f t="shared" si="1427"/>
        <v/>
      </c>
      <c r="AT889" s="268" t="str">
        <f t="shared" si="1428"/>
        <v/>
      </c>
      <c r="AU889" s="268" t="str">
        <f t="shared" si="1429"/>
        <v/>
      </c>
      <c r="AV889" s="268" t="str">
        <f t="shared" si="1430"/>
        <v/>
      </c>
      <c r="AW889" s="268" t="str">
        <f t="shared" si="1431"/>
        <v/>
      </c>
      <c r="AX889" s="268" t="str">
        <f t="shared" si="1432"/>
        <v/>
      </c>
      <c r="AY889" s="268" t="str">
        <f t="shared" si="1433"/>
        <v/>
      </c>
      <c r="AZ889" s="268" t="str">
        <f t="shared" si="1434"/>
        <v/>
      </c>
      <c r="BA889" s="268" t="str">
        <f t="shared" si="1435"/>
        <v/>
      </c>
      <c r="BB889" s="268" t="str">
        <f t="shared" si="1436"/>
        <v/>
      </c>
      <c r="BC889" s="268" t="str">
        <f t="shared" si="1437"/>
        <v/>
      </c>
      <c r="BD889" s="268" t="str">
        <f t="shared" si="1438"/>
        <v/>
      </c>
      <c r="BE889" s="268" t="str">
        <f t="shared" si="1439"/>
        <v/>
      </c>
      <c r="BF889" s="268" t="str">
        <f t="shared" si="1440"/>
        <v/>
      </c>
      <c r="BG889" s="268" t="str">
        <f t="shared" si="1441"/>
        <v/>
      </c>
      <c r="BH889" s="268" t="str">
        <f t="shared" si="1442"/>
        <v/>
      </c>
      <c r="BI889" s="268" t="str">
        <f t="shared" si="1443"/>
        <v/>
      </c>
      <c r="BJ889" s="268" t="str">
        <f t="shared" si="1444"/>
        <v/>
      </c>
      <c r="BK889" s="268" t="str">
        <f t="shared" si="1445"/>
        <v/>
      </c>
      <c r="BL889" s="268" t="str">
        <f t="shared" si="1446"/>
        <v/>
      </c>
      <c r="BM889" s="268" t="str">
        <f t="shared" si="1447"/>
        <v/>
      </c>
      <c r="BN889" s="268" t="str">
        <f t="shared" si="1385"/>
        <v/>
      </c>
      <c r="BO889" s="268" t="str">
        <f t="shared" si="1386"/>
        <v/>
      </c>
      <c r="BP889" s="268" t="str">
        <f t="shared" si="1387"/>
        <v/>
      </c>
      <c r="BQ889" s="268" t="str">
        <f t="shared" si="1388"/>
        <v/>
      </c>
      <c r="BR889" s="268" t="str">
        <f t="shared" si="1389"/>
        <v/>
      </c>
      <c r="BS889" s="268" t="str">
        <f t="shared" si="1390"/>
        <v/>
      </c>
      <c r="BT889" s="268" t="str">
        <f t="shared" si="1448"/>
        <v/>
      </c>
      <c r="BU889" s="268" t="str">
        <f t="shared" si="1449"/>
        <v/>
      </c>
      <c r="BV889" s="247">
        <v>1.55</v>
      </c>
      <c r="BW889" s="729">
        <f t="shared" si="1450"/>
        <v>744</v>
      </c>
      <c r="BX889" s="730">
        <f t="shared" si="1451"/>
        <v>5766</v>
      </c>
      <c r="BY889" s="731" t="str">
        <f t="shared" si="1452"/>
        <v>SR</v>
      </c>
    </row>
    <row r="890" s="698" customFormat="1" customHeight="1" spans="1:77">
      <c r="A890" s="248">
        <v>46150</v>
      </c>
      <c r="B890" s="248">
        <v>46203</v>
      </c>
      <c r="C890" s="242" t="s">
        <v>833</v>
      </c>
      <c r="D890" s="242" t="s">
        <v>834</v>
      </c>
      <c r="E890" s="242" t="s">
        <v>112</v>
      </c>
      <c r="F890" s="231">
        <v>100</v>
      </c>
      <c r="G890" s="242" t="s">
        <v>510</v>
      </c>
      <c r="H890" s="211" t="str">
        <f>IFERROR(VLOOKUP(E890,名称!A:E,4,0),"")</f>
        <v>三代</v>
      </c>
      <c r="I890" s="268" t="str">
        <f t="shared" si="1391"/>
        <v/>
      </c>
      <c r="J890" s="268" t="str">
        <f t="shared" si="1392"/>
        <v/>
      </c>
      <c r="K890" s="268" t="str">
        <f t="shared" si="1393"/>
        <v/>
      </c>
      <c r="L890" s="268" t="str">
        <f t="shared" si="1394"/>
        <v/>
      </c>
      <c r="M890" s="268" t="str">
        <f t="shared" si="1395"/>
        <v/>
      </c>
      <c r="N890" s="268" t="str">
        <f t="shared" si="1396"/>
        <v/>
      </c>
      <c r="O890" s="268" t="str">
        <f t="shared" si="1397"/>
        <v/>
      </c>
      <c r="P890" s="268" t="str">
        <f t="shared" si="1398"/>
        <v/>
      </c>
      <c r="Q890" s="268" t="str">
        <f t="shared" si="1399"/>
        <v/>
      </c>
      <c r="R890" s="268" t="str">
        <f t="shared" si="1400"/>
        <v/>
      </c>
      <c r="S890" s="268" t="str">
        <f t="shared" si="1401"/>
        <v/>
      </c>
      <c r="T890" s="268" t="str">
        <f t="shared" si="1402"/>
        <v/>
      </c>
      <c r="U890" s="268" t="str">
        <f t="shared" si="1403"/>
        <v/>
      </c>
      <c r="V890" s="268" t="str">
        <f t="shared" si="1404"/>
        <v/>
      </c>
      <c r="W890" s="268" t="str">
        <f t="shared" si="1405"/>
        <v/>
      </c>
      <c r="X890" s="268" t="str">
        <f t="shared" si="1406"/>
        <v/>
      </c>
      <c r="Y890" s="268" t="str">
        <f t="shared" si="1407"/>
        <v/>
      </c>
      <c r="Z890" s="268" t="str">
        <f t="shared" si="1408"/>
        <v/>
      </c>
      <c r="AA890" s="268" t="str">
        <f t="shared" si="1409"/>
        <v/>
      </c>
      <c r="AB890" s="268" t="str">
        <f t="shared" si="1410"/>
        <v/>
      </c>
      <c r="AC890" s="268" t="str">
        <f t="shared" si="1411"/>
        <v/>
      </c>
      <c r="AD890" s="268" t="str">
        <f t="shared" si="1412"/>
        <v/>
      </c>
      <c r="AE890" s="268" t="str">
        <f t="shared" si="1413"/>
        <v/>
      </c>
      <c r="AF890" s="268" t="str">
        <f t="shared" si="1414"/>
        <v/>
      </c>
      <c r="AG890" s="268" t="str">
        <f t="shared" si="1415"/>
        <v/>
      </c>
      <c r="AH890" s="268" t="str">
        <f t="shared" si="1416"/>
        <v/>
      </c>
      <c r="AI890" s="268">
        <f t="shared" si="1417"/>
        <v>100</v>
      </c>
      <c r="AJ890" s="268" t="str">
        <f t="shared" si="1418"/>
        <v/>
      </c>
      <c r="AK890" s="268" t="str">
        <f t="shared" si="1419"/>
        <v/>
      </c>
      <c r="AL890" s="268" t="str">
        <f t="shared" si="1420"/>
        <v/>
      </c>
      <c r="AM890" s="268" t="str">
        <f t="shared" si="1421"/>
        <v/>
      </c>
      <c r="AN890" s="268" t="str">
        <f t="shared" si="1422"/>
        <v/>
      </c>
      <c r="AO890" s="268" t="str">
        <f t="shared" si="1423"/>
        <v/>
      </c>
      <c r="AP890" s="268" t="str">
        <f t="shared" si="1424"/>
        <v/>
      </c>
      <c r="AQ890" s="268" t="str">
        <f t="shared" si="1425"/>
        <v/>
      </c>
      <c r="AR890" s="268" t="str">
        <f t="shared" si="1426"/>
        <v/>
      </c>
      <c r="AS890" s="268" t="str">
        <f t="shared" si="1427"/>
        <v/>
      </c>
      <c r="AT890" s="268" t="str">
        <f t="shared" si="1428"/>
        <v/>
      </c>
      <c r="AU890" s="268" t="str">
        <f t="shared" si="1429"/>
        <v/>
      </c>
      <c r="AV890" s="268" t="str">
        <f t="shared" si="1430"/>
        <v/>
      </c>
      <c r="AW890" s="268" t="str">
        <f t="shared" si="1431"/>
        <v/>
      </c>
      <c r="AX890" s="268" t="str">
        <f t="shared" si="1432"/>
        <v/>
      </c>
      <c r="AY890" s="268" t="str">
        <f t="shared" si="1433"/>
        <v/>
      </c>
      <c r="AZ890" s="268" t="str">
        <f t="shared" si="1434"/>
        <v/>
      </c>
      <c r="BA890" s="268" t="str">
        <f t="shared" si="1435"/>
        <v/>
      </c>
      <c r="BB890" s="268" t="str">
        <f t="shared" si="1436"/>
        <v/>
      </c>
      <c r="BC890" s="268" t="str">
        <f t="shared" si="1437"/>
        <v/>
      </c>
      <c r="BD890" s="268" t="str">
        <f t="shared" si="1438"/>
        <v/>
      </c>
      <c r="BE890" s="268" t="str">
        <f t="shared" si="1439"/>
        <v/>
      </c>
      <c r="BF890" s="268" t="str">
        <f t="shared" si="1440"/>
        <v/>
      </c>
      <c r="BG890" s="268" t="str">
        <f t="shared" si="1441"/>
        <v/>
      </c>
      <c r="BH890" s="268" t="str">
        <f t="shared" si="1442"/>
        <v/>
      </c>
      <c r="BI890" s="268" t="str">
        <f t="shared" si="1443"/>
        <v/>
      </c>
      <c r="BJ890" s="268" t="str">
        <f t="shared" si="1444"/>
        <v/>
      </c>
      <c r="BK890" s="268" t="str">
        <f t="shared" si="1445"/>
        <v/>
      </c>
      <c r="BL890" s="268" t="str">
        <f t="shared" si="1446"/>
        <v/>
      </c>
      <c r="BM890" s="268" t="str">
        <f t="shared" si="1447"/>
        <v/>
      </c>
      <c r="BN890" s="268" t="str">
        <f t="shared" si="1385"/>
        <v/>
      </c>
      <c r="BO890" s="268" t="str">
        <f t="shared" si="1386"/>
        <v/>
      </c>
      <c r="BP890" s="268" t="str">
        <f t="shared" si="1387"/>
        <v/>
      </c>
      <c r="BQ890" s="268" t="str">
        <f t="shared" si="1388"/>
        <v/>
      </c>
      <c r="BR890" s="268" t="str">
        <f t="shared" si="1389"/>
        <v/>
      </c>
      <c r="BS890" s="268" t="str">
        <f t="shared" si="1390"/>
        <v/>
      </c>
      <c r="BT890" s="268" t="str">
        <f t="shared" si="1448"/>
        <v/>
      </c>
      <c r="BU890" s="268" t="str">
        <f t="shared" si="1449"/>
        <v/>
      </c>
      <c r="BV890" s="247">
        <v>8.76</v>
      </c>
      <c r="BW890" s="729">
        <f t="shared" si="1450"/>
        <v>876</v>
      </c>
      <c r="BX890" s="730">
        <f t="shared" si="1451"/>
        <v>6789</v>
      </c>
      <c r="BY890" s="731" t="str">
        <f t="shared" si="1452"/>
        <v>SR</v>
      </c>
    </row>
    <row r="891" s="698" customFormat="1" customHeight="1" spans="1:77">
      <c r="A891" s="248">
        <v>46150</v>
      </c>
      <c r="B891" s="248">
        <v>46203</v>
      </c>
      <c r="C891" s="242" t="s">
        <v>833</v>
      </c>
      <c r="D891" s="242" t="s">
        <v>834</v>
      </c>
      <c r="E891" s="242" t="s">
        <v>85</v>
      </c>
      <c r="F891" s="231">
        <v>960</v>
      </c>
      <c r="G891" s="242" t="s">
        <v>510</v>
      </c>
      <c r="H891" s="211" t="str">
        <f>IFERROR(VLOOKUP(E891,名称!A:E,4,0),"")</f>
        <v>三代</v>
      </c>
      <c r="I891" s="268" t="str">
        <f t="shared" si="1391"/>
        <v/>
      </c>
      <c r="J891" s="268" t="str">
        <f t="shared" si="1392"/>
        <v/>
      </c>
      <c r="K891" s="268" t="str">
        <f t="shared" si="1393"/>
        <v/>
      </c>
      <c r="L891" s="268" t="str">
        <f t="shared" si="1394"/>
        <v/>
      </c>
      <c r="M891" s="268" t="str">
        <f t="shared" si="1395"/>
        <v/>
      </c>
      <c r="N891" s="268" t="str">
        <f t="shared" si="1396"/>
        <v/>
      </c>
      <c r="O891" s="268" t="str">
        <f t="shared" si="1397"/>
        <v/>
      </c>
      <c r="P891" s="268" t="str">
        <f t="shared" si="1398"/>
        <v/>
      </c>
      <c r="Q891" s="268" t="str">
        <f t="shared" si="1399"/>
        <v/>
      </c>
      <c r="R891" s="268" t="str">
        <f t="shared" si="1400"/>
        <v/>
      </c>
      <c r="S891" s="268" t="str">
        <f t="shared" si="1401"/>
        <v/>
      </c>
      <c r="T891" s="268" t="str">
        <f t="shared" si="1402"/>
        <v/>
      </c>
      <c r="U891" s="268" t="str">
        <f t="shared" si="1403"/>
        <v/>
      </c>
      <c r="V891" s="268" t="str">
        <f t="shared" si="1404"/>
        <v/>
      </c>
      <c r="W891" s="268" t="str">
        <f t="shared" si="1405"/>
        <v/>
      </c>
      <c r="X891" s="268" t="str">
        <f t="shared" si="1406"/>
        <v/>
      </c>
      <c r="Y891" s="268" t="str">
        <f t="shared" si="1407"/>
        <v/>
      </c>
      <c r="Z891" s="268" t="str">
        <f t="shared" si="1408"/>
        <v/>
      </c>
      <c r="AA891" s="268" t="str">
        <f t="shared" si="1409"/>
        <v/>
      </c>
      <c r="AB891" s="268" t="str">
        <f t="shared" si="1410"/>
        <v/>
      </c>
      <c r="AC891" s="268" t="str">
        <f t="shared" si="1411"/>
        <v/>
      </c>
      <c r="AD891" s="268" t="str">
        <f t="shared" si="1412"/>
        <v/>
      </c>
      <c r="AE891" s="268" t="str">
        <f t="shared" si="1413"/>
        <v/>
      </c>
      <c r="AF891" s="268" t="str">
        <f t="shared" si="1414"/>
        <v/>
      </c>
      <c r="AG891" s="268" t="str">
        <f t="shared" si="1415"/>
        <v/>
      </c>
      <c r="AH891" s="268" t="str">
        <f t="shared" si="1416"/>
        <v/>
      </c>
      <c r="AI891" s="268" t="str">
        <f t="shared" si="1417"/>
        <v/>
      </c>
      <c r="AJ891" s="268" t="str">
        <f t="shared" si="1418"/>
        <v/>
      </c>
      <c r="AK891" s="268" t="str">
        <f t="shared" si="1419"/>
        <v/>
      </c>
      <c r="AL891" s="268" t="str">
        <f t="shared" si="1420"/>
        <v/>
      </c>
      <c r="AM891" s="268" t="str">
        <f t="shared" si="1421"/>
        <v/>
      </c>
      <c r="AN891" s="268">
        <f t="shared" si="1422"/>
        <v>960</v>
      </c>
      <c r="AO891" s="268" t="str">
        <f t="shared" si="1423"/>
        <v/>
      </c>
      <c r="AP891" s="268" t="str">
        <f t="shared" si="1424"/>
        <v/>
      </c>
      <c r="AQ891" s="268" t="str">
        <f t="shared" si="1425"/>
        <v/>
      </c>
      <c r="AR891" s="268" t="str">
        <f t="shared" si="1426"/>
        <v/>
      </c>
      <c r="AS891" s="268" t="str">
        <f t="shared" si="1427"/>
        <v/>
      </c>
      <c r="AT891" s="268" t="str">
        <f t="shared" si="1428"/>
        <v/>
      </c>
      <c r="AU891" s="268" t="str">
        <f t="shared" si="1429"/>
        <v/>
      </c>
      <c r="AV891" s="268" t="str">
        <f t="shared" si="1430"/>
        <v/>
      </c>
      <c r="AW891" s="268" t="str">
        <f t="shared" si="1431"/>
        <v/>
      </c>
      <c r="AX891" s="268" t="str">
        <f t="shared" si="1432"/>
        <v/>
      </c>
      <c r="AY891" s="268" t="str">
        <f t="shared" si="1433"/>
        <v/>
      </c>
      <c r="AZ891" s="268" t="str">
        <f t="shared" si="1434"/>
        <v/>
      </c>
      <c r="BA891" s="268" t="str">
        <f t="shared" si="1435"/>
        <v/>
      </c>
      <c r="BB891" s="268" t="str">
        <f t="shared" si="1436"/>
        <v/>
      </c>
      <c r="BC891" s="268" t="str">
        <f t="shared" si="1437"/>
        <v/>
      </c>
      <c r="BD891" s="268" t="str">
        <f t="shared" si="1438"/>
        <v/>
      </c>
      <c r="BE891" s="268" t="str">
        <f t="shared" si="1439"/>
        <v/>
      </c>
      <c r="BF891" s="268" t="str">
        <f t="shared" si="1440"/>
        <v/>
      </c>
      <c r="BG891" s="268" t="str">
        <f t="shared" si="1441"/>
        <v/>
      </c>
      <c r="BH891" s="268" t="str">
        <f t="shared" si="1442"/>
        <v/>
      </c>
      <c r="BI891" s="268" t="str">
        <f t="shared" si="1443"/>
        <v/>
      </c>
      <c r="BJ891" s="268" t="str">
        <f t="shared" si="1444"/>
        <v/>
      </c>
      <c r="BK891" s="268" t="str">
        <f t="shared" si="1445"/>
        <v/>
      </c>
      <c r="BL891" s="268" t="str">
        <f t="shared" si="1446"/>
        <v/>
      </c>
      <c r="BM891" s="268" t="str">
        <f t="shared" si="1447"/>
        <v/>
      </c>
      <c r="BN891" s="268" t="str">
        <f t="shared" si="1385"/>
        <v/>
      </c>
      <c r="BO891" s="268" t="str">
        <f t="shared" si="1386"/>
        <v/>
      </c>
      <c r="BP891" s="268" t="str">
        <f t="shared" si="1387"/>
        <v/>
      </c>
      <c r="BQ891" s="268" t="str">
        <f t="shared" si="1388"/>
        <v/>
      </c>
      <c r="BR891" s="268" t="str">
        <f t="shared" si="1389"/>
        <v/>
      </c>
      <c r="BS891" s="268" t="str">
        <f t="shared" si="1390"/>
        <v/>
      </c>
      <c r="BT891" s="268" t="str">
        <f t="shared" si="1448"/>
        <v/>
      </c>
      <c r="BU891" s="268" t="str">
        <f t="shared" si="1449"/>
        <v/>
      </c>
      <c r="BV891" s="247">
        <v>0.86</v>
      </c>
      <c r="BW891" s="729">
        <f t="shared" si="1450"/>
        <v>825.6</v>
      </c>
      <c r="BX891" s="730">
        <f t="shared" si="1451"/>
        <v>6398.4</v>
      </c>
      <c r="BY891" s="731" t="str">
        <f t="shared" si="1452"/>
        <v>SR</v>
      </c>
    </row>
    <row r="892" s="698" customFormat="1" customHeight="1" spans="1:77">
      <c r="A892" s="248">
        <v>46150</v>
      </c>
      <c r="B892" s="248">
        <v>46203</v>
      </c>
      <c r="C892" s="242" t="s">
        <v>833</v>
      </c>
      <c r="D892" s="242" t="s">
        <v>834</v>
      </c>
      <c r="E892" s="242" t="s">
        <v>109</v>
      </c>
      <c r="F892" s="231">
        <v>720</v>
      </c>
      <c r="G892" s="242" t="s">
        <v>510</v>
      </c>
      <c r="H892" s="211" t="str">
        <f>IFERROR(VLOOKUP(E892,名称!A:E,4,0),"")</f>
        <v>三代</v>
      </c>
      <c r="I892" s="268" t="str">
        <f t="shared" si="1391"/>
        <v/>
      </c>
      <c r="J892" s="268" t="str">
        <f t="shared" si="1392"/>
        <v/>
      </c>
      <c r="K892" s="268" t="str">
        <f t="shared" si="1393"/>
        <v/>
      </c>
      <c r="L892" s="268" t="str">
        <f t="shared" si="1394"/>
        <v/>
      </c>
      <c r="M892" s="268" t="str">
        <f t="shared" si="1395"/>
        <v/>
      </c>
      <c r="N892" s="268" t="str">
        <f t="shared" si="1396"/>
        <v/>
      </c>
      <c r="O892" s="268" t="str">
        <f t="shared" si="1397"/>
        <v/>
      </c>
      <c r="P892" s="268" t="str">
        <f t="shared" si="1398"/>
        <v/>
      </c>
      <c r="Q892" s="268" t="str">
        <f t="shared" si="1399"/>
        <v/>
      </c>
      <c r="R892" s="268" t="str">
        <f t="shared" si="1400"/>
        <v/>
      </c>
      <c r="S892" s="268" t="str">
        <f t="shared" si="1401"/>
        <v/>
      </c>
      <c r="T892" s="268" t="str">
        <f t="shared" si="1402"/>
        <v/>
      </c>
      <c r="U892" s="268" t="str">
        <f t="shared" si="1403"/>
        <v/>
      </c>
      <c r="V892" s="268" t="str">
        <f t="shared" si="1404"/>
        <v/>
      </c>
      <c r="W892" s="268" t="str">
        <f t="shared" si="1405"/>
        <v/>
      </c>
      <c r="X892" s="268" t="str">
        <f t="shared" si="1406"/>
        <v/>
      </c>
      <c r="Y892" s="268" t="str">
        <f t="shared" si="1407"/>
        <v/>
      </c>
      <c r="Z892" s="268" t="str">
        <f t="shared" si="1408"/>
        <v/>
      </c>
      <c r="AA892" s="268" t="str">
        <f t="shared" si="1409"/>
        <v/>
      </c>
      <c r="AB892" s="268" t="str">
        <f t="shared" si="1410"/>
        <v/>
      </c>
      <c r="AC892" s="268" t="str">
        <f t="shared" si="1411"/>
        <v/>
      </c>
      <c r="AD892" s="268" t="str">
        <f t="shared" si="1412"/>
        <v/>
      </c>
      <c r="AE892" s="268" t="str">
        <f t="shared" si="1413"/>
        <v/>
      </c>
      <c r="AF892" s="268" t="str">
        <f t="shared" si="1414"/>
        <v/>
      </c>
      <c r="AG892" s="268" t="str">
        <f t="shared" si="1415"/>
        <v/>
      </c>
      <c r="AH892" s="268" t="str">
        <f t="shared" si="1416"/>
        <v/>
      </c>
      <c r="AI892" s="268" t="str">
        <f t="shared" si="1417"/>
        <v/>
      </c>
      <c r="AJ892" s="268" t="str">
        <f t="shared" si="1418"/>
        <v/>
      </c>
      <c r="AK892" s="268" t="str">
        <f t="shared" si="1419"/>
        <v/>
      </c>
      <c r="AL892" s="268" t="str">
        <f t="shared" si="1420"/>
        <v/>
      </c>
      <c r="AM892" s="268" t="str">
        <f t="shared" si="1421"/>
        <v/>
      </c>
      <c r="AN892" s="268" t="str">
        <f t="shared" si="1422"/>
        <v/>
      </c>
      <c r="AO892" s="268" t="str">
        <f t="shared" si="1423"/>
        <v/>
      </c>
      <c r="AP892" s="268" t="str">
        <f t="shared" si="1424"/>
        <v/>
      </c>
      <c r="AQ892" s="268" t="str">
        <f t="shared" si="1425"/>
        <v/>
      </c>
      <c r="AR892" s="268" t="str">
        <f t="shared" si="1426"/>
        <v/>
      </c>
      <c r="AS892" s="268" t="str">
        <f t="shared" si="1427"/>
        <v/>
      </c>
      <c r="AT892" s="268" t="str">
        <f t="shared" si="1428"/>
        <v/>
      </c>
      <c r="AU892" s="268" t="str">
        <f t="shared" si="1429"/>
        <v/>
      </c>
      <c r="AV892" s="268" t="str">
        <f t="shared" si="1430"/>
        <v/>
      </c>
      <c r="AW892" s="268" t="str">
        <f t="shared" si="1431"/>
        <v/>
      </c>
      <c r="AX892" s="268" t="str">
        <f t="shared" si="1432"/>
        <v/>
      </c>
      <c r="AY892" s="268" t="str">
        <f t="shared" si="1433"/>
        <v/>
      </c>
      <c r="AZ892" s="268" t="str">
        <f t="shared" si="1434"/>
        <v/>
      </c>
      <c r="BA892" s="268" t="str">
        <f t="shared" si="1435"/>
        <v/>
      </c>
      <c r="BB892" s="268" t="str">
        <f t="shared" si="1436"/>
        <v/>
      </c>
      <c r="BC892" s="268">
        <f t="shared" si="1437"/>
        <v>720</v>
      </c>
      <c r="BD892" s="268" t="str">
        <f t="shared" si="1438"/>
        <v/>
      </c>
      <c r="BE892" s="268" t="str">
        <f t="shared" si="1439"/>
        <v/>
      </c>
      <c r="BF892" s="268" t="str">
        <f t="shared" si="1440"/>
        <v/>
      </c>
      <c r="BG892" s="268" t="str">
        <f t="shared" si="1441"/>
        <v/>
      </c>
      <c r="BH892" s="268" t="str">
        <f t="shared" si="1442"/>
        <v/>
      </c>
      <c r="BI892" s="268" t="str">
        <f t="shared" si="1443"/>
        <v/>
      </c>
      <c r="BJ892" s="268" t="str">
        <f t="shared" si="1444"/>
        <v/>
      </c>
      <c r="BK892" s="268" t="str">
        <f t="shared" si="1445"/>
        <v/>
      </c>
      <c r="BL892" s="268" t="str">
        <f t="shared" si="1446"/>
        <v/>
      </c>
      <c r="BM892" s="268" t="str">
        <f t="shared" si="1447"/>
        <v/>
      </c>
      <c r="BN892" s="268" t="str">
        <f t="shared" si="1385"/>
        <v/>
      </c>
      <c r="BO892" s="268" t="str">
        <f t="shared" si="1386"/>
        <v/>
      </c>
      <c r="BP892" s="268" t="str">
        <f t="shared" si="1387"/>
        <v/>
      </c>
      <c r="BQ892" s="268" t="str">
        <f t="shared" si="1388"/>
        <v/>
      </c>
      <c r="BR892" s="268" t="str">
        <f t="shared" si="1389"/>
        <v/>
      </c>
      <c r="BS892" s="268" t="str">
        <f t="shared" si="1390"/>
        <v/>
      </c>
      <c r="BT892" s="268" t="str">
        <f t="shared" si="1448"/>
        <v/>
      </c>
      <c r="BU892" s="268" t="str">
        <f t="shared" si="1449"/>
        <v/>
      </c>
      <c r="BV892" s="247">
        <v>0.57</v>
      </c>
      <c r="BW892" s="729">
        <f t="shared" si="1450"/>
        <v>410.4</v>
      </c>
      <c r="BX892" s="730">
        <f t="shared" si="1451"/>
        <v>3180.6</v>
      </c>
      <c r="BY892" s="731" t="str">
        <f t="shared" si="1452"/>
        <v>JS</v>
      </c>
    </row>
    <row r="893" s="698" customFormat="1" customHeight="1" spans="1:77">
      <c r="A893" s="248">
        <v>46150</v>
      </c>
      <c r="B893" s="248">
        <v>46203</v>
      </c>
      <c r="C893" s="242" t="s">
        <v>833</v>
      </c>
      <c r="D893" s="242" t="s">
        <v>834</v>
      </c>
      <c r="E893" s="242" t="s">
        <v>119</v>
      </c>
      <c r="F893" s="231">
        <v>600</v>
      </c>
      <c r="G893" s="242" t="s">
        <v>510</v>
      </c>
      <c r="H893" s="211" t="str">
        <f>IFERROR(VLOOKUP(E893,名称!A:E,4,0),"")</f>
        <v>三代</v>
      </c>
      <c r="I893" s="268" t="str">
        <f t="shared" si="1391"/>
        <v/>
      </c>
      <c r="J893" s="268" t="str">
        <f t="shared" si="1392"/>
        <v/>
      </c>
      <c r="K893" s="268" t="str">
        <f t="shared" si="1393"/>
        <v/>
      </c>
      <c r="L893" s="268" t="str">
        <f t="shared" si="1394"/>
        <v/>
      </c>
      <c r="M893" s="268" t="str">
        <f t="shared" si="1395"/>
        <v/>
      </c>
      <c r="N893" s="268" t="str">
        <f t="shared" si="1396"/>
        <v/>
      </c>
      <c r="O893" s="268" t="str">
        <f t="shared" si="1397"/>
        <v/>
      </c>
      <c r="P893" s="268" t="str">
        <f t="shared" si="1398"/>
        <v/>
      </c>
      <c r="Q893" s="268" t="str">
        <f t="shared" si="1399"/>
        <v/>
      </c>
      <c r="R893" s="268" t="str">
        <f t="shared" si="1400"/>
        <v/>
      </c>
      <c r="S893" s="268" t="str">
        <f t="shared" si="1401"/>
        <v/>
      </c>
      <c r="T893" s="268" t="str">
        <f t="shared" si="1402"/>
        <v/>
      </c>
      <c r="U893" s="268" t="str">
        <f t="shared" si="1403"/>
        <v/>
      </c>
      <c r="V893" s="268" t="str">
        <f t="shared" si="1404"/>
        <v/>
      </c>
      <c r="W893" s="268" t="str">
        <f t="shared" si="1405"/>
        <v/>
      </c>
      <c r="X893" s="268" t="str">
        <f t="shared" si="1406"/>
        <v/>
      </c>
      <c r="Y893" s="268" t="str">
        <f t="shared" si="1407"/>
        <v/>
      </c>
      <c r="Z893" s="268" t="str">
        <f t="shared" si="1408"/>
        <v/>
      </c>
      <c r="AA893" s="268" t="str">
        <f t="shared" si="1409"/>
        <v/>
      </c>
      <c r="AB893" s="268" t="str">
        <f t="shared" si="1410"/>
        <v/>
      </c>
      <c r="AC893" s="268" t="str">
        <f t="shared" si="1411"/>
        <v/>
      </c>
      <c r="AD893" s="268" t="str">
        <f t="shared" si="1412"/>
        <v/>
      </c>
      <c r="AE893" s="268" t="str">
        <f t="shared" si="1413"/>
        <v/>
      </c>
      <c r="AF893" s="268" t="str">
        <f t="shared" si="1414"/>
        <v/>
      </c>
      <c r="AG893" s="268" t="str">
        <f t="shared" si="1415"/>
        <v/>
      </c>
      <c r="AH893" s="268" t="str">
        <f t="shared" si="1416"/>
        <v/>
      </c>
      <c r="AI893" s="268" t="str">
        <f t="shared" si="1417"/>
        <v/>
      </c>
      <c r="AJ893" s="268" t="str">
        <f t="shared" si="1418"/>
        <v/>
      </c>
      <c r="AK893" s="268" t="str">
        <f t="shared" si="1419"/>
        <v/>
      </c>
      <c r="AL893" s="268" t="str">
        <f t="shared" si="1420"/>
        <v/>
      </c>
      <c r="AM893" s="268" t="str">
        <f t="shared" si="1421"/>
        <v/>
      </c>
      <c r="AN893" s="268" t="str">
        <f t="shared" si="1422"/>
        <v/>
      </c>
      <c r="AO893" s="268" t="str">
        <f t="shared" si="1423"/>
        <v/>
      </c>
      <c r="AP893" s="268">
        <f t="shared" si="1424"/>
        <v>600</v>
      </c>
      <c r="AQ893" s="268" t="str">
        <f t="shared" si="1425"/>
        <v/>
      </c>
      <c r="AR893" s="268" t="str">
        <f t="shared" si="1426"/>
        <v/>
      </c>
      <c r="AS893" s="268" t="str">
        <f t="shared" si="1427"/>
        <v/>
      </c>
      <c r="AT893" s="268" t="str">
        <f t="shared" si="1428"/>
        <v/>
      </c>
      <c r="AU893" s="268" t="str">
        <f t="shared" si="1429"/>
        <v/>
      </c>
      <c r="AV893" s="268" t="str">
        <f t="shared" si="1430"/>
        <v/>
      </c>
      <c r="AW893" s="268" t="str">
        <f t="shared" si="1431"/>
        <v/>
      </c>
      <c r="AX893" s="268" t="str">
        <f t="shared" si="1432"/>
        <v/>
      </c>
      <c r="AY893" s="268" t="str">
        <f t="shared" si="1433"/>
        <v/>
      </c>
      <c r="AZ893" s="268" t="str">
        <f t="shared" si="1434"/>
        <v/>
      </c>
      <c r="BA893" s="268" t="str">
        <f t="shared" si="1435"/>
        <v/>
      </c>
      <c r="BB893" s="268" t="str">
        <f t="shared" si="1436"/>
        <v/>
      </c>
      <c r="BC893" s="268" t="str">
        <f t="shared" si="1437"/>
        <v/>
      </c>
      <c r="BD893" s="268" t="str">
        <f t="shared" si="1438"/>
        <v/>
      </c>
      <c r="BE893" s="268" t="str">
        <f t="shared" si="1439"/>
        <v/>
      </c>
      <c r="BF893" s="268" t="str">
        <f t="shared" si="1440"/>
        <v/>
      </c>
      <c r="BG893" s="268" t="str">
        <f t="shared" si="1441"/>
        <v/>
      </c>
      <c r="BH893" s="268" t="str">
        <f t="shared" si="1442"/>
        <v/>
      </c>
      <c r="BI893" s="268" t="str">
        <f t="shared" si="1443"/>
        <v/>
      </c>
      <c r="BJ893" s="268" t="str">
        <f t="shared" si="1444"/>
        <v/>
      </c>
      <c r="BK893" s="268" t="str">
        <f t="shared" si="1445"/>
        <v/>
      </c>
      <c r="BL893" s="268" t="str">
        <f t="shared" si="1446"/>
        <v/>
      </c>
      <c r="BM893" s="268" t="str">
        <f t="shared" si="1447"/>
        <v/>
      </c>
      <c r="BN893" s="268" t="str">
        <f t="shared" si="1385"/>
        <v/>
      </c>
      <c r="BO893" s="268" t="str">
        <f t="shared" si="1386"/>
        <v/>
      </c>
      <c r="BP893" s="268" t="str">
        <f t="shared" si="1387"/>
        <v/>
      </c>
      <c r="BQ893" s="268" t="str">
        <f t="shared" si="1388"/>
        <v/>
      </c>
      <c r="BR893" s="268" t="str">
        <f t="shared" si="1389"/>
        <v/>
      </c>
      <c r="BS893" s="268" t="str">
        <f t="shared" si="1390"/>
        <v/>
      </c>
      <c r="BT893" s="268" t="str">
        <f t="shared" si="1448"/>
        <v/>
      </c>
      <c r="BU893" s="268" t="str">
        <f t="shared" si="1449"/>
        <v/>
      </c>
      <c r="BV893" s="247">
        <v>0.6</v>
      </c>
      <c r="BW893" s="729">
        <f t="shared" si="1450"/>
        <v>360</v>
      </c>
      <c r="BX893" s="730">
        <f t="shared" si="1451"/>
        <v>2790</v>
      </c>
      <c r="BY893" s="731" t="str">
        <f t="shared" si="1452"/>
        <v>SR</v>
      </c>
    </row>
    <row r="894" s="698" customFormat="1" customHeight="1" spans="1:77">
      <c r="A894" s="248">
        <v>46150</v>
      </c>
      <c r="B894" s="248">
        <v>46203</v>
      </c>
      <c r="C894" s="242" t="s">
        <v>833</v>
      </c>
      <c r="D894" s="242" t="s">
        <v>834</v>
      </c>
      <c r="E894" s="242" t="s">
        <v>125</v>
      </c>
      <c r="F894" s="231">
        <v>240</v>
      </c>
      <c r="G894" s="242" t="s">
        <v>510</v>
      </c>
      <c r="H894" s="211" t="str">
        <f>IFERROR(VLOOKUP(E894,名称!A:E,4,0),"")</f>
        <v>三代</v>
      </c>
      <c r="I894" s="268" t="str">
        <f t="shared" si="1391"/>
        <v/>
      </c>
      <c r="J894" s="268" t="str">
        <f t="shared" si="1392"/>
        <v/>
      </c>
      <c r="K894" s="268" t="str">
        <f t="shared" si="1393"/>
        <v/>
      </c>
      <c r="L894" s="268" t="str">
        <f t="shared" si="1394"/>
        <v/>
      </c>
      <c r="M894" s="268" t="str">
        <f t="shared" si="1395"/>
        <v/>
      </c>
      <c r="N894" s="268" t="str">
        <f t="shared" si="1396"/>
        <v/>
      </c>
      <c r="O894" s="268" t="str">
        <f t="shared" si="1397"/>
        <v/>
      </c>
      <c r="P894" s="268" t="str">
        <f t="shared" si="1398"/>
        <v/>
      </c>
      <c r="Q894" s="268" t="str">
        <f t="shared" si="1399"/>
        <v/>
      </c>
      <c r="R894" s="268" t="str">
        <f t="shared" si="1400"/>
        <v/>
      </c>
      <c r="S894" s="268" t="str">
        <f t="shared" si="1401"/>
        <v/>
      </c>
      <c r="T894" s="268" t="str">
        <f t="shared" si="1402"/>
        <v/>
      </c>
      <c r="U894" s="268" t="str">
        <f t="shared" si="1403"/>
        <v/>
      </c>
      <c r="V894" s="268" t="str">
        <f t="shared" si="1404"/>
        <v/>
      </c>
      <c r="W894" s="268" t="str">
        <f t="shared" si="1405"/>
        <v/>
      </c>
      <c r="X894" s="268" t="str">
        <f t="shared" si="1406"/>
        <v/>
      </c>
      <c r="Y894" s="268" t="str">
        <f t="shared" si="1407"/>
        <v/>
      </c>
      <c r="Z894" s="268" t="str">
        <f t="shared" si="1408"/>
        <v/>
      </c>
      <c r="AA894" s="268" t="str">
        <f t="shared" si="1409"/>
        <v/>
      </c>
      <c r="AB894" s="268" t="str">
        <f t="shared" si="1410"/>
        <v/>
      </c>
      <c r="AC894" s="268" t="str">
        <f t="shared" si="1411"/>
        <v/>
      </c>
      <c r="AD894" s="268" t="str">
        <f t="shared" si="1412"/>
        <v/>
      </c>
      <c r="AE894" s="268" t="str">
        <f t="shared" si="1413"/>
        <v/>
      </c>
      <c r="AF894" s="268" t="str">
        <f t="shared" si="1414"/>
        <v/>
      </c>
      <c r="AG894" s="268" t="str">
        <f t="shared" si="1415"/>
        <v/>
      </c>
      <c r="AH894" s="268" t="str">
        <f t="shared" si="1416"/>
        <v/>
      </c>
      <c r="AI894" s="268" t="str">
        <f t="shared" si="1417"/>
        <v/>
      </c>
      <c r="AJ894" s="268" t="str">
        <f t="shared" si="1418"/>
        <v/>
      </c>
      <c r="AK894" s="268" t="str">
        <f t="shared" si="1419"/>
        <v/>
      </c>
      <c r="AL894" s="268" t="str">
        <f t="shared" si="1420"/>
        <v/>
      </c>
      <c r="AM894" s="268" t="str">
        <f t="shared" si="1421"/>
        <v/>
      </c>
      <c r="AN894" s="268" t="str">
        <f t="shared" si="1422"/>
        <v/>
      </c>
      <c r="AO894" s="268" t="str">
        <f t="shared" si="1423"/>
        <v/>
      </c>
      <c r="AP894" s="268" t="str">
        <f t="shared" si="1424"/>
        <v/>
      </c>
      <c r="AQ894" s="268" t="str">
        <f t="shared" si="1425"/>
        <v/>
      </c>
      <c r="AR894" s="268">
        <f t="shared" si="1426"/>
        <v>240</v>
      </c>
      <c r="AS894" s="268" t="str">
        <f t="shared" si="1427"/>
        <v/>
      </c>
      <c r="AT894" s="268" t="str">
        <f t="shared" si="1428"/>
        <v/>
      </c>
      <c r="AU894" s="268" t="str">
        <f t="shared" si="1429"/>
        <v/>
      </c>
      <c r="AV894" s="268" t="str">
        <f t="shared" si="1430"/>
        <v/>
      </c>
      <c r="AW894" s="268" t="str">
        <f t="shared" si="1431"/>
        <v/>
      </c>
      <c r="AX894" s="268" t="str">
        <f t="shared" si="1432"/>
        <v/>
      </c>
      <c r="AY894" s="268" t="str">
        <f t="shared" si="1433"/>
        <v/>
      </c>
      <c r="AZ894" s="268" t="str">
        <f t="shared" si="1434"/>
        <v/>
      </c>
      <c r="BA894" s="268" t="str">
        <f t="shared" si="1435"/>
        <v/>
      </c>
      <c r="BB894" s="268" t="str">
        <f t="shared" si="1436"/>
        <v/>
      </c>
      <c r="BC894" s="268" t="str">
        <f t="shared" si="1437"/>
        <v/>
      </c>
      <c r="BD894" s="268" t="str">
        <f t="shared" si="1438"/>
        <v/>
      </c>
      <c r="BE894" s="268" t="str">
        <f t="shared" si="1439"/>
        <v/>
      </c>
      <c r="BF894" s="268" t="str">
        <f t="shared" si="1440"/>
        <v/>
      </c>
      <c r="BG894" s="268" t="str">
        <f t="shared" si="1441"/>
        <v/>
      </c>
      <c r="BH894" s="268" t="str">
        <f t="shared" si="1442"/>
        <v/>
      </c>
      <c r="BI894" s="268" t="str">
        <f t="shared" si="1443"/>
        <v/>
      </c>
      <c r="BJ894" s="268" t="str">
        <f t="shared" si="1444"/>
        <v/>
      </c>
      <c r="BK894" s="268" t="str">
        <f t="shared" si="1445"/>
        <v/>
      </c>
      <c r="BL894" s="268" t="str">
        <f t="shared" si="1446"/>
        <v/>
      </c>
      <c r="BM894" s="268" t="str">
        <f t="shared" si="1447"/>
        <v/>
      </c>
      <c r="BN894" s="268" t="str">
        <f t="shared" si="1385"/>
        <v/>
      </c>
      <c r="BO894" s="268" t="str">
        <f t="shared" si="1386"/>
        <v/>
      </c>
      <c r="BP894" s="268" t="str">
        <f t="shared" si="1387"/>
        <v/>
      </c>
      <c r="BQ894" s="268" t="str">
        <f t="shared" si="1388"/>
        <v/>
      </c>
      <c r="BR894" s="268" t="str">
        <f t="shared" si="1389"/>
        <v/>
      </c>
      <c r="BS894" s="268" t="str">
        <f t="shared" si="1390"/>
        <v/>
      </c>
      <c r="BT894" s="268" t="str">
        <f t="shared" si="1448"/>
        <v/>
      </c>
      <c r="BU894" s="268" t="str">
        <f t="shared" si="1449"/>
        <v/>
      </c>
      <c r="BV894" s="247">
        <v>1.55</v>
      </c>
      <c r="BW894" s="729">
        <f t="shared" si="1450"/>
        <v>372</v>
      </c>
      <c r="BX894" s="730">
        <f t="shared" si="1451"/>
        <v>2883</v>
      </c>
      <c r="BY894" s="731" t="str">
        <f t="shared" si="1452"/>
        <v>SR</v>
      </c>
    </row>
    <row r="895" s="698" customFormat="1" customHeight="1" spans="1:77">
      <c r="A895" s="248">
        <v>46150</v>
      </c>
      <c r="B895" s="248">
        <v>46203</v>
      </c>
      <c r="C895" s="242" t="s">
        <v>833</v>
      </c>
      <c r="D895" s="242" t="s">
        <v>834</v>
      </c>
      <c r="E895" s="242" t="s">
        <v>52</v>
      </c>
      <c r="F895" s="231">
        <v>400</v>
      </c>
      <c r="G895" s="242" t="s">
        <v>510</v>
      </c>
      <c r="H895" s="211" t="str">
        <f>IFERROR(VLOOKUP(E895,名称!A:E,4,0),"")</f>
        <v>蛋糕</v>
      </c>
      <c r="I895" s="268" t="str">
        <f t="shared" si="1391"/>
        <v/>
      </c>
      <c r="J895" s="268" t="str">
        <f t="shared" si="1392"/>
        <v/>
      </c>
      <c r="K895" s="268" t="str">
        <f t="shared" si="1393"/>
        <v/>
      </c>
      <c r="L895" s="268" t="str">
        <f t="shared" si="1394"/>
        <v/>
      </c>
      <c r="M895" s="268" t="str">
        <f t="shared" si="1395"/>
        <v/>
      </c>
      <c r="N895" s="268" t="str">
        <f t="shared" si="1396"/>
        <v/>
      </c>
      <c r="O895" s="268" t="str">
        <f t="shared" si="1397"/>
        <v/>
      </c>
      <c r="P895" s="268" t="str">
        <f t="shared" si="1398"/>
        <v/>
      </c>
      <c r="Q895" s="268" t="str">
        <f t="shared" si="1399"/>
        <v/>
      </c>
      <c r="R895" s="268" t="str">
        <f t="shared" si="1400"/>
        <v/>
      </c>
      <c r="S895" s="268" t="str">
        <f t="shared" si="1401"/>
        <v/>
      </c>
      <c r="T895" s="268" t="str">
        <f t="shared" si="1402"/>
        <v/>
      </c>
      <c r="U895" s="268" t="str">
        <f t="shared" si="1403"/>
        <v/>
      </c>
      <c r="V895" s="268" t="str">
        <f t="shared" si="1404"/>
        <v/>
      </c>
      <c r="W895" s="268" t="str">
        <f t="shared" si="1405"/>
        <v/>
      </c>
      <c r="X895" s="268" t="str">
        <f t="shared" si="1406"/>
        <v/>
      </c>
      <c r="Y895" s="268" t="str">
        <f t="shared" si="1407"/>
        <v/>
      </c>
      <c r="Z895" s="268" t="str">
        <f t="shared" si="1408"/>
        <v/>
      </c>
      <c r="AA895" s="268" t="str">
        <f t="shared" si="1409"/>
        <v/>
      </c>
      <c r="AB895" s="268" t="str">
        <f t="shared" si="1410"/>
        <v/>
      </c>
      <c r="AC895" s="268" t="str">
        <f t="shared" si="1411"/>
        <v/>
      </c>
      <c r="AD895" s="268" t="str">
        <f t="shared" si="1412"/>
        <v/>
      </c>
      <c r="AE895" s="268" t="str">
        <f t="shared" si="1413"/>
        <v/>
      </c>
      <c r="AF895" s="268" t="str">
        <f t="shared" si="1414"/>
        <v/>
      </c>
      <c r="AG895" s="268" t="str">
        <f t="shared" si="1415"/>
        <v/>
      </c>
      <c r="AH895" s="268" t="str">
        <f t="shared" si="1416"/>
        <v/>
      </c>
      <c r="AI895" s="268" t="str">
        <f t="shared" si="1417"/>
        <v/>
      </c>
      <c r="AJ895" s="268" t="str">
        <f t="shared" si="1418"/>
        <v/>
      </c>
      <c r="AK895" s="268" t="str">
        <f t="shared" si="1419"/>
        <v/>
      </c>
      <c r="AL895" s="268" t="str">
        <f t="shared" si="1420"/>
        <v/>
      </c>
      <c r="AM895" s="268" t="str">
        <f t="shared" si="1421"/>
        <v/>
      </c>
      <c r="AN895" s="268" t="str">
        <f t="shared" si="1422"/>
        <v/>
      </c>
      <c r="AO895" s="268" t="str">
        <f t="shared" si="1423"/>
        <v/>
      </c>
      <c r="AP895" s="268" t="str">
        <f t="shared" si="1424"/>
        <v/>
      </c>
      <c r="AQ895" s="268" t="str">
        <f t="shared" si="1425"/>
        <v/>
      </c>
      <c r="AR895" s="268" t="str">
        <f t="shared" si="1426"/>
        <v/>
      </c>
      <c r="AS895" s="268" t="str">
        <f t="shared" si="1427"/>
        <v/>
      </c>
      <c r="AT895" s="268" t="str">
        <f t="shared" si="1428"/>
        <v/>
      </c>
      <c r="AU895" s="268" t="str">
        <f t="shared" si="1429"/>
        <v/>
      </c>
      <c r="AV895" s="268" t="str">
        <f t="shared" si="1430"/>
        <v/>
      </c>
      <c r="AW895" s="268" t="str">
        <f t="shared" si="1431"/>
        <v/>
      </c>
      <c r="AX895" s="268" t="str">
        <f t="shared" si="1432"/>
        <v/>
      </c>
      <c r="AY895" s="268" t="str">
        <f t="shared" si="1433"/>
        <v/>
      </c>
      <c r="AZ895" s="268" t="str">
        <f t="shared" si="1434"/>
        <v/>
      </c>
      <c r="BA895" s="268" t="str">
        <f t="shared" si="1435"/>
        <v/>
      </c>
      <c r="BB895" s="268" t="str">
        <f t="shared" si="1436"/>
        <v/>
      </c>
      <c r="BC895" s="268" t="str">
        <f t="shared" si="1437"/>
        <v/>
      </c>
      <c r="BD895" s="268" t="str">
        <f t="shared" si="1438"/>
        <v/>
      </c>
      <c r="BE895" s="268" t="str">
        <f t="shared" si="1439"/>
        <v/>
      </c>
      <c r="BF895" s="268" t="str">
        <f t="shared" si="1440"/>
        <v/>
      </c>
      <c r="BG895" s="268" t="str">
        <f t="shared" si="1441"/>
        <v/>
      </c>
      <c r="BH895" s="268">
        <f t="shared" si="1442"/>
        <v>400</v>
      </c>
      <c r="BI895" s="268" t="str">
        <f t="shared" si="1443"/>
        <v/>
      </c>
      <c r="BJ895" s="268" t="str">
        <f t="shared" si="1444"/>
        <v/>
      </c>
      <c r="BK895" s="268" t="str">
        <f t="shared" si="1445"/>
        <v/>
      </c>
      <c r="BL895" s="268" t="str">
        <f t="shared" si="1446"/>
        <v/>
      </c>
      <c r="BM895" s="268" t="str">
        <f t="shared" si="1447"/>
        <v/>
      </c>
      <c r="BN895" s="268" t="str">
        <f t="shared" si="1385"/>
        <v/>
      </c>
      <c r="BO895" s="268" t="str">
        <f t="shared" si="1386"/>
        <v/>
      </c>
      <c r="BP895" s="268" t="str">
        <f t="shared" si="1387"/>
        <v/>
      </c>
      <c r="BQ895" s="268" t="str">
        <f t="shared" si="1388"/>
        <v/>
      </c>
      <c r="BR895" s="268" t="str">
        <f t="shared" si="1389"/>
        <v/>
      </c>
      <c r="BS895" s="268" t="str">
        <f t="shared" si="1390"/>
        <v/>
      </c>
      <c r="BT895" s="268" t="str">
        <f t="shared" si="1448"/>
        <v/>
      </c>
      <c r="BU895" s="268" t="str">
        <f t="shared" si="1449"/>
        <v/>
      </c>
      <c r="BV895" s="247">
        <v>2.7</v>
      </c>
      <c r="BW895" s="729">
        <f t="shared" si="1450"/>
        <v>1080</v>
      </c>
      <c r="BX895" s="730">
        <f t="shared" si="1451"/>
        <v>8370</v>
      </c>
      <c r="BY895" s="731" t="str">
        <f t="shared" si="1452"/>
        <v>JC</v>
      </c>
    </row>
    <row r="896" s="698" customFormat="1" customHeight="1" spans="1:77">
      <c r="A896" s="248">
        <v>46150</v>
      </c>
      <c r="B896" s="248">
        <v>46203</v>
      </c>
      <c r="C896" s="242" t="s">
        <v>833</v>
      </c>
      <c r="D896" s="242" t="s">
        <v>834</v>
      </c>
      <c r="E896" s="242" t="s">
        <v>50</v>
      </c>
      <c r="F896" s="231">
        <v>720</v>
      </c>
      <c r="G896" s="242" t="s">
        <v>510</v>
      </c>
      <c r="H896" s="211" t="str">
        <f>IFERROR(VLOOKUP(E896,名称!A:E,4,0),"")</f>
        <v>蛋糕</v>
      </c>
      <c r="I896" s="268" t="str">
        <f t="shared" si="1391"/>
        <v/>
      </c>
      <c r="J896" s="268" t="str">
        <f t="shared" si="1392"/>
        <v/>
      </c>
      <c r="K896" s="268" t="str">
        <f t="shared" si="1393"/>
        <v/>
      </c>
      <c r="L896" s="268" t="str">
        <f t="shared" si="1394"/>
        <v/>
      </c>
      <c r="M896" s="268" t="str">
        <f t="shared" si="1395"/>
        <v/>
      </c>
      <c r="N896" s="268" t="str">
        <f t="shared" si="1396"/>
        <v/>
      </c>
      <c r="O896" s="268" t="str">
        <f t="shared" si="1397"/>
        <v/>
      </c>
      <c r="P896" s="268" t="str">
        <f t="shared" si="1398"/>
        <v/>
      </c>
      <c r="Q896" s="268" t="str">
        <f t="shared" si="1399"/>
        <v/>
      </c>
      <c r="R896" s="268" t="str">
        <f t="shared" si="1400"/>
        <v/>
      </c>
      <c r="S896" s="268" t="str">
        <f t="shared" si="1401"/>
        <v/>
      </c>
      <c r="T896" s="268" t="str">
        <f t="shared" si="1402"/>
        <v/>
      </c>
      <c r="U896" s="268" t="str">
        <f t="shared" si="1403"/>
        <v/>
      </c>
      <c r="V896" s="268" t="str">
        <f t="shared" si="1404"/>
        <v/>
      </c>
      <c r="W896" s="268" t="str">
        <f t="shared" si="1405"/>
        <v/>
      </c>
      <c r="X896" s="268" t="str">
        <f t="shared" si="1406"/>
        <v/>
      </c>
      <c r="Y896" s="268" t="str">
        <f t="shared" si="1407"/>
        <v/>
      </c>
      <c r="Z896" s="268" t="str">
        <f t="shared" si="1408"/>
        <v/>
      </c>
      <c r="AA896" s="268" t="str">
        <f t="shared" si="1409"/>
        <v/>
      </c>
      <c r="AB896" s="268" t="str">
        <f t="shared" si="1410"/>
        <v/>
      </c>
      <c r="AC896" s="268" t="str">
        <f t="shared" si="1411"/>
        <v/>
      </c>
      <c r="AD896" s="268" t="str">
        <f t="shared" si="1412"/>
        <v/>
      </c>
      <c r="AE896" s="268" t="str">
        <f t="shared" si="1413"/>
        <v/>
      </c>
      <c r="AF896" s="268" t="str">
        <f t="shared" si="1414"/>
        <v/>
      </c>
      <c r="AG896" s="268" t="str">
        <f t="shared" si="1415"/>
        <v/>
      </c>
      <c r="AH896" s="268" t="str">
        <f t="shared" si="1416"/>
        <v/>
      </c>
      <c r="AI896" s="268" t="str">
        <f t="shared" si="1417"/>
        <v/>
      </c>
      <c r="AJ896" s="268" t="str">
        <f t="shared" si="1418"/>
        <v/>
      </c>
      <c r="AK896" s="268" t="str">
        <f t="shared" si="1419"/>
        <v/>
      </c>
      <c r="AL896" s="268" t="str">
        <f t="shared" si="1420"/>
        <v/>
      </c>
      <c r="AM896" s="268" t="str">
        <f t="shared" si="1421"/>
        <v/>
      </c>
      <c r="AN896" s="268" t="str">
        <f t="shared" si="1422"/>
        <v/>
      </c>
      <c r="AO896" s="268" t="str">
        <f t="shared" si="1423"/>
        <v/>
      </c>
      <c r="AP896" s="268" t="str">
        <f t="shared" si="1424"/>
        <v/>
      </c>
      <c r="AQ896" s="268" t="str">
        <f t="shared" si="1425"/>
        <v/>
      </c>
      <c r="AR896" s="268" t="str">
        <f t="shared" si="1426"/>
        <v/>
      </c>
      <c r="AS896" s="268" t="str">
        <f t="shared" si="1427"/>
        <v/>
      </c>
      <c r="AT896" s="268" t="str">
        <f t="shared" si="1428"/>
        <v/>
      </c>
      <c r="AU896" s="268" t="str">
        <f t="shared" si="1429"/>
        <v/>
      </c>
      <c r="AV896" s="268" t="str">
        <f t="shared" si="1430"/>
        <v/>
      </c>
      <c r="AW896" s="268" t="str">
        <f t="shared" si="1431"/>
        <v/>
      </c>
      <c r="AX896" s="268" t="str">
        <f t="shared" si="1432"/>
        <v/>
      </c>
      <c r="AY896" s="268" t="str">
        <f t="shared" si="1433"/>
        <v/>
      </c>
      <c r="AZ896" s="268" t="str">
        <f t="shared" si="1434"/>
        <v/>
      </c>
      <c r="BA896" s="268" t="str">
        <f t="shared" si="1435"/>
        <v/>
      </c>
      <c r="BB896" s="268" t="str">
        <f t="shared" si="1436"/>
        <v/>
      </c>
      <c r="BC896" s="268" t="str">
        <f t="shared" si="1437"/>
        <v/>
      </c>
      <c r="BD896" s="268" t="str">
        <f t="shared" si="1438"/>
        <v/>
      </c>
      <c r="BE896" s="268" t="str">
        <f t="shared" si="1439"/>
        <v/>
      </c>
      <c r="BF896" s="268" t="str">
        <f t="shared" si="1440"/>
        <v/>
      </c>
      <c r="BG896" s="268">
        <f t="shared" si="1441"/>
        <v>720</v>
      </c>
      <c r="BH896" s="268" t="str">
        <f t="shared" si="1442"/>
        <v/>
      </c>
      <c r="BI896" s="268" t="str">
        <f t="shared" si="1443"/>
        <v/>
      </c>
      <c r="BJ896" s="268" t="str">
        <f t="shared" si="1444"/>
        <v/>
      </c>
      <c r="BK896" s="268" t="str">
        <f t="shared" si="1445"/>
        <v/>
      </c>
      <c r="BL896" s="268" t="str">
        <f t="shared" si="1446"/>
        <v/>
      </c>
      <c r="BM896" s="268" t="str">
        <f t="shared" si="1447"/>
        <v/>
      </c>
      <c r="BN896" s="268" t="str">
        <f t="shared" si="1385"/>
        <v/>
      </c>
      <c r="BO896" s="268" t="str">
        <f t="shared" si="1386"/>
        <v/>
      </c>
      <c r="BP896" s="268" t="str">
        <f t="shared" si="1387"/>
        <v/>
      </c>
      <c r="BQ896" s="268" t="str">
        <f t="shared" si="1388"/>
        <v/>
      </c>
      <c r="BR896" s="268" t="str">
        <f t="shared" si="1389"/>
        <v/>
      </c>
      <c r="BS896" s="268" t="str">
        <f t="shared" si="1390"/>
        <v/>
      </c>
      <c r="BT896" s="268" t="str">
        <f t="shared" si="1448"/>
        <v/>
      </c>
      <c r="BU896" s="268" t="str">
        <f t="shared" si="1449"/>
        <v/>
      </c>
      <c r="BV896" s="247">
        <v>1.06</v>
      </c>
      <c r="BW896" s="729">
        <f t="shared" si="1450"/>
        <v>763.2</v>
      </c>
      <c r="BX896" s="730">
        <f t="shared" si="1451"/>
        <v>5914.8</v>
      </c>
      <c r="BY896" s="731" t="str">
        <f t="shared" si="1452"/>
        <v>JC</v>
      </c>
    </row>
    <row r="897" s="698" customFormat="1" customHeight="1" spans="1:77">
      <c r="A897" s="248">
        <v>46150</v>
      </c>
      <c r="B897" s="248">
        <v>46203</v>
      </c>
      <c r="C897" s="242" t="s">
        <v>833</v>
      </c>
      <c r="D897" s="242" t="s">
        <v>834</v>
      </c>
      <c r="E897" s="242" t="s">
        <v>123</v>
      </c>
      <c r="F897" s="231">
        <v>1920</v>
      </c>
      <c r="G897" s="242" t="s">
        <v>510</v>
      </c>
      <c r="H897" s="211" t="str">
        <f>IFERROR(VLOOKUP(E897,名称!A:E,4,0),"")</f>
        <v>蛋糕</v>
      </c>
      <c r="I897" s="268" t="str">
        <f t="shared" si="1391"/>
        <v/>
      </c>
      <c r="J897" s="268" t="str">
        <f t="shared" si="1392"/>
        <v/>
      </c>
      <c r="K897" s="268" t="str">
        <f t="shared" si="1393"/>
        <v/>
      </c>
      <c r="L897" s="268" t="str">
        <f t="shared" si="1394"/>
        <v/>
      </c>
      <c r="M897" s="268" t="str">
        <f t="shared" si="1395"/>
        <v/>
      </c>
      <c r="N897" s="268" t="str">
        <f t="shared" si="1396"/>
        <v/>
      </c>
      <c r="O897" s="268" t="str">
        <f t="shared" si="1397"/>
        <v/>
      </c>
      <c r="P897" s="268" t="str">
        <f t="shared" si="1398"/>
        <v/>
      </c>
      <c r="Q897" s="268" t="str">
        <f t="shared" si="1399"/>
        <v/>
      </c>
      <c r="R897" s="268" t="str">
        <f t="shared" si="1400"/>
        <v/>
      </c>
      <c r="S897" s="268" t="str">
        <f t="shared" si="1401"/>
        <v/>
      </c>
      <c r="T897" s="268" t="str">
        <f t="shared" si="1402"/>
        <v/>
      </c>
      <c r="U897" s="268" t="str">
        <f t="shared" si="1403"/>
        <v/>
      </c>
      <c r="V897" s="268" t="str">
        <f t="shared" si="1404"/>
        <v/>
      </c>
      <c r="W897" s="268" t="str">
        <f t="shared" si="1405"/>
        <v/>
      </c>
      <c r="X897" s="268" t="str">
        <f t="shared" si="1406"/>
        <v/>
      </c>
      <c r="Y897" s="268" t="str">
        <f t="shared" si="1407"/>
        <v/>
      </c>
      <c r="Z897" s="268" t="str">
        <f t="shared" si="1408"/>
        <v/>
      </c>
      <c r="AA897" s="268" t="str">
        <f t="shared" si="1409"/>
        <v/>
      </c>
      <c r="AB897" s="268" t="str">
        <f t="shared" si="1410"/>
        <v/>
      </c>
      <c r="AC897" s="268" t="str">
        <f t="shared" si="1411"/>
        <v/>
      </c>
      <c r="AD897" s="268" t="str">
        <f t="shared" si="1412"/>
        <v/>
      </c>
      <c r="AE897" s="268" t="str">
        <f t="shared" si="1413"/>
        <v/>
      </c>
      <c r="AF897" s="268" t="str">
        <f t="shared" si="1414"/>
        <v/>
      </c>
      <c r="AG897" s="268" t="str">
        <f t="shared" si="1415"/>
        <v/>
      </c>
      <c r="AH897" s="268" t="str">
        <f t="shared" si="1416"/>
        <v/>
      </c>
      <c r="AI897" s="268" t="str">
        <f t="shared" si="1417"/>
        <v/>
      </c>
      <c r="AJ897" s="268" t="str">
        <f t="shared" si="1418"/>
        <v/>
      </c>
      <c r="AK897" s="268" t="str">
        <f t="shared" si="1419"/>
        <v/>
      </c>
      <c r="AL897" s="268" t="str">
        <f t="shared" si="1420"/>
        <v/>
      </c>
      <c r="AM897" s="268" t="str">
        <f t="shared" si="1421"/>
        <v/>
      </c>
      <c r="AN897" s="268" t="str">
        <f t="shared" si="1422"/>
        <v/>
      </c>
      <c r="AO897" s="268" t="str">
        <f t="shared" si="1423"/>
        <v/>
      </c>
      <c r="AP897" s="268" t="str">
        <f t="shared" si="1424"/>
        <v/>
      </c>
      <c r="AQ897" s="268" t="str">
        <f t="shared" si="1425"/>
        <v/>
      </c>
      <c r="AR897" s="268" t="str">
        <f t="shared" si="1426"/>
        <v/>
      </c>
      <c r="AS897" s="268" t="str">
        <f t="shared" si="1427"/>
        <v/>
      </c>
      <c r="AT897" s="268" t="str">
        <f t="shared" si="1428"/>
        <v/>
      </c>
      <c r="AU897" s="268" t="str">
        <f t="shared" si="1429"/>
        <v/>
      </c>
      <c r="AV897" s="268" t="str">
        <f t="shared" si="1430"/>
        <v/>
      </c>
      <c r="AW897" s="268" t="str">
        <f t="shared" si="1431"/>
        <v/>
      </c>
      <c r="AX897" s="268" t="str">
        <f t="shared" si="1432"/>
        <v/>
      </c>
      <c r="AY897" s="268" t="str">
        <f t="shared" si="1433"/>
        <v/>
      </c>
      <c r="AZ897" s="268" t="str">
        <f t="shared" si="1434"/>
        <v/>
      </c>
      <c r="BA897" s="268" t="str">
        <f t="shared" si="1435"/>
        <v/>
      </c>
      <c r="BB897" s="268" t="str">
        <f t="shared" si="1436"/>
        <v/>
      </c>
      <c r="BC897" s="268" t="str">
        <f t="shared" si="1437"/>
        <v/>
      </c>
      <c r="BD897" s="268" t="str">
        <f t="shared" si="1438"/>
        <v/>
      </c>
      <c r="BE897" s="268" t="str">
        <f t="shared" si="1439"/>
        <v/>
      </c>
      <c r="BF897" s="268">
        <f t="shared" si="1440"/>
        <v>1920</v>
      </c>
      <c r="BG897" s="268" t="str">
        <f t="shared" si="1441"/>
        <v/>
      </c>
      <c r="BH897" s="268" t="str">
        <f t="shared" si="1442"/>
        <v/>
      </c>
      <c r="BI897" s="268" t="str">
        <f t="shared" si="1443"/>
        <v/>
      </c>
      <c r="BJ897" s="268" t="str">
        <f t="shared" si="1444"/>
        <v/>
      </c>
      <c r="BK897" s="268" t="str">
        <f t="shared" si="1445"/>
        <v/>
      </c>
      <c r="BL897" s="268" t="str">
        <f t="shared" si="1446"/>
        <v/>
      </c>
      <c r="BM897" s="268" t="str">
        <f t="shared" si="1447"/>
        <v/>
      </c>
      <c r="BN897" s="268" t="str">
        <f t="shared" si="1385"/>
        <v/>
      </c>
      <c r="BO897" s="268" t="str">
        <f t="shared" si="1386"/>
        <v/>
      </c>
      <c r="BP897" s="268" t="str">
        <f t="shared" si="1387"/>
        <v/>
      </c>
      <c r="BQ897" s="268" t="str">
        <f t="shared" si="1388"/>
        <v/>
      </c>
      <c r="BR897" s="268" t="str">
        <f t="shared" si="1389"/>
        <v/>
      </c>
      <c r="BS897" s="268" t="str">
        <f t="shared" si="1390"/>
        <v/>
      </c>
      <c r="BT897" s="268" t="str">
        <f t="shared" si="1448"/>
        <v/>
      </c>
      <c r="BU897" s="268" t="str">
        <f t="shared" si="1449"/>
        <v/>
      </c>
      <c r="BV897" s="247">
        <v>0.75</v>
      </c>
      <c r="BW897" s="729">
        <f t="shared" si="1450"/>
        <v>1440</v>
      </c>
      <c r="BX897" s="730">
        <f t="shared" si="1451"/>
        <v>11160</v>
      </c>
      <c r="BY897" s="731" t="str">
        <f t="shared" si="1452"/>
        <v>JC</v>
      </c>
    </row>
    <row r="898" s="698" customFormat="1" customHeight="1" spans="1:77">
      <c r="A898" s="248">
        <v>46150</v>
      </c>
      <c r="B898" s="248">
        <v>46203</v>
      </c>
      <c r="C898" s="242" t="s">
        <v>833</v>
      </c>
      <c r="D898" s="242" t="s">
        <v>834</v>
      </c>
      <c r="E898" s="242" t="s">
        <v>63</v>
      </c>
      <c r="F898" s="231">
        <v>600</v>
      </c>
      <c r="G898" s="242" t="s">
        <v>510</v>
      </c>
      <c r="H898" s="211" t="str">
        <f>IFERROR(VLOOKUP(E898,名称!A:E,4,0),"")</f>
        <v>三代</v>
      </c>
      <c r="I898" s="268" t="str">
        <f t="shared" si="1391"/>
        <v/>
      </c>
      <c r="J898" s="268" t="str">
        <f t="shared" si="1392"/>
        <v/>
      </c>
      <c r="K898" s="268" t="str">
        <f t="shared" si="1393"/>
        <v/>
      </c>
      <c r="L898" s="268" t="str">
        <f t="shared" si="1394"/>
        <v/>
      </c>
      <c r="M898" s="268" t="str">
        <f t="shared" si="1395"/>
        <v/>
      </c>
      <c r="N898" s="268" t="str">
        <f t="shared" si="1396"/>
        <v/>
      </c>
      <c r="O898" s="268" t="str">
        <f t="shared" si="1397"/>
        <v/>
      </c>
      <c r="P898" s="268" t="str">
        <f t="shared" si="1398"/>
        <v/>
      </c>
      <c r="Q898" s="268" t="str">
        <f t="shared" si="1399"/>
        <v/>
      </c>
      <c r="R898" s="268" t="str">
        <f t="shared" si="1400"/>
        <v/>
      </c>
      <c r="S898" s="268" t="str">
        <f t="shared" si="1401"/>
        <v/>
      </c>
      <c r="T898" s="268" t="str">
        <f t="shared" si="1402"/>
        <v/>
      </c>
      <c r="U898" s="268" t="str">
        <f t="shared" si="1403"/>
        <v/>
      </c>
      <c r="V898" s="268" t="str">
        <f t="shared" si="1404"/>
        <v/>
      </c>
      <c r="W898" s="268" t="str">
        <f t="shared" si="1405"/>
        <v/>
      </c>
      <c r="X898" s="268" t="str">
        <f t="shared" si="1406"/>
        <v/>
      </c>
      <c r="Y898" s="268" t="str">
        <f t="shared" si="1407"/>
        <v/>
      </c>
      <c r="Z898" s="268" t="str">
        <f t="shared" si="1408"/>
        <v/>
      </c>
      <c r="AA898" s="268" t="str">
        <f t="shared" si="1409"/>
        <v/>
      </c>
      <c r="AB898" s="268" t="str">
        <f t="shared" si="1410"/>
        <v/>
      </c>
      <c r="AC898" s="268" t="str">
        <f t="shared" si="1411"/>
        <v/>
      </c>
      <c r="AD898" s="268" t="str">
        <f t="shared" si="1412"/>
        <v/>
      </c>
      <c r="AE898" s="268" t="str">
        <f t="shared" si="1413"/>
        <v/>
      </c>
      <c r="AF898" s="268">
        <f t="shared" si="1414"/>
        <v>600</v>
      </c>
      <c r="AG898" s="268" t="str">
        <f t="shared" si="1415"/>
        <v/>
      </c>
      <c r="AH898" s="268" t="str">
        <f t="shared" si="1416"/>
        <v/>
      </c>
      <c r="AI898" s="268" t="str">
        <f t="shared" si="1417"/>
        <v/>
      </c>
      <c r="AJ898" s="268" t="str">
        <f t="shared" si="1418"/>
        <v/>
      </c>
      <c r="AK898" s="268" t="str">
        <f t="shared" si="1419"/>
        <v/>
      </c>
      <c r="AL898" s="268" t="str">
        <f t="shared" si="1420"/>
        <v/>
      </c>
      <c r="AM898" s="268" t="str">
        <f t="shared" si="1421"/>
        <v/>
      </c>
      <c r="AN898" s="268" t="str">
        <f t="shared" si="1422"/>
        <v/>
      </c>
      <c r="AO898" s="268" t="str">
        <f t="shared" si="1423"/>
        <v/>
      </c>
      <c r="AP898" s="268" t="str">
        <f t="shared" si="1424"/>
        <v/>
      </c>
      <c r="AQ898" s="268" t="str">
        <f t="shared" si="1425"/>
        <v/>
      </c>
      <c r="AR898" s="268" t="str">
        <f t="shared" si="1426"/>
        <v/>
      </c>
      <c r="AS898" s="268" t="str">
        <f t="shared" si="1427"/>
        <v/>
      </c>
      <c r="AT898" s="268" t="str">
        <f t="shared" si="1428"/>
        <v/>
      </c>
      <c r="AU898" s="268" t="str">
        <f t="shared" si="1429"/>
        <v/>
      </c>
      <c r="AV898" s="268" t="str">
        <f t="shared" si="1430"/>
        <v/>
      </c>
      <c r="AW898" s="268" t="str">
        <f t="shared" si="1431"/>
        <v/>
      </c>
      <c r="AX898" s="268" t="str">
        <f t="shared" si="1432"/>
        <v/>
      </c>
      <c r="AY898" s="268" t="str">
        <f t="shared" si="1433"/>
        <v/>
      </c>
      <c r="AZ898" s="268" t="str">
        <f t="shared" si="1434"/>
        <v/>
      </c>
      <c r="BA898" s="268" t="str">
        <f t="shared" si="1435"/>
        <v/>
      </c>
      <c r="BB898" s="268" t="str">
        <f t="shared" si="1436"/>
        <v/>
      </c>
      <c r="BC898" s="268" t="str">
        <f t="shared" si="1437"/>
        <v/>
      </c>
      <c r="BD898" s="268" t="str">
        <f t="shared" si="1438"/>
        <v/>
      </c>
      <c r="BE898" s="268" t="str">
        <f t="shared" si="1439"/>
        <v/>
      </c>
      <c r="BF898" s="268" t="str">
        <f t="shared" si="1440"/>
        <v/>
      </c>
      <c r="BG898" s="268" t="str">
        <f t="shared" si="1441"/>
        <v/>
      </c>
      <c r="BH898" s="268" t="str">
        <f t="shared" si="1442"/>
        <v/>
      </c>
      <c r="BI898" s="268" t="str">
        <f t="shared" si="1443"/>
        <v/>
      </c>
      <c r="BJ898" s="268" t="str">
        <f t="shared" si="1444"/>
        <v/>
      </c>
      <c r="BK898" s="268" t="str">
        <f t="shared" si="1445"/>
        <v/>
      </c>
      <c r="BL898" s="268" t="str">
        <f t="shared" si="1446"/>
        <v/>
      </c>
      <c r="BM898" s="268" t="str">
        <f t="shared" si="1447"/>
        <v/>
      </c>
      <c r="BN898" s="268" t="str">
        <f t="shared" si="1385"/>
        <v/>
      </c>
      <c r="BO898" s="268" t="str">
        <f t="shared" si="1386"/>
        <v/>
      </c>
      <c r="BP898" s="268" t="str">
        <f t="shared" si="1387"/>
        <v/>
      </c>
      <c r="BQ898" s="268" t="str">
        <f t="shared" si="1388"/>
        <v/>
      </c>
      <c r="BR898" s="268" t="str">
        <f t="shared" si="1389"/>
        <v/>
      </c>
      <c r="BS898" s="268" t="str">
        <f t="shared" si="1390"/>
        <v/>
      </c>
      <c r="BT898" s="268" t="str">
        <f t="shared" si="1448"/>
        <v/>
      </c>
      <c r="BU898" s="268" t="str">
        <f t="shared" si="1449"/>
        <v/>
      </c>
      <c r="BV898" s="247">
        <v>0.61</v>
      </c>
      <c r="BW898" s="729">
        <f t="shared" si="1450"/>
        <v>366</v>
      </c>
      <c r="BX898" s="730">
        <f t="shared" si="1451"/>
        <v>2836.5</v>
      </c>
      <c r="BY898" s="731" t="str">
        <f t="shared" si="1452"/>
        <v>SR</v>
      </c>
    </row>
    <row r="899" s="697" customFormat="1" customHeight="1" spans="1:77">
      <c r="A899" s="179">
        <v>46150</v>
      </c>
      <c r="B899" s="179">
        <v>46266</v>
      </c>
      <c r="C899" s="176" t="s">
        <v>835</v>
      </c>
      <c r="D899" s="176" t="s">
        <v>836</v>
      </c>
      <c r="E899" s="176" t="s">
        <v>180</v>
      </c>
      <c r="F899" s="741">
        <v>20016</v>
      </c>
      <c r="G899" s="176" t="s">
        <v>334</v>
      </c>
      <c r="H899" s="118" t="str">
        <f>IFERROR(VLOOKUP(E899,名称!A:E,4,0),"")</f>
        <v>三代</v>
      </c>
      <c r="I899" s="418" t="str">
        <f t="shared" si="1391"/>
        <v/>
      </c>
      <c r="J899" s="418" t="str">
        <f t="shared" si="1392"/>
        <v/>
      </c>
      <c r="K899" s="418" t="str">
        <f t="shared" si="1393"/>
        <v/>
      </c>
      <c r="L899" s="418" t="str">
        <f t="shared" si="1394"/>
        <v/>
      </c>
      <c r="M899" s="418" t="str">
        <f t="shared" si="1395"/>
        <v/>
      </c>
      <c r="N899" s="418" t="str">
        <f t="shared" si="1396"/>
        <v/>
      </c>
      <c r="O899" s="418" t="str">
        <f t="shared" si="1397"/>
        <v/>
      </c>
      <c r="P899" s="418" t="str">
        <f t="shared" si="1398"/>
        <v/>
      </c>
      <c r="Q899" s="418" t="str">
        <f t="shared" si="1399"/>
        <v/>
      </c>
      <c r="R899" s="418" t="str">
        <f t="shared" si="1400"/>
        <v/>
      </c>
      <c r="S899" s="418" t="str">
        <f t="shared" si="1401"/>
        <v/>
      </c>
      <c r="T899" s="418" t="str">
        <f t="shared" si="1402"/>
        <v/>
      </c>
      <c r="U899" s="418" t="str">
        <f t="shared" si="1403"/>
        <v/>
      </c>
      <c r="V899" s="418" t="str">
        <f t="shared" si="1404"/>
        <v/>
      </c>
      <c r="W899" s="418" t="str">
        <f t="shared" si="1405"/>
        <v/>
      </c>
      <c r="X899" s="418" t="str">
        <f t="shared" si="1406"/>
        <v/>
      </c>
      <c r="Y899" s="418" t="str">
        <f t="shared" si="1407"/>
        <v/>
      </c>
      <c r="Z899" s="418" t="str">
        <f t="shared" si="1408"/>
        <v/>
      </c>
      <c r="AA899" s="418" t="str">
        <f t="shared" si="1409"/>
        <v/>
      </c>
      <c r="AB899" s="418" t="str">
        <f t="shared" si="1410"/>
        <v/>
      </c>
      <c r="AC899" s="418" t="str">
        <f t="shared" si="1411"/>
        <v/>
      </c>
      <c r="AD899" s="418" t="str">
        <f t="shared" si="1412"/>
        <v/>
      </c>
      <c r="AE899" s="418" t="str">
        <f t="shared" si="1413"/>
        <v/>
      </c>
      <c r="AF899" s="418" t="str">
        <f t="shared" si="1414"/>
        <v/>
      </c>
      <c r="AG899" s="418" t="str">
        <f t="shared" si="1415"/>
        <v/>
      </c>
      <c r="AH899" s="418" t="str">
        <f t="shared" si="1416"/>
        <v/>
      </c>
      <c r="AI899" s="418" t="str">
        <f t="shared" si="1417"/>
        <v/>
      </c>
      <c r="AJ899" s="418" t="str">
        <f t="shared" si="1418"/>
        <v/>
      </c>
      <c r="AK899" s="418" t="str">
        <f t="shared" si="1419"/>
        <v/>
      </c>
      <c r="AL899" s="418" t="str">
        <f t="shared" si="1420"/>
        <v/>
      </c>
      <c r="AM899" s="418" t="str">
        <f t="shared" si="1421"/>
        <v/>
      </c>
      <c r="AN899" s="418" t="str">
        <f t="shared" si="1422"/>
        <v/>
      </c>
      <c r="AO899" s="418" t="str">
        <f t="shared" si="1423"/>
        <v/>
      </c>
      <c r="AP899" s="418" t="str">
        <f t="shared" si="1424"/>
        <v/>
      </c>
      <c r="AQ899" s="418" t="str">
        <f t="shared" si="1425"/>
        <v/>
      </c>
      <c r="AR899" s="418" t="str">
        <f t="shared" si="1426"/>
        <v/>
      </c>
      <c r="AS899" s="418" t="str">
        <f t="shared" si="1427"/>
        <v/>
      </c>
      <c r="AT899" s="418" t="str">
        <f t="shared" si="1428"/>
        <v/>
      </c>
      <c r="AU899" s="418" t="str">
        <f t="shared" si="1429"/>
        <v/>
      </c>
      <c r="AV899" s="418" t="str">
        <f t="shared" si="1430"/>
        <v/>
      </c>
      <c r="AW899" s="418" t="str">
        <f t="shared" si="1431"/>
        <v/>
      </c>
      <c r="AX899" s="418" t="str">
        <f t="shared" si="1432"/>
        <v/>
      </c>
      <c r="AY899" s="418" t="str">
        <f t="shared" si="1433"/>
        <v/>
      </c>
      <c r="AZ899" s="418" t="str">
        <f t="shared" si="1434"/>
        <v/>
      </c>
      <c r="BA899" s="418" t="str">
        <f t="shared" si="1435"/>
        <v/>
      </c>
      <c r="BB899" s="418" t="str">
        <f t="shared" si="1436"/>
        <v/>
      </c>
      <c r="BC899" s="418" t="str">
        <f t="shared" si="1437"/>
        <v/>
      </c>
      <c r="BD899" s="418" t="str">
        <f t="shared" si="1438"/>
        <v/>
      </c>
      <c r="BE899" s="418" t="str">
        <f t="shared" si="1439"/>
        <v/>
      </c>
      <c r="BF899" s="418" t="str">
        <f t="shared" si="1440"/>
        <v/>
      </c>
      <c r="BG899" s="418" t="str">
        <f t="shared" si="1441"/>
        <v/>
      </c>
      <c r="BH899" s="418" t="str">
        <f t="shared" si="1442"/>
        <v/>
      </c>
      <c r="BI899" s="418" t="str">
        <f t="shared" si="1443"/>
        <v/>
      </c>
      <c r="BJ899" s="418" t="str">
        <f t="shared" si="1444"/>
        <v/>
      </c>
      <c r="BK899" s="418" t="str">
        <f t="shared" si="1445"/>
        <v/>
      </c>
      <c r="BL899" s="418">
        <f t="shared" si="1446"/>
        <v>20016</v>
      </c>
      <c r="BM899" s="418" t="str">
        <f t="shared" si="1447"/>
        <v/>
      </c>
      <c r="BN899" s="418" t="str">
        <f t="shared" si="1385"/>
        <v/>
      </c>
      <c r="BO899" s="418" t="str">
        <f t="shared" si="1386"/>
        <v/>
      </c>
      <c r="BP899" s="418" t="str">
        <f t="shared" si="1387"/>
        <v/>
      </c>
      <c r="BQ899" s="418" t="str">
        <f t="shared" si="1388"/>
        <v/>
      </c>
      <c r="BR899" s="418" t="str">
        <f t="shared" si="1389"/>
        <v/>
      </c>
      <c r="BS899" s="418" t="str">
        <f t="shared" si="1390"/>
        <v/>
      </c>
      <c r="BT899" s="418" t="str">
        <f t="shared" si="1448"/>
        <v/>
      </c>
      <c r="BU899" s="418" t="str">
        <f t="shared" si="1449"/>
        <v/>
      </c>
      <c r="BV899" s="742">
        <v>0.85</v>
      </c>
      <c r="BW899" s="723">
        <f t="shared" si="1450"/>
        <v>17013.6</v>
      </c>
      <c r="BX899" s="724">
        <f t="shared" si="1451"/>
        <v>131855.4</v>
      </c>
      <c r="BY899" s="725" t="str">
        <f t="shared" si="1452"/>
        <v>SR</v>
      </c>
    </row>
    <row r="900" s="698" customFormat="1" customHeight="1" spans="1:77">
      <c r="A900" s="227">
        <v>46151</v>
      </c>
      <c r="B900" s="248">
        <v>46204</v>
      </c>
      <c r="C900" s="242" t="s">
        <v>837</v>
      </c>
      <c r="D900" s="242" t="s">
        <v>838</v>
      </c>
      <c r="E900" s="242" t="s">
        <v>191</v>
      </c>
      <c r="F900" s="231">
        <v>1788</v>
      </c>
      <c r="G900" s="242" t="s">
        <v>510</v>
      </c>
      <c r="H900" s="211" t="str">
        <f>IFERROR(VLOOKUP(E900,名称!A:E,4,0),"")</f>
        <v>三代</v>
      </c>
      <c r="I900" s="268" t="str">
        <f t="shared" si="1391"/>
        <v/>
      </c>
      <c r="J900" s="268" t="str">
        <f t="shared" si="1392"/>
        <v/>
      </c>
      <c r="K900" s="268" t="str">
        <f t="shared" si="1393"/>
        <v/>
      </c>
      <c r="L900" s="268" t="str">
        <f t="shared" si="1394"/>
        <v/>
      </c>
      <c r="M900" s="268" t="str">
        <f t="shared" si="1395"/>
        <v/>
      </c>
      <c r="N900" s="268" t="str">
        <f t="shared" si="1396"/>
        <v/>
      </c>
      <c r="O900" s="268" t="str">
        <f t="shared" si="1397"/>
        <v/>
      </c>
      <c r="P900" s="268" t="str">
        <f t="shared" si="1398"/>
        <v/>
      </c>
      <c r="Q900" s="268" t="str">
        <f t="shared" si="1399"/>
        <v/>
      </c>
      <c r="R900" s="268" t="str">
        <f t="shared" si="1400"/>
        <v/>
      </c>
      <c r="S900" s="268" t="str">
        <f t="shared" si="1401"/>
        <v/>
      </c>
      <c r="T900" s="268" t="str">
        <f t="shared" si="1402"/>
        <v/>
      </c>
      <c r="U900" s="268" t="str">
        <f t="shared" si="1403"/>
        <v/>
      </c>
      <c r="V900" s="268" t="str">
        <f t="shared" si="1404"/>
        <v/>
      </c>
      <c r="W900" s="268" t="str">
        <f t="shared" si="1405"/>
        <v/>
      </c>
      <c r="X900" s="268" t="str">
        <f t="shared" si="1406"/>
        <v/>
      </c>
      <c r="Y900" s="268" t="str">
        <f t="shared" si="1407"/>
        <v/>
      </c>
      <c r="Z900" s="268" t="str">
        <f t="shared" si="1408"/>
        <v/>
      </c>
      <c r="AA900" s="268" t="str">
        <f t="shared" si="1409"/>
        <v/>
      </c>
      <c r="AB900" s="268" t="str">
        <f t="shared" si="1410"/>
        <v/>
      </c>
      <c r="AC900" s="268">
        <f t="shared" si="1411"/>
        <v>1788</v>
      </c>
      <c r="AD900" s="268" t="str">
        <f t="shared" si="1412"/>
        <v/>
      </c>
      <c r="AE900" s="268" t="str">
        <f t="shared" si="1413"/>
        <v/>
      </c>
      <c r="AF900" s="268" t="str">
        <f t="shared" si="1414"/>
        <v/>
      </c>
      <c r="AG900" s="268" t="str">
        <f t="shared" si="1415"/>
        <v/>
      </c>
      <c r="AH900" s="268" t="str">
        <f t="shared" si="1416"/>
        <v/>
      </c>
      <c r="AI900" s="268" t="str">
        <f t="shared" si="1417"/>
        <v/>
      </c>
      <c r="AJ900" s="268" t="str">
        <f t="shared" si="1418"/>
        <v/>
      </c>
      <c r="AK900" s="268" t="str">
        <f t="shared" si="1419"/>
        <v/>
      </c>
      <c r="AL900" s="268" t="str">
        <f t="shared" si="1420"/>
        <v/>
      </c>
      <c r="AM900" s="268" t="str">
        <f t="shared" si="1421"/>
        <v/>
      </c>
      <c r="AN900" s="268" t="str">
        <f t="shared" si="1422"/>
        <v/>
      </c>
      <c r="AO900" s="268" t="str">
        <f t="shared" si="1423"/>
        <v/>
      </c>
      <c r="AP900" s="268" t="str">
        <f t="shared" si="1424"/>
        <v/>
      </c>
      <c r="AQ900" s="268" t="str">
        <f t="shared" si="1425"/>
        <v/>
      </c>
      <c r="AR900" s="268" t="str">
        <f t="shared" si="1426"/>
        <v/>
      </c>
      <c r="AS900" s="268" t="str">
        <f t="shared" si="1427"/>
        <v/>
      </c>
      <c r="AT900" s="268" t="str">
        <f t="shared" si="1428"/>
        <v/>
      </c>
      <c r="AU900" s="268" t="str">
        <f t="shared" si="1429"/>
        <v/>
      </c>
      <c r="AV900" s="268" t="str">
        <f t="shared" si="1430"/>
        <v/>
      </c>
      <c r="AW900" s="268" t="str">
        <f t="shared" si="1431"/>
        <v/>
      </c>
      <c r="AX900" s="268" t="str">
        <f t="shared" si="1432"/>
        <v/>
      </c>
      <c r="AY900" s="268" t="str">
        <f t="shared" si="1433"/>
        <v/>
      </c>
      <c r="AZ900" s="268" t="str">
        <f t="shared" si="1434"/>
        <v/>
      </c>
      <c r="BA900" s="268" t="str">
        <f t="shared" si="1435"/>
        <v/>
      </c>
      <c r="BB900" s="268" t="str">
        <f t="shared" si="1436"/>
        <v/>
      </c>
      <c r="BC900" s="268" t="str">
        <f t="shared" si="1437"/>
        <v/>
      </c>
      <c r="BD900" s="268" t="str">
        <f t="shared" si="1438"/>
        <v/>
      </c>
      <c r="BE900" s="268" t="str">
        <f t="shared" si="1439"/>
        <v/>
      </c>
      <c r="BF900" s="268" t="str">
        <f t="shared" si="1440"/>
        <v/>
      </c>
      <c r="BG900" s="268" t="str">
        <f t="shared" si="1441"/>
        <v/>
      </c>
      <c r="BH900" s="268" t="str">
        <f t="shared" si="1442"/>
        <v/>
      </c>
      <c r="BI900" s="268" t="str">
        <f t="shared" si="1443"/>
        <v/>
      </c>
      <c r="BJ900" s="268" t="str">
        <f t="shared" si="1444"/>
        <v/>
      </c>
      <c r="BK900" s="268" t="str">
        <f t="shared" si="1445"/>
        <v/>
      </c>
      <c r="BL900" s="268" t="str">
        <f t="shared" si="1446"/>
        <v/>
      </c>
      <c r="BM900" s="268" t="str">
        <f t="shared" si="1447"/>
        <v/>
      </c>
      <c r="BN900" s="268" t="str">
        <f t="shared" si="1385"/>
        <v/>
      </c>
      <c r="BO900" s="268" t="str">
        <f t="shared" si="1386"/>
        <v/>
      </c>
      <c r="BP900" s="268" t="str">
        <f t="shared" si="1387"/>
        <v/>
      </c>
      <c r="BQ900" s="268" t="str">
        <f t="shared" si="1388"/>
        <v/>
      </c>
      <c r="BR900" s="268" t="str">
        <f t="shared" si="1389"/>
        <v/>
      </c>
      <c r="BS900" s="268" t="str">
        <f t="shared" si="1390"/>
        <v/>
      </c>
      <c r="BT900" s="268" t="str">
        <f t="shared" si="1448"/>
        <v/>
      </c>
      <c r="BU900" s="268" t="str">
        <f t="shared" si="1449"/>
        <v/>
      </c>
      <c r="BV900" s="247">
        <v>0.8</v>
      </c>
      <c r="BW900" s="729">
        <f t="shared" si="1450"/>
        <v>1430.4</v>
      </c>
      <c r="BX900" s="730">
        <f t="shared" si="1451"/>
        <v>11085.6</v>
      </c>
      <c r="BY900" s="731" t="str">
        <f t="shared" si="1452"/>
        <v>SR</v>
      </c>
    </row>
    <row r="901" s="698" customFormat="1" customHeight="1" spans="1:77">
      <c r="A901" s="227">
        <v>46151</v>
      </c>
      <c r="B901" s="248">
        <v>46204</v>
      </c>
      <c r="C901" s="242" t="s">
        <v>837</v>
      </c>
      <c r="D901" s="242" t="s">
        <v>838</v>
      </c>
      <c r="E901" s="242" t="s">
        <v>192</v>
      </c>
      <c r="F901" s="231">
        <v>1716</v>
      </c>
      <c r="G901" s="242" t="s">
        <v>510</v>
      </c>
      <c r="H901" s="211" t="str">
        <f>IFERROR(VLOOKUP(E901,名称!A:E,4,0),"")</f>
        <v>三代</v>
      </c>
      <c r="I901" s="268" t="str">
        <f t="shared" si="1391"/>
        <v/>
      </c>
      <c r="J901" s="268" t="str">
        <f t="shared" si="1392"/>
        <v/>
      </c>
      <c r="K901" s="268" t="str">
        <f t="shared" si="1393"/>
        <v/>
      </c>
      <c r="L901" s="268" t="str">
        <f t="shared" si="1394"/>
        <v/>
      </c>
      <c r="M901" s="268" t="str">
        <f t="shared" si="1395"/>
        <v/>
      </c>
      <c r="N901" s="268" t="str">
        <f t="shared" si="1396"/>
        <v/>
      </c>
      <c r="O901" s="268" t="str">
        <f t="shared" si="1397"/>
        <v/>
      </c>
      <c r="P901" s="268" t="str">
        <f t="shared" si="1398"/>
        <v/>
      </c>
      <c r="Q901" s="268" t="str">
        <f t="shared" si="1399"/>
        <v/>
      </c>
      <c r="R901" s="268" t="str">
        <f t="shared" si="1400"/>
        <v/>
      </c>
      <c r="S901" s="268" t="str">
        <f t="shared" si="1401"/>
        <v/>
      </c>
      <c r="T901" s="268" t="str">
        <f t="shared" si="1402"/>
        <v/>
      </c>
      <c r="U901" s="268" t="str">
        <f t="shared" si="1403"/>
        <v/>
      </c>
      <c r="V901" s="268" t="str">
        <f t="shared" si="1404"/>
        <v/>
      </c>
      <c r="W901" s="268" t="str">
        <f t="shared" si="1405"/>
        <v/>
      </c>
      <c r="X901" s="268" t="str">
        <f t="shared" si="1406"/>
        <v/>
      </c>
      <c r="Y901" s="268" t="str">
        <f t="shared" si="1407"/>
        <v/>
      </c>
      <c r="Z901" s="268" t="str">
        <f t="shared" si="1408"/>
        <v/>
      </c>
      <c r="AA901" s="268" t="str">
        <f t="shared" si="1409"/>
        <v/>
      </c>
      <c r="AB901" s="268" t="str">
        <f t="shared" si="1410"/>
        <v/>
      </c>
      <c r="AC901" s="268">
        <f t="shared" si="1411"/>
        <v>1716</v>
      </c>
      <c r="AD901" s="268" t="str">
        <f t="shared" si="1412"/>
        <v/>
      </c>
      <c r="AE901" s="268" t="str">
        <f t="shared" si="1413"/>
        <v/>
      </c>
      <c r="AF901" s="268" t="str">
        <f t="shared" si="1414"/>
        <v/>
      </c>
      <c r="AG901" s="268" t="str">
        <f t="shared" si="1415"/>
        <v/>
      </c>
      <c r="AH901" s="268" t="str">
        <f t="shared" si="1416"/>
        <v/>
      </c>
      <c r="AI901" s="268" t="str">
        <f t="shared" si="1417"/>
        <v/>
      </c>
      <c r="AJ901" s="268" t="str">
        <f t="shared" si="1418"/>
        <v/>
      </c>
      <c r="AK901" s="268" t="str">
        <f t="shared" si="1419"/>
        <v/>
      </c>
      <c r="AL901" s="268" t="str">
        <f t="shared" si="1420"/>
        <v/>
      </c>
      <c r="AM901" s="268" t="str">
        <f t="shared" si="1421"/>
        <v/>
      </c>
      <c r="AN901" s="268" t="str">
        <f t="shared" si="1422"/>
        <v/>
      </c>
      <c r="AO901" s="268" t="str">
        <f t="shared" si="1423"/>
        <v/>
      </c>
      <c r="AP901" s="268" t="str">
        <f t="shared" si="1424"/>
        <v/>
      </c>
      <c r="AQ901" s="268" t="str">
        <f t="shared" si="1425"/>
        <v/>
      </c>
      <c r="AR901" s="268" t="str">
        <f t="shared" si="1426"/>
        <v/>
      </c>
      <c r="AS901" s="268" t="str">
        <f t="shared" si="1427"/>
        <v/>
      </c>
      <c r="AT901" s="268" t="str">
        <f t="shared" si="1428"/>
        <v/>
      </c>
      <c r="AU901" s="268" t="str">
        <f t="shared" si="1429"/>
        <v/>
      </c>
      <c r="AV901" s="268" t="str">
        <f t="shared" si="1430"/>
        <v/>
      </c>
      <c r="AW901" s="268" t="str">
        <f t="shared" si="1431"/>
        <v/>
      </c>
      <c r="AX901" s="268" t="str">
        <f t="shared" si="1432"/>
        <v/>
      </c>
      <c r="AY901" s="268" t="str">
        <f t="shared" si="1433"/>
        <v/>
      </c>
      <c r="AZ901" s="268" t="str">
        <f t="shared" si="1434"/>
        <v/>
      </c>
      <c r="BA901" s="268" t="str">
        <f t="shared" si="1435"/>
        <v/>
      </c>
      <c r="BB901" s="268" t="str">
        <f t="shared" si="1436"/>
        <v/>
      </c>
      <c r="BC901" s="268" t="str">
        <f t="shared" si="1437"/>
        <v/>
      </c>
      <c r="BD901" s="268" t="str">
        <f t="shared" si="1438"/>
        <v/>
      </c>
      <c r="BE901" s="268" t="str">
        <f t="shared" si="1439"/>
        <v/>
      </c>
      <c r="BF901" s="268" t="str">
        <f t="shared" si="1440"/>
        <v/>
      </c>
      <c r="BG901" s="268" t="str">
        <f t="shared" si="1441"/>
        <v/>
      </c>
      <c r="BH901" s="268" t="str">
        <f t="shared" si="1442"/>
        <v/>
      </c>
      <c r="BI901" s="268" t="str">
        <f t="shared" si="1443"/>
        <v/>
      </c>
      <c r="BJ901" s="268" t="str">
        <f t="shared" si="1444"/>
        <v/>
      </c>
      <c r="BK901" s="268" t="str">
        <f t="shared" si="1445"/>
        <v/>
      </c>
      <c r="BL901" s="268" t="str">
        <f t="shared" si="1446"/>
        <v/>
      </c>
      <c r="BM901" s="268" t="str">
        <f t="shared" si="1447"/>
        <v/>
      </c>
      <c r="BN901" s="268" t="str">
        <f t="shared" si="1385"/>
        <v/>
      </c>
      <c r="BO901" s="268" t="str">
        <f t="shared" si="1386"/>
        <v/>
      </c>
      <c r="BP901" s="268" t="str">
        <f t="shared" si="1387"/>
        <v/>
      </c>
      <c r="BQ901" s="268" t="str">
        <f t="shared" si="1388"/>
        <v/>
      </c>
      <c r="BR901" s="268" t="str">
        <f t="shared" si="1389"/>
        <v/>
      </c>
      <c r="BS901" s="268" t="str">
        <f t="shared" si="1390"/>
        <v/>
      </c>
      <c r="BT901" s="268" t="str">
        <f t="shared" si="1448"/>
        <v/>
      </c>
      <c r="BU901" s="268" t="str">
        <f t="shared" si="1449"/>
        <v/>
      </c>
      <c r="BV901" s="247">
        <v>0.8</v>
      </c>
      <c r="BW901" s="729">
        <f t="shared" si="1450"/>
        <v>1372.8</v>
      </c>
      <c r="BX901" s="730">
        <f t="shared" si="1451"/>
        <v>10639.2</v>
      </c>
      <c r="BY901" s="731" t="str">
        <f t="shared" si="1452"/>
        <v>SR</v>
      </c>
    </row>
    <row r="902" s="698" customFormat="1" customHeight="1" spans="1:77">
      <c r="A902" s="227">
        <v>46151</v>
      </c>
      <c r="B902" s="248">
        <v>46204</v>
      </c>
      <c r="C902" s="242" t="s">
        <v>837</v>
      </c>
      <c r="D902" s="242" t="s">
        <v>838</v>
      </c>
      <c r="E902" s="242" t="s">
        <v>193</v>
      </c>
      <c r="F902" s="231">
        <v>1536</v>
      </c>
      <c r="G902" s="242" t="s">
        <v>510</v>
      </c>
      <c r="H902" s="211" t="str">
        <f>IFERROR(VLOOKUP(E902,名称!A:E,4,0),"")</f>
        <v>三代</v>
      </c>
      <c r="I902" s="268" t="str">
        <f t="shared" si="1391"/>
        <v/>
      </c>
      <c r="J902" s="268" t="str">
        <f t="shared" si="1392"/>
        <v/>
      </c>
      <c r="K902" s="268" t="str">
        <f t="shared" si="1393"/>
        <v/>
      </c>
      <c r="L902" s="268" t="str">
        <f t="shared" si="1394"/>
        <v/>
      </c>
      <c r="M902" s="268" t="str">
        <f t="shared" si="1395"/>
        <v/>
      </c>
      <c r="N902" s="268" t="str">
        <f t="shared" si="1396"/>
        <v/>
      </c>
      <c r="O902" s="268" t="str">
        <f t="shared" si="1397"/>
        <v/>
      </c>
      <c r="P902" s="268" t="str">
        <f t="shared" si="1398"/>
        <v/>
      </c>
      <c r="Q902" s="268" t="str">
        <f t="shared" si="1399"/>
        <v/>
      </c>
      <c r="R902" s="268" t="str">
        <f t="shared" si="1400"/>
        <v/>
      </c>
      <c r="S902" s="268" t="str">
        <f t="shared" si="1401"/>
        <v/>
      </c>
      <c r="T902" s="268" t="str">
        <f t="shared" si="1402"/>
        <v/>
      </c>
      <c r="U902" s="268" t="str">
        <f t="shared" si="1403"/>
        <v/>
      </c>
      <c r="V902" s="268" t="str">
        <f t="shared" si="1404"/>
        <v/>
      </c>
      <c r="W902" s="268" t="str">
        <f t="shared" si="1405"/>
        <v/>
      </c>
      <c r="X902" s="268" t="str">
        <f t="shared" si="1406"/>
        <v/>
      </c>
      <c r="Y902" s="268" t="str">
        <f t="shared" si="1407"/>
        <v/>
      </c>
      <c r="Z902" s="268" t="str">
        <f t="shared" si="1408"/>
        <v/>
      </c>
      <c r="AA902" s="268" t="str">
        <f t="shared" si="1409"/>
        <v/>
      </c>
      <c r="AB902" s="268" t="str">
        <f t="shared" si="1410"/>
        <v/>
      </c>
      <c r="AC902" s="268">
        <f t="shared" si="1411"/>
        <v>1536</v>
      </c>
      <c r="AD902" s="268" t="str">
        <f t="shared" si="1412"/>
        <v/>
      </c>
      <c r="AE902" s="268" t="str">
        <f t="shared" si="1413"/>
        <v/>
      </c>
      <c r="AF902" s="268" t="str">
        <f t="shared" si="1414"/>
        <v/>
      </c>
      <c r="AG902" s="268" t="str">
        <f t="shared" si="1415"/>
        <v/>
      </c>
      <c r="AH902" s="268" t="str">
        <f t="shared" si="1416"/>
        <v/>
      </c>
      <c r="AI902" s="268" t="str">
        <f t="shared" si="1417"/>
        <v/>
      </c>
      <c r="AJ902" s="268" t="str">
        <f t="shared" si="1418"/>
        <v/>
      </c>
      <c r="AK902" s="268" t="str">
        <f t="shared" si="1419"/>
        <v/>
      </c>
      <c r="AL902" s="268" t="str">
        <f t="shared" si="1420"/>
        <v/>
      </c>
      <c r="AM902" s="268" t="str">
        <f t="shared" si="1421"/>
        <v/>
      </c>
      <c r="AN902" s="268" t="str">
        <f t="shared" si="1422"/>
        <v/>
      </c>
      <c r="AO902" s="268" t="str">
        <f t="shared" si="1423"/>
        <v/>
      </c>
      <c r="AP902" s="268" t="str">
        <f t="shared" si="1424"/>
        <v/>
      </c>
      <c r="AQ902" s="268" t="str">
        <f t="shared" si="1425"/>
        <v/>
      </c>
      <c r="AR902" s="268" t="str">
        <f t="shared" si="1426"/>
        <v/>
      </c>
      <c r="AS902" s="268" t="str">
        <f t="shared" si="1427"/>
        <v/>
      </c>
      <c r="AT902" s="268" t="str">
        <f t="shared" si="1428"/>
        <v/>
      </c>
      <c r="AU902" s="268" t="str">
        <f t="shared" si="1429"/>
        <v/>
      </c>
      <c r="AV902" s="268" t="str">
        <f t="shared" si="1430"/>
        <v/>
      </c>
      <c r="AW902" s="268" t="str">
        <f t="shared" si="1431"/>
        <v/>
      </c>
      <c r="AX902" s="268" t="str">
        <f t="shared" si="1432"/>
        <v/>
      </c>
      <c r="AY902" s="268" t="str">
        <f t="shared" si="1433"/>
        <v/>
      </c>
      <c r="AZ902" s="268" t="str">
        <f t="shared" si="1434"/>
        <v/>
      </c>
      <c r="BA902" s="268" t="str">
        <f t="shared" si="1435"/>
        <v/>
      </c>
      <c r="BB902" s="268" t="str">
        <f t="shared" si="1436"/>
        <v/>
      </c>
      <c r="BC902" s="268" t="str">
        <f t="shared" si="1437"/>
        <v/>
      </c>
      <c r="BD902" s="268" t="str">
        <f t="shared" si="1438"/>
        <v/>
      </c>
      <c r="BE902" s="268" t="str">
        <f t="shared" si="1439"/>
        <v/>
      </c>
      <c r="BF902" s="268" t="str">
        <f t="shared" si="1440"/>
        <v/>
      </c>
      <c r="BG902" s="268" t="str">
        <f t="shared" si="1441"/>
        <v/>
      </c>
      <c r="BH902" s="268" t="str">
        <f t="shared" si="1442"/>
        <v/>
      </c>
      <c r="BI902" s="268" t="str">
        <f t="shared" si="1443"/>
        <v/>
      </c>
      <c r="BJ902" s="268" t="str">
        <f t="shared" si="1444"/>
        <v/>
      </c>
      <c r="BK902" s="268" t="str">
        <f t="shared" si="1445"/>
        <v/>
      </c>
      <c r="BL902" s="268" t="str">
        <f t="shared" si="1446"/>
        <v/>
      </c>
      <c r="BM902" s="268" t="str">
        <f t="shared" si="1447"/>
        <v/>
      </c>
      <c r="BN902" s="268" t="str">
        <f t="shared" si="1385"/>
        <v/>
      </c>
      <c r="BO902" s="268" t="str">
        <f t="shared" si="1386"/>
        <v/>
      </c>
      <c r="BP902" s="268" t="str">
        <f t="shared" si="1387"/>
        <v/>
      </c>
      <c r="BQ902" s="268" t="str">
        <f t="shared" si="1388"/>
        <v/>
      </c>
      <c r="BR902" s="268" t="str">
        <f t="shared" si="1389"/>
        <v/>
      </c>
      <c r="BS902" s="268" t="str">
        <f t="shared" si="1390"/>
        <v/>
      </c>
      <c r="BT902" s="268" t="str">
        <f t="shared" si="1448"/>
        <v/>
      </c>
      <c r="BU902" s="268" t="str">
        <f t="shared" si="1449"/>
        <v/>
      </c>
      <c r="BV902" s="247">
        <v>0.8</v>
      </c>
      <c r="BW902" s="729">
        <f t="shared" si="1450"/>
        <v>1228.8</v>
      </c>
      <c r="BX902" s="730">
        <f t="shared" si="1451"/>
        <v>9523.2</v>
      </c>
      <c r="BY902" s="731" t="str">
        <f t="shared" si="1452"/>
        <v>SR</v>
      </c>
    </row>
    <row r="903" s="698" customFormat="1" customHeight="1" spans="1:77">
      <c r="A903" s="227">
        <v>46151</v>
      </c>
      <c r="B903" s="248">
        <v>46204</v>
      </c>
      <c r="C903" s="242" t="s">
        <v>837</v>
      </c>
      <c r="D903" s="242" t="s">
        <v>838</v>
      </c>
      <c r="E903" s="242" t="s">
        <v>194</v>
      </c>
      <c r="F903" s="231">
        <v>276</v>
      </c>
      <c r="G903" s="242" t="s">
        <v>510</v>
      </c>
      <c r="H903" s="211" t="str">
        <f>IFERROR(VLOOKUP(E903,名称!A:E,4,0),"")</f>
        <v>三代</v>
      </c>
      <c r="I903" s="268" t="str">
        <f t="shared" si="1391"/>
        <v/>
      </c>
      <c r="J903" s="268" t="str">
        <f t="shared" si="1392"/>
        <v/>
      </c>
      <c r="K903" s="268" t="str">
        <f t="shared" si="1393"/>
        <v/>
      </c>
      <c r="L903" s="268" t="str">
        <f t="shared" si="1394"/>
        <v/>
      </c>
      <c r="M903" s="268" t="str">
        <f t="shared" si="1395"/>
        <v/>
      </c>
      <c r="N903" s="268" t="str">
        <f t="shared" si="1396"/>
        <v/>
      </c>
      <c r="O903" s="268" t="str">
        <f t="shared" si="1397"/>
        <v/>
      </c>
      <c r="P903" s="268" t="str">
        <f t="shared" si="1398"/>
        <v/>
      </c>
      <c r="Q903" s="268" t="str">
        <f t="shared" si="1399"/>
        <v/>
      </c>
      <c r="R903" s="268" t="str">
        <f t="shared" si="1400"/>
        <v/>
      </c>
      <c r="S903" s="268" t="str">
        <f t="shared" si="1401"/>
        <v/>
      </c>
      <c r="T903" s="268" t="str">
        <f t="shared" si="1402"/>
        <v/>
      </c>
      <c r="U903" s="268" t="str">
        <f t="shared" si="1403"/>
        <v/>
      </c>
      <c r="V903" s="268" t="str">
        <f t="shared" si="1404"/>
        <v/>
      </c>
      <c r="W903" s="268" t="str">
        <f t="shared" si="1405"/>
        <v/>
      </c>
      <c r="X903" s="268" t="str">
        <f t="shared" si="1406"/>
        <v/>
      </c>
      <c r="Y903" s="268" t="str">
        <f t="shared" si="1407"/>
        <v/>
      </c>
      <c r="Z903" s="268" t="str">
        <f t="shared" si="1408"/>
        <v/>
      </c>
      <c r="AA903" s="268" t="str">
        <f t="shared" si="1409"/>
        <v/>
      </c>
      <c r="AB903" s="268" t="str">
        <f t="shared" si="1410"/>
        <v/>
      </c>
      <c r="AC903" s="268">
        <f t="shared" si="1411"/>
        <v>276</v>
      </c>
      <c r="AD903" s="268" t="str">
        <f t="shared" si="1412"/>
        <v/>
      </c>
      <c r="AE903" s="268" t="str">
        <f t="shared" si="1413"/>
        <v/>
      </c>
      <c r="AF903" s="268" t="str">
        <f t="shared" si="1414"/>
        <v/>
      </c>
      <c r="AG903" s="268" t="str">
        <f t="shared" si="1415"/>
        <v/>
      </c>
      <c r="AH903" s="268" t="str">
        <f t="shared" si="1416"/>
        <v/>
      </c>
      <c r="AI903" s="268" t="str">
        <f t="shared" si="1417"/>
        <v/>
      </c>
      <c r="AJ903" s="268" t="str">
        <f t="shared" si="1418"/>
        <v/>
      </c>
      <c r="AK903" s="268" t="str">
        <f t="shared" si="1419"/>
        <v/>
      </c>
      <c r="AL903" s="268" t="str">
        <f t="shared" si="1420"/>
        <v/>
      </c>
      <c r="AM903" s="268" t="str">
        <f t="shared" si="1421"/>
        <v/>
      </c>
      <c r="AN903" s="268" t="str">
        <f t="shared" si="1422"/>
        <v/>
      </c>
      <c r="AO903" s="268" t="str">
        <f t="shared" si="1423"/>
        <v/>
      </c>
      <c r="AP903" s="268" t="str">
        <f t="shared" si="1424"/>
        <v/>
      </c>
      <c r="AQ903" s="268" t="str">
        <f t="shared" si="1425"/>
        <v/>
      </c>
      <c r="AR903" s="268" t="str">
        <f t="shared" si="1426"/>
        <v/>
      </c>
      <c r="AS903" s="268" t="str">
        <f t="shared" si="1427"/>
        <v/>
      </c>
      <c r="AT903" s="268" t="str">
        <f t="shared" si="1428"/>
        <v/>
      </c>
      <c r="AU903" s="268" t="str">
        <f t="shared" si="1429"/>
        <v/>
      </c>
      <c r="AV903" s="268" t="str">
        <f t="shared" si="1430"/>
        <v/>
      </c>
      <c r="AW903" s="268" t="str">
        <f t="shared" si="1431"/>
        <v/>
      </c>
      <c r="AX903" s="268" t="str">
        <f t="shared" si="1432"/>
        <v/>
      </c>
      <c r="AY903" s="268" t="str">
        <f t="shared" si="1433"/>
        <v/>
      </c>
      <c r="AZ903" s="268" t="str">
        <f t="shared" si="1434"/>
        <v/>
      </c>
      <c r="BA903" s="268" t="str">
        <f t="shared" si="1435"/>
        <v/>
      </c>
      <c r="BB903" s="268" t="str">
        <f t="shared" si="1436"/>
        <v/>
      </c>
      <c r="BC903" s="268" t="str">
        <f t="shared" si="1437"/>
        <v/>
      </c>
      <c r="BD903" s="268" t="str">
        <f t="shared" si="1438"/>
        <v/>
      </c>
      <c r="BE903" s="268" t="str">
        <f t="shared" si="1439"/>
        <v/>
      </c>
      <c r="BF903" s="268" t="str">
        <f t="shared" si="1440"/>
        <v/>
      </c>
      <c r="BG903" s="268" t="str">
        <f t="shared" si="1441"/>
        <v/>
      </c>
      <c r="BH903" s="268" t="str">
        <f t="shared" si="1442"/>
        <v/>
      </c>
      <c r="BI903" s="268" t="str">
        <f t="shared" si="1443"/>
        <v/>
      </c>
      <c r="BJ903" s="268" t="str">
        <f t="shared" si="1444"/>
        <v/>
      </c>
      <c r="BK903" s="268" t="str">
        <f t="shared" si="1445"/>
        <v/>
      </c>
      <c r="BL903" s="268" t="str">
        <f t="shared" si="1446"/>
        <v/>
      </c>
      <c r="BM903" s="268" t="str">
        <f t="shared" si="1447"/>
        <v/>
      </c>
      <c r="BN903" s="268" t="str">
        <f t="shared" si="1385"/>
        <v/>
      </c>
      <c r="BO903" s="268" t="str">
        <f t="shared" si="1386"/>
        <v/>
      </c>
      <c r="BP903" s="268" t="str">
        <f t="shared" si="1387"/>
        <v/>
      </c>
      <c r="BQ903" s="268" t="str">
        <f t="shared" si="1388"/>
        <v/>
      </c>
      <c r="BR903" s="268" t="str">
        <f t="shared" si="1389"/>
        <v/>
      </c>
      <c r="BS903" s="268" t="str">
        <f t="shared" si="1390"/>
        <v/>
      </c>
      <c r="BT903" s="268" t="str">
        <f t="shared" si="1448"/>
        <v/>
      </c>
      <c r="BU903" s="268" t="str">
        <f t="shared" si="1449"/>
        <v/>
      </c>
      <c r="BV903" s="247">
        <v>0.8</v>
      </c>
      <c r="BW903" s="729">
        <f t="shared" si="1450"/>
        <v>220.8</v>
      </c>
      <c r="BX903" s="730">
        <f t="shared" si="1451"/>
        <v>1711.2</v>
      </c>
      <c r="BY903" s="731" t="str">
        <f t="shared" si="1452"/>
        <v>SR</v>
      </c>
    </row>
    <row r="904" s="698" customFormat="1" customHeight="1" spans="1:77">
      <c r="A904" s="227">
        <v>46151</v>
      </c>
      <c r="B904" s="248">
        <v>46204</v>
      </c>
      <c r="C904" s="242" t="s">
        <v>837</v>
      </c>
      <c r="D904" s="242" t="s">
        <v>838</v>
      </c>
      <c r="E904" s="242" t="s">
        <v>195</v>
      </c>
      <c r="F904" s="231">
        <v>1668</v>
      </c>
      <c r="G904" s="242" t="s">
        <v>510</v>
      </c>
      <c r="H904" s="211" t="str">
        <f>IFERROR(VLOOKUP(E904,名称!A:E,4,0),"")</f>
        <v>三代</v>
      </c>
      <c r="I904" s="268" t="str">
        <f t="shared" si="1391"/>
        <v/>
      </c>
      <c r="J904" s="268" t="str">
        <f t="shared" si="1392"/>
        <v/>
      </c>
      <c r="K904" s="268" t="str">
        <f t="shared" si="1393"/>
        <v/>
      </c>
      <c r="L904" s="268" t="str">
        <f t="shared" si="1394"/>
        <v/>
      </c>
      <c r="M904" s="268" t="str">
        <f t="shared" si="1395"/>
        <v/>
      </c>
      <c r="N904" s="268" t="str">
        <f t="shared" si="1396"/>
        <v/>
      </c>
      <c r="O904" s="268" t="str">
        <f t="shared" si="1397"/>
        <v/>
      </c>
      <c r="P904" s="268" t="str">
        <f t="shared" si="1398"/>
        <v/>
      </c>
      <c r="Q904" s="268" t="str">
        <f t="shared" si="1399"/>
        <v/>
      </c>
      <c r="R904" s="268" t="str">
        <f t="shared" si="1400"/>
        <v/>
      </c>
      <c r="S904" s="268" t="str">
        <f t="shared" si="1401"/>
        <v/>
      </c>
      <c r="T904" s="268" t="str">
        <f t="shared" si="1402"/>
        <v/>
      </c>
      <c r="U904" s="268" t="str">
        <f t="shared" si="1403"/>
        <v/>
      </c>
      <c r="V904" s="268" t="str">
        <f t="shared" si="1404"/>
        <v/>
      </c>
      <c r="W904" s="268" t="str">
        <f t="shared" si="1405"/>
        <v/>
      </c>
      <c r="X904" s="268" t="str">
        <f t="shared" si="1406"/>
        <v/>
      </c>
      <c r="Y904" s="268" t="str">
        <f t="shared" si="1407"/>
        <v/>
      </c>
      <c r="Z904" s="268" t="str">
        <f t="shared" si="1408"/>
        <v/>
      </c>
      <c r="AA904" s="268" t="str">
        <f t="shared" si="1409"/>
        <v/>
      </c>
      <c r="AB904" s="268" t="str">
        <f t="shared" si="1410"/>
        <v/>
      </c>
      <c r="AC904" s="268">
        <f t="shared" si="1411"/>
        <v>1668</v>
      </c>
      <c r="AD904" s="268" t="str">
        <f t="shared" si="1412"/>
        <v/>
      </c>
      <c r="AE904" s="268" t="str">
        <f t="shared" si="1413"/>
        <v/>
      </c>
      <c r="AF904" s="268" t="str">
        <f t="shared" si="1414"/>
        <v/>
      </c>
      <c r="AG904" s="268" t="str">
        <f t="shared" si="1415"/>
        <v/>
      </c>
      <c r="AH904" s="268" t="str">
        <f t="shared" si="1416"/>
        <v/>
      </c>
      <c r="AI904" s="268" t="str">
        <f t="shared" si="1417"/>
        <v/>
      </c>
      <c r="AJ904" s="268" t="str">
        <f t="shared" si="1418"/>
        <v/>
      </c>
      <c r="AK904" s="268" t="str">
        <f t="shared" si="1419"/>
        <v/>
      </c>
      <c r="AL904" s="268" t="str">
        <f t="shared" si="1420"/>
        <v/>
      </c>
      <c r="AM904" s="268" t="str">
        <f t="shared" si="1421"/>
        <v/>
      </c>
      <c r="AN904" s="268" t="str">
        <f t="shared" si="1422"/>
        <v/>
      </c>
      <c r="AO904" s="268" t="str">
        <f t="shared" si="1423"/>
        <v/>
      </c>
      <c r="AP904" s="268" t="str">
        <f t="shared" si="1424"/>
        <v/>
      </c>
      <c r="AQ904" s="268" t="str">
        <f t="shared" si="1425"/>
        <v/>
      </c>
      <c r="AR904" s="268" t="str">
        <f t="shared" si="1426"/>
        <v/>
      </c>
      <c r="AS904" s="268" t="str">
        <f t="shared" si="1427"/>
        <v/>
      </c>
      <c r="AT904" s="268" t="str">
        <f t="shared" si="1428"/>
        <v/>
      </c>
      <c r="AU904" s="268" t="str">
        <f t="shared" si="1429"/>
        <v/>
      </c>
      <c r="AV904" s="268" t="str">
        <f t="shared" si="1430"/>
        <v/>
      </c>
      <c r="AW904" s="268" t="str">
        <f t="shared" si="1431"/>
        <v/>
      </c>
      <c r="AX904" s="268" t="str">
        <f t="shared" si="1432"/>
        <v/>
      </c>
      <c r="AY904" s="268" t="str">
        <f t="shared" si="1433"/>
        <v/>
      </c>
      <c r="AZ904" s="268" t="str">
        <f t="shared" si="1434"/>
        <v/>
      </c>
      <c r="BA904" s="268" t="str">
        <f t="shared" si="1435"/>
        <v/>
      </c>
      <c r="BB904" s="268" t="str">
        <f t="shared" si="1436"/>
        <v/>
      </c>
      <c r="BC904" s="268" t="str">
        <f t="shared" si="1437"/>
        <v/>
      </c>
      <c r="BD904" s="268" t="str">
        <f t="shared" si="1438"/>
        <v/>
      </c>
      <c r="BE904" s="268" t="str">
        <f t="shared" si="1439"/>
        <v/>
      </c>
      <c r="BF904" s="268" t="str">
        <f t="shared" si="1440"/>
        <v/>
      </c>
      <c r="BG904" s="268" t="str">
        <f t="shared" si="1441"/>
        <v/>
      </c>
      <c r="BH904" s="268" t="str">
        <f t="shared" si="1442"/>
        <v/>
      </c>
      <c r="BI904" s="268" t="str">
        <f t="shared" si="1443"/>
        <v/>
      </c>
      <c r="BJ904" s="268" t="str">
        <f t="shared" si="1444"/>
        <v/>
      </c>
      <c r="BK904" s="268" t="str">
        <f t="shared" si="1445"/>
        <v/>
      </c>
      <c r="BL904" s="268" t="str">
        <f t="shared" si="1446"/>
        <v/>
      </c>
      <c r="BM904" s="268" t="str">
        <f t="shared" si="1447"/>
        <v/>
      </c>
      <c r="BN904" s="268" t="str">
        <f t="shared" si="1385"/>
        <v/>
      </c>
      <c r="BO904" s="268" t="str">
        <f t="shared" si="1386"/>
        <v/>
      </c>
      <c r="BP904" s="268" t="str">
        <f t="shared" si="1387"/>
        <v/>
      </c>
      <c r="BQ904" s="268" t="str">
        <f t="shared" si="1388"/>
        <v/>
      </c>
      <c r="BR904" s="268" t="str">
        <f t="shared" si="1389"/>
        <v/>
      </c>
      <c r="BS904" s="268" t="str">
        <f t="shared" si="1390"/>
        <v/>
      </c>
      <c r="BT904" s="268" t="str">
        <f t="shared" si="1448"/>
        <v/>
      </c>
      <c r="BU904" s="268" t="str">
        <f t="shared" si="1449"/>
        <v/>
      </c>
      <c r="BV904" s="247">
        <v>0.8</v>
      </c>
      <c r="BW904" s="729">
        <f t="shared" si="1450"/>
        <v>1334.4</v>
      </c>
      <c r="BX904" s="730">
        <f t="shared" si="1451"/>
        <v>10341.6</v>
      </c>
      <c r="BY904" s="731" t="str">
        <f t="shared" si="1452"/>
        <v>SR</v>
      </c>
    </row>
    <row r="905" s="698" customFormat="1" customHeight="1" spans="1:77">
      <c r="A905" s="227">
        <v>46151</v>
      </c>
      <c r="B905" s="248">
        <v>46204</v>
      </c>
      <c r="C905" s="242" t="s">
        <v>837</v>
      </c>
      <c r="D905" s="242" t="s">
        <v>838</v>
      </c>
      <c r="E905" s="242" t="s">
        <v>196</v>
      </c>
      <c r="F905" s="231">
        <v>1572</v>
      </c>
      <c r="G905" s="242" t="s">
        <v>510</v>
      </c>
      <c r="H905" s="211" t="str">
        <f>IFERROR(VLOOKUP(E905,名称!A:E,4,0),"")</f>
        <v>三代</v>
      </c>
      <c r="I905" s="268" t="str">
        <f t="shared" si="1391"/>
        <v/>
      </c>
      <c r="J905" s="268" t="str">
        <f t="shared" si="1392"/>
        <v/>
      </c>
      <c r="K905" s="268" t="str">
        <f t="shared" si="1393"/>
        <v/>
      </c>
      <c r="L905" s="268" t="str">
        <f t="shared" si="1394"/>
        <v/>
      </c>
      <c r="M905" s="268" t="str">
        <f t="shared" si="1395"/>
        <v/>
      </c>
      <c r="N905" s="268" t="str">
        <f t="shared" si="1396"/>
        <v/>
      </c>
      <c r="O905" s="268" t="str">
        <f t="shared" si="1397"/>
        <v/>
      </c>
      <c r="P905" s="268" t="str">
        <f t="shared" si="1398"/>
        <v/>
      </c>
      <c r="Q905" s="268" t="str">
        <f t="shared" si="1399"/>
        <v/>
      </c>
      <c r="R905" s="268" t="str">
        <f t="shared" si="1400"/>
        <v/>
      </c>
      <c r="S905" s="268" t="str">
        <f t="shared" si="1401"/>
        <v/>
      </c>
      <c r="T905" s="268" t="str">
        <f t="shared" si="1402"/>
        <v/>
      </c>
      <c r="U905" s="268" t="str">
        <f t="shared" si="1403"/>
        <v/>
      </c>
      <c r="V905" s="268" t="str">
        <f t="shared" si="1404"/>
        <v/>
      </c>
      <c r="W905" s="268" t="str">
        <f t="shared" si="1405"/>
        <v/>
      </c>
      <c r="X905" s="268" t="str">
        <f t="shared" si="1406"/>
        <v/>
      </c>
      <c r="Y905" s="268" t="str">
        <f t="shared" si="1407"/>
        <v/>
      </c>
      <c r="Z905" s="268" t="str">
        <f t="shared" si="1408"/>
        <v/>
      </c>
      <c r="AA905" s="268" t="str">
        <f t="shared" si="1409"/>
        <v/>
      </c>
      <c r="AB905" s="268" t="str">
        <f t="shared" si="1410"/>
        <v/>
      </c>
      <c r="AC905" s="268">
        <f t="shared" si="1411"/>
        <v>1572</v>
      </c>
      <c r="AD905" s="268" t="str">
        <f t="shared" si="1412"/>
        <v/>
      </c>
      <c r="AE905" s="268" t="str">
        <f t="shared" si="1413"/>
        <v/>
      </c>
      <c r="AF905" s="268" t="str">
        <f t="shared" si="1414"/>
        <v/>
      </c>
      <c r="AG905" s="268" t="str">
        <f t="shared" si="1415"/>
        <v/>
      </c>
      <c r="AH905" s="268" t="str">
        <f t="shared" si="1416"/>
        <v/>
      </c>
      <c r="AI905" s="268" t="str">
        <f t="shared" si="1417"/>
        <v/>
      </c>
      <c r="AJ905" s="268" t="str">
        <f t="shared" si="1418"/>
        <v/>
      </c>
      <c r="AK905" s="268" t="str">
        <f t="shared" si="1419"/>
        <v/>
      </c>
      <c r="AL905" s="268" t="str">
        <f t="shared" si="1420"/>
        <v/>
      </c>
      <c r="AM905" s="268" t="str">
        <f t="shared" si="1421"/>
        <v/>
      </c>
      <c r="AN905" s="268" t="str">
        <f t="shared" si="1422"/>
        <v/>
      </c>
      <c r="AO905" s="268" t="str">
        <f t="shared" si="1423"/>
        <v/>
      </c>
      <c r="AP905" s="268" t="str">
        <f t="shared" si="1424"/>
        <v/>
      </c>
      <c r="AQ905" s="268" t="str">
        <f t="shared" si="1425"/>
        <v/>
      </c>
      <c r="AR905" s="268" t="str">
        <f t="shared" si="1426"/>
        <v/>
      </c>
      <c r="AS905" s="268" t="str">
        <f t="shared" si="1427"/>
        <v/>
      </c>
      <c r="AT905" s="268" t="str">
        <f t="shared" si="1428"/>
        <v/>
      </c>
      <c r="AU905" s="268" t="str">
        <f t="shared" si="1429"/>
        <v/>
      </c>
      <c r="AV905" s="268" t="str">
        <f t="shared" si="1430"/>
        <v/>
      </c>
      <c r="AW905" s="268" t="str">
        <f t="shared" si="1431"/>
        <v/>
      </c>
      <c r="AX905" s="268" t="str">
        <f t="shared" si="1432"/>
        <v/>
      </c>
      <c r="AY905" s="268" t="str">
        <f t="shared" si="1433"/>
        <v/>
      </c>
      <c r="AZ905" s="268" t="str">
        <f t="shared" si="1434"/>
        <v/>
      </c>
      <c r="BA905" s="268" t="str">
        <f t="shared" si="1435"/>
        <v/>
      </c>
      <c r="BB905" s="268" t="str">
        <f t="shared" si="1436"/>
        <v/>
      </c>
      <c r="BC905" s="268" t="str">
        <f t="shared" si="1437"/>
        <v/>
      </c>
      <c r="BD905" s="268" t="str">
        <f t="shared" si="1438"/>
        <v/>
      </c>
      <c r="BE905" s="268" t="str">
        <f t="shared" si="1439"/>
        <v/>
      </c>
      <c r="BF905" s="268" t="str">
        <f t="shared" si="1440"/>
        <v/>
      </c>
      <c r="BG905" s="268" t="str">
        <f t="shared" si="1441"/>
        <v/>
      </c>
      <c r="BH905" s="268" t="str">
        <f t="shared" si="1442"/>
        <v/>
      </c>
      <c r="BI905" s="268" t="str">
        <f t="shared" si="1443"/>
        <v/>
      </c>
      <c r="BJ905" s="268" t="str">
        <f t="shared" si="1444"/>
        <v/>
      </c>
      <c r="BK905" s="268" t="str">
        <f t="shared" si="1445"/>
        <v/>
      </c>
      <c r="BL905" s="268" t="str">
        <f t="shared" si="1446"/>
        <v/>
      </c>
      <c r="BM905" s="268" t="str">
        <f t="shared" si="1447"/>
        <v/>
      </c>
      <c r="BN905" s="268" t="str">
        <f t="shared" si="1385"/>
        <v/>
      </c>
      <c r="BO905" s="268" t="str">
        <f t="shared" si="1386"/>
        <v/>
      </c>
      <c r="BP905" s="268" t="str">
        <f t="shared" si="1387"/>
        <v/>
      </c>
      <c r="BQ905" s="268" t="str">
        <f t="shared" si="1388"/>
        <v/>
      </c>
      <c r="BR905" s="268" t="str">
        <f t="shared" si="1389"/>
        <v/>
      </c>
      <c r="BS905" s="268" t="str">
        <f t="shared" si="1390"/>
        <v/>
      </c>
      <c r="BT905" s="268" t="str">
        <f t="shared" si="1448"/>
        <v/>
      </c>
      <c r="BU905" s="268" t="str">
        <f t="shared" si="1449"/>
        <v/>
      </c>
      <c r="BV905" s="247">
        <v>0.8</v>
      </c>
      <c r="BW905" s="729">
        <f t="shared" si="1450"/>
        <v>1257.6</v>
      </c>
      <c r="BX905" s="730">
        <f t="shared" si="1451"/>
        <v>9746.4</v>
      </c>
      <c r="BY905" s="731" t="str">
        <f t="shared" si="1452"/>
        <v>SR</v>
      </c>
    </row>
    <row r="906" s="698" customFormat="1" customHeight="1" spans="1:77">
      <c r="A906" s="227">
        <v>46151</v>
      </c>
      <c r="B906" s="248">
        <v>46204</v>
      </c>
      <c r="C906" s="242" t="s">
        <v>837</v>
      </c>
      <c r="D906" s="242" t="s">
        <v>838</v>
      </c>
      <c r="E906" s="242" t="s">
        <v>66</v>
      </c>
      <c r="F906" s="231">
        <v>3000</v>
      </c>
      <c r="G906" s="242" t="s">
        <v>510</v>
      </c>
      <c r="H906" s="211" t="str">
        <f>IFERROR(VLOOKUP(E906,名称!A:E,4,0),"")</f>
        <v>三代</v>
      </c>
      <c r="I906" s="268" t="str">
        <f t="shared" si="1391"/>
        <v/>
      </c>
      <c r="J906" s="268" t="str">
        <f t="shared" si="1392"/>
        <v/>
      </c>
      <c r="K906" s="268" t="str">
        <f t="shared" si="1393"/>
        <v/>
      </c>
      <c r="L906" s="268" t="str">
        <f t="shared" si="1394"/>
        <v/>
      </c>
      <c r="M906" s="268" t="str">
        <f t="shared" si="1395"/>
        <v/>
      </c>
      <c r="N906" s="268" t="str">
        <f t="shared" si="1396"/>
        <v/>
      </c>
      <c r="O906" s="268" t="str">
        <f t="shared" si="1397"/>
        <v/>
      </c>
      <c r="P906" s="268" t="str">
        <f t="shared" si="1398"/>
        <v/>
      </c>
      <c r="Q906" s="268" t="str">
        <f t="shared" si="1399"/>
        <v/>
      </c>
      <c r="R906" s="268" t="str">
        <f t="shared" si="1400"/>
        <v/>
      </c>
      <c r="S906" s="268" t="str">
        <f t="shared" si="1401"/>
        <v/>
      </c>
      <c r="T906" s="268" t="str">
        <f t="shared" si="1402"/>
        <v/>
      </c>
      <c r="U906" s="268" t="str">
        <f t="shared" si="1403"/>
        <v/>
      </c>
      <c r="V906" s="268" t="str">
        <f t="shared" si="1404"/>
        <v/>
      </c>
      <c r="W906" s="268" t="str">
        <f t="shared" si="1405"/>
        <v/>
      </c>
      <c r="X906" s="268" t="str">
        <f t="shared" si="1406"/>
        <v/>
      </c>
      <c r="Y906" s="268" t="str">
        <f t="shared" si="1407"/>
        <v/>
      </c>
      <c r="Z906" s="268" t="str">
        <f t="shared" si="1408"/>
        <v/>
      </c>
      <c r="AA906" s="268" t="str">
        <f t="shared" si="1409"/>
        <v/>
      </c>
      <c r="AB906" s="268" t="str">
        <f t="shared" si="1410"/>
        <v/>
      </c>
      <c r="AC906" s="268" t="str">
        <f t="shared" si="1411"/>
        <v/>
      </c>
      <c r="AD906" s="268" t="str">
        <f t="shared" si="1412"/>
        <v/>
      </c>
      <c r="AE906" s="268" t="str">
        <f t="shared" si="1413"/>
        <v/>
      </c>
      <c r="AF906" s="268" t="str">
        <f t="shared" si="1414"/>
        <v/>
      </c>
      <c r="AG906" s="268">
        <f t="shared" si="1415"/>
        <v>3000</v>
      </c>
      <c r="AH906" s="268" t="str">
        <f t="shared" si="1416"/>
        <v/>
      </c>
      <c r="AI906" s="268" t="str">
        <f t="shared" si="1417"/>
        <v/>
      </c>
      <c r="AJ906" s="268" t="str">
        <f t="shared" si="1418"/>
        <v/>
      </c>
      <c r="AK906" s="268" t="str">
        <f t="shared" si="1419"/>
        <v/>
      </c>
      <c r="AL906" s="268" t="str">
        <f t="shared" si="1420"/>
        <v/>
      </c>
      <c r="AM906" s="268" t="str">
        <f t="shared" si="1421"/>
        <v/>
      </c>
      <c r="AN906" s="268" t="str">
        <f t="shared" si="1422"/>
        <v/>
      </c>
      <c r="AO906" s="268" t="str">
        <f t="shared" si="1423"/>
        <v/>
      </c>
      <c r="AP906" s="268" t="str">
        <f t="shared" si="1424"/>
        <v/>
      </c>
      <c r="AQ906" s="268" t="str">
        <f t="shared" si="1425"/>
        <v/>
      </c>
      <c r="AR906" s="268" t="str">
        <f t="shared" si="1426"/>
        <v/>
      </c>
      <c r="AS906" s="268" t="str">
        <f t="shared" si="1427"/>
        <v/>
      </c>
      <c r="AT906" s="268" t="str">
        <f t="shared" si="1428"/>
        <v/>
      </c>
      <c r="AU906" s="268" t="str">
        <f t="shared" si="1429"/>
        <v/>
      </c>
      <c r="AV906" s="268" t="str">
        <f t="shared" si="1430"/>
        <v/>
      </c>
      <c r="AW906" s="268" t="str">
        <f t="shared" si="1431"/>
        <v/>
      </c>
      <c r="AX906" s="268" t="str">
        <f t="shared" si="1432"/>
        <v/>
      </c>
      <c r="AY906" s="268" t="str">
        <f t="shared" si="1433"/>
        <v/>
      </c>
      <c r="AZ906" s="268" t="str">
        <f t="shared" si="1434"/>
        <v/>
      </c>
      <c r="BA906" s="268" t="str">
        <f t="shared" si="1435"/>
        <v/>
      </c>
      <c r="BB906" s="268" t="str">
        <f t="shared" si="1436"/>
        <v/>
      </c>
      <c r="BC906" s="268" t="str">
        <f t="shared" si="1437"/>
        <v/>
      </c>
      <c r="BD906" s="268" t="str">
        <f t="shared" si="1438"/>
        <v/>
      </c>
      <c r="BE906" s="268" t="str">
        <f t="shared" si="1439"/>
        <v/>
      </c>
      <c r="BF906" s="268" t="str">
        <f t="shared" si="1440"/>
        <v/>
      </c>
      <c r="BG906" s="268" t="str">
        <f t="shared" si="1441"/>
        <v/>
      </c>
      <c r="BH906" s="268" t="str">
        <f t="shared" si="1442"/>
        <v/>
      </c>
      <c r="BI906" s="268" t="str">
        <f t="shared" si="1443"/>
        <v/>
      </c>
      <c r="BJ906" s="268" t="str">
        <f t="shared" si="1444"/>
        <v/>
      </c>
      <c r="BK906" s="268" t="str">
        <f t="shared" si="1445"/>
        <v/>
      </c>
      <c r="BL906" s="268" t="str">
        <f t="shared" si="1446"/>
        <v/>
      </c>
      <c r="BM906" s="268" t="str">
        <f t="shared" si="1447"/>
        <v/>
      </c>
      <c r="BN906" s="268" t="str">
        <f t="shared" si="1385"/>
        <v/>
      </c>
      <c r="BO906" s="268" t="str">
        <f t="shared" si="1386"/>
        <v/>
      </c>
      <c r="BP906" s="268" t="str">
        <f t="shared" si="1387"/>
        <v/>
      </c>
      <c r="BQ906" s="268" t="str">
        <f t="shared" si="1388"/>
        <v/>
      </c>
      <c r="BR906" s="268" t="str">
        <f t="shared" si="1389"/>
        <v/>
      </c>
      <c r="BS906" s="268" t="str">
        <f t="shared" si="1390"/>
        <v/>
      </c>
      <c r="BT906" s="268" t="str">
        <f t="shared" si="1448"/>
        <v/>
      </c>
      <c r="BU906" s="268" t="str">
        <f t="shared" si="1449"/>
        <v/>
      </c>
      <c r="BV906" s="247">
        <v>2.09</v>
      </c>
      <c r="BW906" s="729">
        <f t="shared" si="1450"/>
        <v>6270</v>
      </c>
      <c r="BX906" s="730">
        <f t="shared" si="1451"/>
        <v>48592.5</v>
      </c>
      <c r="BY906" s="731" t="str">
        <f t="shared" si="1452"/>
        <v>SR</v>
      </c>
    </row>
    <row r="907" s="698" customFormat="1" customHeight="1" spans="1:77">
      <c r="A907" s="227">
        <v>46151</v>
      </c>
      <c r="B907" s="248">
        <v>46204</v>
      </c>
      <c r="C907" s="242" t="s">
        <v>837</v>
      </c>
      <c r="D907" s="242" t="s">
        <v>838</v>
      </c>
      <c r="E907" s="242" t="s">
        <v>185</v>
      </c>
      <c r="F907" s="231">
        <v>1836</v>
      </c>
      <c r="G907" s="242" t="s">
        <v>510</v>
      </c>
      <c r="H907" s="211" t="str">
        <f>IFERROR(VLOOKUP(E907,名称!A:E,4,0),"")</f>
        <v>三代</v>
      </c>
      <c r="I907" s="268" t="str">
        <f t="shared" si="1391"/>
        <v/>
      </c>
      <c r="J907" s="268" t="str">
        <f t="shared" si="1392"/>
        <v/>
      </c>
      <c r="K907" s="268" t="str">
        <f t="shared" si="1393"/>
        <v/>
      </c>
      <c r="L907" s="268" t="str">
        <f t="shared" si="1394"/>
        <v/>
      </c>
      <c r="M907" s="268" t="str">
        <f t="shared" si="1395"/>
        <v/>
      </c>
      <c r="N907" s="268" t="str">
        <f t="shared" si="1396"/>
        <v/>
      </c>
      <c r="O907" s="268" t="str">
        <f t="shared" si="1397"/>
        <v/>
      </c>
      <c r="P907" s="268" t="str">
        <f t="shared" si="1398"/>
        <v/>
      </c>
      <c r="Q907" s="268" t="str">
        <f t="shared" si="1399"/>
        <v/>
      </c>
      <c r="R907" s="268" t="str">
        <f t="shared" si="1400"/>
        <v/>
      </c>
      <c r="S907" s="268" t="str">
        <f t="shared" si="1401"/>
        <v/>
      </c>
      <c r="T907" s="268" t="str">
        <f t="shared" si="1402"/>
        <v/>
      </c>
      <c r="U907" s="268" t="str">
        <f t="shared" si="1403"/>
        <v/>
      </c>
      <c r="V907" s="268" t="str">
        <f t="shared" si="1404"/>
        <v/>
      </c>
      <c r="W907" s="268" t="str">
        <f t="shared" si="1405"/>
        <v/>
      </c>
      <c r="X907" s="268" t="str">
        <f t="shared" si="1406"/>
        <v/>
      </c>
      <c r="Y907" s="268" t="str">
        <f t="shared" si="1407"/>
        <v/>
      </c>
      <c r="Z907" s="268" t="str">
        <f t="shared" si="1408"/>
        <v/>
      </c>
      <c r="AA907" s="268" t="str">
        <f t="shared" si="1409"/>
        <v/>
      </c>
      <c r="AB907" s="268" t="str">
        <f t="shared" si="1410"/>
        <v/>
      </c>
      <c r="AC907" s="268" t="str">
        <f t="shared" si="1411"/>
        <v/>
      </c>
      <c r="AD907" s="268" t="str">
        <f t="shared" si="1412"/>
        <v/>
      </c>
      <c r="AE907" s="268" t="str">
        <f t="shared" si="1413"/>
        <v/>
      </c>
      <c r="AF907" s="268" t="str">
        <f t="shared" si="1414"/>
        <v/>
      </c>
      <c r="AG907" s="268" t="str">
        <f t="shared" si="1415"/>
        <v/>
      </c>
      <c r="AH907" s="268" t="str">
        <f t="shared" si="1416"/>
        <v/>
      </c>
      <c r="AI907" s="268" t="str">
        <f t="shared" si="1417"/>
        <v/>
      </c>
      <c r="AJ907" s="268" t="str">
        <f t="shared" si="1418"/>
        <v/>
      </c>
      <c r="AK907" s="268" t="str">
        <f t="shared" si="1419"/>
        <v/>
      </c>
      <c r="AL907" s="268">
        <f t="shared" si="1420"/>
        <v>1836</v>
      </c>
      <c r="AM907" s="268" t="str">
        <f t="shared" si="1421"/>
        <v/>
      </c>
      <c r="AN907" s="268" t="str">
        <f t="shared" si="1422"/>
        <v/>
      </c>
      <c r="AO907" s="268" t="str">
        <f t="shared" si="1423"/>
        <v/>
      </c>
      <c r="AP907" s="268" t="str">
        <f t="shared" si="1424"/>
        <v/>
      </c>
      <c r="AQ907" s="268" t="str">
        <f t="shared" si="1425"/>
        <v/>
      </c>
      <c r="AR907" s="268" t="str">
        <f t="shared" si="1426"/>
        <v/>
      </c>
      <c r="AS907" s="268" t="str">
        <f t="shared" si="1427"/>
        <v/>
      </c>
      <c r="AT907" s="268" t="str">
        <f t="shared" si="1428"/>
        <v/>
      </c>
      <c r="AU907" s="268" t="str">
        <f t="shared" si="1429"/>
        <v/>
      </c>
      <c r="AV907" s="268" t="str">
        <f t="shared" si="1430"/>
        <v/>
      </c>
      <c r="AW907" s="268" t="str">
        <f t="shared" si="1431"/>
        <v/>
      </c>
      <c r="AX907" s="268" t="str">
        <f t="shared" si="1432"/>
        <v/>
      </c>
      <c r="AY907" s="268" t="str">
        <f t="shared" si="1433"/>
        <v/>
      </c>
      <c r="AZ907" s="268" t="str">
        <f t="shared" si="1434"/>
        <v/>
      </c>
      <c r="BA907" s="268" t="str">
        <f t="shared" si="1435"/>
        <v/>
      </c>
      <c r="BB907" s="268" t="str">
        <f t="shared" si="1436"/>
        <v/>
      </c>
      <c r="BC907" s="268" t="str">
        <f t="shared" si="1437"/>
        <v/>
      </c>
      <c r="BD907" s="268" t="str">
        <f t="shared" si="1438"/>
        <v/>
      </c>
      <c r="BE907" s="268" t="str">
        <f t="shared" si="1439"/>
        <v/>
      </c>
      <c r="BF907" s="268" t="str">
        <f t="shared" si="1440"/>
        <v/>
      </c>
      <c r="BG907" s="268" t="str">
        <f t="shared" si="1441"/>
        <v/>
      </c>
      <c r="BH907" s="268" t="str">
        <f t="shared" si="1442"/>
        <v/>
      </c>
      <c r="BI907" s="268" t="str">
        <f t="shared" si="1443"/>
        <v/>
      </c>
      <c r="BJ907" s="268" t="str">
        <f t="shared" si="1444"/>
        <v/>
      </c>
      <c r="BK907" s="268" t="str">
        <f t="shared" si="1445"/>
        <v/>
      </c>
      <c r="BL907" s="268" t="str">
        <f t="shared" si="1446"/>
        <v/>
      </c>
      <c r="BM907" s="268" t="str">
        <f t="shared" si="1447"/>
        <v/>
      </c>
      <c r="BN907" s="268" t="str">
        <f t="shared" si="1385"/>
        <v/>
      </c>
      <c r="BO907" s="268" t="str">
        <f t="shared" si="1386"/>
        <v/>
      </c>
      <c r="BP907" s="268" t="str">
        <f t="shared" si="1387"/>
        <v/>
      </c>
      <c r="BQ907" s="268" t="str">
        <f t="shared" si="1388"/>
        <v/>
      </c>
      <c r="BR907" s="268" t="str">
        <f t="shared" si="1389"/>
        <v/>
      </c>
      <c r="BS907" s="268" t="str">
        <f t="shared" si="1390"/>
        <v/>
      </c>
      <c r="BT907" s="268" t="str">
        <f t="shared" si="1448"/>
        <v/>
      </c>
      <c r="BU907" s="268" t="str">
        <f t="shared" si="1449"/>
        <v/>
      </c>
      <c r="BV907" s="247">
        <v>1.52</v>
      </c>
      <c r="BW907" s="729">
        <f t="shared" si="1450"/>
        <v>2790.72</v>
      </c>
      <c r="BX907" s="730">
        <f t="shared" si="1451"/>
        <v>21628.08</v>
      </c>
      <c r="BY907" s="731" t="str">
        <f t="shared" si="1452"/>
        <v>SR</v>
      </c>
    </row>
    <row r="908" s="698" customFormat="1" customHeight="1" spans="1:77">
      <c r="A908" s="227">
        <v>46151</v>
      </c>
      <c r="B908" s="248">
        <v>46204</v>
      </c>
      <c r="C908" s="242" t="s">
        <v>837</v>
      </c>
      <c r="D908" s="242" t="s">
        <v>838</v>
      </c>
      <c r="E908" s="242" t="s">
        <v>186</v>
      </c>
      <c r="F908" s="231">
        <v>564</v>
      </c>
      <c r="G908" s="242" t="s">
        <v>510</v>
      </c>
      <c r="H908" s="211" t="str">
        <f>IFERROR(VLOOKUP(E908,名称!A:E,4,0),"")</f>
        <v>三代</v>
      </c>
      <c r="I908" s="268" t="str">
        <f t="shared" si="1391"/>
        <v/>
      </c>
      <c r="J908" s="268" t="str">
        <f t="shared" si="1392"/>
        <v/>
      </c>
      <c r="K908" s="268" t="str">
        <f t="shared" si="1393"/>
        <v/>
      </c>
      <c r="L908" s="268" t="str">
        <f t="shared" si="1394"/>
        <v/>
      </c>
      <c r="M908" s="268" t="str">
        <f t="shared" si="1395"/>
        <v/>
      </c>
      <c r="N908" s="268" t="str">
        <f t="shared" si="1396"/>
        <v/>
      </c>
      <c r="O908" s="268" t="str">
        <f t="shared" si="1397"/>
        <v/>
      </c>
      <c r="P908" s="268" t="str">
        <f t="shared" si="1398"/>
        <v/>
      </c>
      <c r="Q908" s="268" t="str">
        <f t="shared" si="1399"/>
        <v/>
      </c>
      <c r="R908" s="268" t="str">
        <f t="shared" si="1400"/>
        <v/>
      </c>
      <c r="S908" s="268" t="str">
        <f t="shared" si="1401"/>
        <v/>
      </c>
      <c r="T908" s="268" t="str">
        <f t="shared" si="1402"/>
        <v/>
      </c>
      <c r="U908" s="268" t="str">
        <f t="shared" si="1403"/>
        <v/>
      </c>
      <c r="V908" s="268" t="str">
        <f t="shared" si="1404"/>
        <v/>
      </c>
      <c r="W908" s="268" t="str">
        <f t="shared" si="1405"/>
        <v/>
      </c>
      <c r="X908" s="268" t="str">
        <f t="shared" si="1406"/>
        <v/>
      </c>
      <c r="Y908" s="268" t="str">
        <f t="shared" si="1407"/>
        <v/>
      </c>
      <c r="Z908" s="268" t="str">
        <f t="shared" si="1408"/>
        <v/>
      </c>
      <c r="AA908" s="268" t="str">
        <f t="shared" si="1409"/>
        <v/>
      </c>
      <c r="AB908" s="268" t="str">
        <f t="shared" si="1410"/>
        <v/>
      </c>
      <c r="AC908" s="268" t="str">
        <f t="shared" si="1411"/>
        <v/>
      </c>
      <c r="AD908" s="268" t="str">
        <f t="shared" si="1412"/>
        <v/>
      </c>
      <c r="AE908" s="268" t="str">
        <f t="shared" si="1413"/>
        <v/>
      </c>
      <c r="AF908" s="268" t="str">
        <f t="shared" si="1414"/>
        <v/>
      </c>
      <c r="AG908" s="268" t="str">
        <f t="shared" si="1415"/>
        <v/>
      </c>
      <c r="AH908" s="268" t="str">
        <f t="shared" si="1416"/>
        <v/>
      </c>
      <c r="AI908" s="268" t="str">
        <f t="shared" si="1417"/>
        <v/>
      </c>
      <c r="AJ908" s="268" t="str">
        <f t="shared" si="1418"/>
        <v/>
      </c>
      <c r="AK908" s="268" t="str">
        <f t="shared" si="1419"/>
        <v/>
      </c>
      <c r="AL908" s="268">
        <f t="shared" si="1420"/>
        <v>564</v>
      </c>
      <c r="AM908" s="268" t="str">
        <f t="shared" si="1421"/>
        <v/>
      </c>
      <c r="AN908" s="268" t="str">
        <f t="shared" si="1422"/>
        <v/>
      </c>
      <c r="AO908" s="268" t="str">
        <f t="shared" si="1423"/>
        <v/>
      </c>
      <c r="AP908" s="268" t="str">
        <f t="shared" si="1424"/>
        <v/>
      </c>
      <c r="AQ908" s="268" t="str">
        <f t="shared" si="1425"/>
        <v/>
      </c>
      <c r="AR908" s="268" t="str">
        <f t="shared" si="1426"/>
        <v/>
      </c>
      <c r="AS908" s="268" t="str">
        <f t="shared" si="1427"/>
        <v/>
      </c>
      <c r="AT908" s="268" t="str">
        <f t="shared" si="1428"/>
        <v/>
      </c>
      <c r="AU908" s="268" t="str">
        <f t="shared" si="1429"/>
        <v/>
      </c>
      <c r="AV908" s="268" t="str">
        <f t="shared" si="1430"/>
        <v/>
      </c>
      <c r="AW908" s="268" t="str">
        <f t="shared" si="1431"/>
        <v/>
      </c>
      <c r="AX908" s="268" t="str">
        <f t="shared" si="1432"/>
        <v/>
      </c>
      <c r="AY908" s="268" t="str">
        <f t="shared" si="1433"/>
        <v/>
      </c>
      <c r="AZ908" s="268" t="str">
        <f t="shared" si="1434"/>
        <v/>
      </c>
      <c r="BA908" s="268" t="str">
        <f t="shared" si="1435"/>
        <v/>
      </c>
      <c r="BB908" s="268" t="str">
        <f t="shared" si="1436"/>
        <v/>
      </c>
      <c r="BC908" s="268" t="str">
        <f t="shared" si="1437"/>
        <v/>
      </c>
      <c r="BD908" s="268" t="str">
        <f t="shared" si="1438"/>
        <v/>
      </c>
      <c r="BE908" s="268" t="str">
        <f t="shared" si="1439"/>
        <v/>
      </c>
      <c r="BF908" s="268" t="str">
        <f t="shared" si="1440"/>
        <v/>
      </c>
      <c r="BG908" s="268" t="str">
        <f t="shared" si="1441"/>
        <v/>
      </c>
      <c r="BH908" s="268" t="str">
        <f t="shared" si="1442"/>
        <v/>
      </c>
      <c r="BI908" s="268" t="str">
        <f t="shared" si="1443"/>
        <v/>
      </c>
      <c r="BJ908" s="268" t="str">
        <f t="shared" si="1444"/>
        <v/>
      </c>
      <c r="BK908" s="268" t="str">
        <f t="shared" si="1445"/>
        <v/>
      </c>
      <c r="BL908" s="268" t="str">
        <f t="shared" si="1446"/>
        <v/>
      </c>
      <c r="BM908" s="268" t="str">
        <f t="shared" si="1447"/>
        <v/>
      </c>
      <c r="BN908" s="268" t="str">
        <f t="shared" si="1385"/>
        <v/>
      </c>
      <c r="BO908" s="268" t="str">
        <f t="shared" si="1386"/>
        <v/>
      </c>
      <c r="BP908" s="268" t="str">
        <f t="shared" si="1387"/>
        <v/>
      </c>
      <c r="BQ908" s="268" t="str">
        <f t="shared" si="1388"/>
        <v/>
      </c>
      <c r="BR908" s="268" t="str">
        <f t="shared" si="1389"/>
        <v/>
      </c>
      <c r="BS908" s="268" t="str">
        <f t="shared" si="1390"/>
        <v/>
      </c>
      <c r="BT908" s="268" t="str">
        <f t="shared" si="1448"/>
        <v/>
      </c>
      <c r="BU908" s="268" t="str">
        <f t="shared" si="1449"/>
        <v/>
      </c>
      <c r="BV908" s="247">
        <v>1.52</v>
      </c>
      <c r="BW908" s="729">
        <f t="shared" si="1450"/>
        <v>857.28</v>
      </c>
      <c r="BX908" s="730">
        <f t="shared" si="1451"/>
        <v>6643.92</v>
      </c>
      <c r="BY908" s="731" t="str">
        <f t="shared" si="1452"/>
        <v>SR</v>
      </c>
    </row>
    <row r="909" s="698" customFormat="1" customHeight="1" spans="1:77">
      <c r="A909" s="227">
        <v>46151</v>
      </c>
      <c r="B909" s="248">
        <v>46204</v>
      </c>
      <c r="C909" s="242" t="s">
        <v>837</v>
      </c>
      <c r="D909" s="242" t="s">
        <v>838</v>
      </c>
      <c r="E909" s="242" t="s">
        <v>187</v>
      </c>
      <c r="F909" s="231">
        <v>1356</v>
      </c>
      <c r="G909" s="242" t="s">
        <v>510</v>
      </c>
      <c r="H909" s="211" t="str">
        <f>IFERROR(VLOOKUP(E909,名称!A:E,4,0),"")</f>
        <v>三代</v>
      </c>
      <c r="I909" s="268" t="str">
        <f t="shared" si="1391"/>
        <v/>
      </c>
      <c r="J909" s="268" t="str">
        <f t="shared" si="1392"/>
        <v/>
      </c>
      <c r="K909" s="268" t="str">
        <f t="shared" si="1393"/>
        <v/>
      </c>
      <c r="L909" s="268" t="str">
        <f t="shared" si="1394"/>
        <v/>
      </c>
      <c r="M909" s="268" t="str">
        <f t="shared" si="1395"/>
        <v/>
      </c>
      <c r="N909" s="268" t="str">
        <f t="shared" si="1396"/>
        <v/>
      </c>
      <c r="O909" s="268" t="str">
        <f t="shared" si="1397"/>
        <v/>
      </c>
      <c r="P909" s="268" t="str">
        <f t="shared" si="1398"/>
        <v/>
      </c>
      <c r="Q909" s="268" t="str">
        <f t="shared" si="1399"/>
        <v/>
      </c>
      <c r="R909" s="268" t="str">
        <f t="shared" si="1400"/>
        <v/>
      </c>
      <c r="S909" s="268" t="str">
        <f t="shared" si="1401"/>
        <v/>
      </c>
      <c r="T909" s="268" t="str">
        <f t="shared" si="1402"/>
        <v/>
      </c>
      <c r="U909" s="268" t="str">
        <f t="shared" si="1403"/>
        <v/>
      </c>
      <c r="V909" s="268" t="str">
        <f t="shared" si="1404"/>
        <v/>
      </c>
      <c r="W909" s="268" t="str">
        <f t="shared" si="1405"/>
        <v/>
      </c>
      <c r="X909" s="268" t="str">
        <f t="shared" si="1406"/>
        <v/>
      </c>
      <c r="Y909" s="268" t="str">
        <f t="shared" si="1407"/>
        <v/>
      </c>
      <c r="Z909" s="268" t="str">
        <f t="shared" si="1408"/>
        <v/>
      </c>
      <c r="AA909" s="268" t="str">
        <f t="shared" si="1409"/>
        <v/>
      </c>
      <c r="AB909" s="268" t="str">
        <f t="shared" si="1410"/>
        <v/>
      </c>
      <c r="AC909" s="268" t="str">
        <f t="shared" si="1411"/>
        <v/>
      </c>
      <c r="AD909" s="268" t="str">
        <f t="shared" si="1412"/>
        <v/>
      </c>
      <c r="AE909" s="268" t="str">
        <f t="shared" si="1413"/>
        <v/>
      </c>
      <c r="AF909" s="268" t="str">
        <f t="shared" si="1414"/>
        <v/>
      </c>
      <c r="AG909" s="268" t="str">
        <f t="shared" si="1415"/>
        <v/>
      </c>
      <c r="AH909" s="268" t="str">
        <f t="shared" si="1416"/>
        <v/>
      </c>
      <c r="AI909" s="268" t="str">
        <f t="shared" si="1417"/>
        <v/>
      </c>
      <c r="AJ909" s="268" t="str">
        <f t="shared" si="1418"/>
        <v/>
      </c>
      <c r="AK909" s="268" t="str">
        <f t="shared" si="1419"/>
        <v/>
      </c>
      <c r="AL909" s="268">
        <f t="shared" si="1420"/>
        <v>1356</v>
      </c>
      <c r="AM909" s="268" t="str">
        <f t="shared" si="1421"/>
        <v/>
      </c>
      <c r="AN909" s="268" t="str">
        <f t="shared" si="1422"/>
        <v/>
      </c>
      <c r="AO909" s="268" t="str">
        <f t="shared" si="1423"/>
        <v/>
      </c>
      <c r="AP909" s="268" t="str">
        <f t="shared" si="1424"/>
        <v/>
      </c>
      <c r="AQ909" s="268" t="str">
        <f t="shared" si="1425"/>
        <v/>
      </c>
      <c r="AR909" s="268" t="str">
        <f t="shared" si="1426"/>
        <v/>
      </c>
      <c r="AS909" s="268" t="str">
        <f t="shared" si="1427"/>
        <v/>
      </c>
      <c r="AT909" s="268" t="str">
        <f t="shared" si="1428"/>
        <v/>
      </c>
      <c r="AU909" s="268" t="str">
        <f t="shared" si="1429"/>
        <v/>
      </c>
      <c r="AV909" s="268" t="str">
        <f t="shared" si="1430"/>
        <v/>
      </c>
      <c r="AW909" s="268" t="str">
        <f t="shared" si="1431"/>
        <v/>
      </c>
      <c r="AX909" s="268" t="str">
        <f t="shared" si="1432"/>
        <v/>
      </c>
      <c r="AY909" s="268" t="str">
        <f t="shared" si="1433"/>
        <v/>
      </c>
      <c r="AZ909" s="268" t="str">
        <f t="shared" si="1434"/>
        <v/>
      </c>
      <c r="BA909" s="268" t="str">
        <f t="shared" si="1435"/>
        <v/>
      </c>
      <c r="BB909" s="268" t="str">
        <f t="shared" si="1436"/>
        <v/>
      </c>
      <c r="BC909" s="268" t="str">
        <f t="shared" si="1437"/>
        <v/>
      </c>
      <c r="BD909" s="268" t="str">
        <f t="shared" si="1438"/>
        <v/>
      </c>
      <c r="BE909" s="268" t="str">
        <f t="shared" si="1439"/>
        <v/>
      </c>
      <c r="BF909" s="268" t="str">
        <f t="shared" si="1440"/>
        <v/>
      </c>
      <c r="BG909" s="268" t="str">
        <f t="shared" si="1441"/>
        <v/>
      </c>
      <c r="BH909" s="268" t="str">
        <f t="shared" si="1442"/>
        <v/>
      </c>
      <c r="BI909" s="268" t="str">
        <f t="shared" si="1443"/>
        <v/>
      </c>
      <c r="BJ909" s="268" t="str">
        <f t="shared" si="1444"/>
        <v/>
      </c>
      <c r="BK909" s="268" t="str">
        <f t="shared" si="1445"/>
        <v/>
      </c>
      <c r="BL909" s="268" t="str">
        <f t="shared" si="1446"/>
        <v/>
      </c>
      <c r="BM909" s="268" t="str">
        <f t="shared" si="1447"/>
        <v/>
      </c>
      <c r="BN909" s="268" t="str">
        <f t="shared" si="1385"/>
        <v/>
      </c>
      <c r="BO909" s="268" t="str">
        <f t="shared" si="1386"/>
        <v/>
      </c>
      <c r="BP909" s="268" t="str">
        <f t="shared" si="1387"/>
        <v/>
      </c>
      <c r="BQ909" s="268" t="str">
        <f t="shared" si="1388"/>
        <v/>
      </c>
      <c r="BR909" s="268" t="str">
        <f t="shared" si="1389"/>
        <v/>
      </c>
      <c r="BS909" s="268" t="str">
        <f t="shared" si="1390"/>
        <v/>
      </c>
      <c r="BT909" s="268" t="str">
        <f t="shared" si="1448"/>
        <v/>
      </c>
      <c r="BU909" s="268" t="str">
        <f t="shared" si="1449"/>
        <v/>
      </c>
      <c r="BV909" s="247">
        <v>1.52</v>
      </c>
      <c r="BW909" s="729">
        <f t="shared" si="1450"/>
        <v>2061.12</v>
      </c>
      <c r="BX909" s="730">
        <f t="shared" si="1451"/>
        <v>15973.68</v>
      </c>
      <c r="BY909" s="731" t="str">
        <f t="shared" si="1452"/>
        <v>SR</v>
      </c>
    </row>
    <row r="910" s="698" customFormat="1" customHeight="1" spans="1:77">
      <c r="A910" s="227">
        <v>46151</v>
      </c>
      <c r="B910" s="248">
        <v>46204</v>
      </c>
      <c r="C910" s="242" t="s">
        <v>837</v>
      </c>
      <c r="D910" s="242" t="s">
        <v>838</v>
      </c>
      <c r="E910" s="242" t="s">
        <v>188</v>
      </c>
      <c r="F910" s="231">
        <v>300</v>
      </c>
      <c r="G910" s="242" t="s">
        <v>510</v>
      </c>
      <c r="H910" s="211" t="str">
        <f>IFERROR(VLOOKUP(E910,名称!A:E,4,0),"")</f>
        <v>三代</v>
      </c>
      <c r="I910" s="268" t="str">
        <f t="shared" si="1391"/>
        <v/>
      </c>
      <c r="J910" s="268" t="str">
        <f t="shared" si="1392"/>
        <v/>
      </c>
      <c r="K910" s="268" t="str">
        <f t="shared" si="1393"/>
        <v/>
      </c>
      <c r="L910" s="268" t="str">
        <f t="shared" si="1394"/>
        <v/>
      </c>
      <c r="M910" s="268" t="str">
        <f t="shared" si="1395"/>
        <v/>
      </c>
      <c r="N910" s="268" t="str">
        <f t="shared" si="1396"/>
        <v/>
      </c>
      <c r="O910" s="268" t="str">
        <f t="shared" si="1397"/>
        <v/>
      </c>
      <c r="P910" s="268" t="str">
        <f t="shared" si="1398"/>
        <v/>
      </c>
      <c r="Q910" s="268" t="str">
        <f t="shared" si="1399"/>
        <v/>
      </c>
      <c r="R910" s="268" t="str">
        <f t="shared" si="1400"/>
        <v/>
      </c>
      <c r="S910" s="268" t="str">
        <f t="shared" si="1401"/>
        <v/>
      </c>
      <c r="T910" s="268" t="str">
        <f t="shared" si="1402"/>
        <v/>
      </c>
      <c r="U910" s="268" t="str">
        <f t="shared" si="1403"/>
        <v/>
      </c>
      <c r="V910" s="268" t="str">
        <f t="shared" si="1404"/>
        <v/>
      </c>
      <c r="W910" s="268" t="str">
        <f t="shared" si="1405"/>
        <v/>
      </c>
      <c r="X910" s="268" t="str">
        <f t="shared" si="1406"/>
        <v/>
      </c>
      <c r="Y910" s="268" t="str">
        <f t="shared" si="1407"/>
        <v/>
      </c>
      <c r="Z910" s="268" t="str">
        <f t="shared" si="1408"/>
        <v/>
      </c>
      <c r="AA910" s="268" t="str">
        <f t="shared" si="1409"/>
        <v/>
      </c>
      <c r="AB910" s="268" t="str">
        <f t="shared" si="1410"/>
        <v/>
      </c>
      <c r="AC910" s="268" t="str">
        <f t="shared" si="1411"/>
        <v/>
      </c>
      <c r="AD910" s="268" t="str">
        <f t="shared" si="1412"/>
        <v/>
      </c>
      <c r="AE910" s="268" t="str">
        <f t="shared" si="1413"/>
        <v/>
      </c>
      <c r="AF910" s="268" t="str">
        <f t="shared" si="1414"/>
        <v/>
      </c>
      <c r="AG910" s="268" t="str">
        <f t="shared" si="1415"/>
        <v/>
      </c>
      <c r="AH910" s="268" t="str">
        <f t="shared" si="1416"/>
        <v/>
      </c>
      <c r="AI910" s="268" t="str">
        <f t="shared" si="1417"/>
        <v/>
      </c>
      <c r="AJ910" s="268" t="str">
        <f t="shared" si="1418"/>
        <v/>
      </c>
      <c r="AK910" s="268" t="str">
        <f t="shared" si="1419"/>
        <v/>
      </c>
      <c r="AL910" s="268">
        <f t="shared" si="1420"/>
        <v>300</v>
      </c>
      <c r="AM910" s="268" t="str">
        <f t="shared" si="1421"/>
        <v/>
      </c>
      <c r="AN910" s="268" t="str">
        <f t="shared" si="1422"/>
        <v/>
      </c>
      <c r="AO910" s="268" t="str">
        <f t="shared" si="1423"/>
        <v/>
      </c>
      <c r="AP910" s="268" t="str">
        <f t="shared" si="1424"/>
        <v/>
      </c>
      <c r="AQ910" s="268" t="str">
        <f t="shared" si="1425"/>
        <v/>
      </c>
      <c r="AR910" s="268" t="str">
        <f t="shared" si="1426"/>
        <v/>
      </c>
      <c r="AS910" s="268" t="str">
        <f t="shared" si="1427"/>
        <v/>
      </c>
      <c r="AT910" s="268" t="str">
        <f t="shared" si="1428"/>
        <v/>
      </c>
      <c r="AU910" s="268" t="str">
        <f t="shared" si="1429"/>
        <v/>
      </c>
      <c r="AV910" s="268" t="str">
        <f t="shared" si="1430"/>
        <v/>
      </c>
      <c r="AW910" s="268" t="str">
        <f t="shared" si="1431"/>
        <v/>
      </c>
      <c r="AX910" s="268" t="str">
        <f t="shared" si="1432"/>
        <v/>
      </c>
      <c r="AY910" s="268" t="str">
        <f t="shared" si="1433"/>
        <v/>
      </c>
      <c r="AZ910" s="268" t="str">
        <f t="shared" si="1434"/>
        <v/>
      </c>
      <c r="BA910" s="268" t="str">
        <f t="shared" si="1435"/>
        <v/>
      </c>
      <c r="BB910" s="268" t="str">
        <f t="shared" si="1436"/>
        <v/>
      </c>
      <c r="BC910" s="268" t="str">
        <f t="shared" si="1437"/>
        <v/>
      </c>
      <c r="BD910" s="268" t="str">
        <f t="shared" si="1438"/>
        <v/>
      </c>
      <c r="BE910" s="268" t="str">
        <f t="shared" si="1439"/>
        <v/>
      </c>
      <c r="BF910" s="268" t="str">
        <f t="shared" si="1440"/>
        <v/>
      </c>
      <c r="BG910" s="268" t="str">
        <f t="shared" si="1441"/>
        <v/>
      </c>
      <c r="BH910" s="268" t="str">
        <f t="shared" si="1442"/>
        <v/>
      </c>
      <c r="BI910" s="268" t="str">
        <f t="shared" si="1443"/>
        <v/>
      </c>
      <c r="BJ910" s="268" t="str">
        <f t="shared" si="1444"/>
        <v/>
      </c>
      <c r="BK910" s="268" t="str">
        <f t="shared" si="1445"/>
        <v/>
      </c>
      <c r="BL910" s="268" t="str">
        <f t="shared" si="1446"/>
        <v/>
      </c>
      <c r="BM910" s="268" t="str">
        <f t="shared" si="1447"/>
        <v/>
      </c>
      <c r="BN910" s="268" t="str">
        <f t="shared" si="1385"/>
        <v/>
      </c>
      <c r="BO910" s="268" t="str">
        <f t="shared" si="1386"/>
        <v/>
      </c>
      <c r="BP910" s="268" t="str">
        <f t="shared" si="1387"/>
        <v/>
      </c>
      <c r="BQ910" s="268" t="str">
        <f t="shared" si="1388"/>
        <v/>
      </c>
      <c r="BR910" s="268" t="str">
        <f t="shared" si="1389"/>
        <v/>
      </c>
      <c r="BS910" s="268" t="str">
        <f t="shared" si="1390"/>
        <v/>
      </c>
      <c r="BT910" s="268" t="str">
        <f t="shared" si="1448"/>
        <v/>
      </c>
      <c r="BU910" s="268" t="str">
        <f t="shared" si="1449"/>
        <v/>
      </c>
      <c r="BV910" s="247">
        <v>1.52</v>
      </c>
      <c r="BW910" s="729">
        <f t="shared" si="1450"/>
        <v>456</v>
      </c>
      <c r="BX910" s="730">
        <f t="shared" si="1451"/>
        <v>3534</v>
      </c>
      <c r="BY910" s="731" t="str">
        <f t="shared" si="1452"/>
        <v>SR</v>
      </c>
    </row>
    <row r="911" s="698" customFormat="1" customHeight="1" spans="1:77">
      <c r="A911" s="227">
        <v>46151</v>
      </c>
      <c r="B911" s="248">
        <v>46204</v>
      </c>
      <c r="C911" s="242" t="s">
        <v>837</v>
      </c>
      <c r="D911" s="242" t="s">
        <v>838</v>
      </c>
      <c r="E911" s="242" t="s">
        <v>189</v>
      </c>
      <c r="F911" s="231">
        <v>1032</v>
      </c>
      <c r="G911" s="242" t="s">
        <v>510</v>
      </c>
      <c r="H911" s="211" t="str">
        <f>IFERROR(VLOOKUP(E911,名称!A:E,4,0),"")</f>
        <v>三代</v>
      </c>
      <c r="I911" s="268" t="str">
        <f t="shared" si="1391"/>
        <v/>
      </c>
      <c r="J911" s="268" t="str">
        <f t="shared" si="1392"/>
        <v/>
      </c>
      <c r="K911" s="268" t="str">
        <f t="shared" si="1393"/>
        <v/>
      </c>
      <c r="L911" s="268" t="str">
        <f t="shared" si="1394"/>
        <v/>
      </c>
      <c r="M911" s="268" t="str">
        <f t="shared" si="1395"/>
        <v/>
      </c>
      <c r="N911" s="268" t="str">
        <f t="shared" si="1396"/>
        <v/>
      </c>
      <c r="O911" s="268" t="str">
        <f t="shared" si="1397"/>
        <v/>
      </c>
      <c r="P911" s="268" t="str">
        <f t="shared" si="1398"/>
        <v/>
      </c>
      <c r="Q911" s="268" t="str">
        <f t="shared" si="1399"/>
        <v/>
      </c>
      <c r="R911" s="268" t="str">
        <f t="shared" si="1400"/>
        <v/>
      </c>
      <c r="S911" s="268" t="str">
        <f t="shared" si="1401"/>
        <v/>
      </c>
      <c r="T911" s="268" t="str">
        <f t="shared" si="1402"/>
        <v/>
      </c>
      <c r="U911" s="268" t="str">
        <f t="shared" si="1403"/>
        <v/>
      </c>
      <c r="V911" s="268" t="str">
        <f t="shared" si="1404"/>
        <v/>
      </c>
      <c r="W911" s="268" t="str">
        <f t="shared" si="1405"/>
        <v/>
      </c>
      <c r="X911" s="268" t="str">
        <f t="shared" si="1406"/>
        <v/>
      </c>
      <c r="Y911" s="268" t="str">
        <f t="shared" si="1407"/>
        <v/>
      </c>
      <c r="Z911" s="268" t="str">
        <f t="shared" si="1408"/>
        <v/>
      </c>
      <c r="AA911" s="268" t="str">
        <f t="shared" si="1409"/>
        <v/>
      </c>
      <c r="AB911" s="268" t="str">
        <f t="shared" si="1410"/>
        <v/>
      </c>
      <c r="AC911" s="268" t="str">
        <f t="shared" si="1411"/>
        <v/>
      </c>
      <c r="AD911" s="268" t="str">
        <f t="shared" si="1412"/>
        <v/>
      </c>
      <c r="AE911" s="268" t="str">
        <f t="shared" si="1413"/>
        <v/>
      </c>
      <c r="AF911" s="268" t="str">
        <f t="shared" si="1414"/>
        <v/>
      </c>
      <c r="AG911" s="268" t="str">
        <f t="shared" si="1415"/>
        <v/>
      </c>
      <c r="AH911" s="268" t="str">
        <f t="shared" si="1416"/>
        <v/>
      </c>
      <c r="AI911" s="268" t="str">
        <f t="shared" si="1417"/>
        <v/>
      </c>
      <c r="AJ911" s="268" t="str">
        <f t="shared" si="1418"/>
        <v/>
      </c>
      <c r="AK911" s="268" t="str">
        <f t="shared" si="1419"/>
        <v/>
      </c>
      <c r="AL911" s="268">
        <f t="shared" si="1420"/>
        <v>1032</v>
      </c>
      <c r="AM911" s="268" t="str">
        <f t="shared" si="1421"/>
        <v/>
      </c>
      <c r="AN911" s="268" t="str">
        <f t="shared" si="1422"/>
        <v/>
      </c>
      <c r="AO911" s="268" t="str">
        <f t="shared" si="1423"/>
        <v/>
      </c>
      <c r="AP911" s="268" t="str">
        <f t="shared" si="1424"/>
        <v/>
      </c>
      <c r="AQ911" s="268" t="str">
        <f t="shared" si="1425"/>
        <v/>
      </c>
      <c r="AR911" s="268" t="str">
        <f t="shared" si="1426"/>
        <v/>
      </c>
      <c r="AS911" s="268" t="str">
        <f t="shared" si="1427"/>
        <v/>
      </c>
      <c r="AT911" s="268" t="str">
        <f t="shared" si="1428"/>
        <v/>
      </c>
      <c r="AU911" s="268" t="str">
        <f t="shared" si="1429"/>
        <v/>
      </c>
      <c r="AV911" s="268" t="str">
        <f t="shared" si="1430"/>
        <v/>
      </c>
      <c r="AW911" s="268" t="str">
        <f t="shared" si="1431"/>
        <v/>
      </c>
      <c r="AX911" s="268" t="str">
        <f t="shared" si="1432"/>
        <v/>
      </c>
      <c r="AY911" s="268" t="str">
        <f t="shared" si="1433"/>
        <v/>
      </c>
      <c r="AZ911" s="268" t="str">
        <f t="shared" si="1434"/>
        <v/>
      </c>
      <c r="BA911" s="268" t="str">
        <f t="shared" si="1435"/>
        <v/>
      </c>
      <c r="BB911" s="268" t="str">
        <f t="shared" si="1436"/>
        <v/>
      </c>
      <c r="BC911" s="268" t="str">
        <f t="shared" si="1437"/>
        <v/>
      </c>
      <c r="BD911" s="268" t="str">
        <f t="shared" si="1438"/>
        <v/>
      </c>
      <c r="BE911" s="268" t="str">
        <f t="shared" si="1439"/>
        <v/>
      </c>
      <c r="BF911" s="268" t="str">
        <f t="shared" si="1440"/>
        <v/>
      </c>
      <c r="BG911" s="268" t="str">
        <f t="shared" si="1441"/>
        <v/>
      </c>
      <c r="BH911" s="268" t="str">
        <f t="shared" si="1442"/>
        <v/>
      </c>
      <c r="BI911" s="268" t="str">
        <f t="shared" si="1443"/>
        <v/>
      </c>
      <c r="BJ911" s="268" t="str">
        <f t="shared" si="1444"/>
        <v/>
      </c>
      <c r="BK911" s="268" t="str">
        <f t="shared" si="1445"/>
        <v/>
      </c>
      <c r="BL911" s="268" t="str">
        <f t="shared" si="1446"/>
        <v/>
      </c>
      <c r="BM911" s="268" t="str">
        <f t="shared" si="1447"/>
        <v/>
      </c>
      <c r="BN911" s="268" t="str">
        <f t="shared" si="1385"/>
        <v/>
      </c>
      <c r="BO911" s="268" t="str">
        <f t="shared" si="1386"/>
        <v/>
      </c>
      <c r="BP911" s="268" t="str">
        <f t="shared" si="1387"/>
        <v/>
      </c>
      <c r="BQ911" s="268" t="str">
        <f t="shared" si="1388"/>
        <v/>
      </c>
      <c r="BR911" s="268" t="str">
        <f t="shared" si="1389"/>
        <v/>
      </c>
      <c r="BS911" s="268" t="str">
        <f t="shared" si="1390"/>
        <v/>
      </c>
      <c r="BT911" s="268" t="str">
        <f t="shared" si="1448"/>
        <v/>
      </c>
      <c r="BU911" s="268" t="str">
        <f t="shared" si="1449"/>
        <v/>
      </c>
      <c r="BV911" s="247">
        <v>1.52</v>
      </c>
      <c r="BW911" s="729">
        <f t="shared" si="1450"/>
        <v>1568.64</v>
      </c>
      <c r="BX911" s="730">
        <f t="shared" si="1451"/>
        <v>12156.96</v>
      </c>
      <c r="BY911" s="731" t="str">
        <f t="shared" si="1452"/>
        <v>SR</v>
      </c>
    </row>
    <row r="912" s="698" customFormat="1" customHeight="1" spans="1:77">
      <c r="A912" s="227">
        <v>46151</v>
      </c>
      <c r="B912" s="248">
        <v>46204</v>
      </c>
      <c r="C912" s="242" t="s">
        <v>837</v>
      </c>
      <c r="D912" s="242" t="s">
        <v>838</v>
      </c>
      <c r="E912" s="242" t="s">
        <v>190</v>
      </c>
      <c r="F912" s="231">
        <v>1248</v>
      </c>
      <c r="G912" s="242" t="s">
        <v>510</v>
      </c>
      <c r="H912" s="211" t="str">
        <f>IFERROR(VLOOKUP(E912,名称!A:E,4,0),"")</f>
        <v>三代</v>
      </c>
      <c r="I912" s="268" t="str">
        <f t="shared" si="1391"/>
        <v/>
      </c>
      <c r="J912" s="268" t="str">
        <f t="shared" si="1392"/>
        <v/>
      </c>
      <c r="K912" s="268" t="str">
        <f t="shared" si="1393"/>
        <v/>
      </c>
      <c r="L912" s="268" t="str">
        <f t="shared" si="1394"/>
        <v/>
      </c>
      <c r="M912" s="268" t="str">
        <f t="shared" si="1395"/>
        <v/>
      </c>
      <c r="N912" s="268" t="str">
        <f t="shared" si="1396"/>
        <v/>
      </c>
      <c r="O912" s="268" t="str">
        <f t="shared" si="1397"/>
        <v/>
      </c>
      <c r="P912" s="268" t="str">
        <f t="shared" si="1398"/>
        <v/>
      </c>
      <c r="Q912" s="268" t="str">
        <f t="shared" si="1399"/>
        <v/>
      </c>
      <c r="R912" s="268" t="str">
        <f t="shared" si="1400"/>
        <v/>
      </c>
      <c r="S912" s="268" t="str">
        <f t="shared" si="1401"/>
        <v/>
      </c>
      <c r="T912" s="268" t="str">
        <f t="shared" si="1402"/>
        <v/>
      </c>
      <c r="U912" s="268" t="str">
        <f t="shared" si="1403"/>
        <v/>
      </c>
      <c r="V912" s="268" t="str">
        <f t="shared" si="1404"/>
        <v/>
      </c>
      <c r="W912" s="268" t="str">
        <f t="shared" si="1405"/>
        <v/>
      </c>
      <c r="X912" s="268" t="str">
        <f t="shared" si="1406"/>
        <v/>
      </c>
      <c r="Y912" s="268" t="str">
        <f t="shared" si="1407"/>
        <v/>
      </c>
      <c r="Z912" s="268" t="str">
        <f t="shared" si="1408"/>
        <v/>
      </c>
      <c r="AA912" s="268" t="str">
        <f t="shared" si="1409"/>
        <v/>
      </c>
      <c r="AB912" s="268" t="str">
        <f t="shared" si="1410"/>
        <v/>
      </c>
      <c r="AC912" s="268" t="str">
        <f t="shared" si="1411"/>
        <v/>
      </c>
      <c r="AD912" s="268" t="str">
        <f t="shared" si="1412"/>
        <v/>
      </c>
      <c r="AE912" s="268" t="str">
        <f t="shared" si="1413"/>
        <v/>
      </c>
      <c r="AF912" s="268" t="str">
        <f t="shared" si="1414"/>
        <v/>
      </c>
      <c r="AG912" s="268" t="str">
        <f t="shared" si="1415"/>
        <v/>
      </c>
      <c r="AH912" s="268" t="str">
        <f t="shared" si="1416"/>
        <v/>
      </c>
      <c r="AI912" s="268" t="str">
        <f t="shared" si="1417"/>
        <v/>
      </c>
      <c r="AJ912" s="268" t="str">
        <f t="shared" si="1418"/>
        <v/>
      </c>
      <c r="AK912" s="268" t="str">
        <f t="shared" si="1419"/>
        <v/>
      </c>
      <c r="AL912" s="268">
        <f t="shared" si="1420"/>
        <v>1248</v>
      </c>
      <c r="AM912" s="268" t="str">
        <f t="shared" si="1421"/>
        <v/>
      </c>
      <c r="AN912" s="268" t="str">
        <f t="shared" si="1422"/>
        <v/>
      </c>
      <c r="AO912" s="268" t="str">
        <f t="shared" si="1423"/>
        <v/>
      </c>
      <c r="AP912" s="268" t="str">
        <f t="shared" si="1424"/>
        <v/>
      </c>
      <c r="AQ912" s="268" t="str">
        <f t="shared" si="1425"/>
        <v/>
      </c>
      <c r="AR912" s="268" t="str">
        <f t="shared" si="1426"/>
        <v/>
      </c>
      <c r="AS912" s="268" t="str">
        <f t="shared" si="1427"/>
        <v/>
      </c>
      <c r="AT912" s="268" t="str">
        <f t="shared" si="1428"/>
        <v/>
      </c>
      <c r="AU912" s="268" t="str">
        <f t="shared" si="1429"/>
        <v/>
      </c>
      <c r="AV912" s="268" t="str">
        <f t="shared" si="1430"/>
        <v/>
      </c>
      <c r="AW912" s="268" t="str">
        <f t="shared" si="1431"/>
        <v/>
      </c>
      <c r="AX912" s="268" t="str">
        <f t="shared" si="1432"/>
        <v/>
      </c>
      <c r="AY912" s="268" t="str">
        <f t="shared" si="1433"/>
        <v/>
      </c>
      <c r="AZ912" s="268" t="str">
        <f t="shared" si="1434"/>
        <v/>
      </c>
      <c r="BA912" s="268" t="str">
        <f t="shared" si="1435"/>
        <v/>
      </c>
      <c r="BB912" s="268" t="str">
        <f t="shared" si="1436"/>
        <v/>
      </c>
      <c r="BC912" s="268" t="str">
        <f t="shared" si="1437"/>
        <v/>
      </c>
      <c r="BD912" s="268" t="str">
        <f t="shared" si="1438"/>
        <v/>
      </c>
      <c r="BE912" s="268" t="str">
        <f t="shared" si="1439"/>
        <v/>
      </c>
      <c r="BF912" s="268" t="str">
        <f t="shared" si="1440"/>
        <v/>
      </c>
      <c r="BG912" s="268" t="str">
        <f t="shared" si="1441"/>
        <v/>
      </c>
      <c r="BH912" s="268" t="str">
        <f t="shared" si="1442"/>
        <v/>
      </c>
      <c r="BI912" s="268" t="str">
        <f t="shared" si="1443"/>
        <v/>
      </c>
      <c r="BJ912" s="268" t="str">
        <f t="shared" si="1444"/>
        <v/>
      </c>
      <c r="BK912" s="268" t="str">
        <f t="shared" si="1445"/>
        <v/>
      </c>
      <c r="BL912" s="268" t="str">
        <f t="shared" si="1446"/>
        <v/>
      </c>
      <c r="BM912" s="268" t="str">
        <f t="shared" si="1447"/>
        <v/>
      </c>
      <c r="BN912" s="268" t="str">
        <f t="shared" si="1385"/>
        <v/>
      </c>
      <c r="BO912" s="268" t="str">
        <f t="shared" si="1386"/>
        <v/>
      </c>
      <c r="BP912" s="268" t="str">
        <f t="shared" si="1387"/>
        <v/>
      </c>
      <c r="BQ912" s="268" t="str">
        <f t="shared" si="1388"/>
        <v/>
      </c>
      <c r="BR912" s="268" t="str">
        <f t="shared" si="1389"/>
        <v/>
      </c>
      <c r="BS912" s="268" t="str">
        <f t="shared" si="1390"/>
        <v/>
      </c>
      <c r="BT912" s="268" t="str">
        <f t="shared" si="1448"/>
        <v/>
      </c>
      <c r="BU912" s="268" t="str">
        <f t="shared" si="1449"/>
        <v/>
      </c>
      <c r="BV912" s="247">
        <v>1.52</v>
      </c>
      <c r="BW912" s="729">
        <f t="shared" ref="BW912:BW943" si="1453">SUM(I912:BU912)*BV912</f>
        <v>1896.96</v>
      </c>
      <c r="BX912" s="730">
        <f t="shared" ref="BX912:BX943" si="1454">BW912*7.75</f>
        <v>14701.44</v>
      </c>
      <c r="BY912" s="731" t="str">
        <f t="shared" ref="BY912:BY943" si="1455">MID(E912,1,2)</f>
        <v>SR</v>
      </c>
    </row>
    <row r="913" s="698" customFormat="1" customHeight="1" spans="1:77">
      <c r="A913" s="227">
        <v>46151</v>
      </c>
      <c r="B913" s="248">
        <v>46204</v>
      </c>
      <c r="C913" s="242" t="s">
        <v>837</v>
      </c>
      <c r="D913" s="242" t="s">
        <v>838</v>
      </c>
      <c r="E913" s="242" t="s">
        <v>181</v>
      </c>
      <c r="F913" s="231">
        <f>4900-100</f>
        <v>4800</v>
      </c>
      <c r="G913" s="242" t="s">
        <v>510</v>
      </c>
      <c r="H913" s="211" t="str">
        <f>IFERROR(VLOOKUP(E913,名称!A:E,4,0),"")</f>
        <v>三代</v>
      </c>
      <c r="I913" s="268" t="str">
        <f t="shared" si="1391"/>
        <v/>
      </c>
      <c r="J913" s="268" t="str">
        <f t="shared" si="1392"/>
        <v/>
      </c>
      <c r="K913" s="268" t="str">
        <f t="shared" si="1393"/>
        <v/>
      </c>
      <c r="L913" s="268" t="str">
        <f t="shared" si="1394"/>
        <v/>
      </c>
      <c r="M913" s="268" t="str">
        <f t="shared" si="1395"/>
        <v/>
      </c>
      <c r="N913" s="268" t="str">
        <f t="shared" si="1396"/>
        <v/>
      </c>
      <c r="O913" s="268" t="str">
        <f t="shared" si="1397"/>
        <v/>
      </c>
      <c r="P913" s="268" t="str">
        <f t="shared" si="1398"/>
        <v/>
      </c>
      <c r="Q913" s="268" t="str">
        <f t="shared" si="1399"/>
        <v/>
      </c>
      <c r="R913" s="268" t="str">
        <f t="shared" si="1400"/>
        <v/>
      </c>
      <c r="S913" s="268" t="str">
        <f t="shared" si="1401"/>
        <v/>
      </c>
      <c r="T913" s="268" t="str">
        <f t="shared" si="1402"/>
        <v/>
      </c>
      <c r="U913" s="268" t="str">
        <f t="shared" si="1403"/>
        <v/>
      </c>
      <c r="V913" s="268" t="str">
        <f t="shared" si="1404"/>
        <v/>
      </c>
      <c r="W913" s="268" t="str">
        <f t="shared" si="1405"/>
        <v/>
      </c>
      <c r="X913" s="268" t="str">
        <f t="shared" si="1406"/>
        <v/>
      </c>
      <c r="Y913" s="268" t="str">
        <f t="shared" si="1407"/>
        <v/>
      </c>
      <c r="Z913" s="268" t="str">
        <f t="shared" si="1408"/>
        <v/>
      </c>
      <c r="AA913" s="268" t="str">
        <f t="shared" si="1409"/>
        <v/>
      </c>
      <c r="AB913" s="268" t="str">
        <f t="shared" si="1410"/>
        <v/>
      </c>
      <c r="AC913" s="268" t="str">
        <f t="shared" si="1411"/>
        <v/>
      </c>
      <c r="AD913" s="268" t="str">
        <f t="shared" si="1412"/>
        <v/>
      </c>
      <c r="AE913" s="268" t="str">
        <f t="shared" si="1413"/>
        <v/>
      </c>
      <c r="AF913" s="268" t="str">
        <f t="shared" si="1414"/>
        <v/>
      </c>
      <c r="AG913" s="268" t="str">
        <f t="shared" si="1415"/>
        <v/>
      </c>
      <c r="AH913" s="268" t="str">
        <f t="shared" si="1416"/>
        <v/>
      </c>
      <c r="AI913" s="268" t="str">
        <f t="shared" si="1417"/>
        <v/>
      </c>
      <c r="AJ913" s="268" t="str">
        <f t="shared" si="1418"/>
        <v/>
      </c>
      <c r="AK913" s="268" t="str">
        <f t="shared" si="1419"/>
        <v/>
      </c>
      <c r="AL913" s="268" t="str">
        <f t="shared" si="1420"/>
        <v/>
      </c>
      <c r="AM913" s="268" t="str">
        <f t="shared" si="1421"/>
        <v/>
      </c>
      <c r="AN913" s="268">
        <f t="shared" si="1422"/>
        <v>4800</v>
      </c>
      <c r="AO913" s="268" t="str">
        <f t="shared" si="1423"/>
        <v/>
      </c>
      <c r="AP913" s="268" t="str">
        <f t="shared" si="1424"/>
        <v/>
      </c>
      <c r="AQ913" s="268" t="str">
        <f t="shared" si="1425"/>
        <v/>
      </c>
      <c r="AR913" s="268" t="str">
        <f t="shared" si="1426"/>
        <v/>
      </c>
      <c r="AS913" s="268" t="str">
        <f t="shared" si="1427"/>
        <v/>
      </c>
      <c r="AT913" s="268" t="str">
        <f t="shared" si="1428"/>
        <v/>
      </c>
      <c r="AU913" s="268" t="str">
        <f t="shared" si="1429"/>
        <v/>
      </c>
      <c r="AV913" s="268" t="str">
        <f t="shared" si="1430"/>
        <v/>
      </c>
      <c r="AW913" s="268" t="str">
        <f t="shared" si="1431"/>
        <v/>
      </c>
      <c r="AX913" s="268" t="str">
        <f t="shared" si="1432"/>
        <v/>
      </c>
      <c r="AY913" s="268" t="str">
        <f t="shared" si="1433"/>
        <v/>
      </c>
      <c r="AZ913" s="268" t="str">
        <f t="shared" si="1434"/>
        <v/>
      </c>
      <c r="BA913" s="268" t="str">
        <f t="shared" si="1435"/>
        <v/>
      </c>
      <c r="BB913" s="268" t="str">
        <f t="shared" si="1436"/>
        <v/>
      </c>
      <c r="BC913" s="268" t="str">
        <f t="shared" si="1437"/>
        <v/>
      </c>
      <c r="BD913" s="268" t="str">
        <f t="shared" si="1438"/>
        <v/>
      </c>
      <c r="BE913" s="268" t="str">
        <f t="shared" si="1439"/>
        <v/>
      </c>
      <c r="BF913" s="268" t="str">
        <f t="shared" si="1440"/>
        <v/>
      </c>
      <c r="BG913" s="268" t="str">
        <f t="shared" si="1441"/>
        <v/>
      </c>
      <c r="BH913" s="268" t="str">
        <f t="shared" si="1442"/>
        <v/>
      </c>
      <c r="BI913" s="268" t="str">
        <f t="shared" si="1443"/>
        <v/>
      </c>
      <c r="BJ913" s="268" t="str">
        <f t="shared" si="1444"/>
        <v/>
      </c>
      <c r="BK913" s="268" t="str">
        <f t="shared" si="1445"/>
        <v/>
      </c>
      <c r="BL913" s="268" t="str">
        <f t="shared" si="1446"/>
        <v/>
      </c>
      <c r="BM913" s="268" t="str">
        <f t="shared" si="1447"/>
        <v/>
      </c>
      <c r="BN913" s="268" t="str">
        <f t="shared" si="1385"/>
        <v/>
      </c>
      <c r="BO913" s="268" t="str">
        <f t="shared" si="1386"/>
        <v/>
      </c>
      <c r="BP913" s="268" t="str">
        <f t="shared" si="1387"/>
        <v/>
      </c>
      <c r="BQ913" s="268" t="str">
        <f t="shared" si="1388"/>
        <v/>
      </c>
      <c r="BR913" s="268" t="str">
        <f t="shared" si="1389"/>
        <v/>
      </c>
      <c r="BS913" s="268" t="str">
        <f t="shared" si="1390"/>
        <v/>
      </c>
      <c r="BT913" s="268" t="str">
        <f t="shared" si="1448"/>
        <v/>
      </c>
      <c r="BU913" s="268" t="str">
        <f t="shared" si="1449"/>
        <v/>
      </c>
      <c r="BV913" s="247">
        <v>0.78</v>
      </c>
      <c r="BW913" s="729">
        <f t="shared" si="1453"/>
        <v>3744</v>
      </c>
      <c r="BX913" s="730">
        <f t="shared" si="1454"/>
        <v>29016</v>
      </c>
      <c r="BY913" s="731" t="str">
        <f t="shared" si="1455"/>
        <v>SR</v>
      </c>
    </row>
    <row r="914" s="698" customFormat="1" customHeight="1" spans="1:77">
      <c r="A914" s="227">
        <v>46151</v>
      </c>
      <c r="B914" s="248">
        <v>46204</v>
      </c>
      <c r="C914" s="242" t="s">
        <v>837</v>
      </c>
      <c r="D914" s="242" t="s">
        <v>838</v>
      </c>
      <c r="E914" s="242" t="s">
        <v>182</v>
      </c>
      <c r="F914" s="231">
        <v>3072</v>
      </c>
      <c r="G914" s="242" t="s">
        <v>510</v>
      </c>
      <c r="H914" s="211" t="str">
        <f>IFERROR(VLOOKUP(E914,名称!A:E,4,0),"")</f>
        <v>三代</v>
      </c>
      <c r="I914" s="268" t="str">
        <f t="shared" si="1391"/>
        <v/>
      </c>
      <c r="J914" s="268" t="str">
        <f t="shared" si="1392"/>
        <v/>
      </c>
      <c r="K914" s="268" t="str">
        <f t="shared" si="1393"/>
        <v/>
      </c>
      <c r="L914" s="268" t="str">
        <f t="shared" si="1394"/>
        <v/>
      </c>
      <c r="M914" s="268" t="str">
        <f t="shared" si="1395"/>
        <v/>
      </c>
      <c r="N914" s="268" t="str">
        <f t="shared" si="1396"/>
        <v/>
      </c>
      <c r="O914" s="268" t="str">
        <f t="shared" si="1397"/>
        <v/>
      </c>
      <c r="P914" s="268" t="str">
        <f t="shared" si="1398"/>
        <v/>
      </c>
      <c r="Q914" s="268" t="str">
        <f t="shared" si="1399"/>
        <v/>
      </c>
      <c r="R914" s="268" t="str">
        <f t="shared" si="1400"/>
        <v/>
      </c>
      <c r="S914" s="268" t="str">
        <f t="shared" si="1401"/>
        <v/>
      </c>
      <c r="T914" s="268" t="str">
        <f t="shared" si="1402"/>
        <v/>
      </c>
      <c r="U914" s="268" t="str">
        <f t="shared" si="1403"/>
        <v/>
      </c>
      <c r="V914" s="268" t="str">
        <f t="shared" si="1404"/>
        <v/>
      </c>
      <c r="W914" s="268" t="str">
        <f t="shared" si="1405"/>
        <v/>
      </c>
      <c r="X914" s="268" t="str">
        <f t="shared" si="1406"/>
        <v/>
      </c>
      <c r="Y914" s="268" t="str">
        <f t="shared" si="1407"/>
        <v/>
      </c>
      <c r="Z914" s="268" t="str">
        <f t="shared" si="1408"/>
        <v/>
      </c>
      <c r="AA914" s="268" t="str">
        <f t="shared" si="1409"/>
        <v/>
      </c>
      <c r="AB914" s="268" t="str">
        <f t="shared" si="1410"/>
        <v/>
      </c>
      <c r="AC914" s="268" t="str">
        <f t="shared" si="1411"/>
        <v/>
      </c>
      <c r="AD914" s="268" t="str">
        <f t="shared" si="1412"/>
        <v/>
      </c>
      <c r="AE914" s="268">
        <f t="shared" si="1413"/>
        <v>3072</v>
      </c>
      <c r="AF914" s="268" t="str">
        <f t="shared" si="1414"/>
        <v/>
      </c>
      <c r="AG914" s="268" t="str">
        <f t="shared" si="1415"/>
        <v/>
      </c>
      <c r="AH914" s="268" t="str">
        <f t="shared" si="1416"/>
        <v/>
      </c>
      <c r="AI914" s="268" t="str">
        <f t="shared" si="1417"/>
        <v/>
      </c>
      <c r="AJ914" s="268" t="str">
        <f t="shared" si="1418"/>
        <v/>
      </c>
      <c r="AK914" s="268" t="str">
        <f t="shared" si="1419"/>
        <v/>
      </c>
      <c r="AL914" s="268" t="str">
        <f t="shared" si="1420"/>
        <v/>
      </c>
      <c r="AM914" s="268" t="str">
        <f t="shared" si="1421"/>
        <v/>
      </c>
      <c r="AN914" s="268" t="str">
        <f t="shared" si="1422"/>
        <v/>
      </c>
      <c r="AO914" s="268" t="str">
        <f t="shared" si="1423"/>
        <v/>
      </c>
      <c r="AP914" s="268" t="str">
        <f t="shared" si="1424"/>
        <v/>
      </c>
      <c r="AQ914" s="268" t="str">
        <f t="shared" si="1425"/>
        <v/>
      </c>
      <c r="AR914" s="268" t="str">
        <f t="shared" si="1426"/>
        <v/>
      </c>
      <c r="AS914" s="268" t="str">
        <f t="shared" si="1427"/>
        <v/>
      </c>
      <c r="AT914" s="268" t="str">
        <f t="shared" si="1428"/>
        <v/>
      </c>
      <c r="AU914" s="268" t="str">
        <f t="shared" si="1429"/>
        <v/>
      </c>
      <c r="AV914" s="268" t="str">
        <f t="shared" si="1430"/>
        <v/>
      </c>
      <c r="AW914" s="268" t="str">
        <f t="shared" si="1431"/>
        <v/>
      </c>
      <c r="AX914" s="268" t="str">
        <f t="shared" si="1432"/>
        <v/>
      </c>
      <c r="AY914" s="268" t="str">
        <f t="shared" si="1433"/>
        <v/>
      </c>
      <c r="AZ914" s="268" t="str">
        <f t="shared" si="1434"/>
        <v/>
      </c>
      <c r="BA914" s="268" t="str">
        <f t="shared" si="1435"/>
        <v/>
      </c>
      <c r="BB914" s="268" t="str">
        <f t="shared" si="1436"/>
        <v/>
      </c>
      <c r="BC914" s="268" t="str">
        <f t="shared" si="1437"/>
        <v/>
      </c>
      <c r="BD914" s="268" t="str">
        <f t="shared" si="1438"/>
        <v/>
      </c>
      <c r="BE914" s="268" t="str">
        <f t="shared" si="1439"/>
        <v/>
      </c>
      <c r="BF914" s="268" t="str">
        <f t="shared" si="1440"/>
        <v/>
      </c>
      <c r="BG914" s="268" t="str">
        <f t="shared" si="1441"/>
        <v/>
      </c>
      <c r="BH914" s="268" t="str">
        <f t="shared" si="1442"/>
        <v/>
      </c>
      <c r="BI914" s="268" t="str">
        <f t="shared" si="1443"/>
        <v/>
      </c>
      <c r="BJ914" s="268" t="str">
        <f t="shared" si="1444"/>
        <v/>
      </c>
      <c r="BK914" s="268" t="str">
        <f t="shared" si="1445"/>
        <v/>
      </c>
      <c r="BL914" s="268" t="str">
        <f t="shared" si="1446"/>
        <v/>
      </c>
      <c r="BM914" s="268" t="str">
        <f t="shared" si="1447"/>
        <v/>
      </c>
      <c r="BN914" s="268" t="str">
        <f t="shared" si="1385"/>
        <v/>
      </c>
      <c r="BO914" s="268" t="str">
        <f t="shared" si="1386"/>
        <v/>
      </c>
      <c r="BP914" s="268" t="str">
        <f t="shared" si="1387"/>
        <v/>
      </c>
      <c r="BQ914" s="268" t="str">
        <f t="shared" si="1388"/>
        <v/>
      </c>
      <c r="BR914" s="268" t="str">
        <f t="shared" si="1389"/>
        <v/>
      </c>
      <c r="BS914" s="268" t="str">
        <f t="shared" si="1390"/>
        <v/>
      </c>
      <c r="BT914" s="268" t="str">
        <f t="shared" si="1448"/>
        <v/>
      </c>
      <c r="BU914" s="268" t="str">
        <f t="shared" si="1449"/>
        <v/>
      </c>
      <c r="BV914" s="247">
        <v>0.55</v>
      </c>
      <c r="BW914" s="729">
        <f t="shared" si="1453"/>
        <v>1689.6</v>
      </c>
      <c r="BX914" s="730">
        <f t="shared" si="1454"/>
        <v>13094.4</v>
      </c>
      <c r="BY914" s="731" t="str">
        <f t="shared" si="1455"/>
        <v>SR</v>
      </c>
    </row>
    <row r="915" s="698" customFormat="1" customHeight="1" spans="1:77">
      <c r="A915" s="227">
        <v>46151</v>
      </c>
      <c r="B915" s="248">
        <v>46204</v>
      </c>
      <c r="C915" s="242" t="s">
        <v>837</v>
      </c>
      <c r="D915" s="242" t="s">
        <v>838</v>
      </c>
      <c r="E915" s="242" t="s">
        <v>68</v>
      </c>
      <c r="F915" s="231">
        <v>252</v>
      </c>
      <c r="G915" s="242" t="s">
        <v>510</v>
      </c>
      <c r="H915" s="211" t="str">
        <f>IFERROR(VLOOKUP(E915,名称!A:E,4,0),"")</f>
        <v>三代</v>
      </c>
      <c r="I915" s="268" t="str">
        <f t="shared" si="1391"/>
        <v/>
      </c>
      <c r="J915" s="268" t="str">
        <f t="shared" si="1392"/>
        <v/>
      </c>
      <c r="K915" s="268" t="str">
        <f t="shared" si="1393"/>
        <v/>
      </c>
      <c r="L915" s="268" t="str">
        <f t="shared" si="1394"/>
        <v/>
      </c>
      <c r="M915" s="268" t="str">
        <f t="shared" si="1395"/>
        <v/>
      </c>
      <c r="N915" s="268" t="str">
        <f t="shared" si="1396"/>
        <v/>
      </c>
      <c r="O915" s="268" t="str">
        <f t="shared" si="1397"/>
        <v/>
      </c>
      <c r="P915" s="268" t="str">
        <f t="shared" si="1398"/>
        <v/>
      </c>
      <c r="Q915" s="268" t="str">
        <f t="shared" si="1399"/>
        <v/>
      </c>
      <c r="R915" s="268" t="str">
        <f t="shared" si="1400"/>
        <v/>
      </c>
      <c r="S915" s="268" t="str">
        <f t="shared" si="1401"/>
        <v/>
      </c>
      <c r="T915" s="268" t="str">
        <f t="shared" si="1402"/>
        <v/>
      </c>
      <c r="U915" s="268" t="str">
        <f t="shared" si="1403"/>
        <v/>
      </c>
      <c r="V915" s="268" t="str">
        <f t="shared" si="1404"/>
        <v/>
      </c>
      <c r="W915" s="268" t="str">
        <f t="shared" si="1405"/>
        <v/>
      </c>
      <c r="X915" s="268" t="str">
        <f t="shared" si="1406"/>
        <v/>
      </c>
      <c r="Y915" s="268" t="str">
        <f t="shared" si="1407"/>
        <v/>
      </c>
      <c r="Z915" s="268" t="str">
        <f t="shared" si="1408"/>
        <v/>
      </c>
      <c r="AA915" s="268" t="str">
        <f t="shared" si="1409"/>
        <v/>
      </c>
      <c r="AB915" s="268" t="str">
        <f t="shared" si="1410"/>
        <v/>
      </c>
      <c r="AC915" s="268" t="str">
        <f t="shared" si="1411"/>
        <v/>
      </c>
      <c r="AD915" s="268" t="str">
        <f t="shared" si="1412"/>
        <v/>
      </c>
      <c r="AE915" s="268" t="str">
        <f t="shared" si="1413"/>
        <v/>
      </c>
      <c r="AF915" s="268" t="str">
        <f t="shared" si="1414"/>
        <v/>
      </c>
      <c r="AG915" s="268" t="str">
        <f t="shared" si="1415"/>
        <v/>
      </c>
      <c r="AH915" s="268">
        <f t="shared" si="1416"/>
        <v>252</v>
      </c>
      <c r="AI915" s="268" t="str">
        <f t="shared" si="1417"/>
        <v/>
      </c>
      <c r="AJ915" s="268" t="str">
        <f t="shared" si="1418"/>
        <v/>
      </c>
      <c r="AK915" s="268" t="str">
        <f t="shared" si="1419"/>
        <v/>
      </c>
      <c r="AL915" s="268" t="str">
        <f t="shared" si="1420"/>
        <v/>
      </c>
      <c r="AM915" s="268" t="str">
        <f t="shared" si="1421"/>
        <v/>
      </c>
      <c r="AN915" s="268" t="str">
        <f t="shared" si="1422"/>
        <v/>
      </c>
      <c r="AO915" s="268" t="str">
        <f t="shared" si="1423"/>
        <v/>
      </c>
      <c r="AP915" s="268" t="str">
        <f t="shared" si="1424"/>
        <v/>
      </c>
      <c r="AQ915" s="268" t="str">
        <f t="shared" si="1425"/>
        <v/>
      </c>
      <c r="AR915" s="268" t="str">
        <f t="shared" si="1426"/>
        <v/>
      </c>
      <c r="AS915" s="268" t="str">
        <f t="shared" si="1427"/>
        <v/>
      </c>
      <c r="AT915" s="268" t="str">
        <f t="shared" si="1428"/>
        <v/>
      </c>
      <c r="AU915" s="268" t="str">
        <f t="shared" si="1429"/>
        <v/>
      </c>
      <c r="AV915" s="268" t="str">
        <f t="shared" si="1430"/>
        <v/>
      </c>
      <c r="AW915" s="268" t="str">
        <f t="shared" si="1431"/>
        <v/>
      </c>
      <c r="AX915" s="268" t="str">
        <f t="shared" si="1432"/>
        <v/>
      </c>
      <c r="AY915" s="268" t="str">
        <f t="shared" si="1433"/>
        <v/>
      </c>
      <c r="AZ915" s="268" t="str">
        <f t="shared" si="1434"/>
        <v/>
      </c>
      <c r="BA915" s="268" t="str">
        <f t="shared" si="1435"/>
        <v/>
      </c>
      <c r="BB915" s="268" t="str">
        <f t="shared" si="1436"/>
        <v/>
      </c>
      <c r="BC915" s="268" t="str">
        <f t="shared" si="1437"/>
        <v/>
      </c>
      <c r="BD915" s="268" t="str">
        <f t="shared" si="1438"/>
        <v/>
      </c>
      <c r="BE915" s="268" t="str">
        <f t="shared" si="1439"/>
        <v/>
      </c>
      <c r="BF915" s="268" t="str">
        <f t="shared" si="1440"/>
        <v/>
      </c>
      <c r="BG915" s="268" t="str">
        <f t="shared" si="1441"/>
        <v/>
      </c>
      <c r="BH915" s="268" t="str">
        <f t="shared" si="1442"/>
        <v/>
      </c>
      <c r="BI915" s="268" t="str">
        <f t="shared" si="1443"/>
        <v/>
      </c>
      <c r="BJ915" s="268" t="str">
        <f t="shared" si="1444"/>
        <v/>
      </c>
      <c r="BK915" s="268" t="str">
        <f t="shared" si="1445"/>
        <v/>
      </c>
      <c r="BL915" s="268" t="str">
        <f t="shared" si="1446"/>
        <v/>
      </c>
      <c r="BM915" s="268" t="str">
        <f t="shared" si="1447"/>
        <v/>
      </c>
      <c r="BN915" s="268" t="str">
        <f t="shared" si="1385"/>
        <v/>
      </c>
      <c r="BO915" s="268" t="str">
        <f t="shared" si="1386"/>
        <v/>
      </c>
      <c r="BP915" s="268" t="str">
        <f t="shared" si="1387"/>
        <v/>
      </c>
      <c r="BQ915" s="268" t="str">
        <f t="shared" si="1388"/>
        <v/>
      </c>
      <c r="BR915" s="268" t="str">
        <f t="shared" si="1389"/>
        <v/>
      </c>
      <c r="BS915" s="268" t="str">
        <f t="shared" si="1390"/>
        <v/>
      </c>
      <c r="BT915" s="268" t="str">
        <f t="shared" si="1448"/>
        <v/>
      </c>
      <c r="BU915" s="268" t="str">
        <f t="shared" si="1449"/>
        <v/>
      </c>
      <c r="BV915" s="247">
        <v>3.23</v>
      </c>
      <c r="BW915" s="729">
        <f t="shared" si="1453"/>
        <v>813.96</v>
      </c>
      <c r="BX915" s="730">
        <f t="shared" si="1454"/>
        <v>6308.19</v>
      </c>
      <c r="BY915" s="731" t="str">
        <f t="shared" si="1455"/>
        <v>SR</v>
      </c>
    </row>
    <row r="916" s="697" customFormat="1" customHeight="1" spans="1:77">
      <c r="A916" s="116">
        <v>46154</v>
      </c>
      <c r="B916" s="116">
        <v>46164</v>
      </c>
      <c r="C916" s="118" t="s">
        <v>839</v>
      </c>
      <c r="D916" s="118" t="s">
        <v>840</v>
      </c>
      <c r="E916" s="118" t="s">
        <v>123</v>
      </c>
      <c r="F916" s="737">
        <v>120</v>
      </c>
      <c r="G916" s="118" t="s">
        <v>334</v>
      </c>
      <c r="H916" s="118" t="str">
        <f>IFERROR(VLOOKUP(E916,名称!A:E,4,0),"")</f>
        <v>蛋糕</v>
      </c>
      <c r="I916" s="418" t="str">
        <f t="shared" si="1391"/>
        <v/>
      </c>
      <c r="J916" s="418" t="str">
        <f t="shared" si="1392"/>
        <v/>
      </c>
      <c r="K916" s="418" t="str">
        <f t="shared" si="1393"/>
        <v/>
      </c>
      <c r="L916" s="418" t="str">
        <f t="shared" si="1394"/>
        <v/>
      </c>
      <c r="M916" s="418" t="str">
        <f t="shared" si="1395"/>
        <v/>
      </c>
      <c r="N916" s="418" t="str">
        <f t="shared" si="1396"/>
        <v/>
      </c>
      <c r="O916" s="418" t="str">
        <f t="shared" si="1397"/>
        <v/>
      </c>
      <c r="P916" s="418" t="str">
        <f t="shared" si="1398"/>
        <v/>
      </c>
      <c r="Q916" s="418" t="str">
        <f t="shared" si="1399"/>
        <v/>
      </c>
      <c r="R916" s="418" t="str">
        <f t="shared" si="1400"/>
        <v/>
      </c>
      <c r="S916" s="418" t="str">
        <f t="shared" si="1401"/>
        <v/>
      </c>
      <c r="T916" s="418" t="str">
        <f t="shared" si="1402"/>
        <v/>
      </c>
      <c r="U916" s="418" t="str">
        <f t="shared" si="1403"/>
        <v/>
      </c>
      <c r="V916" s="418" t="str">
        <f t="shared" si="1404"/>
        <v/>
      </c>
      <c r="W916" s="418" t="str">
        <f t="shared" si="1405"/>
        <v/>
      </c>
      <c r="X916" s="418" t="str">
        <f t="shared" si="1406"/>
        <v/>
      </c>
      <c r="Y916" s="418" t="str">
        <f t="shared" si="1407"/>
        <v/>
      </c>
      <c r="Z916" s="418" t="str">
        <f t="shared" si="1408"/>
        <v/>
      </c>
      <c r="AA916" s="418" t="str">
        <f t="shared" si="1409"/>
        <v/>
      </c>
      <c r="AB916" s="418" t="str">
        <f t="shared" si="1410"/>
        <v/>
      </c>
      <c r="AC916" s="418" t="str">
        <f t="shared" si="1411"/>
        <v/>
      </c>
      <c r="AD916" s="418" t="str">
        <f t="shared" si="1412"/>
        <v/>
      </c>
      <c r="AE916" s="418" t="str">
        <f t="shared" si="1413"/>
        <v/>
      </c>
      <c r="AF916" s="418" t="str">
        <f t="shared" si="1414"/>
        <v/>
      </c>
      <c r="AG916" s="418" t="str">
        <f t="shared" si="1415"/>
        <v/>
      </c>
      <c r="AH916" s="418" t="str">
        <f t="shared" si="1416"/>
        <v/>
      </c>
      <c r="AI916" s="418" t="str">
        <f t="shared" si="1417"/>
        <v/>
      </c>
      <c r="AJ916" s="418" t="str">
        <f t="shared" si="1418"/>
        <v/>
      </c>
      <c r="AK916" s="418" t="str">
        <f t="shared" si="1419"/>
        <v/>
      </c>
      <c r="AL916" s="418" t="str">
        <f t="shared" si="1420"/>
        <v/>
      </c>
      <c r="AM916" s="418" t="str">
        <f t="shared" si="1421"/>
        <v/>
      </c>
      <c r="AN916" s="418" t="str">
        <f t="shared" si="1422"/>
        <v/>
      </c>
      <c r="AO916" s="418" t="str">
        <f t="shared" si="1423"/>
        <v/>
      </c>
      <c r="AP916" s="418" t="str">
        <f t="shared" si="1424"/>
        <v/>
      </c>
      <c r="AQ916" s="418" t="str">
        <f t="shared" si="1425"/>
        <v/>
      </c>
      <c r="AR916" s="418" t="str">
        <f t="shared" si="1426"/>
        <v/>
      </c>
      <c r="AS916" s="418" t="str">
        <f t="shared" si="1427"/>
        <v/>
      </c>
      <c r="AT916" s="418" t="str">
        <f t="shared" si="1428"/>
        <v/>
      </c>
      <c r="AU916" s="418" t="str">
        <f t="shared" si="1429"/>
        <v/>
      </c>
      <c r="AV916" s="418" t="str">
        <f t="shared" si="1430"/>
        <v/>
      </c>
      <c r="AW916" s="418" t="str">
        <f t="shared" si="1431"/>
        <v/>
      </c>
      <c r="AX916" s="418" t="str">
        <f t="shared" si="1432"/>
        <v/>
      </c>
      <c r="AY916" s="418" t="str">
        <f t="shared" si="1433"/>
        <v/>
      </c>
      <c r="AZ916" s="418" t="str">
        <f t="shared" si="1434"/>
        <v/>
      </c>
      <c r="BA916" s="418" t="str">
        <f t="shared" si="1435"/>
        <v/>
      </c>
      <c r="BB916" s="418" t="str">
        <f t="shared" si="1436"/>
        <v/>
      </c>
      <c r="BC916" s="418" t="str">
        <f t="shared" si="1437"/>
        <v/>
      </c>
      <c r="BD916" s="418" t="str">
        <f t="shared" si="1438"/>
        <v/>
      </c>
      <c r="BE916" s="418" t="str">
        <f t="shared" si="1439"/>
        <v/>
      </c>
      <c r="BF916" s="418">
        <f t="shared" si="1440"/>
        <v>120</v>
      </c>
      <c r="BG916" s="418" t="str">
        <f t="shared" si="1441"/>
        <v/>
      </c>
      <c r="BH916" s="418" t="str">
        <f t="shared" si="1442"/>
        <v/>
      </c>
      <c r="BI916" s="418" t="str">
        <f t="shared" si="1443"/>
        <v/>
      </c>
      <c r="BJ916" s="418" t="str">
        <f t="shared" si="1444"/>
        <v/>
      </c>
      <c r="BK916" s="418" t="str">
        <f t="shared" si="1445"/>
        <v/>
      </c>
      <c r="BL916" s="418" t="str">
        <f t="shared" si="1446"/>
        <v/>
      </c>
      <c r="BM916" s="418" t="str">
        <f t="shared" si="1447"/>
        <v/>
      </c>
      <c r="BN916" s="418" t="str">
        <f t="shared" si="1385"/>
        <v/>
      </c>
      <c r="BO916" s="418" t="str">
        <f t="shared" si="1386"/>
        <v/>
      </c>
      <c r="BP916" s="418" t="str">
        <f t="shared" si="1387"/>
        <v/>
      </c>
      <c r="BQ916" s="418" t="str">
        <f t="shared" si="1388"/>
        <v/>
      </c>
      <c r="BR916" s="418" t="str">
        <f t="shared" si="1389"/>
        <v/>
      </c>
      <c r="BS916" s="418" t="str">
        <f t="shared" si="1390"/>
        <v/>
      </c>
      <c r="BT916" s="418" t="str">
        <f t="shared" si="1448"/>
        <v/>
      </c>
      <c r="BU916" s="418" t="str">
        <f t="shared" si="1449"/>
        <v/>
      </c>
      <c r="BV916" s="742">
        <v>0.81</v>
      </c>
      <c r="BW916" s="723">
        <f t="shared" si="1453"/>
        <v>97.2</v>
      </c>
      <c r="BX916" s="724">
        <f t="shared" si="1454"/>
        <v>753.3</v>
      </c>
      <c r="BY916" s="725" t="str">
        <f t="shared" si="1455"/>
        <v>JC</v>
      </c>
    </row>
    <row r="917" s="697" customFormat="1" customHeight="1" spans="1:77">
      <c r="A917" s="116">
        <v>46154</v>
      </c>
      <c r="B917" s="116">
        <v>46164</v>
      </c>
      <c r="C917" s="118" t="s">
        <v>839</v>
      </c>
      <c r="D917" s="118" t="s">
        <v>840</v>
      </c>
      <c r="E917" s="118" t="s">
        <v>50</v>
      </c>
      <c r="F917" s="737">
        <v>90</v>
      </c>
      <c r="G917" s="118" t="s">
        <v>334</v>
      </c>
      <c r="H917" s="118" t="str">
        <f>IFERROR(VLOOKUP(E917,名称!A:E,4,0),"")</f>
        <v>蛋糕</v>
      </c>
      <c r="I917" s="418" t="str">
        <f t="shared" si="1391"/>
        <v/>
      </c>
      <c r="J917" s="418" t="str">
        <f t="shared" si="1392"/>
        <v/>
      </c>
      <c r="K917" s="418" t="str">
        <f t="shared" si="1393"/>
        <v/>
      </c>
      <c r="L917" s="418" t="str">
        <f t="shared" si="1394"/>
        <v/>
      </c>
      <c r="M917" s="418" t="str">
        <f t="shared" si="1395"/>
        <v/>
      </c>
      <c r="N917" s="418" t="str">
        <f t="shared" si="1396"/>
        <v/>
      </c>
      <c r="O917" s="418" t="str">
        <f t="shared" si="1397"/>
        <v/>
      </c>
      <c r="P917" s="418" t="str">
        <f t="shared" si="1398"/>
        <v/>
      </c>
      <c r="Q917" s="418" t="str">
        <f t="shared" si="1399"/>
        <v/>
      </c>
      <c r="R917" s="418" t="str">
        <f t="shared" si="1400"/>
        <v/>
      </c>
      <c r="S917" s="418" t="str">
        <f t="shared" si="1401"/>
        <v/>
      </c>
      <c r="T917" s="418" t="str">
        <f t="shared" si="1402"/>
        <v/>
      </c>
      <c r="U917" s="418" t="str">
        <f t="shared" si="1403"/>
        <v/>
      </c>
      <c r="V917" s="418" t="str">
        <f t="shared" si="1404"/>
        <v/>
      </c>
      <c r="W917" s="418" t="str">
        <f t="shared" si="1405"/>
        <v/>
      </c>
      <c r="X917" s="418" t="str">
        <f t="shared" si="1406"/>
        <v/>
      </c>
      <c r="Y917" s="418" t="str">
        <f t="shared" si="1407"/>
        <v/>
      </c>
      <c r="Z917" s="418" t="str">
        <f t="shared" si="1408"/>
        <v/>
      </c>
      <c r="AA917" s="418" t="str">
        <f t="shared" si="1409"/>
        <v/>
      </c>
      <c r="AB917" s="418" t="str">
        <f t="shared" si="1410"/>
        <v/>
      </c>
      <c r="AC917" s="418" t="str">
        <f t="shared" si="1411"/>
        <v/>
      </c>
      <c r="AD917" s="418" t="str">
        <f t="shared" si="1412"/>
        <v/>
      </c>
      <c r="AE917" s="418" t="str">
        <f t="shared" si="1413"/>
        <v/>
      </c>
      <c r="AF917" s="418" t="str">
        <f t="shared" si="1414"/>
        <v/>
      </c>
      <c r="AG917" s="418" t="str">
        <f t="shared" si="1415"/>
        <v/>
      </c>
      <c r="AH917" s="418" t="str">
        <f t="shared" si="1416"/>
        <v/>
      </c>
      <c r="AI917" s="418" t="str">
        <f t="shared" si="1417"/>
        <v/>
      </c>
      <c r="AJ917" s="418" t="str">
        <f t="shared" si="1418"/>
        <v/>
      </c>
      <c r="AK917" s="418" t="str">
        <f t="shared" si="1419"/>
        <v/>
      </c>
      <c r="AL917" s="418" t="str">
        <f t="shared" si="1420"/>
        <v/>
      </c>
      <c r="AM917" s="418" t="str">
        <f t="shared" si="1421"/>
        <v/>
      </c>
      <c r="AN917" s="418" t="str">
        <f t="shared" si="1422"/>
        <v/>
      </c>
      <c r="AO917" s="418" t="str">
        <f t="shared" si="1423"/>
        <v/>
      </c>
      <c r="AP917" s="418" t="str">
        <f t="shared" si="1424"/>
        <v/>
      </c>
      <c r="AQ917" s="418" t="str">
        <f t="shared" si="1425"/>
        <v/>
      </c>
      <c r="AR917" s="418" t="str">
        <f t="shared" si="1426"/>
        <v/>
      </c>
      <c r="AS917" s="418" t="str">
        <f t="shared" si="1427"/>
        <v/>
      </c>
      <c r="AT917" s="418" t="str">
        <f t="shared" si="1428"/>
        <v/>
      </c>
      <c r="AU917" s="418" t="str">
        <f t="shared" si="1429"/>
        <v/>
      </c>
      <c r="AV917" s="418" t="str">
        <f t="shared" si="1430"/>
        <v/>
      </c>
      <c r="AW917" s="418" t="str">
        <f t="shared" si="1431"/>
        <v/>
      </c>
      <c r="AX917" s="418" t="str">
        <f t="shared" si="1432"/>
        <v/>
      </c>
      <c r="AY917" s="418" t="str">
        <f t="shared" si="1433"/>
        <v/>
      </c>
      <c r="AZ917" s="418" t="str">
        <f t="shared" si="1434"/>
        <v/>
      </c>
      <c r="BA917" s="418" t="str">
        <f t="shared" si="1435"/>
        <v/>
      </c>
      <c r="BB917" s="418" t="str">
        <f t="shared" si="1436"/>
        <v/>
      </c>
      <c r="BC917" s="418" t="str">
        <f t="shared" si="1437"/>
        <v/>
      </c>
      <c r="BD917" s="418" t="str">
        <f t="shared" si="1438"/>
        <v/>
      </c>
      <c r="BE917" s="418" t="str">
        <f t="shared" si="1439"/>
        <v/>
      </c>
      <c r="BF917" s="418" t="str">
        <f t="shared" si="1440"/>
        <v/>
      </c>
      <c r="BG917" s="418">
        <f t="shared" si="1441"/>
        <v>90</v>
      </c>
      <c r="BH917" s="418" t="str">
        <f t="shared" si="1442"/>
        <v/>
      </c>
      <c r="BI917" s="418" t="str">
        <f t="shared" si="1443"/>
        <v/>
      </c>
      <c r="BJ917" s="418" t="str">
        <f t="shared" si="1444"/>
        <v/>
      </c>
      <c r="BK917" s="418" t="str">
        <f t="shared" si="1445"/>
        <v/>
      </c>
      <c r="BL917" s="418" t="str">
        <f t="shared" si="1446"/>
        <v/>
      </c>
      <c r="BM917" s="418" t="str">
        <f t="shared" si="1447"/>
        <v/>
      </c>
      <c r="BN917" s="418" t="str">
        <f t="shared" si="1385"/>
        <v/>
      </c>
      <c r="BO917" s="418" t="str">
        <f t="shared" si="1386"/>
        <v/>
      </c>
      <c r="BP917" s="418" t="str">
        <f t="shared" si="1387"/>
        <v/>
      </c>
      <c r="BQ917" s="418" t="str">
        <f t="shared" si="1388"/>
        <v/>
      </c>
      <c r="BR917" s="418" t="str">
        <f t="shared" si="1389"/>
        <v/>
      </c>
      <c r="BS917" s="418" t="str">
        <f t="shared" si="1390"/>
        <v/>
      </c>
      <c r="BT917" s="418" t="str">
        <f t="shared" si="1448"/>
        <v/>
      </c>
      <c r="BU917" s="418" t="str">
        <f t="shared" si="1449"/>
        <v/>
      </c>
      <c r="BV917" s="544"/>
      <c r="BW917" s="723">
        <f t="shared" si="1453"/>
        <v>0</v>
      </c>
      <c r="BX917" s="724">
        <f t="shared" si="1454"/>
        <v>0</v>
      </c>
      <c r="BY917" s="725" t="str">
        <f t="shared" si="1455"/>
        <v>JC</v>
      </c>
    </row>
    <row r="918" s="697" customFormat="1" customHeight="1" spans="1:77">
      <c r="A918" s="116">
        <v>46154</v>
      </c>
      <c r="B918" s="116">
        <v>46164</v>
      </c>
      <c r="C918" s="118" t="s">
        <v>839</v>
      </c>
      <c r="D918" s="118" t="s">
        <v>840</v>
      </c>
      <c r="E918" s="118" t="s">
        <v>52</v>
      </c>
      <c r="F918" s="737">
        <v>20</v>
      </c>
      <c r="G918" s="118" t="s">
        <v>334</v>
      </c>
      <c r="H918" s="118" t="str">
        <f>IFERROR(VLOOKUP(E918,名称!A:E,4,0),"")</f>
        <v>蛋糕</v>
      </c>
      <c r="I918" s="418" t="str">
        <f t="shared" si="1391"/>
        <v/>
      </c>
      <c r="J918" s="418" t="str">
        <f t="shared" si="1392"/>
        <v/>
      </c>
      <c r="K918" s="418" t="str">
        <f t="shared" si="1393"/>
        <v/>
      </c>
      <c r="L918" s="418" t="str">
        <f t="shared" si="1394"/>
        <v/>
      </c>
      <c r="M918" s="418" t="str">
        <f t="shared" si="1395"/>
        <v/>
      </c>
      <c r="N918" s="418" t="str">
        <f t="shared" si="1396"/>
        <v/>
      </c>
      <c r="O918" s="418" t="str">
        <f t="shared" si="1397"/>
        <v/>
      </c>
      <c r="P918" s="418" t="str">
        <f t="shared" si="1398"/>
        <v/>
      </c>
      <c r="Q918" s="418" t="str">
        <f t="shared" si="1399"/>
        <v/>
      </c>
      <c r="R918" s="418" t="str">
        <f t="shared" si="1400"/>
        <v/>
      </c>
      <c r="S918" s="418" t="str">
        <f t="shared" si="1401"/>
        <v/>
      </c>
      <c r="T918" s="418" t="str">
        <f t="shared" si="1402"/>
        <v/>
      </c>
      <c r="U918" s="418" t="str">
        <f t="shared" si="1403"/>
        <v/>
      </c>
      <c r="V918" s="418" t="str">
        <f t="shared" si="1404"/>
        <v/>
      </c>
      <c r="W918" s="418" t="str">
        <f t="shared" si="1405"/>
        <v/>
      </c>
      <c r="X918" s="418" t="str">
        <f t="shared" si="1406"/>
        <v/>
      </c>
      <c r="Y918" s="418" t="str">
        <f t="shared" si="1407"/>
        <v/>
      </c>
      <c r="Z918" s="418" t="str">
        <f t="shared" si="1408"/>
        <v/>
      </c>
      <c r="AA918" s="418" t="str">
        <f t="shared" si="1409"/>
        <v/>
      </c>
      <c r="AB918" s="418" t="str">
        <f t="shared" si="1410"/>
        <v/>
      </c>
      <c r="AC918" s="418" t="str">
        <f t="shared" si="1411"/>
        <v/>
      </c>
      <c r="AD918" s="418" t="str">
        <f t="shared" si="1412"/>
        <v/>
      </c>
      <c r="AE918" s="418" t="str">
        <f t="shared" si="1413"/>
        <v/>
      </c>
      <c r="AF918" s="418" t="str">
        <f t="shared" si="1414"/>
        <v/>
      </c>
      <c r="AG918" s="418" t="str">
        <f t="shared" si="1415"/>
        <v/>
      </c>
      <c r="AH918" s="418" t="str">
        <f t="shared" si="1416"/>
        <v/>
      </c>
      <c r="AI918" s="418" t="str">
        <f t="shared" si="1417"/>
        <v/>
      </c>
      <c r="AJ918" s="418" t="str">
        <f t="shared" si="1418"/>
        <v/>
      </c>
      <c r="AK918" s="418" t="str">
        <f t="shared" si="1419"/>
        <v/>
      </c>
      <c r="AL918" s="418" t="str">
        <f t="shared" si="1420"/>
        <v/>
      </c>
      <c r="AM918" s="418" t="str">
        <f t="shared" si="1421"/>
        <v/>
      </c>
      <c r="AN918" s="418" t="str">
        <f t="shared" si="1422"/>
        <v/>
      </c>
      <c r="AO918" s="418" t="str">
        <f t="shared" si="1423"/>
        <v/>
      </c>
      <c r="AP918" s="418" t="str">
        <f t="shared" si="1424"/>
        <v/>
      </c>
      <c r="AQ918" s="418" t="str">
        <f t="shared" si="1425"/>
        <v/>
      </c>
      <c r="AR918" s="418" t="str">
        <f t="shared" si="1426"/>
        <v/>
      </c>
      <c r="AS918" s="418" t="str">
        <f t="shared" si="1427"/>
        <v/>
      </c>
      <c r="AT918" s="418" t="str">
        <f t="shared" si="1428"/>
        <v/>
      </c>
      <c r="AU918" s="418" t="str">
        <f t="shared" si="1429"/>
        <v/>
      </c>
      <c r="AV918" s="418" t="str">
        <f t="shared" si="1430"/>
        <v/>
      </c>
      <c r="AW918" s="418" t="str">
        <f t="shared" si="1431"/>
        <v/>
      </c>
      <c r="AX918" s="418" t="str">
        <f t="shared" si="1432"/>
        <v/>
      </c>
      <c r="AY918" s="418" t="str">
        <f t="shared" si="1433"/>
        <v/>
      </c>
      <c r="AZ918" s="418" t="str">
        <f t="shared" si="1434"/>
        <v/>
      </c>
      <c r="BA918" s="418" t="str">
        <f t="shared" si="1435"/>
        <v/>
      </c>
      <c r="BB918" s="418" t="str">
        <f t="shared" si="1436"/>
        <v/>
      </c>
      <c r="BC918" s="418" t="str">
        <f t="shared" si="1437"/>
        <v/>
      </c>
      <c r="BD918" s="418" t="str">
        <f t="shared" si="1438"/>
        <v/>
      </c>
      <c r="BE918" s="418" t="str">
        <f t="shared" si="1439"/>
        <v/>
      </c>
      <c r="BF918" s="418" t="str">
        <f t="shared" si="1440"/>
        <v/>
      </c>
      <c r="BG918" s="418" t="str">
        <f t="shared" si="1441"/>
        <v/>
      </c>
      <c r="BH918" s="418">
        <f t="shared" si="1442"/>
        <v>20</v>
      </c>
      <c r="BI918" s="418" t="str">
        <f t="shared" si="1443"/>
        <v/>
      </c>
      <c r="BJ918" s="418" t="str">
        <f t="shared" si="1444"/>
        <v/>
      </c>
      <c r="BK918" s="418" t="str">
        <f t="shared" si="1445"/>
        <v/>
      </c>
      <c r="BL918" s="418" t="str">
        <f t="shared" si="1446"/>
        <v/>
      </c>
      <c r="BM918" s="418" t="str">
        <f t="shared" si="1447"/>
        <v/>
      </c>
      <c r="BN918" s="418" t="str">
        <f t="shared" si="1385"/>
        <v/>
      </c>
      <c r="BO918" s="418" t="str">
        <f t="shared" si="1386"/>
        <v/>
      </c>
      <c r="BP918" s="418" t="str">
        <f t="shared" si="1387"/>
        <v/>
      </c>
      <c r="BQ918" s="418" t="str">
        <f t="shared" si="1388"/>
        <v/>
      </c>
      <c r="BR918" s="418" t="str">
        <f t="shared" si="1389"/>
        <v/>
      </c>
      <c r="BS918" s="418" t="str">
        <f t="shared" si="1390"/>
        <v/>
      </c>
      <c r="BT918" s="418" t="str">
        <f t="shared" si="1448"/>
        <v/>
      </c>
      <c r="BU918" s="418" t="str">
        <f t="shared" si="1449"/>
        <v/>
      </c>
      <c r="BV918" s="544"/>
      <c r="BW918" s="723">
        <f t="shared" si="1453"/>
        <v>0</v>
      </c>
      <c r="BX918" s="724">
        <f t="shared" si="1454"/>
        <v>0</v>
      </c>
      <c r="BY918" s="725" t="str">
        <f t="shared" si="1455"/>
        <v>JC</v>
      </c>
    </row>
    <row r="919" s="697" customFormat="1" customHeight="1" spans="1:77">
      <c r="A919" s="116">
        <v>46154</v>
      </c>
      <c r="B919" s="116">
        <v>46167</v>
      </c>
      <c r="C919" s="118" t="s">
        <v>839</v>
      </c>
      <c r="D919" s="118" t="s">
        <v>840</v>
      </c>
      <c r="E919" s="118" t="s">
        <v>123</v>
      </c>
      <c r="F919" s="737">
        <v>200</v>
      </c>
      <c r="G919" s="118" t="s">
        <v>510</v>
      </c>
      <c r="H919" s="118" t="str">
        <f>IFERROR(VLOOKUP(E919,名称!A:E,4,0),"")</f>
        <v>蛋糕</v>
      </c>
      <c r="I919" s="418" t="str">
        <f t="shared" si="1391"/>
        <v/>
      </c>
      <c r="J919" s="418" t="str">
        <f t="shared" si="1392"/>
        <v/>
      </c>
      <c r="K919" s="418" t="str">
        <f t="shared" si="1393"/>
        <v/>
      </c>
      <c r="L919" s="418" t="str">
        <f t="shared" si="1394"/>
        <v/>
      </c>
      <c r="M919" s="418" t="str">
        <f t="shared" si="1395"/>
        <v/>
      </c>
      <c r="N919" s="418" t="str">
        <f t="shared" si="1396"/>
        <v/>
      </c>
      <c r="O919" s="418" t="str">
        <f t="shared" si="1397"/>
        <v/>
      </c>
      <c r="P919" s="418" t="str">
        <f t="shared" si="1398"/>
        <v/>
      </c>
      <c r="Q919" s="418" t="str">
        <f t="shared" si="1399"/>
        <v/>
      </c>
      <c r="R919" s="418" t="str">
        <f t="shared" si="1400"/>
        <v/>
      </c>
      <c r="S919" s="418" t="str">
        <f t="shared" si="1401"/>
        <v/>
      </c>
      <c r="T919" s="418" t="str">
        <f t="shared" si="1402"/>
        <v/>
      </c>
      <c r="U919" s="418" t="str">
        <f t="shared" si="1403"/>
        <v/>
      </c>
      <c r="V919" s="418" t="str">
        <f t="shared" si="1404"/>
        <v/>
      </c>
      <c r="W919" s="418" t="str">
        <f t="shared" si="1405"/>
        <v/>
      </c>
      <c r="X919" s="418" t="str">
        <f t="shared" si="1406"/>
        <v/>
      </c>
      <c r="Y919" s="418" t="str">
        <f t="shared" si="1407"/>
        <v/>
      </c>
      <c r="Z919" s="418" t="str">
        <f t="shared" si="1408"/>
        <v/>
      </c>
      <c r="AA919" s="418" t="str">
        <f t="shared" si="1409"/>
        <v/>
      </c>
      <c r="AB919" s="418" t="str">
        <f t="shared" si="1410"/>
        <v/>
      </c>
      <c r="AC919" s="418" t="str">
        <f t="shared" si="1411"/>
        <v/>
      </c>
      <c r="AD919" s="418" t="str">
        <f t="shared" si="1412"/>
        <v/>
      </c>
      <c r="AE919" s="418" t="str">
        <f t="shared" si="1413"/>
        <v/>
      </c>
      <c r="AF919" s="418" t="str">
        <f t="shared" si="1414"/>
        <v/>
      </c>
      <c r="AG919" s="418" t="str">
        <f t="shared" si="1415"/>
        <v/>
      </c>
      <c r="AH919" s="418" t="str">
        <f t="shared" si="1416"/>
        <v/>
      </c>
      <c r="AI919" s="418" t="str">
        <f t="shared" si="1417"/>
        <v/>
      </c>
      <c r="AJ919" s="418" t="str">
        <f t="shared" si="1418"/>
        <v/>
      </c>
      <c r="AK919" s="418" t="str">
        <f t="shared" si="1419"/>
        <v/>
      </c>
      <c r="AL919" s="418" t="str">
        <f t="shared" si="1420"/>
        <v/>
      </c>
      <c r="AM919" s="418" t="str">
        <f t="shared" si="1421"/>
        <v/>
      </c>
      <c r="AN919" s="418" t="str">
        <f t="shared" si="1422"/>
        <v/>
      </c>
      <c r="AO919" s="418" t="str">
        <f t="shared" si="1423"/>
        <v/>
      </c>
      <c r="AP919" s="418" t="str">
        <f t="shared" si="1424"/>
        <v/>
      </c>
      <c r="AQ919" s="418" t="str">
        <f t="shared" si="1425"/>
        <v/>
      </c>
      <c r="AR919" s="418" t="str">
        <f t="shared" si="1426"/>
        <v/>
      </c>
      <c r="AS919" s="418" t="str">
        <f t="shared" si="1427"/>
        <v/>
      </c>
      <c r="AT919" s="418" t="str">
        <f t="shared" si="1428"/>
        <v/>
      </c>
      <c r="AU919" s="418" t="str">
        <f t="shared" si="1429"/>
        <v/>
      </c>
      <c r="AV919" s="418" t="str">
        <f t="shared" si="1430"/>
        <v/>
      </c>
      <c r="AW919" s="418" t="str">
        <f t="shared" si="1431"/>
        <v/>
      </c>
      <c r="AX919" s="418" t="str">
        <f t="shared" si="1432"/>
        <v/>
      </c>
      <c r="AY919" s="418" t="str">
        <f t="shared" si="1433"/>
        <v/>
      </c>
      <c r="AZ919" s="418" t="str">
        <f t="shared" si="1434"/>
        <v/>
      </c>
      <c r="BA919" s="418" t="str">
        <f t="shared" si="1435"/>
        <v/>
      </c>
      <c r="BB919" s="418" t="str">
        <f t="shared" si="1436"/>
        <v/>
      </c>
      <c r="BC919" s="418" t="str">
        <f t="shared" si="1437"/>
        <v/>
      </c>
      <c r="BD919" s="418" t="str">
        <f t="shared" si="1438"/>
        <v/>
      </c>
      <c r="BE919" s="418" t="str">
        <f t="shared" si="1439"/>
        <v/>
      </c>
      <c r="BF919" s="418">
        <f t="shared" si="1440"/>
        <v>200</v>
      </c>
      <c r="BG919" s="418" t="str">
        <f t="shared" si="1441"/>
        <v/>
      </c>
      <c r="BH919" s="418" t="str">
        <f t="shared" si="1442"/>
        <v/>
      </c>
      <c r="BI919" s="418" t="str">
        <f t="shared" si="1443"/>
        <v/>
      </c>
      <c r="BJ919" s="418" t="str">
        <f t="shared" si="1444"/>
        <v/>
      </c>
      <c r="BK919" s="418" t="str">
        <f t="shared" si="1445"/>
        <v/>
      </c>
      <c r="BL919" s="418" t="str">
        <f t="shared" si="1446"/>
        <v/>
      </c>
      <c r="BM919" s="418" t="str">
        <f t="shared" si="1447"/>
        <v/>
      </c>
      <c r="BN919" s="418" t="str">
        <f t="shared" si="1385"/>
        <v/>
      </c>
      <c r="BO919" s="418" t="str">
        <f t="shared" si="1386"/>
        <v/>
      </c>
      <c r="BP919" s="418" t="str">
        <f t="shared" si="1387"/>
        <v/>
      </c>
      <c r="BQ919" s="418" t="str">
        <f t="shared" si="1388"/>
        <v/>
      </c>
      <c r="BR919" s="418" t="str">
        <f t="shared" si="1389"/>
        <v/>
      </c>
      <c r="BS919" s="418" t="str">
        <f t="shared" si="1390"/>
        <v/>
      </c>
      <c r="BT919" s="418" t="str">
        <f t="shared" si="1448"/>
        <v/>
      </c>
      <c r="BU919" s="418" t="str">
        <f t="shared" si="1449"/>
        <v/>
      </c>
      <c r="BV919" s="742">
        <v>0.81</v>
      </c>
      <c r="BW919" s="723">
        <f t="shared" si="1453"/>
        <v>162</v>
      </c>
      <c r="BX919" s="724">
        <f t="shared" si="1454"/>
        <v>1255.5</v>
      </c>
      <c r="BY919" s="725" t="str">
        <f t="shared" si="1455"/>
        <v>JC</v>
      </c>
    </row>
    <row r="920" s="697" customFormat="1" customHeight="1" spans="1:77">
      <c r="A920" s="116">
        <v>46154</v>
      </c>
      <c r="B920" s="116">
        <v>46167</v>
      </c>
      <c r="C920" s="118" t="s">
        <v>839</v>
      </c>
      <c r="D920" s="118" t="s">
        <v>840</v>
      </c>
      <c r="E920" s="118" t="s">
        <v>50</v>
      </c>
      <c r="F920" s="737">
        <v>300</v>
      </c>
      <c r="G920" s="118" t="s">
        <v>510</v>
      </c>
      <c r="H920" s="118" t="str">
        <f>IFERROR(VLOOKUP(E920,名称!A:E,4,0),"")</f>
        <v>蛋糕</v>
      </c>
      <c r="I920" s="418" t="str">
        <f t="shared" si="1391"/>
        <v/>
      </c>
      <c r="J920" s="418" t="str">
        <f t="shared" si="1392"/>
        <v/>
      </c>
      <c r="K920" s="418" t="str">
        <f t="shared" si="1393"/>
        <v/>
      </c>
      <c r="L920" s="418" t="str">
        <f t="shared" si="1394"/>
        <v/>
      </c>
      <c r="M920" s="418" t="str">
        <f t="shared" si="1395"/>
        <v/>
      </c>
      <c r="N920" s="418" t="str">
        <f t="shared" si="1396"/>
        <v/>
      </c>
      <c r="O920" s="418" t="str">
        <f t="shared" si="1397"/>
        <v/>
      </c>
      <c r="P920" s="418" t="str">
        <f t="shared" si="1398"/>
        <v/>
      </c>
      <c r="Q920" s="418" t="str">
        <f t="shared" si="1399"/>
        <v/>
      </c>
      <c r="R920" s="418" t="str">
        <f t="shared" si="1400"/>
        <v/>
      </c>
      <c r="S920" s="418" t="str">
        <f t="shared" si="1401"/>
        <v/>
      </c>
      <c r="T920" s="418" t="str">
        <f t="shared" si="1402"/>
        <v/>
      </c>
      <c r="U920" s="418" t="str">
        <f t="shared" si="1403"/>
        <v/>
      </c>
      <c r="V920" s="418" t="str">
        <f t="shared" si="1404"/>
        <v/>
      </c>
      <c r="W920" s="418" t="str">
        <f t="shared" si="1405"/>
        <v/>
      </c>
      <c r="X920" s="418" t="str">
        <f t="shared" si="1406"/>
        <v/>
      </c>
      <c r="Y920" s="418" t="str">
        <f t="shared" si="1407"/>
        <v/>
      </c>
      <c r="Z920" s="418" t="str">
        <f t="shared" si="1408"/>
        <v/>
      </c>
      <c r="AA920" s="418" t="str">
        <f t="shared" si="1409"/>
        <v/>
      </c>
      <c r="AB920" s="418" t="str">
        <f t="shared" si="1410"/>
        <v/>
      </c>
      <c r="AC920" s="418" t="str">
        <f t="shared" si="1411"/>
        <v/>
      </c>
      <c r="AD920" s="418" t="str">
        <f t="shared" si="1412"/>
        <v/>
      </c>
      <c r="AE920" s="418" t="str">
        <f t="shared" si="1413"/>
        <v/>
      </c>
      <c r="AF920" s="418" t="str">
        <f t="shared" si="1414"/>
        <v/>
      </c>
      <c r="AG920" s="418" t="str">
        <f t="shared" si="1415"/>
        <v/>
      </c>
      <c r="AH920" s="418" t="str">
        <f t="shared" si="1416"/>
        <v/>
      </c>
      <c r="AI920" s="418" t="str">
        <f t="shared" si="1417"/>
        <v/>
      </c>
      <c r="AJ920" s="418" t="str">
        <f t="shared" si="1418"/>
        <v/>
      </c>
      <c r="AK920" s="418" t="str">
        <f t="shared" si="1419"/>
        <v/>
      </c>
      <c r="AL920" s="418" t="str">
        <f t="shared" si="1420"/>
        <v/>
      </c>
      <c r="AM920" s="418" t="str">
        <f t="shared" si="1421"/>
        <v/>
      </c>
      <c r="AN920" s="418" t="str">
        <f t="shared" si="1422"/>
        <v/>
      </c>
      <c r="AO920" s="418" t="str">
        <f t="shared" si="1423"/>
        <v/>
      </c>
      <c r="AP920" s="418" t="str">
        <f t="shared" si="1424"/>
        <v/>
      </c>
      <c r="AQ920" s="418" t="str">
        <f t="shared" si="1425"/>
        <v/>
      </c>
      <c r="AR920" s="418" t="str">
        <f t="shared" si="1426"/>
        <v/>
      </c>
      <c r="AS920" s="418" t="str">
        <f t="shared" si="1427"/>
        <v/>
      </c>
      <c r="AT920" s="418" t="str">
        <f t="shared" si="1428"/>
        <v/>
      </c>
      <c r="AU920" s="418" t="str">
        <f t="shared" si="1429"/>
        <v/>
      </c>
      <c r="AV920" s="418" t="str">
        <f t="shared" si="1430"/>
        <v/>
      </c>
      <c r="AW920" s="418" t="str">
        <f t="shared" si="1431"/>
        <v/>
      </c>
      <c r="AX920" s="418" t="str">
        <f t="shared" si="1432"/>
        <v/>
      </c>
      <c r="AY920" s="418" t="str">
        <f t="shared" si="1433"/>
        <v/>
      </c>
      <c r="AZ920" s="418" t="str">
        <f t="shared" si="1434"/>
        <v/>
      </c>
      <c r="BA920" s="418" t="str">
        <f t="shared" si="1435"/>
        <v/>
      </c>
      <c r="BB920" s="418" t="str">
        <f t="shared" si="1436"/>
        <v/>
      </c>
      <c r="BC920" s="418" t="str">
        <f t="shared" si="1437"/>
        <v/>
      </c>
      <c r="BD920" s="418" t="str">
        <f t="shared" si="1438"/>
        <v/>
      </c>
      <c r="BE920" s="418" t="str">
        <f t="shared" si="1439"/>
        <v/>
      </c>
      <c r="BF920" s="418" t="str">
        <f t="shared" si="1440"/>
        <v/>
      </c>
      <c r="BG920" s="418">
        <f t="shared" si="1441"/>
        <v>300</v>
      </c>
      <c r="BH920" s="418" t="str">
        <f t="shared" si="1442"/>
        <v/>
      </c>
      <c r="BI920" s="418" t="str">
        <f t="shared" si="1443"/>
        <v/>
      </c>
      <c r="BJ920" s="418" t="str">
        <f t="shared" si="1444"/>
        <v/>
      </c>
      <c r="BK920" s="418" t="str">
        <f t="shared" si="1445"/>
        <v/>
      </c>
      <c r="BL920" s="418" t="str">
        <f t="shared" si="1446"/>
        <v/>
      </c>
      <c r="BM920" s="418" t="str">
        <f t="shared" si="1447"/>
        <v/>
      </c>
      <c r="BN920" s="418" t="str">
        <f t="shared" si="1385"/>
        <v/>
      </c>
      <c r="BO920" s="418" t="str">
        <f t="shared" si="1386"/>
        <v/>
      </c>
      <c r="BP920" s="418" t="str">
        <f t="shared" si="1387"/>
        <v/>
      </c>
      <c r="BQ920" s="418" t="str">
        <f t="shared" si="1388"/>
        <v/>
      </c>
      <c r="BR920" s="418" t="str">
        <f t="shared" si="1389"/>
        <v/>
      </c>
      <c r="BS920" s="418" t="str">
        <f t="shared" si="1390"/>
        <v/>
      </c>
      <c r="BT920" s="418" t="str">
        <f t="shared" si="1448"/>
        <v/>
      </c>
      <c r="BU920" s="418" t="str">
        <f t="shared" si="1449"/>
        <v/>
      </c>
      <c r="BV920" s="544"/>
      <c r="BW920" s="723">
        <f t="shared" si="1453"/>
        <v>0</v>
      </c>
      <c r="BX920" s="724">
        <f t="shared" si="1454"/>
        <v>0</v>
      </c>
      <c r="BY920" s="725" t="str">
        <f t="shared" si="1455"/>
        <v>JC</v>
      </c>
    </row>
    <row r="921" s="697" customFormat="1" customHeight="1" spans="1:77">
      <c r="A921" s="116">
        <v>46154</v>
      </c>
      <c r="B921" s="116">
        <v>46160</v>
      </c>
      <c r="C921" s="118" t="s">
        <v>839</v>
      </c>
      <c r="D921" s="118" t="s">
        <v>840</v>
      </c>
      <c r="E921" s="118" t="s">
        <v>85</v>
      </c>
      <c r="F921" s="737">
        <v>48</v>
      </c>
      <c r="G921" s="118" t="s">
        <v>510</v>
      </c>
      <c r="H921" s="118" t="str">
        <f>IFERROR(VLOOKUP(E921,名称!A:E,4,0),"")</f>
        <v>三代</v>
      </c>
      <c r="I921" s="418" t="str">
        <f t="shared" si="1391"/>
        <v/>
      </c>
      <c r="J921" s="418" t="str">
        <f t="shared" si="1392"/>
        <v/>
      </c>
      <c r="K921" s="418" t="str">
        <f t="shared" si="1393"/>
        <v/>
      </c>
      <c r="L921" s="418" t="str">
        <f t="shared" si="1394"/>
        <v/>
      </c>
      <c r="M921" s="418" t="str">
        <f t="shared" si="1395"/>
        <v/>
      </c>
      <c r="N921" s="418" t="str">
        <f t="shared" si="1396"/>
        <v/>
      </c>
      <c r="O921" s="418" t="str">
        <f t="shared" si="1397"/>
        <v/>
      </c>
      <c r="P921" s="418" t="str">
        <f t="shared" si="1398"/>
        <v/>
      </c>
      <c r="Q921" s="418" t="str">
        <f t="shared" si="1399"/>
        <v/>
      </c>
      <c r="R921" s="418" t="str">
        <f t="shared" si="1400"/>
        <v/>
      </c>
      <c r="S921" s="418" t="str">
        <f t="shared" si="1401"/>
        <v/>
      </c>
      <c r="T921" s="418" t="str">
        <f t="shared" si="1402"/>
        <v/>
      </c>
      <c r="U921" s="418" t="str">
        <f t="shared" si="1403"/>
        <v/>
      </c>
      <c r="V921" s="418" t="str">
        <f t="shared" si="1404"/>
        <v/>
      </c>
      <c r="W921" s="418" t="str">
        <f t="shared" si="1405"/>
        <v/>
      </c>
      <c r="X921" s="418" t="str">
        <f t="shared" si="1406"/>
        <v/>
      </c>
      <c r="Y921" s="418" t="str">
        <f t="shared" si="1407"/>
        <v/>
      </c>
      <c r="Z921" s="418" t="str">
        <f t="shared" si="1408"/>
        <v/>
      </c>
      <c r="AA921" s="418" t="str">
        <f t="shared" si="1409"/>
        <v/>
      </c>
      <c r="AB921" s="418" t="str">
        <f t="shared" si="1410"/>
        <v/>
      </c>
      <c r="AC921" s="418" t="str">
        <f t="shared" si="1411"/>
        <v/>
      </c>
      <c r="AD921" s="418" t="str">
        <f t="shared" si="1412"/>
        <v/>
      </c>
      <c r="AE921" s="418" t="str">
        <f t="shared" si="1413"/>
        <v/>
      </c>
      <c r="AF921" s="418" t="str">
        <f t="shared" si="1414"/>
        <v/>
      </c>
      <c r="AG921" s="418" t="str">
        <f t="shared" si="1415"/>
        <v/>
      </c>
      <c r="AH921" s="418" t="str">
        <f t="shared" si="1416"/>
        <v/>
      </c>
      <c r="AI921" s="418" t="str">
        <f t="shared" si="1417"/>
        <v/>
      </c>
      <c r="AJ921" s="418" t="str">
        <f t="shared" si="1418"/>
        <v/>
      </c>
      <c r="AK921" s="418" t="str">
        <f t="shared" si="1419"/>
        <v/>
      </c>
      <c r="AL921" s="418" t="str">
        <f t="shared" si="1420"/>
        <v/>
      </c>
      <c r="AM921" s="418" t="str">
        <f t="shared" si="1421"/>
        <v/>
      </c>
      <c r="AN921" s="418">
        <f t="shared" si="1422"/>
        <v>48</v>
      </c>
      <c r="AO921" s="418" t="str">
        <f t="shared" si="1423"/>
        <v/>
      </c>
      <c r="AP921" s="418" t="str">
        <f t="shared" si="1424"/>
        <v/>
      </c>
      <c r="AQ921" s="418" t="str">
        <f t="shared" si="1425"/>
        <v/>
      </c>
      <c r="AR921" s="418" t="str">
        <f t="shared" si="1426"/>
        <v/>
      </c>
      <c r="AS921" s="418" t="str">
        <f t="shared" si="1427"/>
        <v/>
      </c>
      <c r="AT921" s="418" t="str">
        <f t="shared" si="1428"/>
        <v/>
      </c>
      <c r="AU921" s="418" t="str">
        <f t="shared" si="1429"/>
        <v/>
      </c>
      <c r="AV921" s="418" t="str">
        <f t="shared" si="1430"/>
        <v/>
      </c>
      <c r="AW921" s="418" t="str">
        <f t="shared" si="1431"/>
        <v/>
      </c>
      <c r="AX921" s="418" t="str">
        <f t="shared" si="1432"/>
        <v/>
      </c>
      <c r="AY921" s="418" t="str">
        <f t="shared" si="1433"/>
        <v/>
      </c>
      <c r="AZ921" s="418" t="str">
        <f t="shared" si="1434"/>
        <v/>
      </c>
      <c r="BA921" s="418" t="str">
        <f t="shared" si="1435"/>
        <v/>
      </c>
      <c r="BB921" s="418" t="str">
        <f t="shared" si="1436"/>
        <v/>
      </c>
      <c r="BC921" s="418" t="str">
        <f t="shared" si="1437"/>
        <v/>
      </c>
      <c r="BD921" s="418" t="str">
        <f t="shared" si="1438"/>
        <v/>
      </c>
      <c r="BE921" s="418" t="str">
        <f t="shared" si="1439"/>
        <v/>
      </c>
      <c r="BF921" s="418" t="str">
        <f t="shared" si="1440"/>
        <v/>
      </c>
      <c r="BG921" s="418" t="str">
        <f t="shared" si="1441"/>
        <v/>
      </c>
      <c r="BH921" s="418" t="str">
        <f t="shared" si="1442"/>
        <v/>
      </c>
      <c r="BI921" s="418" t="str">
        <f t="shared" si="1443"/>
        <v/>
      </c>
      <c r="BJ921" s="418" t="str">
        <f t="shared" si="1444"/>
        <v/>
      </c>
      <c r="BK921" s="418" t="str">
        <f t="shared" si="1445"/>
        <v/>
      </c>
      <c r="BL921" s="418" t="str">
        <f t="shared" si="1446"/>
        <v/>
      </c>
      <c r="BM921" s="418" t="str">
        <f t="shared" si="1447"/>
        <v/>
      </c>
      <c r="BN921" s="418" t="str">
        <f t="shared" si="1385"/>
        <v/>
      </c>
      <c r="BO921" s="418" t="str">
        <f t="shared" si="1386"/>
        <v/>
      </c>
      <c r="BP921" s="418" t="str">
        <f t="shared" si="1387"/>
        <v/>
      </c>
      <c r="BQ921" s="418" t="str">
        <f t="shared" si="1388"/>
        <v/>
      </c>
      <c r="BR921" s="418" t="str">
        <f t="shared" si="1389"/>
        <v/>
      </c>
      <c r="BS921" s="418" t="str">
        <f t="shared" si="1390"/>
        <v/>
      </c>
      <c r="BT921" s="418" t="str">
        <f t="shared" si="1448"/>
        <v/>
      </c>
      <c r="BU921" s="418" t="str">
        <f t="shared" si="1449"/>
        <v/>
      </c>
      <c r="BV921" s="544"/>
      <c r="BW921" s="723">
        <f t="shared" si="1453"/>
        <v>0</v>
      </c>
      <c r="BX921" s="724">
        <f t="shared" si="1454"/>
        <v>0</v>
      </c>
      <c r="BY921" s="725" t="str">
        <f t="shared" si="1455"/>
        <v>SR</v>
      </c>
    </row>
    <row r="922" s="697" customFormat="1" customHeight="1" spans="1:77">
      <c r="A922" s="116">
        <v>46154</v>
      </c>
      <c r="B922" s="116">
        <v>46162</v>
      </c>
      <c r="C922" s="118" t="s">
        <v>839</v>
      </c>
      <c r="D922" s="118" t="s">
        <v>840</v>
      </c>
      <c r="E922" s="118" t="s">
        <v>106</v>
      </c>
      <c r="F922" s="737">
        <v>18</v>
      </c>
      <c r="G922" s="118" t="s">
        <v>334</v>
      </c>
      <c r="H922" s="118" t="str">
        <f>IFERROR(VLOOKUP(E922,名称!A:E,4,0),"")</f>
        <v>蛋糕</v>
      </c>
      <c r="I922" s="418" t="str">
        <f t="shared" si="1391"/>
        <v/>
      </c>
      <c r="J922" s="418" t="str">
        <f t="shared" si="1392"/>
        <v/>
      </c>
      <c r="K922" s="418" t="str">
        <f t="shared" si="1393"/>
        <v/>
      </c>
      <c r="L922" s="418" t="str">
        <f t="shared" si="1394"/>
        <v/>
      </c>
      <c r="M922" s="418" t="str">
        <f t="shared" si="1395"/>
        <v/>
      </c>
      <c r="N922" s="418" t="str">
        <f t="shared" si="1396"/>
        <v/>
      </c>
      <c r="O922" s="418" t="str">
        <f t="shared" si="1397"/>
        <v/>
      </c>
      <c r="P922" s="418" t="str">
        <f t="shared" si="1398"/>
        <v/>
      </c>
      <c r="Q922" s="418" t="str">
        <f t="shared" si="1399"/>
        <v/>
      </c>
      <c r="R922" s="418" t="str">
        <f t="shared" si="1400"/>
        <v/>
      </c>
      <c r="S922" s="418" t="str">
        <f t="shared" si="1401"/>
        <v/>
      </c>
      <c r="T922" s="418" t="str">
        <f t="shared" si="1402"/>
        <v/>
      </c>
      <c r="U922" s="418" t="str">
        <f t="shared" si="1403"/>
        <v/>
      </c>
      <c r="V922" s="418" t="str">
        <f t="shared" si="1404"/>
        <v/>
      </c>
      <c r="W922" s="418" t="str">
        <f t="shared" si="1405"/>
        <v/>
      </c>
      <c r="X922" s="418" t="str">
        <f t="shared" si="1406"/>
        <v/>
      </c>
      <c r="Y922" s="418" t="str">
        <f t="shared" si="1407"/>
        <v/>
      </c>
      <c r="Z922" s="418" t="str">
        <f t="shared" si="1408"/>
        <v/>
      </c>
      <c r="AA922" s="418" t="str">
        <f t="shared" si="1409"/>
        <v/>
      </c>
      <c r="AB922" s="418" t="str">
        <f t="shared" si="1410"/>
        <v/>
      </c>
      <c r="AC922" s="418" t="str">
        <f t="shared" si="1411"/>
        <v/>
      </c>
      <c r="AD922" s="418" t="str">
        <f t="shared" si="1412"/>
        <v/>
      </c>
      <c r="AE922" s="418" t="str">
        <f t="shared" si="1413"/>
        <v/>
      </c>
      <c r="AF922" s="418" t="str">
        <f t="shared" si="1414"/>
        <v/>
      </c>
      <c r="AG922" s="418" t="str">
        <f t="shared" si="1415"/>
        <v/>
      </c>
      <c r="AH922" s="418" t="str">
        <f t="shared" si="1416"/>
        <v/>
      </c>
      <c r="AI922" s="418" t="str">
        <f t="shared" si="1417"/>
        <v/>
      </c>
      <c r="AJ922" s="418" t="str">
        <f t="shared" si="1418"/>
        <v/>
      </c>
      <c r="AK922" s="418" t="str">
        <f t="shared" si="1419"/>
        <v/>
      </c>
      <c r="AL922" s="418" t="str">
        <f t="shared" si="1420"/>
        <v/>
      </c>
      <c r="AM922" s="418" t="str">
        <f t="shared" si="1421"/>
        <v/>
      </c>
      <c r="AN922" s="418" t="str">
        <f t="shared" si="1422"/>
        <v/>
      </c>
      <c r="AO922" s="418" t="str">
        <f t="shared" si="1423"/>
        <v/>
      </c>
      <c r="AP922" s="418" t="str">
        <f t="shared" si="1424"/>
        <v/>
      </c>
      <c r="AQ922" s="418" t="str">
        <f t="shared" si="1425"/>
        <v/>
      </c>
      <c r="AR922" s="418" t="str">
        <f t="shared" si="1426"/>
        <v/>
      </c>
      <c r="AS922" s="418" t="str">
        <f t="shared" si="1427"/>
        <v/>
      </c>
      <c r="AT922" s="418" t="str">
        <f t="shared" si="1428"/>
        <v/>
      </c>
      <c r="AU922" s="418" t="str">
        <f t="shared" si="1429"/>
        <v/>
      </c>
      <c r="AV922" s="418" t="str">
        <f t="shared" si="1430"/>
        <v/>
      </c>
      <c r="AW922" s="418" t="str">
        <f t="shared" si="1431"/>
        <v/>
      </c>
      <c r="AX922" s="418" t="str">
        <f t="shared" si="1432"/>
        <v/>
      </c>
      <c r="AY922" s="418" t="str">
        <f t="shared" si="1433"/>
        <v/>
      </c>
      <c r="AZ922" s="418" t="str">
        <f t="shared" si="1434"/>
        <v/>
      </c>
      <c r="BA922" s="418" t="str">
        <f t="shared" si="1435"/>
        <v/>
      </c>
      <c r="BB922" s="418" t="str">
        <f t="shared" si="1436"/>
        <v/>
      </c>
      <c r="BC922" s="418" t="str">
        <f t="shared" si="1437"/>
        <v/>
      </c>
      <c r="BD922" s="418" t="str">
        <f t="shared" si="1438"/>
        <v/>
      </c>
      <c r="BE922" s="418" t="str">
        <f t="shared" si="1439"/>
        <v/>
      </c>
      <c r="BF922" s="418" t="str">
        <f t="shared" si="1440"/>
        <v/>
      </c>
      <c r="BG922" s="418">
        <f t="shared" si="1441"/>
        <v>18</v>
      </c>
      <c r="BH922" s="418" t="str">
        <f t="shared" si="1442"/>
        <v/>
      </c>
      <c r="BI922" s="418" t="str">
        <f t="shared" si="1443"/>
        <v/>
      </c>
      <c r="BJ922" s="418" t="str">
        <f t="shared" si="1444"/>
        <v/>
      </c>
      <c r="BK922" s="418" t="str">
        <f t="shared" si="1445"/>
        <v/>
      </c>
      <c r="BL922" s="418" t="str">
        <f t="shared" si="1446"/>
        <v/>
      </c>
      <c r="BM922" s="418" t="str">
        <f t="shared" si="1447"/>
        <v/>
      </c>
      <c r="BN922" s="418" t="str">
        <f t="shared" si="1385"/>
        <v/>
      </c>
      <c r="BO922" s="418" t="str">
        <f t="shared" si="1386"/>
        <v/>
      </c>
      <c r="BP922" s="418" t="str">
        <f t="shared" si="1387"/>
        <v/>
      </c>
      <c r="BQ922" s="418" t="str">
        <f t="shared" si="1388"/>
        <v/>
      </c>
      <c r="BR922" s="418" t="str">
        <f t="shared" si="1389"/>
        <v/>
      </c>
      <c r="BS922" s="418" t="str">
        <f t="shared" si="1390"/>
        <v/>
      </c>
      <c r="BT922" s="418" t="str">
        <f t="shared" si="1448"/>
        <v/>
      </c>
      <c r="BU922" s="418" t="str">
        <f t="shared" si="1449"/>
        <v/>
      </c>
      <c r="BV922" s="544">
        <v>1.2</v>
      </c>
      <c r="BW922" s="723">
        <f t="shared" si="1453"/>
        <v>21.6</v>
      </c>
      <c r="BX922" s="724">
        <f t="shared" si="1454"/>
        <v>167.4</v>
      </c>
      <c r="BY922" s="725" t="str">
        <f t="shared" si="1455"/>
        <v>JC</v>
      </c>
    </row>
    <row r="923" s="697" customFormat="1" customHeight="1" spans="1:77">
      <c r="A923" s="116">
        <v>46154</v>
      </c>
      <c r="B923" s="116">
        <v>46162</v>
      </c>
      <c r="C923" s="118" t="s">
        <v>839</v>
      </c>
      <c r="D923" s="118" t="s">
        <v>840</v>
      </c>
      <c r="E923" s="118" t="s">
        <v>50</v>
      </c>
      <c r="F923" s="737">
        <v>36</v>
      </c>
      <c r="G923" s="118" t="s">
        <v>334</v>
      </c>
      <c r="H923" s="118" t="str">
        <f>IFERROR(VLOOKUP(E923,名称!A:E,4,0),"")</f>
        <v>蛋糕</v>
      </c>
      <c r="I923" s="418" t="str">
        <f t="shared" si="1391"/>
        <v/>
      </c>
      <c r="J923" s="418" t="str">
        <f t="shared" si="1392"/>
        <v/>
      </c>
      <c r="K923" s="418" t="str">
        <f t="shared" si="1393"/>
        <v/>
      </c>
      <c r="L923" s="418" t="str">
        <f t="shared" si="1394"/>
        <v/>
      </c>
      <c r="M923" s="418" t="str">
        <f t="shared" si="1395"/>
        <v/>
      </c>
      <c r="N923" s="418" t="str">
        <f t="shared" si="1396"/>
        <v/>
      </c>
      <c r="O923" s="418" t="str">
        <f t="shared" si="1397"/>
        <v/>
      </c>
      <c r="P923" s="418" t="str">
        <f t="shared" si="1398"/>
        <v/>
      </c>
      <c r="Q923" s="418" t="str">
        <f t="shared" si="1399"/>
        <v/>
      </c>
      <c r="R923" s="418" t="str">
        <f t="shared" si="1400"/>
        <v/>
      </c>
      <c r="S923" s="418" t="str">
        <f t="shared" si="1401"/>
        <v/>
      </c>
      <c r="T923" s="418" t="str">
        <f t="shared" si="1402"/>
        <v/>
      </c>
      <c r="U923" s="418" t="str">
        <f t="shared" si="1403"/>
        <v/>
      </c>
      <c r="V923" s="418" t="str">
        <f t="shared" si="1404"/>
        <v/>
      </c>
      <c r="W923" s="418" t="str">
        <f t="shared" si="1405"/>
        <v/>
      </c>
      <c r="X923" s="418" t="str">
        <f t="shared" si="1406"/>
        <v/>
      </c>
      <c r="Y923" s="418" t="str">
        <f t="shared" si="1407"/>
        <v/>
      </c>
      <c r="Z923" s="418" t="str">
        <f t="shared" si="1408"/>
        <v/>
      </c>
      <c r="AA923" s="418" t="str">
        <f t="shared" si="1409"/>
        <v/>
      </c>
      <c r="AB923" s="418" t="str">
        <f t="shared" si="1410"/>
        <v/>
      </c>
      <c r="AC923" s="418" t="str">
        <f t="shared" si="1411"/>
        <v/>
      </c>
      <c r="AD923" s="418" t="str">
        <f t="shared" si="1412"/>
        <v/>
      </c>
      <c r="AE923" s="418" t="str">
        <f t="shared" si="1413"/>
        <v/>
      </c>
      <c r="AF923" s="418" t="str">
        <f t="shared" si="1414"/>
        <v/>
      </c>
      <c r="AG923" s="418" t="str">
        <f t="shared" si="1415"/>
        <v/>
      </c>
      <c r="AH923" s="418" t="str">
        <f t="shared" si="1416"/>
        <v/>
      </c>
      <c r="AI923" s="418" t="str">
        <f t="shared" si="1417"/>
        <v/>
      </c>
      <c r="AJ923" s="418" t="str">
        <f t="shared" si="1418"/>
        <v/>
      </c>
      <c r="AK923" s="418" t="str">
        <f t="shared" si="1419"/>
        <v/>
      </c>
      <c r="AL923" s="418" t="str">
        <f t="shared" si="1420"/>
        <v/>
      </c>
      <c r="AM923" s="418" t="str">
        <f t="shared" si="1421"/>
        <v/>
      </c>
      <c r="AN923" s="418" t="str">
        <f t="shared" si="1422"/>
        <v/>
      </c>
      <c r="AO923" s="418" t="str">
        <f t="shared" si="1423"/>
        <v/>
      </c>
      <c r="AP923" s="418" t="str">
        <f t="shared" si="1424"/>
        <v/>
      </c>
      <c r="AQ923" s="418" t="str">
        <f t="shared" si="1425"/>
        <v/>
      </c>
      <c r="AR923" s="418" t="str">
        <f t="shared" si="1426"/>
        <v/>
      </c>
      <c r="AS923" s="418" t="str">
        <f t="shared" si="1427"/>
        <v/>
      </c>
      <c r="AT923" s="418" t="str">
        <f t="shared" si="1428"/>
        <v/>
      </c>
      <c r="AU923" s="418" t="str">
        <f t="shared" si="1429"/>
        <v/>
      </c>
      <c r="AV923" s="418" t="str">
        <f t="shared" si="1430"/>
        <v/>
      </c>
      <c r="AW923" s="418" t="str">
        <f t="shared" si="1431"/>
        <v/>
      </c>
      <c r="AX923" s="418" t="str">
        <f t="shared" si="1432"/>
        <v/>
      </c>
      <c r="AY923" s="418" t="str">
        <f t="shared" si="1433"/>
        <v/>
      </c>
      <c r="AZ923" s="418" t="str">
        <f t="shared" si="1434"/>
        <v/>
      </c>
      <c r="BA923" s="418" t="str">
        <f t="shared" si="1435"/>
        <v/>
      </c>
      <c r="BB923" s="418" t="str">
        <f t="shared" si="1436"/>
        <v/>
      </c>
      <c r="BC923" s="418" t="str">
        <f t="shared" si="1437"/>
        <v/>
      </c>
      <c r="BD923" s="418" t="str">
        <f t="shared" si="1438"/>
        <v/>
      </c>
      <c r="BE923" s="418" t="str">
        <f t="shared" si="1439"/>
        <v/>
      </c>
      <c r="BF923" s="418" t="str">
        <f t="shared" si="1440"/>
        <v/>
      </c>
      <c r="BG923" s="418">
        <f t="shared" si="1441"/>
        <v>36</v>
      </c>
      <c r="BH923" s="418" t="str">
        <f t="shared" si="1442"/>
        <v/>
      </c>
      <c r="BI923" s="418" t="str">
        <f t="shared" si="1443"/>
        <v/>
      </c>
      <c r="BJ923" s="418" t="str">
        <f t="shared" si="1444"/>
        <v/>
      </c>
      <c r="BK923" s="418" t="str">
        <f t="shared" si="1445"/>
        <v/>
      </c>
      <c r="BL923" s="418" t="str">
        <f t="shared" si="1446"/>
        <v/>
      </c>
      <c r="BM923" s="418" t="str">
        <f t="shared" si="1447"/>
        <v/>
      </c>
      <c r="BN923" s="418" t="str">
        <f t="shared" si="1385"/>
        <v/>
      </c>
      <c r="BO923" s="418" t="str">
        <f t="shared" si="1386"/>
        <v/>
      </c>
      <c r="BP923" s="418" t="str">
        <f t="shared" si="1387"/>
        <v/>
      </c>
      <c r="BQ923" s="418" t="str">
        <f t="shared" si="1388"/>
        <v/>
      </c>
      <c r="BR923" s="418" t="str">
        <f t="shared" si="1389"/>
        <v/>
      </c>
      <c r="BS923" s="418" t="str">
        <f t="shared" si="1390"/>
        <v/>
      </c>
      <c r="BT923" s="418" t="str">
        <f t="shared" si="1448"/>
        <v/>
      </c>
      <c r="BU923" s="418" t="str">
        <f t="shared" si="1449"/>
        <v/>
      </c>
      <c r="BV923" s="544"/>
      <c r="BW923" s="723">
        <f t="shared" si="1453"/>
        <v>0</v>
      </c>
      <c r="BX923" s="724">
        <f t="shared" si="1454"/>
        <v>0</v>
      </c>
      <c r="BY923" s="725" t="str">
        <f t="shared" si="1455"/>
        <v>JC</v>
      </c>
    </row>
    <row r="924" s="697" customFormat="1" customHeight="1" spans="1:77">
      <c r="A924" s="116">
        <v>46154</v>
      </c>
      <c r="B924" s="116">
        <v>46162</v>
      </c>
      <c r="C924" s="118" t="s">
        <v>839</v>
      </c>
      <c r="D924" s="118" t="s">
        <v>840</v>
      </c>
      <c r="E924" s="118" t="s">
        <v>52</v>
      </c>
      <c r="F924" s="737">
        <v>3</v>
      </c>
      <c r="G924" s="118" t="s">
        <v>334</v>
      </c>
      <c r="H924" s="118" t="str">
        <f>IFERROR(VLOOKUP(E924,名称!A:E,4,0),"")</f>
        <v>蛋糕</v>
      </c>
      <c r="I924" s="418" t="str">
        <f t="shared" si="1391"/>
        <v/>
      </c>
      <c r="J924" s="418" t="str">
        <f t="shared" si="1392"/>
        <v/>
      </c>
      <c r="K924" s="418" t="str">
        <f t="shared" si="1393"/>
        <v/>
      </c>
      <c r="L924" s="418" t="str">
        <f t="shared" si="1394"/>
        <v/>
      </c>
      <c r="M924" s="418" t="str">
        <f t="shared" si="1395"/>
        <v/>
      </c>
      <c r="N924" s="418" t="str">
        <f t="shared" si="1396"/>
        <v/>
      </c>
      <c r="O924" s="418" t="str">
        <f t="shared" si="1397"/>
        <v/>
      </c>
      <c r="P924" s="418" t="str">
        <f t="shared" si="1398"/>
        <v/>
      </c>
      <c r="Q924" s="418" t="str">
        <f t="shared" si="1399"/>
        <v/>
      </c>
      <c r="R924" s="418" t="str">
        <f t="shared" si="1400"/>
        <v/>
      </c>
      <c r="S924" s="418" t="str">
        <f t="shared" si="1401"/>
        <v/>
      </c>
      <c r="T924" s="418" t="str">
        <f t="shared" si="1402"/>
        <v/>
      </c>
      <c r="U924" s="418" t="str">
        <f t="shared" si="1403"/>
        <v/>
      </c>
      <c r="V924" s="418" t="str">
        <f t="shared" si="1404"/>
        <v/>
      </c>
      <c r="W924" s="418" t="str">
        <f t="shared" si="1405"/>
        <v/>
      </c>
      <c r="X924" s="418" t="str">
        <f t="shared" si="1406"/>
        <v/>
      </c>
      <c r="Y924" s="418" t="str">
        <f t="shared" si="1407"/>
        <v/>
      </c>
      <c r="Z924" s="418" t="str">
        <f t="shared" si="1408"/>
        <v/>
      </c>
      <c r="AA924" s="418" t="str">
        <f t="shared" si="1409"/>
        <v/>
      </c>
      <c r="AB924" s="418" t="str">
        <f t="shared" si="1410"/>
        <v/>
      </c>
      <c r="AC924" s="418" t="str">
        <f t="shared" si="1411"/>
        <v/>
      </c>
      <c r="AD924" s="418" t="str">
        <f t="shared" si="1412"/>
        <v/>
      </c>
      <c r="AE924" s="418" t="str">
        <f t="shared" si="1413"/>
        <v/>
      </c>
      <c r="AF924" s="418" t="str">
        <f t="shared" si="1414"/>
        <v/>
      </c>
      <c r="AG924" s="418" t="str">
        <f t="shared" si="1415"/>
        <v/>
      </c>
      <c r="AH924" s="418" t="str">
        <f t="shared" si="1416"/>
        <v/>
      </c>
      <c r="AI924" s="418" t="str">
        <f t="shared" si="1417"/>
        <v/>
      </c>
      <c r="AJ924" s="418" t="str">
        <f t="shared" si="1418"/>
        <v/>
      </c>
      <c r="AK924" s="418" t="str">
        <f t="shared" si="1419"/>
        <v/>
      </c>
      <c r="AL924" s="418" t="str">
        <f t="shared" si="1420"/>
        <v/>
      </c>
      <c r="AM924" s="418" t="str">
        <f t="shared" si="1421"/>
        <v/>
      </c>
      <c r="AN924" s="418" t="str">
        <f t="shared" si="1422"/>
        <v/>
      </c>
      <c r="AO924" s="418" t="str">
        <f t="shared" si="1423"/>
        <v/>
      </c>
      <c r="AP924" s="418" t="str">
        <f t="shared" si="1424"/>
        <v/>
      </c>
      <c r="AQ924" s="418" t="str">
        <f t="shared" si="1425"/>
        <v/>
      </c>
      <c r="AR924" s="418" t="str">
        <f t="shared" si="1426"/>
        <v/>
      </c>
      <c r="AS924" s="418" t="str">
        <f t="shared" si="1427"/>
        <v/>
      </c>
      <c r="AT924" s="418" t="str">
        <f t="shared" si="1428"/>
        <v/>
      </c>
      <c r="AU924" s="418" t="str">
        <f t="shared" si="1429"/>
        <v/>
      </c>
      <c r="AV924" s="418" t="str">
        <f t="shared" si="1430"/>
        <v/>
      </c>
      <c r="AW924" s="418" t="str">
        <f t="shared" si="1431"/>
        <v/>
      </c>
      <c r="AX924" s="418" t="str">
        <f t="shared" si="1432"/>
        <v/>
      </c>
      <c r="AY924" s="418" t="str">
        <f t="shared" si="1433"/>
        <v/>
      </c>
      <c r="AZ924" s="418" t="str">
        <f t="shared" si="1434"/>
        <v/>
      </c>
      <c r="BA924" s="418" t="str">
        <f t="shared" si="1435"/>
        <v/>
      </c>
      <c r="BB924" s="418" t="str">
        <f t="shared" si="1436"/>
        <v/>
      </c>
      <c r="BC924" s="418" t="str">
        <f t="shared" si="1437"/>
        <v/>
      </c>
      <c r="BD924" s="418" t="str">
        <f t="shared" si="1438"/>
        <v/>
      </c>
      <c r="BE924" s="418" t="str">
        <f t="shared" si="1439"/>
        <v/>
      </c>
      <c r="BF924" s="418" t="str">
        <f t="shared" si="1440"/>
        <v/>
      </c>
      <c r="BG924" s="418" t="str">
        <f t="shared" si="1441"/>
        <v/>
      </c>
      <c r="BH924" s="418">
        <f t="shared" si="1442"/>
        <v>3</v>
      </c>
      <c r="BI924" s="418" t="str">
        <f t="shared" si="1443"/>
        <v/>
      </c>
      <c r="BJ924" s="418" t="str">
        <f t="shared" si="1444"/>
        <v/>
      </c>
      <c r="BK924" s="418" t="str">
        <f t="shared" si="1445"/>
        <v/>
      </c>
      <c r="BL924" s="418" t="str">
        <f t="shared" si="1446"/>
        <v/>
      </c>
      <c r="BM924" s="418" t="str">
        <f t="shared" si="1447"/>
        <v/>
      </c>
      <c r="BN924" s="418" t="str">
        <f t="shared" ref="BN924:BN954" si="1456">IF(OR($E924="",BN$1=""),"",IF(TRIM(LEFT($E924,MIN(IFERROR(FIND("CDU",UPPER($E924)),999),IFERROR(FIND("BULK",UPPER($E924)),999),IFERROR(FIND("-",$E924),999),IFERROR(FIND("（",$E924),999))-1))=BN$1,$F924,""))</f>
        <v/>
      </c>
      <c r="BO924" s="418" t="str">
        <f t="shared" ref="BO924:BO954" si="1457">IF(OR($E924="",BO$1=""),"",IF(TRIM(LEFT($E924,MIN(IFERROR(FIND("CDU",UPPER($E924)),999),IFERROR(FIND("BULK",UPPER($E924)),999),IFERROR(FIND("-",$E924),999),IFERROR(FIND("（",$E924),999))-1))=BO$1,$F924,""))</f>
        <v/>
      </c>
      <c r="BP924" s="418" t="str">
        <f t="shared" ref="BP924:BP954" si="1458">IF(OR($E924="",BP$1=""),"",IF(TRIM(LEFT($E924,MIN(IFERROR(FIND("CDU",UPPER($E924)),999),IFERROR(FIND("BULK",UPPER($E924)),999),IFERROR(FIND("-",$E924),999),IFERROR(FIND("（",$E924),999))-1))=BP$1,$F924,""))</f>
        <v/>
      </c>
      <c r="BQ924" s="418" t="str">
        <f t="shared" ref="BQ924:BQ987" si="1459">IF(OR($E924="",BQ$1=""),"",IF(TRIM(LEFT($E924,MIN(IFERROR(FIND("CDU",UPPER($E924)),999),IFERROR(FIND("BULK",UPPER($E924)),999),IFERROR(FIND("-",$E924),999),IFERROR(FIND("（",$E924),999))-1))=BQ$1,$F924,""))</f>
        <v/>
      </c>
      <c r="BR924" s="418" t="str">
        <f t="shared" ref="BR924:BR987" si="1460">IF(OR($E924="",BR$1=""),"",IF(TRIM(LEFT($E924,MIN(IFERROR(FIND("CDU",UPPER($E924)),999),IFERROR(FIND("BULK",UPPER($E924)),999),IFERROR(FIND("-",$E924),999),IFERROR(FIND("（",$E924),999))-1))=BR$1,$F924,""))</f>
        <v/>
      </c>
      <c r="BS924" s="418" t="str">
        <f t="shared" ref="BS924:BS987" si="1461">IF(OR($E924="",BS$1=""),"",IF(TRIM(LEFT($E924,MIN(IFERROR(FIND("CDU",UPPER($E924)),999),IFERROR(FIND("BULK",UPPER($E924)),999),IFERROR(FIND("-",$E924),999),IFERROR(FIND("（",$E924),999))-1))=BS$1,$F924,""))</f>
        <v/>
      </c>
      <c r="BT924" s="418" t="str">
        <f t="shared" si="1448"/>
        <v/>
      </c>
      <c r="BU924" s="418" t="str">
        <f t="shared" si="1449"/>
        <v/>
      </c>
      <c r="BV924" s="544"/>
      <c r="BW924" s="723">
        <f t="shared" si="1453"/>
        <v>0</v>
      </c>
      <c r="BX924" s="724">
        <f t="shared" si="1454"/>
        <v>0</v>
      </c>
      <c r="BY924" s="725" t="str">
        <f t="shared" si="1455"/>
        <v>JC</v>
      </c>
    </row>
    <row r="925" s="697" customFormat="1" customHeight="1" spans="1:77">
      <c r="A925" s="116">
        <v>46154</v>
      </c>
      <c r="B925" s="116">
        <v>46162</v>
      </c>
      <c r="C925" s="118" t="s">
        <v>839</v>
      </c>
      <c r="D925" s="118" t="s">
        <v>840</v>
      </c>
      <c r="E925" s="118" t="s">
        <v>104</v>
      </c>
      <c r="F925" s="737">
        <v>12</v>
      </c>
      <c r="G925" s="118" t="s">
        <v>334</v>
      </c>
      <c r="H925" s="118" t="str">
        <f>IFERROR(VLOOKUP(E925,名称!A:E,4,0),"")</f>
        <v>三代</v>
      </c>
      <c r="I925" s="418" t="str">
        <f t="shared" si="1391"/>
        <v/>
      </c>
      <c r="J925" s="418" t="str">
        <f t="shared" si="1392"/>
        <v/>
      </c>
      <c r="K925" s="418" t="str">
        <f t="shared" si="1393"/>
        <v/>
      </c>
      <c r="L925" s="418" t="str">
        <f t="shared" si="1394"/>
        <v/>
      </c>
      <c r="M925" s="418" t="str">
        <f t="shared" si="1395"/>
        <v/>
      </c>
      <c r="N925" s="418" t="str">
        <f t="shared" si="1396"/>
        <v/>
      </c>
      <c r="O925" s="418" t="str">
        <f t="shared" si="1397"/>
        <v/>
      </c>
      <c r="P925" s="418" t="str">
        <f t="shared" si="1398"/>
        <v/>
      </c>
      <c r="Q925" s="418" t="str">
        <f t="shared" si="1399"/>
        <v/>
      </c>
      <c r="R925" s="418" t="str">
        <f t="shared" si="1400"/>
        <v/>
      </c>
      <c r="S925" s="418" t="str">
        <f t="shared" si="1401"/>
        <v/>
      </c>
      <c r="T925" s="418" t="str">
        <f t="shared" si="1402"/>
        <v/>
      </c>
      <c r="U925" s="418" t="str">
        <f t="shared" si="1403"/>
        <v/>
      </c>
      <c r="V925" s="418" t="str">
        <f t="shared" si="1404"/>
        <v/>
      </c>
      <c r="W925" s="418" t="str">
        <f t="shared" si="1405"/>
        <v/>
      </c>
      <c r="X925" s="418" t="str">
        <f t="shared" si="1406"/>
        <v/>
      </c>
      <c r="Y925" s="418" t="str">
        <f t="shared" si="1407"/>
        <v/>
      </c>
      <c r="Z925" s="418" t="str">
        <f t="shared" si="1408"/>
        <v/>
      </c>
      <c r="AA925" s="418" t="str">
        <f t="shared" si="1409"/>
        <v/>
      </c>
      <c r="AB925" s="418" t="str">
        <f t="shared" si="1410"/>
        <v/>
      </c>
      <c r="AC925" s="418" t="str">
        <f t="shared" si="1411"/>
        <v/>
      </c>
      <c r="AD925" s="418" t="str">
        <f t="shared" si="1412"/>
        <v/>
      </c>
      <c r="AE925" s="418" t="str">
        <f t="shared" si="1413"/>
        <v/>
      </c>
      <c r="AF925" s="418" t="str">
        <f t="shared" si="1414"/>
        <v/>
      </c>
      <c r="AG925" s="418" t="str">
        <f t="shared" si="1415"/>
        <v/>
      </c>
      <c r="AH925" s="418" t="str">
        <f t="shared" si="1416"/>
        <v/>
      </c>
      <c r="AI925" s="418" t="str">
        <f t="shared" si="1417"/>
        <v/>
      </c>
      <c r="AJ925" s="418" t="str">
        <f t="shared" si="1418"/>
        <v/>
      </c>
      <c r="AK925" s="418" t="str">
        <f t="shared" si="1419"/>
        <v/>
      </c>
      <c r="AL925" s="418" t="str">
        <f t="shared" si="1420"/>
        <v/>
      </c>
      <c r="AM925" s="418" t="str">
        <f t="shared" si="1421"/>
        <v/>
      </c>
      <c r="AN925" s="418" t="str">
        <f t="shared" si="1422"/>
        <v/>
      </c>
      <c r="AO925" s="418" t="str">
        <f t="shared" si="1423"/>
        <v/>
      </c>
      <c r="AP925" s="418" t="str">
        <f t="shared" si="1424"/>
        <v/>
      </c>
      <c r="AQ925" s="418" t="str">
        <f t="shared" si="1425"/>
        <v/>
      </c>
      <c r="AR925" s="418">
        <f t="shared" si="1426"/>
        <v>12</v>
      </c>
      <c r="AS925" s="418" t="str">
        <f t="shared" si="1427"/>
        <v/>
      </c>
      <c r="AT925" s="418" t="str">
        <f t="shared" si="1428"/>
        <v/>
      </c>
      <c r="AU925" s="418" t="str">
        <f t="shared" si="1429"/>
        <v/>
      </c>
      <c r="AV925" s="418" t="str">
        <f t="shared" si="1430"/>
        <v/>
      </c>
      <c r="AW925" s="418" t="str">
        <f t="shared" si="1431"/>
        <v/>
      </c>
      <c r="AX925" s="418" t="str">
        <f t="shared" si="1432"/>
        <v/>
      </c>
      <c r="AY925" s="418" t="str">
        <f t="shared" si="1433"/>
        <v/>
      </c>
      <c r="AZ925" s="418" t="str">
        <f t="shared" si="1434"/>
        <v/>
      </c>
      <c r="BA925" s="418" t="str">
        <f t="shared" si="1435"/>
        <v/>
      </c>
      <c r="BB925" s="418" t="str">
        <f t="shared" si="1436"/>
        <v/>
      </c>
      <c r="BC925" s="418" t="str">
        <f t="shared" si="1437"/>
        <v/>
      </c>
      <c r="BD925" s="418" t="str">
        <f t="shared" si="1438"/>
        <v/>
      </c>
      <c r="BE925" s="418" t="str">
        <f t="shared" si="1439"/>
        <v/>
      </c>
      <c r="BF925" s="418" t="str">
        <f t="shared" si="1440"/>
        <v/>
      </c>
      <c r="BG925" s="418" t="str">
        <f t="shared" si="1441"/>
        <v/>
      </c>
      <c r="BH925" s="418" t="str">
        <f t="shared" si="1442"/>
        <v/>
      </c>
      <c r="BI925" s="418" t="str">
        <f t="shared" si="1443"/>
        <v/>
      </c>
      <c r="BJ925" s="418" t="str">
        <f t="shared" si="1444"/>
        <v/>
      </c>
      <c r="BK925" s="418" t="str">
        <f t="shared" si="1445"/>
        <v/>
      </c>
      <c r="BL925" s="418" t="str">
        <f t="shared" si="1446"/>
        <v/>
      </c>
      <c r="BM925" s="418" t="str">
        <f t="shared" si="1447"/>
        <v/>
      </c>
      <c r="BN925" s="418" t="str">
        <f t="shared" si="1456"/>
        <v/>
      </c>
      <c r="BO925" s="418" t="str">
        <f t="shared" si="1457"/>
        <v/>
      </c>
      <c r="BP925" s="418" t="str">
        <f t="shared" si="1458"/>
        <v/>
      </c>
      <c r="BQ925" s="418" t="str">
        <f t="shared" si="1459"/>
        <v/>
      </c>
      <c r="BR925" s="418" t="str">
        <f t="shared" si="1460"/>
        <v/>
      </c>
      <c r="BS925" s="418" t="str">
        <f t="shared" si="1461"/>
        <v/>
      </c>
      <c r="BT925" s="418" t="str">
        <f t="shared" si="1448"/>
        <v/>
      </c>
      <c r="BU925" s="418" t="str">
        <f t="shared" si="1449"/>
        <v/>
      </c>
      <c r="BV925" s="544"/>
      <c r="BW925" s="723">
        <f t="shared" si="1453"/>
        <v>0</v>
      </c>
      <c r="BX925" s="724">
        <f t="shared" si="1454"/>
        <v>0</v>
      </c>
      <c r="BY925" s="725" t="str">
        <f t="shared" si="1455"/>
        <v>SR</v>
      </c>
    </row>
    <row r="926" s="697" customFormat="1" customHeight="1" spans="1:77">
      <c r="A926" s="116">
        <v>46154</v>
      </c>
      <c r="B926" s="116">
        <v>46162</v>
      </c>
      <c r="C926" s="118" t="s">
        <v>839</v>
      </c>
      <c r="D926" s="118" t="s">
        <v>840</v>
      </c>
      <c r="E926" s="118" t="s">
        <v>119</v>
      </c>
      <c r="F926" s="737">
        <v>48</v>
      </c>
      <c r="G926" s="118" t="s">
        <v>334</v>
      </c>
      <c r="H926" s="118" t="str">
        <f>IFERROR(VLOOKUP(E926,名称!A:E,4,0),"")</f>
        <v>三代</v>
      </c>
      <c r="I926" s="418" t="str">
        <f t="shared" si="1391"/>
        <v/>
      </c>
      <c r="J926" s="418" t="str">
        <f t="shared" si="1392"/>
        <v/>
      </c>
      <c r="K926" s="418" t="str">
        <f t="shared" si="1393"/>
        <v/>
      </c>
      <c r="L926" s="418" t="str">
        <f t="shared" si="1394"/>
        <v/>
      </c>
      <c r="M926" s="418" t="str">
        <f t="shared" si="1395"/>
        <v/>
      </c>
      <c r="N926" s="418" t="str">
        <f t="shared" si="1396"/>
        <v/>
      </c>
      <c r="O926" s="418" t="str">
        <f t="shared" si="1397"/>
        <v/>
      </c>
      <c r="P926" s="418" t="str">
        <f t="shared" si="1398"/>
        <v/>
      </c>
      <c r="Q926" s="418" t="str">
        <f t="shared" si="1399"/>
        <v/>
      </c>
      <c r="R926" s="418" t="str">
        <f t="shared" si="1400"/>
        <v/>
      </c>
      <c r="S926" s="418" t="str">
        <f t="shared" si="1401"/>
        <v/>
      </c>
      <c r="T926" s="418" t="str">
        <f t="shared" si="1402"/>
        <v/>
      </c>
      <c r="U926" s="418" t="str">
        <f t="shared" si="1403"/>
        <v/>
      </c>
      <c r="V926" s="418" t="str">
        <f t="shared" si="1404"/>
        <v/>
      </c>
      <c r="W926" s="418" t="str">
        <f t="shared" si="1405"/>
        <v/>
      </c>
      <c r="X926" s="418" t="str">
        <f t="shared" si="1406"/>
        <v/>
      </c>
      <c r="Y926" s="418" t="str">
        <f t="shared" si="1407"/>
        <v/>
      </c>
      <c r="Z926" s="418" t="str">
        <f t="shared" si="1408"/>
        <v/>
      </c>
      <c r="AA926" s="418" t="str">
        <f t="shared" si="1409"/>
        <v/>
      </c>
      <c r="AB926" s="418" t="str">
        <f t="shared" si="1410"/>
        <v/>
      </c>
      <c r="AC926" s="418" t="str">
        <f t="shared" si="1411"/>
        <v/>
      </c>
      <c r="AD926" s="418" t="str">
        <f t="shared" si="1412"/>
        <v/>
      </c>
      <c r="AE926" s="418" t="str">
        <f t="shared" si="1413"/>
        <v/>
      </c>
      <c r="AF926" s="418" t="str">
        <f t="shared" si="1414"/>
        <v/>
      </c>
      <c r="AG926" s="418" t="str">
        <f t="shared" si="1415"/>
        <v/>
      </c>
      <c r="AH926" s="418" t="str">
        <f t="shared" si="1416"/>
        <v/>
      </c>
      <c r="AI926" s="418" t="str">
        <f t="shared" si="1417"/>
        <v/>
      </c>
      <c r="AJ926" s="418" t="str">
        <f t="shared" si="1418"/>
        <v/>
      </c>
      <c r="AK926" s="418" t="str">
        <f t="shared" si="1419"/>
        <v/>
      </c>
      <c r="AL926" s="418" t="str">
        <f t="shared" si="1420"/>
        <v/>
      </c>
      <c r="AM926" s="418" t="str">
        <f t="shared" si="1421"/>
        <v/>
      </c>
      <c r="AN926" s="418" t="str">
        <f t="shared" si="1422"/>
        <v/>
      </c>
      <c r="AO926" s="418" t="str">
        <f t="shared" si="1423"/>
        <v/>
      </c>
      <c r="AP926" s="418">
        <f t="shared" si="1424"/>
        <v>48</v>
      </c>
      <c r="AQ926" s="418" t="str">
        <f t="shared" si="1425"/>
        <v/>
      </c>
      <c r="AR926" s="418" t="str">
        <f t="shared" si="1426"/>
        <v/>
      </c>
      <c r="AS926" s="418" t="str">
        <f t="shared" si="1427"/>
        <v/>
      </c>
      <c r="AT926" s="418" t="str">
        <f t="shared" si="1428"/>
        <v/>
      </c>
      <c r="AU926" s="418" t="str">
        <f t="shared" si="1429"/>
        <v/>
      </c>
      <c r="AV926" s="418" t="str">
        <f t="shared" si="1430"/>
        <v/>
      </c>
      <c r="AW926" s="418" t="str">
        <f t="shared" si="1431"/>
        <v/>
      </c>
      <c r="AX926" s="418" t="str">
        <f t="shared" si="1432"/>
        <v/>
      </c>
      <c r="AY926" s="418" t="str">
        <f t="shared" si="1433"/>
        <v/>
      </c>
      <c r="AZ926" s="418" t="str">
        <f t="shared" si="1434"/>
        <v/>
      </c>
      <c r="BA926" s="418" t="str">
        <f t="shared" si="1435"/>
        <v/>
      </c>
      <c r="BB926" s="418" t="str">
        <f t="shared" si="1436"/>
        <v/>
      </c>
      <c r="BC926" s="418" t="str">
        <f t="shared" si="1437"/>
        <v/>
      </c>
      <c r="BD926" s="418" t="str">
        <f t="shared" si="1438"/>
        <v/>
      </c>
      <c r="BE926" s="418" t="str">
        <f t="shared" si="1439"/>
        <v/>
      </c>
      <c r="BF926" s="418" t="str">
        <f t="shared" si="1440"/>
        <v/>
      </c>
      <c r="BG926" s="418" t="str">
        <f t="shared" si="1441"/>
        <v/>
      </c>
      <c r="BH926" s="418" t="str">
        <f t="shared" si="1442"/>
        <v/>
      </c>
      <c r="BI926" s="418" t="str">
        <f t="shared" si="1443"/>
        <v/>
      </c>
      <c r="BJ926" s="418" t="str">
        <f t="shared" si="1444"/>
        <v/>
      </c>
      <c r="BK926" s="418" t="str">
        <f t="shared" si="1445"/>
        <v/>
      </c>
      <c r="BL926" s="418" t="str">
        <f t="shared" si="1446"/>
        <v/>
      </c>
      <c r="BM926" s="418" t="str">
        <f t="shared" si="1447"/>
        <v/>
      </c>
      <c r="BN926" s="418" t="str">
        <f t="shared" si="1456"/>
        <v/>
      </c>
      <c r="BO926" s="418" t="str">
        <f t="shared" si="1457"/>
        <v/>
      </c>
      <c r="BP926" s="418" t="str">
        <f t="shared" si="1458"/>
        <v/>
      </c>
      <c r="BQ926" s="418" t="str">
        <f t="shared" si="1459"/>
        <v/>
      </c>
      <c r="BR926" s="418" t="str">
        <f t="shared" si="1460"/>
        <v/>
      </c>
      <c r="BS926" s="418" t="str">
        <f t="shared" si="1461"/>
        <v/>
      </c>
      <c r="BT926" s="418" t="str">
        <f t="shared" si="1448"/>
        <v/>
      </c>
      <c r="BU926" s="418" t="str">
        <f t="shared" si="1449"/>
        <v/>
      </c>
      <c r="BV926" s="544"/>
      <c r="BW926" s="723">
        <f t="shared" si="1453"/>
        <v>0</v>
      </c>
      <c r="BX926" s="724">
        <f t="shared" si="1454"/>
        <v>0</v>
      </c>
      <c r="BY926" s="725" t="str">
        <f t="shared" si="1455"/>
        <v>SR</v>
      </c>
    </row>
    <row r="927" s="697" customFormat="1" customHeight="1" spans="1:77">
      <c r="A927" s="116">
        <v>46154</v>
      </c>
      <c r="B927" s="116">
        <v>46162</v>
      </c>
      <c r="C927" s="118" t="s">
        <v>839</v>
      </c>
      <c r="D927" s="118" t="s">
        <v>840</v>
      </c>
      <c r="E927" s="176" t="s">
        <v>112</v>
      </c>
      <c r="F927" s="737">
        <v>3</v>
      </c>
      <c r="G927" s="118" t="s">
        <v>334</v>
      </c>
      <c r="H927" s="118" t="str">
        <f>IFERROR(VLOOKUP(E927,名称!A:E,4,0),"")</f>
        <v>三代</v>
      </c>
      <c r="I927" s="418" t="str">
        <f t="shared" si="1391"/>
        <v/>
      </c>
      <c r="J927" s="418" t="str">
        <f t="shared" si="1392"/>
        <v/>
      </c>
      <c r="K927" s="418" t="str">
        <f t="shared" si="1393"/>
        <v/>
      </c>
      <c r="L927" s="418" t="str">
        <f t="shared" si="1394"/>
        <v/>
      </c>
      <c r="M927" s="418" t="str">
        <f t="shared" si="1395"/>
        <v/>
      </c>
      <c r="N927" s="418" t="str">
        <f t="shared" si="1396"/>
        <v/>
      </c>
      <c r="O927" s="418" t="str">
        <f t="shared" si="1397"/>
        <v/>
      </c>
      <c r="P927" s="418" t="str">
        <f t="shared" si="1398"/>
        <v/>
      </c>
      <c r="Q927" s="418" t="str">
        <f t="shared" si="1399"/>
        <v/>
      </c>
      <c r="R927" s="418" t="str">
        <f t="shared" si="1400"/>
        <v/>
      </c>
      <c r="S927" s="418" t="str">
        <f t="shared" si="1401"/>
        <v/>
      </c>
      <c r="T927" s="418" t="str">
        <f t="shared" si="1402"/>
        <v/>
      </c>
      <c r="U927" s="418" t="str">
        <f t="shared" si="1403"/>
        <v/>
      </c>
      <c r="V927" s="418" t="str">
        <f t="shared" si="1404"/>
        <v/>
      </c>
      <c r="W927" s="418" t="str">
        <f t="shared" si="1405"/>
        <v/>
      </c>
      <c r="X927" s="418" t="str">
        <f t="shared" si="1406"/>
        <v/>
      </c>
      <c r="Y927" s="418" t="str">
        <f t="shared" si="1407"/>
        <v/>
      </c>
      <c r="Z927" s="418" t="str">
        <f t="shared" si="1408"/>
        <v/>
      </c>
      <c r="AA927" s="418" t="str">
        <f t="shared" si="1409"/>
        <v/>
      </c>
      <c r="AB927" s="418" t="str">
        <f t="shared" si="1410"/>
        <v/>
      </c>
      <c r="AC927" s="418" t="str">
        <f t="shared" si="1411"/>
        <v/>
      </c>
      <c r="AD927" s="418" t="str">
        <f t="shared" si="1412"/>
        <v/>
      </c>
      <c r="AE927" s="418" t="str">
        <f t="shared" si="1413"/>
        <v/>
      </c>
      <c r="AF927" s="418" t="str">
        <f t="shared" si="1414"/>
        <v/>
      </c>
      <c r="AG927" s="418" t="str">
        <f t="shared" si="1415"/>
        <v/>
      </c>
      <c r="AH927" s="418" t="str">
        <f t="shared" si="1416"/>
        <v/>
      </c>
      <c r="AI927" s="418">
        <f t="shared" si="1417"/>
        <v>3</v>
      </c>
      <c r="AJ927" s="418" t="str">
        <f t="shared" si="1418"/>
        <v/>
      </c>
      <c r="AK927" s="418" t="str">
        <f t="shared" si="1419"/>
        <v/>
      </c>
      <c r="AL927" s="418" t="str">
        <f t="shared" si="1420"/>
        <v/>
      </c>
      <c r="AM927" s="418" t="str">
        <f t="shared" si="1421"/>
        <v/>
      </c>
      <c r="AN927" s="418" t="str">
        <f t="shared" si="1422"/>
        <v/>
      </c>
      <c r="AO927" s="418" t="str">
        <f t="shared" si="1423"/>
        <v/>
      </c>
      <c r="AP927" s="418" t="str">
        <f t="shared" si="1424"/>
        <v/>
      </c>
      <c r="AQ927" s="418" t="str">
        <f t="shared" si="1425"/>
        <v/>
      </c>
      <c r="AR927" s="418" t="str">
        <f t="shared" si="1426"/>
        <v/>
      </c>
      <c r="AS927" s="418" t="str">
        <f t="shared" si="1427"/>
        <v/>
      </c>
      <c r="AT927" s="418" t="str">
        <f t="shared" si="1428"/>
        <v/>
      </c>
      <c r="AU927" s="418" t="str">
        <f t="shared" si="1429"/>
        <v/>
      </c>
      <c r="AV927" s="418" t="str">
        <f t="shared" si="1430"/>
        <v/>
      </c>
      <c r="AW927" s="418" t="str">
        <f t="shared" si="1431"/>
        <v/>
      </c>
      <c r="AX927" s="418" t="str">
        <f t="shared" si="1432"/>
        <v/>
      </c>
      <c r="AY927" s="418" t="str">
        <f t="shared" si="1433"/>
        <v/>
      </c>
      <c r="AZ927" s="418" t="str">
        <f t="shared" si="1434"/>
        <v/>
      </c>
      <c r="BA927" s="418" t="str">
        <f t="shared" si="1435"/>
        <v/>
      </c>
      <c r="BB927" s="418" t="str">
        <f t="shared" si="1436"/>
        <v/>
      </c>
      <c r="BC927" s="418" t="str">
        <f t="shared" si="1437"/>
        <v/>
      </c>
      <c r="BD927" s="418" t="str">
        <f t="shared" si="1438"/>
        <v/>
      </c>
      <c r="BE927" s="418" t="str">
        <f t="shared" si="1439"/>
        <v/>
      </c>
      <c r="BF927" s="418" t="str">
        <f t="shared" si="1440"/>
        <v/>
      </c>
      <c r="BG927" s="418" t="str">
        <f t="shared" si="1441"/>
        <v/>
      </c>
      <c r="BH927" s="418" t="str">
        <f t="shared" si="1442"/>
        <v/>
      </c>
      <c r="BI927" s="418" t="str">
        <f t="shared" si="1443"/>
        <v/>
      </c>
      <c r="BJ927" s="418" t="str">
        <f t="shared" si="1444"/>
        <v/>
      </c>
      <c r="BK927" s="418" t="str">
        <f t="shared" si="1445"/>
        <v/>
      </c>
      <c r="BL927" s="418" t="str">
        <f t="shared" si="1446"/>
        <v/>
      </c>
      <c r="BM927" s="418" t="str">
        <f t="shared" si="1447"/>
        <v/>
      </c>
      <c r="BN927" s="418" t="str">
        <f t="shared" si="1456"/>
        <v/>
      </c>
      <c r="BO927" s="418" t="str">
        <f t="shared" si="1457"/>
        <v/>
      </c>
      <c r="BP927" s="418" t="str">
        <f t="shared" si="1458"/>
        <v/>
      </c>
      <c r="BQ927" s="418" t="str">
        <f t="shared" si="1459"/>
        <v/>
      </c>
      <c r="BR927" s="418" t="str">
        <f t="shared" si="1460"/>
        <v/>
      </c>
      <c r="BS927" s="418" t="str">
        <f t="shared" si="1461"/>
        <v/>
      </c>
      <c r="BT927" s="418" t="str">
        <f t="shared" si="1448"/>
        <v/>
      </c>
      <c r="BU927" s="418" t="str">
        <f t="shared" si="1449"/>
        <v/>
      </c>
      <c r="BV927" s="544"/>
      <c r="BW927" s="723">
        <f t="shared" si="1453"/>
        <v>0</v>
      </c>
      <c r="BX927" s="724">
        <f t="shared" si="1454"/>
        <v>0</v>
      </c>
      <c r="BY927" s="725" t="str">
        <f t="shared" si="1455"/>
        <v>SR</v>
      </c>
    </row>
    <row r="928" s="697" customFormat="1" customHeight="1" spans="1:77">
      <c r="A928" s="116">
        <v>46154</v>
      </c>
      <c r="B928" s="116">
        <v>46162</v>
      </c>
      <c r="C928" s="118" t="s">
        <v>839</v>
      </c>
      <c r="D928" s="118" t="s">
        <v>840</v>
      </c>
      <c r="E928" s="118" t="s">
        <v>115</v>
      </c>
      <c r="F928" s="737">
        <v>18</v>
      </c>
      <c r="G928" s="118" t="s">
        <v>334</v>
      </c>
      <c r="H928" s="118" t="str">
        <f>IFERROR(VLOOKUP(E928,名称!A:E,4,0),"")</f>
        <v>三代</v>
      </c>
      <c r="I928" s="418" t="str">
        <f t="shared" si="1391"/>
        <v/>
      </c>
      <c r="J928" s="418" t="str">
        <f t="shared" si="1392"/>
        <v/>
      </c>
      <c r="K928" s="418" t="str">
        <f t="shared" si="1393"/>
        <v/>
      </c>
      <c r="L928" s="418" t="str">
        <f t="shared" si="1394"/>
        <v/>
      </c>
      <c r="M928" s="418" t="str">
        <f t="shared" si="1395"/>
        <v/>
      </c>
      <c r="N928" s="418" t="str">
        <f t="shared" si="1396"/>
        <v/>
      </c>
      <c r="O928" s="418" t="str">
        <f t="shared" si="1397"/>
        <v/>
      </c>
      <c r="P928" s="418" t="str">
        <f t="shared" si="1398"/>
        <v/>
      </c>
      <c r="Q928" s="418" t="str">
        <f t="shared" si="1399"/>
        <v/>
      </c>
      <c r="R928" s="418" t="str">
        <f t="shared" si="1400"/>
        <v/>
      </c>
      <c r="S928" s="418" t="str">
        <f t="shared" si="1401"/>
        <v/>
      </c>
      <c r="T928" s="418" t="str">
        <f t="shared" si="1402"/>
        <v/>
      </c>
      <c r="U928" s="418" t="str">
        <f t="shared" si="1403"/>
        <v/>
      </c>
      <c r="V928" s="418" t="str">
        <f t="shared" si="1404"/>
        <v/>
      </c>
      <c r="W928" s="418" t="str">
        <f t="shared" si="1405"/>
        <v/>
      </c>
      <c r="X928" s="418" t="str">
        <f t="shared" si="1406"/>
        <v/>
      </c>
      <c r="Y928" s="418" t="str">
        <f t="shared" si="1407"/>
        <v/>
      </c>
      <c r="Z928" s="418" t="str">
        <f t="shared" si="1408"/>
        <v/>
      </c>
      <c r="AA928" s="418" t="str">
        <f t="shared" si="1409"/>
        <v/>
      </c>
      <c r="AB928" s="418" t="str">
        <f t="shared" si="1410"/>
        <v/>
      </c>
      <c r="AC928" s="418" t="str">
        <f t="shared" si="1411"/>
        <v/>
      </c>
      <c r="AD928" s="418" t="str">
        <f t="shared" si="1412"/>
        <v/>
      </c>
      <c r="AE928" s="418" t="str">
        <f t="shared" si="1413"/>
        <v/>
      </c>
      <c r="AF928" s="418" t="str">
        <f t="shared" si="1414"/>
        <v/>
      </c>
      <c r="AG928" s="418" t="str">
        <f t="shared" si="1415"/>
        <v/>
      </c>
      <c r="AH928" s="418" t="str">
        <f t="shared" si="1416"/>
        <v/>
      </c>
      <c r="AI928" s="418" t="str">
        <f t="shared" si="1417"/>
        <v/>
      </c>
      <c r="AJ928" s="418" t="str">
        <f t="shared" si="1418"/>
        <v/>
      </c>
      <c r="AK928" s="418" t="str">
        <f t="shared" si="1419"/>
        <v/>
      </c>
      <c r="AL928" s="418" t="str">
        <f t="shared" si="1420"/>
        <v/>
      </c>
      <c r="AM928" s="418" t="str">
        <f t="shared" si="1421"/>
        <v/>
      </c>
      <c r="AN928" s="418" t="str">
        <f t="shared" si="1422"/>
        <v/>
      </c>
      <c r="AO928" s="418" t="str">
        <f t="shared" si="1423"/>
        <v/>
      </c>
      <c r="AP928" s="418" t="str">
        <f t="shared" si="1424"/>
        <v/>
      </c>
      <c r="AQ928" s="418" t="str">
        <f t="shared" si="1425"/>
        <v/>
      </c>
      <c r="AR928" s="418" t="str">
        <f t="shared" si="1426"/>
        <v/>
      </c>
      <c r="AS928" s="418" t="str">
        <f t="shared" si="1427"/>
        <v/>
      </c>
      <c r="AT928" s="418" t="str">
        <f t="shared" si="1428"/>
        <v/>
      </c>
      <c r="AU928" s="418" t="str">
        <f t="shared" si="1429"/>
        <v/>
      </c>
      <c r="AV928" s="418" t="str">
        <f t="shared" si="1430"/>
        <v/>
      </c>
      <c r="AW928" s="418" t="str">
        <f t="shared" si="1431"/>
        <v/>
      </c>
      <c r="AX928" s="418">
        <f t="shared" si="1432"/>
        <v>18</v>
      </c>
      <c r="AY928" s="418" t="str">
        <f t="shared" si="1433"/>
        <v/>
      </c>
      <c r="AZ928" s="418" t="str">
        <f t="shared" si="1434"/>
        <v/>
      </c>
      <c r="BA928" s="418" t="str">
        <f t="shared" si="1435"/>
        <v/>
      </c>
      <c r="BB928" s="418" t="str">
        <f t="shared" si="1436"/>
        <v/>
      </c>
      <c r="BC928" s="418" t="str">
        <f t="shared" si="1437"/>
        <v/>
      </c>
      <c r="BD928" s="418" t="str">
        <f t="shared" si="1438"/>
        <v/>
      </c>
      <c r="BE928" s="418" t="str">
        <f t="shared" si="1439"/>
        <v/>
      </c>
      <c r="BF928" s="418" t="str">
        <f t="shared" si="1440"/>
        <v/>
      </c>
      <c r="BG928" s="418" t="str">
        <f t="shared" si="1441"/>
        <v/>
      </c>
      <c r="BH928" s="418" t="str">
        <f t="shared" si="1442"/>
        <v/>
      </c>
      <c r="BI928" s="418" t="str">
        <f t="shared" si="1443"/>
        <v/>
      </c>
      <c r="BJ928" s="418" t="str">
        <f t="shared" si="1444"/>
        <v/>
      </c>
      <c r="BK928" s="418" t="str">
        <f t="shared" si="1445"/>
        <v/>
      </c>
      <c r="BL928" s="418" t="str">
        <f t="shared" si="1446"/>
        <v/>
      </c>
      <c r="BM928" s="418" t="str">
        <f t="shared" si="1447"/>
        <v/>
      </c>
      <c r="BN928" s="418" t="str">
        <f t="shared" si="1456"/>
        <v/>
      </c>
      <c r="BO928" s="418" t="str">
        <f t="shared" si="1457"/>
        <v/>
      </c>
      <c r="BP928" s="418" t="str">
        <f t="shared" si="1458"/>
        <v/>
      </c>
      <c r="BQ928" s="418" t="str">
        <f t="shared" si="1459"/>
        <v/>
      </c>
      <c r="BR928" s="418" t="str">
        <f t="shared" si="1460"/>
        <v/>
      </c>
      <c r="BS928" s="418" t="str">
        <f t="shared" si="1461"/>
        <v/>
      </c>
      <c r="BT928" s="418" t="str">
        <f t="shared" si="1448"/>
        <v/>
      </c>
      <c r="BU928" s="418" t="str">
        <f t="shared" si="1449"/>
        <v/>
      </c>
      <c r="BV928" s="544"/>
      <c r="BW928" s="723">
        <f t="shared" si="1453"/>
        <v>0</v>
      </c>
      <c r="BX928" s="724">
        <f t="shared" si="1454"/>
        <v>0</v>
      </c>
      <c r="BY928" s="725" t="str">
        <f t="shared" si="1455"/>
        <v>SR</v>
      </c>
    </row>
    <row r="929" s="697" customFormat="1" customHeight="1" spans="1:77">
      <c r="A929" s="116">
        <v>46154</v>
      </c>
      <c r="B929" s="116">
        <v>46162</v>
      </c>
      <c r="C929" s="118" t="s">
        <v>839</v>
      </c>
      <c r="D929" s="118" t="s">
        <v>840</v>
      </c>
      <c r="E929" s="118" t="s">
        <v>94</v>
      </c>
      <c r="F929" s="737">
        <v>48</v>
      </c>
      <c r="G929" s="118" t="s">
        <v>334</v>
      </c>
      <c r="H929" s="118" t="str">
        <f>IFERROR(VLOOKUP(E929,名称!A:E,4,0),"")</f>
        <v>三代</v>
      </c>
      <c r="I929" s="418" t="str">
        <f t="shared" si="1391"/>
        <v/>
      </c>
      <c r="J929" s="418" t="str">
        <f t="shared" si="1392"/>
        <v/>
      </c>
      <c r="K929" s="418" t="str">
        <f t="shared" si="1393"/>
        <v/>
      </c>
      <c r="L929" s="418" t="str">
        <f t="shared" si="1394"/>
        <v/>
      </c>
      <c r="M929" s="418" t="str">
        <f t="shared" si="1395"/>
        <v/>
      </c>
      <c r="N929" s="418" t="str">
        <f t="shared" si="1396"/>
        <v/>
      </c>
      <c r="O929" s="418" t="str">
        <f t="shared" si="1397"/>
        <v/>
      </c>
      <c r="P929" s="418" t="str">
        <f t="shared" si="1398"/>
        <v/>
      </c>
      <c r="Q929" s="418" t="str">
        <f t="shared" si="1399"/>
        <v/>
      </c>
      <c r="R929" s="418" t="str">
        <f t="shared" si="1400"/>
        <v/>
      </c>
      <c r="S929" s="418" t="str">
        <f t="shared" si="1401"/>
        <v/>
      </c>
      <c r="T929" s="418" t="str">
        <f t="shared" si="1402"/>
        <v/>
      </c>
      <c r="U929" s="418" t="str">
        <f t="shared" si="1403"/>
        <v/>
      </c>
      <c r="V929" s="418" t="str">
        <f t="shared" si="1404"/>
        <v/>
      </c>
      <c r="W929" s="418" t="str">
        <f t="shared" si="1405"/>
        <v/>
      </c>
      <c r="X929" s="418" t="str">
        <f t="shared" si="1406"/>
        <v/>
      </c>
      <c r="Y929" s="418" t="str">
        <f t="shared" si="1407"/>
        <v/>
      </c>
      <c r="Z929" s="418" t="str">
        <f t="shared" si="1408"/>
        <v/>
      </c>
      <c r="AA929" s="418" t="str">
        <f t="shared" si="1409"/>
        <v/>
      </c>
      <c r="AB929" s="418" t="str">
        <f t="shared" si="1410"/>
        <v/>
      </c>
      <c r="AC929" s="418" t="str">
        <f t="shared" si="1411"/>
        <v/>
      </c>
      <c r="AD929" s="418" t="str">
        <f t="shared" si="1412"/>
        <v/>
      </c>
      <c r="AE929" s="418" t="str">
        <f t="shared" si="1413"/>
        <v/>
      </c>
      <c r="AF929" s="418" t="str">
        <f t="shared" si="1414"/>
        <v/>
      </c>
      <c r="AG929" s="418" t="str">
        <f t="shared" si="1415"/>
        <v/>
      </c>
      <c r="AH929" s="418" t="str">
        <f t="shared" si="1416"/>
        <v/>
      </c>
      <c r="AI929" s="418" t="str">
        <f t="shared" si="1417"/>
        <v/>
      </c>
      <c r="AJ929" s="418" t="str">
        <f t="shared" si="1418"/>
        <v/>
      </c>
      <c r="AK929" s="418" t="str">
        <f t="shared" si="1419"/>
        <v/>
      </c>
      <c r="AL929" s="418" t="str">
        <f t="shared" si="1420"/>
        <v/>
      </c>
      <c r="AM929" s="418" t="str">
        <f t="shared" si="1421"/>
        <v/>
      </c>
      <c r="AN929" s="418" t="str">
        <f t="shared" si="1422"/>
        <v/>
      </c>
      <c r="AO929" s="418" t="str">
        <f t="shared" si="1423"/>
        <v/>
      </c>
      <c r="AP929" s="418" t="str">
        <f t="shared" si="1424"/>
        <v/>
      </c>
      <c r="AQ929" s="418" t="str">
        <f t="shared" si="1425"/>
        <v/>
      </c>
      <c r="AR929" s="418" t="str">
        <f t="shared" si="1426"/>
        <v/>
      </c>
      <c r="AS929" s="418" t="str">
        <f t="shared" si="1427"/>
        <v/>
      </c>
      <c r="AT929" s="418" t="str">
        <f t="shared" si="1428"/>
        <v/>
      </c>
      <c r="AU929" s="418" t="str">
        <f t="shared" si="1429"/>
        <v/>
      </c>
      <c r="AV929" s="418" t="str">
        <f t="shared" si="1430"/>
        <v/>
      </c>
      <c r="AW929" s="418" t="str">
        <f t="shared" si="1431"/>
        <v/>
      </c>
      <c r="AX929" s="418" t="str">
        <f t="shared" si="1432"/>
        <v/>
      </c>
      <c r="AY929" s="418">
        <f t="shared" si="1433"/>
        <v>48</v>
      </c>
      <c r="AZ929" s="418" t="str">
        <f t="shared" si="1434"/>
        <v/>
      </c>
      <c r="BA929" s="418" t="str">
        <f t="shared" si="1435"/>
        <v/>
      </c>
      <c r="BB929" s="418" t="str">
        <f t="shared" si="1436"/>
        <v/>
      </c>
      <c r="BC929" s="418" t="str">
        <f t="shared" si="1437"/>
        <v/>
      </c>
      <c r="BD929" s="418" t="str">
        <f t="shared" si="1438"/>
        <v/>
      </c>
      <c r="BE929" s="418" t="str">
        <f t="shared" si="1439"/>
        <v/>
      </c>
      <c r="BF929" s="418" t="str">
        <f t="shared" si="1440"/>
        <v/>
      </c>
      <c r="BG929" s="418" t="str">
        <f t="shared" si="1441"/>
        <v/>
      </c>
      <c r="BH929" s="418" t="str">
        <f t="shared" si="1442"/>
        <v/>
      </c>
      <c r="BI929" s="418" t="str">
        <f t="shared" si="1443"/>
        <v/>
      </c>
      <c r="BJ929" s="418" t="str">
        <f t="shared" si="1444"/>
        <v/>
      </c>
      <c r="BK929" s="418" t="str">
        <f t="shared" si="1445"/>
        <v/>
      </c>
      <c r="BL929" s="418" t="str">
        <f t="shared" si="1446"/>
        <v/>
      </c>
      <c r="BM929" s="418" t="str">
        <f t="shared" si="1447"/>
        <v/>
      </c>
      <c r="BN929" s="418" t="str">
        <f t="shared" si="1456"/>
        <v/>
      </c>
      <c r="BO929" s="418" t="str">
        <f t="shared" si="1457"/>
        <v/>
      </c>
      <c r="BP929" s="418" t="str">
        <f t="shared" si="1458"/>
        <v/>
      </c>
      <c r="BQ929" s="418" t="str">
        <f t="shared" si="1459"/>
        <v/>
      </c>
      <c r="BR929" s="418" t="str">
        <f t="shared" si="1460"/>
        <v/>
      </c>
      <c r="BS929" s="418" t="str">
        <f t="shared" si="1461"/>
        <v/>
      </c>
      <c r="BT929" s="418" t="str">
        <f t="shared" si="1448"/>
        <v/>
      </c>
      <c r="BU929" s="418" t="str">
        <f t="shared" si="1449"/>
        <v/>
      </c>
      <c r="BV929" s="544"/>
      <c r="BW929" s="723">
        <f t="shared" si="1453"/>
        <v>0</v>
      </c>
      <c r="BX929" s="724">
        <f t="shared" si="1454"/>
        <v>0</v>
      </c>
      <c r="BY929" s="725" t="str">
        <f t="shared" si="1455"/>
        <v>SR</v>
      </c>
    </row>
    <row r="930" s="697" customFormat="1" customHeight="1" spans="1:77">
      <c r="A930" s="116">
        <v>46154</v>
      </c>
      <c r="B930" s="116">
        <v>46162</v>
      </c>
      <c r="C930" s="118" t="s">
        <v>839</v>
      </c>
      <c r="D930" s="118" t="s">
        <v>840</v>
      </c>
      <c r="E930" s="118" t="s">
        <v>95</v>
      </c>
      <c r="F930" s="737">
        <v>3</v>
      </c>
      <c r="G930" s="118" t="s">
        <v>334</v>
      </c>
      <c r="H930" s="118" t="str">
        <f>IFERROR(VLOOKUP(E930,名称!A:E,4,0),"")</f>
        <v>三代</v>
      </c>
      <c r="I930" s="418" t="str">
        <f t="shared" si="1391"/>
        <v/>
      </c>
      <c r="J930" s="418" t="str">
        <f t="shared" si="1392"/>
        <v/>
      </c>
      <c r="K930" s="418" t="str">
        <f t="shared" si="1393"/>
        <v/>
      </c>
      <c r="L930" s="418" t="str">
        <f t="shared" si="1394"/>
        <v/>
      </c>
      <c r="M930" s="418" t="str">
        <f t="shared" si="1395"/>
        <v/>
      </c>
      <c r="N930" s="418" t="str">
        <f t="shared" si="1396"/>
        <v/>
      </c>
      <c r="O930" s="418" t="str">
        <f t="shared" si="1397"/>
        <v/>
      </c>
      <c r="P930" s="418" t="str">
        <f t="shared" si="1398"/>
        <v/>
      </c>
      <c r="Q930" s="418" t="str">
        <f t="shared" si="1399"/>
        <v/>
      </c>
      <c r="R930" s="418" t="str">
        <f t="shared" si="1400"/>
        <v/>
      </c>
      <c r="S930" s="418" t="str">
        <f t="shared" si="1401"/>
        <v/>
      </c>
      <c r="T930" s="418" t="str">
        <f t="shared" si="1402"/>
        <v/>
      </c>
      <c r="U930" s="418" t="str">
        <f t="shared" si="1403"/>
        <v/>
      </c>
      <c r="V930" s="418" t="str">
        <f t="shared" si="1404"/>
        <v/>
      </c>
      <c r="W930" s="418" t="str">
        <f t="shared" si="1405"/>
        <v/>
      </c>
      <c r="X930" s="418" t="str">
        <f t="shared" si="1406"/>
        <v/>
      </c>
      <c r="Y930" s="418" t="str">
        <f t="shared" si="1407"/>
        <v/>
      </c>
      <c r="Z930" s="418" t="str">
        <f t="shared" si="1408"/>
        <v/>
      </c>
      <c r="AA930" s="418" t="str">
        <f t="shared" si="1409"/>
        <v/>
      </c>
      <c r="AB930" s="418" t="str">
        <f t="shared" si="1410"/>
        <v/>
      </c>
      <c r="AC930" s="418" t="str">
        <f t="shared" si="1411"/>
        <v/>
      </c>
      <c r="AD930" s="418" t="str">
        <f t="shared" si="1412"/>
        <v/>
      </c>
      <c r="AE930" s="418" t="str">
        <f t="shared" si="1413"/>
        <v/>
      </c>
      <c r="AF930" s="418" t="str">
        <f t="shared" si="1414"/>
        <v/>
      </c>
      <c r="AG930" s="418" t="str">
        <f t="shared" si="1415"/>
        <v/>
      </c>
      <c r="AH930" s="418" t="str">
        <f t="shared" si="1416"/>
        <v/>
      </c>
      <c r="AI930" s="418" t="str">
        <f t="shared" si="1417"/>
        <v/>
      </c>
      <c r="AJ930" s="418" t="str">
        <f t="shared" si="1418"/>
        <v/>
      </c>
      <c r="AK930" s="418" t="str">
        <f t="shared" si="1419"/>
        <v/>
      </c>
      <c r="AL930" s="418" t="str">
        <f t="shared" si="1420"/>
        <v/>
      </c>
      <c r="AM930" s="418" t="str">
        <f t="shared" si="1421"/>
        <v/>
      </c>
      <c r="AN930" s="418" t="str">
        <f t="shared" si="1422"/>
        <v/>
      </c>
      <c r="AO930" s="418" t="str">
        <f t="shared" si="1423"/>
        <v/>
      </c>
      <c r="AP930" s="418" t="str">
        <f t="shared" si="1424"/>
        <v/>
      </c>
      <c r="AQ930" s="418" t="str">
        <f t="shared" si="1425"/>
        <v/>
      </c>
      <c r="AR930" s="418" t="str">
        <f t="shared" si="1426"/>
        <v/>
      </c>
      <c r="AS930" s="418" t="str">
        <f t="shared" si="1427"/>
        <v/>
      </c>
      <c r="AT930" s="418" t="str">
        <f t="shared" si="1428"/>
        <v/>
      </c>
      <c r="AU930" s="418" t="str">
        <f t="shared" si="1429"/>
        <v/>
      </c>
      <c r="AV930" s="418" t="str">
        <f t="shared" si="1430"/>
        <v/>
      </c>
      <c r="AW930" s="418" t="str">
        <f t="shared" si="1431"/>
        <v/>
      </c>
      <c r="AX930" s="418" t="str">
        <f t="shared" si="1432"/>
        <v/>
      </c>
      <c r="AY930" s="418" t="str">
        <f t="shared" si="1433"/>
        <v/>
      </c>
      <c r="AZ930" s="418">
        <f t="shared" si="1434"/>
        <v>3</v>
      </c>
      <c r="BA930" s="418" t="str">
        <f t="shared" si="1435"/>
        <v/>
      </c>
      <c r="BB930" s="418" t="str">
        <f t="shared" si="1436"/>
        <v/>
      </c>
      <c r="BC930" s="418" t="str">
        <f t="shared" si="1437"/>
        <v/>
      </c>
      <c r="BD930" s="418" t="str">
        <f t="shared" si="1438"/>
        <v/>
      </c>
      <c r="BE930" s="418" t="str">
        <f t="shared" si="1439"/>
        <v/>
      </c>
      <c r="BF930" s="418" t="str">
        <f t="shared" si="1440"/>
        <v/>
      </c>
      <c r="BG930" s="418" t="str">
        <f t="shared" si="1441"/>
        <v/>
      </c>
      <c r="BH930" s="418" t="str">
        <f t="shared" si="1442"/>
        <v/>
      </c>
      <c r="BI930" s="418" t="str">
        <f t="shared" si="1443"/>
        <v/>
      </c>
      <c r="BJ930" s="418" t="str">
        <f t="shared" si="1444"/>
        <v/>
      </c>
      <c r="BK930" s="418" t="str">
        <f t="shared" si="1445"/>
        <v/>
      </c>
      <c r="BL930" s="418" t="str">
        <f t="shared" si="1446"/>
        <v/>
      </c>
      <c r="BM930" s="418" t="str">
        <f t="shared" si="1447"/>
        <v/>
      </c>
      <c r="BN930" s="418" t="str">
        <f t="shared" si="1456"/>
        <v/>
      </c>
      <c r="BO930" s="418" t="str">
        <f t="shared" si="1457"/>
        <v/>
      </c>
      <c r="BP930" s="418" t="str">
        <f t="shared" si="1458"/>
        <v/>
      </c>
      <c r="BQ930" s="418" t="str">
        <f t="shared" si="1459"/>
        <v/>
      </c>
      <c r="BR930" s="418" t="str">
        <f t="shared" si="1460"/>
        <v/>
      </c>
      <c r="BS930" s="418" t="str">
        <f t="shared" si="1461"/>
        <v/>
      </c>
      <c r="BT930" s="418" t="str">
        <f t="shared" si="1448"/>
        <v/>
      </c>
      <c r="BU930" s="418" t="str">
        <f t="shared" si="1449"/>
        <v/>
      </c>
      <c r="BV930" s="544"/>
      <c r="BW930" s="723">
        <f t="shared" si="1453"/>
        <v>0</v>
      </c>
      <c r="BX930" s="724">
        <f t="shared" si="1454"/>
        <v>0</v>
      </c>
      <c r="BY930" s="725" t="str">
        <f t="shared" si="1455"/>
        <v>SR</v>
      </c>
    </row>
    <row r="931" s="697" customFormat="1" customHeight="1" spans="1:77">
      <c r="A931" s="116">
        <v>46154</v>
      </c>
      <c r="B931" s="116">
        <v>46162</v>
      </c>
      <c r="C931" s="118" t="s">
        <v>839</v>
      </c>
      <c r="D931" s="118" t="s">
        <v>840</v>
      </c>
      <c r="E931" s="118" t="s">
        <v>100</v>
      </c>
      <c r="F931" s="737">
        <v>24</v>
      </c>
      <c r="G931" s="118" t="s">
        <v>334</v>
      </c>
      <c r="H931" s="118" t="str">
        <f>IFERROR(VLOOKUP(E931,名称!A:E,4,0),"")</f>
        <v>三代</v>
      </c>
      <c r="I931" s="418" t="str">
        <f t="shared" si="1391"/>
        <v/>
      </c>
      <c r="J931" s="418" t="str">
        <f t="shared" si="1392"/>
        <v/>
      </c>
      <c r="K931" s="418" t="str">
        <f t="shared" si="1393"/>
        <v/>
      </c>
      <c r="L931" s="418" t="str">
        <f t="shared" si="1394"/>
        <v/>
      </c>
      <c r="M931" s="418" t="str">
        <f t="shared" si="1395"/>
        <v/>
      </c>
      <c r="N931" s="418" t="str">
        <f t="shared" si="1396"/>
        <v/>
      </c>
      <c r="O931" s="418" t="str">
        <f t="shared" si="1397"/>
        <v/>
      </c>
      <c r="P931" s="418" t="str">
        <f t="shared" si="1398"/>
        <v/>
      </c>
      <c r="Q931" s="418" t="str">
        <f t="shared" si="1399"/>
        <v/>
      </c>
      <c r="R931" s="418" t="str">
        <f t="shared" si="1400"/>
        <v/>
      </c>
      <c r="S931" s="418" t="str">
        <f t="shared" si="1401"/>
        <v/>
      </c>
      <c r="T931" s="418" t="str">
        <f t="shared" si="1402"/>
        <v/>
      </c>
      <c r="U931" s="418" t="str">
        <f t="shared" si="1403"/>
        <v/>
      </c>
      <c r="V931" s="418" t="str">
        <f t="shared" si="1404"/>
        <v/>
      </c>
      <c r="W931" s="418" t="str">
        <f t="shared" si="1405"/>
        <v/>
      </c>
      <c r="X931" s="418" t="str">
        <f t="shared" si="1406"/>
        <v/>
      </c>
      <c r="Y931" s="418" t="str">
        <f t="shared" si="1407"/>
        <v/>
      </c>
      <c r="Z931" s="418" t="str">
        <f t="shared" si="1408"/>
        <v/>
      </c>
      <c r="AA931" s="418" t="str">
        <f t="shared" si="1409"/>
        <v/>
      </c>
      <c r="AB931" s="418" t="str">
        <f t="shared" si="1410"/>
        <v/>
      </c>
      <c r="AC931" s="418" t="str">
        <f t="shared" si="1411"/>
        <v/>
      </c>
      <c r="AD931" s="418" t="str">
        <f t="shared" si="1412"/>
        <v/>
      </c>
      <c r="AE931" s="418" t="str">
        <f t="shared" si="1413"/>
        <v/>
      </c>
      <c r="AF931" s="418" t="str">
        <f t="shared" si="1414"/>
        <v/>
      </c>
      <c r="AG931" s="418" t="str">
        <f t="shared" si="1415"/>
        <v/>
      </c>
      <c r="AH931" s="418" t="str">
        <f t="shared" si="1416"/>
        <v/>
      </c>
      <c r="AI931" s="418" t="str">
        <f t="shared" si="1417"/>
        <v/>
      </c>
      <c r="AJ931" s="418" t="str">
        <f t="shared" si="1418"/>
        <v/>
      </c>
      <c r="AK931" s="418" t="str">
        <f t="shared" si="1419"/>
        <v/>
      </c>
      <c r="AL931" s="418" t="str">
        <f t="shared" si="1420"/>
        <v/>
      </c>
      <c r="AM931" s="418" t="str">
        <f t="shared" si="1421"/>
        <v/>
      </c>
      <c r="AN931" s="418" t="str">
        <f t="shared" si="1422"/>
        <v/>
      </c>
      <c r="AO931" s="418" t="str">
        <f t="shared" si="1423"/>
        <v/>
      </c>
      <c r="AP931" s="418" t="str">
        <f t="shared" si="1424"/>
        <v/>
      </c>
      <c r="AQ931" s="418" t="str">
        <f t="shared" si="1425"/>
        <v/>
      </c>
      <c r="AR931" s="418" t="str">
        <f t="shared" si="1426"/>
        <v/>
      </c>
      <c r="AS931" s="418" t="str">
        <f t="shared" si="1427"/>
        <v/>
      </c>
      <c r="AT931" s="418" t="str">
        <f t="shared" si="1428"/>
        <v/>
      </c>
      <c r="AU931" s="418" t="str">
        <f t="shared" si="1429"/>
        <v/>
      </c>
      <c r="AV931" s="418" t="str">
        <f t="shared" si="1430"/>
        <v/>
      </c>
      <c r="AW931" s="418" t="str">
        <f t="shared" si="1431"/>
        <v/>
      </c>
      <c r="AX931" s="418" t="str">
        <f t="shared" si="1432"/>
        <v/>
      </c>
      <c r="AY931" s="418" t="str">
        <f t="shared" si="1433"/>
        <v/>
      </c>
      <c r="AZ931" s="418" t="str">
        <f t="shared" si="1434"/>
        <v/>
      </c>
      <c r="BA931" s="418" t="str">
        <f t="shared" si="1435"/>
        <v/>
      </c>
      <c r="BB931" s="418" t="str">
        <f t="shared" si="1436"/>
        <v/>
      </c>
      <c r="BC931" s="418" t="str">
        <f t="shared" si="1437"/>
        <v/>
      </c>
      <c r="BD931" s="418">
        <f t="shared" si="1438"/>
        <v>24</v>
      </c>
      <c r="BE931" s="418" t="str">
        <f t="shared" si="1439"/>
        <v/>
      </c>
      <c r="BF931" s="418" t="str">
        <f t="shared" si="1440"/>
        <v/>
      </c>
      <c r="BG931" s="418" t="str">
        <f t="shared" si="1441"/>
        <v/>
      </c>
      <c r="BH931" s="418" t="str">
        <f t="shared" si="1442"/>
        <v/>
      </c>
      <c r="BI931" s="418" t="str">
        <f t="shared" si="1443"/>
        <v/>
      </c>
      <c r="BJ931" s="418" t="str">
        <f t="shared" si="1444"/>
        <v/>
      </c>
      <c r="BK931" s="418" t="str">
        <f t="shared" si="1445"/>
        <v/>
      </c>
      <c r="BL931" s="418" t="str">
        <f t="shared" si="1446"/>
        <v/>
      </c>
      <c r="BM931" s="418" t="str">
        <f t="shared" si="1447"/>
        <v/>
      </c>
      <c r="BN931" s="418" t="str">
        <f t="shared" si="1456"/>
        <v/>
      </c>
      <c r="BO931" s="418" t="str">
        <f t="shared" si="1457"/>
        <v/>
      </c>
      <c r="BP931" s="418" t="str">
        <f t="shared" si="1458"/>
        <v/>
      </c>
      <c r="BQ931" s="418" t="str">
        <f t="shared" si="1459"/>
        <v/>
      </c>
      <c r="BR931" s="418" t="str">
        <f t="shared" si="1460"/>
        <v/>
      </c>
      <c r="BS931" s="418" t="str">
        <f t="shared" si="1461"/>
        <v/>
      </c>
      <c r="BT931" s="418" t="str">
        <f t="shared" si="1448"/>
        <v/>
      </c>
      <c r="BU931" s="418" t="str">
        <f t="shared" si="1449"/>
        <v/>
      </c>
      <c r="BV931" s="544"/>
      <c r="BW931" s="723">
        <f t="shared" si="1453"/>
        <v>0</v>
      </c>
      <c r="BX931" s="724">
        <f t="shared" si="1454"/>
        <v>0</v>
      </c>
      <c r="BY931" s="725" t="str">
        <f t="shared" si="1455"/>
        <v>JS</v>
      </c>
    </row>
    <row r="932" s="697" customFormat="1" customHeight="1" spans="1:77">
      <c r="A932" s="116">
        <v>46154</v>
      </c>
      <c r="B932" s="116">
        <v>46162</v>
      </c>
      <c r="C932" s="118" t="s">
        <v>839</v>
      </c>
      <c r="D932" s="118" t="s">
        <v>840</v>
      </c>
      <c r="E932" s="118" t="s">
        <v>114</v>
      </c>
      <c r="F932" s="737">
        <v>18</v>
      </c>
      <c r="G932" s="118" t="s">
        <v>334</v>
      </c>
      <c r="H932" s="118" t="str">
        <f>IFERROR(VLOOKUP(E932,名称!A:E,4,0),"")</f>
        <v>三代</v>
      </c>
      <c r="I932" s="418" t="str">
        <f t="shared" si="1391"/>
        <v/>
      </c>
      <c r="J932" s="418" t="str">
        <f t="shared" si="1392"/>
        <v/>
      </c>
      <c r="K932" s="418" t="str">
        <f t="shared" si="1393"/>
        <v/>
      </c>
      <c r="L932" s="418" t="str">
        <f t="shared" si="1394"/>
        <v/>
      </c>
      <c r="M932" s="418" t="str">
        <f t="shared" si="1395"/>
        <v/>
      </c>
      <c r="N932" s="418" t="str">
        <f t="shared" si="1396"/>
        <v/>
      </c>
      <c r="O932" s="418" t="str">
        <f t="shared" si="1397"/>
        <v/>
      </c>
      <c r="P932" s="418" t="str">
        <f t="shared" si="1398"/>
        <v/>
      </c>
      <c r="Q932" s="418" t="str">
        <f t="shared" si="1399"/>
        <v/>
      </c>
      <c r="R932" s="418" t="str">
        <f t="shared" si="1400"/>
        <v/>
      </c>
      <c r="S932" s="418" t="str">
        <f t="shared" si="1401"/>
        <v/>
      </c>
      <c r="T932" s="418" t="str">
        <f t="shared" si="1402"/>
        <v/>
      </c>
      <c r="U932" s="418" t="str">
        <f t="shared" si="1403"/>
        <v/>
      </c>
      <c r="V932" s="418" t="str">
        <f t="shared" si="1404"/>
        <v/>
      </c>
      <c r="W932" s="418" t="str">
        <f t="shared" si="1405"/>
        <v/>
      </c>
      <c r="X932" s="418" t="str">
        <f t="shared" si="1406"/>
        <v/>
      </c>
      <c r="Y932" s="418" t="str">
        <f t="shared" si="1407"/>
        <v/>
      </c>
      <c r="Z932" s="418" t="str">
        <f t="shared" si="1408"/>
        <v/>
      </c>
      <c r="AA932" s="418" t="str">
        <f t="shared" si="1409"/>
        <v/>
      </c>
      <c r="AB932" s="418" t="str">
        <f t="shared" si="1410"/>
        <v/>
      </c>
      <c r="AC932" s="418" t="str">
        <f t="shared" si="1411"/>
        <v/>
      </c>
      <c r="AD932" s="418" t="str">
        <f t="shared" si="1412"/>
        <v/>
      </c>
      <c r="AE932" s="418" t="str">
        <f t="shared" si="1413"/>
        <v/>
      </c>
      <c r="AF932" s="418" t="str">
        <f t="shared" si="1414"/>
        <v/>
      </c>
      <c r="AG932" s="418" t="str">
        <f t="shared" si="1415"/>
        <v/>
      </c>
      <c r="AH932" s="418" t="str">
        <f t="shared" si="1416"/>
        <v/>
      </c>
      <c r="AI932" s="418" t="str">
        <f t="shared" si="1417"/>
        <v/>
      </c>
      <c r="AJ932" s="418" t="str">
        <f t="shared" si="1418"/>
        <v/>
      </c>
      <c r="AK932" s="418" t="str">
        <f t="shared" si="1419"/>
        <v/>
      </c>
      <c r="AL932" s="418" t="str">
        <f t="shared" si="1420"/>
        <v/>
      </c>
      <c r="AM932" s="418" t="str">
        <f t="shared" si="1421"/>
        <v/>
      </c>
      <c r="AN932" s="418" t="str">
        <f t="shared" si="1422"/>
        <v/>
      </c>
      <c r="AO932" s="418" t="str">
        <f t="shared" si="1423"/>
        <v/>
      </c>
      <c r="AP932" s="418" t="str">
        <f t="shared" si="1424"/>
        <v/>
      </c>
      <c r="AQ932" s="418" t="str">
        <f t="shared" si="1425"/>
        <v/>
      </c>
      <c r="AR932" s="418" t="str">
        <f t="shared" si="1426"/>
        <v/>
      </c>
      <c r="AS932" s="418" t="str">
        <f t="shared" si="1427"/>
        <v/>
      </c>
      <c r="AT932" s="418" t="str">
        <f t="shared" si="1428"/>
        <v/>
      </c>
      <c r="AU932" s="418" t="str">
        <f t="shared" si="1429"/>
        <v/>
      </c>
      <c r="AV932" s="418" t="str">
        <f t="shared" si="1430"/>
        <v/>
      </c>
      <c r="AW932" s="418" t="str">
        <f t="shared" si="1431"/>
        <v/>
      </c>
      <c r="AX932" s="418" t="str">
        <f t="shared" si="1432"/>
        <v/>
      </c>
      <c r="AY932" s="418" t="str">
        <f t="shared" si="1433"/>
        <v/>
      </c>
      <c r="AZ932" s="418" t="str">
        <f t="shared" si="1434"/>
        <v/>
      </c>
      <c r="BA932" s="418" t="str">
        <f t="shared" si="1435"/>
        <v/>
      </c>
      <c r="BB932" s="418" t="str">
        <f t="shared" si="1436"/>
        <v/>
      </c>
      <c r="BC932" s="418">
        <f t="shared" si="1437"/>
        <v>18</v>
      </c>
      <c r="BD932" s="418" t="str">
        <f t="shared" si="1438"/>
        <v/>
      </c>
      <c r="BE932" s="418" t="str">
        <f t="shared" si="1439"/>
        <v/>
      </c>
      <c r="BF932" s="418" t="str">
        <f t="shared" si="1440"/>
        <v/>
      </c>
      <c r="BG932" s="418" t="str">
        <f t="shared" si="1441"/>
        <v/>
      </c>
      <c r="BH932" s="418" t="str">
        <f t="shared" si="1442"/>
        <v/>
      </c>
      <c r="BI932" s="418" t="str">
        <f t="shared" si="1443"/>
        <v/>
      </c>
      <c r="BJ932" s="418" t="str">
        <f t="shared" si="1444"/>
        <v/>
      </c>
      <c r="BK932" s="418" t="str">
        <f t="shared" si="1445"/>
        <v/>
      </c>
      <c r="BL932" s="418" t="str">
        <f t="shared" si="1446"/>
        <v/>
      </c>
      <c r="BM932" s="418" t="str">
        <f t="shared" si="1447"/>
        <v/>
      </c>
      <c r="BN932" s="418" t="str">
        <f t="shared" si="1456"/>
        <v/>
      </c>
      <c r="BO932" s="418" t="str">
        <f t="shared" si="1457"/>
        <v/>
      </c>
      <c r="BP932" s="418" t="str">
        <f t="shared" si="1458"/>
        <v/>
      </c>
      <c r="BQ932" s="418" t="str">
        <f t="shared" si="1459"/>
        <v/>
      </c>
      <c r="BR932" s="418" t="str">
        <f t="shared" si="1460"/>
        <v/>
      </c>
      <c r="BS932" s="418" t="str">
        <f t="shared" si="1461"/>
        <v/>
      </c>
      <c r="BT932" s="418" t="str">
        <f t="shared" si="1448"/>
        <v/>
      </c>
      <c r="BU932" s="418" t="str">
        <f t="shared" si="1449"/>
        <v/>
      </c>
      <c r="BV932" s="544"/>
      <c r="BW932" s="723">
        <f t="shared" si="1453"/>
        <v>0</v>
      </c>
      <c r="BX932" s="724">
        <f t="shared" si="1454"/>
        <v>0</v>
      </c>
      <c r="BY932" s="725" t="str">
        <f t="shared" si="1455"/>
        <v>JS</v>
      </c>
    </row>
    <row r="933" s="698" customFormat="1" customHeight="1" spans="1:77">
      <c r="A933" s="227">
        <v>46155</v>
      </c>
      <c r="B933" s="248">
        <v>46206</v>
      </c>
      <c r="C933" s="242">
        <v>101004038</v>
      </c>
      <c r="D933" s="242" t="s">
        <v>841</v>
      </c>
      <c r="E933" s="242" t="s">
        <v>38</v>
      </c>
      <c r="F933" s="231">
        <v>3160</v>
      </c>
      <c r="G933" s="211" t="s">
        <v>842</v>
      </c>
      <c r="H933" s="211" t="str">
        <f>IFERROR(VLOOKUP(E933,名称!A:E,4,0),"")</f>
        <v>二代</v>
      </c>
      <c r="I933" s="268" t="str">
        <f t="shared" si="1391"/>
        <v/>
      </c>
      <c r="J933" s="268" t="str">
        <f t="shared" si="1392"/>
        <v/>
      </c>
      <c r="K933" s="268" t="str">
        <f t="shared" si="1393"/>
        <v/>
      </c>
      <c r="L933" s="268" t="str">
        <f t="shared" si="1394"/>
        <v/>
      </c>
      <c r="M933" s="268" t="str">
        <f t="shared" si="1395"/>
        <v/>
      </c>
      <c r="N933" s="268" t="str">
        <f t="shared" si="1396"/>
        <v/>
      </c>
      <c r="O933" s="268" t="str">
        <f t="shared" si="1397"/>
        <v/>
      </c>
      <c r="P933" s="268" t="str">
        <f t="shared" si="1398"/>
        <v/>
      </c>
      <c r="Q933" s="268" t="str">
        <f t="shared" si="1399"/>
        <v/>
      </c>
      <c r="R933" s="268" t="str">
        <f t="shared" si="1400"/>
        <v/>
      </c>
      <c r="S933" s="268" t="str">
        <f t="shared" si="1401"/>
        <v/>
      </c>
      <c r="T933" s="268">
        <f t="shared" si="1402"/>
        <v>3160</v>
      </c>
      <c r="U933" s="268" t="str">
        <f t="shared" si="1403"/>
        <v/>
      </c>
      <c r="V933" s="268" t="str">
        <f t="shared" si="1404"/>
        <v/>
      </c>
      <c r="W933" s="268" t="str">
        <f t="shared" si="1405"/>
        <v/>
      </c>
      <c r="X933" s="268" t="str">
        <f t="shared" si="1406"/>
        <v/>
      </c>
      <c r="Y933" s="268" t="str">
        <f t="shared" si="1407"/>
        <v/>
      </c>
      <c r="Z933" s="268" t="str">
        <f t="shared" si="1408"/>
        <v/>
      </c>
      <c r="AA933" s="268" t="str">
        <f t="shared" si="1409"/>
        <v/>
      </c>
      <c r="AB933" s="268" t="str">
        <f t="shared" si="1410"/>
        <v/>
      </c>
      <c r="AC933" s="268" t="str">
        <f t="shared" si="1411"/>
        <v/>
      </c>
      <c r="AD933" s="268" t="str">
        <f t="shared" si="1412"/>
        <v/>
      </c>
      <c r="AE933" s="268" t="str">
        <f t="shared" si="1413"/>
        <v/>
      </c>
      <c r="AF933" s="268" t="str">
        <f t="shared" si="1414"/>
        <v/>
      </c>
      <c r="AG933" s="268" t="str">
        <f t="shared" si="1415"/>
        <v/>
      </c>
      <c r="AH933" s="268" t="str">
        <f t="shared" si="1416"/>
        <v/>
      </c>
      <c r="AI933" s="268" t="str">
        <f t="shared" si="1417"/>
        <v/>
      </c>
      <c r="AJ933" s="268" t="str">
        <f t="shared" si="1418"/>
        <v/>
      </c>
      <c r="AK933" s="268" t="str">
        <f t="shared" si="1419"/>
        <v/>
      </c>
      <c r="AL933" s="268" t="str">
        <f t="shared" si="1420"/>
        <v/>
      </c>
      <c r="AM933" s="268" t="str">
        <f t="shared" si="1421"/>
        <v/>
      </c>
      <c r="AN933" s="268" t="str">
        <f t="shared" si="1422"/>
        <v/>
      </c>
      <c r="AO933" s="268" t="str">
        <f t="shared" si="1423"/>
        <v/>
      </c>
      <c r="AP933" s="268" t="str">
        <f t="shared" si="1424"/>
        <v/>
      </c>
      <c r="AQ933" s="268" t="str">
        <f t="shared" si="1425"/>
        <v/>
      </c>
      <c r="AR933" s="268" t="str">
        <f t="shared" si="1426"/>
        <v/>
      </c>
      <c r="AS933" s="268" t="str">
        <f t="shared" si="1427"/>
        <v/>
      </c>
      <c r="AT933" s="268" t="str">
        <f t="shared" si="1428"/>
        <v/>
      </c>
      <c r="AU933" s="268" t="str">
        <f t="shared" si="1429"/>
        <v/>
      </c>
      <c r="AV933" s="268" t="str">
        <f t="shared" si="1430"/>
        <v/>
      </c>
      <c r="AW933" s="268" t="str">
        <f t="shared" si="1431"/>
        <v/>
      </c>
      <c r="AX933" s="268" t="str">
        <f t="shared" si="1432"/>
        <v/>
      </c>
      <c r="AY933" s="268" t="str">
        <f t="shared" si="1433"/>
        <v/>
      </c>
      <c r="AZ933" s="268" t="str">
        <f t="shared" si="1434"/>
        <v/>
      </c>
      <c r="BA933" s="268" t="str">
        <f t="shared" si="1435"/>
        <v/>
      </c>
      <c r="BB933" s="268" t="str">
        <f t="shared" si="1436"/>
        <v/>
      </c>
      <c r="BC933" s="268" t="str">
        <f t="shared" si="1437"/>
        <v/>
      </c>
      <c r="BD933" s="268" t="str">
        <f t="shared" si="1438"/>
        <v/>
      </c>
      <c r="BE933" s="268" t="str">
        <f t="shared" si="1439"/>
        <v/>
      </c>
      <c r="BF933" s="268" t="str">
        <f t="shared" si="1440"/>
        <v/>
      </c>
      <c r="BG933" s="268" t="str">
        <f t="shared" si="1441"/>
        <v/>
      </c>
      <c r="BH933" s="268" t="str">
        <f t="shared" si="1442"/>
        <v/>
      </c>
      <c r="BI933" s="268" t="str">
        <f t="shared" si="1443"/>
        <v/>
      </c>
      <c r="BJ933" s="268" t="str">
        <f t="shared" si="1444"/>
        <v/>
      </c>
      <c r="BK933" s="268" t="str">
        <f t="shared" si="1445"/>
        <v/>
      </c>
      <c r="BL933" s="268" t="str">
        <f t="shared" si="1446"/>
        <v/>
      </c>
      <c r="BM933" s="268" t="str">
        <f t="shared" si="1447"/>
        <v/>
      </c>
      <c r="BN933" s="268" t="str">
        <f t="shared" si="1456"/>
        <v/>
      </c>
      <c r="BO933" s="268" t="str">
        <f t="shared" si="1457"/>
        <v/>
      </c>
      <c r="BP933" s="268" t="str">
        <f t="shared" si="1458"/>
        <v/>
      </c>
      <c r="BQ933" s="268" t="str">
        <f t="shared" si="1459"/>
        <v/>
      </c>
      <c r="BR933" s="268" t="str">
        <f t="shared" si="1460"/>
        <v/>
      </c>
      <c r="BS933" s="268" t="str">
        <f t="shared" si="1461"/>
        <v/>
      </c>
      <c r="BT933" s="268" t="str">
        <f t="shared" si="1448"/>
        <v/>
      </c>
      <c r="BU933" s="268" t="str">
        <f t="shared" si="1449"/>
        <v/>
      </c>
      <c r="BV933" s="353">
        <v>3.09</v>
      </c>
      <c r="BW933" s="729">
        <f t="shared" si="1453"/>
        <v>9764.4</v>
      </c>
      <c r="BX933" s="730">
        <f t="shared" si="1454"/>
        <v>75674.1</v>
      </c>
      <c r="BY933" s="731" t="str">
        <f t="shared" si="1455"/>
        <v>SR</v>
      </c>
    </row>
    <row r="934" s="698" customFormat="1" customHeight="1" spans="1:77">
      <c r="A934" s="227">
        <v>46155</v>
      </c>
      <c r="B934" s="248">
        <v>46206</v>
      </c>
      <c r="C934" s="242">
        <v>101004038</v>
      </c>
      <c r="D934" s="242" t="s">
        <v>841</v>
      </c>
      <c r="E934" s="242" t="s">
        <v>69</v>
      </c>
      <c r="F934" s="231">
        <v>6652</v>
      </c>
      <c r="G934" s="211" t="s">
        <v>842</v>
      </c>
      <c r="H934" s="211" t="str">
        <f>IFERROR(VLOOKUP(E934,名称!A:E,4,0),"")</f>
        <v>二代</v>
      </c>
      <c r="I934" s="268" t="str">
        <f t="shared" si="1391"/>
        <v/>
      </c>
      <c r="J934" s="268" t="str">
        <f t="shared" si="1392"/>
        <v/>
      </c>
      <c r="K934" s="268" t="str">
        <f t="shared" si="1393"/>
        <v/>
      </c>
      <c r="L934" s="268" t="str">
        <f t="shared" si="1394"/>
        <v/>
      </c>
      <c r="M934" s="268" t="str">
        <f t="shared" si="1395"/>
        <v/>
      </c>
      <c r="N934" s="268" t="str">
        <f t="shared" si="1396"/>
        <v/>
      </c>
      <c r="O934" s="268" t="str">
        <f t="shared" si="1397"/>
        <v/>
      </c>
      <c r="P934" s="268" t="str">
        <f t="shared" si="1398"/>
        <v/>
      </c>
      <c r="Q934" s="268" t="str">
        <f t="shared" si="1399"/>
        <v/>
      </c>
      <c r="R934" s="268" t="str">
        <f t="shared" si="1400"/>
        <v/>
      </c>
      <c r="S934" s="268" t="str">
        <f t="shared" si="1401"/>
        <v/>
      </c>
      <c r="T934" s="268" t="str">
        <f t="shared" si="1402"/>
        <v/>
      </c>
      <c r="U934" s="268">
        <f t="shared" si="1403"/>
        <v>6652</v>
      </c>
      <c r="V934" s="268" t="str">
        <f t="shared" si="1404"/>
        <v/>
      </c>
      <c r="W934" s="268" t="str">
        <f t="shared" si="1405"/>
        <v/>
      </c>
      <c r="X934" s="268" t="str">
        <f t="shared" si="1406"/>
        <v/>
      </c>
      <c r="Y934" s="268" t="str">
        <f t="shared" si="1407"/>
        <v/>
      </c>
      <c r="Z934" s="268" t="str">
        <f t="shared" si="1408"/>
        <v/>
      </c>
      <c r="AA934" s="268" t="str">
        <f t="shared" si="1409"/>
        <v/>
      </c>
      <c r="AB934" s="268" t="str">
        <f t="shared" si="1410"/>
        <v/>
      </c>
      <c r="AC934" s="268" t="str">
        <f t="shared" si="1411"/>
        <v/>
      </c>
      <c r="AD934" s="268" t="str">
        <f t="shared" si="1412"/>
        <v/>
      </c>
      <c r="AE934" s="268" t="str">
        <f t="shared" si="1413"/>
        <v/>
      </c>
      <c r="AF934" s="268" t="str">
        <f t="shared" si="1414"/>
        <v/>
      </c>
      <c r="AG934" s="268" t="str">
        <f t="shared" si="1415"/>
        <v/>
      </c>
      <c r="AH934" s="268" t="str">
        <f t="shared" si="1416"/>
        <v/>
      </c>
      <c r="AI934" s="268" t="str">
        <f t="shared" si="1417"/>
        <v/>
      </c>
      <c r="AJ934" s="268" t="str">
        <f t="shared" si="1418"/>
        <v/>
      </c>
      <c r="AK934" s="268" t="str">
        <f t="shared" si="1419"/>
        <v/>
      </c>
      <c r="AL934" s="268" t="str">
        <f t="shared" si="1420"/>
        <v/>
      </c>
      <c r="AM934" s="268" t="str">
        <f t="shared" si="1421"/>
        <v/>
      </c>
      <c r="AN934" s="268" t="str">
        <f t="shared" si="1422"/>
        <v/>
      </c>
      <c r="AO934" s="268" t="str">
        <f t="shared" si="1423"/>
        <v/>
      </c>
      <c r="AP934" s="268" t="str">
        <f t="shared" si="1424"/>
        <v/>
      </c>
      <c r="AQ934" s="268" t="str">
        <f t="shared" si="1425"/>
        <v/>
      </c>
      <c r="AR934" s="268" t="str">
        <f t="shared" si="1426"/>
        <v/>
      </c>
      <c r="AS934" s="268" t="str">
        <f t="shared" si="1427"/>
        <v/>
      </c>
      <c r="AT934" s="268" t="str">
        <f t="shared" si="1428"/>
        <v/>
      </c>
      <c r="AU934" s="268" t="str">
        <f t="shared" si="1429"/>
        <v/>
      </c>
      <c r="AV934" s="268" t="str">
        <f t="shared" si="1430"/>
        <v/>
      </c>
      <c r="AW934" s="268" t="str">
        <f t="shared" si="1431"/>
        <v/>
      </c>
      <c r="AX934" s="268" t="str">
        <f t="shared" si="1432"/>
        <v/>
      </c>
      <c r="AY934" s="268" t="str">
        <f t="shared" si="1433"/>
        <v/>
      </c>
      <c r="AZ934" s="268" t="str">
        <f t="shared" si="1434"/>
        <v/>
      </c>
      <c r="BA934" s="268" t="str">
        <f t="shared" si="1435"/>
        <v/>
      </c>
      <c r="BB934" s="268" t="str">
        <f t="shared" si="1436"/>
        <v/>
      </c>
      <c r="BC934" s="268" t="str">
        <f t="shared" si="1437"/>
        <v/>
      </c>
      <c r="BD934" s="268" t="str">
        <f t="shared" si="1438"/>
        <v/>
      </c>
      <c r="BE934" s="268" t="str">
        <f t="shared" si="1439"/>
        <v/>
      </c>
      <c r="BF934" s="268" t="str">
        <f t="shared" si="1440"/>
        <v/>
      </c>
      <c r="BG934" s="268" t="str">
        <f t="shared" si="1441"/>
        <v/>
      </c>
      <c r="BH934" s="268" t="str">
        <f t="shared" si="1442"/>
        <v/>
      </c>
      <c r="BI934" s="268" t="str">
        <f t="shared" si="1443"/>
        <v/>
      </c>
      <c r="BJ934" s="268" t="str">
        <f t="shared" si="1444"/>
        <v/>
      </c>
      <c r="BK934" s="268" t="str">
        <f t="shared" si="1445"/>
        <v/>
      </c>
      <c r="BL934" s="268" t="str">
        <f t="shared" si="1446"/>
        <v/>
      </c>
      <c r="BM934" s="268" t="str">
        <f t="shared" si="1447"/>
        <v/>
      </c>
      <c r="BN934" s="268" t="str">
        <f t="shared" si="1456"/>
        <v/>
      </c>
      <c r="BO934" s="268" t="str">
        <f t="shared" si="1457"/>
        <v/>
      </c>
      <c r="BP934" s="268" t="str">
        <f t="shared" si="1458"/>
        <v/>
      </c>
      <c r="BQ934" s="268" t="str">
        <f t="shared" si="1459"/>
        <v/>
      </c>
      <c r="BR934" s="268" t="str">
        <f t="shared" si="1460"/>
        <v/>
      </c>
      <c r="BS934" s="268" t="str">
        <f t="shared" si="1461"/>
        <v/>
      </c>
      <c r="BT934" s="268" t="str">
        <f t="shared" si="1448"/>
        <v/>
      </c>
      <c r="BU934" s="268" t="str">
        <f t="shared" si="1449"/>
        <v/>
      </c>
      <c r="BV934" s="353">
        <v>9.15</v>
      </c>
      <c r="BW934" s="729">
        <f t="shared" si="1453"/>
        <v>60865.8</v>
      </c>
      <c r="BX934" s="730">
        <f t="shared" si="1454"/>
        <v>471709.95</v>
      </c>
      <c r="BY934" s="731" t="str">
        <f t="shared" si="1455"/>
        <v>SR</v>
      </c>
    </row>
    <row r="935" s="698" customFormat="1" customHeight="1" spans="1:77">
      <c r="A935" s="227">
        <v>46155</v>
      </c>
      <c r="B935" s="248">
        <v>46213</v>
      </c>
      <c r="C935" s="242"/>
      <c r="D935" s="242" t="s">
        <v>843</v>
      </c>
      <c r="E935" s="242" t="s">
        <v>71</v>
      </c>
      <c r="F935" s="231">
        <f>1500-300</f>
        <v>1200</v>
      </c>
      <c r="G935" s="211" t="s">
        <v>510</v>
      </c>
      <c r="H935" s="211" t="str">
        <f>IFERROR(VLOOKUP(E935,名称!A:E,4,0),"")</f>
        <v>三代</v>
      </c>
      <c r="I935" s="268" t="str">
        <f t="shared" si="1391"/>
        <v/>
      </c>
      <c r="J935" s="268" t="str">
        <f t="shared" si="1392"/>
        <v/>
      </c>
      <c r="K935" s="268" t="str">
        <f t="shared" si="1393"/>
        <v/>
      </c>
      <c r="L935" s="268" t="str">
        <f t="shared" si="1394"/>
        <v/>
      </c>
      <c r="M935" s="268" t="str">
        <f t="shared" si="1395"/>
        <v/>
      </c>
      <c r="N935" s="268" t="str">
        <f t="shared" si="1396"/>
        <v/>
      </c>
      <c r="O935" s="268" t="str">
        <f t="shared" si="1397"/>
        <v/>
      </c>
      <c r="P935" s="268" t="str">
        <f t="shared" si="1398"/>
        <v/>
      </c>
      <c r="Q935" s="268" t="str">
        <f t="shared" si="1399"/>
        <v/>
      </c>
      <c r="R935" s="268" t="str">
        <f t="shared" si="1400"/>
        <v/>
      </c>
      <c r="S935" s="268" t="str">
        <f t="shared" si="1401"/>
        <v/>
      </c>
      <c r="T935" s="268" t="str">
        <f t="shared" si="1402"/>
        <v/>
      </c>
      <c r="U935" s="268" t="str">
        <f t="shared" si="1403"/>
        <v/>
      </c>
      <c r="V935" s="268" t="str">
        <f t="shared" si="1404"/>
        <v/>
      </c>
      <c r="W935" s="268" t="str">
        <f t="shared" si="1405"/>
        <v/>
      </c>
      <c r="X935" s="268" t="str">
        <f t="shared" si="1406"/>
        <v/>
      </c>
      <c r="Y935" s="268" t="str">
        <f t="shared" si="1407"/>
        <v/>
      </c>
      <c r="Z935" s="268" t="str">
        <f t="shared" si="1408"/>
        <v/>
      </c>
      <c r="AA935" s="268" t="str">
        <f t="shared" si="1409"/>
        <v/>
      </c>
      <c r="AB935" s="268" t="str">
        <f t="shared" si="1410"/>
        <v/>
      </c>
      <c r="AC935" s="268" t="str">
        <f t="shared" si="1411"/>
        <v/>
      </c>
      <c r="AD935" s="268" t="str">
        <f t="shared" si="1412"/>
        <v/>
      </c>
      <c r="AE935" s="268" t="str">
        <f t="shared" si="1413"/>
        <v/>
      </c>
      <c r="AF935" s="268" t="str">
        <f t="shared" si="1414"/>
        <v/>
      </c>
      <c r="AG935" s="268" t="str">
        <f t="shared" si="1415"/>
        <v/>
      </c>
      <c r="AH935" s="268" t="str">
        <f t="shared" si="1416"/>
        <v/>
      </c>
      <c r="AI935" s="268" t="str">
        <f t="shared" si="1417"/>
        <v/>
      </c>
      <c r="AJ935" s="268">
        <f t="shared" si="1418"/>
        <v>1200</v>
      </c>
      <c r="AK935" s="268" t="str">
        <f t="shared" si="1419"/>
        <v/>
      </c>
      <c r="AL935" s="268" t="str">
        <f t="shared" si="1420"/>
        <v/>
      </c>
      <c r="AM935" s="268" t="str">
        <f t="shared" si="1421"/>
        <v/>
      </c>
      <c r="AN935" s="268" t="str">
        <f t="shared" si="1422"/>
        <v/>
      </c>
      <c r="AO935" s="268" t="str">
        <f t="shared" si="1423"/>
        <v/>
      </c>
      <c r="AP935" s="268" t="str">
        <f t="shared" si="1424"/>
        <v/>
      </c>
      <c r="AQ935" s="268" t="str">
        <f t="shared" si="1425"/>
        <v/>
      </c>
      <c r="AR935" s="268" t="str">
        <f t="shared" si="1426"/>
        <v/>
      </c>
      <c r="AS935" s="268" t="str">
        <f t="shared" si="1427"/>
        <v/>
      </c>
      <c r="AT935" s="268" t="str">
        <f t="shared" si="1428"/>
        <v/>
      </c>
      <c r="AU935" s="268" t="str">
        <f t="shared" si="1429"/>
        <v/>
      </c>
      <c r="AV935" s="268" t="str">
        <f t="shared" si="1430"/>
        <v/>
      </c>
      <c r="AW935" s="268" t="str">
        <f t="shared" si="1431"/>
        <v/>
      </c>
      <c r="AX935" s="268" t="str">
        <f t="shared" si="1432"/>
        <v/>
      </c>
      <c r="AY935" s="268" t="str">
        <f t="shared" si="1433"/>
        <v/>
      </c>
      <c r="AZ935" s="268" t="str">
        <f t="shared" si="1434"/>
        <v/>
      </c>
      <c r="BA935" s="268" t="str">
        <f t="shared" si="1435"/>
        <v/>
      </c>
      <c r="BB935" s="268" t="str">
        <f t="shared" si="1436"/>
        <v/>
      </c>
      <c r="BC935" s="268" t="str">
        <f t="shared" si="1437"/>
        <v/>
      </c>
      <c r="BD935" s="268" t="str">
        <f t="shared" si="1438"/>
        <v/>
      </c>
      <c r="BE935" s="268" t="str">
        <f t="shared" si="1439"/>
        <v/>
      </c>
      <c r="BF935" s="268" t="str">
        <f t="shared" si="1440"/>
        <v/>
      </c>
      <c r="BG935" s="268" t="str">
        <f t="shared" si="1441"/>
        <v/>
      </c>
      <c r="BH935" s="268" t="str">
        <f t="shared" si="1442"/>
        <v/>
      </c>
      <c r="BI935" s="268" t="str">
        <f t="shared" si="1443"/>
        <v/>
      </c>
      <c r="BJ935" s="268" t="str">
        <f t="shared" si="1444"/>
        <v/>
      </c>
      <c r="BK935" s="268" t="str">
        <f t="shared" si="1445"/>
        <v/>
      </c>
      <c r="BL935" s="268" t="str">
        <f t="shared" si="1446"/>
        <v/>
      </c>
      <c r="BM935" s="268" t="str">
        <f t="shared" si="1447"/>
        <v/>
      </c>
      <c r="BN935" s="268" t="str">
        <f t="shared" si="1456"/>
        <v/>
      </c>
      <c r="BO935" s="268" t="str">
        <f t="shared" si="1457"/>
        <v/>
      </c>
      <c r="BP935" s="268" t="str">
        <f t="shared" si="1458"/>
        <v/>
      </c>
      <c r="BQ935" s="268" t="str">
        <f t="shared" si="1459"/>
        <v/>
      </c>
      <c r="BR935" s="268" t="str">
        <f t="shared" si="1460"/>
        <v/>
      </c>
      <c r="BS935" s="268" t="str">
        <f t="shared" si="1461"/>
        <v/>
      </c>
      <c r="BT935" s="268" t="str">
        <f t="shared" si="1448"/>
        <v/>
      </c>
      <c r="BU935" s="268" t="str">
        <f t="shared" si="1449"/>
        <v/>
      </c>
      <c r="BV935" s="247">
        <v>6.87</v>
      </c>
      <c r="BW935" s="729">
        <f t="shared" si="1453"/>
        <v>8244</v>
      </c>
      <c r="BX935" s="730">
        <f t="shared" si="1454"/>
        <v>63891</v>
      </c>
      <c r="BY935" s="731" t="str">
        <f t="shared" si="1455"/>
        <v>SR</v>
      </c>
    </row>
    <row r="936" s="698" customFormat="1" customHeight="1" spans="1:77">
      <c r="A936" s="227">
        <v>46155</v>
      </c>
      <c r="B936" s="248">
        <v>46213</v>
      </c>
      <c r="C936" s="242"/>
      <c r="D936" s="242" t="s">
        <v>843</v>
      </c>
      <c r="E936" s="242" t="s">
        <v>108</v>
      </c>
      <c r="F936" s="231">
        <f>1500-300</f>
        <v>1200</v>
      </c>
      <c r="G936" s="211" t="s">
        <v>510</v>
      </c>
      <c r="H936" s="211" t="str">
        <f>IFERROR(VLOOKUP(E936,名称!A:E,4,0),"")</f>
        <v>三代</v>
      </c>
      <c r="I936" s="268" t="str">
        <f t="shared" si="1391"/>
        <v/>
      </c>
      <c r="J936" s="268" t="str">
        <f t="shared" si="1392"/>
        <v/>
      </c>
      <c r="K936" s="268" t="str">
        <f t="shared" si="1393"/>
        <v/>
      </c>
      <c r="L936" s="268" t="str">
        <f t="shared" si="1394"/>
        <v/>
      </c>
      <c r="M936" s="268" t="str">
        <f t="shared" si="1395"/>
        <v/>
      </c>
      <c r="N936" s="268" t="str">
        <f t="shared" si="1396"/>
        <v/>
      </c>
      <c r="O936" s="268" t="str">
        <f t="shared" si="1397"/>
        <v/>
      </c>
      <c r="P936" s="268" t="str">
        <f t="shared" si="1398"/>
        <v/>
      </c>
      <c r="Q936" s="268" t="str">
        <f t="shared" si="1399"/>
        <v/>
      </c>
      <c r="R936" s="268" t="str">
        <f t="shared" si="1400"/>
        <v/>
      </c>
      <c r="S936" s="268" t="str">
        <f t="shared" si="1401"/>
        <v/>
      </c>
      <c r="T936" s="268" t="str">
        <f t="shared" si="1402"/>
        <v/>
      </c>
      <c r="U936" s="268" t="str">
        <f t="shared" si="1403"/>
        <v/>
      </c>
      <c r="V936" s="268" t="str">
        <f t="shared" si="1404"/>
        <v/>
      </c>
      <c r="W936" s="268" t="str">
        <f t="shared" si="1405"/>
        <v/>
      </c>
      <c r="X936" s="268" t="str">
        <f t="shared" si="1406"/>
        <v/>
      </c>
      <c r="Y936" s="268" t="str">
        <f t="shared" si="1407"/>
        <v/>
      </c>
      <c r="Z936" s="268" t="str">
        <f t="shared" si="1408"/>
        <v/>
      </c>
      <c r="AA936" s="268" t="str">
        <f t="shared" si="1409"/>
        <v/>
      </c>
      <c r="AB936" s="268" t="str">
        <f t="shared" si="1410"/>
        <v/>
      </c>
      <c r="AC936" s="268" t="str">
        <f t="shared" si="1411"/>
        <v/>
      </c>
      <c r="AD936" s="268" t="str">
        <f t="shared" si="1412"/>
        <v/>
      </c>
      <c r="AE936" s="268" t="str">
        <f t="shared" si="1413"/>
        <v/>
      </c>
      <c r="AF936" s="268" t="str">
        <f t="shared" si="1414"/>
        <v/>
      </c>
      <c r="AG936" s="268" t="str">
        <f t="shared" si="1415"/>
        <v/>
      </c>
      <c r="AH936" s="268" t="str">
        <f t="shared" si="1416"/>
        <v/>
      </c>
      <c r="AI936" s="268" t="str">
        <f t="shared" si="1417"/>
        <v/>
      </c>
      <c r="AJ936" s="268" t="str">
        <f t="shared" si="1418"/>
        <v/>
      </c>
      <c r="AK936" s="268" t="str">
        <f t="shared" si="1419"/>
        <v/>
      </c>
      <c r="AL936" s="268" t="str">
        <f t="shared" si="1420"/>
        <v/>
      </c>
      <c r="AM936" s="268" t="str">
        <f t="shared" si="1421"/>
        <v/>
      </c>
      <c r="AN936" s="268" t="str">
        <f t="shared" si="1422"/>
        <v/>
      </c>
      <c r="AO936" s="268" t="str">
        <f t="shared" si="1423"/>
        <v/>
      </c>
      <c r="AP936" s="268" t="str">
        <f t="shared" si="1424"/>
        <v/>
      </c>
      <c r="AQ936" s="268" t="str">
        <f t="shared" si="1425"/>
        <v/>
      </c>
      <c r="AR936" s="268" t="str">
        <f t="shared" si="1426"/>
        <v/>
      </c>
      <c r="AS936" s="268">
        <f t="shared" si="1427"/>
        <v>1200</v>
      </c>
      <c r="AT936" s="268" t="str">
        <f t="shared" si="1428"/>
        <v/>
      </c>
      <c r="AU936" s="268" t="str">
        <f t="shared" si="1429"/>
        <v/>
      </c>
      <c r="AV936" s="268" t="str">
        <f t="shared" si="1430"/>
        <v/>
      </c>
      <c r="AW936" s="268" t="str">
        <f t="shared" si="1431"/>
        <v/>
      </c>
      <c r="AX936" s="268" t="str">
        <f t="shared" si="1432"/>
        <v/>
      </c>
      <c r="AY936" s="268" t="str">
        <f t="shared" si="1433"/>
        <v/>
      </c>
      <c r="AZ936" s="268" t="str">
        <f t="shared" si="1434"/>
        <v/>
      </c>
      <c r="BA936" s="268" t="str">
        <f t="shared" si="1435"/>
        <v/>
      </c>
      <c r="BB936" s="268" t="str">
        <f t="shared" si="1436"/>
        <v/>
      </c>
      <c r="BC936" s="268" t="str">
        <f t="shared" si="1437"/>
        <v/>
      </c>
      <c r="BD936" s="268" t="str">
        <f t="shared" si="1438"/>
        <v/>
      </c>
      <c r="BE936" s="268" t="str">
        <f t="shared" si="1439"/>
        <v/>
      </c>
      <c r="BF936" s="268" t="str">
        <f t="shared" si="1440"/>
        <v/>
      </c>
      <c r="BG936" s="268" t="str">
        <f t="shared" si="1441"/>
        <v/>
      </c>
      <c r="BH936" s="268" t="str">
        <f t="shared" si="1442"/>
        <v/>
      </c>
      <c r="BI936" s="268" t="str">
        <f t="shared" si="1443"/>
        <v/>
      </c>
      <c r="BJ936" s="268" t="str">
        <f t="shared" si="1444"/>
        <v/>
      </c>
      <c r="BK936" s="268" t="str">
        <f t="shared" si="1445"/>
        <v/>
      </c>
      <c r="BL936" s="268" t="str">
        <f t="shared" si="1446"/>
        <v/>
      </c>
      <c r="BM936" s="268" t="str">
        <f t="shared" si="1447"/>
        <v/>
      </c>
      <c r="BN936" s="268" t="str">
        <f t="shared" si="1456"/>
        <v/>
      </c>
      <c r="BO936" s="268" t="str">
        <f t="shared" si="1457"/>
        <v/>
      </c>
      <c r="BP936" s="268" t="str">
        <f t="shared" si="1458"/>
        <v/>
      </c>
      <c r="BQ936" s="268" t="str">
        <f t="shared" si="1459"/>
        <v/>
      </c>
      <c r="BR936" s="268" t="str">
        <f t="shared" si="1460"/>
        <v/>
      </c>
      <c r="BS936" s="268" t="str">
        <f t="shared" si="1461"/>
        <v/>
      </c>
      <c r="BT936" s="268" t="str">
        <f t="shared" si="1448"/>
        <v/>
      </c>
      <c r="BU936" s="268" t="str">
        <f t="shared" si="1449"/>
        <v/>
      </c>
      <c r="BV936" s="247">
        <v>7.02</v>
      </c>
      <c r="BW936" s="729">
        <f t="shared" si="1453"/>
        <v>8424</v>
      </c>
      <c r="BX936" s="730">
        <f t="shared" si="1454"/>
        <v>65286</v>
      </c>
      <c r="BY936" s="731" t="str">
        <f t="shared" si="1455"/>
        <v>SR</v>
      </c>
    </row>
    <row r="937" s="698" customFormat="1" customHeight="1" spans="1:77">
      <c r="A937" s="227">
        <v>46155</v>
      </c>
      <c r="B937" s="248">
        <v>46213</v>
      </c>
      <c r="C937" s="242" t="s">
        <v>844</v>
      </c>
      <c r="D937" s="242" t="s">
        <v>845</v>
      </c>
      <c r="E937" s="242" t="s">
        <v>116</v>
      </c>
      <c r="F937" s="231">
        <v>7992</v>
      </c>
      <c r="G937" s="242" t="s">
        <v>270</v>
      </c>
      <c r="H937" s="211" t="str">
        <f>IFERROR(VLOOKUP(E937,名称!A:E,4,0),"")</f>
        <v>三代</v>
      </c>
      <c r="I937" s="268" t="str">
        <f t="shared" si="1391"/>
        <v/>
      </c>
      <c r="J937" s="268" t="str">
        <f t="shared" si="1392"/>
        <v/>
      </c>
      <c r="K937" s="268" t="str">
        <f t="shared" si="1393"/>
        <v/>
      </c>
      <c r="L937" s="268" t="str">
        <f t="shared" si="1394"/>
        <v/>
      </c>
      <c r="M937" s="268" t="str">
        <f t="shared" si="1395"/>
        <v/>
      </c>
      <c r="N937" s="268" t="str">
        <f t="shared" si="1396"/>
        <v/>
      </c>
      <c r="O937" s="268" t="str">
        <f t="shared" si="1397"/>
        <v/>
      </c>
      <c r="P937" s="268" t="str">
        <f t="shared" si="1398"/>
        <v/>
      </c>
      <c r="Q937" s="268" t="str">
        <f t="shared" si="1399"/>
        <v/>
      </c>
      <c r="R937" s="268" t="str">
        <f t="shared" si="1400"/>
        <v/>
      </c>
      <c r="S937" s="268" t="str">
        <f t="shared" si="1401"/>
        <v/>
      </c>
      <c r="T937" s="268" t="str">
        <f t="shared" si="1402"/>
        <v/>
      </c>
      <c r="U937" s="268" t="str">
        <f t="shared" si="1403"/>
        <v/>
      </c>
      <c r="V937" s="268" t="str">
        <f t="shared" si="1404"/>
        <v/>
      </c>
      <c r="W937" s="268" t="str">
        <f t="shared" si="1405"/>
        <v/>
      </c>
      <c r="X937" s="268" t="str">
        <f t="shared" si="1406"/>
        <v/>
      </c>
      <c r="Y937" s="268" t="str">
        <f t="shared" si="1407"/>
        <v/>
      </c>
      <c r="Z937" s="268" t="str">
        <f t="shared" si="1408"/>
        <v/>
      </c>
      <c r="AA937" s="268" t="str">
        <f t="shared" si="1409"/>
        <v/>
      </c>
      <c r="AB937" s="268" t="str">
        <f t="shared" si="1410"/>
        <v/>
      </c>
      <c r="AC937" s="268" t="str">
        <f t="shared" si="1411"/>
        <v/>
      </c>
      <c r="AD937" s="268" t="str">
        <f t="shared" si="1412"/>
        <v/>
      </c>
      <c r="AE937" s="268" t="str">
        <f t="shared" si="1413"/>
        <v/>
      </c>
      <c r="AF937" s="268" t="str">
        <f t="shared" si="1414"/>
        <v/>
      </c>
      <c r="AG937" s="268" t="str">
        <f t="shared" si="1415"/>
        <v/>
      </c>
      <c r="AH937" s="268" t="str">
        <f t="shared" si="1416"/>
        <v/>
      </c>
      <c r="AI937" s="268" t="str">
        <f t="shared" si="1417"/>
        <v/>
      </c>
      <c r="AJ937" s="268" t="str">
        <f t="shared" si="1418"/>
        <v/>
      </c>
      <c r="AK937" s="268" t="str">
        <f t="shared" si="1419"/>
        <v/>
      </c>
      <c r="AL937" s="268" t="str">
        <f t="shared" si="1420"/>
        <v/>
      </c>
      <c r="AM937" s="268">
        <f t="shared" si="1421"/>
        <v>7992</v>
      </c>
      <c r="AN937" s="268" t="str">
        <f t="shared" si="1422"/>
        <v/>
      </c>
      <c r="AO937" s="268" t="str">
        <f t="shared" si="1423"/>
        <v/>
      </c>
      <c r="AP937" s="268" t="str">
        <f t="shared" si="1424"/>
        <v/>
      </c>
      <c r="AQ937" s="268" t="str">
        <f t="shared" si="1425"/>
        <v/>
      </c>
      <c r="AR937" s="268" t="str">
        <f t="shared" si="1426"/>
        <v/>
      </c>
      <c r="AS937" s="268" t="str">
        <f t="shared" si="1427"/>
        <v/>
      </c>
      <c r="AT937" s="268" t="str">
        <f t="shared" si="1428"/>
        <v/>
      </c>
      <c r="AU937" s="268" t="str">
        <f t="shared" si="1429"/>
        <v/>
      </c>
      <c r="AV937" s="268" t="str">
        <f t="shared" si="1430"/>
        <v/>
      </c>
      <c r="AW937" s="268" t="str">
        <f t="shared" si="1431"/>
        <v/>
      </c>
      <c r="AX937" s="268" t="str">
        <f t="shared" si="1432"/>
        <v/>
      </c>
      <c r="AY937" s="268" t="str">
        <f t="shared" si="1433"/>
        <v/>
      </c>
      <c r="AZ937" s="268" t="str">
        <f t="shared" si="1434"/>
        <v/>
      </c>
      <c r="BA937" s="268" t="str">
        <f t="shared" si="1435"/>
        <v/>
      </c>
      <c r="BB937" s="268" t="str">
        <f t="shared" si="1436"/>
        <v/>
      </c>
      <c r="BC937" s="268" t="str">
        <f t="shared" si="1437"/>
        <v/>
      </c>
      <c r="BD937" s="268" t="str">
        <f t="shared" si="1438"/>
        <v/>
      </c>
      <c r="BE937" s="268" t="str">
        <f t="shared" si="1439"/>
        <v/>
      </c>
      <c r="BF937" s="268" t="str">
        <f t="shared" si="1440"/>
        <v/>
      </c>
      <c r="BG937" s="268" t="str">
        <f t="shared" si="1441"/>
        <v/>
      </c>
      <c r="BH937" s="268" t="str">
        <f t="shared" si="1442"/>
        <v/>
      </c>
      <c r="BI937" s="268" t="str">
        <f t="shared" si="1443"/>
        <v/>
      </c>
      <c r="BJ937" s="268" t="str">
        <f t="shared" si="1444"/>
        <v/>
      </c>
      <c r="BK937" s="268" t="str">
        <f t="shared" si="1445"/>
        <v/>
      </c>
      <c r="BL937" s="268" t="str">
        <f t="shared" si="1446"/>
        <v/>
      </c>
      <c r="BM937" s="268" t="str">
        <f t="shared" si="1447"/>
        <v/>
      </c>
      <c r="BN937" s="268" t="str">
        <f t="shared" si="1456"/>
        <v/>
      </c>
      <c r="BO937" s="268" t="str">
        <f t="shared" si="1457"/>
        <v/>
      </c>
      <c r="BP937" s="268" t="str">
        <f t="shared" si="1458"/>
        <v/>
      </c>
      <c r="BQ937" s="268" t="str">
        <f t="shared" si="1459"/>
        <v/>
      </c>
      <c r="BR937" s="268" t="str">
        <f t="shared" si="1460"/>
        <v/>
      </c>
      <c r="BS937" s="268" t="str">
        <f t="shared" si="1461"/>
        <v/>
      </c>
      <c r="BT937" s="268" t="str">
        <f t="shared" si="1448"/>
        <v/>
      </c>
      <c r="BU937" s="268" t="str">
        <f t="shared" si="1449"/>
        <v/>
      </c>
      <c r="BV937" s="353">
        <v>1.56</v>
      </c>
      <c r="BW937" s="729">
        <f t="shared" si="1453"/>
        <v>12467.52</v>
      </c>
      <c r="BX937" s="730">
        <f t="shared" si="1454"/>
        <v>96623.28</v>
      </c>
      <c r="BY937" s="731" t="str">
        <f t="shared" si="1455"/>
        <v>SR</v>
      </c>
    </row>
    <row r="938" s="698" customFormat="1" customHeight="1" spans="1:77">
      <c r="A938" s="227">
        <v>46155</v>
      </c>
      <c r="B938" s="248">
        <v>46155</v>
      </c>
      <c r="C938" s="242" t="s">
        <v>846</v>
      </c>
      <c r="D938" s="242" t="s">
        <v>847</v>
      </c>
      <c r="E938" s="242" t="s">
        <v>44</v>
      </c>
      <c r="F938" s="231">
        <v>2376</v>
      </c>
      <c r="G938" s="242" t="s">
        <v>253</v>
      </c>
      <c r="H938" s="211" t="str">
        <f>IFERROR(VLOOKUP(E938,名称!A:E,4,0),"")</f>
        <v>二代</v>
      </c>
      <c r="I938" s="268" t="str">
        <f t="shared" si="1391"/>
        <v/>
      </c>
      <c r="J938" s="268" t="str">
        <f t="shared" si="1392"/>
        <v/>
      </c>
      <c r="K938" s="268" t="str">
        <f t="shared" si="1393"/>
        <v/>
      </c>
      <c r="L938" s="268" t="str">
        <f t="shared" si="1394"/>
        <v/>
      </c>
      <c r="M938" s="268">
        <f t="shared" si="1395"/>
        <v>2376</v>
      </c>
      <c r="N938" s="268" t="str">
        <f t="shared" si="1396"/>
        <v/>
      </c>
      <c r="O938" s="268" t="str">
        <f t="shared" si="1397"/>
        <v/>
      </c>
      <c r="P938" s="268" t="str">
        <f t="shared" si="1398"/>
        <v/>
      </c>
      <c r="Q938" s="268" t="str">
        <f t="shared" si="1399"/>
        <v/>
      </c>
      <c r="R938" s="268" t="str">
        <f t="shared" si="1400"/>
        <v/>
      </c>
      <c r="S938" s="268" t="str">
        <f t="shared" si="1401"/>
        <v/>
      </c>
      <c r="T938" s="268" t="str">
        <f t="shared" si="1402"/>
        <v/>
      </c>
      <c r="U938" s="268" t="str">
        <f t="shared" si="1403"/>
        <v/>
      </c>
      <c r="V938" s="268" t="str">
        <f t="shared" si="1404"/>
        <v/>
      </c>
      <c r="W938" s="268" t="str">
        <f t="shared" si="1405"/>
        <v/>
      </c>
      <c r="X938" s="268" t="str">
        <f t="shared" si="1406"/>
        <v/>
      </c>
      <c r="Y938" s="268" t="str">
        <f t="shared" si="1407"/>
        <v/>
      </c>
      <c r="Z938" s="268" t="str">
        <f t="shared" si="1408"/>
        <v/>
      </c>
      <c r="AA938" s="268" t="str">
        <f t="shared" si="1409"/>
        <v/>
      </c>
      <c r="AB938" s="268" t="str">
        <f t="shared" si="1410"/>
        <v/>
      </c>
      <c r="AC938" s="268" t="str">
        <f t="shared" si="1411"/>
        <v/>
      </c>
      <c r="AD938" s="268" t="str">
        <f t="shared" si="1412"/>
        <v/>
      </c>
      <c r="AE938" s="268" t="str">
        <f t="shared" si="1413"/>
        <v/>
      </c>
      <c r="AF938" s="268" t="str">
        <f t="shared" si="1414"/>
        <v/>
      </c>
      <c r="AG938" s="268" t="str">
        <f t="shared" si="1415"/>
        <v/>
      </c>
      <c r="AH938" s="268" t="str">
        <f t="shared" si="1416"/>
        <v/>
      </c>
      <c r="AI938" s="268" t="str">
        <f t="shared" si="1417"/>
        <v/>
      </c>
      <c r="AJ938" s="268" t="str">
        <f t="shared" si="1418"/>
        <v/>
      </c>
      <c r="AK938" s="268" t="str">
        <f t="shared" si="1419"/>
        <v/>
      </c>
      <c r="AL938" s="268" t="str">
        <f t="shared" si="1420"/>
        <v/>
      </c>
      <c r="AM938" s="268" t="str">
        <f t="shared" si="1421"/>
        <v/>
      </c>
      <c r="AN938" s="268" t="str">
        <f t="shared" si="1422"/>
        <v/>
      </c>
      <c r="AO938" s="268" t="str">
        <f t="shared" si="1423"/>
        <v/>
      </c>
      <c r="AP938" s="268" t="str">
        <f t="shared" si="1424"/>
        <v/>
      </c>
      <c r="AQ938" s="268" t="str">
        <f t="shared" si="1425"/>
        <v/>
      </c>
      <c r="AR938" s="268" t="str">
        <f t="shared" si="1426"/>
        <v/>
      </c>
      <c r="AS938" s="268" t="str">
        <f t="shared" si="1427"/>
        <v/>
      </c>
      <c r="AT938" s="268" t="str">
        <f t="shared" si="1428"/>
        <v/>
      </c>
      <c r="AU938" s="268" t="str">
        <f t="shared" si="1429"/>
        <v/>
      </c>
      <c r="AV938" s="268" t="str">
        <f t="shared" si="1430"/>
        <v/>
      </c>
      <c r="AW938" s="268" t="str">
        <f t="shared" si="1431"/>
        <v/>
      </c>
      <c r="AX938" s="268" t="str">
        <f t="shared" si="1432"/>
        <v/>
      </c>
      <c r="AY938" s="268" t="str">
        <f t="shared" si="1433"/>
        <v/>
      </c>
      <c r="AZ938" s="268" t="str">
        <f t="shared" si="1434"/>
        <v/>
      </c>
      <c r="BA938" s="268" t="str">
        <f t="shared" si="1435"/>
        <v/>
      </c>
      <c r="BB938" s="268" t="str">
        <f t="shared" si="1436"/>
        <v/>
      </c>
      <c r="BC938" s="268" t="str">
        <f t="shared" si="1437"/>
        <v/>
      </c>
      <c r="BD938" s="268" t="str">
        <f t="shared" si="1438"/>
        <v/>
      </c>
      <c r="BE938" s="268" t="str">
        <f t="shared" si="1439"/>
        <v/>
      </c>
      <c r="BF938" s="268" t="str">
        <f t="shared" si="1440"/>
        <v/>
      </c>
      <c r="BG938" s="268" t="str">
        <f t="shared" si="1441"/>
        <v/>
      </c>
      <c r="BH938" s="268" t="str">
        <f t="shared" si="1442"/>
        <v/>
      </c>
      <c r="BI938" s="268" t="str">
        <f t="shared" si="1443"/>
        <v/>
      </c>
      <c r="BJ938" s="268" t="str">
        <f t="shared" si="1444"/>
        <v/>
      </c>
      <c r="BK938" s="268" t="str">
        <f t="shared" si="1445"/>
        <v/>
      </c>
      <c r="BL938" s="268" t="str">
        <f t="shared" si="1446"/>
        <v/>
      </c>
      <c r="BM938" s="268" t="str">
        <f t="shared" si="1447"/>
        <v/>
      </c>
      <c r="BN938" s="268" t="str">
        <f t="shared" si="1456"/>
        <v/>
      </c>
      <c r="BO938" s="268" t="str">
        <f t="shared" si="1457"/>
        <v/>
      </c>
      <c r="BP938" s="268" t="str">
        <f t="shared" si="1458"/>
        <v/>
      </c>
      <c r="BQ938" s="268" t="str">
        <f t="shared" si="1459"/>
        <v/>
      </c>
      <c r="BR938" s="268" t="str">
        <f t="shared" si="1460"/>
        <v/>
      </c>
      <c r="BS938" s="268" t="str">
        <f t="shared" si="1461"/>
        <v/>
      </c>
      <c r="BT938" s="268" t="str">
        <f t="shared" si="1448"/>
        <v/>
      </c>
      <c r="BU938" s="268" t="str">
        <f t="shared" si="1449"/>
        <v/>
      </c>
      <c r="BV938" s="353">
        <v>0.63</v>
      </c>
      <c r="BW938" s="729">
        <f t="shared" si="1453"/>
        <v>1496.88</v>
      </c>
      <c r="BX938" s="730">
        <f t="shared" si="1454"/>
        <v>11600.82</v>
      </c>
      <c r="BY938" s="731" t="str">
        <f t="shared" si="1455"/>
        <v>SR</v>
      </c>
    </row>
    <row r="939" s="698" customFormat="1" customHeight="1" spans="1:77">
      <c r="A939" s="227">
        <v>46155</v>
      </c>
      <c r="B939" s="248">
        <v>46194</v>
      </c>
      <c r="C939" s="242" t="s">
        <v>848</v>
      </c>
      <c r="D939" s="242" t="s">
        <v>849</v>
      </c>
      <c r="E939" s="242" t="s">
        <v>44</v>
      </c>
      <c r="F939" s="231">
        <v>1800</v>
      </c>
      <c r="G939" s="242" t="s">
        <v>253</v>
      </c>
      <c r="H939" s="211" t="str">
        <f>IFERROR(VLOOKUP(E939,名称!A:E,4,0),"")</f>
        <v>二代</v>
      </c>
      <c r="I939" s="268" t="str">
        <f t="shared" si="1391"/>
        <v/>
      </c>
      <c r="J939" s="268" t="str">
        <f t="shared" si="1392"/>
        <v/>
      </c>
      <c r="K939" s="268" t="str">
        <f t="shared" si="1393"/>
        <v/>
      </c>
      <c r="L939" s="268" t="str">
        <f t="shared" si="1394"/>
        <v/>
      </c>
      <c r="M939" s="268">
        <f t="shared" si="1395"/>
        <v>1800</v>
      </c>
      <c r="N939" s="268" t="str">
        <f t="shared" si="1396"/>
        <v/>
      </c>
      <c r="O939" s="268" t="str">
        <f t="shared" si="1397"/>
        <v/>
      </c>
      <c r="P939" s="268" t="str">
        <f t="shared" si="1398"/>
        <v/>
      </c>
      <c r="Q939" s="268" t="str">
        <f t="shared" si="1399"/>
        <v/>
      </c>
      <c r="R939" s="268" t="str">
        <f t="shared" si="1400"/>
        <v/>
      </c>
      <c r="S939" s="268" t="str">
        <f t="shared" si="1401"/>
        <v/>
      </c>
      <c r="T939" s="268" t="str">
        <f t="shared" si="1402"/>
        <v/>
      </c>
      <c r="U939" s="268" t="str">
        <f t="shared" si="1403"/>
        <v/>
      </c>
      <c r="V939" s="268" t="str">
        <f t="shared" si="1404"/>
        <v/>
      </c>
      <c r="W939" s="268" t="str">
        <f t="shared" si="1405"/>
        <v/>
      </c>
      <c r="X939" s="268" t="str">
        <f t="shared" si="1406"/>
        <v/>
      </c>
      <c r="Y939" s="268" t="str">
        <f t="shared" si="1407"/>
        <v/>
      </c>
      <c r="Z939" s="268" t="str">
        <f t="shared" si="1408"/>
        <v/>
      </c>
      <c r="AA939" s="268" t="str">
        <f t="shared" si="1409"/>
        <v/>
      </c>
      <c r="AB939" s="268" t="str">
        <f t="shared" si="1410"/>
        <v/>
      </c>
      <c r="AC939" s="268" t="str">
        <f t="shared" si="1411"/>
        <v/>
      </c>
      <c r="AD939" s="268" t="str">
        <f t="shared" si="1412"/>
        <v/>
      </c>
      <c r="AE939" s="268" t="str">
        <f t="shared" si="1413"/>
        <v/>
      </c>
      <c r="AF939" s="268" t="str">
        <f t="shared" si="1414"/>
        <v/>
      </c>
      <c r="AG939" s="268" t="str">
        <f t="shared" si="1415"/>
        <v/>
      </c>
      <c r="AH939" s="268" t="str">
        <f t="shared" si="1416"/>
        <v/>
      </c>
      <c r="AI939" s="268" t="str">
        <f t="shared" si="1417"/>
        <v/>
      </c>
      <c r="AJ939" s="268" t="str">
        <f t="shared" si="1418"/>
        <v/>
      </c>
      <c r="AK939" s="268" t="str">
        <f t="shared" si="1419"/>
        <v/>
      </c>
      <c r="AL939" s="268" t="str">
        <f t="shared" si="1420"/>
        <v/>
      </c>
      <c r="AM939" s="268" t="str">
        <f t="shared" si="1421"/>
        <v/>
      </c>
      <c r="AN939" s="268" t="str">
        <f t="shared" si="1422"/>
        <v/>
      </c>
      <c r="AO939" s="268" t="str">
        <f t="shared" si="1423"/>
        <v/>
      </c>
      <c r="AP939" s="268" t="str">
        <f t="shared" si="1424"/>
        <v/>
      </c>
      <c r="AQ939" s="268" t="str">
        <f t="shared" si="1425"/>
        <v/>
      </c>
      <c r="AR939" s="268" t="str">
        <f t="shared" si="1426"/>
        <v/>
      </c>
      <c r="AS939" s="268" t="str">
        <f t="shared" si="1427"/>
        <v/>
      </c>
      <c r="AT939" s="268" t="str">
        <f t="shared" si="1428"/>
        <v/>
      </c>
      <c r="AU939" s="268" t="str">
        <f t="shared" si="1429"/>
        <v/>
      </c>
      <c r="AV939" s="268" t="str">
        <f t="shared" si="1430"/>
        <v/>
      </c>
      <c r="AW939" s="268" t="str">
        <f t="shared" si="1431"/>
        <v/>
      </c>
      <c r="AX939" s="268" t="str">
        <f t="shared" si="1432"/>
        <v/>
      </c>
      <c r="AY939" s="268" t="str">
        <f t="shared" si="1433"/>
        <v/>
      </c>
      <c r="AZ939" s="268" t="str">
        <f t="shared" si="1434"/>
        <v/>
      </c>
      <c r="BA939" s="268" t="str">
        <f t="shared" si="1435"/>
        <v/>
      </c>
      <c r="BB939" s="268" t="str">
        <f t="shared" si="1436"/>
        <v/>
      </c>
      <c r="BC939" s="268" t="str">
        <f t="shared" si="1437"/>
        <v/>
      </c>
      <c r="BD939" s="268" t="str">
        <f t="shared" si="1438"/>
        <v/>
      </c>
      <c r="BE939" s="268" t="str">
        <f t="shared" si="1439"/>
        <v/>
      </c>
      <c r="BF939" s="268" t="str">
        <f t="shared" si="1440"/>
        <v/>
      </c>
      <c r="BG939" s="268" t="str">
        <f t="shared" si="1441"/>
        <v/>
      </c>
      <c r="BH939" s="268" t="str">
        <f t="shared" si="1442"/>
        <v/>
      </c>
      <c r="BI939" s="268" t="str">
        <f t="shared" si="1443"/>
        <v/>
      </c>
      <c r="BJ939" s="268" t="str">
        <f t="shared" si="1444"/>
        <v/>
      </c>
      <c r="BK939" s="268" t="str">
        <f t="shared" si="1445"/>
        <v/>
      </c>
      <c r="BL939" s="268" t="str">
        <f t="shared" si="1446"/>
        <v/>
      </c>
      <c r="BM939" s="268" t="str">
        <f t="shared" si="1447"/>
        <v/>
      </c>
      <c r="BN939" s="268" t="str">
        <f t="shared" si="1456"/>
        <v/>
      </c>
      <c r="BO939" s="268" t="str">
        <f t="shared" si="1457"/>
        <v/>
      </c>
      <c r="BP939" s="268" t="str">
        <f t="shared" si="1458"/>
        <v/>
      </c>
      <c r="BQ939" s="268" t="str">
        <f t="shared" si="1459"/>
        <v/>
      </c>
      <c r="BR939" s="268" t="str">
        <f t="shared" si="1460"/>
        <v/>
      </c>
      <c r="BS939" s="268" t="str">
        <f t="shared" si="1461"/>
        <v/>
      </c>
      <c r="BT939" s="268" t="str">
        <f t="shared" si="1448"/>
        <v/>
      </c>
      <c r="BU939" s="268" t="str">
        <f t="shared" si="1449"/>
        <v/>
      </c>
      <c r="BV939" s="353">
        <v>0.63</v>
      </c>
      <c r="BW939" s="729">
        <f t="shared" si="1453"/>
        <v>1134</v>
      </c>
      <c r="BX939" s="730">
        <f t="shared" si="1454"/>
        <v>8788.5</v>
      </c>
      <c r="BY939" s="731" t="str">
        <f t="shared" si="1455"/>
        <v>SR</v>
      </c>
    </row>
    <row r="940" s="698" customFormat="1" customHeight="1" spans="1:77">
      <c r="A940" s="227">
        <v>46157</v>
      </c>
      <c r="B940" s="248">
        <v>46218</v>
      </c>
      <c r="C940" s="242" t="s">
        <v>850</v>
      </c>
      <c r="D940" s="242" t="s">
        <v>851</v>
      </c>
      <c r="E940" s="242" t="s">
        <v>85</v>
      </c>
      <c r="F940" s="231">
        <v>14016</v>
      </c>
      <c r="G940" s="242" t="s">
        <v>270</v>
      </c>
      <c r="H940" s="211" t="str">
        <f>IFERROR(VLOOKUP(E940,名称!A:E,4,0),"")</f>
        <v>三代</v>
      </c>
      <c r="I940" s="268" t="str">
        <f t="shared" si="1391"/>
        <v/>
      </c>
      <c r="J940" s="268" t="str">
        <f t="shared" si="1392"/>
        <v/>
      </c>
      <c r="K940" s="268" t="str">
        <f t="shared" si="1393"/>
        <v/>
      </c>
      <c r="L940" s="268" t="str">
        <f t="shared" si="1394"/>
        <v/>
      </c>
      <c r="M940" s="268" t="str">
        <f t="shared" si="1395"/>
        <v/>
      </c>
      <c r="N940" s="268" t="str">
        <f t="shared" si="1396"/>
        <v/>
      </c>
      <c r="O940" s="268" t="str">
        <f t="shared" si="1397"/>
        <v/>
      </c>
      <c r="P940" s="268" t="str">
        <f t="shared" si="1398"/>
        <v/>
      </c>
      <c r="Q940" s="268" t="str">
        <f t="shared" si="1399"/>
        <v/>
      </c>
      <c r="R940" s="268" t="str">
        <f t="shared" si="1400"/>
        <v/>
      </c>
      <c r="S940" s="268" t="str">
        <f t="shared" si="1401"/>
        <v/>
      </c>
      <c r="T940" s="268" t="str">
        <f t="shared" si="1402"/>
        <v/>
      </c>
      <c r="U940" s="268" t="str">
        <f t="shared" si="1403"/>
        <v/>
      </c>
      <c r="V940" s="268" t="str">
        <f t="shared" si="1404"/>
        <v/>
      </c>
      <c r="W940" s="268" t="str">
        <f t="shared" si="1405"/>
        <v/>
      </c>
      <c r="X940" s="268" t="str">
        <f t="shared" si="1406"/>
        <v/>
      </c>
      <c r="Y940" s="268" t="str">
        <f t="shared" si="1407"/>
        <v/>
      </c>
      <c r="Z940" s="268" t="str">
        <f t="shared" si="1408"/>
        <v/>
      </c>
      <c r="AA940" s="268" t="str">
        <f t="shared" si="1409"/>
        <v/>
      </c>
      <c r="AB940" s="268" t="str">
        <f t="shared" si="1410"/>
        <v/>
      </c>
      <c r="AC940" s="268" t="str">
        <f t="shared" si="1411"/>
        <v/>
      </c>
      <c r="AD940" s="268" t="str">
        <f t="shared" si="1412"/>
        <v/>
      </c>
      <c r="AE940" s="268" t="str">
        <f t="shared" si="1413"/>
        <v/>
      </c>
      <c r="AF940" s="268" t="str">
        <f t="shared" si="1414"/>
        <v/>
      </c>
      <c r="AG940" s="268" t="str">
        <f t="shared" si="1415"/>
        <v/>
      </c>
      <c r="AH940" s="268" t="str">
        <f t="shared" si="1416"/>
        <v/>
      </c>
      <c r="AI940" s="268" t="str">
        <f t="shared" si="1417"/>
        <v/>
      </c>
      <c r="AJ940" s="268" t="str">
        <f t="shared" si="1418"/>
        <v/>
      </c>
      <c r="AK940" s="268" t="str">
        <f t="shared" si="1419"/>
        <v/>
      </c>
      <c r="AL940" s="268" t="str">
        <f t="shared" si="1420"/>
        <v/>
      </c>
      <c r="AM940" s="268" t="str">
        <f t="shared" si="1421"/>
        <v/>
      </c>
      <c r="AN940" s="268">
        <f t="shared" si="1422"/>
        <v>14016</v>
      </c>
      <c r="AO940" s="268" t="str">
        <f t="shared" si="1423"/>
        <v/>
      </c>
      <c r="AP940" s="268" t="str">
        <f t="shared" si="1424"/>
        <v/>
      </c>
      <c r="AQ940" s="268" t="str">
        <f t="shared" si="1425"/>
        <v/>
      </c>
      <c r="AR940" s="268" t="str">
        <f t="shared" si="1426"/>
        <v/>
      </c>
      <c r="AS940" s="268" t="str">
        <f t="shared" si="1427"/>
        <v/>
      </c>
      <c r="AT940" s="268" t="str">
        <f t="shared" si="1428"/>
        <v/>
      </c>
      <c r="AU940" s="268" t="str">
        <f t="shared" si="1429"/>
        <v/>
      </c>
      <c r="AV940" s="268" t="str">
        <f t="shared" si="1430"/>
        <v/>
      </c>
      <c r="AW940" s="268" t="str">
        <f t="shared" si="1431"/>
        <v/>
      </c>
      <c r="AX940" s="268" t="str">
        <f t="shared" si="1432"/>
        <v/>
      </c>
      <c r="AY940" s="268" t="str">
        <f t="shared" si="1433"/>
        <v/>
      </c>
      <c r="AZ940" s="268" t="str">
        <f t="shared" si="1434"/>
        <v/>
      </c>
      <c r="BA940" s="268" t="str">
        <f t="shared" si="1435"/>
        <v/>
      </c>
      <c r="BB940" s="268" t="str">
        <f t="shared" si="1436"/>
        <v/>
      </c>
      <c r="BC940" s="268" t="str">
        <f t="shared" si="1437"/>
        <v/>
      </c>
      <c r="BD940" s="268" t="str">
        <f t="shared" si="1438"/>
        <v/>
      </c>
      <c r="BE940" s="268" t="str">
        <f t="shared" si="1439"/>
        <v/>
      </c>
      <c r="BF940" s="268" t="str">
        <f t="shared" si="1440"/>
        <v/>
      </c>
      <c r="BG940" s="268" t="str">
        <f t="shared" si="1441"/>
        <v/>
      </c>
      <c r="BH940" s="268" t="str">
        <f t="shared" si="1442"/>
        <v/>
      </c>
      <c r="BI940" s="268" t="str">
        <f t="shared" si="1443"/>
        <v/>
      </c>
      <c r="BJ940" s="268" t="str">
        <f t="shared" si="1444"/>
        <v/>
      </c>
      <c r="BK940" s="268" t="str">
        <f t="shared" si="1445"/>
        <v/>
      </c>
      <c r="BL940" s="268" t="str">
        <f t="shared" si="1446"/>
        <v/>
      </c>
      <c r="BM940" s="268" t="str">
        <f t="shared" si="1447"/>
        <v/>
      </c>
      <c r="BN940" s="268" t="str">
        <f t="shared" si="1456"/>
        <v/>
      </c>
      <c r="BO940" s="268" t="str">
        <f t="shared" si="1457"/>
        <v/>
      </c>
      <c r="BP940" s="268" t="str">
        <f t="shared" si="1458"/>
        <v/>
      </c>
      <c r="BQ940" s="268" t="str">
        <f t="shared" si="1459"/>
        <v/>
      </c>
      <c r="BR940" s="268" t="str">
        <f t="shared" si="1460"/>
        <v/>
      </c>
      <c r="BS940" s="268" t="str">
        <f t="shared" si="1461"/>
        <v/>
      </c>
      <c r="BT940" s="268" t="str">
        <f t="shared" si="1448"/>
        <v/>
      </c>
      <c r="BU940" s="268" t="str">
        <f t="shared" si="1449"/>
        <v/>
      </c>
      <c r="BV940" s="353">
        <v>0.89</v>
      </c>
      <c r="BW940" s="729">
        <f t="shared" si="1453"/>
        <v>12474.24</v>
      </c>
      <c r="BX940" s="730">
        <f t="shared" si="1454"/>
        <v>96675.36</v>
      </c>
      <c r="BY940" s="731" t="str">
        <f t="shared" si="1455"/>
        <v>SR</v>
      </c>
    </row>
    <row r="941" s="698" customFormat="1" customHeight="1" spans="1:77">
      <c r="A941" s="227">
        <v>46160</v>
      </c>
      <c r="B941" s="248">
        <v>46208</v>
      </c>
      <c r="C941" s="242" t="s">
        <v>852</v>
      </c>
      <c r="D941" s="242" t="s">
        <v>853</v>
      </c>
      <c r="E941" s="242" t="s">
        <v>99</v>
      </c>
      <c r="F941" s="231">
        <v>18000</v>
      </c>
      <c r="G941" s="242" t="s">
        <v>334</v>
      </c>
      <c r="H941" s="211" t="str">
        <f>IFERROR(VLOOKUP(E941,名称!A:E,4,0),"")</f>
        <v>三代</v>
      </c>
      <c r="I941" s="268" t="str">
        <f t="shared" ref="I941:BM941" si="1462">IF(OR($E941="",I$1=""),"",IF(TRIM(LEFT($E941,MIN(IFERROR(FIND("CDU",UPPER($E941)),999),IFERROR(FIND("BULK",UPPER($E941)),999),IFERROR(FIND("-",$E941),999),IFERROR(FIND("（",$E941),999))-1))=I$1,$F941,""))</f>
        <v/>
      </c>
      <c r="J941" s="268" t="str">
        <f t="shared" si="1462"/>
        <v/>
      </c>
      <c r="K941" s="268" t="str">
        <f t="shared" si="1462"/>
        <v/>
      </c>
      <c r="L941" s="268" t="str">
        <f t="shared" si="1462"/>
        <v/>
      </c>
      <c r="M941" s="268" t="str">
        <f t="shared" si="1462"/>
        <v/>
      </c>
      <c r="N941" s="268" t="str">
        <f t="shared" si="1462"/>
        <v/>
      </c>
      <c r="O941" s="268" t="str">
        <f t="shared" si="1462"/>
        <v/>
      </c>
      <c r="P941" s="268" t="str">
        <f t="shared" si="1462"/>
        <v/>
      </c>
      <c r="Q941" s="268" t="str">
        <f t="shared" si="1462"/>
        <v/>
      </c>
      <c r="R941" s="268" t="str">
        <f t="shared" si="1462"/>
        <v/>
      </c>
      <c r="S941" s="268" t="str">
        <f t="shared" si="1462"/>
        <v/>
      </c>
      <c r="T941" s="268" t="str">
        <f t="shared" si="1462"/>
        <v/>
      </c>
      <c r="U941" s="268" t="str">
        <f t="shared" si="1462"/>
        <v/>
      </c>
      <c r="V941" s="268" t="str">
        <f t="shared" si="1462"/>
        <v/>
      </c>
      <c r="W941" s="268" t="str">
        <f t="shared" si="1462"/>
        <v/>
      </c>
      <c r="X941" s="268" t="str">
        <f t="shared" si="1462"/>
        <v/>
      </c>
      <c r="Y941" s="268" t="str">
        <f t="shared" si="1462"/>
        <v/>
      </c>
      <c r="Z941" s="268" t="str">
        <f t="shared" si="1462"/>
        <v/>
      </c>
      <c r="AA941" s="268" t="str">
        <f t="shared" si="1462"/>
        <v/>
      </c>
      <c r="AB941" s="268" t="str">
        <f t="shared" si="1462"/>
        <v/>
      </c>
      <c r="AC941" s="268">
        <f t="shared" si="1462"/>
        <v>18000</v>
      </c>
      <c r="AD941" s="268" t="str">
        <f t="shared" si="1462"/>
        <v/>
      </c>
      <c r="AE941" s="268" t="str">
        <f t="shared" si="1462"/>
        <v/>
      </c>
      <c r="AF941" s="268" t="str">
        <f t="shared" si="1462"/>
        <v/>
      </c>
      <c r="AG941" s="268" t="str">
        <f t="shared" si="1462"/>
        <v/>
      </c>
      <c r="AH941" s="268" t="str">
        <f t="shared" si="1462"/>
        <v/>
      </c>
      <c r="AI941" s="268" t="str">
        <f t="shared" si="1462"/>
        <v/>
      </c>
      <c r="AJ941" s="268" t="str">
        <f t="shared" si="1462"/>
        <v/>
      </c>
      <c r="AK941" s="268" t="str">
        <f t="shared" si="1462"/>
        <v/>
      </c>
      <c r="AL941" s="268" t="str">
        <f t="shared" si="1462"/>
        <v/>
      </c>
      <c r="AM941" s="268" t="str">
        <f t="shared" si="1462"/>
        <v/>
      </c>
      <c r="AN941" s="268" t="str">
        <f t="shared" si="1462"/>
        <v/>
      </c>
      <c r="AO941" s="268" t="str">
        <f t="shared" si="1462"/>
        <v/>
      </c>
      <c r="AP941" s="268" t="str">
        <f t="shared" si="1462"/>
        <v/>
      </c>
      <c r="AQ941" s="268" t="str">
        <f t="shared" si="1462"/>
        <v/>
      </c>
      <c r="AR941" s="268" t="str">
        <f t="shared" si="1462"/>
        <v/>
      </c>
      <c r="AS941" s="268" t="str">
        <f t="shared" si="1462"/>
        <v/>
      </c>
      <c r="AT941" s="268" t="str">
        <f t="shared" si="1462"/>
        <v/>
      </c>
      <c r="AU941" s="268" t="str">
        <f t="shared" si="1462"/>
        <v/>
      </c>
      <c r="AV941" s="268" t="str">
        <f t="shared" si="1462"/>
        <v/>
      </c>
      <c r="AW941" s="268" t="str">
        <f t="shared" si="1462"/>
        <v/>
      </c>
      <c r="AX941" s="268" t="str">
        <f t="shared" si="1462"/>
        <v/>
      </c>
      <c r="AY941" s="268" t="str">
        <f t="shared" si="1462"/>
        <v/>
      </c>
      <c r="AZ941" s="268" t="str">
        <f t="shared" si="1462"/>
        <v/>
      </c>
      <c r="BA941" s="268" t="str">
        <f t="shared" si="1462"/>
        <v/>
      </c>
      <c r="BB941" s="268" t="str">
        <f t="shared" si="1462"/>
        <v/>
      </c>
      <c r="BC941" s="268" t="str">
        <f t="shared" si="1462"/>
        <v/>
      </c>
      <c r="BD941" s="268" t="str">
        <f t="shared" si="1462"/>
        <v/>
      </c>
      <c r="BE941" s="268" t="str">
        <f t="shared" si="1462"/>
        <v/>
      </c>
      <c r="BF941" s="268" t="str">
        <f t="shared" si="1462"/>
        <v/>
      </c>
      <c r="BG941" s="268" t="str">
        <f t="shared" si="1462"/>
        <v/>
      </c>
      <c r="BH941" s="268" t="str">
        <f t="shared" si="1462"/>
        <v/>
      </c>
      <c r="BI941" s="268" t="str">
        <f t="shared" si="1462"/>
        <v/>
      </c>
      <c r="BJ941" s="268" t="str">
        <f t="shared" si="1462"/>
        <v/>
      </c>
      <c r="BK941" s="268" t="str">
        <f t="shared" si="1462"/>
        <v/>
      </c>
      <c r="BL941" s="268" t="str">
        <f t="shared" si="1462"/>
        <v/>
      </c>
      <c r="BM941" s="268" t="str">
        <f t="shared" si="1462"/>
        <v/>
      </c>
      <c r="BN941" s="268" t="str">
        <f t="shared" si="1456"/>
        <v/>
      </c>
      <c r="BO941" s="268" t="str">
        <f t="shared" si="1457"/>
        <v/>
      </c>
      <c r="BP941" s="268" t="str">
        <f t="shared" si="1458"/>
        <v/>
      </c>
      <c r="BQ941" s="268" t="str">
        <f t="shared" si="1459"/>
        <v/>
      </c>
      <c r="BR941" s="268" t="str">
        <f t="shared" si="1460"/>
        <v/>
      </c>
      <c r="BS941" s="268" t="str">
        <f t="shared" si="1461"/>
        <v/>
      </c>
      <c r="BT941" s="268" t="str">
        <f t="shared" ref="BT941:BT945" si="1463">IF(OR($E941="",BT$1=""),"",IF(TRIM(LEFT($E941,MIN(IFERROR(FIND("CDU",UPPER($E941)),999),IFERROR(FIND("BULK",UPPER($E941)),999),IFERROR(FIND("-",$E941),999),IFERROR(FIND("（",$E941),999))-1))=BT$1,$F941,""))</f>
        <v/>
      </c>
      <c r="BU941" s="268" t="str">
        <f t="shared" ref="BU941:BU945" si="1464">IF(OR($E941="",BU$1=""),"",IF(TRIM(LEFT($E941,MIN(IFERROR(FIND("CDU",UPPER($E941)),999),IFERROR(FIND("BULK",UPPER($E941)),999),IFERROR(FIND("-",$E941),999),IFERROR(FIND("（",$E941),999))-1))=BU$1,$F941,""))</f>
        <v/>
      </c>
      <c r="BV941" s="247">
        <v>0.87</v>
      </c>
      <c r="BW941" s="729">
        <f t="shared" si="1453"/>
        <v>15660</v>
      </c>
      <c r="BX941" s="730">
        <f t="shared" si="1454"/>
        <v>121365</v>
      </c>
      <c r="BY941" s="731" t="str">
        <f t="shared" si="1455"/>
        <v>SR</v>
      </c>
    </row>
    <row r="942" s="698" customFormat="1" customHeight="1" spans="1:77">
      <c r="A942" s="227">
        <v>46160</v>
      </c>
      <c r="B942" s="248">
        <v>46208</v>
      </c>
      <c r="C942" s="242" t="s">
        <v>852</v>
      </c>
      <c r="D942" s="242" t="s">
        <v>853</v>
      </c>
      <c r="E942" s="242" t="s">
        <v>66</v>
      </c>
      <c r="F942" s="231">
        <v>12000</v>
      </c>
      <c r="G942" s="242" t="s">
        <v>334</v>
      </c>
      <c r="H942" s="211" t="str">
        <f>IFERROR(VLOOKUP(E942,名称!A:E,4,0),"")</f>
        <v>三代</v>
      </c>
      <c r="I942" s="268" t="str">
        <f t="shared" ref="I942:BM942" si="1465">IF(OR($E942="",I$1=""),"",IF(TRIM(LEFT($E942,MIN(IFERROR(FIND("CDU",UPPER($E942)),999),IFERROR(FIND("BULK",UPPER($E942)),999),IFERROR(FIND("-",$E942),999),IFERROR(FIND("（",$E942),999))-1))=I$1,$F942,""))</f>
        <v/>
      </c>
      <c r="J942" s="268" t="str">
        <f t="shared" si="1465"/>
        <v/>
      </c>
      <c r="K942" s="268" t="str">
        <f t="shared" si="1465"/>
        <v/>
      </c>
      <c r="L942" s="268" t="str">
        <f t="shared" si="1465"/>
        <v/>
      </c>
      <c r="M942" s="268" t="str">
        <f t="shared" si="1465"/>
        <v/>
      </c>
      <c r="N942" s="268" t="str">
        <f t="shared" si="1465"/>
        <v/>
      </c>
      <c r="O942" s="268" t="str">
        <f t="shared" si="1465"/>
        <v/>
      </c>
      <c r="P942" s="268" t="str">
        <f t="shared" si="1465"/>
        <v/>
      </c>
      <c r="Q942" s="268" t="str">
        <f t="shared" si="1465"/>
        <v/>
      </c>
      <c r="R942" s="268" t="str">
        <f t="shared" si="1465"/>
        <v/>
      </c>
      <c r="S942" s="268" t="str">
        <f t="shared" si="1465"/>
        <v/>
      </c>
      <c r="T942" s="268" t="str">
        <f t="shared" si="1465"/>
        <v/>
      </c>
      <c r="U942" s="268" t="str">
        <f t="shared" si="1465"/>
        <v/>
      </c>
      <c r="V942" s="268" t="str">
        <f t="shared" si="1465"/>
        <v/>
      </c>
      <c r="W942" s="268" t="str">
        <f t="shared" si="1465"/>
        <v/>
      </c>
      <c r="X942" s="268" t="str">
        <f t="shared" si="1465"/>
        <v/>
      </c>
      <c r="Y942" s="268" t="str">
        <f t="shared" si="1465"/>
        <v/>
      </c>
      <c r="Z942" s="268" t="str">
        <f t="shared" si="1465"/>
        <v/>
      </c>
      <c r="AA942" s="268" t="str">
        <f t="shared" si="1465"/>
        <v/>
      </c>
      <c r="AB942" s="268" t="str">
        <f t="shared" si="1465"/>
        <v/>
      </c>
      <c r="AC942" s="268" t="str">
        <f t="shared" si="1465"/>
        <v/>
      </c>
      <c r="AD942" s="268" t="str">
        <f t="shared" si="1465"/>
        <v/>
      </c>
      <c r="AE942" s="268" t="str">
        <f t="shared" si="1465"/>
        <v/>
      </c>
      <c r="AF942" s="268" t="str">
        <f t="shared" si="1465"/>
        <v/>
      </c>
      <c r="AG942" s="268">
        <f t="shared" si="1465"/>
        <v>12000</v>
      </c>
      <c r="AH942" s="268" t="str">
        <f t="shared" si="1465"/>
        <v/>
      </c>
      <c r="AI942" s="268" t="str">
        <f t="shared" si="1465"/>
        <v/>
      </c>
      <c r="AJ942" s="268" t="str">
        <f t="shared" si="1465"/>
        <v/>
      </c>
      <c r="AK942" s="268" t="str">
        <f t="shared" si="1465"/>
        <v/>
      </c>
      <c r="AL942" s="268" t="str">
        <f t="shared" si="1465"/>
        <v/>
      </c>
      <c r="AM942" s="268" t="str">
        <f t="shared" si="1465"/>
        <v/>
      </c>
      <c r="AN942" s="268" t="str">
        <f t="shared" si="1465"/>
        <v/>
      </c>
      <c r="AO942" s="268" t="str">
        <f t="shared" si="1465"/>
        <v/>
      </c>
      <c r="AP942" s="268" t="str">
        <f t="shared" si="1465"/>
        <v/>
      </c>
      <c r="AQ942" s="268" t="str">
        <f t="shared" si="1465"/>
        <v/>
      </c>
      <c r="AR942" s="268" t="str">
        <f t="shared" si="1465"/>
        <v/>
      </c>
      <c r="AS942" s="268" t="str">
        <f t="shared" si="1465"/>
        <v/>
      </c>
      <c r="AT942" s="268" t="str">
        <f t="shared" si="1465"/>
        <v/>
      </c>
      <c r="AU942" s="268" t="str">
        <f t="shared" si="1465"/>
        <v/>
      </c>
      <c r="AV942" s="268" t="str">
        <f t="shared" si="1465"/>
        <v/>
      </c>
      <c r="AW942" s="268" t="str">
        <f t="shared" si="1465"/>
        <v/>
      </c>
      <c r="AX942" s="268" t="str">
        <f t="shared" si="1465"/>
        <v/>
      </c>
      <c r="AY942" s="268" t="str">
        <f t="shared" si="1465"/>
        <v/>
      </c>
      <c r="AZ942" s="268" t="str">
        <f t="shared" si="1465"/>
        <v/>
      </c>
      <c r="BA942" s="268" t="str">
        <f t="shared" si="1465"/>
        <v/>
      </c>
      <c r="BB942" s="268" t="str">
        <f t="shared" si="1465"/>
        <v/>
      </c>
      <c r="BC942" s="268" t="str">
        <f t="shared" si="1465"/>
        <v/>
      </c>
      <c r="BD942" s="268" t="str">
        <f t="shared" si="1465"/>
        <v/>
      </c>
      <c r="BE942" s="268" t="str">
        <f t="shared" si="1465"/>
        <v/>
      </c>
      <c r="BF942" s="268" t="str">
        <f t="shared" si="1465"/>
        <v/>
      </c>
      <c r="BG942" s="268" t="str">
        <f t="shared" si="1465"/>
        <v/>
      </c>
      <c r="BH942" s="268" t="str">
        <f t="shared" si="1465"/>
        <v/>
      </c>
      <c r="BI942" s="268" t="str">
        <f t="shared" si="1465"/>
        <v/>
      </c>
      <c r="BJ942" s="268" t="str">
        <f t="shared" si="1465"/>
        <v/>
      </c>
      <c r="BK942" s="268" t="str">
        <f t="shared" si="1465"/>
        <v/>
      </c>
      <c r="BL942" s="268" t="str">
        <f t="shared" si="1465"/>
        <v/>
      </c>
      <c r="BM942" s="268" t="str">
        <f t="shared" si="1465"/>
        <v/>
      </c>
      <c r="BN942" s="268" t="str">
        <f t="shared" si="1456"/>
        <v/>
      </c>
      <c r="BO942" s="268" t="str">
        <f t="shared" si="1457"/>
        <v/>
      </c>
      <c r="BP942" s="268" t="str">
        <f t="shared" si="1458"/>
        <v/>
      </c>
      <c r="BQ942" s="268" t="str">
        <f t="shared" si="1459"/>
        <v/>
      </c>
      <c r="BR942" s="268" t="str">
        <f t="shared" si="1460"/>
        <v/>
      </c>
      <c r="BS942" s="268" t="str">
        <f t="shared" si="1461"/>
        <v/>
      </c>
      <c r="BT942" s="268" t="str">
        <f t="shared" si="1463"/>
        <v/>
      </c>
      <c r="BU942" s="268" t="str">
        <f t="shared" si="1464"/>
        <v/>
      </c>
      <c r="BV942" s="247">
        <v>2.02</v>
      </c>
      <c r="BW942" s="729">
        <f t="shared" si="1453"/>
        <v>24240</v>
      </c>
      <c r="BX942" s="730">
        <f t="shared" si="1454"/>
        <v>187860</v>
      </c>
      <c r="BY942" s="731" t="str">
        <f t="shared" si="1455"/>
        <v>SR</v>
      </c>
    </row>
    <row r="943" s="698" customFormat="1" customHeight="1" spans="1:77">
      <c r="A943" s="227">
        <v>46160</v>
      </c>
      <c r="B943" s="248">
        <v>46208</v>
      </c>
      <c r="C943" s="242" t="s">
        <v>852</v>
      </c>
      <c r="D943" s="242" t="s">
        <v>853</v>
      </c>
      <c r="E943" s="242" t="s">
        <v>84</v>
      </c>
      <c r="F943" s="231">
        <v>8640</v>
      </c>
      <c r="G943" s="242" t="s">
        <v>334</v>
      </c>
      <c r="H943" s="211" t="str">
        <f>IFERROR(VLOOKUP(E943,名称!A:E,4,0),"")</f>
        <v>三代</v>
      </c>
      <c r="I943" s="268" t="str">
        <f t="shared" ref="I943:BM943" si="1466">IF(OR($E943="",I$1=""),"",IF(TRIM(LEFT($E943,MIN(IFERROR(FIND("CDU",UPPER($E943)),999),IFERROR(FIND("BULK",UPPER($E943)),999),IFERROR(FIND("-",$E943),999),IFERROR(FIND("（",$E943),999))-1))=I$1,$F943,""))</f>
        <v/>
      </c>
      <c r="J943" s="268" t="str">
        <f t="shared" si="1466"/>
        <v/>
      </c>
      <c r="K943" s="268" t="str">
        <f t="shared" si="1466"/>
        <v/>
      </c>
      <c r="L943" s="268" t="str">
        <f t="shared" si="1466"/>
        <v/>
      </c>
      <c r="M943" s="268" t="str">
        <f t="shared" si="1466"/>
        <v/>
      </c>
      <c r="N943" s="268" t="str">
        <f t="shared" si="1466"/>
        <v/>
      </c>
      <c r="O943" s="268" t="str">
        <f t="shared" si="1466"/>
        <v/>
      </c>
      <c r="P943" s="268" t="str">
        <f t="shared" si="1466"/>
        <v/>
      </c>
      <c r="Q943" s="268" t="str">
        <f t="shared" si="1466"/>
        <v/>
      </c>
      <c r="R943" s="268" t="str">
        <f t="shared" si="1466"/>
        <v/>
      </c>
      <c r="S943" s="268" t="str">
        <f t="shared" si="1466"/>
        <v/>
      </c>
      <c r="T943" s="268" t="str">
        <f t="shared" si="1466"/>
        <v/>
      </c>
      <c r="U943" s="268" t="str">
        <f t="shared" si="1466"/>
        <v/>
      </c>
      <c r="V943" s="268" t="str">
        <f t="shared" si="1466"/>
        <v/>
      </c>
      <c r="W943" s="268" t="str">
        <f t="shared" si="1466"/>
        <v/>
      </c>
      <c r="X943" s="268" t="str">
        <f t="shared" si="1466"/>
        <v/>
      </c>
      <c r="Y943" s="268" t="str">
        <f t="shared" si="1466"/>
        <v/>
      </c>
      <c r="Z943" s="268" t="str">
        <f t="shared" si="1466"/>
        <v/>
      </c>
      <c r="AA943" s="268" t="str">
        <f t="shared" si="1466"/>
        <v/>
      </c>
      <c r="AB943" s="268" t="str">
        <f t="shared" si="1466"/>
        <v/>
      </c>
      <c r="AC943" s="268" t="str">
        <f t="shared" si="1466"/>
        <v/>
      </c>
      <c r="AD943" s="268" t="str">
        <f t="shared" si="1466"/>
        <v/>
      </c>
      <c r="AE943" s="268" t="str">
        <f t="shared" si="1466"/>
        <v/>
      </c>
      <c r="AF943" s="268" t="str">
        <f t="shared" si="1466"/>
        <v/>
      </c>
      <c r="AG943" s="268" t="str">
        <f t="shared" si="1466"/>
        <v/>
      </c>
      <c r="AH943" s="268" t="str">
        <f t="shared" si="1466"/>
        <v/>
      </c>
      <c r="AI943" s="268" t="str">
        <f t="shared" si="1466"/>
        <v/>
      </c>
      <c r="AJ943" s="268" t="str">
        <f t="shared" si="1466"/>
        <v/>
      </c>
      <c r="AK943" s="268" t="str">
        <f t="shared" si="1466"/>
        <v/>
      </c>
      <c r="AL943" s="268" t="str">
        <f t="shared" si="1466"/>
        <v/>
      </c>
      <c r="AM943" s="268" t="str">
        <f t="shared" si="1466"/>
        <v/>
      </c>
      <c r="AN943" s="268">
        <f t="shared" si="1466"/>
        <v>8640</v>
      </c>
      <c r="AO943" s="268" t="str">
        <f t="shared" si="1466"/>
        <v/>
      </c>
      <c r="AP943" s="268" t="str">
        <f t="shared" si="1466"/>
        <v/>
      </c>
      <c r="AQ943" s="268" t="str">
        <f t="shared" si="1466"/>
        <v/>
      </c>
      <c r="AR943" s="268" t="str">
        <f t="shared" si="1466"/>
        <v/>
      </c>
      <c r="AS943" s="268" t="str">
        <f t="shared" si="1466"/>
        <v/>
      </c>
      <c r="AT943" s="268" t="str">
        <f t="shared" si="1466"/>
        <v/>
      </c>
      <c r="AU943" s="268" t="str">
        <f t="shared" si="1466"/>
        <v/>
      </c>
      <c r="AV943" s="268" t="str">
        <f t="shared" si="1466"/>
        <v/>
      </c>
      <c r="AW943" s="268" t="str">
        <f t="shared" si="1466"/>
        <v/>
      </c>
      <c r="AX943" s="268" t="str">
        <f t="shared" si="1466"/>
        <v/>
      </c>
      <c r="AY943" s="268" t="str">
        <f t="shared" si="1466"/>
        <v/>
      </c>
      <c r="AZ943" s="268" t="str">
        <f t="shared" si="1466"/>
        <v/>
      </c>
      <c r="BA943" s="268" t="str">
        <f t="shared" si="1466"/>
        <v/>
      </c>
      <c r="BB943" s="268" t="str">
        <f t="shared" si="1466"/>
        <v/>
      </c>
      <c r="BC943" s="268" t="str">
        <f t="shared" si="1466"/>
        <v/>
      </c>
      <c r="BD943" s="268" t="str">
        <f t="shared" si="1466"/>
        <v/>
      </c>
      <c r="BE943" s="268" t="str">
        <f t="shared" si="1466"/>
        <v/>
      </c>
      <c r="BF943" s="268" t="str">
        <f t="shared" si="1466"/>
        <v/>
      </c>
      <c r="BG943" s="268" t="str">
        <f t="shared" si="1466"/>
        <v/>
      </c>
      <c r="BH943" s="268" t="str">
        <f t="shared" si="1466"/>
        <v/>
      </c>
      <c r="BI943" s="268" t="str">
        <f t="shared" si="1466"/>
        <v/>
      </c>
      <c r="BJ943" s="268" t="str">
        <f t="shared" si="1466"/>
        <v/>
      </c>
      <c r="BK943" s="268" t="str">
        <f t="shared" si="1466"/>
        <v/>
      </c>
      <c r="BL943" s="268" t="str">
        <f t="shared" si="1466"/>
        <v/>
      </c>
      <c r="BM943" s="268" t="str">
        <f t="shared" si="1466"/>
        <v/>
      </c>
      <c r="BN943" s="268" t="str">
        <f t="shared" si="1456"/>
        <v/>
      </c>
      <c r="BO943" s="268" t="str">
        <f t="shared" si="1457"/>
        <v/>
      </c>
      <c r="BP943" s="268" t="str">
        <f t="shared" si="1458"/>
        <v/>
      </c>
      <c r="BQ943" s="268" t="str">
        <f t="shared" si="1459"/>
        <v/>
      </c>
      <c r="BR943" s="268" t="str">
        <f t="shared" si="1460"/>
        <v/>
      </c>
      <c r="BS943" s="268" t="str">
        <f t="shared" si="1461"/>
        <v/>
      </c>
      <c r="BT943" s="268" t="str">
        <f t="shared" si="1463"/>
        <v/>
      </c>
      <c r="BU943" s="268" t="str">
        <f t="shared" si="1464"/>
        <v/>
      </c>
      <c r="BV943" s="247">
        <v>0.88</v>
      </c>
      <c r="BW943" s="729">
        <f t="shared" si="1453"/>
        <v>7603.2</v>
      </c>
      <c r="BX943" s="730">
        <f t="shared" si="1454"/>
        <v>58924.8</v>
      </c>
      <c r="BY943" s="731" t="str">
        <f t="shared" si="1455"/>
        <v>SR</v>
      </c>
    </row>
    <row r="944" s="698" customFormat="1" customHeight="1" spans="1:77">
      <c r="A944" s="227">
        <v>46160</v>
      </c>
      <c r="B944" s="248">
        <v>46208</v>
      </c>
      <c r="C944" s="242" t="s">
        <v>852</v>
      </c>
      <c r="D944" s="242" t="s">
        <v>853</v>
      </c>
      <c r="E944" s="242" t="s">
        <v>84</v>
      </c>
      <c r="F944" s="231">
        <f>36000-8640</f>
        <v>27360</v>
      </c>
      <c r="G944" s="242" t="s">
        <v>334</v>
      </c>
      <c r="H944" s="211" t="str">
        <f>IFERROR(VLOOKUP(E944,名称!A:E,4,0),"")</f>
        <v>三代</v>
      </c>
      <c r="I944" s="268" t="str">
        <f t="shared" ref="I944:BM944" si="1467">IF(OR($E944="",I$1=""),"",IF(TRIM(LEFT($E944,MIN(IFERROR(FIND("CDU",UPPER($E944)),999),IFERROR(FIND("BULK",UPPER($E944)),999),IFERROR(FIND("-",$E944),999),IFERROR(FIND("（",$E944),999))-1))=I$1,$F944,""))</f>
        <v/>
      </c>
      <c r="J944" s="268" t="str">
        <f t="shared" si="1467"/>
        <v/>
      </c>
      <c r="K944" s="268" t="str">
        <f t="shared" si="1467"/>
        <v/>
      </c>
      <c r="L944" s="268" t="str">
        <f t="shared" si="1467"/>
        <v/>
      </c>
      <c r="M944" s="268" t="str">
        <f t="shared" si="1467"/>
        <v/>
      </c>
      <c r="N944" s="268" t="str">
        <f t="shared" si="1467"/>
        <v/>
      </c>
      <c r="O944" s="268" t="str">
        <f t="shared" si="1467"/>
        <v/>
      </c>
      <c r="P944" s="268" t="str">
        <f t="shared" si="1467"/>
        <v/>
      </c>
      <c r="Q944" s="268" t="str">
        <f t="shared" si="1467"/>
        <v/>
      </c>
      <c r="R944" s="268" t="str">
        <f t="shared" si="1467"/>
        <v/>
      </c>
      <c r="S944" s="268" t="str">
        <f t="shared" si="1467"/>
        <v/>
      </c>
      <c r="T944" s="268" t="str">
        <f t="shared" si="1467"/>
        <v/>
      </c>
      <c r="U944" s="268" t="str">
        <f t="shared" si="1467"/>
        <v/>
      </c>
      <c r="V944" s="268" t="str">
        <f t="shared" si="1467"/>
        <v/>
      </c>
      <c r="W944" s="268" t="str">
        <f t="shared" si="1467"/>
        <v/>
      </c>
      <c r="X944" s="268" t="str">
        <f t="shared" si="1467"/>
        <v/>
      </c>
      <c r="Y944" s="268" t="str">
        <f t="shared" si="1467"/>
        <v/>
      </c>
      <c r="Z944" s="268" t="str">
        <f t="shared" si="1467"/>
        <v/>
      </c>
      <c r="AA944" s="268" t="str">
        <f t="shared" si="1467"/>
        <v/>
      </c>
      <c r="AB944" s="268" t="str">
        <f t="shared" si="1467"/>
        <v/>
      </c>
      <c r="AC944" s="268" t="str">
        <f t="shared" si="1467"/>
        <v/>
      </c>
      <c r="AD944" s="268" t="str">
        <f t="shared" si="1467"/>
        <v/>
      </c>
      <c r="AE944" s="268" t="str">
        <f t="shared" si="1467"/>
        <v/>
      </c>
      <c r="AF944" s="268" t="str">
        <f t="shared" si="1467"/>
        <v/>
      </c>
      <c r="AG944" s="268" t="str">
        <f t="shared" si="1467"/>
        <v/>
      </c>
      <c r="AH944" s="268" t="str">
        <f t="shared" si="1467"/>
        <v/>
      </c>
      <c r="AI944" s="268" t="str">
        <f t="shared" si="1467"/>
        <v/>
      </c>
      <c r="AJ944" s="268" t="str">
        <f t="shared" si="1467"/>
        <v/>
      </c>
      <c r="AK944" s="268" t="str">
        <f t="shared" si="1467"/>
        <v/>
      </c>
      <c r="AL944" s="268" t="str">
        <f t="shared" si="1467"/>
        <v/>
      </c>
      <c r="AM944" s="268" t="str">
        <f t="shared" si="1467"/>
        <v/>
      </c>
      <c r="AN944" s="268">
        <f t="shared" si="1467"/>
        <v>27360</v>
      </c>
      <c r="AO944" s="268" t="str">
        <f t="shared" si="1467"/>
        <v/>
      </c>
      <c r="AP944" s="268" t="str">
        <f t="shared" si="1467"/>
        <v/>
      </c>
      <c r="AQ944" s="268" t="str">
        <f t="shared" si="1467"/>
        <v/>
      </c>
      <c r="AR944" s="268" t="str">
        <f t="shared" si="1467"/>
        <v/>
      </c>
      <c r="AS944" s="268" t="str">
        <f t="shared" si="1467"/>
        <v/>
      </c>
      <c r="AT944" s="268" t="str">
        <f t="shared" si="1467"/>
        <v/>
      </c>
      <c r="AU944" s="268" t="str">
        <f t="shared" si="1467"/>
        <v/>
      </c>
      <c r="AV944" s="268" t="str">
        <f t="shared" si="1467"/>
        <v/>
      </c>
      <c r="AW944" s="268" t="str">
        <f t="shared" si="1467"/>
        <v/>
      </c>
      <c r="AX944" s="268" t="str">
        <f t="shared" si="1467"/>
        <v/>
      </c>
      <c r="AY944" s="268" t="str">
        <f t="shared" si="1467"/>
        <v/>
      </c>
      <c r="AZ944" s="268" t="str">
        <f t="shared" si="1467"/>
        <v/>
      </c>
      <c r="BA944" s="268" t="str">
        <f t="shared" si="1467"/>
        <v/>
      </c>
      <c r="BB944" s="268" t="str">
        <f t="shared" si="1467"/>
        <v/>
      </c>
      <c r="BC944" s="268" t="str">
        <f t="shared" si="1467"/>
        <v/>
      </c>
      <c r="BD944" s="268" t="str">
        <f t="shared" si="1467"/>
        <v/>
      </c>
      <c r="BE944" s="268" t="str">
        <f t="shared" si="1467"/>
        <v/>
      </c>
      <c r="BF944" s="268" t="str">
        <f t="shared" si="1467"/>
        <v/>
      </c>
      <c r="BG944" s="268" t="str">
        <f t="shared" si="1467"/>
        <v/>
      </c>
      <c r="BH944" s="268" t="str">
        <f t="shared" si="1467"/>
        <v/>
      </c>
      <c r="BI944" s="268" t="str">
        <f t="shared" si="1467"/>
        <v/>
      </c>
      <c r="BJ944" s="268" t="str">
        <f t="shared" si="1467"/>
        <v/>
      </c>
      <c r="BK944" s="268" t="str">
        <f t="shared" si="1467"/>
        <v/>
      </c>
      <c r="BL944" s="268" t="str">
        <f t="shared" si="1467"/>
        <v/>
      </c>
      <c r="BM944" s="268" t="str">
        <f t="shared" si="1467"/>
        <v/>
      </c>
      <c r="BN944" s="268" t="str">
        <f t="shared" si="1456"/>
        <v/>
      </c>
      <c r="BO944" s="268" t="str">
        <f t="shared" si="1457"/>
        <v/>
      </c>
      <c r="BP944" s="268" t="str">
        <f t="shared" si="1458"/>
        <v/>
      </c>
      <c r="BQ944" s="268" t="str">
        <f t="shared" si="1459"/>
        <v/>
      </c>
      <c r="BR944" s="268" t="str">
        <f t="shared" si="1460"/>
        <v/>
      </c>
      <c r="BS944" s="268" t="str">
        <f t="shared" si="1461"/>
        <v/>
      </c>
      <c r="BT944" s="268" t="str">
        <f t="shared" si="1463"/>
        <v/>
      </c>
      <c r="BU944" s="268" t="str">
        <f t="shared" si="1464"/>
        <v/>
      </c>
      <c r="BV944" s="353">
        <v>0.88</v>
      </c>
      <c r="BW944" s="729">
        <f t="shared" ref="BW944:BW954" si="1468">SUM(I944:BU944)*BV944</f>
        <v>24076.8</v>
      </c>
      <c r="BX944" s="730">
        <f t="shared" ref="BX944:BX954" si="1469">BW944*7.75</f>
        <v>186595.2</v>
      </c>
      <c r="BY944" s="731" t="str">
        <f t="shared" ref="BY944:BY954" si="1470">MID(E944,1,2)</f>
        <v>SR</v>
      </c>
    </row>
    <row r="945" s="698" customFormat="1" customHeight="1" spans="1:77">
      <c r="A945" s="227">
        <v>46160</v>
      </c>
      <c r="B945" s="248">
        <v>46208</v>
      </c>
      <c r="C945" s="242" t="s">
        <v>852</v>
      </c>
      <c r="D945" s="242" t="s">
        <v>853</v>
      </c>
      <c r="E945" s="242" t="s">
        <v>119</v>
      </c>
      <c r="F945" s="231">
        <v>12000</v>
      </c>
      <c r="G945" s="242" t="s">
        <v>334</v>
      </c>
      <c r="H945" s="211" t="str">
        <f>IFERROR(VLOOKUP(E945,名称!A:E,4,0),"")</f>
        <v>三代</v>
      </c>
      <c r="I945" s="268" t="str">
        <f t="shared" ref="I945:BM945" si="1471">IF(OR($E945="",I$1=""),"",IF(TRIM(LEFT($E945,MIN(IFERROR(FIND("CDU",UPPER($E945)),999),IFERROR(FIND("BULK",UPPER($E945)),999),IFERROR(FIND("-",$E945),999),IFERROR(FIND("（",$E945),999))-1))=I$1,$F945,""))</f>
        <v/>
      </c>
      <c r="J945" s="268" t="str">
        <f t="shared" si="1471"/>
        <v/>
      </c>
      <c r="K945" s="268" t="str">
        <f t="shared" si="1471"/>
        <v/>
      </c>
      <c r="L945" s="268" t="str">
        <f t="shared" si="1471"/>
        <v/>
      </c>
      <c r="M945" s="268" t="str">
        <f t="shared" si="1471"/>
        <v/>
      </c>
      <c r="N945" s="268" t="str">
        <f t="shared" si="1471"/>
        <v/>
      </c>
      <c r="O945" s="268" t="str">
        <f t="shared" si="1471"/>
        <v/>
      </c>
      <c r="P945" s="268" t="str">
        <f t="shared" si="1471"/>
        <v/>
      </c>
      <c r="Q945" s="268" t="str">
        <f t="shared" si="1471"/>
        <v/>
      </c>
      <c r="R945" s="268" t="str">
        <f t="shared" si="1471"/>
        <v/>
      </c>
      <c r="S945" s="268" t="str">
        <f t="shared" si="1471"/>
        <v/>
      </c>
      <c r="T945" s="268" t="str">
        <f t="shared" si="1471"/>
        <v/>
      </c>
      <c r="U945" s="268" t="str">
        <f t="shared" si="1471"/>
        <v/>
      </c>
      <c r="V945" s="268" t="str">
        <f t="shared" si="1471"/>
        <v/>
      </c>
      <c r="W945" s="268" t="str">
        <f t="shared" si="1471"/>
        <v/>
      </c>
      <c r="X945" s="268" t="str">
        <f t="shared" si="1471"/>
        <v/>
      </c>
      <c r="Y945" s="268" t="str">
        <f t="shared" si="1471"/>
        <v/>
      </c>
      <c r="Z945" s="268" t="str">
        <f t="shared" si="1471"/>
        <v/>
      </c>
      <c r="AA945" s="268" t="str">
        <f t="shared" si="1471"/>
        <v/>
      </c>
      <c r="AB945" s="268" t="str">
        <f t="shared" si="1471"/>
        <v/>
      </c>
      <c r="AC945" s="268" t="str">
        <f t="shared" si="1471"/>
        <v/>
      </c>
      <c r="AD945" s="268" t="str">
        <f t="shared" si="1471"/>
        <v/>
      </c>
      <c r="AE945" s="268" t="str">
        <f t="shared" si="1471"/>
        <v/>
      </c>
      <c r="AF945" s="268" t="str">
        <f t="shared" si="1471"/>
        <v/>
      </c>
      <c r="AG945" s="268" t="str">
        <f t="shared" si="1471"/>
        <v/>
      </c>
      <c r="AH945" s="268" t="str">
        <f t="shared" si="1471"/>
        <v/>
      </c>
      <c r="AI945" s="268" t="str">
        <f t="shared" si="1471"/>
        <v/>
      </c>
      <c r="AJ945" s="268" t="str">
        <f t="shared" si="1471"/>
        <v/>
      </c>
      <c r="AK945" s="268" t="str">
        <f t="shared" si="1471"/>
        <v/>
      </c>
      <c r="AL945" s="268" t="str">
        <f t="shared" si="1471"/>
        <v/>
      </c>
      <c r="AM945" s="268" t="str">
        <f t="shared" si="1471"/>
        <v/>
      </c>
      <c r="AN945" s="268" t="str">
        <f t="shared" si="1471"/>
        <v/>
      </c>
      <c r="AO945" s="268" t="str">
        <f t="shared" si="1471"/>
        <v/>
      </c>
      <c r="AP945" s="268">
        <f t="shared" si="1471"/>
        <v>12000</v>
      </c>
      <c r="AQ945" s="268" t="str">
        <f t="shared" si="1471"/>
        <v/>
      </c>
      <c r="AR945" s="268" t="str">
        <f t="shared" si="1471"/>
        <v/>
      </c>
      <c r="AS945" s="268" t="str">
        <f t="shared" si="1471"/>
        <v/>
      </c>
      <c r="AT945" s="268" t="str">
        <f t="shared" si="1471"/>
        <v/>
      </c>
      <c r="AU945" s="268" t="str">
        <f t="shared" si="1471"/>
        <v/>
      </c>
      <c r="AV945" s="268" t="str">
        <f t="shared" si="1471"/>
        <v/>
      </c>
      <c r="AW945" s="268" t="str">
        <f t="shared" si="1471"/>
        <v/>
      </c>
      <c r="AX945" s="268" t="str">
        <f t="shared" si="1471"/>
        <v/>
      </c>
      <c r="AY945" s="268" t="str">
        <f t="shared" si="1471"/>
        <v/>
      </c>
      <c r="AZ945" s="268" t="str">
        <f t="shared" si="1471"/>
        <v/>
      </c>
      <c r="BA945" s="268" t="str">
        <f t="shared" si="1471"/>
        <v/>
      </c>
      <c r="BB945" s="268" t="str">
        <f t="shared" si="1471"/>
        <v/>
      </c>
      <c r="BC945" s="268" t="str">
        <f t="shared" si="1471"/>
        <v/>
      </c>
      <c r="BD945" s="268" t="str">
        <f t="shared" si="1471"/>
        <v/>
      </c>
      <c r="BE945" s="268" t="str">
        <f t="shared" si="1471"/>
        <v/>
      </c>
      <c r="BF945" s="268" t="str">
        <f t="shared" si="1471"/>
        <v/>
      </c>
      <c r="BG945" s="268" t="str">
        <f t="shared" si="1471"/>
        <v/>
      </c>
      <c r="BH945" s="268" t="str">
        <f t="shared" si="1471"/>
        <v/>
      </c>
      <c r="BI945" s="268" t="str">
        <f t="shared" si="1471"/>
        <v/>
      </c>
      <c r="BJ945" s="268" t="str">
        <f t="shared" si="1471"/>
        <v/>
      </c>
      <c r="BK945" s="268" t="str">
        <f t="shared" si="1471"/>
        <v/>
      </c>
      <c r="BL945" s="268" t="str">
        <f t="shared" si="1471"/>
        <v/>
      </c>
      <c r="BM945" s="268" t="str">
        <f t="shared" si="1471"/>
        <v/>
      </c>
      <c r="BN945" s="268" t="str">
        <f t="shared" si="1456"/>
        <v/>
      </c>
      <c r="BO945" s="268" t="str">
        <f t="shared" si="1457"/>
        <v/>
      </c>
      <c r="BP945" s="268" t="str">
        <f t="shared" si="1458"/>
        <v/>
      </c>
      <c r="BQ945" s="268" t="str">
        <f t="shared" si="1459"/>
        <v/>
      </c>
      <c r="BR945" s="268" t="str">
        <f t="shared" si="1460"/>
        <v/>
      </c>
      <c r="BS945" s="268" t="str">
        <f t="shared" si="1461"/>
        <v/>
      </c>
      <c r="BT945" s="268" t="str">
        <f t="shared" si="1463"/>
        <v/>
      </c>
      <c r="BU945" s="268" t="str">
        <f t="shared" si="1464"/>
        <v/>
      </c>
      <c r="BV945" s="247">
        <v>0.61</v>
      </c>
      <c r="BW945" s="729">
        <f t="shared" si="1468"/>
        <v>7320</v>
      </c>
      <c r="BX945" s="730">
        <f t="shared" si="1469"/>
        <v>56730</v>
      </c>
      <c r="BY945" s="731" t="str">
        <f t="shared" si="1470"/>
        <v>SR</v>
      </c>
    </row>
    <row r="946" s="698" customFormat="1" customHeight="1" spans="1:77">
      <c r="A946" s="208">
        <v>46161</v>
      </c>
      <c r="B946" s="248">
        <v>46217</v>
      </c>
      <c r="C946" s="211" t="s">
        <v>854</v>
      </c>
      <c r="D946" s="211" t="s">
        <v>855</v>
      </c>
      <c r="E946" s="211" t="s">
        <v>52</v>
      </c>
      <c r="F946" s="343">
        <v>1200</v>
      </c>
      <c r="G946" s="211" t="s">
        <v>510</v>
      </c>
      <c r="H946" s="211" t="str">
        <f>IFERROR(VLOOKUP(E946,名称!A:E,4,0),"")</f>
        <v>蛋糕</v>
      </c>
      <c r="I946" s="268" t="str">
        <f t="shared" ref="I946:BP946" si="1472">IF(OR($E946="",I$1=""),"",IF(TRIM(LEFT($E946,MIN(IFERROR(FIND("CDU",UPPER($E946)),999),IFERROR(FIND("BULK",UPPER($E946)),999),IFERROR(FIND("-",$E946),999),IFERROR(FIND("（",$E946),999))-1))=I$1,$F946,""))</f>
        <v/>
      </c>
      <c r="J946" s="268" t="str">
        <f t="shared" si="1472"/>
        <v/>
      </c>
      <c r="K946" s="268" t="str">
        <f t="shared" si="1472"/>
        <v/>
      </c>
      <c r="L946" s="268" t="str">
        <f t="shared" si="1472"/>
        <v/>
      </c>
      <c r="M946" s="268" t="str">
        <f t="shared" si="1472"/>
        <v/>
      </c>
      <c r="N946" s="268" t="str">
        <f t="shared" si="1472"/>
        <v/>
      </c>
      <c r="O946" s="268" t="str">
        <f t="shared" si="1472"/>
        <v/>
      </c>
      <c r="P946" s="268" t="str">
        <f t="shared" si="1472"/>
        <v/>
      </c>
      <c r="Q946" s="268" t="str">
        <f t="shared" si="1472"/>
        <v/>
      </c>
      <c r="R946" s="268" t="str">
        <f t="shared" si="1472"/>
        <v/>
      </c>
      <c r="S946" s="268" t="str">
        <f t="shared" si="1472"/>
        <v/>
      </c>
      <c r="T946" s="268" t="str">
        <f t="shared" si="1472"/>
        <v/>
      </c>
      <c r="U946" s="268" t="str">
        <f t="shared" si="1472"/>
        <v/>
      </c>
      <c r="V946" s="268" t="str">
        <f t="shared" si="1472"/>
        <v/>
      </c>
      <c r="W946" s="268" t="str">
        <f t="shared" si="1472"/>
        <v/>
      </c>
      <c r="X946" s="268" t="str">
        <f t="shared" si="1472"/>
        <v/>
      </c>
      <c r="Y946" s="268" t="str">
        <f t="shared" si="1472"/>
        <v/>
      </c>
      <c r="Z946" s="268" t="str">
        <f t="shared" si="1472"/>
        <v/>
      </c>
      <c r="AA946" s="268" t="str">
        <f t="shared" si="1472"/>
        <v/>
      </c>
      <c r="AB946" s="268" t="str">
        <f t="shared" si="1472"/>
        <v/>
      </c>
      <c r="AC946" s="268" t="str">
        <f t="shared" si="1472"/>
        <v/>
      </c>
      <c r="AD946" s="268" t="str">
        <f t="shared" si="1472"/>
        <v/>
      </c>
      <c r="AE946" s="268" t="str">
        <f t="shared" si="1472"/>
        <v/>
      </c>
      <c r="AF946" s="268" t="str">
        <f t="shared" si="1472"/>
        <v/>
      </c>
      <c r="AG946" s="268" t="str">
        <f t="shared" si="1472"/>
        <v/>
      </c>
      <c r="AH946" s="268" t="str">
        <f t="shared" si="1472"/>
        <v/>
      </c>
      <c r="AI946" s="268" t="str">
        <f t="shared" si="1472"/>
        <v/>
      </c>
      <c r="AJ946" s="268" t="str">
        <f t="shared" si="1472"/>
        <v/>
      </c>
      <c r="AK946" s="268" t="str">
        <f t="shared" si="1472"/>
        <v/>
      </c>
      <c r="AL946" s="268" t="str">
        <f t="shared" si="1472"/>
        <v/>
      </c>
      <c r="AM946" s="268" t="str">
        <f t="shared" si="1472"/>
        <v/>
      </c>
      <c r="AN946" s="268" t="str">
        <f t="shared" si="1472"/>
        <v/>
      </c>
      <c r="AO946" s="268" t="str">
        <f t="shared" si="1472"/>
        <v/>
      </c>
      <c r="AP946" s="268" t="str">
        <f t="shared" si="1472"/>
        <v/>
      </c>
      <c r="AQ946" s="268" t="str">
        <f t="shared" si="1472"/>
        <v/>
      </c>
      <c r="AR946" s="268" t="str">
        <f t="shared" si="1472"/>
        <v/>
      </c>
      <c r="AS946" s="268" t="str">
        <f t="shared" si="1472"/>
        <v/>
      </c>
      <c r="AT946" s="268" t="str">
        <f t="shared" si="1472"/>
        <v/>
      </c>
      <c r="AU946" s="268" t="str">
        <f t="shared" si="1472"/>
        <v/>
      </c>
      <c r="AV946" s="268" t="str">
        <f t="shared" si="1472"/>
        <v/>
      </c>
      <c r="AW946" s="268" t="str">
        <f t="shared" si="1472"/>
        <v/>
      </c>
      <c r="AX946" s="268" t="str">
        <f t="shared" si="1472"/>
        <v/>
      </c>
      <c r="AY946" s="268" t="str">
        <f t="shared" si="1472"/>
        <v/>
      </c>
      <c r="AZ946" s="268" t="str">
        <f t="shared" si="1472"/>
        <v/>
      </c>
      <c r="BA946" s="268" t="str">
        <f t="shared" si="1472"/>
        <v/>
      </c>
      <c r="BB946" s="268" t="str">
        <f t="shared" si="1472"/>
        <v/>
      </c>
      <c r="BC946" s="268" t="str">
        <f t="shared" si="1472"/>
        <v/>
      </c>
      <c r="BD946" s="268" t="str">
        <f t="shared" si="1472"/>
        <v/>
      </c>
      <c r="BE946" s="268" t="str">
        <f t="shared" si="1472"/>
        <v/>
      </c>
      <c r="BF946" s="268" t="str">
        <f t="shared" si="1472"/>
        <v/>
      </c>
      <c r="BG946" s="268" t="str">
        <f t="shared" si="1472"/>
        <v/>
      </c>
      <c r="BH946" s="268">
        <f t="shared" si="1472"/>
        <v>1200</v>
      </c>
      <c r="BI946" s="268" t="str">
        <f t="shared" si="1472"/>
        <v/>
      </c>
      <c r="BJ946" s="268" t="str">
        <f t="shared" si="1472"/>
        <v/>
      </c>
      <c r="BK946" s="268" t="str">
        <f t="shared" si="1472"/>
        <v/>
      </c>
      <c r="BL946" s="268" t="str">
        <f t="shared" si="1472"/>
        <v/>
      </c>
      <c r="BM946" s="268" t="str">
        <f t="shared" si="1472"/>
        <v/>
      </c>
      <c r="BN946" s="268" t="str">
        <f t="shared" si="1472"/>
        <v/>
      </c>
      <c r="BO946" s="268" t="str">
        <f t="shared" si="1472"/>
        <v/>
      </c>
      <c r="BP946" s="268" t="str">
        <f t="shared" si="1472"/>
        <v/>
      </c>
      <c r="BQ946" s="268" t="str">
        <f t="shared" si="1459"/>
        <v/>
      </c>
      <c r="BR946" s="268" t="str">
        <f t="shared" si="1460"/>
        <v/>
      </c>
      <c r="BS946" s="268" t="str">
        <f t="shared" si="1461"/>
        <v/>
      </c>
      <c r="BT946" s="268" t="str">
        <f t="shared" ref="BT946:BT951" si="1473">IF(OR($E946="",BT$1=""),"",IF(TRIM(LEFT($E946,MIN(IFERROR(FIND("CDU",UPPER($E946)),999),IFERROR(FIND("BULK",UPPER($E946)),999),IFERROR(FIND("-",$E946),999),IFERROR(FIND("（",$E946),999))-1))=BT$1,$F946,""))</f>
        <v/>
      </c>
      <c r="BU946" s="268" t="str">
        <f t="shared" ref="BU946:BU951" si="1474">IF(OR($E946="",BU$1=""),"",IF(TRIM(LEFT($E946,MIN(IFERROR(FIND("CDU",UPPER($E946)),999),IFERROR(FIND("BULK",UPPER($E946)),999),IFERROR(FIND("-",$E946),999),IFERROR(FIND("（",$E946),999))-1))=BU$1,$F946,""))</f>
        <v/>
      </c>
      <c r="BV946" s="247">
        <v>2.82</v>
      </c>
      <c r="BW946" s="729">
        <f t="shared" si="1468"/>
        <v>3384</v>
      </c>
      <c r="BX946" s="730">
        <f t="shared" si="1469"/>
        <v>26226</v>
      </c>
      <c r="BY946" s="731" t="str">
        <f t="shared" si="1470"/>
        <v>JC</v>
      </c>
    </row>
    <row r="947" s="698" customFormat="1" customHeight="1" spans="1:77">
      <c r="A947" s="208">
        <v>46161</v>
      </c>
      <c r="B947" s="248">
        <v>46217</v>
      </c>
      <c r="C947" s="211" t="s">
        <v>854</v>
      </c>
      <c r="D947" s="211" t="s">
        <v>855</v>
      </c>
      <c r="E947" s="211" t="s">
        <v>50</v>
      </c>
      <c r="F947" s="343">
        <v>9000</v>
      </c>
      <c r="G947" s="211" t="s">
        <v>510</v>
      </c>
      <c r="H947" s="211" t="str">
        <f>IFERROR(VLOOKUP(E947,名称!A:E,4,0),"")</f>
        <v>蛋糕</v>
      </c>
      <c r="I947" s="268" t="str">
        <f t="shared" ref="I947:BP947" si="1475">IF(OR($E947="",I$1=""),"",IF(TRIM(LEFT($E947,MIN(IFERROR(FIND("CDU",UPPER($E947)),999),IFERROR(FIND("BULK",UPPER($E947)),999),IFERROR(FIND("-",$E947),999),IFERROR(FIND("（",$E947),999))-1))=I$1,$F947,""))</f>
        <v/>
      </c>
      <c r="J947" s="268" t="str">
        <f t="shared" si="1475"/>
        <v/>
      </c>
      <c r="K947" s="268" t="str">
        <f t="shared" si="1475"/>
        <v/>
      </c>
      <c r="L947" s="268" t="str">
        <f t="shared" si="1475"/>
        <v/>
      </c>
      <c r="M947" s="268" t="str">
        <f t="shared" si="1475"/>
        <v/>
      </c>
      <c r="N947" s="268" t="str">
        <f t="shared" si="1475"/>
        <v/>
      </c>
      <c r="O947" s="268" t="str">
        <f t="shared" si="1475"/>
        <v/>
      </c>
      <c r="P947" s="268" t="str">
        <f t="shared" si="1475"/>
        <v/>
      </c>
      <c r="Q947" s="268" t="str">
        <f t="shared" si="1475"/>
        <v/>
      </c>
      <c r="R947" s="268" t="str">
        <f t="shared" si="1475"/>
        <v/>
      </c>
      <c r="S947" s="268" t="str">
        <f t="shared" si="1475"/>
        <v/>
      </c>
      <c r="T947" s="268" t="str">
        <f t="shared" si="1475"/>
        <v/>
      </c>
      <c r="U947" s="268" t="str">
        <f t="shared" si="1475"/>
        <v/>
      </c>
      <c r="V947" s="268" t="str">
        <f t="shared" si="1475"/>
        <v/>
      </c>
      <c r="W947" s="268" t="str">
        <f t="shared" si="1475"/>
        <v/>
      </c>
      <c r="X947" s="268" t="str">
        <f t="shared" si="1475"/>
        <v/>
      </c>
      <c r="Y947" s="268" t="str">
        <f t="shared" si="1475"/>
        <v/>
      </c>
      <c r="Z947" s="268" t="str">
        <f t="shared" si="1475"/>
        <v/>
      </c>
      <c r="AA947" s="268" t="str">
        <f t="shared" si="1475"/>
        <v/>
      </c>
      <c r="AB947" s="268" t="str">
        <f t="shared" si="1475"/>
        <v/>
      </c>
      <c r="AC947" s="268" t="str">
        <f t="shared" si="1475"/>
        <v/>
      </c>
      <c r="AD947" s="268" t="str">
        <f t="shared" si="1475"/>
        <v/>
      </c>
      <c r="AE947" s="268" t="str">
        <f t="shared" si="1475"/>
        <v/>
      </c>
      <c r="AF947" s="268" t="str">
        <f t="shared" si="1475"/>
        <v/>
      </c>
      <c r="AG947" s="268" t="str">
        <f t="shared" si="1475"/>
        <v/>
      </c>
      <c r="AH947" s="268" t="str">
        <f t="shared" si="1475"/>
        <v/>
      </c>
      <c r="AI947" s="268" t="str">
        <f t="shared" si="1475"/>
        <v/>
      </c>
      <c r="AJ947" s="268" t="str">
        <f t="shared" si="1475"/>
        <v/>
      </c>
      <c r="AK947" s="268" t="str">
        <f t="shared" si="1475"/>
        <v/>
      </c>
      <c r="AL947" s="268" t="str">
        <f t="shared" si="1475"/>
        <v/>
      </c>
      <c r="AM947" s="268" t="str">
        <f t="shared" si="1475"/>
        <v/>
      </c>
      <c r="AN947" s="268" t="str">
        <f t="shared" si="1475"/>
        <v/>
      </c>
      <c r="AO947" s="268" t="str">
        <f t="shared" si="1475"/>
        <v/>
      </c>
      <c r="AP947" s="268" t="str">
        <f t="shared" si="1475"/>
        <v/>
      </c>
      <c r="AQ947" s="268" t="str">
        <f t="shared" si="1475"/>
        <v/>
      </c>
      <c r="AR947" s="268" t="str">
        <f t="shared" si="1475"/>
        <v/>
      </c>
      <c r="AS947" s="268" t="str">
        <f t="shared" si="1475"/>
        <v/>
      </c>
      <c r="AT947" s="268" t="str">
        <f t="shared" si="1475"/>
        <v/>
      </c>
      <c r="AU947" s="268" t="str">
        <f t="shared" si="1475"/>
        <v/>
      </c>
      <c r="AV947" s="268" t="str">
        <f t="shared" si="1475"/>
        <v/>
      </c>
      <c r="AW947" s="268" t="str">
        <f t="shared" si="1475"/>
        <v/>
      </c>
      <c r="AX947" s="268" t="str">
        <f t="shared" si="1475"/>
        <v/>
      </c>
      <c r="AY947" s="268" t="str">
        <f t="shared" si="1475"/>
        <v/>
      </c>
      <c r="AZ947" s="268" t="str">
        <f t="shared" si="1475"/>
        <v/>
      </c>
      <c r="BA947" s="268" t="str">
        <f t="shared" si="1475"/>
        <v/>
      </c>
      <c r="BB947" s="268" t="str">
        <f t="shared" si="1475"/>
        <v/>
      </c>
      <c r="BC947" s="268" t="str">
        <f t="shared" si="1475"/>
        <v/>
      </c>
      <c r="BD947" s="268" t="str">
        <f t="shared" si="1475"/>
        <v/>
      </c>
      <c r="BE947" s="268" t="str">
        <f t="shared" si="1475"/>
        <v/>
      </c>
      <c r="BF947" s="268" t="str">
        <f t="shared" si="1475"/>
        <v/>
      </c>
      <c r="BG947" s="268">
        <f t="shared" si="1475"/>
        <v>9000</v>
      </c>
      <c r="BH947" s="268" t="str">
        <f t="shared" si="1475"/>
        <v/>
      </c>
      <c r="BI947" s="268" t="str">
        <f t="shared" si="1475"/>
        <v/>
      </c>
      <c r="BJ947" s="268" t="str">
        <f t="shared" si="1475"/>
        <v/>
      </c>
      <c r="BK947" s="268" t="str">
        <f t="shared" si="1475"/>
        <v/>
      </c>
      <c r="BL947" s="268" t="str">
        <f t="shared" si="1475"/>
        <v/>
      </c>
      <c r="BM947" s="268" t="str">
        <f t="shared" si="1475"/>
        <v/>
      </c>
      <c r="BN947" s="268" t="str">
        <f t="shared" si="1475"/>
        <v/>
      </c>
      <c r="BO947" s="268" t="str">
        <f t="shared" si="1475"/>
        <v/>
      </c>
      <c r="BP947" s="268" t="str">
        <f t="shared" si="1475"/>
        <v/>
      </c>
      <c r="BQ947" s="268" t="str">
        <f t="shared" si="1459"/>
        <v/>
      </c>
      <c r="BR947" s="268" t="str">
        <f t="shared" si="1460"/>
        <v/>
      </c>
      <c r="BS947" s="268" t="str">
        <f t="shared" si="1461"/>
        <v/>
      </c>
      <c r="BT947" s="268" t="str">
        <f t="shared" si="1473"/>
        <v/>
      </c>
      <c r="BU947" s="268" t="str">
        <f t="shared" si="1474"/>
        <v/>
      </c>
      <c r="BV947" s="247">
        <v>1.1</v>
      </c>
      <c r="BW947" s="729">
        <f t="shared" si="1468"/>
        <v>9900</v>
      </c>
      <c r="BX947" s="730">
        <f t="shared" si="1469"/>
        <v>76725</v>
      </c>
      <c r="BY947" s="731" t="str">
        <f t="shared" si="1470"/>
        <v>JC</v>
      </c>
    </row>
    <row r="948" s="698" customFormat="1" customHeight="1" spans="1:77">
      <c r="A948" s="208">
        <v>46161</v>
      </c>
      <c r="B948" s="248">
        <v>46217</v>
      </c>
      <c r="C948" s="211" t="s">
        <v>856</v>
      </c>
      <c r="D948" s="211" t="s">
        <v>857</v>
      </c>
      <c r="E948" s="211" t="s">
        <v>123</v>
      </c>
      <c r="F948" s="343">
        <v>2928</v>
      </c>
      <c r="G948" s="211" t="s">
        <v>510</v>
      </c>
      <c r="H948" s="211" t="str">
        <f>IFERROR(VLOOKUP(E948,名称!A:E,4,0),"")</f>
        <v>蛋糕</v>
      </c>
      <c r="I948" s="268" t="str">
        <f t="shared" ref="I948:BP948" si="1476">IF(OR($E948="",I$1=""),"",IF(TRIM(LEFT($E948,MIN(IFERROR(FIND("CDU",UPPER($E948)),999),IFERROR(FIND("BULK",UPPER($E948)),999),IFERROR(FIND("-",$E948),999),IFERROR(FIND("（",$E948),999))-1))=I$1,$F948,""))</f>
        <v/>
      </c>
      <c r="J948" s="268" t="str">
        <f t="shared" si="1476"/>
        <v/>
      </c>
      <c r="K948" s="268" t="str">
        <f t="shared" si="1476"/>
        <v/>
      </c>
      <c r="L948" s="268" t="str">
        <f t="shared" si="1476"/>
        <v/>
      </c>
      <c r="M948" s="268" t="str">
        <f t="shared" si="1476"/>
        <v/>
      </c>
      <c r="N948" s="268" t="str">
        <f t="shared" si="1476"/>
        <v/>
      </c>
      <c r="O948" s="268" t="str">
        <f t="shared" si="1476"/>
        <v/>
      </c>
      <c r="P948" s="268" t="str">
        <f t="shared" si="1476"/>
        <v/>
      </c>
      <c r="Q948" s="268" t="str">
        <f t="shared" si="1476"/>
        <v/>
      </c>
      <c r="R948" s="268" t="str">
        <f t="shared" si="1476"/>
        <v/>
      </c>
      <c r="S948" s="268" t="str">
        <f t="shared" si="1476"/>
        <v/>
      </c>
      <c r="T948" s="268" t="str">
        <f t="shared" si="1476"/>
        <v/>
      </c>
      <c r="U948" s="268" t="str">
        <f t="shared" si="1476"/>
        <v/>
      </c>
      <c r="V948" s="268" t="str">
        <f t="shared" si="1476"/>
        <v/>
      </c>
      <c r="W948" s="268" t="str">
        <f t="shared" si="1476"/>
        <v/>
      </c>
      <c r="X948" s="268" t="str">
        <f t="shared" si="1476"/>
        <v/>
      </c>
      <c r="Y948" s="268" t="str">
        <f t="shared" si="1476"/>
        <v/>
      </c>
      <c r="Z948" s="268" t="str">
        <f t="shared" si="1476"/>
        <v/>
      </c>
      <c r="AA948" s="268" t="str">
        <f t="shared" si="1476"/>
        <v/>
      </c>
      <c r="AB948" s="268" t="str">
        <f t="shared" si="1476"/>
        <v/>
      </c>
      <c r="AC948" s="268" t="str">
        <f t="shared" si="1476"/>
        <v/>
      </c>
      <c r="AD948" s="268" t="str">
        <f t="shared" si="1476"/>
        <v/>
      </c>
      <c r="AE948" s="268" t="str">
        <f t="shared" si="1476"/>
        <v/>
      </c>
      <c r="AF948" s="268" t="str">
        <f t="shared" si="1476"/>
        <v/>
      </c>
      <c r="AG948" s="268" t="str">
        <f t="shared" si="1476"/>
        <v/>
      </c>
      <c r="AH948" s="268" t="str">
        <f t="shared" si="1476"/>
        <v/>
      </c>
      <c r="AI948" s="268" t="str">
        <f t="shared" si="1476"/>
        <v/>
      </c>
      <c r="AJ948" s="268" t="str">
        <f t="shared" si="1476"/>
        <v/>
      </c>
      <c r="AK948" s="268" t="str">
        <f t="shared" si="1476"/>
        <v/>
      </c>
      <c r="AL948" s="268" t="str">
        <f t="shared" si="1476"/>
        <v/>
      </c>
      <c r="AM948" s="268" t="str">
        <f t="shared" si="1476"/>
        <v/>
      </c>
      <c r="AN948" s="268" t="str">
        <f t="shared" si="1476"/>
        <v/>
      </c>
      <c r="AO948" s="268" t="str">
        <f t="shared" si="1476"/>
        <v/>
      </c>
      <c r="AP948" s="268" t="str">
        <f t="shared" si="1476"/>
        <v/>
      </c>
      <c r="AQ948" s="268" t="str">
        <f t="shared" si="1476"/>
        <v/>
      </c>
      <c r="AR948" s="268" t="str">
        <f t="shared" si="1476"/>
        <v/>
      </c>
      <c r="AS948" s="268" t="str">
        <f t="shared" si="1476"/>
        <v/>
      </c>
      <c r="AT948" s="268" t="str">
        <f t="shared" si="1476"/>
        <v/>
      </c>
      <c r="AU948" s="268" t="str">
        <f t="shared" si="1476"/>
        <v/>
      </c>
      <c r="AV948" s="268" t="str">
        <f t="shared" si="1476"/>
        <v/>
      </c>
      <c r="AW948" s="268" t="str">
        <f t="shared" si="1476"/>
        <v/>
      </c>
      <c r="AX948" s="268" t="str">
        <f t="shared" si="1476"/>
        <v/>
      </c>
      <c r="AY948" s="268" t="str">
        <f t="shared" si="1476"/>
        <v/>
      </c>
      <c r="AZ948" s="268" t="str">
        <f t="shared" si="1476"/>
        <v/>
      </c>
      <c r="BA948" s="268" t="str">
        <f t="shared" si="1476"/>
        <v/>
      </c>
      <c r="BB948" s="268" t="str">
        <f t="shared" si="1476"/>
        <v/>
      </c>
      <c r="BC948" s="268" t="str">
        <f t="shared" si="1476"/>
        <v/>
      </c>
      <c r="BD948" s="268" t="str">
        <f t="shared" si="1476"/>
        <v/>
      </c>
      <c r="BE948" s="268" t="str">
        <f t="shared" si="1476"/>
        <v/>
      </c>
      <c r="BF948" s="268">
        <f t="shared" si="1476"/>
        <v>2928</v>
      </c>
      <c r="BG948" s="268" t="str">
        <f t="shared" si="1476"/>
        <v/>
      </c>
      <c r="BH948" s="268" t="str">
        <f t="shared" si="1476"/>
        <v/>
      </c>
      <c r="BI948" s="268" t="str">
        <f t="shared" si="1476"/>
        <v/>
      </c>
      <c r="BJ948" s="268" t="str">
        <f t="shared" si="1476"/>
        <v/>
      </c>
      <c r="BK948" s="268" t="str">
        <f t="shared" si="1476"/>
        <v/>
      </c>
      <c r="BL948" s="268" t="str">
        <f t="shared" si="1476"/>
        <v/>
      </c>
      <c r="BM948" s="268" t="str">
        <f t="shared" si="1476"/>
        <v/>
      </c>
      <c r="BN948" s="268" t="str">
        <f t="shared" si="1476"/>
        <v/>
      </c>
      <c r="BO948" s="268" t="str">
        <f t="shared" si="1476"/>
        <v/>
      </c>
      <c r="BP948" s="268" t="str">
        <f t="shared" si="1476"/>
        <v/>
      </c>
      <c r="BQ948" s="268" t="str">
        <f t="shared" si="1459"/>
        <v/>
      </c>
      <c r="BR948" s="268" t="str">
        <f t="shared" si="1460"/>
        <v/>
      </c>
      <c r="BS948" s="268" t="str">
        <f t="shared" si="1461"/>
        <v/>
      </c>
      <c r="BT948" s="268" t="str">
        <f t="shared" si="1473"/>
        <v/>
      </c>
      <c r="BU948" s="268" t="str">
        <f t="shared" si="1474"/>
        <v/>
      </c>
      <c r="BV948" s="247">
        <v>0.81</v>
      </c>
      <c r="BW948" s="729">
        <f t="shared" si="1468"/>
        <v>2371.68</v>
      </c>
      <c r="BX948" s="730">
        <f t="shared" si="1469"/>
        <v>18380.52</v>
      </c>
      <c r="BY948" s="731" t="str">
        <f t="shared" si="1470"/>
        <v>JC</v>
      </c>
    </row>
    <row r="949" s="698" customFormat="1" customHeight="1" spans="1:77">
      <c r="A949" s="208">
        <v>46161</v>
      </c>
      <c r="B949" s="248">
        <v>46217</v>
      </c>
      <c r="C949" s="211" t="s">
        <v>856</v>
      </c>
      <c r="D949" s="211" t="s">
        <v>857</v>
      </c>
      <c r="E949" s="211" t="s">
        <v>50</v>
      </c>
      <c r="F949" s="343">
        <v>1674</v>
      </c>
      <c r="G949" s="211" t="s">
        <v>510</v>
      </c>
      <c r="H949" s="211" t="str">
        <f>IFERROR(VLOOKUP(E949,名称!A:E,4,0),"")</f>
        <v>蛋糕</v>
      </c>
      <c r="I949" s="268" t="str">
        <f t="shared" ref="I949:BP949" si="1477">IF(OR($E949="",I$1=""),"",IF(TRIM(LEFT($E949,MIN(IFERROR(FIND("CDU",UPPER($E949)),999),IFERROR(FIND("BULK",UPPER($E949)),999),IFERROR(FIND("-",$E949),999),IFERROR(FIND("（",$E949),999))-1))=I$1,$F949,""))</f>
        <v/>
      </c>
      <c r="J949" s="268" t="str">
        <f t="shared" si="1477"/>
        <v/>
      </c>
      <c r="K949" s="268" t="str">
        <f t="shared" si="1477"/>
        <v/>
      </c>
      <c r="L949" s="268" t="str">
        <f t="shared" si="1477"/>
        <v/>
      </c>
      <c r="M949" s="268" t="str">
        <f t="shared" si="1477"/>
        <v/>
      </c>
      <c r="N949" s="268" t="str">
        <f t="shared" si="1477"/>
        <v/>
      </c>
      <c r="O949" s="268" t="str">
        <f t="shared" si="1477"/>
        <v/>
      </c>
      <c r="P949" s="268" t="str">
        <f t="shared" si="1477"/>
        <v/>
      </c>
      <c r="Q949" s="268" t="str">
        <f t="shared" si="1477"/>
        <v/>
      </c>
      <c r="R949" s="268" t="str">
        <f t="shared" si="1477"/>
        <v/>
      </c>
      <c r="S949" s="268" t="str">
        <f t="shared" si="1477"/>
        <v/>
      </c>
      <c r="T949" s="268" t="str">
        <f t="shared" si="1477"/>
        <v/>
      </c>
      <c r="U949" s="268" t="str">
        <f t="shared" si="1477"/>
        <v/>
      </c>
      <c r="V949" s="268" t="str">
        <f t="shared" si="1477"/>
        <v/>
      </c>
      <c r="W949" s="268" t="str">
        <f t="shared" si="1477"/>
        <v/>
      </c>
      <c r="X949" s="268" t="str">
        <f t="shared" si="1477"/>
        <v/>
      </c>
      <c r="Y949" s="268" t="str">
        <f t="shared" si="1477"/>
        <v/>
      </c>
      <c r="Z949" s="268" t="str">
        <f t="shared" si="1477"/>
        <v/>
      </c>
      <c r="AA949" s="268" t="str">
        <f t="shared" si="1477"/>
        <v/>
      </c>
      <c r="AB949" s="268" t="str">
        <f t="shared" si="1477"/>
        <v/>
      </c>
      <c r="AC949" s="268" t="str">
        <f t="shared" si="1477"/>
        <v/>
      </c>
      <c r="AD949" s="268" t="str">
        <f t="shared" si="1477"/>
        <v/>
      </c>
      <c r="AE949" s="268" t="str">
        <f t="shared" si="1477"/>
        <v/>
      </c>
      <c r="AF949" s="268" t="str">
        <f t="shared" si="1477"/>
        <v/>
      </c>
      <c r="AG949" s="268" t="str">
        <f t="shared" si="1477"/>
        <v/>
      </c>
      <c r="AH949" s="268" t="str">
        <f t="shared" si="1477"/>
        <v/>
      </c>
      <c r="AI949" s="268" t="str">
        <f t="shared" si="1477"/>
        <v/>
      </c>
      <c r="AJ949" s="268" t="str">
        <f t="shared" si="1477"/>
        <v/>
      </c>
      <c r="AK949" s="268" t="str">
        <f t="shared" si="1477"/>
        <v/>
      </c>
      <c r="AL949" s="268" t="str">
        <f t="shared" si="1477"/>
        <v/>
      </c>
      <c r="AM949" s="268" t="str">
        <f t="shared" si="1477"/>
        <v/>
      </c>
      <c r="AN949" s="268" t="str">
        <f t="shared" si="1477"/>
        <v/>
      </c>
      <c r="AO949" s="268" t="str">
        <f t="shared" si="1477"/>
        <v/>
      </c>
      <c r="AP949" s="268" t="str">
        <f t="shared" si="1477"/>
        <v/>
      </c>
      <c r="AQ949" s="268" t="str">
        <f t="shared" si="1477"/>
        <v/>
      </c>
      <c r="AR949" s="268" t="str">
        <f t="shared" si="1477"/>
        <v/>
      </c>
      <c r="AS949" s="268" t="str">
        <f t="shared" si="1477"/>
        <v/>
      </c>
      <c r="AT949" s="268" t="str">
        <f t="shared" si="1477"/>
        <v/>
      </c>
      <c r="AU949" s="268" t="str">
        <f t="shared" si="1477"/>
        <v/>
      </c>
      <c r="AV949" s="268" t="str">
        <f t="shared" si="1477"/>
        <v/>
      </c>
      <c r="AW949" s="268" t="str">
        <f t="shared" si="1477"/>
        <v/>
      </c>
      <c r="AX949" s="268" t="str">
        <f t="shared" si="1477"/>
        <v/>
      </c>
      <c r="AY949" s="268" t="str">
        <f t="shared" si="1477"/>
        <v/>
      </c>
      <c r="AZ949" s="268" t="str">
        <f t="shared" si="1477"/>
        <v/>
      </c>
      <c r="BA949" s="268" t="str">
        <f t="shared" si="1477"/>
        <v/>
      </c>
      <c r="BB949" s="268" t="str">
        <f t="shared" si="1477"/>
        <v/>
      </c>
      <c r="BC949" s="268" t="str">
        <f t="shared" si="1477"/>
        <v/>
      </c>
      <c r="BD949" s="268" t="str">
        <f t="shared" si="1477"/>
        <v/>
      </c>
      <c r="BE949" s="268" t="str">
        <f t="shared" si="1477"/>
        <v/>
      </c>
      <c r="BF949" s="268" t="str">
        <f t="shared" si="1477"/>
        <v/>
      </c>
      <c r="BG949" s="268">
        <f t="shared" si="1477"/>
        <v>1674</v>
      </c>
      <c r="BH949" s="268" t="str">
        <f t="shared" si="1477"/>
        <v/>
      </c>
      <c r="BI949" s="268" t="str">
        <f t="shared" si="1477"/>
        <v/>
      </c>
      <c r="BJ949" s="268" t="str">
        <f t="shared" si="1477"/>
        <v/>
      </c>
      <c r="BK949" s="268" t="str">
        <f t="shared" si="1477"/>
        <v/>
      </c>
      <c r="BL949" s="268" t="str">
        <f t="shared" si="1477"/>
        <v/>
      </c>
      <c r="BM949" s="268" t="str">
        <f t="shared" si="1477"/>
        <v/>
      </c>
      <c r="BN949" s="268" t="str">
        <f t="shared" si="1477"/>
        <v/>
      </c>
      <c r="BO949" s="268" t="str">
        <f t="shared" si="1477"/>
        <v/>
      </c>
      <c r="BP949" s="268" t="str">
        <f t="shared" si="1477"/>
        <v/>
      </c>
      <c r="BQ949" s="268" t="str">
        <f t="shared" si="1459"/>
        <v/>
      </c>
      <c r="BR949" s="268" t="str">
        <f t="shared" si="1460"/>
        <v/>
      </c>
      <c r="BS949" s="268" t="str">
        <f t="shared" si="1461"/>
        <v/>
      </c>
      <c r="BT949" s="268" t="str">
        <f t="shared" si="1473"/>
        <v/>
      </c>
      <c r="BU949" s="268" t="str">
        <f t="shared" si="1474"/>
        <v/>
      </c>
      <c r="BV949" s="247">
        <v>1.15</v>
      </c>
      <c r="BW949" s="729">
        <f t="shared" si="1468"/>
        <v>1925.1</v>
      </c>
      <c r="BX949" s="730">
        <f t="shared" si="1469"/>
        <v>14919.53</v>
      </c>
      <c r="BY949" s="731" t="str">
        <f t="shared" si="1470"/>
        <v>JC</v>
      </c>
    </row>
    <row r="950" s="698" customFormat="1" customHeight="1" spans="1:77">
      <c r="A950" s="208">
        <v>46161</v>
      </c>
      <c r="B950" s="248">
        <v>46217</v>
      </c>
      <c r="C950" s="211" t="s">
        <v>856</v>
      </c>
      <c r="D950" s="211" t="s">
        <v>857</v>
      </c>
      <c r="E950" s="211" t="s">
        <v>52</v>
      </c>
      <c r="F950" s="343">
        <v>1008</v>
      </c>
      <c r="G950" s="211" t="s">
        <v>510</v>
      </c>
      <c r="H950" s="211" t="str">
        <f>IFERROR(VLOOKUP(E950,名称!A:E,4,0),"")</f>
        <v>蛋糕</v>
      </c>
      <c r="I950" s="268" t="str">
        <f t="shared" ref="I950:BP950" si="1478">IF(OR($E950="",I$1=""),"",IF(TRIM(LEFT($E950,MIN(IFERROR(FIND("CDU",UPPER($E950)),999),IFERROR(FIND("BULK",UPPER($E950)),999),IFERROR(FIND("-",$E950),999),IFERROR(FIND("（",$E950),999))-1))=I$1,$F950,""))</f>
        <v/>
      </c>
      <c r="J950" s="268" t="str">
        <f t="shared" si="1478"/>
        <v/>
      </c>
      <c r="K950" s="268" t="str">
        <f t="shared" si="1478"/>
        <v/>
      </c>
      <c r="L950" s="268" t="str">
        <f t="shared" si="1478"/>
        <v/>
      </c>
      <c r="M950" s="268" t="str">
        <f t="shared" si="1478"/>
        <v/>
      </c>
      <c r="N950" s="268" t="str">
        <f t="shared" si="1478"/>
        <v/>
      </c>
      <c r="O950" s="268" t="str">
        <f t="shared" si="1478"/>
        <v/>
      </c>
      <c r="P950" s="268" t="str">
        <f t="shared" si="1478"/>
        <v/>
      </c>
      <c r="Q950" s="268" t="str">
        <f t="shared" si="1478"/>
        <v/>
      </c>
      <c r="R950" s="268" t="str">
        <f t="shared" si="1478"/>
        <v/>
      </c>
      <c r="S950" s="268" t="str">
        <f t="shared" si="1478"/>
        <v/>
      </c>
      <c r="T950" s="268" t="str">
        <f t="shared" si="1478"/>
        <v/>
      </c>
      <c r="U950" s="268" t="str">
        <f t="shared" si="1478"/>
        <v/>
      </c>
      <c r="V950" s="268" t="str">
        <f t="shared" si="1478"/>
        <v/>
      </c>
      <c r="W950" s="268" t="str">
        <f t="shared" si="1478"/>
        <v/>
      </c>
      <c r="X950" s="268" t="str">
        <f t="shared" si="1478"/>
        <v/>
      </c>
      <c r="Y950" s="268" t="str">
        <f t="shared" si="1478"/>
        <v/>
      </c>
      <c r="Z950" s="268" t="str">
        <f t="shared" si="1478"/>
        <v/>
      </c>
      <c r="AA950" s="268" t="str">
        <f t="shared" si="1478"/>
        <v/>
      </c>
      <c r="AB950" s="268" t="str">
        <f t="shared" si="1478"/>
        <v/>
      </c>
      <c r="AC950" s="268" t="str">
        <f t="shared" si="1478"/>
        <v/>
      </c>
      <c r="AD950" s="268" t="str">
        <f t="shared" si="1478"/>
        <v/>
      </c>
      <c r="AE950" s="268" t="str">
        <f t="shared" si="1478"/>
        <v/>
      </c>
      <c r="AF950" s="268" t="str">
        <f t="shared" si="1478"/>
        <v/>
      </c>
      <c r="AG950" s="268" t="str">
        <f t="shared" si="1478"/>
        <v/>
      </c>
      <c r="AH950" s="268" t="str">
        <f t="shared" si="1478"/>
        <v/>
      </c>
      <c r="AI950" s="268" t="str">
        <f t="shared" si="1478"/>
        <v/>
      </c>
      <c r="AJ950" s="268" t="str">
        <f t="shared" si="1478"/>
        <v/>
      </c>
      <c r="AK950" s="268" t="str">
        <f t="shared" si="1478"/>
        <v/>
      </c>
      <c r="AL950" s="268" t="str">
        <f t="shared" si="1478"/>
        <v/>
      </c>
      <c r="AM950" s="268" t="str">
        <f t="shared" si="1478"/>
        <v/>
      </c>
      <c r="AN950" s="268" t="str">
        <f t="shared" si="1478"/>
        <v/>
      </c>
      <c r="AO950" s="268" t="str">
        <f t="shared" si="1478"/>
        <v/>
      </c>
      <c r="AP950" s="268" t="str">
        <f t="shared" si="1478"/>
        <v/>
      </c>
      <c r="AQ950" s="268" t="str">
        <f t="shared" si="1478"/>
        <v/>
      </c>
      <c r="AR950" s="268" t="str">
        <f t="shared" si="1478"/>
        <v/>
      </c>
      <c r="AS950" s="268" t="str">
        <f t="shared" si="1478"/>
        <v/>
      </c>
      <c r="AT950" s="268" t="str">
        <f t="shared" si="1478"/>
        <v/>
      </c>
      <c r="AU950" s="268" t="str">
        <f t="shared" si="1478"/>
        <v/>
      </c>
      <c r="AV950" s="268" t="str">
        <f t="shared" si="1478"/>
        <v/>
      </c>
      <c r="AW950" s="268" t="str">
        <f t="shared" si="1478"/>
        <v/>
      </c>
      <c r="AX950" s="268" t="str">
        <f t="shared" si="1478"/>
        <v/>
      </c>
      <c r="AY950" s="268" t="str">
        <f t="shared" si="1478"/>
        <v/>
      </c>
      <c r="AZ950" s="268" t="str">
        <f t="shared" si="1478"/>
        <v/>
      </c>
      <c r="BA950" s="268" t="str">
        <f t="shared" si="1478"/>
        <v/>
      </c>
      <c r="BB950" s="268" t="str">
        <f t="shared" si="1478"/>
        <v/>
      </c>
      <c r="BC950" s="268" t="str">
        <f t="shared" si="1478"/>
        <v/>
      </c>
      <c r="BD950" s="268" t="str">
        <f t="shared" si="1478"/>
        <v/>
      </c>
      <c r="BE950" s="268" t="str">
        <f t="shared" si="1478"/>
        <v/>
      </c>
      <c r="BF950" s="268" t="str">
        <f t="shared" si="1478"/>
        <v/>
      </c>
      <c r="BG950" s="268" t="str">
        <f t="shared" si="1478"/>
        <v/>
      </c>
      <c r="BH950" s="268">
        <f t="shared" si="1478"/>
        <v>1008</v>
      </c>
      <c r="BI950" s="268" t="str">
        <f t="shared" si="1478"/>
        <v/>
      </c>
      <c r="BJ950" s="268" t="str">
        <f t="shared" si="1478"/>
        <v/>
      </c>
      <c r="BK950" s="268" t="str">
        <f t="shared" si="1478"/>
        <v/>
      </c>
      <c r="BL950" s="268" t="str">
        <f t="shared" si="1478"/>
        <v/>
      </c>
      <c r="BM950" s="268" t="str">
        <f t="shared" si="1478"/>
        <v/>
      </c>
      <c r="BN950" s="268" t="str">
        <f t="shared" si="1478"/>
        <v/>
      </c>
      <c r="BO950" s="268" t="str">
        <f t="shared" si="1478"/>
        <v/>
      </c>
      <c r="BP950" s="268" t="str">
        <f t="shared" si="1478"/>
        <v/>
      </c>
      <c r="BQ950" s="268" t="str">
        <f t="shared" si="1459"/>
        <v/>
      </c>
      <c r="BR950" s="268" t="str">
        <f t="shared" si="1460"/>
        <v/>
      </c>
      <c r="BS950" s="268" t="str">
        <f t="shared" si="1461"/>
        <v/>
      </c>
      <c r="BT950" s="268" t="str">
        <f t="shared" si="1473"/>
        <v/>
      </c>
      <c r="BU950" s="268" t="str">
        <f t="shared" si="1474"/>
        <v/>
      </c>
      <c r="BV950" s="247">
        <v>2.93</v>
      </c>
      <c r="BW950" s="729">
        <f t="shared" si="1468"/>
        <v>2953.44</v>
      </c>
      <c r="BX950" s="730">
        <f t="shared" si="1469"/>
        <v>22889.16</v>
      </c>
      <c r="BY950" s="731" t="str">
        <f t="shared" si="1470"/>
        <v>JC</v>
      </c>
    </row>
    <row r="951" s="698" customFormat="1" customHeight="1" spans="1:77">
      <c r="A951" s="227">
        <v>46162</v>
      </c>
      <c r="B951" s="248">
        <v>46224</v>
      </c>
      <c r="C951" s="268">
        <v>2620514470</v>
      </c>
      <c r="D951" s="268" t="s">
        <v>858</v>
      </c>
      <c r="E951" s="209" t="s">
        <v>126</v>
      </c>
      <c r="F951" s="343">
        <v>1680</v>
      </c>
      <c r="G951" s="211" t="s">
        <v>584</v>
      </c>
      <c r="H951" s="211" t="str">
        <f>IFERROR(VLOOKUP(E951,名称!A:E,4,0),"")</f>
        <v>三代</v>
      </c>
      <c r="I951" s="268" t="str">
        <f t="shared" ref="I951:BP951" si="1479">IF(OR($E951="",I$1=""),"",IF(TRIM(LEFT($E951,MIN(IFERROR(FIND("CDU",UPPER($E951)),999),IFERROR(FIND("BULK",UPPER($E951)),999),IFERROR(FIND("-",$E951),999),IFERROR(FIND("（",$E951),999))-1))=I$1,$F951,""))</f>
        <v/>
      </c>
      <c r="J951" s="268" t="str">
        <f t="shared" si="1479"/>
        <v/>
      </c>
      <c r="K951" s="268" t="str">
        <f t="shared" si="1479"/>
        <v/>
      </c>
      <c r="L951" s="268" t="str">
        <f t="shared" si="1479"/>
        <v/>
      </c>
      <c r="M951" s="268" t="str">
        <f t="shared" si="1479"/>
        <v/>
      </c>
      <c r="N951" s="268" t="str">
        <f t="shared" si="1479"/>
        <v/>
      </c>
      <c r="O951" s="268" t="str">
        <f t="shared" si="1479"/>
        <v/>
      </c>
      <c r="P951" s="268" t="str">
        <f t="shared" si="1479"/>
        <v/>
      </c>
      <c r="Q951" s="268" t="str">
        <f t="shared" si="1479"/>
        <v/>
      </c>
      <c r="R951" s="268" t="str">
        <f t="shared" si="1479"/>
        <v/>
      </c>
      <c r="S951" s="268" t="str">
        <f t="shared" si="1479"/>
        <v/>
      </c>
      <c r="T951" s="268" t="str">
        <f t="shared" si="1479"/>
        <v/>
      </c>
      <c r="U951" s="268" t="str">
        <f t="shared" si="1479"/>
        <v/>
      </c>
      <c r="V951" s="268" t="str">
        <f t="shared" si="1479"/>
        <v/>
      </c>
      <c r="W951" s="268" t="str">
        <f t="shared" si="1479"/>
        <v/>
      </c>
      <c r="X951" s="268" t="str">
        <f t="shared" si="1479"/>
        <v/>
      </c>
      <c r="Y951" s="268" t="str">
        <f t="shared" si="1479"/>
        <v/>
      </c>
      <c r="Z951" s="268" t="str">
        <f t="shared" si="1479"/>
        <v/>
      </c>
      <c r="AA951" s="268" t="str">
        <f t="shared" si="1479"/>
        <v/>
      </c>
      <c r="AB951" s="268" t="str">
        <f t="shared" si="1479"/>
        <v/>
      </c>
      <c r="AC951" s="268" t="str">
        <f t="shared" si="1479"/>
        <v/>
      </c>
      <c r="AD951" s="268" t="str">
        <f t="shared" si="1479"/>
        <v/>
      </c>
      <c r="AE951" s="268" t="str">
        <f t="shared" si="1479"/>
        <v/>
      </c>
      <c r="AF951" s="268" t="str">
        <f t="shared" si="1479"/>
        <v/>
      </c>
      <c r="AG951" s="268" t="str">
        <f t="shared" si="1479"/>
        <v/>
      </c>
      <c r="AH951" s="268" t="str">
        <f t="shared" si="1479"/>
        <v/>
      </c>
      <c r="AI951" s="268">
        <f t="shared" si="1479"/>
        <v>1680</v>
      </c>
      <c r="AJ951" s="268" t="str">
        <f t="shared" si="1479"/>
        <v/>
      </c>
      <c r="AK951" s="268" t="str">
        <f t="shared" si="1479"/>
        <v/>
      </c>
      <c r="AL951" s="268" t="str">
        <f t="shared" si="1479"/>
        <v/>
      </c>
      <c r="AM951" s="268" t="str">
        <f t="shared" si="1479"/>
        <v/>
      </c>
      <c r="AN951" s="268" t="str">
        <f t="shared" si="1479"/>
        <v/>
      </c>
      <c r="AO951" s="268" t="str">
        <f t="shared" si="1479"/>
        <v/>
      </c>
      <c r="AP951" s="268" t="str">
        <f t="shared" si="1479"/>
        <v/>
      </c>
      <c r="AQ951" s="268" t="str">
        <f t="shared" si="1479"/>
        <v/>
      </c>
      <c r="AR951" s="268" t="str">
        <f t="shared" si="1479"/>
        <v/>
      </c>
      <c r="AS951" s="268" t="str">
        <f t="shared" si="1479"/>
        <v/>
      </c>
      <c r="AT951" s="268" t="str">
        <f t="shared" si="1479"/>
        <v/>
      </c>
      <c r="AU951" s="268" t="str">
        <f t="shared" si="1479"/>
        <v/>
      </c>
      <c r="AV951" s="268" t="str">
        <f t="shared" si="1479"/>
        <v/>
      </c>
      <c r="AW951" s="268" t="str">
        <f t="shared" si="1479"/>
        <v/>
      </c>
      <c r="AX951" s="268" t="str">
        <f t="shared" si="1479"/>
        <v/>
      </c>
      <c r="AY951" s="268" t="str">
        <f t="shared" si="1479"/>
        <v/>
      </c>
      <c r="AZ951" s="268" t="str">
        <f t="shared" si="1479"/>
        <v/>
      </c>
      <c r="BA951" s="268" t="str">
        <f t="shared" si="1479"/>
        <v/>
      </c>
      <c r="BB951" s="268" t="str">
        <f t="shared" si="1479"/>
        <v/>
      </c>
      <c r="BC951" s="268" t="str">
        <f t="shared" si="1479"/>
        <v/>
      </c>
      <c r="BD951" s="268" t="str">
        <f t="shared" si="1479"/>
        <v/>
      </c>
      <c r="BE951" s="268" t="str">
        <f t="shared" si="1479"/>
        <v/>
      </c>
      <c r="BF951" s="268" t="str">
        <f t="shared" si="1479"/>
        <v/>
      </c>
      <c r="BG951" s="268" t="str">
        <f t="shared" si="1479"/>
        <v/>
      </c>
      <c r="BH951" s="268" t="str">
        <f t="shared" si="1479"/>
        <v/>
      </c>
      <c r="BI951" s="268" t="str">
        <f t="shared" si="1479"/>
        <v/>
      </c>
      <c r="BJ951" s="268" t="str">
        <f t="shared" si="1479"/>
        <v/>
      </c>
      <c r="BK951" s="268" t="str">
        <f t="shared" si="1479"/>
        <v/>
      </c>
      <c r="BL951" s="268" t="str">
        <f t="shared" si="1479"/>
        <v/>
      </c>
      <c r="BM951" s="268" t="str">
        <f t="shared" si="1479"/>
        <v/>
      </c>
      <c r="BN951" s="268" t="str">
        <f t="shared" si="1479"/>
        <v/>
      </c>
      <c r="BO951" s="268" t="str">
        <f t="shared" si="1479"/>
        <v/>
      </c>
      <c r="BP951" s="268" t="str">
        <f t="shared" si="1479"/>
        <v/>
      </c>
      <c r="BQ951" s="268" t="str">
        <f t="shared" si="1459"/>
        <v/>
      </c>
      <c r="BR951" s="268" t="str">
        <f t="shared" si="1460"/>
        <v/>
      </c>
      <c r="BS951" s="268" t="str">
        <f t="shared" si="1461"/>
        <v/>
      </c>
      <c r="BT951" s="268" t="str">
        <f t="shared" si="1473"/>
        <v/>
      </c>
      <c r="BU951" s="268" t="str">
        <f t="shared" si="1474"/>
        <v/>
      </c>
      <c r="BV951" s="247">
        <v>11.31</v>
      </c>
      <c r="BW951" s="729">
        <f t="shared" si="1468"/>
        <v>19000.8</v>
      </c>
      <c r="BX951" s="730">
        <f t="shared" si="1469"/>
        <v>147256.2</v>
      </c>
      <c r="BY951" s="731" t="str">
        <f t="shared" si="1470"/>
        <v>SR</v>
      </c>
    </row>
    <row r="952" s="697" customFormat="1" customHeight="1" spans="1:77">
      <c r="A952" s="174">
        <v>46162</v>
      </c>
      <c r="B952" s="179">
        <v>46224</v>
      </c>
      <c r="C952" s="418">
        <v>13540514303</v>
      </c>
      <c r="D952" s="418" t="s">
        <v>859</v>
      </c>
      <c r="E952" s="175" t="s">
        <v>126</v>
      </c>
      <c r="F952" s="737">
        <v>1680</v>
      </c>
      <c r="G952" s="118" t="s">
        <v>584</v>
      </c>
      <c r="H952" s="118" t="str">
        <f>IFERROR(VLOOKUP(E952,名称!A:E,4,0),"")</f>
        <v>三代</v>
      </c>
      <c r="I952" s="418" t="str">
        <f t="shared" ref="I952:I1015" si="1480">IF(OR($E952="",I$1=""),"",IF(TRIM(LEFT($E952,MIN(IFERROR(FIND("CDU",UPPER($E952)),999),IFERROR(FIND("BULK",UPPER($E952)),999),IFERROR(FIND("-",$E952),999),IFERROR(FIND("（",$E952),999))-1))=I$1,$F952,""))</f>
        <v/>
      </c>
      <c r="J952" s="418" t="str">
        <f t="shared" ref="J952:J1015" si="1481">IF(OR($E952="",J$1=""),"",IF(TRIM(LEFT($E952,MIN(IFERROR(FIND("CDU",UPPER($E952)),999),IFERROR(FIND("BULK",UPPER($E952)),999),IFERROR(FIND("-",$E952),999),IFERROR(FIND("（",$E952),999))-1))=J$1,$F952,""))</f>
        <v/>
      </c>
      <c r="K952" s="418" t="str">
        <f t="shared" ref="K952:K1015" si="1482">IF(OR($E952="",K$1=""),"",IF(TRIM(LEFT($E952,MIN(IFERROR(FIND("CDU",UPPER($E952)),999),IFERROR(FIND("BULK",UPPER($E952)),999),IFERROR(FIND("-",$E952),999),IFERROR(FIND("（",$E952),999))-1))=K$1,$F952,""))</f>
        <v/>
      </c>
      <c r="L952" s="418" t="str">
        <f t="shared" ref="L952:L1015" si="1483">IF(OR($E952="",L$1=""),"",IF(TRIM(LEFT($E952,MIN(IFERROR(FIND("CDU",UPPER($E952)),999),IFERROR(FIND("BULK",UPPER($E952)),999),IFERROR(FIND("-",$E952),999),IFERROR(FIND("（",$E952),999))-1))=L$1,$F952,""))</f>
        <v/>
      </c>
      <c r="M952" s="418" t="str">
        <f t="shared" ref="M952:M1015" si="1484">IF(OR($E952="",M$1=""),"",IF(TRIM(LEFT($E952,MIN(IFERROR(FIND("CDU",UPPER($E952)),999),IFERROR(FIND("BULK",UPPER($E952)),999),IFERROR(FIND("-",$E952),999),IFERROR(FIND("（",$E952),999))-1))=M$1,$F952,""))</f>
        <v/>
      </c>
      <c r="N952" s="418" t="str">
        <f t="shared" ref="N952:N1015" si="1485">IF(OR($E952="",N$1=""),"",IF(TRIM(LEFT($E952,MIN(IFERROR(FIND("CDU",UPPER($E952)),999),IFERROR(FIND("BULK",UPPER($E952)),999),IFERROR(FIND("-",$E952),999),IFERROR(FIND("（",$E952),999))-1))=N$1,$F952,""))</f>
        <v/>
      </c>
      <c r="O952" s="418" t="str">
        <f t="shared" ref="O952:O1015" si="1486">IF(OR($E952="",O$1=""),"",IF(TRIM(LEFT($E952,MIN(IFERROR(FIND("CDU",UPPER($E952)),999),IFERROR(FIND("BULK",UPPER($E952)),999),IFERROR(FIND("-",$E952),999),IFERROR(FIND("（",$E952),999))-1))=O$1,$F952,""))</f>
        <v/>
      </c>
      <c r="P952" s="418" t="str">
        <f t="shared" ref="P952:P1015" si="1487">IF(OR($E952="",P$1=""),"",IF(TRIM(LEFT($E952,MIN(IFERROR(FIND("CDU",UPPER($E952)),999),IFERROR(FIND("BULK",UPPER($E952)),999),IFERROR(FIND("-",$E952),999),IFERROR(FIND("（",$E952),999))-1))=P$1,$F952,""))</f>
        <v/>
      </c>
      <c r="Q952" s="418" t="str">
        <f t="shared" ref="Q952:Q1015" si="1488">IF(OR($E952="",Q$1=""),"",IF(TRIM(LEFT($E952,MIN(IFERROR(FIND("CDU",UPPER($E952)),999),IFERROR(FIND("BULK",UPPER($E952)),999),IFERROR(FIND("-",$E952),999),IFERROR(FIND("（",$E952),999))-1))=Q$1,$F952,""))</f>
        <v/>
      </c>
      <c r="R952" s="418" t="str">
        <f t="shared" ref="R952:R1015" si="1489">IF(OR($E952="",R$1=""),"",IF(TRIM(LEFT($E952,MIN(IFERROR(FIND("CDU",UPPER($E952)),999),IFERROR(FIND("BULK",UPPER($E952)),999),IFERROR(FIND("-",$E952),999),IFERROR(FIND("（",$E952),999))-1))=R$1,$F952,""))</f>
        <v/>
      </c>
      <c r="S952" s="418" t="str">
        <f t="shared" ref="S952:S1015" si="1490">IF(OR($E952="",S$1=""),"",IF(TRIM(LEFT($E952,MIN(IFERROR(FIND("CDU",UPPER($E952)),999),IFERROR(FIND("BULK",UPPER($E952)),999),IFERROR(FIND("-",$E952),999),IFERROR(FIND("（",$E952),999))-1))=S$1,$F952,""))</f>
        <v/>
      </c>
      <c r="T952" s="418" t="str">
        <f t="shared" ref="T952:T1015" si="1491">IF(OR($E952="",T$1=""),"",IF(TRIM(LEFT($E952,MIN(IFERROR(FIND("CDU",UPPER($E952)),999),IFERROR(FIND("BULK",UPPER($E952)),999),IFERROR(FIND("-",$E952),999),IFERROR(FIND("（",$E952),999))-1))=T$1,$F952,""))</f>
        <v/>
      </c>
      <c r="U952" s="418" t="str">
        <f t="shared" ref="U952:U1015" si="1492">IF(OR($E952="",U$1=""),"",IF(TRIM(LEFT($E952,MIN(IFERROR(FIND("CDU",UPPER($E952)),999),IFERROR(FIND("BULK",UPPER($E952)),999),IFERROR(FIND("-",$E952),999),IFERROR(FIND("（",$E952),999))-1))=U$1,$F952,""))</f>
        <v/>
      </c>
      <c r="V952" s="418" t="str">
        <f t="shared" ref="V952:V1015" si="1493">IF(OR($E952="",V$1=""),"",IF(TRIM(LEFT($E952,MIN(IFERROR(FIND("CDU",UPPER($E952)),999),IFERROR(FIND("BULK",UPPER($E952)),999),IFERROR(FIND("-",$E952),999),IFERROR(FIND("（",$E952),999))-1))=V$1,$F952,""))</f>
        <v/>
      </c>
      <c r="W952" s="418" t="str">
        <f t="shared" ref="W952:W1015" si="1494">IF(OR($E952="",W$1=""),"",IF(TRIM(LEFT($E952,MIN(IFERROR(FIND("CDU",UPPER($E952)),999),IFERROR(FIND("BULK",UPPER($E952)),999),IFERROR(FIND("-",$E952),999),IFERROR(FIND("（",$E952),999))-1))=W$1,$F952,""))</f>
        <v/>
      </c>
      <c r="X952" s="418" t="str">
        <f t="shared" ref="X952:X1015" si="1495">IF(OR($E952="",X$1=""),"",IF(TRIM(LEFT($E952,MIN(IFERROR(FIND("CDU",UPPER($E952)),999),IFERROR(FIND("BULK",UPPER($E952)),999),IFERROR(FIND("-",$E952),999),IFERROR(FIND("（",$E952),999))-1))=X$1,$F952,""))</f>
        <v/>
      </c>
      <c r="Y952" s="418" t="str">
        <f t="shared" ref="Y952:Y1015" si="1496">IF(OR($E952="",Y$1=""),"",IF(TRIM(LEFT($E952,MIN(IFERROR(FIND("CDU",UPPER($E952)),999),IFERROR(FIND("BULK",UPPER($E952)),999),IFERROR(FIND("-",$E952),999),IFERROR(FIND("（",$E952),999))-1))=Y$1,$F952,""))</f>
        <v/>
      </c>
      <c r="Z952" s="418" t="str">
        <f t="shared" ref="Z952:Z1015" si="1497">IF(OR($E952="",Z$1=""),"",IF(TRIM(LEFT($E952,MIN(IFERROR(FIND("CDU",UPPER($E952)),999),IFERROR(FIND("BULK",UPPER($E952)),999),IFERROR(FIND("-",$E952),999),IFERROR(FIND("（",$E952),999))-1))=Z$1,$F952,""))</f>
        <v/>
      </c>
      <c r="AA952" s="418" t="str">
        <f t="shared" ref="AA952:AA1015" si="1498">IF(OR($E952="",AA$1=""),"",IF(TRIM(LEFT($E952,MIN(IFERROR(FIND("CDU",UPPER($E952)),999),IFERROR(FIND("BULK",UPPER($E952)),999),IFERROR(FIND("-",$E952),999),IFERROR(FIND("（",$E952),999))-1))=AA$1,$F952,""))</f>
        <v/>
      </c>
      <c r="AB952" s="418" t="str">
        <f t="shared" ref="AB952:AB1015" si="1499">IF(OR($E952="",AB$1=""),"",IF(TRIM(LEFT($E952,MIN(IFERROR(FIND("CDU",UPPER($E952)),999),IFERROR(FIND("BULK",UPPER($E952)),999),IFERROR(FIND("-",$E952),999),IFERROR(FIND("（",$E952),999))-1))=AB$1,$F952,""))</f>
        <v/>
      </c>
      <c r="AC952" s="418" t="str">
        <f t="shared" ref="AC952:AC1015" si="1500">IF(OR($E952="",AC$1=""),"",IF(TRIM(LEFT($E952,MIN(IFERROR(FIND("CDU",UPPER($E952)),999),IFERROR(FIND("BULK",UPPER($E952)),999),IFERROR(FIND("-",$E952),999),IFERROR(FIND("（",$E952),999))-1))=AC$1,$F952,""))</f>
        <v/>
      </c>
      <c r="AD952" s="418" t="str">
        <f t="shared" ref="AD952:AD1015" si="1501">IF(OR($E952="",AD$1=""),"",IF(TRIM(LEFT($E952,MIN(IFERROR(FIND("CDU",UPPER($E952)),999),IFERROR(FIND("BULK",UPPER($E952)),999),IFERROR(FIND("-",$E952),999),IFERROR(FIND("（",$E952),999))-1))=AD$1,$F952,""))</f>
        <v/>
      </c>
      <c r="AE952" s="418" t="str">
        <f t="shared" ref="AE952:AE1015" si="1502">IF(OR($E952="",AE$1=""),"",IF(TRIM(LEFT($E952,MIN(IFERROR(FIND("CDU",UPPER($E952)),999),IFERROR(FIND("BULK",UPPER($E952)),999),IFERROR(FIND("-",$E952),999),IFERROR(FIND("（",$E952),999))-1))=AE$1,$F952,""))</f>
        <v/>
      </c>
      <c r="AF952" s="418" t="str">
        <f t="shared" ref="AF952:AF1015" si="1503">IF(OR($E952="",AF$1=""),"",IF(TRIM(LEFT($E952,MIN(IFERROR(FIND("CDU",UPPER($E952)),999),IFERROR(FIND("BULK",UPPER($E952)),999),IFERROR(FIND("-",$E952),999),IFERROR(FIND("（",$E952),999))-1))=AF$1,$F952,""))</f>
        <v/>
      </c>
      <c r="AG952" s="418" t="str">
        <f t="shared" ref="AG952:AG1015" si="1504">IF(OR($E952="",AG$1=""),"",IF(TRIM(LEFT($E952,MIN(IFERROR(FIND("CDU",UPPER($E952)),999),IFERROR(FIND("BULK",UPPER($E952)),999),IFERROR(FIND("-",$E952),999),IFERROR(FIND("（",$E952),999))-1))=AG$1,$F952,""))</f>
        <v/>
      </c>
      <c r="AH952" s="418" t="str">
        <f t="shared" ref="AH952:AH1015" si="1505">IF(OR($E952="",AH$1=""),"",IF(TRIM(LEFT($E952,MIN(IFERROR(FIND("CDU",UPPER($E952)),999),IFERROR(FIND("BULK",UPPER($E952)),999),IFERROR(FIND("-",$E952),999),IFERROR(FIND("（",$E952),999))-1))=AH$1,$F952,""))</f>
        <v/>
      </c>
      <c r="AI952" s="418">
        <f t="shared" ref="AI952:AI1015" si="1506">IF(OR($E952="",AI$1=""),"",IF(TRIM(LEFT($E952,MIN(IFERROR(FIND("CDU",UPPER($E952)),999),IFERROR(FIND("BULK",UPPER($E952)),999),IFERROR(FIND("-",$E952),999),IFERROR(FIND("（",$E952),999))-1))=AI$1,$F952,""))</f>
        <v>1680</v>
      </c>
      <c r="AJ952" s="418" t="str">
        <f t="shared" ref="AJ952:AJ1015" si="1507">IF(OR($E952="",AJ$1=""),"",IF(TRIM(LEFT($E952,MIN(IFERROR(FIND("CDU",UPPER($E952)),999),IFERROR(FIND("BULK",UPPER($E952)),999),IFERROR(FIND("-",$E952),999),IFERROR(FIND("（",$E952),999))-1))=AJ$1,$F952,""))</f>
        <v/>
      </c>
      <c r="AK952" s="418" t="str">
        <f t="shared" ref="AK952:AK1015" si="1508">IF(OR($E952="",AK$1=""),"",IF(TRIM(LEFT($E952,MIN(IFERROR(FIND("CDU",UPPER($E952)),999),IFERROR(FIND("BULK",UPPER($E952)),999),IFERROR(FIND("-",$E952),999),IFERROR(FIND("（",$E952),999))-1))=AK$1,$F952,""))</f>
        <v/>
      </c>
      <c r="AL952" s="418" t="str">
        <f t="shared" ref="AL952:AL1015" si="1509">IF(OR($E952="",AL$1=""),"",IF(TRIM(LEFT($E952,MIN(IFERROR(FIND("CDU",UPPER($E952)),999),IFERROR(FIND("BULK",UPPER($E952)),999),IFERROR(FIND("-",$E952),999),IFERROR(FIND("（",$E952),999))-1))=AL$1,$F952,""))</f>
        <v/>
      </c>
      <c r="AM952" s="418" t="str">
        <f t="shared" ref="AM952:AM1015" si="1510">IF(OR($E952="",AM$1=""),"",IF(TRIM(LEFT($E952,MIN(IFERROR(FIND("CDU",UPPER($E952)),999),IFERROR(FIND("BULK",UPPER($E952)),999),IFERROR(FIND("-",$E952),999),IFERROR(FIND("（",$E952),999))-1))=AM$1,$F952,""))</f>
        <v/>
      </c>
      <c r="AN952" s="418" t="str">
        <f t="shared" ref="AN952:AN1015" si="1511">IF(OR($E952="",AN$1=""),"",IF(TRIM(LEFT($E952,MIN(IFERROR(FIND("CDU",UPPER($E952)),999),IFERROR(FIND("BULK",UPPER($E952)),999),IFERROR(FIND("-",$E952),999),IFERROR(FIND("（",$E952),999))-1))=AN$1,$F952,""))</f>
        <v/>
      </c>
      <c r="AO952" s="418" t="str">
        <f t="shared" ref="AO952:AO1015" si="1512">IF(OR($E952="",AO$1=""),"",IF(TRIM(LEFT($E952,MIN(IFERROR(FIND("CDU",UPPER($E952)),999),IFERROR(FIND("BULK",UPPER($E952)),999),IFERROR(FIND("-",$E952),999),IFERROR(FIND("（",$E952),999))-1))=AO$1,$F952,""))</f>
        <v/>
      </c>
      <c r="AP952" s="418" t="str">
        <f t="shared" ref="AP952:AP1015" si="1513">IF(OR($E952="",AP$1=""),"",IF(TRIM(LEFT($E952,MIN(IFERROR(FIND("CDU",UPPER($E952)),999),IFERROR(FIND("BULK",UPPER($E952)),999),IFERROR(FIND("-",$E952),999),IFERROR(FIND("（",$E952),999))-1))=AP$1,$F952,""))</f>
        <v/>
      </c>
      <c r="AQ952" s="418" t="str">
        <f t="shared" ref="AQ952:AQ1015" si="1514">IF(OR($E952="",AQ$1=""),"",IF(TRIM(LEFT($E952,MIN(IFERROR(FIND("CDU",UPPER($E952)),999),IFERROR(FIND("BULK",UPPER($E952)),999),IFERROR(FIND("-",$E952),999),IFERROR(FIND("（",$E952),999))-1))=AQ$1,$F952,""))</f>
        <v/>
      </c>
      <c r="AR952" s="418" t="str">
        <f t="shared" ref="AR952:AR1015" si="1515">IF(OR($E952="",AR$1=""),"",IF(TRIM(LEFT($E952,MIN(IFERROR(FIND("CDU",UPPER($E952)),999),IFERROR(FIND("BULK",UPPER($E952)),999),IFERROR(FIND("-",$E952),999),IFERROR(FIND("（",$E952),999))-1))=AR$1,$F952,""))</f>
        <v/>
      </c>
      <c r="AS952" s="418" t="str">
        <f t="shared" ref="AS952:AS1015" si="1516">IF(OR($E952="",AS$1=""),"",IF(TRIM(LEFT($E952,MIN(IFERROR(FIND("CDU",UPPER($E952)),999),IFERROR(FIND("BULK",UPPER($E952)),999),IFERROR(FIND("-",$E952),999),IFERROR(FIND("（",$E952),999))-1))=AS$1,$F952,""))</f>
        <v/>
      </c>
      <c r="AT952" s="418" t="str">
        <f t="shared" ref="AT952:AT1015" si="1517">IF(OR($E952="",AT$1=""),"",IF(TRIM(LEFT($E952,MIN(IFERROR(FIND("CDU",UPPER($E952)),999),IFERROR(FIND("BULK",UPPER($E952)),999),IFERROR(FIND("-",$E952),999),IFERROR(FIND("（",$E952),999))-1))=AT$1,$F952,""))</f>
        <v/>
      </c>
      <c r="AU952" s="418" t="str">
        <f t="shared" ref="AU952:AU1015" si="1518">IF(OR($E952="",AU$1=""),"",IF(TRIM(LEFT($E952,MIN(IFERROR(FIND("CDU",UPPER($E952)),999),IFERROR(FIND("BULK",UPPER($E952)),999),IFERROR(FIND("-",$E952),999),IFERROR(FIND("（",$E952),999))-1))=AU$1,$F952,""))</f>
        <v/>
      </c>
      <c r="AV952" s="418" t="str">
        <f t="shared" ref="AV952:AV1015" si="1519">IF(OR($E952="",AV$1=""),"",IF(TRIM(LEFT($E952,MIN(IFERROR(FIND("CDU",UPPER($E952)),999),IFERROR(FIND("BULK",UPPER($E952)),999),IFERROR(FIND("-",$E952),999),IFERROR(FIND("（",$E952),999))-1))=AV$1,$F952,""))</f>
        <v/>
      </c>
      <c r="AW952" s="418" t="str">
        <f t="shared" ref="AW952:AW1015" si="1520">IF(OR($E952="",AW$1=""),"",IF(TRIM(LEFT($E952,MIN(IFERROR(FIND("CDU",UPPER($E952)),999),IFERROR(FIND("BULK",UPPER($E952)),999),IFERROR(FIND("-",$E952),999),IFERROR(FIND("（",$E952),999))-1))=AW$1,$F952,""))</f>
        <v/>
      </c>
      <c r="AX952" s="418" t="str">
        <f t="shared" ref="AX952:AX1015" si="1521">IF(OR($E952="",AX$1=""),"",IF(TRIM(LEFT($E952,MIN(IFERROR(FIND("CDU",UPPER($E952)),999),IFERROR(FIND("BULK",UPPER($E952)),999),IFERROR(FIND("-",$E952),999),IFERROR(FIND("（",$E952),999))-1))=AX$1,$F952,""))</f>
        <v/>
      </c>
      <c r="AY952" s="418" t="str">
        <f t="shared" ref="AY952:AY1015" si="1522">IF(OR($E952="",AY$1=""),"",IF(TRIM(LEFT($E952,MIN(IFERROR(FIND("CDU",UPPER($E952)),999),IFERROR(FIND("BULK",UPPER($E952)),999),IFERROR(FIND("-",$E952),999),IFERROR(FIND("（",$E952),999))-1))=AY$1,$F952,""))</f>
        <v/>
      </c>
      <c r="AZ952" s="418" t="str">
        <f t="shared" ref="AZ952:AZ1015" si="1523">IF(OR($E952="",AZ$1=""),"",IF(TRIM(LEFT($E952,MIN(IFERROR(FIND("CDU",UPPER($E952)),999),IFERROR(FIND("BULK",UPPER($E952)),999),IFERROR(FIND("-",$E952),999),IFERROR(FIND("（",$E952),999))-1))=AZ$1,$F952,""))</f>
        <v/>
      </c>
      <c r="BA952" s="418" t="str">
        <f t="shared" ref="BA952:BA1015" si="1524">IF(OR($E952="",BA$1=""),"",IF(TRIM(LEFT($E952,MIN(IFERROR(FIND("CDU",UPPER($E952)),999),IFERROR(FIND("BULK",UPPER($E952)),999),IFERROR(FIND("-",$E952),999),IFERROR(FIND("（",$E952),999))-1))=BA$1,$F952,""))</f>
        <v/>
      </c>
      <c r="BB952" s="418" t="str">
        <f t="shared" ref="BB952:BB1015" si="1525">IF(OR($E952="",BB$1=""),"",IF(TRIM(LEFT($E952,MIN(IFERROR(FIND("CDU",UPPER($E952)),999),IFERROR(FIND("BULK",UPPER($E952)),999),IFERROR(FIND("-",$E952),999),IFERROR(FIND("（",$E952),999))-1))=BB$1,$F952,""))</f>
        <v/>
      </c>
      <c r="BC952" s="418" t="str">
        <f t="shared" ref="BC952:BC1015" si="1526">IF(OR($E952="",BC$1=""),"",IF(TRIM(LEFT($E952,MIN(IFERROR(FIND("CDU",UPPER($E952)),999),IFERROR(FIND("BULK",UPPER($E952)),999),IFERROR(FIND("-",$E952),999),IFERROR(FIND("（",$E952),999))-1))=BC$1,$F952,""))</f>
        <v/>
      </c>
      <c r="BD952" s="418" t="str">
        <f t="shared" ref="BD952:BD1015" si="1527">IF(OR($E952="",BD$1=""),"",IF(TRIM(LEFT($E952,MIN(IFERROR(FIND("CDU",UPPER($E952)),999),IFERROR(FIND("BULK",UPPER($E952)),999),IFERROR(FIND("-",$E952),999),IFERROR(FIND("（",$E952),999))-1))=BD$1,$F952,""))</f>
        <v/>
      </c>
      <c r="BE952" s="418" t="str">
        <f t="shared" ref="BE952:BE1015" si="1528">IF(OR($E952="",BE$1=""),"",IF(TRIM(LEFT($E952,MIN(IFERROR(FIND("CDU",UPPER($E952)),999),IFERROR(FIND("BULK",UPPER($E952)),999),IFERROR(FIND("-",$E952),999),IFERROR(FIND("（",$E952),999))-1))=BE$1,$F952,""))</f>
        <v/>
      </c>
      <c r="BF952" s="418" t="str">
        <f t="shared" ref="BF952:BF1015" si="1529">IF(OR($E952="",BF$1=""),"",IF(TRIM(LEFT($E952,MIN(IFERROR(FIND("CDU",UPPER($E952)),999),IFERROR(FIND("BULK",UPPER($E952)),999),IFERROR(FIND("-",$E952),999),IFERROR(FIND("（",$E952),999))-1))=BF$1,$F952,""))</f>
        <v/>
      </c>
      <c r="BG952" s="418" t="str">
        <f t="shared" ref="BG952:BG1015" si="1530">IF(OR($E952="",BG$1=""),"",IF(TRIM(LEFT($E952,MIN(IFERROR(FIND("CDU",UPPER($E952)),999),IFERROR(FIND("BULK",UPPER($E952)),999),IFERROR(FIND("-",$E952),999),IFERROR(FIND("（",$E952),999))-1))=BG$1,$F952,""))</f>
        <v/>
      </c>
      <c r="BH952" s="418" t="str">
        <f t="shared" ref="BH952:BH1015" si="1531">IF(OR($E952="",BH$1=""),"",IF(TRIM(LEFT($E952,MIN(IFERROR(FIND("CDU",UPPER($E952)),999),IFERROR(FIND("BULK",UPPER($E952)),999),IFERROR(FIND("-",$E952),999),IFERROR(FIND("（",$E952),999))-1))=BH$1,$F952,""))</f>
        <v/>
      </c>
      <c r="BI952" s="418" t="str">
        <f t="shared" ref="BI952:BI1015" si="1532">IF(OR($E952="",BI$1=""),"",IF(TRIM(LEFT($E952,MIN(IFERROR(FIND("CDU",UPPER($E952)),999),IFERROR(FIND("BULK",UPPER($E952)),999),IFERROR(FIND("-",$E952),999),IFERROR(FIND("（",$E952),999))-1))=BI$1,$F952,""))</f>
        <v/>
      </c>
      <c r="BJ952" s="418" t="str">
        <f t="shared" ref="BJ952:BJ1015" si="1533">IF(OR($E952="",BJ$1=""),"",IF(TRIM(LEFT($E952,MIN(IFERROR(FIND("CDU",UPPER($E952)),999),IFERROR(FIND("BULK",UPPER($E952)),999),IFERROR(FIND("-",$E952),999),IFERROR(FIND("（",$E952),999))-1))=BJ$1,$F952,""))</f>
        <v/>
      </c>
      <c r="BK952" s="418" t="str">
        <f t="shared" ref="BK952:BK1015" si="1534">IF(OR($E952="",BK$1=""),"",IF(TRIM(LEFT($E952,MIN(IFERROR(FIND("CDU",UPPER($E952)),999),IFERROR(FIND("BULK",UPPER($E952)),999),IFERROR(FIND("-",$E952),999),IFERROR(FIND("（",$E952),999))-1))=BK$1,$F952,""))</f>
        <v/>
      </c>
      <c r="BL952" s="418" t="str">
        <f t="shared" ref="BL952:BL1015" si="1535">IF(OR($E952="",BL$1=""),"",IF(TRIM(LEFT($E952,MIN(IFERROR(FIND("CDU",UPPER($E952)),999),IFERROR(FIND("BULK",UPPER($E952)),999),IFERROR(FIND("-",$E952),999),IFERROR(FIND("（",$E952),999))-1))=BL$1,$F952,""))</f>
        <v/>
      </c>
      <c r="BM952" s="418" t="str">
        <f t="shared" ref="BM952:BM1015" si="1536">IF(OR($E952="",BM$1=""),"",IF(TRIM(LEFT($E952,MIN(IFERROR(FIND("CDU",UPPER($E952)),999),IFERROR(FIND("BULK",UPPER($E952)),999),IFERROR(FIND("-",$E952),999),IFERROR(FIND("（",$E952),999))-1))=BM$1,$F952,""))</f>
        <v/>
      </c>
      <c r="BN952" s="418" t="str">
        <f t="shared" ref="BN952:BN1015" si="1537">IF(OR($E952="",BN$1=""),"",IF(TRIM(LEFT($E952,MIN(IFERROR(FIND("CDU",UPPER($E952)),999),IFERROR(FIND("BULK",UPPER($E952)),999),IFERROR(FIND("-",$E952),999),IFERROR(FIND("（",$E952),999))-1))=BN$1,$F952,""))</f>
        <v/>
      </c>
      <c r="BO952" s="418" t="str">
        <f t="shared" ref="BO952:BO1015" si="1538">IF(OR($E952="",BO$1=""),"",IF(TRIM(LEFT($E952,MIN(IFERROR(FIND("CDU",UPPER($E952)),999),IFERROR(FIND("BULK",UPPER($E952)),999),IFERROR(FIND("-",$E952),999),IFERROR(FIND("（",$E952),999))-1))=BO$1,$F952,""))</f>
        <v/>
      </c>
      <c r="BP952" s="418" t="str">
        <f t="shared" ref="BP952:BP1015" si="1539">IF(OR($E952="",BP$1=""),"",IF(TRIM(LEFT($E952,MIN(IFERROR(FIND("CDU",UPPER($E952)),999),IFERROR(FIND("BULK",UPPER($E952)),999),IFERROR(FIND("-",$E952),999),IFERROR(FIND("（",$E952),999))-1))=BP$1,$F952,""))</f>
        <v/>
      </c>
      <c r="BQ952" s="418" t="str">
        <f t="shared" si="1459"/>
        <v/>
      </c>
      <c r="BR952" s="418" t="str">
        <f t="shared" si="1460"/>
        <v/>
      </c>
      <c r="BS952" s="418" t="str">
        <f t="shared" si="1461"/>
        <v/>
      </c>
      <c r="BT952" s="418" t="str">
        <f t="shared" ref="BT952:BT1015" si="1540">IF(OR($E952="",BT$1=""),"",IF(TRIM(LEFT($E952,MIN(IFERROR(FIND("CDU",UPPER($E952)),999),IFERROR(FIND("BULK",UPPER($E952)),999),IFERROR(FIND("-",$E952),999),IFERROR(FIND("（",$E952),999))-1))=BT$1,$F952,""))</f>
        <v/>
      </c>
      <c r="BU952" s="418" t="str">
        <f t="shared" ref="BU952:BU1015" si="1541">IF(OR($E952="",BU$1=""),"",IF(TRIM(LEFT($E952,MIN(IFERROR(FIND("CDU",UPPER($E952)),999),IFERROR(FIND("BULK",UPPER($E952)),999),IFERROR(FIND("-",$E952),999),IFERROR(FIND("（",$E952),999))-1))=BU$1,$F952,""))</f>
        <v/>
      </c>
      <c r="BV952" s="544">
        <v>9.15</v>
      </c>
      <c r="BW952" s="723">
        <f t="shared" ref="BW952:BW1015" si="1542">SUM(I952:BU952)*BV952</f>
        <v>15372</v>
      </c>
      <c r="BX952" s="724">
        <f t="shared" ref="BX952:BX1015" si="1543">BW952*7.75</f>
        <v>119133</v>
      </c>
      <c r="BY952" s="725" t="str">
        <f t="shared" ref="BY952:BY1015" si="1544">MID(E952,1,2)</f>
        <v>SR</v>
      </c>
    </row>
    <row r="953" s="697" customFormat="1" customHeight="1" spans="1:77">
      <c r="A953" s="174">
        <v>46162</v>
      </c>
      <c r="B953" s="179">
        <v>46226</v>
      </c>
      <c r="C953" s="418">
        <v>5840514355</v>
      </c>
      <c r="D953" s="418" t="s">
        <v>860</v>
      </c>
      <c r="E953" s="175" t="s">
        <v>126</v>
      </c>
      <c r="F953" s="737">
        <v>1680</v>
      </c>
      <c r="G953" s="118" t="s">
        <v>584</v>
      </c>
      <c r="H953" s="118" t="str">
        <f>IFERROR(VLOOKUP(E953,名称!A:E,4,0),"")</f>
        <v>三代</v>
      </c>
      <c r="I953" s="418" t="str">
        <f t="shared" si="1480"/>
        <v/>
      </c>
      <c r="J953" s="418" t="str">
        <f t="shared" si="1481"/>
        <v/>
      </c>
      <c r="K953" s="418" t="str">
        <f t="shared" si="1482"/>
        <v/>
      </c>
      <c r="L953" s="418" t="str">
        <f t="shared" si="1483"/>
        <v/>
      </c>
      <c r="M953" s="418" t="str">
        <f t="shared" si="1484"/>
        <v/>
      </c>
      <c r="N953" s="418" t="str">
        <f t="shared" si="1485"/>
        <v/>
      </c>
      <c r="O953" s="418" t="str">
        <f t="shared" si="1486"/>
        <v/>
      </c>
      <c r="P953" s="418" t="str">
        <f t="shared" si="1487"/>
        <v/>
      </c>
      <c r="Q953" s="418" t="str">
        <f t="shared" si="1488"/>
        <v/>
      </c>
      <c r="R953" s="418" t="str">
        <f t="shared" si="1489"/>
        <v/>
      </c>
      <c r="S953" s="418" t="str">
        <f t="shared" si="1490"/>
        <v/>
      </c>
      <c r="T953" s="418" t="str">
        <f t="shared" si="1491"/>
        <v/>
      </c>
      <c r="U953" s="418" t="str">
        <f t="shared" si="1492"/>
        <v/>
      </c>
      <c r="V953" s="418" t="str">
        <f t="shared" si="1493"/>
        <v/>
      </c>
      <c r="W953" s="418" t="str">
        <f t="shared" si="1494"/>
        <v/>
      </c>
      <c r="X953" s="418" t="str">
        <f t="shared" si="1495"/>
        <v/>
      </c>
      <c r="Y953" s="418" t="str">
        <f t="shared" si="1496"/>
        <v/>
      </c>
      <c r="Z953" s="418" t="str">
        <f t="shared" si="1497"/>
        <v/>
      </c>
      <c r="AA953" s="418" t="str">
        <f t="shared" si="1498"/>
        <v/>
      </c>
      <c r="AB953" s="418" t="str">
        <f t="shared" si="1499"/>
        <v/>
      </c>
      <c r="AC953" s="418" t="str">
        <f t="shared" si="1500"/>
        <v/>
      </c>
      <c r="AD953" s="418" t="str">
        <f t="shared" si="1501"/>
        <v/>
      </c>
      <c r="AE953" s="418" t="str">
        <f t="shared" si="1502"/>
        <v/>
      </c>
      <c r="AF953" s="418" t="str">
        <f t="shared" si="1503"/>
        <v/>
      </c>
      <c r="AG953" s="418" t="str">
        <f t="shared" si="1504"/>
        <v/>
      </c>
      <c r="AH953" s="418" t="str">
        <f t="shared" si="1505"/>
        <v/>
      </c>
      <c r="AI953" s="418">
        <f t="shared" si="1506"/>
        <v>1680</v>
      </c>
      <c r="AJ953" s="418" t="str">
        <f t="shared" si="1507"/>
        <v/>
      </c>
      <c r="AK953" s="418" t="str">
        <f t="shared" si="1508"/>
        <v/>
      </c>
      <c r="AL953" s="418" t="str">
        <f t="shared" si="1509"/>
        <v/>
      </c>
      <c r="AM953" s="418" t="str">
        <f t="shared" si="1510"/>
        <v/>
      </c>
      <c r="AN953" s="418" t="str">
        <f t="shared" si="1511"/>
        <v/>
      </c>
      <c r="AO953" s="418" t="str">
        <f t="shared" si="1512"/>
        <v/>
      </c>
      <c r="AP953" s="418" t="str">
        <f t="shared" si="1513"/>
        <v/>
      </c>
      <c r="AQ953" s="418" t="str">
        <f t="shared" si="1514"/>
        <v/>
      </c>
      <c r="AR953" s="418" t="str">
        <f t="shared" si="1515"/>
        <v/>
      </c>
      <c r="AS953" s="418" t="str">
        <f t="shared" si="1516"/>
        <v/>
      </c>
      <c r="AT953" s="418" t="str">
        <f t="shared" si="1517"/>
        <v/>
      </c>
      <c r="AU953" s="418" t="str">
        <f t="shared" si="1518"/>
        <v/>
      </c>
      <c r="AV953" s="418" t="str">
        <f t="shared" si="1519"/>
        <v/>
      </c>
      <c r="AW953" s="418" t="str">
        <f t="shared" si="1520"/>
        <v/>
      </c>
      <c r="AX953" s="418" t="str">
        <f t="shared" si="1521"/>
        <v/>
      </c>
      <c r="AY953" s="418" t="str">
        <f t="shared" si="1522"/>
        <v/>
      </c>
      <c r="AZ953" s="418" t="str">
        <f t="shared" si="1523"/>
        <v/>
      </c>
      <c r="BA953" s="418" t="str">
        <f t="shared" si="1524"/>
        <v/>
      </c>
      <c r="BB953" s="418" t="str">
        <f t="shared" si="1525"/>
        <v/>
      </c>
      <c r="BC953" s="418" t="str">
        <f t="shared" si="1526"/>
        <v/>
      </c>
      <c r="BD953" s="418" t="str">
        <f t="shared" si="1527"/>
        <v/>
      </c>
      <c r="BE953" s="418" t="str">
        <f t="shared" si="1528"/>
        <v/>
      </c>
      <c r="BF953" s="418" t="str">
        <f t="shared" si="1529"/>
        <v/>
      </c>
      <c r="BG953" s="418" t="str">
        <f t="shared" si="1530"/>
        <v/>
      </c>
      <c r="BH953" s="418" t="str">
        <f t="shared" si="1531"/>
        <v/>
      </c>
      <c r="BI953" s="418" t="str">
        <f t="shared" si="1532"/>
        <v/>
      </c>
      <c r="BJ953" s="418" t="str">
        <f t="shared" si="1533"/>
        <v/>
      </c>
      <c r="BK953" s="418" t="str">
        <f t="shared" si="1534"/>
        <v/>
      </c>
      <c r="BL953" s="418" t="str">
        <f t="shared" si="1535"/>
        <v/>
      </c>
      <c r="BM953" s="418" t="str">
        <f t="shared" si="1536"/>
        <v/>
      </c>
      <c r="BN953" s="418" t="str">
        <f t="shared" si="1537"/>
        <v/>
      </c>
      <c r="BO953" s="418" t="str">
        <f t="shared" si="1538"/>
        <v/>
      </c>
      <c r="BP953" s="418" t="str">
        <f t="shared" si="1539"/>
        <v/>
      </c>
      <c r="BQ953" s="418" t="str">
        <f t="shared" si="1459"/>
        <v/>
      </c>
      <c r="BR953" s="418" t="str">
        <f t="shared" si="1460"/>
        <v/>
      </c>
      <c r="BS953" s="418" t="str">
        <f t="shared" si="1461"/>
        <v/>
      </c>
      <c r="BT953" s="418" t="str">
        <f t="shared" si="1540"/>
        <v/>
      </c>
      <c r="BU953" s="418" t="str">
        <f t="shared" si="1541"/>
        <v/>
      </c>
      <c r="BV953" s="544">
        <v>9.15</v>
      </c>
      <c r="BW953" s="723">
        <f t="shared" si="1542"/>
        <v>15372</v>
      </c>
      <c r="BX953" s="724">
        <f t="shared" si="1543"/>
        <v>119133</v>
      </c>
      <c r="BY953" s="725" t="str">
        <f t="shared" si="1544"/>
        <v>SR</v>
      </c>
    </row>
    <row r="954" s="698" customFormat="1" customHeight="1" spans="1:77">
      <c r="A954" s="227">
        <v>46162</v>
      </c>
      <c r="B954" s="248">
        <v>46230</v>
      </c>
      <c r="C954" s="268">
        <v>1790514745</v>
      </c>
      <c r="D954" s="268" t="s">
        <v>861</v>
      </c>
      <c r="E954" s="209" t="s">
        <v>126</v>
      </c>
      <c r="F954" s="343">
        <v>1680</v>
      </c>
      <c r="G954" s="211" t="s">
        <v>584</v>
      </c>
      <c r="H954" s="211" t="str">
        <f>IFERROR(VLOOKUP(E954,名称!A:E,4,0),"")</f>
        <v>三代</v>
      </c>
      <c r="I954" s="268" t="str">
        <f t="shared" si="1480"/>
        <v/>
      </c>
      <c r="J954" s="268" t="str">
        <f t="shared" si="1481"/>
        <v/>
      </c>
      <c r="K954" s="268" t="str">
        <f t="shared" si="1482"/>
        <v/>
      </c>
      <c r="L954" s="268" t="str">
        <f t="shared" si="1483"/>
        <v/>
      </c>
      <c r="M954" s="268" t="str">
        <f t="shared" si="1484"/>
        <v/>
      </c>
      <c r="N954" s="268" t="str">
        <f t="shared" si="1485"/>
        <v/>
      </c>
      <c r="O954" s="268" t="str">
        <f t="shared" si="1486"/>
        <v/>
      </c>
      <c r="P954" s="268" t="str">
        <f t="shared" si="1487"/>
        <v/>
      </c>
      <c r="Q954" s="268" t="str">
        <f t="shared" si="1488"/>
        <v/>
      </c>
      <c r="R954" s="268" t="str">
        <f t="shared" si="1489"/>
        <v/>
      </c>
      <c r="S954" s="268" t="str">
        <f t="shared" si="1490"/>
        <v/>
      </c>
      <c r="T954" s="268" t="str">
        <f t="shared" si="1491"/>
        <v/>
      </c>
      <c r="U954" s="268" t="str">
        <f t="shared" si="1492"/>
        <v/>
      </c>
      <c r="V954" s="268" t="str">
        <f t="shared" si="1493"/>
        <v/>
      </c>
      <c r="W954" s="268" t="str">
        <f t="shared" si="1494"/>
        <v/>
      </c>
      <c r="X954" s="268" t="str">
        <f t="shared" si="1495"/>
        <v/>
      </c>
      <c r="Y954" s="268" t="str">
        <f t="shared" si="1496"/>
        <v/>
      </c>
      <c r="Z954" s="268" t="str">
        <f t="shared" si="1497"/>
        <v/>
      </c>
      <c r="AA954" s="268" t="str">
        <f t="shared" si="1498"/>
        <v/>
      </c>
      <c r="AB954" s="268" t="str">
        <f t="shared" si="1499"/>
        <v/>
      </c>
      <c r="AC954" s="268" t="str">
        <f t="shared" si="1500"/>
        <v/>
      </c>
      <c r="AD954" s="268" t="str">
        <f t="shared" si="1501"/>
        <v/>
      </c>
      <c r="AE954" s="268" t="str">
        <f t="shared" si="1502"/>
        <v/>
      </c>
      <c r="AF954" s="268" t="str">
        <f t="shared" si="1503"/>
        <v/>
      </c>
      <c r="AG954" s="268" t="str">
        <f t="shared" si="1504"/>
        <v/>
      </c>
      <c r="AH954" s="268" t="str">
        <f t="shared" si="1505"/>
        <v/>
      </c>
      <c r="AI954" s="268">
        <f t="shared" si="1506"/>
        <v>1680</v>
      </c>
      <c r="AJ954" s="268" t="str">
        <f t="shared" si="1507"/>
        <v/>
      </c>
      <c r="AK954" s="268" t="str">
        <f t="shared" si="1508"/>
        <v/>
      </c>
      <c r="AL954" s="268" t="str">
        <f t="shared" si="1509"/>
        <v/>
      </c>
      <c r="AM954" s="268" t="str">
        <f t="shared" si="1510"/>
        <v/>
      </c>
      <c r="AN954" s="268" t="str">
        <f t="shared" si="1511"/>
        <v/>
      </c>
      <c r="AO954" s="268" t="str">
        <f t="shared" si="1512"/>
        <v/>
      </c>
      <c r="AP954" s="268" t="str">
        <f t="shared" si="1513"/>
        <v/>
      </c>
      <c r="AQ954" s="268" t="str">
        <f t="shared" si="1514"/>
        <v/>
      </c>
      <c r="AR954" s="268" t="str">
        <f t="shared" si="1515"/>
        <v/>
      </c>
      <c r="AS954" s="268" t="str">
        <f t="shared" si="1516"/>
        <v/>
      </c>
      <c r="AT954" s="268" t="str">
        <f t="shared" si="1517"/>
        <v/>
      </c>
      <c r="AU954" s="268" t="str">
        <f t="shared" si="1518"/>
        <v/>
      </c>
      <c r="AV954" s="268" t="str">
        <f t="shared" si="1519"/>
        <v/>
      </c>
      <c r="AW954" s="268" t="str">
        <f t="shared" si="1520"/>
        <v/>
      </c>
      <c r="AX954" s="268" t="str">
        <f t="shared" si="1521"/>
        <v/>
      </c>
      <c r="AY954" s="268" t="str">
        <f t="shared" si="1522"/>
        <v/>
      </c>
      <c r="AZ954" s="268" t="str">
        <f t="shared" si="1523"/>
        <v/>
      </c>
      <c r="BA954" s="268" t="str">
        <f t="shared" si="1524"/>
        <v/>
      </c>
      <c r="BB954" s="268" t="str">
        <f t="shared" si="1525"/>
        <v/>
      </c>
      <c r="BC954" s="268" t="str">
        <f t="shared" si="1526"/>
        <v/>
      </c>
      <c r="BD954" s="268" t="str">
        <f t="shared" si="1527"/>
        <v/>
      </c>
      <c r="BE954" s="268" t="str">
        <f t="shared" si="1528"/>
        <v/>
      </c>
      <c r="BF954" s="268" t="str">
        <f t="shared" si="1529"/>
        <v/>
      </c>
      <c r="BG954" s="268" t="str">
        <f t="shared" si="1530"/>
        <v/>
      </c>
      <c r="BH954" s="268" t="str">
        <f t="shared" si="1531"/>
        <v/>
      </c>
      <c r="BI954" s="268" t="str">
        <f t="shared" si="1532"/>
        <v/>
      </c>
      <c r="BJ954" s="268" t="str">
        <f t="shared" si="1533"/>
        <v/>
      </c>
      <c r="BK954" s="268" t="str">
        <f t="shared" si="1534"/>
        <v/>
      </c>
      <c r="BL954" s="268" t="str">
        <f t="shared" si="1535"/>
        <v/>
      </c>
      <c r="BM954" s="268" t="str">
        <f t="shared" si="1536"/>
        <v/>
      </c>
      <c r="BN954" s="268" t="str">
        <f t="shared" si="1537"/>
        <v/>
      </c>
      <c r="BO954" s="268" t="str">
        <f t="shared" si="1538"/>
        <v/>
      </c>
      <c r="BP954" s="268" t="str">
        <f t="shared" si="1539"/>
        <v/>
      </c>
      <c r="BQ954" s="268" t="str">
        <f t="shared" si="1459"/>
        <v/>
      </c>
      <c r="BR954" s="268" t="str">
        <f t="shared" si="1460"/>
        <v/>
      </c>
      <c r="BS954" s="268" t="str">
        <f t="shared" si="1461"/>
        <v/>
      </c>
      <c r="BT954" s="268" t="str">
        <f t="shared" si="1540"/>
        <v/>
      </c>
      <c r="BU954" s="268" t="str">
        <f t="shared" si="1541"/>
        <v/>
      </c>
      <c r="BV954" s="247">
        <v>11.31</v>
      </c>
      <c r="BW954" s="729">
        <f t="shared" si="1542"/>
        <v>19000.8</v>
      </c>
      <c r="BX954" s="730">
        <f t="shared" si="1543"/>
        <v>147256.2</v>
      </c>
      <c r="BY954" s="731" t="str">
        <f t="shared" si="1544"/>
        <v>SR</v>
      </c>
    </row>
    <row r="955" s="698" customFormat="1" customHeight="1" spans="1:77">
      <c r="A955" s="227">
        <v>46162</v>
      </c>
      <c r="B955" s="248">
        <v>46230</v>
      </c>
      <c r="C955" s="268">
        <v>1790514746</v>
      </c>
      <c r="D955" s="268" t="s">
        <v>862</v>
      </c>
      <c r="E955" s="209" t="s">
        <v>126</v>
      </c>
      <c r="F955" s="343">
        <v>1680</v>
      </c>
      <c r="G955" s="211" t="s">
        <v>584</v>
      </c>
      <c r="H955" s="211" t="str">
        <f>IFERROR(VLOOKUP(E955,名称!A:E,4,0),"")</f>
        <v>三代</v>
      </c>
      <c r="I955" s="268" t="str">
        <f t="shared" si="1480"/>
        <v/>
      </c>
      <c r="J955" s="268" t="str">
        <f t="shared" si="1481"/>
        <v/>
      </c>
      <c r="K955" s="268" t="str">
        <f t="shared" si="1482"/>
        <v/>
      </c>
      <c r="L955" s="268" t="str">
        <f t="shared" si="1483"/>
        <v/>
      </c>
      <c r="M955" s="268" t="str">
        <f t="shared" si="1484"/>
        <v/>
      </c>
      <c r="N955" s="268" t="str">
        <f t="shared" si="1485"/>
        <v/>
      </c>
      <c r="O955" s="268" t="str">
        <f t="shared" si="1486"/>
        <v/>
      </c>
      <c r="P955" s="268" t="str">
        <f t="shared" si="1487"/>
        <v/>
      </c>
      <c r="Q955" s="268" t="str">
        <f t="shared" si="1488"/>
        <v/>
      </c>
      <c r="R955" s="268" t="str">
        <f t="shared" si="1489"/>
        <v/>
      </c>
      <c r="S955" s="268" t="str">
        <f t="shared" si="1490"/>
        <v/>
      </c>
      <c r="T955" s="268" t="str">
        <f t="shared" si="1491"/>
        <v/>
      </c>
      <c r="U955" s="268" t="str">
        <f t="shared" si="1492"/>
        <v/>
      </c>
      <c r="V955" s="268" t="str">
        <f t="shared" si="1493"/>
        <v/>
      </c>
      <c r="W955" s="268" t="str">
        <f t="shared" si="1494"/>
        <v/>
      </c>
      <c r="X955" s="268" t="str">
        <f t="shared" si="1495"/>
        <v/>
      </c>
      <c r="Y955" s="268" t="str">
        <f t="shared" si="1496"/>
        <v/>
      </c>
      <c r="Z955" s="268" t="str">
        <f t="shared" si="1497"/>
        <v/>
      </c>
      <c r="AA955" s="268" t="str">
        <f t="shared" si="1498"/>
        <v/>
      </c>
      <c r="AB955" s="268" t="str">
        <f t="shared" si="1499"/>
        <v/>
      </c>
      <c r="AC955" s="268" t="str">
        <f t="shared" si="1500"/>
        <v/>
      </c>
      <c r="AD955" s="268" t="str">
        <f t="shared" si="1501"/>
        <v/>
      </c>
      <c r="AE955" s="268" t="str">
        <f t="shared" si="1502"/>
        <v/>
      </c>
      <c r="AF955" s="268" t="str">
        <f t="shared" si="1503"/>
        <v/>
      </c>
      <c r="AG955" s="268" t="str">
        <f t="shared" si="1504"/>
        <v/>
      </c>
      <c r="AH955" s="268" t="str">
        <f t="shared" si="1505"/>
        <v/>
      </c>
      <c r="AI955" s="268">
        <f t="shared" si="1506"/>
        <v>1680</v>
      </c>
      <c r="AJ955" s="268" t="str">
        <f t="shared" si="1507"/>
        <v/>
      </c>
      <c r="AK955" s="268" t="str">
        <f t="shared" si="1508"/>
        <v/>
      </c>
      <c r="AL955" s="268" t="str">
        <f t="shared" si="1509"/>
        <v/>
      </c>
      <c r="AM955" s="268" t="str">
        <f t="shared" si="1510"/>
        <v/>
      </c>
      <c r="AN955" s="268" t="str">
        <f t="shared" si="1511"/>
        <v/>
      </c>
      <c r="AO955" s="268" t="str">
        <f t="shared" si="1512"/>
        <v/>
      </c>
      <c r="AP955" s="268" t="str">
        <f t="shared" si="1513"/>
        <v/>
      </c>
      <c r="AQ955" s="268" t="str">
        <f t="shared" si="1514"/>
        <v/>
      </c>
      <c r="AR955" s="268" t="str">
        <f t="shared" si="1515"/>
        <v/>
      </c>
      <c r="AS955" s="268" t="str">
        <f t="shared" si="1516"/>
        <v/>
      </c>
      <c r="AT955" s="268" t="str">
        <f t="shared" si="1517"/>
        <v/>
      </c>
      <c r="AU955" s="268" t="str">
        <f t="shared" si="1518"/>
        <v/>
      </c>
      <c r="AV955" s="268" t="str">
        <f t="shared" si="1519"/>
        <v/>
      </c>
      <c r="AW955" s="268" t="str">
        <f t="shared" si="1520"/>
        <v/>
      </c>
      <c r="AX955" s="268" t="str">
        <f t="shared" si="1521"/>
        <v/>
      </c>
      <c r="AY955" s="268" t="str">
        <f t="shared" si="1522"/>
        <v/>
      </c>
      <c r="AZ955" s="268" t="str">
        <f t="shared" si="1523"/>
        <v/>
      </c>
      <c r="BA955" s="268" t="str">
        <f t="shared" si="1524"/>
        <v/>
      </c>
      <c r="BB955" s="268" t="str">
        <f t="shared" si="1525"/>
        <v/>
      </c>
      <c r="BC955" s="268" t="str">
        <f t="shared" si="1526"/>
        <v/>
      </c>
      <c r="BD955" s="268" t="str">
        <f t="shared" si="1527"/>
        <v/>
      </c>
      <c r="BE955" s="268" t="str">
        <f t="shared" si="1528"/>
        <v/>
      </c>
      <c r="BF955" s="268" t="str">
        <f t="shared" si="1529"/>
        <v/>
      </c>
      <c r="BG955" s="268" t="str">
        <f t="shared" si="1530"/>
        <v/>
      </c>
      <c r="BH955" s="268" t="str">
        <f t="shared" si="1531"/>
        <v/>
      </c>
      <c r="BI955" s="268" t="str">
        <f t="shared" si="1532"/>
        <v/>
      </c>
      <c r="BJ955" s="268" t="str">
        <f t="shared" si="1533"/>
        <v/>
      </c>
      <c r="BK955" s="268" t="str">
        <f t="shared" si="1534"/>
        <v/>
      </c>
      <c r="BL955" s="268" t="str">
        <f t="shared" si="1535"/>
        <v/>
      </c>
      <c r="BM955" s="268" t="str">
        <f t="shared" si="1536"/>
        <v/>
      </c>
      <c r="BN955" s="268" t="str">
        <f t="shared" si="1537"/>
        <v/>
      </c>
      <c r="BO955" s="268" t="str">
        <f t="shared" si="1538"/>
        <v/>
      </c>
      <c r="BP955" s="268" t="str">
        <f t="shared" si="1539"/>
        <v/>
      </c>
      <c r="BQ955" s="268" t="str">
        <f t="shared" si="1459"/>
        <v/>
      </c>
      <c r="BR955" s="268" t="str">
        <f t="shared" si="1460"/>
        <v/>
      </c>
      <c r="BS955" s="268" t="str">
        <f t="shared" si="1461"/>
        <v/>
      </c>
      <c r="BT955" s="268" t="str">
        <f t="shared" si="1540"/>
        <v/>
      </c>
      <c r="BU955" s="268" t="str">
        <f t="shared" si="1541"/>
        <v/>
      </c>
      <c r="BV955" s="247">
        <v>11.31</v>
      </c>
      <c r="BW955" s="729">
        <f t="shared" si="1542"/>
        <v>19000.8</v>
      </c>
      <c r="BX955" s="730">
        <f t="shared" si="1543"/>
        <v>147256.2</v>
      </c>
      <c r="BY955" s="731" t="str">
        <f t="shared" si="1544"/>
        <v>SR</v>
      </c>
    </row>
    <row r="956" s="698" customFormat="1" customHeight="1" spans="1:77">
      <c r="A956" s="227">
        <v>46162</v>
      </c>
      <c r="B956" s="248">
        <v>46230</v>
      </c>
      <c r="C956" s="268">
        <v>1790514747</v>
      </c>
      <c r="D956" s="268" t="s">
        <v>863</v>
      </c>
      <c r="E956" s="209" t="s">
        <v>126</v>
      </c>
      <c r="F956" s="343">
        <v>1680</v>
      </c>
      <c r="G956" s="211" t="s">
        <v>584</v>
      </c>
      <c r="H956" s="211" t="str">
        <f>IFERROR(VLOOKUP(E956,名称!A:E,4,0),"")</f>
        <v>三代</v>
      </c>
      <c r="I956" s="268" t="str">
        <f t="shared" si="1480"/>
        <v/>
      </c>
      <c r="J956" s="268" t="str">
        <f t="shared" si="1481"/>
        <v/>
      </c>
      <c r="K956" s="268" t="str">
        <f t="shared" si="1482"/>
        <v/>
      </c>
      <c r="L956" s="268" t="str">
        <f t="shared" si="1483"/>
        <v/>
      </c>
      <c r="M956" s="268" t="str">
        <f t="shared" si="1484"/>
        <v/>
      </c>
      <c r="N956" s="268" t="str">
        <f t="shared" si="1485"/>
        <v/>
      </c>
      <c r="O956" s="268" t="str">
        <f t="shared" si="1486"/>
        <v/>
      </c>
      <c r="P956" s="268" t="str">
        <f t="shared" si="1487"/>
        <v/>
      </c>
      <c r="Q956" s="268" t="str">
        <f t="shared" si="1488"/>
        <v/>
      </c>
      <c r="R956" s="268" t="str">
        <f t="shared" si="1489"/>
        <v/>
      </c>
      <c r="S956" s="268" t="str">
        <f t="shared" si="1490"/>
        <v/>
      </c>
      <c r="T956" s="268" t="str">
        <f t="shared" si="1491"/>
        <v/>
      </c>
      <c r="U956" s="268" t="str">
        <f t="shared" si="1492"/>
        <v/>
      </c>
      <c r="V956" s="268" t="str">
        <f t="shared" si="1493"/>
        <v/>
      </c>
      <c r="W956" s="268" t="str">
        <f t="shared" si="1494"/>
        <v/>
      </c>
      <c r="X956" s="268" t="str">
        <f t="shared" si="1495"/>
        <v/>
      </c>
      <c r="Y956" s="268" t="str">
        <f t="shared" si="1496"/>
        <v/>
      </c>
      <c r="Z956" s="268" t="str">
        <f t="shared" si="1497"/>
        <v/>
      </c>
      <c r="AA956" s="268" t="str">
        <f t="shared" si="1498"/>
        <v/>
      </c>
      <c r="AB956" s="268" t="str">
        <f t="shared" si="1499"/>
        <v/>
      </c>
      <c r="AC956" s="268" t="str">
        <f t="shared" si="1500"/>
        <v/>
      </c>
      <c r="AD956" s="268" t="str">
        <f t="shared" si="1501"/>
        <v/>
      </c>
      <c r="AE956" s="268" t="str">
        <f t="shared" si="1502"/>
        <v/>
      </c>
      <c r="AF956" s="268" t="str">
        <f t="shared" si="1503"/>
        <v/>
      </c>
      <c r="AG956" s="268" t="str">
        <f t="shared" si="1504"/>
        <v/>
      </c>
      <c r="AH956" s="268" t="str">
        <f t="shared" si="1505"/>
        <v/>
      </c>
      <c r="AI956" s="268">
        <f t="shared" si="1506"/>
        <v>1680</v>
      </c>
      <c r="AJ956" s="268" t="str">
        <f t="shared" si="1507"/>
        <v/>
      </c>
      <c r="AK956" s="268" t="str">
        <f t="shared" si="1508"/>
        <v/>
      </c>
      <c r="AL956" s="268" t="str">
        <f t="shared" si="1509"/>
        <v/>
      </c>
      <c r="AM956" s="268" t="str">
        <f t="shared" si="1510"/>
        <v/>
      </c>
      <c r="AN956" s="268" t="str">
        <f t="shared" si="1511"/>
        <v/>
      </c>
      <c r="AO956" s="268" t="str">
        <f t="shared" si="1512"/>
        <v/>
      </c>
      <c r="AP956" s="268" t="str">
        <f t="shared" si="1513"/>
        <v/>
      </c>
      <c r="AQ956" s="268" t="str">
        <f t="shared" si="1514"/>
        <v/>
      </c>
      <c r="AR956" s="268" t="str">
        <f t="shared" si="1515"/>
        <v/>
      </c>
      <c r="AS956" s="268" t="str">
        <f t="shared" si="1516"/>
        <v/>
      </c>
      <c r="AT956" s="268" t="str">
        <f t="shared" si="1517"/>
        <v/>
      </c>
      <c r="AU956" s="268" t="str">
        <f t="shared" si="1518"/>
        <v/>
      </c>
      <c r="AV956" s="268" t="str">
        <f t="shared" si="1519"/>
        <v/>
      </c>
      <c r="AW956" s="268" t="str">
        <f t="shared" si="1520"/>
        <v/>
      </c>
      <c r="AX956" s="268" t="str">
        <f t="shared" si="1521"/>
        <v/>
      </c>
      <c r="AY956" s="268" t="str">
        <f t="shared" si="1522"/>
        <v/>
      </c>
      <c r="AZ956" s="268" t="str">
        <f t="shared" si="1523"/>
        <v/>
      </c>
      <c r="BA956" s="268" t="str">
        <f t="shared" si="1524"/>
        <v/>
      </c>
      <c r="BB956" s="268" t="str">
        <f t="shared" si="1525"/>
        <v/>
      </c>
      <c r="BC956" s="268" t="str">
        <f t="shared" si="1526"/>
        <v/>
      </c>
      <c r="BD956" s="268" t="str">
        <f t="shared" si="1527"/>
        <v/>
      </c>
      <c r="BE956" s="268" t="str">
        <f t="shared" si="1528"/>
        <v/>
      </c>
      <c r="BF956" s="268" t="str">
        <f t="shared" si="1529"/>
        <v/>
      </c>
      <c r="BG956" s="268" t="str">
        <f t="shared" si="1530"/>
        <v/>
      </c>
      <c r="BH956" s="268" t="str">
        <f t="shared" si="1531"/>
        <v/>
      </c>
      <c r="BI956" s="268" t="str">
        <f t="shared" si="1532"/>
        <v/>
      </c>
      <c r="BJ956" s="268" t="str">
        <f t="shared" si="1533"/>
        <v/>
      </c>
      <c r="BK956" s="268" t="str">
        <f t="shared" si="1534"/>
        <v/>
      </c>
      <c r="BL956" s="268" t="str">
        <f t="shared" si="1535"/>
        <v/>
      </c>
      <c r="BM956" s="268" t="str">
        <f t="shared" si="1536"/>
        <v/>
      </c>
      <c r="BN956" s="268" t="str">
        <f t="shared" si="1537"/>
        <v/>
      </c>
      <c r="BO956" s="268" t="str">
        <f t="shared" si="1538"/>
        <v/>
      </c>
      <c r="BP956" s="268" t="str">
        <f t="shared" si="1539"/>
        <v/>
      </c>
      <c r="BQ956" s="268" t="str">
        <f t="shared" si="1459"/>
        <v/>
      </c>
      <c r="BR956" s="268" t="str">
        <f t="shared" si="1460"/>
        <v/>
      </c>
      <c r="BS956" s="268" t="str">
        <f t="shared" si="1461"/>
        <v/>
      </c>
      <c r="BT956" s="268" t="str">
        <f t="shared" si="1540"/>
        <v/>
      </c>
      <c r="BU956" s="268" t="str">
        <f t="shared" si="1541"/>
        <v/>
      </c>
      <c r="BV956" s="247">
        <v>11.31</v>
      </c>
      <c r="BW956" s="729">
        <f t="shared" si="1542"/>
        <v>19000.8</v>
      </c>
      <c r="BX956" s="730">
        <f t="shared" si="1543"/>
        <v>147256.2</v>
      </c>
      <c r="BY956" s="731" t="str">
        <f t="shared" si="1544"/>
        <v>SR</v>
      </c>
    </row>
    <row r="957" s="698" customFormat="1" customHeight="1" spans="1:77">
      <c r="A957" s="227">
        <v>46162</v>
      </c>
      <c r="B957" s="248">
        <v>46230</v>
      </c>
      <c r="C957" s="268">
        <v>2670514436</v>
      </c>
      <c r="D957" s="268" t="s">
        <v>864</v>
      </c>
      <c r="E957" s="209" t="s">
        <v>126</v>
      </c>
      <c r="F957" s="343">
        <v>1680</v>
      </c>
      <c r="G957" s="211" t="s">
        <v>584</v>
      </c>
      <c r="H957" s="211" t="str">
        <f>IFERROR(VLOOKUP(E957,名称!A:E,4,0),"")</f>
        <v>三代</v>
      </c>
      <c r="I957" s="268" t="str">
        <f t="shared" si="1480"/>
        <v/>
      </c>
      <c r="J957" s="268" t="str">
        <f t="shared" si="1481"/>
        <v/>
      </c>
      <c r="K957" s="268" t="str">
        <f t="shared" si="1482"/>
        <v/>
      </c>
      <c r="L957" s="268" t="str">
        <f t="shared" si="1483"/>
        <v/>
      </c>
      <c r="M957" s="268" t="str">
        <f t="shared" si="1484"/>
        <v/>
      </c>
      <c r="N957" s="268" t="str">
        <f t="shared" si="1485"/>
        <v/>
      </c>
      <c r="O957" s="268" t="str">
        <f t="shared" si="1486"/>
        <v/>
      </c>
      <c r="P957" s="268" t="str">
        <f t="shared" si="1487"/>
        <v/>
      </c>
      <c r="Q957" s="268" t="str">
        <f t="shared" si="1488"/>
        <v/>
      </c>
      <c r="R957" s="268" t="str">
        <f t="shared" si="1489"/>
        <v/>
      </c>
      <c r="S957" s="268" t="str">
        <f t="shared" si="1490"/>
        <v/>
      </c>
      <c r="T957" s="268" t="str">
        <f t="shared" si="1491"/>
        <v/>
      </c>
      <c r="U957" s="268" t="str">
        <f t="shared" si="1492"/>
        <v/>
      </c>
      <c r="V957" s="268" t="str">
        <f t="shared" si="1493"/>
        <v/>
      </c>
      <c r="W957" s="268" t="str">
        <f t="shared" si="1494"/>
        <v/>
      </c>
      <c r="X957" s="268" t="str">
        <f t="shared" si="1495"/>
        <v/>
      </c>
      <c r="Y957" s="268" t="str">
        <f t="shared" si="1496"/>
        <v/>
      </c>
      <c r="Z957" s="268" t="str">
        <f t="shared" si="1497"/>
        <v/>
      </c>
      <c r="AA957" s="268" t="str">
        <f t="shared" si="1498"/>
        <v/>
      </c>
      <c r="AB957" s="268" t="str">
        <f t="shared" si="1499"/>
        <v/>
      </c>
      <c r="AC957" s="268" t="str">
        <f t="shared" si="1500"/>
        <v/>
      </c>
      <c r="AD957" s="268" t="str">
        <f t="shared" si="1501"/>
        <v/>
      </c>
      <c r="AE957" s="268" t="str">
        <f t="shared" si="1502"/>
        <v/>
      </c>
      <c r="AF957" s="268" t="str">
        <f t="shared" si="1503"/>
        <v/>
      </c>
      <c r="AG957" s="268" t="str">
        <f t="shared" si="1504"/>
        <v/>
      </c>
      <c r="AH957" s="268" t="str">
        <f t="shared" si="1505"/>
        <v/>
      </c>
      <c r="AI957" s="268">
        <f t="shared" si="1506"/>
        <v>1680</v>
      </c>
      <c r="AJ957" s="268" t="str">
        <f t="shared" si="1507"/>
        <v/>
      </c>
      <c r="AK957" s="268" t="str">
        <f t="shared" si="1508"/>
        <v/>
      </c>
      <c r="AL957" s="268" t="str">
        <f t="shared" si="1509"/>
        <v/>
      </c>
      <c r="AM957" s="268" t="str">
        <f t="shared" si="1510"/>
        <v/>
      </c>
      <c r="AN957" s="268" t="str">
        <f t="shared" si="1511"/>
        <v/>
      </c>
      <c r="AO957" s="268" t="str">
        <f t="shared" si="1512"/>
        <v/>
      </c>
      <c r="AP957" s="268" t="str">
        <f t="shared" si="1513"/>
        <v/>
      </c>
      <c r="AQ957" s="268" t="str">
        <f t="shared" si="1514"/>
        <v/>
      </c>
      <c r="AR957" s="268" t="str">
        <f t="shared" si="1515"/>
        <v/>
      </c>
      <c r="AS957" s="268" t="str">
        <f t="shared" si="1516"/>
        <v/>
      </c>
      <c r="AT957" s="268" t="str">
        <f t="shared" si="1517"/>
        <v/>
      </c>
      <c r="AU957" s="268" t="str">
        <f t="shared" si="1518"/>
        <v/>
      </c>
      <c r="AV957" s="268" t="str">
        <f t="shared" si="1519"/>
        <v/>
      </c>
      <c r="AW957" s="268" t="str">
        <f t="shared" si="1520"/>
        <v/>
      </c>
      <c r="AX957" s="268" t="str">
        <f t="shared" si="1521"/>
        <v/>
      </c>
      <c r="AY957" s="268" t="str">
        <f t="shared" si="1522"/>
        <v/>
      </c>
      <c r="AZ957" s="268" t="str">
        <f t="shared" si="1523"/>
        <v/>
      </c>
      <c r="BA957" s="268" t="str">
        <f t="shared" si="1524"/>
        <v/>
      </c>
      <c r="BB957" s="268" t="str">
        <f t="shared" si="1525"/>
        <v/>
      </c>
      <c r="BC957" s="268" t="str">
        <f t="shared" si="1526"/>
        <v/>
      </c>
      <c r="BD957" s="268" t="str">
        <f t="shared" si="1527"/>
        <v/>
      </c>
      <c r="BE957" s="268" t="str">
        <f t="shared" si="1528"/>
        <v/>
      </c>
      <c r="BF957" s="268" t="str">
        <f t="shared" si="1529"/>
        <v/>
      </c>
      <c r="BG957" s="268" t="str">
        <f t="shared" si="1530"/>
        <v/>
      </c>
      <c r="BH957" s="268" t="str">
        <f t="shared" si="1531"/>
        <v/>
      </c>
      <c r="BI957" s="268" t="str">
        <f t="shared" si="1532"/>
        <v/>
      </c>
      <c r="BJ957" s="268" t="str">
        <f t="shared" si="1533"/>
        <v/>
      </c>
      <c r="BK957" s="268" t="str">
        <f t="shared" si="1534"/>
        <v/>
      </c>
      <c r="BL957" s="268" t="str">
        <f t="shared" si="1535"/>
        <v/>
      </c>
      <c r="BM957" s="268" t="str">
        <f t="shared" si="1536"/>
        <v/>
      </c>
      <c r="BN957" s="268" t="str">
        <f t="shared" si="1537"/>
        <v/>
      </c>
      <c r="BO957" s="268" t="str">
        <f t="shared" si="1538"/>
        <v/>
      </c>
      <c r="BP957" s="268" t="str">
        <f t="shared" si="1539"/>
        <v/>
      </c>
      <c r="BQ957" s="268" t="str">
        <f t="shared" si="1459"/>
        <v/>
      </c>
      <c r="BR957" s="268" t="str">
        <f t="shared" si="1460"/>
        <v/>
      </c>
      <c r="BS957" s="268" t="str">
        <f t="shared" si="1461"/>
        <v/>
      </c>
      <c r="BT957" s="268" t="str">
        <f t="shared" si="1540"/>
        <v/>
      </c>
      <c r="BU957" s="268" t="str">
        <f t="shared" si="1541"/>
        <v/>
      </c>
      <c r="BV957" s="247">
        <v>11.31</v>
      </c>
      <c r="BW957" s="729">
        <f t="shared" si="1542"/>
        <v>19000.8</v>
      </c>
      <c r="BX957" s="730">
        <f t="shared" si="1543"/>
        <v>147256.2</v>
      </c>
      <c r="BY957" s="731" t="str">
        <f t="shared" si="1544"/>
        <v>SR</v>
      </c>
    </row>
    <row r="958" s="698" customFormat="1" customHeight="1" spans="1:77">
      <c r="A958" s="227">
        <v>46162</v>
      </c>
      <c r="B958" s="248">
        <v>46230</v>
      </c>
      <c r="C958" s="268">
        <v>2670514437</v>
      </c>
      <c r="D958" s="268" t="s">
        <v>865</v>
      </c>
      <c r="E958" s="209" t="s">
        <v>126</v>
      </c>
      <c r="F958" s="343">
        <v>1680</v>
      </c>
      <c r="G958" s="211" t="s">
        <v>584</v>
      </c>
      <c r="H958" s="211" t="str">
        <f>IFERROR(VLOOKUP(E958,名称!A:E,4,0),"")</f>
        <v>三代</v>
      </c>
      <c r="I958" s="268" t="str">
        <f t="shared" si="1480"/>
        <v/>
      </c>
      <c r="J958" s="268" t="str">
        <f t="shared" si="1481"/>
        <v/>
      </c>
      <c r="K958" s="268" t="str">
        <f t="shared" si="1482"/>
        <v/>
      </c>
      <c r="L958" s="268" t="str">
        <f t="shared" si="1483"/>
        <v/>
      </c>
      <c r="M958" s="268" t="str">
        <f t="shared" si="1484"/>
        <v/>
      </c>
      <c r="N958" s="268" t="str">
        <f t="shared" si="1485"/>
        <v/>
      </c>
      <c r="O958" s="268" t="str">
        <f t="shared" si="1486"/>
        <v/>
      </c>
      <c r="P958" s="268" t="str">
        <f t="shared" si="1487"/>
        <v/>
      </c>
      <c r="Q958" s="268" t="str">
        <f t="shared" si="1488"/>
        <v/>
      </c>
      <c r="R958" s="268" t="str">
        <f t="shared" si="1489"/>
        <v/>
      </c>
      <c r="S958" s="268" t="str">
        <f t="shared" si="1490"/>
        <v/>
      </c>
      <c r="T958" s="268" t="str">
        <f t="shared" si="1491"/>
        <v/>
      </c>
      <c r="U958" s="268" t="str">
        <f t="shared" si="1492"/>
        <v/>
      </c>
      <c r="V958" s="268" t="str">
        <f t="shared" si="1493"/>
        <v/>
      </c>
      <c r="W958" s="268" t="str">
        <f t="shared" si="1494"/>
        <v/>
      </c>
      <c r="X958" s="268" t="str">
        <f t="shared" si="1495"/>
        <v/>
      </c>
      <c r="Y958" s="268" t="str">
        <f t="shared" si="1496"/>
        <v/>
      </c>
      <c r="Z958" s="268" t="str">
        <f t="shared" si="1497"/>
        <v/>
      </c>
      <c r="AA958" s="268" t="str">
        <f t="shared" si="1498"/>
        <v/>
      </c>
      <c r="AB958" s="268" t="str">
        <f t="shared" si="1499"/>
        <v/>
      </c>
      <c r="AC958" s="268" t="str">
        <f t="shared" si="1500"/>
        <v/>
      </c>
      <c r="AD958" s="268" t="str">
        <f t="shared" si="1501"/>
        <v/>
      </c>
      <c r="AE958" s="268" t="str">
        <f t="shared" si="1502"/>
        <v/>
      </c>
      <c r="AF958" s="268" t="str">
        <f t="shared" si="1503"/>
        <v/>
      </c>
      <c r="AG958" s="268" t="str">
        <f t="shared" si="1504"/>
        <v/>
      </c>
      <c r="AH958" s="268" t="str">
        <f t="shared" si="1505"/>
        <v/>
      </c>
      <c r="AI958" s="268">
        <f t="shared" si="1506"/>
        <v>1680</v>
      </c>
      <c r="AJ958" s="268" t="str">
        <f t="shared" si="1507"/>
        <v/>
      </c>
      <c r="AK958" s="268" t="str">
        <f t="shared" si="1508"/>
        <v/>
      </c>
      <c r="AL958" s="268" t="str">
        <f t="shared" si="1509"/>
        <v/>
      </c>
      <c r="AM958" s="268" t="str">
        <f t="shared" si="1510"/>
        <v/>
      </c>
      <c r="AN958" s="268" t="str">
        <f t="shared" si="1511"/>
        <v/>
      </c>
      <c r="AO958" s="268" t="str">
        <f t="shared" si="1512"/>
        <v/>
      </c>
      <c r="AP958" s="268" t="str">
        <f t="shared" si="1513"/>
        <v/>
      </c>
      <c r="AQ958" s="268" t="str">
        <f t="shared" si="1514"/>
        <v/>
      </c>
      <c r="AR958" s="268" t="str">
        <f t="shared" si="1515"/>
        <v/>
      </c>
      <c r="AS958" s="268" t="str">
        <f t="shared" si="1516"/>
        <v/>
      </c>
      <c r="AT958" s="268" t="str">
        <f t="shared" si="1517"/>
        <v/>
      </c>
      <c r="AU958" s="268" t="str">
        <f t="shared" si="1518"/>
        <v/>
      </c>
      <c r="AV958" s="268" t="str">
        <f t="shared" si="1519"/>
        <v/>
      </c>
      <c r="AW958" s="268" t="str">
        <f t="shared" si="1520"/>
        <v/>
      </c>
      <c r="AX958" s="268" t="str">
        <f t="shared" si="1521"/>
        <v/>
      </c>
      <c r="AY958" s="268" t="str">
        <f t="shared" si="1522"/>
        <v/>
      </c>
      <c r="AZ958" s="268" t="str">
        <f t="shared" si="1523"/>
        <v/>
      </c>
      <c r="BA958" s="268" t="str">
        <f t="shared" si="1524"/>
        <v/>
      </c>
      <c r="BB958" s="268" t="str">
        <f t="shared" si="1525"/>
        <v/>
      </c>
      <c r="BC958" s="268" t="str">
        <f t="shared" si="1526"/>
        <v/>
      </c>
      <c r="BD958" s="268" t="str">
        <f t="shared" si="1527"/>
        <v/>
      </c>
      <c r="BE958" s="268" t="str">
        <f t="shared" si="1528"/>
        <v/>
      </c>
      <c r="BF958" s="268" t="str">
        <f t="shared" si="1529"/>
        <v/>
      </c>
      <c r="BG958" s="268" t="str">
        <f t="shared" si="1530"/>
        <v/>
      </c>
      <c r="BH958" s="268" t="str">
        <f t="shared" si="1531"/>
        <v/>
      </c>
      <c r="BI958" s="268" t="str">
        <f t="shared" si="1532"/>
        <v/>
      </c>
      <c r="BJ958" s="268" t="str">
        <f t="shared" si="1533"/>
        <v/>
      </c>
      <c r="BK958" s="268" t="str">
        <f t="shared" si="1534"/>
        <v/>
      </c>
      <c r="BL958" s="268" t="str">
        <f t="shared" si="1535"/>
        <v/>
      </c>
      <c r="BM958" s="268" t="str">
        <f t="shared" si="1536"/>
        <v/>
      </c>
      <c r="BN958" s="268" t="str">
        <f t="shared" si="1537"/>
        <v/>
      </c>
      <c r="BO958" s="268" t="str">
        <f t="shared" si="1538"/>
        <v/>
      </c>
      <c r="BP958" s="268" t="str">
        <f t="shared" si="1539"/>
        <v/>
      </c>
      <c r="BQ958" s="268" t="str">
        <f t="shared" si="1459"/>
        <v/>
      </c>
      <c r="BR958" s="268" t="str">
        <f t="shared" si="1460"/>
        <v/>
      </c>
      <c r="BS958" s="268" t="str">
        <f t="shared" si="1461"/>
        <v/>
      </c>
      <c r="BT958" s="268" t="str">
        <f t="shared" si="1540"/>
        <v/>
      </c>
      <c r="BU958" s="268" t="str">
        <f t="shared" si="1541"/>
        <v/>
      </c>
      <c r="BV958" s="247">
        <v>11.31</v>
      </c>
      <c r="BW958" s="729">
        <f t="shared" si="1542"/>
        <v>19000.8</v>
      </c>
      <c r="BX958" s="730">
        <f t="shared" si="1543"/>
        <v>147256.2</v>
      </c>
      <c r="BY958" s="731" t="str">
        <f t="shared" si="1544"/>
        <v>SR</v>
      </c>
    </row>
    <row r="959" s="697" customFormat="1" customHeight="1" spans="1:77">
      <c r="A959" s="174">
        <v>46162</v>
      </c>
      <c r="B959" s="179">
        <v>46238</v>
      </c>
      <c r="C959" s="418">
        <v>1710514636</v>
      </c>
      <c r="D959" s="418" t="s">
        <v>866</v>
      </c>
      <c r="E959" s="175" t="s">
        <v>126</v>
      </c>
      <c r="F959" s="737">
        <v>1680</v>
      </c>
      <c r="G959" s="118" t="s">
        <v>584</v>
      </c>
      <c r="H959" s="118" t="str">
        <f>IFERROR(VLOOKUP(E959,名称!A:E,4,0),"")</f>
        <v>三代</v>
      </c>
      <c r="I959" s="418" t="str">
        <f t="shared" si="1480"/>
        <v/>
      </c>
      <c r="J959" s="418" t="str">
        <f t="shared" si="1481"/>
        <v/>
      </c>
      <c r="K959" s="418" t="str">
        <f t="shared" si="1482"/>
        <v/>
      </c>
      <c r="L959" s="418" t="str">
        <f t="shared" si="1483"/>
        <v/>
      </c>
      <c r="M959" s="418" t="str">
        <f t="shared" si="1484"/>
        <v/>
      </c>
      <c r="N959" s="418" t="str">
        <f t="shared" si="1485"/>
        <v/>
      </c>
      <c r="O959" s="418" t="str">
        <f t="shared" si="1486"/>
        <v/>
      </c>
      <c r="P959" s="418" t="str">
        <f t="shared" si="1487"/>
        <v/>
      </c>
      <c r="Q959" s="418" t="str">
        <f t="shared" si="1488"/>
        <v/>
      </c>
      <c r="R959" s="418" t="str">
        <f t="shared" si="1489"/>
        <v/>
      </c>
      <c r="S959" s="418" t="str">
        <f t="shared" si="1490"/>
        <v/>
      </c>
      <c r="T959" s="418" t="str">
        <f t="shared" si="1491"/>
        <v/>
      </c>
      <c r="U959" s="418" t="str">
        <f t="shared" si="1492"/>
        <v/>
      </c>
      <c r="V959" s="418" t="str">
        <f t="shared" si="1493"/>
        <v/>
      </c>
      <c r="W959" s="418" t="str">
        <f t="shared" si="1494"/>
        <v/>
      </c>
      <c r="X959" s="418" t="str">
        <f t="shared" si="1495"/>
        <v/>
      </c>
      <c r="Y959" s="418" t="str">
        <f t="shared" si="1496"/>
        <v/>
      </c>
      <c r="Z959" s="418" t="str">
        <f t="shared" si="1497"/>
        <v/>
      </c>
      <c r="AA959" s="418" t="str">
        <f t="shared" si="1498"/>
        <v/>
      </c>
      <c r="AB959" s="418" t="str">
        <f t="shared" si="1499"/>
        <v/>
      </c>
      <c r="AC959" s="418" t="str">
        <f t="shared" si="1500"/>
        <v/>
      </c>
      <c r="AD959" s="418" t="str">
        <f t="shared" si="1501"/>
        <v/>
      </c>
      <c r="AE959" s="418" t="str">
        <f t="shared" si="1502"/>
        <v/>
      </c>
      <c r="AF959" s="418" t="str">
        <f t="shared" si="1503"/>
        <v/>
      </c>
      <c r="AG959" s="418" t="str">
        <f t="shared" si="1504"/>
        <v/>
      </c>
      <c r="AH959" s="418" t="str">
        <f t="shared" si="1505"/>
        <v/>
      </c>
      <c r="AI959" s="418">
        <f t="shared" si="1506"/>
        <v>1680</v>
      </c>
      <c r="AJ959" s="418" t="str">
        <f t="shared" si="1507"/>
        <v/>
      </c>
      <c r="AK959" s="418" t="str">
        <f t="shared" si="1508"/>
        <v/>
      </c>
      <c r="AL959" s="418" t="str">
        <f t="shared" si="1509"/>
        <v/>
      </c>
      <c r="AM959" s="418" t="str">
        <f t="shared" si="1510"/>
        <v/>
      </c>
      <c r="AN959" s="418" t="str">
        <f t="shared" si="1511"/>
        <v/>
      </c>
      <c r="AO959" s="418" t="str">
        <f t="shared" si="1512"/>
        <v/>
      </c>
      <c r="AP959" s="418" t="str">
        <f t="shared" si="1513"/>
        <v/>
      </c>
      <c r="AQ959" s="418" t="str">
        <f t="shared" si="1514"/>
        <v/>
      </c>
      <c r="AR959" s="418" t="str">
        <f t="shared" si="1515"/>
        <v/>
      </c>
      <c r="AS959" s="418" t="str">
        <f t="shared" si="1516"/>
        <v/>
      </c>
      <c r="AT959" s="418" t="str">
        <f t="shared" si="1517"/>
        <v/>
      </c>
      <c r="AU959" s="418" t="str">
        <f t="shared" si="1518"/>
        <v/>
      </c>
      <c r="AV959" s="418" t="str">
        <f t="shared" si="1519"/>
        <v/>
      </c>
      <c r="AW959" s="418" t="str">
        <f t="shared" si="1520"/>
        <v/>
      </c>
      <c r="AX959" s="418" t="str">
        <f t="shared" si="1521"/>
        <v/>
      </c>
      <c r="AY959" s="418" t="str">
        <f t="shared" si="1522"/>
        <v/>
      </c>
      <c r="AZ959" s="418" t="str">
        <f t="shared" si="1523"/>
        <v/>
      </c>
      <c r="BA959" s="418" t="str">
        <f t="shared" si="1524"/>
        <v/>
      </c>
      <c r="BB959" s="418" t="str">
        <f t="shared" si="1525"/>
        <v/>
      </c>
      <c r="BC959" s="418" t="str">
        <f t="shared" si="1526"/>
        <v/>
      </c>
      <c r="BD959" s="418" t="str">
        <f t="shared" si="1527"/>
        <v/>
      </c>
      <c r="BE959" s="418" t="str">
        <f t="shared" si="1528"/>
        <v/>
      </c>
      <c r="BF959" s="418" t="str">
        <f t="shared" si="1529"/>
        <v/>
      </c>
      <c r="BG959" s="418" t="str">
        <f t="shared" si="1530"/>
        <v/>
      </c>
      <c r="BH959" s="418" t="str">
        <f t="shared" si="1531"/>
        <v/>
      </c>
      <c r="BI959" s="418" t="str">
        <f t="shared" si="1532"/>
        <v/>
      </c>
      <c r="BJ959" s="418" t="str">
        <f t="shared" si="1533"/>
        <v/>
      </c>
      <c r="BK959" s="418" t="str">
        <f t="shared" si="1534"/>
        <v/>
      </c>
      <c r="BL959" s="418" t="str">
        <f t="shared" si="1535"/>
        <v/>
      </c>
      <c r="BM959" s="418" t="str">
        <f t="shared" si="1536"/>
        <v/>
      </c>
      <c r="BN959" s="418" t="str">
        <f t="shared" si="1537"/>
        <v/>
      </c>
      <c r="BO959" s="418" t="str">
        <f t="shared" si="1538"/>
        <v/>
      </c>
      <c r="BP959" s="418" t="str">
        <f t="shared" si="1539"/>
        <v/>
      </c>
      <c r="BQ959" s="418" t="str">
        <f t="shared" si="1459"/>
        <v/>
      </c>
      <c r="BR959" s="418" t="str">
        <f t="shared" si="1460"/>
        <v/>
      </c>
      <c r="BS959" s="418" t="str">
        <f t="shared" si="1461"/>
        <v/>
      </c>
      <c r="BT959" s="418" t="str">
        <f t="shared" si="1540"/>
        <v/>
      </c>
      <c r="BU959" s="418" t="str">
        <f t="shared" si="1541"/>
        <v/>
      </c>
      <c r="BV959" s="544">
        <v>9.15</v>
      </c>
      <c r="BW959" s="723">
        <f t="shared" si="1542"/>
        <v>15372</v>
      </c>
      <c r="BX959" s="724">
        <f t="shared" si="1543"/>
        <v>119133</v>
      </c>
      <c r="BY959" s="725" t="str">
        <f t="shared" si="1544"/>
        <v>SR</v>
      </c>
    </row>
    <row r="960" s="697" customFormat="1" customHeight="1" spans="1:77">
      <c r="A960" s="174">
        <v>46162</v>
      </c>
      <c r="B960" s="179">
        <v>46238</v>
      </c>
      <c r="C960" s="418">
        <v>1710514637</v>
      </c>
      <c r="D960" s="418" t="s">
        <v>867</v>
      </c>
      <c r="E960" s="175" t="s">
        <v>126</v>
      </c>
      <c r="F960" s="737">
        <v>1680</v>
      </c>
      <c r="G960" s="118" t="s">
        <v>584</v>
      </c>
      <c r="H960" s="118" t="str">
        <f>IFERROR(VLOOKUP(E960,名称!A:E,4,0),"")</f>
        <v>三代</v>
      </c>
      <c r="I960" s="418" t="str">
        <f t="shared" si="1480"/>
        <v/>
      </c>
      <c r="J960" s="418" t="str">
        <f t="shared" si="1481"/>
        <v/>
      </c>
      <c r="K960" s="418" t="str">
        <f t="shared" si="1482"/>
        <v/>
      </c>
      <c r="L960" s="418" t="str">
        <f t="shared" si="1483"/>
        <v/>
      </c>
      <c r="M960" s="418" t="str">
        <f t="shared" si="1484"/>
        <v/>
      </c>
      <c r="N960" s="418" t="str">
        <f t="shared" si="1485"/>
        <v/>
      </c>
      <c r="O960" s="418" t="str">
        <f t="shared" si="1486"/>
        <v/>
      </c>
      <c r="P960" s="418" t="str">
        <f t="shared" si="1487"/>
        <v/>
      </c>
      <c r="Q960" s="418" t="str">
        <f t="shared" si="1488"/>
        <v/>
      </c>
      <c r="R960" s="418" t="str">
        <f t="shared" si="1489"/>
        <v/>
      </c>
      <c r="S960" s="418" t="str">
        <f t="shared" si="1490"/>
        <v/>
      </c>
      <c r="T960" s="418" t="str">
        <f t="shared" si="1491"/>
        <v/>
      </c>
      <c r="U960" s="418" t="str">
        <f t="shared" si="1492"/>
        <v/>
      </c>
      <c r="V960" s="418" t="str">
        <f t="shared" si="1493"/>
        <v/>
      </c>
      <c r="W960" s="418" t="str">
        <f t="shared" si="1494"/>
        <v/>
      </c>
      <c r="X960" s="418" t="str">
        <f t="shared" si="1495"/>
        <v/>
      </c>
      <c r="Y960" s="418" t="str">
        <f t="shared" si="1496"/>
        <v/>
      </c>
      <c r="Z960" s="418" t="str">
        <f t="shared" si="1497"/>
        <v/>
      </c>
      <c r="AA960" s="418" t="str">
        <f t="shared" si="1498"/>
        <v/>
      </c>
      <c r="AB960" s="418" t="str">
        <f t="shared" si="1499"/>
        <v/>
      </c>
      <c r="AC960" s="418" t="str">
        <f t="shared" si="1500"/>
        <v/>
      </c>
      <c r="AD960" s="418" t="str">
        <f t="shared" si="1501"/>
        <v/>
      </c>
      <c r="AE960" s="418" t="str">
        <f t="shared" si="1502"/>
        <v/>
      </c>
      <c r="AF960" s="418" t="str">
        <f t="shared" si="1503"/>
        <v/>
      </c>
      <c r="AG960" s="418" t="str">
        <f t="shared" si="1504"/>
        <v/>
      </c>
      <c r="AH960" s="418" t="str">
        <f t="shared" si="1505"/>
        <v/>
      </c>
      <c r="AI960" s="418">
        <f t="shared" si="1506"/>
        <v>1680</v>
      </c>
      <c r="AJ960" s="418" t="str">
        <f t="shared" si="1507"/>
        <v/>
      </c>
      <c r="AK960" s="418" t="str">
        <f t="shared" si="1508"/>
        <v/>
      </c>
      <c r="AL960" s="418" t="str">
        <f t="shared" si="1509"/>
        <v/>
      </c>
      <c r="AM960" s="418" t="str">
        <f t="shared" si="1510"/>
        <v/>
      </c>
      <c r="AN960" s="418" t="str">
        <f t="shared" si="1511"/>
        <v/>
      </c>
      <c r="AO960" s="418" t="str">
        <f t="shared" si="1512"/>
        <v/>
      </c>
      <c r="AP960" s="418" t="str">
        <f t="shared" si="1513"/>
        <v/>
      </c>
      <c r="AQ960" s="418" t="str">
        <f t="shared" si="1514"/>
        <v/>
      </c>
      <c r="AR960" s="418" t="str">
        <f t="shared" si="1515"/>
        <v/>
      </c>
      <c r="AS960" s="418" t="str">
        <f t="shared" si="1516"/>
        <v/>
      </c>
      <c r="AT960" s="418" t="str">
        <f t="shared" si="1517"/>
        <v/>
      </c>
      <c r="AU960" s="418" t="str">
        <f t="shared" si="1518"/>
        <v/>
      </c>
      <c r="AV960" s="418" t="str">
        <f t="shared" si="1519"/>
        <v/>
      </c>
      <c r="AW960" s="418" t="str">
        <f t="shared" si="1520"/>
        <v/>
      </c>
      <c r="AX960" s="418" t="str">
        <f t="shared" si="1521"/>
        <v/>
      </c>
      <c r="AY960" s="418" t="str">
        <f t="shared" si="1522"/>
        <v/>
      </c>
      <c r="AZ960" s="418" t="str">
        <f t="shared" si="1523"/>
        <v/>
      </c>
      <c r="BA960" s="418" t="str">
        <f t="shared" si="1524"/>
        <v/>
      </c>
      <c r="BB960" s="418" t="str">
        <f t="shared" si="1525"/>
        <v/>
      </c>
      <c r="BC960" s="418" t="str">
        <f t="shared" si="1526"/>
        <v/>
      </c>
      <c r="BD960" s="418" t="str">
        <f t="shared" si="1527"/>
        <v/>
      </c>
      <c r="BE960" s="418" t="str">
        <f t="shared" si="1528"/>
        <v/>
      </c>
      <c r="BF960" s="418" t="str">
        <f t="shared" si="1529"/>
        <v/>
      </c>
      <c r="BG960" s="418" t="str">
        <f t="shared" si="1530"/>
        <v/>
      </c>
      <c r="BH960" s="418" t="str">
        <f t="shared" si="1531"/>
        <v/>
      </c>
      <c r="BI960" s="418" t="str">
        <f t="shared" si="1532"/>
        <v/>
      </c>
      <c r="BJ960" s="418" t="str">
        <f t="shared" si="1533"/>
        <v/>
      </c>
      <c r="BK960" s="418" t="str">
        <f t="shared" si="1534"/>
        <v/>
      </c>
      <c r="BL960" s="418" t="str">
        <f t="shared" si="1535"/>
        <v/>
      </c>
      <c r="BM960" s="418" t="str">
        <f t="shared" si="1536"/>
        <v/>
      </c>
      <c r="BN960" s="418" t="str">
        <f t="shared" si="1537"/>
        <v/>
      </c>
      <c r="BO960" s="418" t="str">
        <f t="shared" si="1538"/>
        <v/>
      </c>
      <c r="BP960" s="418" t="str">
        <f t="shared" si="1539"/>
        <v/>
      </c>
      <c r="BQ960" s="418" t="str">
        <f t="shared" si="1459"/>
        <v/>
      </c>
      <c r="BR960" s="418" t="str">
        <f t="shared" si="1460"/>
        <v/>
      </c>
      <c r="BS960" s="418" t="str">
        <f t="shared" si="1461"/>
        <v/>
      </c>
      <c r="BT960" s="418" t="str">
        <f t="shared" si="1540"/>
        <v/>
      </c>
      <c r="BU960" s="418" t="str">
        <f t="shared" si="1541"/>
        <v/>
      </c>
      <c r="BV960" s="544">
        <v>9.15</v>
      </c>
      <c r="BW960" s="723">
        <f t="shared" si="1542"/>
        <v>15372</v>
      </c>
      <c r="BX960" s="724">
        <f t="shared" si="1543"/>
        <v>119133</v>
      </c>
      <c r="BY960" s="725" t="str">
        <f t="shared" si="1544"/>
        <v>SR</v>
      </c>
    </row>
    <row r="961" s="697" customFormat="1" customHeight="1" spans="1:77">
      <c r="A961" s="174">
        <v>46162</v>
      </c>
      <c r="B961" s="179">
        <v>46238</v>
      </c>
      <c r="C961" s="418">
        <v>9600515112</v>
      </c>
      <c r="D961" s="418" t="s">
        <v>868</v>
      </c>
      <c r="E961" s="175" t="s">
        <v>126</v>
      </c>
      <c r="F961" s="737">
        <v>1680</v>
      </c>
      <c r="G961" s="118" t="s">
        <v>584</v>
      </c>
      <c r="H961" s="118" t="str">
        <f>IFERROR(VLOOKUP(E961,名称!A:E,4,0),"")</f>
        <v>三代</v>
      </c>
      <c r="I961" s="418" t="str">
        <f t="shared" si="1480"/>
        <v/>
      </c>
      <c r="J961" s="418" t="str">
        <f t="shared" si="1481"/>
        <v/>
      </c>
      <c r="K961" s="418" t="str">
        <f t="shared" si="1482"/>
        <v/>
      </c>
      <c r="L961" s="418" t="str">
        <f t="shared" si="1483"/>
        <v/>
      </c>
      <c r="M961" s="418" t="str">
        <f t="shared" si="1484"/>
        <v/>
      </c>
      <c r="N961" s="418" t="str">
        <f t="shared" si="1485"/>
        <v/>
      </c>
      <c r="O961" s="418" t="str">
        <f t="shared" si="1486"/>
        <v/>
      </c>
      <c r="P961" s="418" t="str">
        <f t="shared" si="1487"/>
        <v/>
      </c>
      <c r="Q961" s="418" t="str">
        <f t="shared" si="1488"/>
        <v/>
      </c>
      <c r="R961" s="418" t="str">
        <f t="shared" si="1489"/>
        <v/>
      </c>
      <c r="S961" s="418" t="str">
        <f t="shared" si="1490"/>
        <v/>
      </c>
      <c r="T961" s="418" t="str">
        <f t="shared" si="1491"/>
        <v/>
      </c>
      <c r="U961" s="418" t="str">
        <f t="shared" si="1492"/>
        <v/>
      </c>
      <c r="V961" s="418" t="str">
        <f t="shared" si="1493"/>
        <v/>
      </c>
      <c r="W961" s="418" t="str">
        <f t="shared" si="1494"/>
        <v/>
      </c>
      <c r="X961" s="418" t="str">
        <f t="shared" si="1495"/>
        <v/>
      </c>
      <c r="Y961" s="418" t="str">
        <f t="shared" si="1496"/>
        <v/>
      </c>
      <c r="Z961" s="418" t="str">
        <f t="shared" si="1497"/>
        <v/>
      </c>
      <c r="AA961" s="418" t="str">
        <f t="shared" si="1498"/>
        <v/>
      </c>
      <c r="AB961" s="418" t="str">
        <f t="shared" si="1499"/>
        <v/>
      </c>
      <c r="AC961" s="418" t="str">
        <f t="shared" si="1500"/>
        <v/>
      </c>
      <c r="AD961" s="418" t="str">
        <f t="shared" si="1501"/>
        <v/>
      </c>
      <c r="AE961" s="418" t="str">
        <f t="shared" si="1502"/>
        <v/>
      </c>
      <c r="AF961" s="418" t="str">
        <f t="shared" si="1503"/>
        <v/>
      </c>
      <c r="AG961" s="418" t="str">
        <f t="shared" si="1504"/>
        <v/>
      </c>
      <c r="AH961" s="418" t="str">
        <f t="shared" si="1505"/>
        <v/>
      </c>
      <c r="AI961" s="418">
        <f t="shared" si="1506"/>
        <v>1680</v>
      </c>
      <c r="AJ961" s="418" t="str">
        <f t="shared" si="1507"/>
        <v/>
      </c>
      <c r="AK961" s="418" t="str">
        <f t="shared" si="1508"/>
        <v/>
      </c>
      <c r="AL961" s="418" t="str">
        <f t="shared" si="1509"/>
        <v/>
      </c>
      <c r="AM961" s="418" t="str">
        <f t="shared" si="1510"/>
        <v/>
      </c>
      <c r="AN961" s="418" t="str">
        <f t="shared" si="1511"/>
        <v/>
      </c>
      <c r="AO961" s="418" t="str">
        <f t="shared" si="1512"/>
        <v/>
      </c>
      <c r="AP961" s="418" t="str">
        <f t="shared" si="1513"/>
        <v/>
      </c>
      <c r="AQ961" s="418" t="str">
        <f t="shared" si="1514"/>
        <v/>
      </c>
      <c r="AR961" s="418" t="str">
        <f t="shared" si="1515"/>
        <v/>
      </c>
      <c r="AS961" s="418" t="str">
        <f t="shared" si="1516"/>
        <v/>
      </c>
      <c r="AT961" s="418" t="str">
        <f t="shared" si="1517"/>
        <v/>
      </c>
      <c r="AU961" s="418" t="str">
        <f t="shared" si="1518"/>
        <v/>
      </c>
      <c r="AV961" s="418" t="str">
        <f t="shared" si="1519"/>
        <v/>
      </c>
      <c r="AW961" s="418" t="str">
        <f t="shared" si="1520"/>
        <v/>
      </c>
      <c r="AX961" s="418" t="str">
        <f t="shared" si="1521"/>
        <v/>
      </c>
      <c r="AY961" s="418" t="str">
        <f t="shared" si="1522"/>
        <v/>
      </c>
      <c r="AZ961" s="418" t="str">
        <f t="shared" si="1523"/>
        <v/>
      </c>
      <c r="BA961" s="418" t="str">
        <f t="shared" si="1524"/>
        <v/>
      </c>
      <c r="BB961" s="418" t="str">
        <f t="shared" si="1525"/>
        <v/>
      </c>
      <c r="BC961" s="418" t="str">
        <f t="shared" si="1526"/>
        <v/>
      </c>
      <c r="BD961" s="418" t="str">
        <f t="shared" si="1527"/>
        <v/>
      </c>
      <c r="BE961" s="418" t="str">
        <f t="shared" si="1528"/>
        <v/>
      </c>
      <c r="BF961" s="418" t="str">
        <f t="shared" si="1529"/>
        <v/>
      </c>
      <c r="BG961" s="418" t="str">
        <f t="shared" si="1530"/>
        <v/>
      </c>
      <c r="BH961" s="418" t="str">
        <f t="shared" si="1531"/>
        <v/>
      </c>
      <c r="BI961" s="418" t="str">
        <f t="shared" si="1532"/>
        <v/>
      </c>
      <c r="BJ961" s="418" t="str">
        <f t="shared" si="1533"/>
        <v/>
      </c>
      <c r="BK961" s="418" t="str">
        <f t="shared" si="1534"/>
        <v/>
      </c>
      <c r="BL961" s="418" t="str">
        <f t="shared" si="1535"/>
        <v/>
      </c>
      <c r="BM961" s="418" t="str">
        <f t="shared" si="1536"/>
        <v/>
      </c>
      <c r="BN961" s="418" t="str">
        <f t="shared" si="1537"/>
        <v/>
      </c>
      <c r="BO961" s="418" t="str">
        <f t="shared" si="1538"/>
        <v/>
      </c>
      <c r="BP961" s="418" t="str">
        <f t="shared" si="1539"/>
        <v/>
      </c>
      <c r="BQ961" s="418" t="str">
        <f t="shared" si="1459"/>
        <v/>
      </c>
      <c r="BR961" s="418" t="str">
        <f t="shared" si="1460"/>
        <v/>
      </c>
      <c r="BS961" s="418" t="str">
        <f t="shared" si="1461"/>
        <v/>
      </c>
      <c r="BT961" s="418" t="str">
        <f t="shared" si="1540"/>
        <v/>
      </c>
      <c r="BU961" s="418" t="str">
        <f t="shared" si="1541"/>
        <v/>
      </c>
      <c r="BV961" s="544">
        <v>9.15</v>
      </c>
      <c r="BW961" s="723">
        <f t="shared" si="1542"/>
        <v>15372</v>
      </c>
      <c r="BX961" s="724">
        <f t="shared" si="1543"/>
        <v>119133</v>
      </c>
      <c r="BY961" s="725" t="str">
        <f t="shared" si="1544"/>
        <v>SR</v>
      </c>
    </row>
    <row r="962" s="697" customFormat="1" customHeight="1" spans="1:77">
      <c r="A962" s="174">
        <v>46162</v>
      </c>
      <c r="B962" s="179">
        <v>46238</v>
      </c>
      <c r="C962" s="418">
        <v>9600515114</v>
      </c>
      <c r="D962" s="418" t="s">
        <v>869</v>
      </c>
      <c r="E962" s="175" t="s">
        <v>126</v>
      </c>
      <c r="F962" s="737">
        <v>1680</v>
      </c>
      <c r="G962" s="118" t="s">
        <v>584</v>
      </c>
      <c r="H962" s="118" t="str">
        <f>IFERROR(VLOOKUP(E962,名称!A:E,4,0),"")</f>
        <v>三代</v>
      </c>
      <c r="I962" s="418" t="str">
        <f t="shared" si="1480"/>
        <v/>
      </c>
      <c r="J962" s="418" t="str">
        <f t="shared" si="1481"/>
        <v/>
      </c>
      <c r="K962" s="418" t="str">
        <f t="shared" si="1482"/>
        <v/>
      </c>
      <c r="L962" s="418" t="str">
        <f t="shared" si="1483"/>
        <v/>
      </c>
      <c r="M962" s="418" t="str">
        <f t="shared" si="1484"/>
        <v/>
      </c>
      <c r="N962" s="418" t="str">
        <f t="shared" si="1485"/>
        <v/>
      </c>
      <c r="O962" s="418" t="str">
        <f t="shared" si="1486"/>
        <v/>
      </c>
      <c r="P962" s="418" t="str">
        <f t="shared" si="1487"/>
        <v/>
      </c>
      <c r="Q962" s="418" t="str">
        <f t="shared" si="1488"/>
        <v/>
      </c>
      <c r="R962" s="418" t="str">
        <f t="shared" si="1489"/>
        <v/>
      </c>
      <c r="S962" s="418" t="str">
        <f t="shared" si="1490"/>
        <v/>
      </c>
      <c r="T962" s="418" t="str">
        <f t="shared" si="1491"/>
        <v/>
      </c>
      <c r="U962" s="418" t="str">
        <f t="shared" si="1492"/>
        <v/>
      </c>
      <c r="V962" s="418" t="str">
        <f t="shared" si="1493"/>
        <v/>
      </c>
      <c r="W962" s="418" t="str">
        <f t="shared" si="1494"/>
        <v/>
      </c>
      <c r="X962" s="418" t="str">
        <f t="shared" si="1495"/>
        <v/>
      </c>
      <c r="Y962" s="418" t="str">
        <f t="shared" si="1496"/>
        <v/>
      </c>
      <c r="Z962" s="418" t="str">
        <f t="shared" si="1497"/>
        <v/>
      </c>
      <c r="AA962" s="418" t="str">
        <f t="shared" si="1498"/>
        <v/>
      </c>
      <c r="AB962" s="418" t="str">
        <f t="shared" si="1499"/>
        <v/>
      </c>
      <c r="AC962" s="418" t="str">
        <f t="shared" si="1500"/>
        <v/>
      </c>
      <c r="AD962" s="418" t="str">
        <f t="shared" si="1501"/>
        <v/>
      </c>
      <c r="AE962" s="418" t="str">
        <f t="shared" si="1502"/>
        <v/>
      </c>
      <c r="AF962" s="418" t="str">
        <f t="shared" si="1503"/>
        <v/>
      </c>
      <c r="AG962" s="418" t="str">
        <f t="shared" si="1504"/>
        <v/>
      </c>
      <c r="AH962" s="418" t="str">
        <f t="shared" si="1505"/>
        <v/>
      </c>
      <c r="AI962" s="418">
        <f t="shared" si="1506"/>
        <v>1680</v>
      </c>
      <c r="AJ962" s="418" t="str">
        <f t="shared" si="1507"/>
        <v/>
      </c>
      <c r="AK962" s="418" t="str">
        <f t="shared" si="1508"/>
        <v/>
      </c>
      <c r="AL962" s="418" t="str">
        <f t="shared" si="1509"/>
        <v/>
      </c>
      <c r="AM962" s="418" t="str">
        <f t="shared" si="1510"/>
        <v/>
      </c>
      <c r="AN962" s="418" t="str">
        <f t="shared" si="1511"/>
        <v/>
      </c>
      <c r="AO962" s="418" t="str">
        <f t="shared" si="1512"/>
        <v/>
      </c>
      <c r="AP962" s="418" t="str">
        <f t="shared" si="1513"/>
        <v/>
      </c>
      <c r="AQ962" s="418" t="str">
        <f t="shared" si="1514"/>
        <v/>
      </c>
      <c r="AR962" s="418" t="str">
        <f t="shared" si="1515"/>
        <v/>
      </c>
      <c r="AS962" s="418" t="str">
        <f t="shared" si="1516"/>
        <v/>
      </c>
      <c r="AT962" s="418" t="str">
        <f t="shared" si="1517"/>
        <v/>
      </c>
      <c r="AU962" s="418" t="str">
        <f t="shared" si="1518"/>
        <v/>
      </c>
      <c r="AV962" s="418" t="str">
        <f t="shared" si="1519"/>
        <v/>
      </c>
      <c r="AW962" s="418" t="str">
        <f t="shared" si="1520"/>
        <v/>
      </c>
      <c r="AX962" s="418" t="str">
        <f t="shared" si="1521"/>
        <v/>
      </c>
      <c r="AY962" s="418" t="str">
        <f t="shared" si="1522"/>
        <v/>
      </c>
      <c r="AZ962" s="418" t="str">
        <f t="shared" si="1523"/>
        <v/>
      </c>
      <c r="BA962" s="418" t="str">
        <f t="shared" si="1524"/>
        <v/>
      </c>
      <c r="BB962" s="418" t="str">
        <f t="shared" si="1525"/>
        <v/>
      </c>
      <c r="BC962" s="418" t="str">
        <f t="shared" si="1526"/>
        <v/>
      </c>
      <c r="BD962" s="418" t="str">
        <f t="shared" si="1527"/>
        <v/>
      </c>
      <c r="BE962" s="418" t="str">
        <f t="shared" si="1528"/>
        <v/>
      </c>
      <c r="BF962" s="418" t="str">
        <f t="shared" si="1529"/>
        <v/>
      </c>
      <c r="BG962" s="418" t="str">
        <f t="shared" si="1530"/>
        <v/>
      </c>
      <c r="BH962" s="418" t="str">
        <f t="shared" si="1531"/>
        <v/>
      </c>
      <c r="BI962" s="418" t="str">
        <f t="shared" si="1532"/>
        <v/>
      </c>
      <c r="BJ962" s="418" t="str">
        <f t="shared" si="1533"/>
        <v/>
      </c>
      <c r="BK962" s="418" t="str">
        <f t="shared" si="1534"/>
        <v/>
      </c>
      <c r="BL962" s="418" t="str">
        <f t="shared" si="1535"/>
        <v/>
      </c>
      <c r="BM962" s="418" t="str">
        <f t="shared" si="1536"/>
        <v/>
      </c>
      <c r="BN962" s="418" t="str">
        <f t="shared" si="1537"/>
        <v/>
      </c>
      <c r="BO962" s="418" t="str">
        <f t="shared" si="1538"/>
        <v/>
      </c>
      <c r="BP962" s="418" t="str">
        <f t="shared" si="1539"/>
        <v/>
      </c>
      <c r="BQ962" s="418" t="str">
        <f t="shared" si="1459"/>
        <v/>
      </c>
      <c r="BR962" s="418" t="str">
        <f t="shared" si="1460"/>
        <v/>
      </c>
      <c r="BS962" s="418" t="str">
        <f t="shared" si="1461"/>
        <v/>
      </c>
      <c r="BT962" s="418" t="str">
        <f t="shared" si="1540"/>
        <v/>
      </c>
      <c r="BU962" s="418" t="str">
        <f t="shared" si="1541"/>
        <v/>
      </c>
      <c r="BV962" s="544">
        <v>9.15</v>
      </c>
      <c r="BW962" s="723">
        <f t="shared" si="1542"/>
        <v>15372</v>
      </c>
      <c r="BX962" s="724">
        <f t="shared" si="1543"/>
        <v>119133</v>
      </c>
      <c r="BY962" s="725" t="str">
        <f t="shared" si="1544"/>
        <v>SR</v>
      </c>
    </row>
    <row r="963" s="697" customFormat="1" customHeight="1" spans="1:77">
      <c r="A963" s="174">
        <v>46162</v>
      </c>
      <c r="B963" s="179">
        <v>46238</v>
      </c>
      <c r="C963" s="418">
        <v>9600515116</v>
      </c>
      <c r="D963" s="418" t="s">
        <v>870</v>
      </c>
      <c r="E963" s="175" t="s">
        <v>126</v>
      </c>
      <c r="F963" s="737">
        <v>1680</v>
      </c>
      <c r="G963" s="118" t="s">
        <v>584</v>
      </c>
      <c r="H963" s="118" t="str">
        <f>IFERROR(VLOOKUP(E963,名称!A:E,4,0),"")</f>
        <v>三代</v>
      </c>
      <c r="I963" s="418" t="str">
        <f t="shared" si="1480"/>
        <v/>
      </c>
      <c r="J963" s="418" t="str">
        <f t="shared" si="1481"/>
        <v/>
      </c>
      <c r="K963" s="418" t="str">
        <f t="shared" si="1482"/>
        <v/>
      </c>
      <c r="L963" s="418" t="str">
        <f t="shared" si="1483"/>
        <v/>
      </c>
      <c r="M963" s="418" t="str">
        <f t="shared" si="1484"/>
        <v/>
      </c>
      <c r="N963" s="418" t="str">
        <f t="shared" si="1485"/>
        <v/>
      </c>
      <c r="O963" s="418" t="str">
        <f t="shared" si="1486"/>
        <v/>
      </c>
      <c r="P963" s="418" t="str">
        <f t="shared" si="1487"/>
        <v/>
      </c>
      <c r="Q963" s="418" t="str">
        <f t="shared" si="1488"/>
        <v/>
      </c>
      <c r="R963" s="418" t="str">
        <f t="shared" si="1489"/>
        <v/>
      </c>
      <c r="S963" s="418" t="str">
        <f t="shared" si="1490"/>
        <v/>
      </c>
      <c r="T963" s="418" t="str">
        <f t="shared" si="1491"/>
        <v/>
      </c>
      <c r="U963" s="418" t="str">
        <f t="shared" si="1492"/>
        <v/>
      </c>
      <c r="V963" s="418" t="str">
        <f t="shared" si="1493"/>
        <v/>
      </c>
      <c r="W963" s="418" t="str">
        <f t="shared" si="1494"/>
        <v/>
      </c>
      <c r="X963" s="418" t="str">
        <f t="shared" si="1495"/>
        <v/>
      </c>
      <c r="Y963" s="418" t="str">
        <f t="shared" si="1496"/>
        <v/>
      </c>
      <c r="Z963" s="418" t="str">
        <f t="shared" si="1497"/>
        <v/>
      </c>
      <c r="AA963" s="418" t="str">
        <f t="shared" si="1498"/>
        <v/>
      </c>
      <c r="AB963" s="418" t="str">
        <f t="shared" si="1499"/>
        <v/>
      </c>
      <c r="AC963" s="418" t="str">
        <f t="shared" si="1500"/>
        <v/>
      </c>
      <c r="AD963" s="418" t="str">
        <f t="shared" si="1501"/>
        <v/>
      </c>
      <c r="AE963" s="418" t="str">
        <f t="shared" si="1502"/>
        <v/>
      </c>
      <c r="AF963" s="418" t="str">
        <f t="shared" si="1503"/>
        <v/>
      </c>
      <c r="AG963" s="418" t="str">
        <f t="shared" si="1504"/>
        <v/>
      </c>
      <c r="AH963" s="418" t="str">
        <f t="shared" si="1505"/>
        <v/>
      </c>
      <c r="AI963" s="418">
        <f t="shared" si="1506"/>
        <v>1680</v>
      </c>
      <c r="AJ963" s="418" t="str">
        <f t="shared" si="1507"/>
        <v/>
      </c>
      <c r="AK963" s="418" t="str">
        <f t="shared" si="1508"/>
        <v/>
      </c>
      <c r="AL963" s="418" t="str">
        <f t="shared" si="1509"/>
        <v/>
      </c>
      <c r="AM963" s="418" t="str">
        <f t="shared" si="1510"/>
        <v/>
      </c>
      <c r="AN963" s="418" t="str">
        <f t="shared" si="1511"/>
        <v/>
      </c>
      <c r="AO963" s="418" t="str">
        <f t="shared" si="1512"/>
        <v/>
      </c>
      <c r="AP963" s="418" t="str">
        <f t="shared" si="1513"/>
        <v/>
      </c>
      <c r="AQ963" s="418" t="str">
        <f t="shared" si="1514"/>
        <v/>
      </c>
      <c r="AR963" s="418" t="str">
        <f t="shared" si="1515"/>
        <v/>
      </c>
      <c r="AS963" s="418" t="str">
        <f t="shared" si="1516"/>
        <v/>
      </c>
      <c r="AT963" s="418" t="str">
        <f t="shared" si="1517"/>
        <v/>
      </c>
      <c r="AU963" s="418" t="str">
        <f t="shared" si="1518"/>
        <v/>
      </c>
      <c r="AV963" s="418" t="str">
        <f t="shared" si="1519"/>
        <v/>
      </c>
      <c r="AW963" s="418" t="str">
        <f t="shared" si="1520"/>
        <v/>
      </c>
      <c r="AX963" s="418" t="str">
        <f t="shared" si="1521"/>
        <v/>
      </c>
      <c r="AY963" s="418" t="str">
        <f t="shared" si="1522"/>
        <v/>
      </c>
      <c r="AZ963" s="418" t="str">
        <f t="shared" si="1523"/>
        <v/>
      </c>
      <c r="BA963" s="418" t="str">
        <f t="shared" si="1524"/>
        <v/>
      </c>
      <c r="BB963" s="418" t="str">
        <f t="shared" si="1525"/>
        <v/>
      </c>
      <c r="BC963" s="418" t="str">
        <f t="shared" si="1526"/>
        <v/>
      </c>
      <c r="BD963" s="418" t="str">
        <f t="shared" si="1527"/>
        <v/>
      </c>
      <c r="BE963" s="418" t="str">
        <f t="shared" si="1528"/>
        <v/>
      </c>
      <c r="BF963" s="418" t="str">
        <f t="shared" si="1529"/>
        <v/>
      </c>
      <c r="BG963" s="418" t="str">
        <f t="shared" si="1530"/>
        <v/>
      </c>
      <c r="BH963" s="418" t="str">
        <f t="shared" si="1531"/>
        <v/>
      </c>
      <c r="BI963" s="418" t="str">
        <f t="shared" si="1532"/>
        <v/>
      </c>
      <c r="BJ963" s="418" t="str">
        <f t="shared" si="1533"/>
        <v/>
      </c>
      <c r="BK963" s="418" t="str">
        <f t="shared" si="1534"/>
        <v/>
      </c>
      <c r="BL963" s="418" t="str">
        <f t="shared" si="1535"/>
        <v/>
      </c>
      <c r="BM963" s="418" t="str">
        <f t="shared" si="1536"/>
        <v/>
      </c>
      <c r="BN963" s="418" t="str">
        <f t="shared" si="1537"/>
        <v/>
      </c>
      <c r="BO963" s="418" t="str">
        <f t="shared" si="1538"/>
        <v/>
      </c>
      <c r="BP963" s="418" t="str">
        <f t="shared" si="1539"/>
        <v/>
      </c>
      <c r="BQ963" s="418" t="str">
        <f t="shared" si="1459"/>
        <v/>
      </c>
      <c r="BR963" s="418" t="str">
        <f t="shared" si="1460"/>
        <v/>
      </c>
      <c r="BS963" s="418" t="str">
        <f t="shared" si="1461"/>
        <v/>
      </c>
      <c r="BT963" s="418" t="str">
        <f t="shared" si="1540"/>
        <v/>
      </c>
      <c r="BU963" s="418" t="str">
        <f t="shared" si="1541"/>
        <v/>
      </c>
      <c r="BV963" s="544">
        <v>9.15</v>
      </c>
      <c r="BW963" s="723">
        <f t="shared" si="1542"/>
        <v>15372</v>
      </c>
      <c r="BX963" s="724">
        <f t="shared" si="1543"/>
        <v>119133</v>
      </c>
      <c r="BY963" s="725" t="str">
        <f t="shared" si="1544"/>
        <v>SR</v>
      </c>
    </row>
    <row r="964" s="697" customFormat="1" customHeight="1" spans="1:77">
      <c r="A964" s="174">
        <v>46162</v>
      </c>
      <c r="B964" s="179">
        <v>46238</v>
      </c>
      <c r="C964" s="418">
        <v>9600515117</v>
      </c>
      <c r="D964" s="418" t="s">
        <v>871</v>
      </c>
      <c r="E964" s="175" t="s">
        <v>126</v>
      </c>
      <c r="F964" s="737">
        <v>1680</v>
      </c>
      <c r="G964" s="118" t="s">
        <v>584</v>
      </c>
      <c r="H964" s="118" t="str">
        <f>IFERROR(VLOOKUP(E964,名称!A:E,4,0),"")</f>
        <v>三代</v>
      </c>
      <c r="I964" s="418" t="str">
        <f t="shared" si="1480"/>
        <v/>
      </c>
      <c r="J964" s="418" t="str">
        <f t="shared" si="1481"/>
        <v/>
      </c>
      <c r="K964" s="418" t="str">
        <f t="shared" si="1482"/>
        <v/>
      </c>
      <c r="L964" s="418" t="str">
        <f t="shared" si="1483"/>
        <v/>
      </c>
      <c r="M964" s="418" t="str">
        <f t="shared" si="1484"/>
        <v/>
      </c>
      <c r="N964" s="418" t="str">
        <f t="shared" si="1485"/>
        <v/>
      </c>
      <c r="O964" s="418" t="str">
        <f t="shared" si="1486"/>
        <v/>
      </c>
      <c r="P964" s="418" t="str">
        <f t="shared" si="1487"/>
        <v/>
      </c>
      <c r="Q964" s="418" t="str">
        <f t="shared" si="1488"/>
        <v/>
      </c>
      <c r="R964" s="418" t="str">
        <f t="shared" si="1489"/>
        <v/>
      </c>
      <c r="S964" s="418" t="str">
        <f t="shared" si="1490"/>
        <v/>
      </c>
      <c r="T964" s="418" t="str">
        <f t="shared" si="1491"/>
        <v/>
      </c>
      <c r="U964" s="418" t="str">
        <f t="shared" si="1492"/>
        <v/>
      </c>
      <c r="V964" s="418" t="str">
        <f t="shared" si="1493"/>
        <v/>
      </c>
      <c r="W964" s="418" t="str">
        <f t="shared" si="1494"/>
        <v/>
      </c>
      <c r="X964" s="418" t="str">
        <f t="shared" si="1495"/>
        <v/>
      </c>
      <c r="Y964" s="418" t="str">
        <f t="shared" si="1496"/>
        <v/>
      </c>
      <c r="Z964" s="418" t="str">
        <f t="shared" si="1497"/>
        <v/>
      </c>
      <c r="AA964" s="418" t="str">
        <f t="shared" si="1498"/>
        <v/>
      </c>
      <c r="AB964" s="418" t="str">
        <f t="shared" si="1499"/>
        <v/>
      </c>
      <c r="AC964" s="418" t="str">
        <f t="shared" si="1500"/>
        <v/>
      </c>
      <c r="AD964" s="418" t="str">
        <f t="shared" si="1501"/>
        <v/>
      </c>
      <c r="AE964" s="418" t="str">
        <f t="shared" si="1502"/>
        <v/>
      </c>
      <c r="AF964" s="418" t="str">
        <f t="shared" si="1503"/>
        <v/>
      </c>
      <c r="AG964" s="418" t="str">
        <f t="shared" si="1504"/>
        <v/>
      </c>
      <c r="AH964" s="418" t="str">
        <f t="shared" si="1505"/>
        <v/>
      </c>
      <c r="AI964" s="418">
        <f t="shared" si="1506"/>
        <v>1680</v>
      </c>
      <c r="AJ964" s="418" t="str">
        <f t="shared" si="1507"/>
        <v/>
      </c>
      <c r="AK964" s="418" t="str">
        <f t="shared" si="1508"/>
        <v/>
      </c>
      <c r="AL964" s="418" t="str">
        <f t="shared" si="1509"/>
        <v/>
      </c>
      <c r="AM964" s="418" t="str">
        <f t="shared" si="1510"/>
        <v/>
      </c>
      <c r="AN964" s="418" t="str">
        <f t="shared" si="1511"/>
        <v/>
      </c>
      <c r="AO964" s="418" t="str">
        <f t="shared" si="1512"/>
        <v/>
      </c>
      <c r="AP964" s="418" t="str">
        <f t="shared" si="1513"/>
        <v/>
      </c>
      <c r="AQ964" s="418" t="str">
        <f t="shared" si="1514"/>
        <v/>
      </c>
      <c r="AR964" s="418" t="str">
        <f t="shared" si="1515"/>
        <v/>
      </c>
      <c r="AS964" s="418" t="str">
        <f t="shared" si="1516"/>
        <v/>
      </c>
      <c r="AT964" s="418" t="str">
        <f t="shared" si="1517"/>
        <v/>
      </c>
      <c r="AU964" s="418" t="str">
        <f t="shared" si="1518"/>
        <v/>
      </c>
      <c r="AV964" s="418" t="str">
        <f t="shared" si="1519"/>
        <v/>
      </c>
      <c r="AW964" s="418" t="str">
        <f t="shared" si="1520"/>
        <v/>
      </c>
      <c r="AX964" s="418" t="str">
        <f t="shared" si="1521"/>
        <v/>
      </c>
      <c r="AY964" s="418" t="str">
        <f t="shared" si="1522"/>
        <v/>
      </c>
      <c r="AZ964" s="418" t="str">
        <f t="shared" si="1523"/>
        <v/>
      </c>
      <c r="BA964" s="418" t="str">
        <f t="shared" si="1524"/>
        <v/>
      </c>
      <c r="BB964" s="418" t="str">
        <f t="shared" si="1525"/>
        <v/>
      </c>
      <c r="BC964" s="418" t="str">
        <f t="shared" si="1526"/>
        <v/>
      </c>
      <c r="BD964" s="418" t="str">
        <f t="shared" si="1527"/>
        <v/>
      </c>
      <c r="BE964" s="418" t="str">
        <f t="shared" si="1528"/>
        <v/>
      </c>
      <c r="BF964" s="418" t="str">
        <f t="shared" si="1529"/>
        <v/>
      </c>
      <c r="BG964" s="418" t="str">
        <f t="shared" si="1530"/>
        <v/>
      </c>
      <c r="BH964" s="418" t="str">
        <f t="shared" si="1531"/>
        <v/>
      </c>
      <c r="BI964" s="418" t="str">
        <f t="shared" si="1532"/>
        <v/>
      </c>
      <c r="BJ964" s="418" t="str">
        <f t="shared" si="1533"/>
        <v/>
      </c>
      <c r="BK964" s="418" t="str">
        <f t="shared" si="1534"/>
        <v/>
      </c>
      <c r="BL964" s="418" t="str">
        <f t="shared" si="1535"/>
        <v/>
      </c>
      <c r="BM964" s="418" t="str">
        <f t="shared" si="1536"/>
        <v/>
      </c>
      <c r="BN964" s="418" t="str">
        <f t="shared" si="1537"/>
        <v/>
      </c>
      <c r="BO964" s="418" t="str">
        <f t="shared" si="1538"/>
        <v/>
      </c>
      <c r="BP964" s="418" t="str">
        <f t="shared" si="1539"/>
        <v/>
      </c>
      <c r="BQ964" s="418" t="str">
        <f t="shared" si="1459"/>
        <v/>
      </c>
      <c r="BR964" s="418" t="str">
        <f t="shared" si="1460"/>
        <v/>
      </c>
      <c r="BS964" s="418" t="str">
        <f t="shared" si="1461"/>
        <v/>
      </c>
      <c r="BT964" s="418" t="str">
        <f t="shared" si="1540"/>
        <v/>
      </c>
      <c r="BU964" s="418" t="str">
        <f t="shared" si="1541"/>
        <v/>
      </c>
      <c r="BV964" s="544">
        <v>9.15</v>
      </c>
      <c r="BW964" s="723">
        <f t="shared" si="1542"/>
        <v>15372</v>
      </c>
      <c r="BX964" s="724">
        <f t="shared" si="1543"/>
        <v>119133</v>
      </c>
      <c r="BY964" s="725" t="str">
        <f t="shared" si="1544"/>
        <v>SR</v>
      </c>
    </row>
    <row r="965" s="698" customFormat="1" customHeight="1" spans="1:77">
      <c r="A965" s="227">
        <v>46162</v>
      </c>
      <c r="B965" s="248">
        <v>46204</v>
      </c>
      <c r="C965" s="268">
        <v>10520514497</v>
      </c>
      <c r="D965" s="268" t="s">
        <v>872</v>
      </c>
      <c r="E965" s="209" t="s">
        <v>126</v>
      </c>
      <c r="F965" s="343">
        <v>1680</v>
      </c>
      <c r="G965" s="211" t="s">
        <v>584</v>
      </c>
      <c r="H965" s="211" t="str">
        <f>IFERROR(VLOOKUP(E965,名称!A:E,4,0),"")</f>
        <v>三代</v>
      </c>
      <c r="I965" s="268" t="str">
        <f t="shared" si="1480"/>
        <v/>
      </c>
      <c r="J965" s="268" t="str">
        <f t="shared" si="1481"/>
        <v/>
      </c>
      <c r="K965" s="268" t="str">
        <f t="shared" si="1482"/>
        <v/>
      </c>
      <c r="L965" s="268" t="str">
        <f t="shared" si="1483"/>
        <v/>
      </c>
      <c r="M965" s="268" t="str">
        <f t="shared" si="1484"/>
        <v/>
      </c>
      <c r="N965" s="268" t="str">
        <f t="shared" si="1485"/>
        <v/>
      </c>
      <c r="O965" s="268" t="str">
        <f t="shared" si="1486"/>
        <v/>
      </c>
      <c r="P965" s="268" t="str">
        <f t="shared" si="1487"/>
        <v/>
      </c>
      <c r="Q965" s="268" t="str">
        <f t="shared" si="1488"/>
        <v/>
      </c>
      <c r="R965" s="268" t="str">
        <f t="shared" si="1489"/>
        <v/>
      </c>
      <c r="S965" s="268" t="str">
        <f t="shared" si="1490"/>
        <v/>
      </c>
      <c r="T965" s="268" t="str">
        <f t="shared" si="1491"/>
        <v/>
      </c>
      <c r="U965" s="268" t="str">
        <f t="shared" si="1492"/>
        <v/>
      </c>
      <c r="V965" s="268" t="str">
        <f t="shared" si="1493"/>
        <v/>
      </c>
      <c r="W965" s="268" t="str">
        <f t="shared" si="1494"/>
        <v/>
      </c>
      <c r="X965" s="268" t="str">
        <f t="shared" si="1495"/>
        <v/>
      </c>
      <c r="Y965" s="268" t="str">
        <f t="shared" si="1496"/>
        <v/>
      </c>
      <c r="Z965" s="268" t="str">
        <f t="shared" si="1497"/>
        <v/>
      </c>
      <c r="AA965" s="268" t="str">
        <f t="shared" si="1498"/>
        <v/>
      </c>
      <c r="AB965" s="268" t="str">
        <f t="shared" si="1499"/>
        <v/>
      </c>
      <c r="AC965" s="268" t="str">
        <f t="shared" si="1500"/>
        <v/>
      </c>
      <c r="AD965" s="268" t="str">
        <f t="shared" si="1501"/>
        <v/>
      </c>
      <c r="AE965" s="268" t="str">
        <f t="shared" si="1502"/>
        <v/>
      </c>
      <c r="AF965" s="268" t="str">
        <f t="shared" si="1503"/>
        <v/>
      </c>
      <c r="AG965" s="268" t="str">
        <f t="shared" si="1504"/>
        <v/>
      </c>
      <c r="AH965" s="268" t="str">
        <f t="shared" si="1505"/>
        <v/>
      </c>
      <c r="AI965" s="268">
        <f t="shared" si="1506"/>
        <v>1680</v>
      </c>
      <c r="AJ965" s="268" t="str">
        <f t="shared" si="1507"/>
        <v/>
      </c>
      <c r="AK965" s="268" t="str">
        <f t="shared" si="1508"/>
        <v/>
      </c>
      <c r="AL965" s="268" t="str">
        <f t="shared" si="1509"/>
        <v/>
      </c>
      <c r="AM965" s="268" t="str">
        <f t="shared" si="1510"/>
        <v/>
      </c>
      <c r="AN965" s="268" t="str">
        <f t="shared" si="1511"/>
        <v/>
      </c>
      <c r="AO965" s="268" t="str">
        <f t="shared" si="1512"/>
        <v/>
      </c>
      <c r="AP965" s="268" t="str">
        <f t="shared" si="1513"/>
        <v/>
      </c>
      <c r="AQ965" s="268" t="str">
        <f t="shared" si="1514"/>
        <v/>
      </c>
      <c r="AR965" s="268" t="str">
        <f t="shared" si="1515"/>
        <v/>
      </c>
      <c r="AS965" s="268" t="str">
        <f t="shared" si="1516"/>
        <v/>
      </c>
      <c r="AT965" s="268" t="str">
        <f t="shared" si="1517"/>
        <v/>
      </c>
      <c r="AU965" s="268" t="str">
        <f t="shared" si="1518"/>
        <v/>
      </c>
      <c r="AV965" s="268" t="str">
        <f t="shared" si="1519"/>
        <v/>
      </c>
      <c r="AW965" s="268" t="str">
        <f t="shared" si="1520"/>
        <v/>
      </c>
      <c r="AX965" s="268" t="str">
        <f t="shared" si="1521"/>
        <v/>
      </c>
      <c r="AY965" s="268" t="str">
        <f t="shared" si="1522"/>
        <v/>
      </c>
      <c r="AZ965" s="268" t="str">
        <f t="shared" si="1523"/>
        <v/>
      </c>
      <c r="BA965" s="268" t="str">
        <f t="shared" si="1524"/>
        <v/>
      </c>
      <c r="BB965" s="268" t="str">
        <f t="shared" si="1525"/>
        <v/>
      </c>
      <c r="BC965" s="268" t="str">
        <f t="shared" si="1526"/>
        <v/>
      </c>
      <c r="BD965" s="268" t="str">
        <f t="shared" si="1527"/>
        <v/>
      </c>
      <c r="BE965" s="268" t="str">
        <f t="shared" si="1528"/>
        <v/>
      </c>
      <c r="BF965" s="268" t="str">
        <f t="shared" si="1529"/>
        <v/>
      </c>
      <c r="BG965" s="268" t="str">
        <f t="shared" si="1530"/>
        <v/>
      </c>
      <c r="BH965" s="268" t="str">
        <f t="shared" si="1531"/>
        <v/>
      </c>
      <c r="BI965" s="268" t="str">
        <f t="shared" si="1532"/>
        <v/>
      </c>
      <c r="BJ965" s="268" t="str">
        <f t="shared" si="1533"/>
        <v/>
      </c>
      <c r="BK965" s="268" t="str">
        <f t="shared" si="1534"/>
        <v/>
      </c>
      <c r="BL965" s="268" t="str">
        <f t="shared" si="1535"/>
        <v/>
      </c>
      <c r="BM965" s="268" t="str">
        <f t="shared" si="1536"/>
        <v/>
      </c>
      <c r="BN965" s="268" t="str">
        <f t="shared" si="1537"/>
        <v/>
      </c>
      <c r="BO965" s="268" t="str">
        <f t="shared" si="1538"/>
        <v/>
      </c>
      <c r="BP965" s="268" t="str">
        <f t="shared" si="1539"/>
        <v/>
      </c>
      <c r="BQ965" s="268" t="str">
        <f t="shared" si="1459"/>
        <v/>
      </c>
      <c r="BR965" s="268" t="str">
        <f t="shared" si="1460"/>
        <v/>
      </c>
      <c r="BS965" s="268" t="str">
        <f t="shared" si="1461"/>
        <v/>
      </c>
      <c r="BT965" s="268" t="str">
        <f t="shared" si="1540"/>
        <v/>
      </c>
      <c r="BU965" s="268" t="str">
        <f t="shared" si="1541"/>
        <v/>
      </c>
      <c r="BV965" s="247">
        <v>11.31</v>
      </c>
      <c r="BW965" s="729">
        <f t="shared" si="1542"/>
        <v>19000.8</v>
      </c>
      <c r="BX965" s="730">
        <f t="shared" si="1543"/>
        <v>147256.2</v>
      </c>
      <c r="BY965" s="731" t="str">
        <f t="shared" si="1544"/>
        <v>SR</v>
      </c>
    </row>
    <row r="966" s="698" customFormat="1" customHeight="1" spans="1:77">
      <c r="A966" s="227">
        <v>46162</v>
      </c>
      <c r="B966" s="248">
        <v>46221</v>
      </c>
      <c r="C966" s="268">
        <v>1750514648</v>
      </c>
      <c r="D966" s="268" t="s">
        <v>873</v>
      </c>
      <c r="E966" s="209" t="s">
        <v>126</v>
      </c>
      <c r="F966" s="343">
        <v>1680</v>
      </c>
      <c r="G966" s="211" t="s">
        <v>584</v>
      </c>
      <c r="H966" s="211" t="str">
        <f>IFERROR(VLOOKUP(E966,名称!A:E,4,0),"")</f>
        <v>三代</v>
      </c>
      <c r="I966" s="268" t="str">
        <f t="shared" si="1480"/>
        <v/>
      </c>
      <c r="J966" s="268" t="str">
        <f t="shared" si="1481"/>
        <v/>
      </c>
      <c r="K966" s="268" t="str">
        <f t="shared" si="1482"/>
        <v/>
      </c>
      <c r="L966" s="268" t="str">
        <f t="shared" si="1483"/>
        <v/>
      </c>
      <c r="M966" s="268" t="str">
        <f t="shared" si="1484"/>
        <v/>
      </c>
      <c r="N966" s="268" t="str">
        <f t="shared" si="1485"/>
        <v/>
      </c>
      <c r="O966" s="268" t="str">
        <f t="shared" si="1486"/>
        <v/>
      </c>
      <c r="P966" s="268" t="str">
        <f t="shared" si="1487"/>
        <v/>
      </c>
      <c r="Q966" s="268" t="str">
        <f t="shared" si="1488"/>
        <v/>
      </c>
      <c r="R966" s="268" t="str">
        <f t="shared" si="1489"/>
        <v/>
      </c>
      <c r="S966" s="268" t="str">
        <f t="shared" si="1490"/>
        <v/>
      </c>
      <c r="T966" s="268" t="str">
        <f t="shared" si="1491"/>
        <v/>
      </c>
      <c r="U966" s="268" t="str">
        <f t="shared" si="1492"/>
        <v/>
      </c>
      <c r="V966" s="268" t="str">
        <f t="shared" si="1493"/>
        <v/>
      </c>
      <c r="W966" s="268" t="str">
        <f t="shared" si="1494"/>
        <v/>
      </c>
      <c r="X966" s="268" t="str">
        <f t="shared" si="1495"/>
        <v/>
      </c>
      <c r="Y966" s="268" t="str">
        <f t="shared" si="1496"/>
        <v/>
      </c>
      <c r="Z966" s="268" t="str">
        <f t="shared" si="1497"/>
        <v/>
      </c>
      <c r="AA966" s="268" t="str">
        <f t="shared" si="1498"/>
        <v/>
      </c>
      <c r="AB966" s="268" t="str">
        <f t="shared" si="1499"/>
        <v/>
      </c>
      <c r="AC966" s="268" t="str">
        <f t="shared" si="1500"/>
        <v/>
      </c>
      <c r="AD966" s="268" t="str">
        <f t="shared" si="1501"/>
        <v/>
      </c>
      <c r="AE966" s="268" t="str">
        <f t="shared" si="1502"/>
        <v/>
      </c>
      <c r="AF966" s="268" t="str">
        <f t="shared" si="1503"/>
        <v/>
      </c>
      <c r="AG966" s="268" t="str">
        <f t="shared" si="1504"/>
        <v/>
      </c>
      <c r="AH966" s="268" t="str">
        <f t="shared" si="1505"/>
        <v/>
      </c>
      <c r="AI966" s="268">
        <f t="shared" si="1506"/>
        <v>1680</v>
      </c>
      <c r="AJ966" s="268" t="str">
        <f t="shared" si="1507"/>
        <v/>
      </c>
      <c r="AK966" s="268" t="str">
        <f t="shared" si="1508"/>
        <v/>
      </c>
      <c r="AL966" s="268" t="str">
        <f t="shared" si="1509"/>
        <v/>
      </c>
      <c r="AM966" s="268" t="str">
        <f t="shared" si="1510"/>
        <v/>
      </c>
      <c r="AN966" s="268" t="str">
        <f t="shared" si="1511"/>
        <v/>
      </c>
      <c r="AO966" s="268" t="str">
        <f t="shared" si="1512"/>
        <v/>
      </c>
      <c r="AP966" s="268" t="str">
        <f t="shared" si="1513"/>
        <v/>
      </c>
      <c r="AQ966" s="268" t="str">
        <f t="shared" si="1514"/>
        <v/>
      </c>
      <c r="AR966" s="268" t="str">
        <f t="shared" si="1515"/>
        <v/>
      </c>
      <c r="AS966" s="268" t="str">
        <f t="shared" si="1516"/>
        <v/>
      </c>
      <c r="AT966" s="268" t="str">
        <f t="shared" si="1517"/>
        <v/>
      </c>
      <c r="AU966" s="268" t="str">
        <f t="shared" si="1518"/>
        <v/>
      </c>
      <c r="AV966" s="268" t="str">
        <f t="shared" si="1519"/>
        <v/>
      </c>
      <c r="AW966" s="268" t="str">
        <f t="shared" si="1520"/>
        <v/>
      </c>
      <c r="AX966" s="268" t="str">
        <f t="shared" si="1521"/>
        <v/>
      </c>
      <c r="AY966" s="268" t="str">
        <f t="shared" si="1522"/>
        <v/>
      </c>
      <c r="AZ966" s="268" t="str">
        <f t="shared" si="1523"/>
        <v/>
      </c>
      <c r="BA966" s="268" t="str">
        <f t="shared" si="1524"/>
        <v/>
      </c>
      <c r="BB966" s="268" t="str">
        <f t="shared" si="1525"/>
        <v/>
      </c>
      <c r="BC966" s="268" t="str">
        <f t="shared" si="1526"/>
        <v/>
      </c>
      <c r="BD966" s="268" t="str">
        <f t="shared" si="1527"/>
        <v/>
      </c>
      <c r="BE966" s="268" t="str">
        <f t="shared" si="1528"/>
        <v/>
      </c>
      <c r="BF966" s="268" t="str">
        <f t="shared" si="1529"/>
        <v/>
      </c>
      <c r="BG966" s="268" t="str">
        <f t="shared" si="1530"/>
        <v/>
      </c>
      <c r="BH966" s="268" t="str">
        <f t="shared" si="1531"/>
        <v/>
      </c>
      <c r="BI966" s="268" t="str">
        <f t="shared" si="1532"/>
        <v/>
      </c>
      <c r="BJ966" s="268" t="str">
        <f t="shared" si="1533"/>
        <v/>
      </c>
      <c r="BK966" s="268" t="str">
        <f t="shared" si="1534"/>
        <v/>
      </c>
      <c r="BL966" s="268" t="str">
        <f t="shared" si="1535"/>
        <v/>
      </c>
      <c r="BM966" s="268" t="str">
        <f t="shared" si="1536"/>
        <v/>
      </c>
      <c r="BN966" s="268" t="str">
        <f t="shared" si="1537"/>
        <v/>
      </c>
      <c r="BO966" s="268" t="str">
        <f t="shared" si="1538"/>
        <v/>
      </c>
      <c r="BP966" s="268" t="str">
        <f t="shared" si="1539"/>
        <v/>
      </c>
      <c r="BQ966" s="268" t="str">
        <f t="shared" si="1459"/>
        <v/>
      </c>
      <c r="BR966" s="268" t="str">
        <f t="shared" si="1460"/>
        <v/>
      </c>
      <c r="BS966" s="268" t="str">
        <f t="shared" si="1461"/>
        <v/>
      </c>
      <c r="BT966" s="268" t="str">
        <f t="shared" si="1540"/>
        <v/>
      </c>
      <c r="BU966" s="268" t="str">
        <f t="shared" si="1541"/>
        <v/>
      </c>
      <c r="BV966" s="247">
        <v>11.31</v>
      </c>
      <c r="BW966" s="729">
        <f t="shared" si="1542"/>
        <v>19000.8</v>
      </c>
      <c r="BX966" s="730">
        <f t="shared" si="1543"/>
        <v>147256.2</v>
      </c>
      <c r="BY966" s="731" t="str">
        <f t="shared" si="1544"/>
        <v>SR</v>
      </c>
    </row>
    <row r="967" s="698" customFormat="1" customHeight="1" spans="1:77">
      <c r="A967" s="227">
        <v>46162</v>
      </c>
      <c r="B967" s="248">
        <v>46221</v>
      </c>
      <c r="C967" s="268">
        <v>1750514649</v>
      </c>
      <c r="D967" s="268" t="s">
        <v>874</v>
      </c>
      <c r="E967" s="209" t="s">
        <v>126</v>
      </c>
      <c r="F967" s="343">
        <v>1680</v>
      </c>
      <c r="G967" s="211" t="s">
        <v>584</v>
      </c>
      <c r="H967" s="211" t="str">
        <f>IFERROR(VLOOKUP(E967,名称!A:E,4,0),"")</f>
        <v>三代</v>
      </c>
      <c r="I967" s="268" t="str">
        <f t="shared" si="1480"/>
        <v/>
      </c>
      <c r="J967" s="268" t="str">
        <f t="shared" si="1481"/>
        <v/>
      </c>
      <c r="K967" s="268" t="str">
        <f t="shared" si="1482"/>
        <v/>
      </c>
      <c r="L967" s="268" t="str">
        <f t="shared" si="1483"/>
        <v/>
      </c>
      <c r="M967" s="268" t="str">
        <f t="shared" si="1484"/>
        <v/>
      </c>
      <c r="N967" s="268" t="str">
        <f t="shared" si="1485"/>
        <v/>
      </c>
      <c r="O967" s="268" t="str">
        <f t="shared" si="1486"/>
        <v/>
      </c>
      <c r="P967" s="268" t="str">
        <f t="shared" si="1487"/>
        <v/>
      </c>
      <c r="Q967" s="268" t="str">
        <f t="shared" si="1488"/>
        <v/>
      </c>
      <c r="R967" s="268" t="str">
        <f t="shared" si="1489"/>
        <v/>
      </c>
      <c r="S967" s="268" t="str">
        <f t="shared" si="1490"/>
        <v/>
      </c>
      <c r="T967" s="268" t="str">
        <f t="shared" si="1491"/>
        <v/>
      </c>
      <c r="U967" s="268" t="str">
        <f t="shared" si="1492"/>
        <v/>
      </c>
      <c r="V967" s="268" t="str">
        <f t="shared" si="1493"/>
        <v/>
      </c>
      <c r="W967" s="268" t="str">
        <f t="shared" si="1494"/>
        <v/>
      </c>
      <c r="X967" s="268" t="str">
        <f t="shared" si="1495"/>
        <v/>
      </c>
      <c r="Y967" s="268" t="str">
        <f t="shared" si="1496"/>
        <v/>
      </c>
      <c r="Z967" s="268" t="str">
        <f t="shared" si="1497"/>
        <v/>
      </c>
      <c r="AA967" s="268" t="str">
        <f t="shared" si="1498"/>
        <v/>
      </c>
      <c r="AB967" s="268" t="str">
        <f t="shared" si="1499"/>
        <v/>
      </c>
      <c r="AC967" s="268" t="str">
        <f t="shared" si="1500"/>
        <v/>
      </c>
      <c r="AD967" s="268" t="str">
        <f t="shared" si="1501"/>
        <v/>
      </c>
      <c r="AE967" s="268" t="str">
        <f t="shared" si="1502"/>
        <v/>
      </c>
      <c r="AF967" s="268" t="str">
        <f t="shared" si="1503"/>
        <v/>
      </c>
      <c r="AG967" s="268" t="str">
        <f t="shared" si="1504"/>
        <v/>
      </c>
      <c r="AH967" s="268" t="str">
        <f t="shared" si="1505"/>
        <v/>
      </c>
      <c r="AI967" s="268">
        <f t="shared" si="1506"/>
        <v>1680</v>
      </c>
      <c r="AJ967" s="268" t="str">
        <f t="shared" si="1507"/>
        <v/>
      </c>
      <c r="AK967" s="268" t="str">
        <f t="shared" si="1508"/>
        <v/>
      </c>
      <c r="AL967" s="268" t="str">
        <f t="shared" si="1509"/>
        <v/>
      </c>
      <c r="AM967" s="268" t="str">
        <f t="shared" si="1510"/>
        <v/>
      </c>
      <c r="AN967" s="268" t="str">
        <f t="shared" si="1511"/>
        <v/>
      </c>
      <c r="AO967" s="268" t="str">
        <f t="shared" si="1512"/>
        <v/>
      </c>
      <c r="AP967" s="268" t="str">
        <f t="shared" si="1513"/>
        <v/>
      </c>
      <c r="AQ967" s="268" t="str">
        <f t="shared" si="1514"/>
        <v/>
      </c>
      <c r="AR967" s="268" t="str">
        <f t="shared" si="1515"/>
        <v/>
      </c>
      <c r="AS967" s="268" t="str">
        <f t="shared" si="1516"/>
        <v/>
      </c>
      <c r="AT967" s="268" t="str">
        <f t="shared" si="1517"/>
        <v/>
      </c>
      <c r="AU967" s="268" t="str">
        <f t="shared" si="1518"/>
        <v/>
      </c>
      <c r="AV967" s="268" t="str">
        <f t="shared" si="1519"/>
        <v/>
      </c>
      <c r="AW967" s="268" t="str">
        <f t="shared" si="1520"/>
        <v/>
      </c>
      <c r="AX967" s="268" t="str">
        <f t="shared" si="1521"/>
        <v/>
      </c>
      <c r="AY967" s="268" t="str">
        <f t="shared" si="1522"/>
        <v/>
      </c>
      <c r="AZ967" s="268" t="str">
        <f t="shared" si="1523"/>
        <v/>
      </c>
      <c r="BA967" s="268" t="str">
        <f t="shared" si="1524"/>
        <v/>
      </c>
      <c r="BB967" s="268" t="str">
        <f t="shared" si="1525"/>
        <v/>
      </c>
      <c r="BC967" s="268" t="str">
        <f t="shared" si="1526"/>
        <v/>
      </c>
      <c r="BD967" s="268" t="str">
        <f t="shared" si="1527"/>
        <v/>
      </c>
      <c r="BE967" s="268" t="str">
        <f t="shared" si="1528"/>
        <v/>
      </c>
      <c r="BF967" s="268" t="str">
        <f t="shared" si="1529"/>
        <v/>
      </c>
      <c r="BG967" s="268" t="str">
        <f t="shared" si="1530"/>
        <v/>
      </c>
      <c r="BH967" s="268" t="str">
        <f t="shared" si="1531"/>
        <v/>
      </c>
      <c r="BI967" s="268" t="str">
        <f t="shared" si="1532"/>
        <v/>
      </c>
      <c r="BJ967" s="268" t="str">
        <f t="shared" si="1533"/>
        <v/>
      </c>
      <c r="BK967" s="268" t="str">
        <f t="shared" si="1534"/>
        <v/>
      </c>
      <c r="BL967" s="268" t="str">
        <f t="shared" si="1535"/>
        <v/>
      </c>
      <c r="BM967" s="268" t="str">
        <f t="shared" si="1536"/>
        <v/>
      </c>
      <c r="BN967" s="268" t="str">
        <f t="shared" si="1537"/>
        <v/>
      </c>
      <c r="BO967" s="268" t="str">
        <f t="shared" si="1538"/>
        <v/>
      </c>
      <c r="BP967" s="268" t="str">
        <f t="shared" si="1539"/>
        <v/>
      </c>
      <c r="BQ967" s="268" t="str">
        <f t="shared" si="1459"/>
        <v/>
      </c>
      <c r="BR967" s="268" t="str">
        <f t="shared" si="1460"/>
        <v/>
      </c>
      <c r="BS967" s="268" t="str">
        <f t="shared" si="1461"/>
        <v/>
      </c>
      <c r="BT967" s="268" t="str">
        <f t="shared" si="1540"/>
        <v/>
      </c>
      <c r="BU967" s="268" t="str">
        <f t="shared" si="1541"/>
        <v/>
      </c>
      <c r="BV967" s="247">
        <v>11.31</v>
      </c>
      <c r="BW967" s="729">
        <f t="shared" si="1542"/>
        <v>19000.8</v>
      </c>
      <c r="BX967" s="730">
        <f t="shared" si="1543"/>
        <v>147256.2</v>
      </c>
      <c r="BY967" s="731" t="str">
        <f t="shared" si="1544"/>
        <v>SR</v>
      </c>
    </row>
    <row r="968" s="698" customFormat="1" customHeight="1" spans="1:77">
      <c r="A968" s="227">
        <v>46162</v>
      </c>
      <c r="B968" s="248">
        <v>46221</v>
      </c>
      <c r="C968" s="268">
        <v>1750514650</v>
      </c>
      <c r="D968" s="268" t="s">
        <v>875</v>
      </c>
      <c r="E968" s="209" t="s">
        <v>126</v>
      </c>
      <c r="F968" s="343">
        <v>1680</v>
      </c>
      <c r="G968" s="211" t="s">
        <v>584</v>
      </c>
      <c r="H968" s="211" t="str">
        <f>IFERROR(VLOOKUP(E968,名称!A:E,4,0),"")</f>
        <v>三代</v>
      </c>
      <c r="I968" s="268" t="str">
        <f t="shared" si="1480"/>
        <v/>
      </c>
      <c r="J968" s="268" t="str">
        <f t="shared" si="1481"/>
        <v/>
      </c>
      <c r="K968" s="268" t="str">
        <f t="shared" si="1482"/>
        <v/>
      </c>
      <c r="L968" s="268" t="str">
        <f t="shared" si="1483"/>
        <v/>
      </c>
      <c r="M968" s="268" t="str">
        <f t="shared" si="1484"/>
        <v/>
      </c>
      <c r="N968" s="268" t="str">
        <f t="shared" si="1485"/>
        <v/>
      </c>
      <c r="O968" s="268" t="str">
        <f t="shared" si="1486"/>
        <v/>
      </c>
      <c r="P968" s="268" t="str">
        <f t="shared" si="1487"/>
        <v/>
      </c>
      <c r="Q968" s="268" t="str">
        <f t="shared" si="1488"/>
        <v/>
      </c>
      <c r="R968" s="268" t="str">
        <f t="shared" si="1489"/>
        <v/>
      </c>
      <c r="S968" s="268" t="str">
        <f t="shared" si="1490"/>
        <v/>
      </c>
      <c r="T968" s="268" t="str">
        <f t="shared" si="1491"/>
        <v/>
      </c>
      <c r="U968" s="268" t="str">
        <f t="shared" si="1492"/>
        <v/>
      </c>
      <c r="V968" s="268" t="str">
        <f t="shared" si="1493"/>
        <v/>
      </c>
      <c r="W968" s="268" t="str">
        <f t="shared" si="1494"/>
        <v/>
      </c>
      <c r="X968" s="268" t="str">
        <f t="shared" si="1495"/>
        <v/>
      </c>
      <c r="Y968" s="268" t="str">
        <f t="shared" si="1496"/>
        <v/>
      </c>
      <c r="Z968" s="268" t="str">
        <f t="shared" si="1497"/>
        <v/>
      </c>
      <c r="AA968" s="268" t="str">
        <f t="shared" si="1498"/>
        <v/>
      </c>
      <c r="AB968" s="268" t="str">
        <f t="shared" si="1499"/>
        <v/>
      </c>
      <c r="AC968" s="268" t="str">
        <f t="shared" si="1500"/>
        <v/>
      </c>
      <c r="AD968" s="268" t="str">
        <f t="shared" si="1501"/>
        <v/>
      </c>
      <c r="AE968" s="268" t="str">
        <f t="shared" si="1502"/>
        <v/>
      </c>
      <c r="AF968" s="268" t="str">
        <f t="shared" si="1503"/>
        <v/>
      </c>
      <c r="AG968" s="268" t="str">
        <f t="shared" si="1504"/>
        <v/>
      </c>
      <c r="AH968" s="268" t="str">
        <f t="shared" si="1505"/>
        <v/>
      </c>
      <c r="AI968" s="268">
        <f t="shared" si="1506"/>
        <v>1680</v>
      </c>
      <c r="AJ968" s="268" t="str">
        <f t="shared" si="1507"/>
        <v/>
      </c>
      <c r="AK968" s="268" t="str">
        <f t="shared" si="1508"/>
        <v/>
      </c>
      <c r="AL968" s="268" t="str">
        <f t="shared" si="1509"/>
        <v/>
      </c>
      <c r="AM968" s="268" t="str">
        <f t="shared" si="1510"/>
        <v/>
      </c>
      <c r="AN968" s="268" t="str">
        <f t="shared" si="1511"/>
        <v/>
      </c>
      <c r="AO968" s="268" t="str">
        <f t="shared" si="1512"/>
        <v/>
      </c>
      <c r="AP968" s="268" t="str">
        <f t="shared" si="1513"/>
        <v/>
      </c>
      <c r="AQ968" s="268" t="str">
        <f t="shared" si="1514"/>
        <v/>
      </c>
      <c r="AR968" s="268" t="str">
        <f t="shared" si="1515"/>
        <v/>
      </c>
      <c r="AS968" s="268" t="str">
        <f t="shared" si="1516"/>
        <v/>
      </c>
      <c r="AT968" s="268" t="str">
        <f t="shared" si="1517"/>
        <v/>
      </c>
      <c r="AU968" s="268" t="str">
        <f t="shared" si="1518"/>
        <v/>
      </c>
      <c r="AV968" s="268" t="str">
        <f t="shared" si="1519"/>
        <v/>
      </c>
      <c r="AW968" s="268" t="str">
        <f t="shared" si="1520"/>
        <v/>
      </c>
      <c r="AX968" s="268" t="str">
        <f t="shared" si="1521"/>
        <v/>
      </c>
      <c r="AY968" s="268" t="str">
        <f t="shared" si="1522"/>
        <v/>
      </c>
      <c r="AZ968" s="268" t="str">
        <f t="shared" si="1523"/>
        <v/>
      </c>
      <c r="BA968" s="268" t="str">
        <f t="shared" si="1524"/>
        <v/>
      </c>
      <c r="BB968" s="268" t="str">
        <f t="shared" si="1525"/>
        <v/>
      </c>
      <c r="BC968" s="268" t="str">
        <f t="shared" si="1526"/>
        <v/>
      </c>
      <c r="BD968" s="268" t="str">
        <f t="shared" si="1527"/>
        <v/>
      </c>
      <c r="BE968" s="268" t="str">
        <f t="shared" si="1528"/>
        <v/>
      </c>
      <c r="BF968" s="268" t="str">
        <f t="shared" si="1529"/>
        <v/>
      </c>
      <c r="BG968" s="268" t="str">
        <f t="shared" si="1530"/>
        <v/>
      </c>
      <c r="BH968" s="268" t="str">
        <f t="shared" si="1531"/>
        <v/>
      </c>
      <c r="BI968" s="268" t="str">
        <f t="shared" si="1532"/>
        <v/>
      </c>
      <c r="BJ968" s="268" t="str">
        <f t="shared" si="1533"/>
        <v/>
      </c>
      <c r="BK968" s="268" t="str">
        <f t="shared" si="1534"/>
        <v/>
      </c>
      <c r="BL968" s="268" t="str">
        <f t="shared" si="1535"/>
        <v/>
      </c>
      <c r="BM968" s="268" t="str">
        <f t="shared" si="1536"/>
        <v/>
      </c>
      <c r="BN968" s="268" t="str">
        <f t="shared" si="1537"/>
        <v/>
      </c>
      <c r="BO968" s="268" t="str">
        <f t="shared" si="1538"/>
        <v/>
      </c>
      <c r="BP968" s="268" t="str">
        <f t="shared" si="1539"/>
        <v/>
      </c>
      <c r="BQ968" s="268" t="str">
        <f t="shared" si="1459"/>
        <v/>
      </c>
      <c r="BR968" s="268" t="str">
        <f t="shared" si="1460"/>
        <v/>
      </c>
      <c r="BS968" s="268" t="str">
        <f t="shared" si="1461"/>
        <v/>
      </c>
      <c r="BT968" s="268" t="str">
        <f t="shared" si="1540"/>
        <v/>
      </c>
      <c r="BU968" s="268" t="str">
        <f t="shared" si="1541"/>
        <v/>
      </c>
      <c r="BV968" s="247">
        <v>11.31</v>
      </c>
      <c r="BW968" s="729">
        <f t="shared" si="1542"/>
        <v>19000.8</v>
      </c>
      <c r="BX968" s="730">
        <f t="shared" si="1543"/>
        <v>147256.2</v>
      </c>
      <c r="BY968" s="731" t="str">
        <f t="shared" si="1544"/>
        <v>SR</v>
      </c>
    </row>
    <row r="969" s="698" customFormat="1" customHeight="1" spans="1:77">
      <c r="A969" s="227">
        <v>46162</v>
      </c>
      <c r="B969" s="248">
        <v>46224</v>
      </c>
      <c r="C969" s="268">
        <v>2620514469</v>
      </c>
      <c r="D969" s="268" t="s">
        <v>876</v>
      </c>
      <c r="E969" s="209" t="s">
        <v>126</v>
      </c>
      <c r="F969" s="343">
        <v>1680</v>
      </c>
      <c r="G969" s="211" t="s">
        <v>584</v>
      </c>
      <c r="H969" s="211" t="str">
        <f>IFERROR(VLOOKUP(E969,名称!A:E,4,0),"")</f>
        <v>三代</v>
      </c>
      <c r="I969" s="268" t="str">
        <f t="shared" si="1480"/>
        <v/>
      </c>
      <c r="J969" s="268" t="str">
        <f t="shared" si="1481"/>
        <v/>
      </c>
      <c r="K969" s="268" t="str">
        <f t="shared" si="1482"/>
        <v/>
      </c>
      <c r="L969" s="268" t="str">
        <f t="shared" si="1483"/>
        <v/>
      </c>
      <c r="M969" s="268" t="str">
        <f t="shared" si="1484"/>
        <v/>
      </c>
      <c r="N969" s="268" t="str">
        <f t="shared" si="1485"/>
        <v/>
      </c>
      <c r="O969" s="268" t="str">
        <f t="shared" si="1486"/>
        <v/>
      </c>
      <c r="P969" s="268" t="str">
        <f t="shared" si="1487"/>
        <v/>
      </c>
      <c r="Q969" s="268" t="str">
        <f t="shared" si="1488"/>
        <v/>
      </c>
      <c r="R969" s="268" t="str">
        <f t="shared" si="1489"/>
        <v/>
      </c>
      <c r="S969" s="268" t="str">
        <f t="shared" si="1490"/>
        <v/>
      </c>
      <c r="T969" s="268" t="str">
        <f t="shared" si="1491"/>
        <v/>
      </c>
      <c r="U969" s="268" t="str">
        <f t="shared" si="1492"/>
        <v/>
      </c>
      <c r="V969" s="268" t="str">
        <f t="shared" si="1493"/>
        <v/>
      </c>
      <c r="W969" s="268" t="str">
        <f t="shared" si="1494"/>
        <v/>
      </c>
      <c r="X969" s="268" t="str">
        <f t="shared" si="1495"/>
        <v/>
      </c>
      <c r="Y969" s="268" t="str">
        <f t="shared" si="1496"/>
        <v/>
      </c>
      <c r="Z969" s="268" t="str">
        <f t="shared" si="1497"/>
        <v/>
      </c>
      <c r="AA969" s="268" t="str">
        <f t="shared" si="1498"/>
        <v/>
      </c>
      <c r="AB969" s="268" t="str">
        <f t="shared" si="1499"/>
        <v/>
      </c>
      <c r="AC969" s="268" t="str">
        <f t="shared" si="1500"/>
        <v/>
      </c>
      <c r="AD969" s="268" t="str">
        <f t="shared" si="1501"/>
        <v/>
      </c>
      <c r="AE969" s="268" t="str">
        <f t="shared" si="1502"/>
        <v/>
      </c>
      <c r="AF969" s="268" t="str">
        <f t="shared" si="1503"/>
        <v/>
      </c>
      <c r="AG969" s="268" t="str">
        <f t="shared" si="1504"/>
        <v/>
      </c>
      <c r="AH969" s="268" t="str">
        <f t="shared" si="1505"/>
        <v/>
      </c>
      <c r="AI969" s="268">
        <f t="shared" si="1506"/>
        <v>1680</v>
      </c>
      <c r="AJ969" s="268" t="str">
        <f t="shared" si="1507"/>
        <v/>
      </c>
      <c r="AK969" s="268" t="str">
        <f t="shared" si="1508"/>
        <v/>
      </c>
      <c r="AL969" s="268" t="str">
        <f t="shared" si="1509"/>
        <v/>
      </c>
      <c r="AM969" s="268" t="str">
        <f t="shared" si="1510"/>
        <v/>
      </c>
      <c r="AN969" s="268" t="str">
        <f t="shared" si="1511"/>
        <v/>
      </c>
      <c r="AO969" s="268" t="str">
        <f t="shared" si="1512"/>
        <v/>
      </c>
      <c r="AP969" s="268" t="str">
        <f t="shared" si="1513"/>
        <v/>
      </c>
      <c r="AQ969" s="268" t="str">
        <f t="shared" si="1514"/>
        <v/>
      </c>
      <c r="AR969" s="268" t="str">
        <f t="shared" si="1515"/>
        <v/>
      </c>
      <c r="AS969" s="268" t="str">
        <f t="shared" si="1516"/>
        <v/>
      </c>
      <c r="AT969" s="268" t="str">
        <f t="shared" si="1517"/>
        <v/>
      </c>
      <c r="AU969" s="268" t="str">
        <f t="shared" si="1518"/>
        <v/>
      </c>
      <c r="AV969" s="268" t="str">
        <f t="shared" si="1519"/>
        <v/>
      </c>
      <c r="AW969" s="268" t="str">
        <f t="shared" si="1520"/>
        <v/>
      </c>
      <c r="AX969" s="268" t="str">
        <f t="shared" si="1521"/>
        <v/>
      </c>
      <c r="AY969" s="268" t="str">
        <f t="shared" si="1522"/>
        <v/>
      </c>
      <c r="AZ969" s="268" t="str">
        <f t="shared" si="1523"/>
        <v/>
      </c>
      <c r="BA969" s="268" t="str">
        <f t="shared" si="1524"/>
        <v/>
      </c>
      <c r="BB969" s="268" t="str">
        <f t="shared" si="1525"/>
        <v/>
      </c>
      <c r="BC969" s="268" t="str">
        <f t="shared" si="1526"/>
        <v/>
      </c>
      <c r="BD969" s="268" t="str">
        <f t="shared" si="1527"/>
        <v/>
      </c>
      <c r="BE969" s="268" t="str">
        <f t="shared" si="1528"/>
        <v/>
      </c>
      <c r="BF969" s="268" t="str">
        <f t="shared" si="1529"/>
        <v/>
      </c>
      <c r="BG969" s="268" t="str">
        <f t="shared" si="1530"/>
        <v/>
      </c>
      <c r="BH969" s="268" t="str">
        <f t="shared" si="1531"/>
        <v/>
      </c>
      <c r="BI969" s="268" t="str">
        <f t="shared" si="1532"/>
        <v/>
      </c>
      <c r="BJ969" s="268" t="str">
        <f t="shared" si="1533"/>
        <v/>
      </c>
      <c r="BK969" s="268" t="str">
        <f t="shared" si="1534"/>
        <v/>
      </c>
      <c r="BL969" s="268" t="str">
        <f t="shared" si="1535"/>
        <v/>
      </c>
      <c r="BM969" s="268" t="str">
        <f t="shared" si="1536"/>
        <v/>
      </c>
      <c r="BN969" s="268" t="str">
        <f t="shared" si="1537"/>
        <v/>
      </c>
      <c r="BO969" s="268" t="str">
        <f t="shared" si="1538"/>
        <v/>
      </c>
      <c r="BP969" s="268" t="str">
        <f t="shared" si="1539"/>
        <v/>
      </c>
      <c r="BQ969" s="268" t="str">
        <f t="shared" si="1459"/>
        <v/>
      </c>
      <c r="BR969" s="268" t="str">
        <f t="shared" si="1460"/>
        <v/>
      </c>
      <c r="BS969" s="268" t="str">
        <f t="shared" si="1461"/>
        <v/>
      </c>
      <c r="BT969" s="268" t="str">
        <f t="shared" si="1540"/>
        <v/>
      </c>
      <c r="BU969" s="268" t="str">
        <f t="shared" si="1541"/>
        <v/>
      </c>
      <c r="BV969" s="247">
        <v>11.31</v>
      </c>
      <c r="BW969" s="729">
        <f t="shared" si="1542"/>
        <v>19000.8</v>
      </c>
      <c r="BX969" s="730">
        <f t="shared" si="1543"/>
        <v>147256.2</v>
      </c>
      <c r="BY969" s="731" t="str">
        <f t="shared" si="1544"/>
        <v>SR</v>
      </c>
    </row>
    <row r="970" s="698" customFormat="1" customHeight="1" spans="1:77">
      <c r="A970" s="227">
        <v>46163</v>
      </c>
      <c r="B970" s="248">
        <v>46213</v>
      </c>
      <c r="C970" s="242" t="s">
        <v>877</v>
      </c>
      <c r="D970" s="242" t="s">
        <v>878</v>
      </c>
      <c r="E970" s="242" t="s">
        <v>59</v>
      </c>
      <c r="F970" s="231">
        <v>15000</v>
      </c>
      <c r="G970" s="242" t="s">
        <v>270</v>
      </c>
      <c r="H970" s="211" t="str">
        <f>IFERROR(VLOOKUP(E970,名称!A:E,4,0),"")</f>
        <v>三代</v>
      </c>
      <c r="I970" s="268" t="str">
        <f t="shared" si="1480"/>
        <v/>
      </c>
      <c r="J970" s="268" t="str">
        <f t="shared" si="1481"/>
        <v/>
      </c>
      <c r="K970" s="268" t="str">
        <f t="shared" si="1482"/>
        <v/>
      </c>
      <c r="L970" s="268" t="str">
        <f t="shared" si="1483"/>
        <v/>
      </c>
      <c r="M970" s="268" t="str">
        <f t="shared" si="1484"/>
        <v/>
      </c>
      <c r="N970" s="268" t="str">
        <f t="shared" si="1485"/>
        <v/>
      </c>
      <c r="O970" s="268" t="str">
        <f t="shared" si="1486"/>
        <v/>
      </c>
      <c r="P970" s="268" t="str">
        <f t="shared" si="1487"/>
        <v/>
      </c>
      <c r="Q970" s="268" t="str">
        <f t="shared" si="1488"/>
        <v/>
      </c>
      <c r="R970" s="268" t="str">
        <f t="shared" si="1489"/>
        <v/>
      </c>
      <c r="S970" s="268" t="str">
        <f t="shared" si="1490"/>
        <v/>
      </c>
      <c r="T970" s="268" t="str">
        <f t="shared" si="1491"/>
        <v/>
      </c>
      <c r="U970" s="268" t="str">
        <f t="shared" si="1492"/>
        <v/>
      </c>
      <c r="V970" s="268" t="str">
        <f t="shared" si="1493"/>
        <v/>
      </c>
      <c r="W970" s="268" t="str">
        <f t="shared" si="1494"/>
        <v/>
      </c>
      <c r="X970" s="268" t="str">
        <f t="shared" si="1495"/>
        <v/>
      </c>
      <c r="Y970" s="268" t="str">
        <f t="shared" si="1496"/>
        <v/>
      </c>
      <c r="Z970" s="268" t="str">
        <f t="shared" si="1497"/>
        <v/>
      </c>
      <c r="AA970" s="268" t="str">
        <f t="shared" si="1498"/>
        <v/>
      </c>
      <c r="AB970" s="268" t="str">
        <f t="shared" si="1499"/>
        <v/>
      </c>
      <c r="AC970" s="268" t="str">
        <f t="shared" si="1500"/>
        <v/>
      </c>
      <c r="AD970" s="268">
        <f t="shared" si="1501"/>
        <v>15000</v>
      </c>
      <c r="AE970" s="268" t="str">
        <f t="shared" si="1502"/>
        <v/>
      </c>
      <c r="AF970" s="268" t="str">
        <f t="shared" si="1503"/>
        <v/>
      </c>
      <c r="AG970" s="268" t="str">
        <f t="shared" si="1504"/>
        <v/>
      </c>
      <c r="AH970" s="268" t="str">
        <f t="shared" si="1505"/>
        <v/>
      </c>
      <c r="AI970" s="268" t="str">
        <f t="shared" si="1506"/>
        <v/>
      </c>
      <c r="AJ970" s="268" t="str">
        <f t="shared" si="1507"/>
        <v/>
      </c>
      <c r="AK970" s="268" t="str">
        <f t="shared" si="1508"/>
        <v/>
      </c>
      <c r="AL970" s="268" t="str">
        <f t="shared" si="1509"/>
        <v/>
      </c>
      <c r="AM970" s="268" t="str">
        <f t="shared" si="1510"/>
        <v/>
      </c>
      <c r="AN970" s="268" t="str">
        <f t="shared" si="1511"/>
        <v/>
      </c>
      <c r="AO970" s="268" t="str">
        <f t="shared" si="1512"/>
        <v/>
      </c>
      <c r="AP970" s="268" t="str">
        <f t="shared" si="1513"/>
        <v/>
      </c>
      <c r="AQ970" s="268" t="str">
        <f t="shared" si="1514"/>
        <v/>
      </c>
      <c r="AR970" s="268" t="str">
        <f t="shared" si="1515"/>
        <v/>
      </c>
      <c r="AS970" s="268" t="str">
        <f t="shared" si="1516"/>
        <v/>
      </c>
      <c r="AT970" s="268" t="str">
        <f t="shared" si="1517"/>
        <v/>
      </c>
      <c r="AU970" s="268" t="str">
        <f t="shared" si="1518"/>
        <v/>
      </c>
      <c r="AV970" s="268" t="str">
        <f t="shared" si="1519"/>
        <v/>
      </c>
      <c r="AW970" s="268" t="str">
        <f t="shared" si="1520"/>
        <v/>
      </c>
      <c r="AX970" s="268" t="str">
        <f t="shared" si="1521"/>
        <v/>
      </c>
      <c r="AY970" s="268" t="str">
        <f t="shared" si="1522"/>
        <v/>
      </c>
      <c r="AZ970" s="268" t="str">
        <f t="shared" si="1523"/>
        <v/>
      </c>
      <c r="BA970" s="268" t="str">
        <f t="shared" si="1524"/>
        <v/>
      </c>
      <c r="BB970" s="268" t="str">
        <f t="shared" si="1525"/>
        <v/>
      </c>
      <c r="BC970" s="268" t="str">
        <f t="shared" si="1526"/>
        <v/>
      </c>
      <c r="BD970" s="268" t="str">
        <f t="shared" si="1527"/>
        <v/>
      </c>
      <c r="BE970" s="268" t="str">
        <f t="shared" si="1528"/>
        <v/>
      </c>
      <c r="BF970" s="268" t="str">
        <f t="shared" si="1529"/>
        <v/>
      </c>
      <c r="BG970" s="268" t="str">
        <f t="shared" si="1530"/>
        <v/>
      </c>
      <c r="BH970" s="268" t="str">
        <f t="shared" si="1531"/>
        <v/>
      </c>
      <c r="BI970" s="268" t="str">
        <f t="shared" si="1532"/>
        <v/>
      </c>
      <c r="BJ970" s="268" t="str">
        <f t="shared" si="1533"/>
        <v/>
      </c>
      <c r="BK970" s="268" t="str">
        <f t="shared" si="1534"/>
        <v/>
      </c>
      <c r="BL970" s="268" t="str">
        <f t="shared" si="1535"/>
        <v/>
      </c>
      <c r="BM970" s="268" t="str">
        <f t="shared" si="1536"/>
        <v/>
      </c>
      <c r="BN970" s="268" t="str">
        <f t="shared" si="1537"/>
        <v/>
      </c>
      <c r="BO970" s="268" t="str">
        <f t="shared" si="1538"/>
        <v/>
      </c>
      <c r="BP970" s="268" t="str">
        <f t="shared" si="1539"/>
        <v/>
      </c>
      <c r="BQ970" s="268" t="str">
        <f t="shared" si="1459"/>
        <v/>
      </c>
      <c r="BR970" s="268" t="str">
        <f t="shared" si="1460"/>
        <v/>
      </c>
      <c r="BS970" s="268" t="str">
        <f t="shared" si="1461"/>
        <v/>
      </c>
      <c r="BT970" s="268" t="str">
        <f t="shared" si="1540"/>
        <v/>
      </c>
      <c r="BU970" s="268" t="str">
        <f t="shared" si="1541"/>
        <v/>
      </c>
      <c r="BV970" s="247">
        <v>0.64</v>
      </c>
      <c r="BW970" s="729">
        <f t="shared" si="1542"/>
        <v>9600</v>
      </c>
      <c r="BX970" s="730">
        <f t="shared" si="1543"/>
        <v>74400</v>
      </c>
      <c r="BY970" s="731" t="str">
        <f t="shared" si="1544"/>
        <v>SR</v>
      </c>
    </row>
    <row r="971" s="697" customFormat="1" customHeight="1" spans="1:77">
      <c r="A971" s="174">
        <v>46163</v>
      </c>
      <c r="B971" s="179">
        <v>46275</v>
      </c>
      <c r="C971" s="176" t="s">
        <v>879</v>
      </c>
      <c r="D971" s="176" t="s">
        <v>880</v>
      </c>
      <c r="E971" s="176" t="s">
        <v>118</v>
      </c>
      <c r="F971" s="741">
        <v>5648</v>
      </c>
      <c r="G971" s="175" t="s">
        <v>334</v>
      </c>
      <c r="H971" s="118" t="str">
        <f>IFERROR(VLOOKUP(E971,名称!A:E,4,0),"")</f>
        <v>三代</v>
      </c>
      <c r="I971" s="418" t="str">
        <f t="shared" si="1480"/>
        <v/>
      </c>
      <c r="J971" s="418" t="str">
        <f t="shared" si="1481"/>
        <v/>
      </c>
      <c r="K971" s="418" t="str">
        <f t="shared" si="1482"/>
        <v/>
      </c>
      <c r="L971" s="418" t="str">
        <f t="shared" si="1483"/>
        <v/>
      </c>
      <c r="M971" s="418" t="str">
        <f t="shared" si="1484"/>
        <v/>
      </c>
      <c r="N971" s="418" t="str">
        <f t="shared" si="1485"/>
        <v/>
      </c>
      <c r="O971" s="418" t="str">
        <f t="shared" si="1486"/>
        <v/>
      </c>
      <c r="P971" s="418" t="str">
        <f t="shared" si="1487"/>
        <v/>
      </c>
      <c r="Q971" s="418" t="str">
        <f t="shared" si="1488"/>
        <v/>
      </c>
      <c r="R971" s="418" t="str">
        <f t="shared" si="1489"/>
        <v/>
      </c>
      <c r="S971" s="418" t="str">
        <f t="shared" si="1490"/>
        <v/>
      </c>
      <c r="T971" s="418" t="str">
        <f t="shared" si="1491"/>
        <v/>
      </c>
      <c r="U971" s="418" t="str">
        <f t="shared" si="1492"/>
        <v/>
      </c>
      <c r="V971" s="418" t="str">
        <f t="shared" si="1493"/>
        <v/>
      </c>
      <c r="W971" s="418" t="str">
        <f t="shared" si="1494"/>
        <v/>
      </c>
      <c r="X971" s="418" t="str">
        <f t="shared" si="1495"/>
        <v/>
      </c>
      <c r="Y971" s="418" t="str">
        <f t="shared" si="1496"/>
        <v/>
      </c>
      <c r="Z971" s="418" t="str">
        <f t="shared" si="1497"/>
        <v/>
      </c>
      <c r="AA971" s="418" t="str">
        <f t="shared" si="1498"/>
        <v/>
      </c>
      <c r="AB971" s="418" t="str">
        <f t="shared" si="1499"/>
        <v/>
      </c>
      <c r="AC971" s="418" t="str">
        <f t="shared" si="1500"/>
        <v/>
      </c>
      <c r="AD971" s="418" t="str">
        <f t="shared" si="1501"/>
        <v/>
      </c>
      <c r="AE971" s="418" t="str">
        <f t="shared" si="1502"/>
        <v/>
      </c>
      <c r="AF971" s="418" t="str">
        <f t="shared" si="1503"/>
        <v/>
      </c>
      <c r="AG971" s="418" t="str">
        <f t="shared" si="1504"/>
        <v/>
      </c>
      <c r="AH971" s="418" t="str">
        <f t="shared" si="1505"/>
        <v/>
      </c>
      <c r="AI971" s="418" t="str">
        <f t="shared" si="1506"/>
        <v/>
      </c>
      <c r="AJ971" s="418" t="str">
        <f t="shared" si="1507"/>
        <v/>
      </c>
      <c r="AK971" s="418" t="str">
        <f t="shared" si="1508"/>
        <v/>
      </c>
      <c r="AL971" s="418" t="str">
        <f t="shared" si="1509"/>
        <v/>
      </c>
      <c r="AM971" s="418" t="str">
        <f t="shared" si="1510"/>
        <v/>
      </c>
      <c r="AN971" s="418" t="str">
        <f t="shared" si="1511"/>
        <v/>
      </c>
      <c r="AO971" s="418" t="str">
        <f t="shared" si="1512"/>
        <v/>
      </c>
      <c r="AP971" s="418" t="str">
        <f t="shared" si="1513"/>
        <v/>
      </c>
      <c r="AQ971" s="418" t="str">
        <f t="shared" si="1514"/>
        <v/>
      </c>
      <c r="AR971" s="418" t="str">
        <f t="shared" si="1515"/>
        <v/>
      </c>
      <c r="AS971" s="418" t="str">
        <f t="shared" si="1516"/>
        <v/>
      </c>
      <c r="AT971" s="418" t="str">
        <f t="shared" si="1517"/>
        <v/>
      </c>
      <c r="AU971" s="418" t="str">
        <f t="shared" si="1518"/>
        <v/>
      </c>
      <c r="AV971" s="418">
        <f t="shared" si="1519"/>
        <v>5648</v>
      </c>
      <c r="AW971" s="418" t="str">
        <f t="shared" si="1520"/>
        <v/>
      </c>
      <c r="AX971" s="418" t="str">
        <f t="shared" si="1521"/>
        <v/>
      </c>
      <c r="AY971" s="418" t="str">
        <f t="shared" si="1522"/>
        <v/>
      </c>
      <c r="AZ971" s="418" t="str">
        <f t="shared" si="1523"/>
        <v/>
      </c>
      <c r="BA971" s="418" t="str">
        <f t="shared" si="1524"/>
        <v/>
      </c>
      <c r="BB971" s="418" t="str">
        <f t="shared" si="1525"/>
        <v/>
      </c>
      <c r="BC971" s="418" t="str">
        <f t="shared" si="1526"/>
        <v/>
      </c>
      <c r="BD971" s="418" t="str">
        <f t="shared" si="1527"/>
        <v/>
      </c>
      <c r="BE971" s="418" t="str">
        <f t="shared" si="1528"/>
        <v/>
      </c>
      <c r="BF971" s="418" t="str">
        <f t="shared" si="1529"/>
        <v/>
      </c>
      <c r="BG971" s="418" t="str">
        <f t="shared" si="1530"/>
        <v/>
      </c>
      <c r="BH971" s="418" t="str">
        <f t="shared" si="1531"/>
        <v/>
      </c>
      <c r="BI971" s="418" t="str">
        <f t="shared" si="1532"/>
        <v/>
      </c>
      <c r="BJ971" s="418" t="str">
        <f t="shared" si="1533"/>
        <v/>
      </c>
      <c r="BK971" s="418" t="str">
        <f t="shared" si="1534"/>
        <v/>
      </c>
      <c r="BL971" s="418" t="str">
        <f t="shared" si="1535"/>
        <v/>
      </c>
      <c r="BM971" s="418" t="str">
        <f t="shared" si="1536"/>
        <v/>
      </c>
      <c r="BN971" s="418" t="str">
        <f t="shared" si="1537"/>
        <v/>
      </c>
      <c r="BO971" s="418" t="str">
        <f t="shared" si="1538"/>
        <v/>
      </c>
      <c r="BP971" s="418" t="str">
        <f t="shared" si="1539"/>
        <v/>
      </c>
      <c r="BQ971" s="418" t="str">
        <f t="shared" si="1459"/>
        <v/>
      </c>
      <c r="BR971" s="418" t="str">
        <f t="shared" si="1460"/>
        <v/>
      </c>
      <c r="BS971" s="418" t="str">
        <f t="shared" si="1461"/>
        <v/>
      </c>
      <c r="BT971" s="418" t="str">
        <f t="shared" si="1540"/>
        <v/>
      </c>
      <c r="BU971" s="418" t="str">
        <f t="shared" si="1541"/>
        <v/>
      </c>
      <c r="BV971" s="544"/>
      <c r="BW971" s="723">
        <f t="shared" si="1542"/>
        <v>0</v>
      </c>
      <c r="BX971" s="724">
        <f t="shared" si="1543"/>
        <v>0</v>
      </c>
      <c r="BY971" s="725" t="str">
        <f t="shared" si="1544"/>
        <v>SR</v>
      </c>
    </row>
    <row r="972" s="697" customFormat="1" customHeight="1" spans="1:77">
      <c r="A972" s="174">
        <v>46163</v>
      </c>
      <c r="B972" s="178">
        <v>46183</v>
      </c>
      <c r="C972" s="118" t="s">
        <v>839</v>
      </c>
      <c r="D972" s="176"/>
      <c r="E972" s="176" t="s">
        <v>89</v>
      </c>
      <c r="F972" s="741">
        <v>50</v>
      </c>
      <c r="G972" s="418"/>
      <c r="H972" s="118" t="str">
        <f>IFERROR(VLOOKUP(E972,名称!A:E,4,0),"")</f>
        <v>三代</v>
      </c>
      <c r="I972" s="418" t="str">
        <f t="shared" si="1480"/>
        <v/>
      </c>
      <c r="J972" s="418" t="str">
        <f t="shared" si="1481"/>
        <v/>
      </c>
      <c r="K972" s="418" t="str">
        <f t="shared" si="1482"/>
        <v/>
      </c>
      <c r="L972" s="418" t="str">
        <f t="shared" si="1483"/>
        <v/>
      </c>
      <c r="M972" s="418" t="str">
        <f t="shared" si="1484"/>
        <v/>
      </c>
      <c r="N972" s="418" t="str">
        <f t="shared" si="1485"/>
        <v/>
      </c>
      <c r="O972" s="418" t="str">
        <f t="shared" si="1486"/>
        <v/>
      </c>
      <c r="P972" s="418" t="str">
        <f t="shared" si="1487"/>
        <v/>
      </c>
      <c r="Q972" s="418" t="str">
        <f t="shared" si="1488"/>
        <v/>
      </c>
      <c r="R972" s="418" t="str">
        <f t="shared" si="1489"/>
        <v/>
      </c>
      <c r="S972" s="418" t="str">
        <f t="shared" si="1490"/>
        <v/>
      </c>
      <c r="T972" s="418" t="str">
        <f t="shared" si="1491"/>
        <v/>
      </c>
      <c r="U972" s="418" t="str">
        <f t="shared" si="1492"/>
        <v/>
      </c>
      <c r="V972" s="418" t="str">
        <f t="shared" si="1493"/>
        <v/>
      </c>
      <c r="W972" s="418" t="str">
        <f t="shared" si="1494"/>
        <v/>
      </c>
      <c r="X972" s="418" t="str">
        <f t="shared" si="1495"/>
        <v/>
      </c>
      <c r="Y972" s="418" t="str">
        <f t="shared" si="1496"/>
        <v/>
      </c>
      <c r="Z972" s="418" t="str">
        <f t="shared" si="1497"/>
        <v/>
      </c>
      <c r="AA972" s="418" t="str">
        <f t="shared" si="1498"/>
        <v/>
      </c>
      <c r="AB972" s="418" t="str">
        <f t="shared" si="1499"/>
        <v/>
      </c>
      <c r="AC972" s="418" t="str">
        <f t="shared" si="1500"/>
        <v/>
      </c>
      <c r="AD972" s="418" t="str">
        <f t="shared" si="1501"/>
        <v/>
      </c>
      <c r="AE972" s="418" t="str">
        <f t="shared" si="1502"/>
        <v/>
      </c>
      <c r="AF972" s="418" t="str">
        <f t="shared" si="1503"/>
        <v/>
      </c>
      <c r="AG972" s="418" t="str">
        <f t="shared" si="1504"/>
        <v/>
      </c>
      <c r="AH972" s="418" t="str">
        <f t="shared" si="1505"/>
        <v/>
      </c>
      <c r="AI972" s="418" t="str">
        <f t="shared" si="1506"/>
        <v/>
      </c>
      <c r="AJ972" s="418" t="str">
        <f t="shared" si="1507"/>
        <v/>
      </c>
      <c r="AK972" s="418" t="str">
        <f t="shared" si="1508"/>
        <v/>
      </c>
      <c r="AL972" s="418" t="str">
        <f t="shared" si="1509"/>
        <v/>
      </c>
      <c r="AM972" s="418" t="str">
        <f t="shared" si="1510"/>
        <v/>
      </c>
      <c r="AN972" s="418" t="str">
        <f t="shared" si="1511"/>
        <v/>
      </c>
      <c r="AO972" s="418" t="str">
        <f t="shared" si="1512"/>
        <v/>
      </c>
      <c r="AP972" s="418" t="str">
        <f t="shared" si="1513"/>
        <v/>
      </c>
      <c r="AQ972" s="418" t="str">
        <f t="shared" si="1514"/>
        <v/>
      </c>
      <c r="AR972" s="418" t="str">
        <f t="shared" si="1515"/>
        <v/>
      </c>
      <c r="AS972" s="418" t="str">
        <f t="shared" si="1516"/>
        <v/>
      </c>
      <c r="AT972" s="418" t="str">
        <f t="shared" si="1517"/>
        <v/>
      </c>
      <c r="AU972" s="418">
        <f t="shared" si="1518"/>
        <v>50</v>
      </c>
      <c r="AV972" s="418" t="str">
        <f t="shared" si="1519"/>
        <v/>
      </c>
      <c r="AW972" s="418" t="str">
        <f t="shared" si="1520"/>
        <v/>
      </c>
      <c r="AX972" s="418" t="str">
        <f t="shared" si="1521"/>
        <v/>
      </c>
      <c r="AY972" s="418" t="str">
        <f t="shared" si="1522"/>
        <v/>
      </c>
      <c r="AZ972" s="418" t="str">
        <f t="shared" si="1523"/>
        <v/>
      </c>
      <c r="BA972" s="418" t="str">
        <f t="shared" si="1524"/>
        <v/>
      </c>
      <c r="BB972" s="418" t="str">
        <f t="shared" si="1525"/>
        <v/>
      </c>
      <c r="BC972" s="418" t="str">
        <f t="shared" si="1526"/>
        <v/>
      </c>
      <c r="BD972" s="418" t="str">
        <f t="shared" si="1527"/>
        <v/>
      </c>
      <c r="BE972" s="418" t="str">
        <f t="shared" si="1528"/>
        <v/>
      </c>
      <c r="BF972" s="418" t="str">
        <f t="shared" si="1529"/>
        <v/>
      </c>
      <c r="BG972" s="418" t="str">
        <f t="shared" si="1530"/>
        <v/>
      </c>
      <c r="BH972" s="418" t="str">
        <f t="shared" si="1531"/>
        <v/>
      </c>
      <c r="BI972" s="418" t="str">
        <f t="shared" si="1532"/>
        <v/>
      </c>
      <c r="BJ972" s="418" t="str">
        <f t="shared" si="1533"/>
        <v/>
      </c>
      <c r="BK972" s="418" t="str">
        <f t="shared" si="1534"/>
        <v/>
      </c>
      <c r="BL972" s="418" t="str">
        <f t="shared" si="1535"/>
        <v/>
      </c>
      <c r="BM972" s="418" t="str">
        <f t="shared" si="1536"/>
        <v/>
      </c>
      <c r="BN972" s="418" t="str">
        <f t="shared" si="1537"/>
        <v/>
      </c>
      <c r="BO972" s="418" t="str">
        <f t="shared" si="1538"/>
        <v/>
      </c>
      <c r="BP972" s="418" t="str">
        <f t="shared" si="1539"/>
        <v/>
      </c>
      <c r="BQ972" s="418" t="str">
        <f t="shared" si="1459"/>
        <v/>
      </c>
      <c r="BR972" s="418" t="str">
        <f t="shared" si="1460"/>
        <v/>
      </c>
      <c r="BS972" s="418" t="str">
        <f t="shared" si="1461"/>
        <v/>
      </c>
      <c r="BT972" s="418" t="str">
        <f t="shared" si="1540"/>
        <v/>
      </c>
      <c r="BU972" s="418" t="str">
        <f t="shared" si="1541"/>
        <v/>
      </c>
      <c r="BV972" s="544"/>
      <c r="BW972" s="723">
        <f t="shared" si="1542"/>
        <v>0</v>
      </c>
      <c r="BX972" s="724">
        <f t="shared" si="1543"/>
        <v>0</v>
      </c>
      <c r="BY972" s="725" t="str">
        <f t="shared" si="1544"/>
        <v>SR</v>
      </c>
    </row>
    <row r="973" s="697" customFormat="1" customHeight="1" spans="1:77">
      <c r="A973" s="174">
        <v>46164</v>
      </c>
      <c r="B973" s="178">
        <v>46183</v>
      </c>
      <c r="C973" s="176" t="s">
        <v>881</v>
      </c>
      <c r="D973" s="176" t="s">
        <v>882</v>
      </c>
      <c r="E973" s="176" t="s">
        <v>50</v>
      </c>
      <c r="F973" s="741">
        <v>324</v>
      </c>
      <c r="G973" s="118" t="s">
        <v>510</v>
      </c>
      <c r="H973" s="118" t="str">
        <f>IFERROR(VLOOKUP(E973,名称!A:E,4,0),"")</f>
        <v>蛋糕</v>
      </c>
      <c r="I973" s="418" t="str">
        <f t="shared" si="1480"/>
        <v/>
      </c>
      <c r="J973" s="418" t="str">
        <f t="shared" si="1481"/>
        <v/>
      </c>
      <c r="K973" s="418" t="str">
        <f t="shared" si="1482"/>
        <v/>
      </c>
      <c r="L973" s="418" t="str">
        <f t="shared" si="1483"/>
        <v/>
      </c>
      <c r="M973" s="418" t="str">
        <f t="shared" si="1484"/>
        <v/>
      </c>
      <c r="N973" s="418" t="str">
        <f t="shared" si="1485"/>
        <v/>
      </c>
      <c r="O973" s="418" t="str">
        <f t="shared" si="1486"/>
        <v/>
      </c>
      <c r="P973" s="418" t="str">
        <f t="shared" si="1487"/>
        <v/>
      </c>
      <c r="Q973" s="418" t="str">
        <f t="shared" si="1488"/>
        <v/>
      </c>
      <c r="R973" s="418" t="str">
        <f t="shared" si="1489"/>
        <v/>
      </c>
      <c r="S973" s="418" t="str">
        <f t="shared" si="1490"/>
        <v/>
      </c>
      <c r="T973" s="418" t="str">
        <f t="shared" si="1491"/>
        <v/>
      </c>
      <c r="U973" s="418" t="str">
        <f t="shared" si="1492"/>
        <v/>
      </c>
      <c r="V973" s="418" t="str">
        <f t="shared" si="1493"/>
        <v/>
      </c>
      <c r="W973" s="418" t="str">
        <f t="shared" si="1494"/>
        <v/>
      </c>
      <c r="X973" s="418" t="str">
        <f t="shared" si="1495"/>
        <v/>
      </c>
      <c r="Y973" s="418" t="str">
        <f t="shared" si="1496"/>
        <v/>
      </c>
      <c r="Z973" s="418" t="str">
        <f t="shared" si="1497"/>
        <v/>
      </c>
      <c r="AA973" s="418" t="str">
        <f t="shared" si="1498"/>
        <v/>
      </c>
      <c r="AB973" s="418" t="str">
        <f t="shared" si="1499"/>
        <v/>
      </c>
      <c r="AC973" s="418" t="str">
        <f t="shared" si="1500"/>
        <v/>
      </c>
      <c r="AD973" s="418" t="str">
        <f t="shared" si="1501"/>
        <v/>
      </c>
      <c r="AE973" s="418" t="str">
        <f t="shared" si="1502"/>
        <v/>
      </c>
      <c r="AF973" s="418" t="str">
        <f t="shared" si="1503"/>
        <v/>
      </c>
      <c r="AG973" s="418" t="str">
        <f t="shared" si="1504"/>
        <v/>
      </c>
      <c r="AH973" s="418" t="str">
        <f t="shared" si="1505"/>
        <v/>
      </c>
      <c r="AI973" s="418" t="str">
        <f t="shared" si="1506"/>
        <v/>
      </c>
      <c r="AJ973" s="418" t="str">
        <f t="shared" si="1507"/>
        <v/>
      </c>
      <c r="AK973" s="418" t="str">
        <f t="shared" si="1508"/>
        <v/>
      </c>
      <c r="AL973" s="418" t="str">
        <f t="shared" si="1509"/>
        <v/>
      </c>
      <c r="AM973" s="418" t="str">
        <f t="shared" si="1510"/>
        <v/>
      </c>
      <c r="AN973" s="418" t="str">
        <f t="shared" si="1511"/>
        <v/>
      </c>
      <c r="AO973" s="418" t="str">
        <f t="shared" si="1512"/>
        <v/>
      </c>
      <c r="AP973" s="418" t="str">
        <f t="shared" si="1513"/>
        <v/>
      </c>
      <c r="AQ973" s="418" t="str">
        <f t="shared" si="1514"/>
        <v/>
      </c>
      <c r="AR973" s="418" t="str">
        <f t="shared" si="1515"/>
        <v/>
      </c>
      <c r="AS973" s="418" t="str">
        <f t="shared" si="1516"/>
        <v/>
      </c>
      <c r="AT973" s="418" t="str">
        <f t="shared" si="1517"/>
        <v/>
      </c>
      <c r="AU973" s="418" t="str">
        <f t="shared" si="1518"/>
        <v/>
      </c>
      <c r="AV973" s="418" t="str">
        <f t="shared" si="1519"/>
        <v/>
      </c>
      <c r="AW973" s="418" t="str">
        <f t="shared" si="1520"/>
        <v/>
      </c>
      <c r="AX973" s="418" t="str">
        <f t="shared" si="1521"/>
        <v/>
      </c>
      <c r="AY973" s="418" t="str">
        <f t="shared" si="1522"/>
        <v/>
      </c>
      <c r="AZ973" s="418" t="str">
        <f t="shared" si="1523"/>
        <v/>
      </c>
      <c r="BA973" s="418" t="str">
        <f t="shared" si="1524"/>
        <v/>
      </c>
      <c r="BB973" s="418" t="str">
        <f t="shared" si="1525"/>
        <v/>
      </c>
      <c r="BC973" s="418" t="str">
        <f t="shared" si="1526"/>
        <v/>
      </c>
      <c r="BD973" s="418" t="str">
        <f t="shared" si="1527"/>
        <v/>
      </c>
      <c r="BE973" s="418" t="str">
        <f t="shared" si="1528"/>
        <v/>
      </c>
      <c r="BF973" s="418" t="str">
        <f t="shared" si="1529"/>
        <v/>
      </c>
      <c r="BG973" s="418">
        <f t="shared" si="1530"/>
        <v>324</v>
      </c>
      <c r="BH973" s="418" t="str">
        <f t="shared" si="1531"/>
        <v/>
      </c>
      <c r="BI973" s="418" t="str">
        <f t="shared" si="1532"/>
        <v/>
      </c>
      <c r="BJ973" s="418" t="str">
        <f t="shared" si="1533"/>
        <v/>
      </c>
      <c r="BK973" s="418" t="str">
        <f t="shared" si="1534"/>
        <v/>
      </c>
      <c r="BL973" s="418" t="str">
        <f t="shared" si="1535"/>
        <v/>
      </c>
      <c r="BM973" s="418" t="str">
        <f t="shared" si="1536"/>
        <v/>
      </c>
      <c r="BN973" s="418" t="str">
        <f t="shared" si="1537"/>
        <v/>
      </c>
      <c r="BO973" s="418" t="str">
        <f t="shared" si="1538"/>
        <v/>
      </c>
      <c r="BP973" s="418" t="str">
        <f t="shared" si="1539"/>
        <v/>
      </c>
      <c r="BQ973" s="418" t="str">
        <f t="shared" si="1459"/>
        <v/>
      </c>
      <c r="BR973" s="418" t="str">
        <f t="shared" si="1460"/>
        <v/>
      </c>
      <c r="BS973" s="418" t="str">
        <f t="shared" si="1461"/>
        <v/>
      </c>
      <c r="BT973" s="418" t="str">
        <f t="shared" si="1540"/>
        <v/>
      </c>
      <c r="BU973" s="418" t="str">
        <f t="shared" si="1541"/>
        <v/>
      </c>
      <c r="BV973" s="544">
        <v>1.09</v>
      </c>
      <c r="BW973" s="723">
        <f t="shared" si="1542"/>
        <v>353.16</v>
      </c>
      <c r="BX973" s="724">
        <f t="shared" si="1543"/>
        <v>2736.99</v>
      </c>
      <c r="BY973" s="725" t="str">
        <f t="shared" si="1544"/>
        <v>JC</v>
      </c>
    </row>
    <row r="974" s="698" customFormat="1" customHeight="1" spans="1:77">
      <c r="A974" s="227">
        <v>46164</v>
      </c>
      <c r="B974" s="244">
        <v>46219</v>
      </c>
      <c r="C974" s="242"/>
      <c r="D974" s="242" t="s">
        <v>883</v>
      </c>
      <c r="E974" s="242" t="s">
        <v>52</v>
      </c>
      <c r="F974" s="231">
        <v>1200</v>
      </c>
      <c r="G974" s="242" t="s">
        <v>510</v>
      </c>
      <c r="H974" s="211" t="str">
        <f>IFERROR(VLOOKUP(E974,名称!A:E,4,0),"")</f>
        <v>蛋糕</v>
      </c>
      <c r="I974" s="268" t="str">
        <f t="shared" si="1480"/>
        <v/>
      </c>
      <c r="J974" s="268" t="str">
        <f t="shared" si="1481"/>
        <v/>
      </c>
      <c r="K974" s="268" t="str">
        <f t="shared" si="1482"/>
        <v/>
      </c>
      <c r="L974" s="268" t="str">
        <f t="shared" si="1483"/>
        <v/>
      </c>
      <c r="M974" s="268" t="str">
        <f t="shared" si="1484"/>
        <v/>
      </c>
      <c r="N974" s="268" t="str">
        <f t="shared" si="1485"/>
        <v/>
      </c>
      <c r="O974" s="268" t="str">
        <f t="shared" si="1486"/>
        <v/>
      </c>
      <c r="P974" s="268" t="str">
        <f t="shared" si="1487"/>
        <v/>
      </c>
      <c r="Q974" s="268" t="str">
        <f t="shared" si="1488"/>
        <v/>
      </c>
      <c r="R974" s="268" t="str">
        <f t="shared" si="1489"/>
        <v/>
      </c>
      <c r="S974" s="268" t="str">
        <f t="shared" si="1490"/>
        <v/>
      </c>
      <c r="T974" s="268" t="str">
        <f t="shared" si="1491"/>
        <v/>
      </c>
      <c r="U974" s="268" t="str">
        <f t="shared" si="1492"/>
        <v/>
      </c>
      <c r="V974" s="268" t="str">
        <f t="shared" si="1493"/>
        <v/>
      </c>
      <c r="W974" s="268" t="str">
        <f t="shared" si="1494"/>
        <v/>
      </c>
      <c r="X974" s="268" t="str">
        <f t="shared" si="1495"/>
        <v/>
      </c>
      <c r="Y974" s="268" t="str">
        <f t="shared" si="1496"/>
        <v/>
      </c>
      <c r="Z974" s="268" t="str">
        <f t="shared" si="1497"/>
        <v/>
      </c>
      <c r="AA974" s="268" t="str">
        <f t="shared" si="1498"/>
        <v/>
      </c>
      <c r="AB974" s="268" t="str">
        <f t="shared" si="1499"/>
        <v/>
      </c>
      <c r="AC974" s="268" t="str">
        <f t="shared" si="1500"/>
        <v/>
      </c>
      <c r="AD974" s="268" t="str">
        <f t="shared" si="1501"/>
        <v/>
      </c>
      <c r="AE974" s="268" t="str">
        <f t="shared" si="1502"/>
        <v/>
      </c>
      <c r="AF974" s="268" t="str">
        <f t="shared" si="1503"/>
        <v/>
      </c>
      <c r="AG974" s="268" t="str">
        <f t="shared" si="1504"/>
        <v/>
      </c>
      <c r="AH974" s="268" t="str">
        <f t="shared" si="1505"/>
        <v/>
      </c>
      <c r="AI974" s="268" t="str">
        <f t="shared" si="1506"/>
        <v/>
      </c>
      <c r="AJ974" s="268" t="str">
        <f t="shared" si="1507"/>
        <v/>
      </c>
      <c r="AK974" s="268" t="str">
        <f t="shared" si="1508"/>
        <v/>
      </c>
      <c r="AL974" s="268" t="str">
        <f t="shared" si="1509"/>
        <v/>
      </c>
      <c r="AM974" s="268" t="str">
        <f t="shared" si="1510"/>
        <v/>
      </c>
      <c r="AN974" s="268" t="str">
        <f t="shared" si="1511"/>
        <v/>
      </c>
      <c r="AO974" s="268" t="str">
        <f t="shared" si="1512"/>
        <v/>
      </c>
      <c r="AP974" s="268" t="str">
        <f t="shared" si="1513"/>
        <v/>
      </c>
      <c r="AQ974" s="268" t="str">
        <f t="shared" si="1514"/>
        <v/>
      </c>
      <c r="AR974" s="268" t="str">
        <f t="shared" si="1515"/>
        <v/>
      </c>
      <c r="AS974" s="268" t="str">
        <f t="shared" si="1516"/>
        <v/>
      </c>
      <c r="AT974" s="268" t="str">
        <f t="shared" si="1517"/>
        <v/>
      </c>
      <c r="AU974" s="268" t="str">
        <f t="shared" si="1518"/>
        <v/>
      </c>
      <c r="AV974" s="268" t="str">
        <f t="shared" si="1519"/>
        <v/>
      </c>
      <c r="AW974" s="268" t="str">
        <f t="shared" si="1520"/>
        <v/>
      </c>
      <c r="AX974" s="268" t="str">
        <f t="shared" si="1521"/>
        <v/>
      </c>
      <c r="AY974" s="268" t="str">
        <f t="shared" si="1522"/>
        <v/>
      </c>
      <c r="AZ974" s="268" t="str">
        <f t="shared" si="1523"/>
        <v/>
      </c>
      <c r="BA974" s="268" t="str">
        <f t="shared" si="1524"/>
        <v/>
      </c>
      <c r="BB974" s="268" t="str">
        <f t="shared" si="1525"/>
        <v/>
      </c>
      <c r="BC974" s="268" t="str">
        <f t="shared" si="1526"/>
        <v/>
      </c>
      <c r="BD974" s="268" t="str">
        <f t="shared" si="1527"/>
        <v/>
      </c>
      <c r="BE974" s="268" t="str">
        <f t="shared" si="1528"/>
        <v/>
      </c>
      <c r="BF974" s="268" t="str">
        <f t="shared" si="1529"/>
        <v/>
      </c>
      <c r="BG974" s="268" t="str">
        <f t="shared" si="1530"/>
        <v/>
      </c>
      <c r="BH974" s="268">
        <f t="shared" si="1531"/>
        <v>1200</v>
      </c>
      <c r="BI974" s="268" t="str">
        <f t="shared" si="1532"/>
        <v/>
      </c>
      <c r="BJ974" s="268" t="str">
        <f t="shared" si="1533"/>
        <v/>
      </c>
      <c r="BK974" s="268" t="str">
        <f t="shared" si="1534"/>
        <v/>
      </c>
      <c r="BL974" s="268" t="str">
        <f t="shared" si="1535"/>
        <v/>
      </c>
      <c r="BM974" s="268" t="str">
        <f t="shared" si="1536"/>
        <v/>
      </c>
      <c r="BN974" s="268" t="str">
        <f t="shared" si="1537"/>
        <v/>
      </c>
      <c r="BO974" s="268" t="str">
        <f t="shared" si="1538"/>
        <v/>
      </c>
      <c r="BP974" s="268" t="str">
        <f t="shared" si="1539"/>
        <v/>
      </c>
      <c r="BQ974" s="268" t="str">
        <f t="shared" si="1459"/>
        <v/>
      </c>
      <c r="BR974" s="268" t="str">
        <f t="shared" si="1460"/>
        <v/>
      </c>
      <c r="BS974" s="268" t="str">
        <f t="shared" si="1461"/>
        <v/>
      </c>
      <c r="BT974" s="268" t="str">
        <f t="shared" si="1540"/>
        <v/>
      </c>
      <c r="BU974" s="268" t="str">
        <f t="shared" si="1541"/>
        <v/>
      </c>
      <c r="BV974" s="247">
        <v>2.93</v>
      </c>
      <c r="BW974" s="729">
        <f t="shared" si="1542"/>
        <v>3516</v>
      </c>
      <c r="BX974" s="730">
        <f t="shared" si="1543"/>
        <v>27249</v>
      </c>
      <c r="BY974" s="731" t="str">
        <f t="shared" si="1544"/>
        <v>JC</v>
      </c>
    </row>
    <row r="975" s="698" customFormat="1" customHeight="1" spans="1:77">
      <c r="A975" s="227">
        <v>46164</v>
      </c>
      <c r="B975" s="244">
        <v>46219</v>
      </c>
      <c r="C975" s="242"/>
      <c r="D975" s="242" t="s">
        <v>883</v>
      </c>
      <c r="E975" s="242" t="s">
        <v>50</v>
      </c>
      <c r="F975" s="231">
        <v>2430</v>
      </c>
      <c r="G975" s="242" t="s">
        <v>510</v>
      </c>
      <c r="H975" s="211" t="str">
        <f>IFERROR(VLOOKUP(E975,名称!A:E,4,0),"")</f>
        <v>蛋糕</v>
      </c>
      <c r="I975" s="268" t="str">
        <f t="shared" si="1480"/>
        <v/>
      </c>
      <c r="J975" s="268" t="str">
        <f t="shared" si="1481"/>
        <v/>
      </c>
      <c r="K975" s="268" t="str">
        <f t="shared" si="1482"/>
        <v/>
      </c>
      <c r="L975" s="268" t="str">
        <f t="shared" si="1483"/>
        <v/>
      </c>
      <c r="M975" s="268" t="str">
        <f t="shared" si="1484"/>
        <v/>
      </c>
      <c r="N975" s="268" t="str">
        <f t="shared" si="1485"/>
        <v/>
      </c>
      <c r="O975" s="268" t="str">
        <f t="shared" si="1486"/>
        <v/>
      </c>
      <c r="P975" s="268" t="str">
        <f t="shared" si="1487"/>
        <v/>
      </c>
      <c r="Q975" s="268" t="str">
        <f t="shared" si="1488"/>
        <v/>
      </c>
      <c r="R975" s="268" t="str">
        <f t="shared" si="1489"/>
        <v/>
      </c>
      <c r="S975" s="268" t="str">
        <f t="shared" si="1490"/>
        <v/>
      </c>
      <c r="T975" s="268" t="str">
        <f t="shared" si="1491"/>
        <v/>
      </c>
      <c r="U975" s="268" t="str">
        <f t="shared" si="1492"/>
        <v/>
      </c>
      <c r="V975" s="268" t="str">
        <f t="shared" si="1493"/>
        <v/>
      </c>
      <c r="W975" s="268" t="str">
        <f t="shared" si="1494"/>
        <v/>
      </c>
      <c r="X975" s="268" t="str">
        <f t="shared" si="1495"/>
        <v/>
      </c>
      <c r="Y975" s="268" t="str">
        <f t="shared" si="1496"/>
        <v/>
      </c>
      <c r="Z975" s="268" t="str">
        <f t="shared" si="1497"/>
        <v/>
      </c>
      <c r="AA975" s="268" t="str">
        <f t="shared" si="1498"/>
        <v/>
      </c>
      <c r="AB975" s="268" t="str">
        <f t="shared" si="1499"/>
        <v/>
      </c>
      <c r="AC975" s="268" t="str">
        <f t="shared" si="1500"/>
        <v/>
      </c>
      <c r="AD975" s="268" t="str">
        <f t="shared" si="1501"/>
        <v/>
      </c>
      <c r="AE975" s="268" t="str">
        <f t="shared" si="1502"/>
        <v/>
      </c>
      <c r="AF975" s="268" t="str">
        <f t="shared" si="1503"/>
        <v/>
      </c>
      <c r="AG975" s="268" t="str">
        <f t="shared" si="1504"/>
        <v/>
      </c>
      <c r="AH975" s="268" t="str">
        <f t="shared" si="1505"/>
        <v/>
      </c>
      <c r="AI975" s="268" t="str">
        <f t="shared" si="1506"/>
        <v/>
      </c>
      <c r="AJ975" s="268" t="str">
        <f t="shared" si="1507"/>
        <v/>
      </c>
      <c r="AK975" s="268" t="str">
        <f t="shared" si="1508"/>
        <v/>
      </c>
      <c r="AL975" s="268" t="str">
        <f t="shared" si="1509"/>
        <v/>
      </c>
      <c r="AM975" s="268" t="str">
        <f t="shared" si="1510"/>
        <v/>
      </c>
      <c r="AN975" s="268" t="str">
        <f t="shared" si="1511"/>
        <v/>
      </c>
      <c r="AO975" s="268" t="str">
        <f t="shared" si="1512"/>
        <v/>
      </c>
      <c r="AP975" s="268" t="str">
        <f t="shared" si="1513"/>
        <v/>
      </c>
      <c r="AQ975" s="268" t="str">
        <f t="shared" si="1514"/>
        <v/>
      </c>
      <c r="AR975" s="268" t="str">
        <f t="shared" si="1515"/>
        <v/>
      </c>
      <c r="AS975" s="268" t="str">
        <f t="shared" si="1516"/>
        <v/>
      </c>
      <c r="AT975" s="268" t="str">
        <f t="shared" si="1517"/>
        <v/>
      </c>
      <c r="AU975" s="268" t="str">
        <f t="shared" si="1518"/>
        <v/>
      </c>
      <c r="AV975" s="268" t="str">
        <f t="shared" si="1519"/>
        <v/>
      </c>
      <c r="AW975" s="268" t="str">
        <f t="shared" si="1520"/>
        <v/>
      </c>
      <c r="AX975" s="268" t="str">
        <f t="shared" si="1521"/>
        <v/>
      </c>
      <c r="AY975" s="268" t="str">
        <f t="shared" si="1522"/>
        <v/>
      </c>
      <c r="AZ975" s="268" t="str">
        <f t="shared" si="1523"/>
        <v/>
      </c>
      <c r="BA975" s="268" t="str">
        <f t="shared" si="1524"/>
        <v/>
      </c>
      <c r="BB975" s="268" t="str">
        <f t="shared" si="1525"/>
        <v/>
      </c>
      <c r="BC975" s="268" t="str">
        <f t="shared" si="1526"/>
        <v/>
      </c>
      <c r="BD975" s="268" t="str">
        <f t="shared" si="1527"/>
        <v/>
      </c>
      <c r="BE975" s="268" t="str">
        <f t="shared" si="1528"/>
        <v/>
      </c>
      <c r="BF975" s="268" t="str">
        <f t="shared" si="1529"/>
        <v/>
      </c>
      <c r="BG975" s="268">
        <f t="shared" si="1530"/>
        <v>2430</v>
      </c>
      <c r="BH975" s="268" t="str">
        <f t="shared" si="1531"/>
        <v/>
      </c>
      <c r="BI975" s="268" t="str">
        <f t="shared" si="1532"/>
        <v/>
      </c>
      <c r="BJ975" s="268" t="str">
        <f t="shared" si="1533"/>
        <v/>
      </c>
      <c r="BK975" s="268" t="str">
        <f t="shared" si="1534"/>
        <v/>
      </c>
      <c r="BL975" s="268" t="str">
        <f t="shared" si="1535"/>
        <v/>
      </c>
      <c r="BM975" s="268" t="str">
        <f t="shared" si="1536"/>
        <v/>
      </c>
      <c r="BN975" s="268" t="str">
        <f t="shared" si="1537"/>
        <v/>
      </c>
      <c r="BO975" s="268" t="str">
        <f t="shared" si="1538"/>
        <v/>
      </c>
      <c r="BP975" s="268" t="str">
        <f t="shared" si="1539"/>
        <v/>
      </c>
      <c r="BQ975" s="268" t="str">
        <f t="shared" si="1459"/>
        <v/>
      </c>
      <c r="BR975" s="268" t="str">
        <f t="shared" si="1460"/>
        <v/>
      </c>
      <c r="BS975" s="268" t="str">
        <f t="shared" si="1461"/>
        <v/>
      </c>
      <c r="BT975" s="268" t="str">
        <f t="shared" si="1540"/>
        <v/>
      </c>
      <c r="BU975" s="268" t="str">
        <f t="shared" si="1541"/>
        <v/>
      </c>
      <c r="BV975" s="247">
        <v>1.15</v>
      </c>
      <c r="BW975" s="729">
        <f t="shared" si="1542"/>
        <v>2794.5</v>
      </c>
      <c r="BX975" s="730">
        <f t="shared" si="1543"/>
        <v>21657.38</v>
      </c>
      <c r="BY975" s="731" t="str">
        <f t="shared" si="1544"/>
        <v>JC</v>
      </c>
    </row>
    <row r="976" s="698" customFormat="1" customHeight="1" spans="1:77">
      <c r="A976" s="227">
        <v>46164</v>
      </c>
      <c r="B976" s="244">
        <v>46220</v>
      </c>
      <c r="C976" s="211"/>
      <c r="D976" s="242" t="s">
        <v>884</v>
      </c>
      <c r="E976" s="242" t="s">
        <v>55</v>
      </c>
      <c r="F976" s="231">
        <v>5488</v>
      </c>
      <c r="G976" s="242" t="s">
        <v>510</v>
      </c>
      <c r="H976" s="211" t="str">
        <f>IFERROR(VLOOKUP(E976,名称!A:E,4,0),"")</f>
        <v>三代</v>
      </c>
      <c r="I976" s="268" t="str">
        <f t="shared" si="1480"/>
        <v/>
      </c>
      <c r="J976" s="268" t="str">
        <f t="shared" si="1481"/>
        <v/>
      </c>
      <c r="K976" s="268" t="str">
        <f t="shared" si="1482"/>
        <v/>
      </c>
      <c r="L976" s="268" t="str">
        <f t="shared" si="1483"/>
        <v/>
      </c>
      <c r="M976" s="268" t="str">
        <f t="shared" si="1484"/>
        <v/>
      </c>
      <c r="N976" s="268" t="str">
        <f t="shared" si="1485"/>
        <v/>
      </c>
      <c r="O976" s="268" t="str">
        <f t="shared" si="1486"/>
        <v/>
      </c>
      <c r="P976" s="268" t="str">
        <f t="shared" si="1487"/>
        <v/>
      </c>
      <c r="Q976" s="268" t="str">
        <f t="shared" si="1488"/>
        <v/>
      </c>
      <c r="R976" s="268" t="str">
        <f t="shared" si="1489"/>
        <v/>
      </c>
      <c r="S976" s="268" t="str">
        <f t="shared" si="1490"/>
        <v/>
      </c>
      <c r="T976" s="268" t="str">
        <f t="shared" si="1491"/>
        <v/>
      </c>
      <c r="U976" s="268" t="str">
        <f t="shared" si="1492"/>
        <v/>
      </c>
      <c r="V976" s="268" t="str">
        <f t="shared" si="1493"/>
        <v/>
      </c>
      <c r="W976" s="268" t="str">
        <f t="shared" si="1494"/>
        <v/>
      </c>
      <c r="X976" s="268" t="str">
        <f t="shared" si="1495"/>
        <v/>
      </c>
      <c r="Y976" s="268" t="str">
        <f t="shared" si="1496"/>
        <v/>
      </c>
      <c r="Z976" s="268" t="str">
        <f t="shared" si="1497"/>
        <v/>
      </c>
      <c r="AA976" s="268" t="str">
        <f t="shared" si="1498"/>
        <v/>
      </c>
      <c r="AB976" s="268" t="str">
        <f t="shared" si="1499"/>
        <v/>
      </c>
      <c r="AC976" s="268">
        <f t="shared" si="1500"/>
        <v>5488</v>
      </c>
      <c r="AD976" s="268" t="str">
        <f t="shared" si="1501"/>
        <v/>
      </c>
      <c r="AE976" s="268" t="str">
        <f t="shared" si="1502"/>
        <v/>
      </c>
      <c r="AF976" s="268" t="str">
        <f t="shared" si="1503"/>
        <v/>
      </c>
      <c r="AG976" s="268" t="str">
        <f t="shared" si="1504"/>
        <v/>
      </c>
      <c r="AH976" s="268" t="str">
        <f t="shared" si="1505"/>
        <v/>
      </c>
      <c r="AI976" s="268" t="str">
        <f t="shared" si="1506"/>
        <v/>
      </c>
      <c r="AJ976" s="268" t="str">
        <f t="shared" si="1507"/>
        <v/>
      </c>
      <c r="AK976" s="268" t="str">
        <f t="shared" si="1508"/>
        <v/>
      </c>
      <c r="AL976" s="268" t="str">
        <f t="shared" si="1509"/>
        <v/>
      </c>
      <c r="AM976" s="268" t="str">
        <f t="shared" si="1510"/>
        <v/>
      </c>
      <c r="AN976" s="268" t="str">
        <f t="shared" si="1511"/>
        <v/>
      </c>
      <c r="AO976" s="268" t="str">
        <f t="shared" si="1512"/>
        <v/>
      </c>
      <c r="AP976" s="268" t="str">
        <f t="shared" si="1513"/>
        <v/>
      </c>
      <c r="AQ976" s="268" t="str">
        <f t="shared" si="1514"/>
        <v/>
      </c>
      <c r="AR976" s="268" t="str">
        <f t="shared" si="1515"/>
        <v/>
      </c>
      <c r="AS976" s="268" t="str">
        <f t="shared" si="1516"/>
        <v/>
      </c>
      <c r="AT976" s="268" t="str">
        <f t="shared" si="1517"/>
        <v/>
      </c>
      <c r="AU976" s="268" t="str">
        <f t="shared" si="1518"/>
        <v/>
      </c>
      <c r="AV976" s="268" t="str">
        <f t="shared" si="1519"/>
        <v/>
      </c>
      <c r="AW976" s="268" t="str">
        <f t="shared" si="1520"/>
        <v/>
      </c>
      <c r="AX976" s="268" t="str">
        <f t="shared" si="1521"/>
        <v/>
      </c>
      <c r="AY976" s="268" t="str">
        <f t="shared" si="1522"/>
        <v/>
      </c>
      <c r="AZ976" s="268" t="str">
        <f t="shared" si="1523"/>
        <v/>
      </c>
      <c r="BA976" s="268" t="str">
        <f t="shared" si="1524"/>
        <v/>
      </c>
      <c r="BB976" s="268" t="str">
        <f t="shared" si="1525"/>
        <v/>
      </c>
      <c r="BC976" s="268" t="str">
        <f t="shared" si="1526"/>
        <v/>
      </c>
      <c r="BD976" s="268" t="str">
        <f t="shared" si="1527"/>
        <v/>
      </c>
      <c r="BE976" s="268" t="str">
        <f t="shared" si="1528"/>
        <v/>
      </c>
      <c r="BF976" s="268" t="str">
        <f t="shared" si="1529"/>
        <v/>
      </c>
      <c r="BG976" s="268" t="str">
        <f t="shared" si="1530"/>
        <v/>
      </c>
      <c r="BH976" s="268" t="str">
        <f t="shared" si="1531"/>
        <v/>
      </c>
      <c r="BI976" s="268" t="str">
        <f t="shared" si="1532"/>
        <v/>
      </c>
      <c r="BJ976" s="268" t="str">
        <f t="shared" si="1533"/>
        <v/>
      </c>
      <c r="BK976" s="268" t="str">
        <f t="shared" si="1534"/>
        <v/>
      </c>
      <c r="BL976" s="268" t="str">
        <f t="shared" si="1535"/>
        <v/>
      </c>
      <c r="BM976" s="268" t="str">
        <f t="shared" si="1536"/>
        <v/>
      </c>
      <c r="BN976" s="268" t="str">
        <f t="shared" si="1537"/>
        <v/>
      </c>
      <c r="BO976" s="268" t="str">
        <f t="shared" si="1538"/>
        <v/>
      </c>
      <c r="BP976" s="268" t="str">
        <f t="shared" si="1539"/>
        <v/>
      </c>
      <c r="BQ976" s="268" t="str">
        <f t="shared" si="1459"/>
        <v/>
      </c>
      <c r="BR976" s="268" t="str">
        <f t="shared" si="1460"/>
        <v/>
      </c>
      <c r="BS976" s="268" t="str">
        <f t="shared" si="1461"/>
        <v/>
      </c>
      <c r="BT976" s="268" t="str">
        <f t="shared" si="1540"/>
        <v/>
      </c>
      <c r="BU976" s="268" t="str">
        <f t="shared" si="1541"/>
        <v/>
      </c>
      <c r="BV976" s="247">
        <v>0.9</v>
      </c>
      <c r="BW976" s="729">
        <f t="shared" si="1542"/>
        <v>4939.2</v>
      </c>
      <c r="BX976" s="730">
        <f t="shared" si="1543"/>
        <v>38278.8</v>
      </c>
      <c r="BY976" s="731" t="str">
        <f t="shared" si="1544"/>
        <v>SR</v>
      </c>
    </row>
    <row r="977" s="698" customFormat="1" customHeight="1" spans="1:77">
      <c r="A977" s="227">
        <v>46164</v>
      </c>
      <c r="B977" s="244">
        <v>46220</v>
      </c>
      <c r="C977" s="211"/>
      <c r="D977" s="242" t="s">
        <v>884</v>
      </c>
      <c r="E977" s="242" t="s">
        <v>66</v>
      </c>
      <c r="F977" s="270">
        <f>4400-2</f>
        <v>4398</v>
      </c>
      <c r="G977" s="242" t="s">
        <v>510</v>
      </c>
      <c r="H977" s="211" t="str">
        <f>IFERROR(VLOOKUP(E977,名称!A:E,4,0),"")</f>
        <v>三代</v>
      </c>
      <c r="I977" s="268" t="str">
        <f t="shared" si="1480"/>
        <v/>
      </c>
      <c r="J977" s="268" t="str">
        <f t="shared" si="1481"/>
        <v/>
      </c>
      <c r="K977" s="268" t="str">
        <f t="shared" si="1482"/>
        <v/>
      </c>
      <c r="L977" s="268" t="str">
        <f t="shared" si="1483"/>
        <v/>
      </c>
      <c r="M977" s="268" t="str">
        <f t="shared" si="1484"/>
        <v/>
      </c>
      <c r="N977" s="268" t="str">
        <f t="shared" si="1485"/>
        <v/>
      </c>
      <c r="O977" s="268" t="str">
        <f t="shared" si="1486"/>
        <v/>
      </c>
      <c r="P977" s="268" t="str">
        <f t="shared" si="1487"/>
        <v/>
      </c>
      <c r="Q977" s="268" t="str">
        <f t="shared" si="1488"/>
        <v/>
      </c>
      <c r="R977" s="268" t="str">
        <f t="shared" si="1489"/>
        <v/>
      </c>
      <c r="S977" s="268" t="str">
        <f t="shared" si="1490"/>
        <v/>
      </c>
      <c r="T977" s="268" t="str">
        <f t="shared" si="1491"/>
        <v/>
      </c>
      <c r="U977" s="268" t="str">
        <f t="shared" si="1492"/>
        <v/>
      </c>
      <c r="V977" s="268" t="str">
        <f t="shared" si="1493"/>
        <v/>
      </c>
      <c r="W977" s="268" t="str">
        <f t="shared" si="1494"/>
        <v/>
      </c>
      <c r="X977" s="268" t="str">
        <f t="shared" si="1495"/>
        <v/>
      </c>
      <c r="Y977" s="268" t="str">
        <f t="shared" si="1496"/>
        <v/>
      </c>
      <c r="Z977" s="268" t="str">
        <f t="shared" si="1497"/>
        <v/>
      </c>
      <c r="AA977" s="268" t="str">
        <f t="shared" si="1498"/>
        <v/>
      </c>
      <c r="AB977" s="268" t="str">
        <f t="shared" si="1499"/>
        <v/>
      </c>
      <c r="AC977" s="268" t="str">
        <f t="shared" si="1500"/>
        <v/>
      </c>
      <c r="AD977" s="268" t="str">
        <f t="shared" si="1501"/>
        <v/>
      </c>
      <c r="AE977" s="268" t="str">
        <f t="shared" si="1502"/>
        <v/>
      </c>
      <c r="AF977" s="268" t="str">
        <f t="shared" si="1503"/>
        <v/>
      </c>
      <c r="AG977" s="268">
        <f t="shared" si="1504"/>
        <v>4398</v>
      </c>
      <c r="AH977" s="268" t="str">
        <f t="shared" si="1505"/>
        <v/>
      </c>
      <c r="AI977" s="268" t="str">
        <f t="shared" si="1506"/>
        <v/>
      </c>
      <c r="AJ977" s="268" t="str">
        <f t="shared" si="1507"/>
        <v/>
      </c>
      <c r="AK977" s="268" t="str">
        <f t="shared" si="1508"/>
        <v/>
      </c>
      <c r="AL977" s="268" t="str">
        <f t="shared" si="1509"/>
        <v/>
      </c>
      <c r="AM977" s="268" t="str">
        <f t="shared" si="1510"/>
        <v/>
      </c>
      <c r="AN977" s="268" t="str">
        <f t="shared" si="1511"/>
        <v/>
      </c>
      <c r="AO977" s="268" t="str">
        <f t="shared" si="1512"/>
        <v/>
      </c>
      <c r="AP977" s="268" t="str">
        <f t="shared" si="1513"/>
        <v/>
      </c>
      <c r="AQ977" s="268" t="str">
        <f t="shared" si="1514"/>
        <v/>
      </c>
      <c r="AR977" s="268" t="str">
        <f t="shared" si="1515"/>
        <v/>
      </c>
      <c r="AS977" s="268" t="str">
        <f t="shared" si="1516"/>
        <v/>
      </c>
      <c r="AT977" s="268" t="str">
        <f t="shared" si="1517"/>
        <v/>
      </c>
      <c r="AU977" s="268" t="str">
        <f t="shared" si="1518"/>
        <v/>
      </c>
      <c r="AV977" s="268" t="str">
        <f t="shared" si="1519"/>
        <v/>
      </c>
      <c r="AW977" s="268" t="str">
        <f t="shared" si="1520"/>
        <v/>
      </c>
      <c r="AX977" s="268" t="str">
        <f t="shared" si="1521"/>
        <v/>
      </c>
      <c r="AY977" s="268" t="str">
        <f t="shared" si="1522"/>
        <v/>
      </c>
      <c r="AZ977" s="268" t="str">
        <f t="shared" si="1523"/>
        <v/>
      </c>
      <c r="BA977" s="268" t="str">
        <f t="shared" si="1524"/>
        <v/>
      </c>
      <c r="BB977" s="268" t="str">
        <f t="shared" si="1525"/>
        <v/>
      </c>
      <c r="BC977" s="268" t="str">
        <f t="shared" si="1526"/>
        <v/>
      </c>
      <c r="BD977" s="268" t="str">
        <f t="shared" si="1527"/>
        <v/>
      </c>
      <c r="BE977" s="268" t="str">
        <f t="shared" si="1528"/>
        <v/>
      </c>
      <c r="BF977" s="268" t="str">
        <f t="shared" si="1529"/>
        <v/>
      </c>
      <c r="BG977" s="268" t="str">
        <f t="shared" si="1530"/>
        <v/>
      </c>
      <c r="BH977" s="268" t="str">
        <f t="shared" si="1531"/>
        <v/>
      </c>
      <c r="BI977" s="268" t="str">
        <f t="shared" si="1532"/>
        <v/>
      </c>
      <c r="BJ977" s="268" t="str">
        <f t="shared" si="1533"/>
        <v/>
      </c>
      <c r="BK977" s="268" t="str">
        <f t="shared" si="1534"/>
        <v/>
      </c>
      <c r="BL977" s="268" t="str">
        <f t="shared" si="1535"/>
        <v/>
      </c>
      <c r="BM977" s="268" t="str">
        <f t="shared" si="1536"/>
        <v/>
      </c>
      <c r="BN977" s="268" t="str">
        <f t="shared" si="1537"/>
        <v/>
      </c>
      <c r="BO977" s="268" t="str">
        <f t="shared" si="1538"/>
        <v/>
      </c>
      <c r="BP977" s="268" t="str">
        <f t="shared" si="1539"/>
        <v/>
      </c>
      <c r="BQ977" s="268" t="str">
        <f t="shared" si="1459"/>
        <v/>
      </c>
      <c r="BR977" s="268" t="str">
        <f t="shared" si="1460"/>
        <v/>
      </c>
      <c r="BS977" s="268" t="str">
        <f t="shared" si="1461"/>
        <v/>
      </c>
      <c r="BT977" s="268" t="str">
        <f t="shared" si="1540"/>
        <v/>
      </c>
      <c r="BU977" s="268" t="str">
        <f t="shared" si="1541"/>
        <v/>
      </c>
      <c r="BV977" s="247">
        <v>2.04</v>
      </c>
      <c r="BW977" s="729">
        <f t="shared" si="1542"/>
        <v>8971.92</v>
      </c>
      <c r="BX977" s="730">
        <f t="shared" si="1543"/>
        <v>69532.38</v>
      </c>
      <c r="BY977" s="731" t="str">
        <f t="shared" si="1544"/>
        <v>SR</v>
      </c>
    </row>
    <row r="978" s="698" customFormat="1" customHeight="1" spans="1:77">
      <c r="A978" s="227">
        <v>46164</v>
      </c>
      <c r="B978" s="244">
        <v>46220</v>
      </c>
      <c r="C978" s="211"/>
      <c r="D978" s="242" t="s">
        <v>884</v>
      </c>
      <c r="E978" s="242" t="s">
        <v>85</v>
      </c>
      <c r="F978" s="270">
        <f>5500-4</f>
        <v>5496</v>
      </c>
      <c r="G978" s="242" t="s">
        <v>510</v>
      </c>
      <c r="H978" s="211" t="str">
        <f>IFERROR(VLOOKUP(E978,名称!A:E,4,0),"")</f>
        <v>三代</v>
      </c>
      <c r="I978" s="268" t="str">
        <f t="shared" si="1480"/>
        <v/>
      </c>
      <c r="J978" s="268" t="str">
        <f t="shared" si="1481"/>
        <v/>
      </c>
      <c r="K978" s="268" t="str">
        <f t="shared" si="1482"/>
        <v/>
      </c>
      <c r="L978" s="268" t="str">
        <f t="shared" si="1483"/>
        <v/>
      </c>
      <c r="M978" s="268" t="str">
        <f t="shared" si="1484"/>
        <v/>
      </c>
      <c r="N978" s="268" t="str">
        <f t="shared" si="1485"/>
        <v/>
      </c>
      <c r="O978" s="268" t="str">
        <f t="shared" si="1486"/>
        <v/>
      </c>
      <c r="P978" s="268" t="str">
        <f t="shared" si="1487"/>
        <v/>
      </c>
      <c r="Q978" s="268" t="str">
        <f t="shared" si="1488"/>
        <v/>
      </c>
      <c r="R978" s="268" t="str">
        <f t="shared" si="1489"/>
        <v/>
      </c>
      <c r="S978" s="268" t="str">
        <f t="shared" si="1490"/>
        <v/>
      </c>
      <c r="T978" s="268" t="str">
        <f t="shared" si="1491"/>
        <v/>
      </c>
      <c r="U978" s="268" t="str">
        <f t="shared" si="1492"/>
        <v/>
      </c>
      <c r="V978" s="268" t="str">
        <f t="shared" si="1493"/>
        <v/>
      </c>
      <c r="W978" s="268" t="str">
        <f t="shared" si="1494"/>
        <v/>
      </c>
      <c r="X978" s="268" t="str">
        <f t="shared" si="1495"/>
        <v/>
      </c>
      <c r="Y978" s="268" t="str">
        <f t="shared" si="1496"/>
        <v/>
      </c>
      <c r="Z978" s="268" t="str">
        <f t="shared" si="1497"/>
        <v/>
      </c>
      <c r="AA978" s="268" t="str">
        <f t="shared" si="1498"/>
        <v/>
      </c>
      <c r="AB978" s="268" t="str">
        <f t="shared" si="1499"/>
        <v/>
      </c>
      <c r="AC978" s="268" t="str">
        <f t="shared" si="1500"/>
        <v/>
      </c>
      <c r="AD978" s="268" t="str">
        <f t="shared" si="1501"/>
        <v/>
      </c>
      <c r="AE978" s="268" t="str">
        <f t="shared" si="1502"/>
        <v/>
      </c>
      <c r="AF978" s="268" t="str">
        <f t="shared" si="1503"/>
        <v/>
      </c>
      <c r="AG978" s="268" t="str">
        <f t="shared" si="1504"/>
        <v/>
      </c>
      <c r="AH978" s="268" t="str">
        <f t="shared" si="1505"/>
        <v/>
      </c>
      <c r="AI978" s="268" t="str">
        <f t="shared" si="1506"/>
        <v/>
      </c>
      <c r="AJ978" s="268" t="str">
        <f t="shared" si="1507"/>
        <v/>
      </c>
      <c r="AK978" s="268" t="str">
        <f t="shared" si="1508"/>
        <v/>
      </c>
      <c r="AL978" s="268" t="str">
        <f t="shared" si="1509"/>
        <v/>
      </c>
      <c r="AM978" s="268" t="str">
        <f t="shared" si="1510"/>
        <v/>
      </c>
      <c r="AN978" s="268">
        <f t="shared" si="1511"/>
        <v>5496</v>
      </c>
      <c r="AO978" s="268" t="str">
        <f t="shared" si="1512"/>
        <v/>
      </c>
      <c r="AP978" s="268" t="str">
        <f t="shared" si="1513"/>
        <v/>
      </c>
      <c r="AQ978" s="268" t="str">
        <f t="shared" si="1514"/>
        <v/>
      </c>
      <c r="AR978" s="268" t="str">
        <f t="shared" si="1515"/>
        <v/>
      </c>
      <c r="AS978" s="268" t="str">
        <f t="shared" si="1516"/>
        <v/>
      </c>
      <c r="AT978" s="268" t="str">
        <f t="shared" si="1517"/>
        <v/>
      </c>
      <c r="AU978" s="268" t="str">
        <f t="shared" si="1518"/>
        <v/>
      </c>
      <c r="AV978" s="268" t="str">
        <f t="shared" si="1519"/>
        <v/>
      </c>
      <c r="AW978" s="268" t="str">
        <f t="shared" si="1520"/>
        <v/>
      </c>
      <c r="AX978" s="268" t="str">
        <f t="shared" si="1521"/>
        <v/>
      </c>
      <c r="AY978" s="268" t="str">
        <f t="shared" si="1522"/>
        <v/>
      </c>
      <c r="AZ978" s="268" t="str">
        <f t="shared" si="1523"/>
        <v/>
      </c>
      <c r="BA978" s="268" t="str">
        <f t="shared" si="1524"/>
        <v/>
      </c>
      <c r="BB978" s="268" t="str">
        <f t="shared" si="1525"/>
        <v/>
      </c>
      <c r="BC978" s="268" t="str">
        <f t="shared" si="1526"/>
        <v/>
      </c>
      <c r="BD978" s="268" t="str">
        <f t="shared" si="1527"/>
        <v/>
      </c>
      <c r="BE978" s="268" t="str">
        <f t="shared" si="1528"/>
        <v/>
      </c>
      <c r="BF978" s="268" t="str">
        <f t="shared" si="1529"/>
        <v/>
      </c>
      <c r="BG978" s="268" t="str">
        <f t="shared" si="1530"/>
        <v/>
      </c>
      <c r="BH978" s="268" t="str">
        <f t="shared" si="1531"/>
        <v/>
      </c>
      <c r="BI978" s="268" t="str">
        <f t="shared" si="1532"/>
        <v/>
      </c>
      <c r="BJ978" s="268" t="str">
        <f t="shared" si="1533"/>
        <v/>
      </c>
      <c r="BK978" s="268" t="str">
        <f t="shared" si="1534"/>
        <v/>
      </c>
      <c r="BL978" s="268" t="str">
        <f t="shared" si="1535"/>
        <v/>
      </c>
      <c r="BM978" s="268" t="str">
        <f t="shared" si="1536"/>
        <v/>
      </c>
      <c r="BN978" s="268" t="str">
        <f t="shared" si="1537"/>
        <v/>
      </c>
      <c r="BO978" s="268" t="str">
        <f t="shared" si="1538"/>
        <v/>
      </c>
      <c r="BP978" s="268" t="str">
        <f t="shared" si="1539"/>
        <v/>
      </c>
      <c r="BQ978" s="268" t="str">
        <f t="shared" si="1459"/>
        <v/>
      </c>
      <c r="BR978" s="268" t="str">
        <f t="shared" si="1460"/>
        <v/>
      </c>
      <c r="BS978" s="268" t="str">
        <f t="shared" si="1461"/>
        <v/>
      </c>
      <c r="BT978" s="268" t="str">
        <f t="shared" si="1540"/>
        <v/>
      </c>
      <c r="BU978" s="268" t="str">
        <f t="shared" si="1541"/>
        <v/>
      </c>
      <c r="BV978" s="247">
        <v>0.89</v>
      </c>
      <c r="BW978" s="729">
        <f t="shared" si="1542"/>
        <v>4891.44</v>
      </c>
      <c r="BX978" s="730">
        <f t="shared" si="1543"/>
        <v>37908.66</v>
      </c>
      <c r="BY978" s="731" t="str">
        <f t="shared" si="1544"/>
        <v>SR</v>
      </c>
    </row>
    <row r="979" s="698" customFormat="1" customHeight="1" spans="1:77">
      <c r="A979" s="227">
        <v>46164</v>
      </c>
      <c r="B979" s="244">
        <v>46220</v>
      </c>
      <c r="C979" s="211"/>
      <c r="D979" s="268" t="s">
        <v>885</v>
      </c>
      <c r="E979" s="242" t="s">
        <v>61</v>
      </c>
      <c r="F979" s="270">
        <f>4400-8</f>
        <v>4392</v>
      </c>
      <c r="G979" s="242" t="s">
        <v>510</v>
      </c>
      <c r="H979" s="211" t="str">
        <f>IFERROR(VLOOKUP(E979,名称!A:E,4,0),"")</f>
        <v>三代</v>
      </c>
      <c r="I979" s="268" t="str">
        <f t="shared" si="1480"/>
        <v/>
      </c>
      <c r="J979" s="268" t="str">
        <f t="shared" si="1481"/>
        <v/>
      </c>
      <c r="K979" s="268" t="str">
        <f t="shared" si="1482"/>
        <v/>
      </c>
      <c r="L979" s="268" t="str">
        <f t="shared" si="1483"/>
        <v/>
      </c>
      <c r="M979" s="268" t="str">
        <f t="shared" si="1484"/>
        <v/>
      </c>
      <c r="N979" s="268" t="str">
        <f t="shared" si="1485"/>
        <v/>
      </c>
      <c r="O979" s="268" t="str">
        <f t="shared" si="1486"/>
        <v/>
      </c>
      <c r="P979" s="268" t="str">
        <f t="shared" si="1487"/>
        <v/>
      </c>
      <c r="Q979" s="268" t="str">
        <f t="shared" si="1488"/>
        <v/>
      </c>
      <c r="R979" s="268" t="str">
        <f t="shared" si="1489"/>
        <v/>
      </c>
      <c r="S979" s="268" t="str">
        <f t="shared" si="1490"/>
        <v/>
      </c>
      <c r="T979" s="268" t="str">
        <f t="shared" si="1491"/>
        <v/>
      </c>
      <c r="U979" s="268" t="str">
        <f t="shared" si="1492"/>
        <v/>
      </c>
      <c r="V979" s="268" t="str">
        <f t="shared" si="1493"/>
        <v/>
      </c>
      <c r="W979" s="268" t="str">
        <f t="shared" si="1494"/>
        <v/>
      </c>
      <c r="X979" s="268" t="str">
        <f t="shared" si="1495"/>
        <v/>
      </c>
      <c r="Y979" s="268" t="str">
        <f t="shared" si="1496"/>
        <v/>
      </c>
      <c r="Z979" s="268" t="str">
        <f t="shared" si="1497"/>
        <v/>
      </c>
      <c r="AA979" s="268" t="str">
        <f t="shared" si="1498"/>
        <v/>
      </c>
      <c r="AB979" s="268" t="str">
        <f t="shared" si="1499"/>
        <v/>
      </c>
      <c r="AC979" s="268" t="str">
        <f t="shared" si="1500"/>
        <v/>
      </c>
      <c r="AD979" s="268" t="str">
        <f t="shared" si="1501"/>
        <v/>
      </c>
      <c r="AE979" s="268">
        <f t="shared" si="1502"/>
        <v>4392</v>
      </c>
      <c r="AF979" s="268" t="str">
        <f t="shared" si="1503"/>
        <v/>
      </c>
      <c r="AG979" s="268" t="str">
        <f t="shared" si="1504"/>
        <v/>
      </c>
      <c r="AH979" s="268" t="str">
        <f t="shared" si="1505"/>
        <v/>
      </c>
      <c r="AI979" s="268" t="str">
        <f t="shared" si="1506"/>
        <v/>
      </c>
      <c r="AJ979" s="268" t="str">
        <f t="shared" si="1507"/>
        <v/>
      </c>
      <c r="AK979" s="268" t="str">
        <f t="shared" si="1508"/>
        <v/>
      </c>
      <c r="AL979" s="268" t="str">
        <f t="shared" si="1509"/>
        <v/>
      </c>
      <c r="AM979" s="268" t="str">
        <f t="shared" si="1510"/>
        <v/>
      </c>
      <c r="AN979" s="268" t="str">
        <f t="shared" si="1511"/>
        <v/>
      </c>
      <c r="AO979" s="268" t="str">
        <f t="shared" si="1512"/>
        <v/>
      </c>
      <c r="AP979" s="268" t="str">
        <f t="shared" si="1513"/>
        <v/>
      </c>
      <c r="AQ979" s="268" t="str">
        <f t="shared" si="1514"/>
        <v/>
      </c>
      <c r="AR979" s="268" t="str">
        <f t="shared" si="1515"/>
        <v/>
      </c>
      <c r="AS979" s="268" t="str">
        <f t="shared" si="1516"/>
        <v/>
      </c>
      <c r="AT979" s="268" t="str">
        <f t="shared" si="1517"/>
        <v/>
      </c>
      <c r="AU979" s="268" t="str">
        <f t="shared" si="1518"/>
        <v/>
      </c>
      <c r="AV979" s="268" t="str">
        <f t="shared" si="1519"/>
        <v/>
      </c>
      <c r="AW979" s="268" t="str">
        <f t="shared" si="1520"/>
        <v/>
      </c>
      <c r="AX979" s="268" t="str">
        <f t="shared" si="1521"/>
        <v/>
      </c>
      <c r="AY979" s="268" t="str">
        <f t="shared" si="1522"/>
        <v/>
      </c>
      <c r="AZ979" s="268" t="str">
        <f t="shared" si="1523"/>
        <v/>
      </c>
      <c r="BA979" s="268" t="str">
        <f t="shared" si="1524"/>
        <v/>
      </c>
      <c r="BB979" s="268" t="str">
        <f t="shared" si="1525"/>
        <v/>
      </c>
      <c r="BC979" s="268" t="str">
        <f t="shared" si="1526"/>
        <v/>
      </c>
      <c r="BD979" s="268" t="str">
        <f t="shared" si="1527"/>
        <v/>
      </c>
      <c r="BE979" s="268" t="str">
        <f t="shared" si="1528"/>
        <v/>
      </c>
      <c r="BF979" s="268" t="str">
        <f t="shared" si="1529"/>
        <v/>
      </c>
      <c r="BG979" s="268" t="str">
        <f t="shared" si="1530"/>
        <v/>
      </c>
      <c r="BH979" s="268" t="str">
        <f t="shared" si="1531"/>
        <v/>
      </c>
      <c r="BI979" s="268" t="str">
        <f t="shared" si="1532"/>
        <v/>
      </c>
      <c r="BJ979" s="268" t="str">
        <f t="shared" si="1533"/>
        <v/>
      </c>
      <c r="BK979" s="268" t="str">
        <f t="shared" si="1534"/>
        <v/>
      </c>
      <c r="BL979" s="268" t="str">
        <f t="shared" si="1535"/>
        <v/>
      </c>
      <c r="BM979" s="268" t="str">
        <f t="shared" si="1536"/>
        <v/>
      </c>
      <c r="BN979" s="268" t="str">
        <f t="shared" si="1537"/>
        <v/>
      </c>
      <c r="BO979" s="268" t="str">
        <f t="shared" si="1538"/>
        <v/>
      </c>
      <c r="BP979" s="268" t="str">
        <f t="shared" si="1539"/>
        <v/>
      </c>
      <c r="BQ979" s="268" t="str">
        <f t="shared" si="1459"/>
        <v/>
      </c>
      <c r="BR979" s="268" t="str">
        <f t="shared" si="1460"/>
        <v/>
      </c>
      <c r="BS979" s="268" t="str">
        <f t="shared" si="1461"/>
        <v/>
      </c>
      <c r="BT979" s="268" t="str">
        <f t="shared" si="1540"/>
        <v/>
      </c>
      <c r="BU979" s="268" t="str">
        <f t="shared" si="1541"/>
        <v/>
      </c>
      <c r="BV979" s="247">
        <v>0.63</v>
      </c>
      <c r="BW979" s="729">
        <f t="shared" si="1542"/>
        <v>2766.96</v>
      </c>
      <c r="BX979" s="730">
        <f t="shared" si="1543"/>
        <v>21443.94</v>
      </c>
      <c r="BY979" s="731" t="str">
        <f t="shared" si="1544"/>
        <v>SR</v>
      </c>
    </row>
    <row r="980" s="698" customFormat="1" customHeight="1" spans="1:77">
      <c r="A980" s="227">
        <v>46167</v>
      </c>
      <c r="B980" s="244">
        <v>46218</v>
      </c>
      <c r="C980" s="211"/>
      <c r="D980" s="242" t="s">
        <v>886</v>
      </c>
      <c r="E980" s="242" t="s">
        <v>85</v>
      </c>
      <c r="F980" s="231">
        <v>2976</v>
      </c>
      <c r="G980" s="242" t="s">
        <v>510</v>
      </c>
      <c r="H980" s="211" t="str">
        <f>IFERROR(VLOOKUP(E980,名称!A:E,4,0),"")</f>
        <v>三代</v>
      </c>
      <c r="I980" s="268" t="str">
        <f t="shared" si="1480"/>
        <v/>
      </c>
      <c r="J980" s="268" t="str">
        <f t="shared" si="1481"/>
        <v/>
      </c>
      <c r="K980" s="268" t="str">
        <f t="shared" si="1482"/>
        <v/>
      </c>
      <c r="L980" s="268" t="str">
        <f t="shared" si="1483"/>
        <v/>
      </c>
      <c r="M980" s="268" t="str">
        <f t="shared" si="1484"/>
        <v/>
      </c>
      <c r="N980" s="268" t="str">
        <f t="shared" si="1485"/>
        <v/>
      </c>
      <c r="O980" s="268" t="str">
        <f t="shared" si="1486"/>
        <v/>
      </c>
      <c r="P980" s="268" t="str">
        <f t="shared" si="1487"/>
        <v/>
      </c>
      <c r="Q980" s="268" t="str">
        <f t="shared" si="1488"/>
        <v/>
      </c>
      <c r="R980" s="268" t="str">
        <f t="shared" si="1489"/>
        <v/>
      </c>
      <c r="S980" s="268" t="str">
        <f t="shared" si="1490"/>
        <v/>
      </c>
      <c r="T980" s="268" t="str">
        <f t="shared" si="1491"/>
        <v/>
      </c>
      <c r="U980" s="268" t="str">
        <f t="shared" si="1492"/>
        <v/>
      </c>
      <c r="V980" s="268" t="str">
        <f t="shared" si="1493"/>
        <v/>
      </c>
      <c r="W980" s="268" t="str">
        <f t="shared" si="1494"/>
        <v/>
      </c>
      <c r="X980" s="268" t="str">
        <f t="shared" si="1495"/>
        <v/>
      </c>
      <c r="Y980" s="268" t="str">
        <f t="shared" si="1496"/>
        <v/>
      </c>
      <c r="Z980" s="268" t="str">
        <f t="shared" si="1497"/>
        <v/>
      </c>
      <c r="AA980" s="268" t="str">
        <f t="shared" si="1498"/>
        <v/>
      </c>
      <c r="AB980" s="268" t="str">
        <f t="shared" si="1499"/>
        <v/>
      </c>
      <c r="AC980" s="268" t="str">
        <f t="shared" si="1500"/>
        <v/>
      </c>
      <c r="AD980" s="268" t="str">
        <f t="shared" si="1501"/>
        <v/>
      </c>
      <c r="AE980" s="268" t="str">
        <f t="shared" si="1502"/>
        <v/>
      </c>
      <c r="AF980" s="268" t="str">
        <f t="shared" si="1503"/>
        <v/>
      </c>
      <c r="AG980" s="268" t="str">
        <f t="shared" si="1504"/>
        <v/>
      </c>
      <c r="AH980" s="268" t="str">
        <f t="shared" si="1505"/>
        <v/>
      </c>
      <c r="AI980" s="268" t="str">
        <f t="shared" si="1506"/>
        <v/>
      </c>
      <c r="AJ980" s="268" t="str">
        <f t="shared" si="1507"/>
        <v/>
      </c>
      <c r="AK980" s="268" t="str">
        <f t="shared" si="1508"/>
        <v/>
      </c>
      <c r="AL980" s="268" t="str">
        <f t="shared" si="1509"/>
        <v/>
      </c>
      <c r="AM980" s="268" t="str">
        <f t="shared" si="1510"/>
        <v/>
      </c>
      <c r="AN980" s="268">
        <f t="shared" si="1511"/>
        <v>2976</v>
      </c>
      <c r="AO980" s="268" t="str">
        <f t="shared" si="1512"/>
        <v/>
      </c>
      <c r="AP980" s="268" t="str">
        <f t="shared" si="1513"/>
        <v/>
      </c>
      <c r="AQ980" s="268" t="str">
        <f t="shared" si="1514"/>
        <v/>
      </c>
      <c r="AR980" s="268" t="str">
        <f t="shared" si="1515"/>
        <v/>
      </c>
      <c r="AS980" s="268" t="str">
        <f t="shared" si="1516"/>
        <v/>
      </c>
      <c r="AT980" s="268" t="str">
        <f t="shared" si="1517"/>
        <v/>
      </c>
      <c r="AU980" s="268" t="str">
        <f t="shared" si="1518"/>
        <v/>
      </c>
      <c r="AV980" s="268" t="str">
        <f t="shared" si="1519"/>
        <v/>
      </c>
      <c r="AW980" s="268" t="str">
        <f t="shared" si="1520"/>
        <v/>
      </c>
      <c r="AX980" s="268" t="str">
        <f t="shared" si="1521"/>
        <v/>
      </c>
      <c r="AY980" s="268" t="str">
        <f t="shared" si="1522"/>
        <v/>
      </c>
      <c r="AZ980" s="268" t="str">
        <f t="shared" si="1523"/>
        <v/>
      </c>
      <c r="BA980" s="268" t="str">
        <f t="shared" si="1524"/>
        <v/>
      </c>
      <c r="BB980" s="268" t="str">
        <f t="shared" si="1525"/>
        <v/>
      </c>
      <c r="BC980" s="268" t="str">
        <f t="shared" si="1526"/>
        <v/>
      </c>
      <c r="BD980" s="268" t="str">
        <f t="shared" si="1527"/>
        <v/>
      </c>
      <c r="BE980" s="268" t="str">
        <f t="shared" si="1528"/>
        <v/>
      </c>
      <c r="BF980" s="268" t="str">
        <f t="shared" si="1529"/>
        <v/>
      </c>
      <c r="BG980" s="268" t="str">
        <f t="shared" si="1530"/>
        <v/>
      </c>
      <c r="BH980" s="268" t="str">
        <f t="shared" si="1531"/>
        <v/>
      </c>
      <c r="BI980" s="268" t="str">
        <f t="shared" si="1532"/>
        <v/>
      </c>
      <c r="BJ980" s="268" t="str">
        <f t="shared" si="1533"/>
        <v/>
      </c>
      <c r="BK980" s="268" t="str">
        <f t="shared" si="1534"/>
        <v/>
      </c>
      <c r="BL980" s="268" t="str">
        <f t="shared" si="1535"/>
        <v/>
      </c>
      <c r="BM980" s="268" t="str">
        <f t="shared" si="1536"/>
        <v/>
      </c>
      <c r="BN980" s="268" t="str">
        <f t="shared" si="1537"/>
        <v/>
      </c>
      <c r="BO980" s="268" t="str">
        <f t="shared" si="1538"/>
        <v/>
      </c>
      <c r="BP980" s="268" t="str">
        <f t="shared" si="1539"/>
        <v/>
      </c>
      <c r="BQ980" s="268" t="str">
        <f t="shared" si="1459"/>
        <v/>
      </c>
      <c r="BR980" s="268" t="str">
        <f t="shared" si="1460"/>
        <v/>
      </c>
      <c r="BS980" s="268" t="str">
        <f t="shared" si="1461"/>
        <v/>
      </c>
      <c r="BT980" s="268" t="str">
        <f t="shared" si="1540"/>
        <v/>
      </c>
      <c r="BU980" s="268" t="str">
        <f t="shared" si="1541"/>
        <v/>
      </c>
      <c r="BV980" s="247">
        <v>0.91</v>
      </c>
      <c r="BW980" s="729">
        <f t="shared" si="1542"/>
        <v>2708.16</v>
      </c>
      <c r="BX980" s="730">
        <f t="shared" si="1543"/>
        <v>20988.24</v>
      </c>
      <c r="BY980" s="731" t="str">
        <f t="shared" si="1544"/>
        <v>SR</v>
      </c>
    </row>
    <row r="981" s="698" customFormat="1" customHeight="1" spans="1:77">
      <c r="A981" s="227">
        <v>46167</v>
      </c>
      <c r="B981" s="244">
        <v>46218</v>
      </c>
      <c r="C981" s="211"/>
      <c r="D981" s="242" t="s">
        <v>886</v>
      </c>
      <c r="E981" s="242" t="s">
        <v>66</v>
      </c>
      <c r="F981" s="231">
        <v>1302</v>
      </c>
      <c r="G981" s="242" t="s">
        <v>510</v>
      </c>
      <c r="H981" s="211" t="str">
        <f>IFERROR(VLOOKUP(E981,名称!A:E,4,0),"")</f>
        <v>三代</v>
      </c>
      <c r="I981" s="268" t="str">
        <f t="shared" si="1480"/>
        <v/>
      </c>
      <c r="J981" s="268" t="str">
        <f t="shared" si="1481"/>
        <v/>
      </c>
      <c r="K981" s="268" t="str">
        <f t="shared" si="1482"/>
        <v/>
      </c>
      <c r="L981" s="268" t="str">
        <f t="shared" si="1483"/>
        <v/>
      </c>
      <c r="M981" s="268" t="str">
        <f t="shared" si="1484"/>
        <v/>
      </c>
      <c r="N981" s="268" t="str">
        <f t="shared" si="1485"/>
        <v/>
      </c>
      <c r="O981" s="268" t="str">
        <f t="shared" si="1486"/>
        <v/>
      </c>
      <c r="P981" s="268" t="str">
        <f t="shared" si="1487"/>
        <v/>
      </c>
      <c r="Q981" s="268" t="str">
        <f t="shared" si="1488"/>
        <v/>
      </c>
      <c r="R981" s="268" t="str">
        <f t="shared" si="1489"/>
        <v/>
      </c>
      <c r="S981" s="268" t="str">
        <f t="shared" si="1490"/>
        <v/>
      </c>
      <c r="T981" s="268" t="str">
        <f t="shared" si="1491"/>
        <v/>
      </c>
      <c r="U981" s="268" t="str">
        <f t="shared" si="1492"/>
        <v/>
      </c>
      <c r="V981" s="268" t="str">
        <f t="shared" si="1493"/>
        <v/>
      </c>
      <c r="W981" s="268" t="str">
        <f t="shared" si="1494"/>
        <v/>
      </c>
      <c r="X981" s="268" t="str">
        <f t="shared" si="1495"/>
        <v/>
      </c>
      <c r="Y981" s="268" t="str">
        <f t="shared" si="1496"/>
        <v/>
      </c>
      <c r="Z981" s="268" t="str">
        <f t="shared" si="1497"/>
        <v/>
      </c>
      <c r="AA981" s="268" t="str">
        <f t="shared" si="1498"/>
        <v/>
      </c>
      <c r="AB981" s="268" t="str">
        <f t="shared" si="1499"/>
        <v/>
      </c>
      <c r="AC981" s="268" t="str">
        <f t="shared" si="1500"/>
        <v/>
      </c>
      <c r="AD981" s="268" t="str">
        <f t="shared" si="1501"/>
        <v/>
      </c>
      <c r="AE981" s="268" t="str">
        <f t="shared" si="1502"/>
        <v/>
      </c>
      <c r="AF981" s="268" t="str">
        <f t="shared" si="1503"/>
        <v/>
      </c>
      <c r="AG981" s="268">
        <f t="shared" si="1504"/>
        <v>1302</v>
      </c>
      <c r="AH981" s="268" t="str">
        <f t="shared" si="1505"/>
        <v/>
      </c>
      <c r="AI981" s="268" t="str">
        <f t="shared" si="1506"/>
        <v/>
      </c>
      <c r="AJ981" s="268" t="str">
        <f t="shared" si="1507"/>
        <v/>
      </c>
      <c r="AK981" s="268" t="str">
        <f t="shared" si="1508"/>
        <v/>
      </c>
      <c r="AL981" s="268" t="str">
        <f t="shared" si="1509"/>
        <v/>
      </c>
      <c r="AM981" s="268" t="str">
        <f t="shared" si="1510"/>
        <v/>
      </c>
      <c r="AN981" s="268" t="str">
        <f t="shared" si="1511"/>
        <v/>
      </c>
      <c r="AO981" s="268" t="str">
        <f t="shared" si="1512"/>
        <v/>
      </c>
      <c r="AP981" s="268" t="str">
        <f t="shared" si="1513"/>
        <v/>
      </c>
      <c r="AQ981" s="268" t="str">
        <f t="shared" si="1514"/>
        <v/>
      </c>
      <c r="AR981" s="268" t="str">
        <f t="shared" si="1515"/>
        <v/>
      </c>
      <c r="AS981" s="268" t="str">
        <f t="shared" si="1516"/>
        <v/>
      </c>
      <c r="AT981" s="268" t="str">
        <f t="shared" si="1517"/>
        <v/>
      </c>
      <c r="AU981" s="268" t="str">
        <f t="shared" si="1518"/>
        <v/>
      </c>
      <c r="AV981" s="268" t="str">
        <f t="shared" si="1519"/>
        <v/>
      </c>
      <c r="AW981" s="268" t="str">
        <f t="shared" si="1520"/>
        <v/>
      </c>
      <c r="AX981" s="268" t="str">
        <f t="shared" si="1521"/>
        <v/>
      </c>
      <c r="AY981" s="268" t="str">
        <f t="shared" si="1522"/>
        <v/>
      </c>
      <c r="AZ981" s="268" t="str">
        <f t="shared" si="1523"/>
        <v/>
      </c>
      <c r="BA981" s="268" t="str">
        <f t="shared" si="1524"/>
        <v/>
      </c>
      <c r="BB981" s="268" t="str">
        <f t="shared" si="1525"/>
        <v/>
      </c>
      <c r="BC981" s="268" t="str">
        <f t="shared" si="1526"/>
        <v/>
      </c>
      <c r="BD981" s="268" t="str">
        <f t="shared" si="1527"/>
        <v/>
      </c>
      <c r="BE981" s="268" t="str">
        <f t="shared" si="1528"/>
        <v/>
      </c>
      <c r="BF981" s="268" t="str">
        <f t="shared" si="1529"/>
        <v/>
      </c>
      <c r="BG981" s="268" t="str">
        <f t="shared" si="1530"/>
        <v/>
      </c>
      <c r="BH981" s="268" t="str">
        <f t="shared" si="1531"/>
        <v/>
      </c>
      <c r="BI981" s="268" t="str">
        <f t="shared" si="1532"/>
        <v/>
      </c>
      <c r="BJ981" s="268" t="str">
        <f t="shared" si="1533"/>
        <v/>
      </c>
      <c r="BK981" s="268" t="str">
        <f t="shared" si="1534"/>
        <v/>
      </c>
      <c r="BL981" s="268" t="str">
        <f t="shared" si="1535"/>
        <v/>
      </c>
      <c r="BM981" s="268" t="str">
        <f t="shared" si="1536"/>
        <v/>
      </c>
      <c r="BN981" s="268" t="str">
        <f t="shared" si="1537"/>
        <v/>
      </c>
      <c r="BO981" s="268" t="str">
        <f t="shared" si="1538"/>
        <v/>
      </c>
      <c r="BP981" s="268" t="str">
        <f t="shared" si="1539"/>
        <v/>
      </c>
      <c r="BQ981" s="268" t="str">
        <f t="shared" si="1459"/>
        <v/>
      </c>
      <c r="BR981" s="268" t="str">
        <f t="shared" si="1460"/>
        <v/>
      </c>
      <c r="BS981" s="268" t="str">
        <f t="shared" si="1461"/>
        <v/>
      </c>
      <c r="BT981" s="268" t="str">
        <f t="shared" si="1540"/>
        <v/>
      </c>
      <c r="BU981" s="268" t="str">
        <f t="shared" si="1541"/>
        <v/>
      </c>
      <c r="BV981" s="353">
        <v>2.09</v>
      </c>
      <c r="BW981" s="729">
        <f t="shared" si="1542"/>
        <v>2721.18</v>
      </c>
      <c r="BX981" s="730">
        <f t="shared" si="1543"/>
        <v>21089.15</v>
      </c>
      <c r="BY981" s="731" t="str">
        <f t="shared" si="1544"/>
        <v>SR</v>
      </c>
    </row>
    <row r="982" s="698" customFormat="1" customHeight="1" spans="1:77">
      <c r="A982" s="208">
        <v>46169</v>
      </c>
      <c r="B982" s="208">
        <v>46223</v>
      </c>
      <c r="C982" s="211">
        <v>21011796</v>
      </c>
      <c r="D982" s="268" t="s">
        <v>887</v>
      </c>
      <c r="E982" s="268" t="s">
        <v>50</v>
      </c>
      <c r="F982" s="343">
        <v>7200</v>
      </c>
      <c r="G982" s="268" t="s">
        <v>510</v>
      </c>
      <c r="H982" s="211" t="str">
        <f>IFERROR(VLOOKUP(E982,名称!A:E,4,0),"")</f>
        <v>蛋糕</v>
      </c>
      <c r="I982" s="268" t="str">
        <f t="shared" si="1480"/>
        <v/>
      </c>
      <c r="J982" s="268" t="str">
        <f t="shared" si="1481"/>
        <v/>
      </c>
      <c r="K982" s="268" t="str">
        <f t="shared" si="1482"/>
        <v/>
      </c>
      <c r="L982" s="268" t="str">
        <f t="shared" si="1483"/>
        <v/>
      </c>
      <c r="M982" s="268" t="str">
        <f t="shared" si="1484"/>
        <v/>
      </c>
      <c r="N982" s="268" t="str">
        <f t="shared" si="1485"/>
        <v/>
      </c>
      <c r="O982" s="268" t="str">
        <f t="shared" si="1486"/>
        <v/>
      </c>
      <c r="P982" s="268" t="str">
        <f t="shared" si="1487"/>
        <v/>
      </c>
      <c r="Q982" s="268" t="str">
        <f t="shared" si="1488"/>
        <v/>
      </c>
      <c r="R982" s="268" t="str">
        <f t="shared" si="1489"/>
        <v/>
      </c>
      <c r="S982" s="268" t="str">
        <f t="shared" si="1490"/>
        <v/>
      </c>
      <c r="T982" s="268" t="str">
        <f t="shared" si="1491"/>
        <v/>
      </c>
      <c r="U982" s="268" t="str">
        <f t="shared" si="1492"/>
        <v/>
      </c>
      <c r="V982" s="268" t="str">
        <f t="shared" si="1493"/>
        <v/>
      </c>
      <c r="W982" s="268" t="str">
        <f t="shared" si="1494"/>
        <v/>
      </c>
      <c r="X982" s="268" t="str">
        <f t="shared" si="1495"/>
        <v/>
      </c>
      <c r="Y982" s="268" t="str">
        <f t="shared" si="1496"/>
        <v/>
      </c>
      <c r="Z982" s="268" t="str">
        <f t="shared" si="1497"/>
        <v/>
      </c>
      <c r="AA982" s="268" t="str">
        <f t="shared" si="1498"/>
        <v/>
      </c>
      <c r="AB982" s="268" t="str">
        <f t="shared" si="1499"/>
        <v/>
      </c>
      <c r="AC982" s="268" t="str">
        <f t="shared" si="1500"/>
        <v/>
      </c>
      <c r="AD982" s="268" t="str">
        <f t="shared" si="1501"/>
        <v/>
      </c>
      <c r="AE982" s="268" t="str">
        <f t="shared" si="1502"/>
        <v/>
      </c>
      <c r="AF982" s="268" t="str">
        <f t="shared" si="1503"/>
        <v/>
      </c>
      <c r="AG982" s="268" t="str">
        <f t="shared" si="1504"/>
        <v/>
      </c>
      <c r="AH982" s="268" t="str">
        <f t="shared" si="1505"/>
        <v/>
      </c>
      <c r="AI982" s="268" t="str">
        <f t="shared" si="1506"/>
        <v/>
      </c>
      <c r="AJ982" s="268" t="str">
        <f t="shared" si="1507"/>
        <v/>
      </c>
      <c r="AK982" s="268" t="str">
        <f t="shared" si="1508"/>
        <v/>
      </c>
      <c r="AL982" s="268" t="str">
        <f t="shared" si="1509"/>
        <v/>
      </c>
      <c r="AM982" s="268" t="str">
        <f t="shared" si="1510"/>
        <v/>
      </c>
      <c r="AN982" s="268" t="str">
        <f t="shared" si="1511"/>
        <v/>
      </c>
      <c r="AO982" s="268" t="str">
        <f t="shared" si="1512"/>
        <v/>
      </c>
      <c r="AP982" s="268" t="str">
        <f t="shared" si="1513"/>
        <v/>
      </c>
      <c r="AQ982" s="268" t="str">
        <f t="shared" si="1514"/>
        <v/>
      </c>
      <c r="AR982" s="268" t="str">
        <f t="shared" si="1515"/>
        <v/>
      </c>
      <c r="AS982" s="268" t="str">
        <f t="shared" si="1516"/>
        <v/>
      </c>
      <c r="AT982" s="268" t="str">
        <f t="shared" si="1517"/>
        <v/>
      </c>
      <c r="AU982" s="268" t="str">
        <f t="shared" si="1518"/>
        <v/>
      </c>
      <c r="AV982" s="268" t="str">
        <f t="shared" si="1519"/>
        <v/>
      </c>
      <c r="AW982" s="268" t="str">
        <f t="shared" si="1520"/>
        <v/>
      </c>
      <c r="AX982" s="268" t="str">
        <f t="shared" si="1521"/>
        <v/>
      </c>
      <c r="AY982" s="268" t="str">
        <f t="shared" si="1522"/>
        <v/>
      </c>
      <c r="AZ982" s="268" t="str">
        <f t="shared" si="1523"/>
        <v/>
      </c>
      <c r="BA982" s="268" t="str">
        <f t="shared" si="1524"/>
        <v/>
      </c>
      <c r="BB982" s="268" t="str">
        <f t="shared" si="1525"/>
        <v/>
      </c>
      <c r="BC982" s="268" t="str">
        <f t="shared" si="1526"/>
        <v/>
      </c>
      <c r="BD982" s="268" t="str">
        <f t="shared" si="1527"/>
        <v/>
      </c>
      <c r="BE982" s="268" t="str">
        <f t="shared" si="1528"/>
        <v/>
      </c>
      <c r="BF982" s="268" t="str">
        <f t="shared" si="1529"/>
        <v/>
      </c>
      <c r="BG982" s="268">
        <f t="shared" si="1530"/>
        <v>7200</v>
      </c>
      <c r="BH982" s="268" t="str">
        <f t="shared" si="1531"/>
        <v/>
      </c>
      <c r="BI982" s="268" t="str">
        <f t="shared" si="1532"/>
        <v/>
      </c>
      <c r="BJ982" s="268" t="str">
        <f t="shared" si="1533"/>
        <v/>
      </c>
      <c r="BK982" s="268" t="str">
        <f t="shared" si="1534"/>
        <v/>
      </c>
      <c r="BL982" s="268" t="str">
        <f t="shared" si="1535"/>
        <v/>
      </c>
      <c r="BM982" s="268" t="str">
        <f t="shared" si="1536"/>
        <v/>
      </c>
      <c r="BN982" s="268" t="str">
        <f t="shared" si="1537"/>
        <v/>
      </c>
      <c r="BO982" s="268" t="str">
        <f t="shared" si="1538"/>
        <v/>
      </c>
      <c r="BP982" s="268" t="str">
        <f t="shared" si="1539"/>
        <v/>
      </c>
      <c r="BQ982" s="268" t="str">
        <f t="shared" si="1459"/>
        <v/>
      </c>
      <c r="BR982" s="268" t="str">
        <f t="shared" si="1460"/>
        <v/>
      </c>
      <c r="BS982" s="268" t="str">
        <f t="shared" si="1461"/>
        <v/>
      </c>
      <c r="BT982" s="268" t="str">
        <f t="shared" si="1540"/>
        <v/>
      </c>
      <c r="BU982" s="268" t="str">
        <f t="shared" si="1541"/>
        <v/>
      </c>
      <c r="BV982" s="247">
        <v>1.1</v>
      </c>
      <c r="BW982" s="729">
        <f t="shared" si="1542"/>
        <v>7920</v>
      </c>
      <c r="BX982" s="730">
        <f t="shared" si="1543"/>
        <v>61380</v>
      </c>
      <c r="BY982" s="731" t="str">
        <f t="shared" si="1544"/>
        <v>JC</v>
      </c>
    </row>
    <row r="983" s="698" customFormat="1" customHeight="1" spans="1:77">
      <c r="A983" s="208">
        <v>46169</v>
      </c>
      <c r="B983" s="208">
        <v>46223</v>
      </c>
      <c r="C983" s="211">
        <v>21011796</v>
      </c>
      <c r="D983" s="268" t="s">
        <v>887</v>
      </c>
      <c r="E983" s="268" t="s">
        <v>123</v>
      </c>
      <c r="F983" s="343">
        <v>14016</v>
      </c>
      <c r="G983" s="268" t="s">
        <v>510</v>
      </c>
      <c r="H983" s="211" t="str">
        <f>IFERROR(VLOOKUP(E983,名称!A:E,4,0),"")</f>
        <v>蛋糕</v>
      </c>
      <c r="I983" s="268" t="str">
        <f t="shared" si="1480"/>
        <v/>
      </c>
      <c r="J983" s="268" t="str">
        <f t="shared" si="1481"/>
        <v/>
      </c>
      <c r="K983" s="268" t="str">
        <f t="shared" si="1482"/>
        <v/>
      </c>
      <c r="L983" s="268" t="str">
        <f t="shared" si="1483"/>
        <v/>
      </c>
      <c r="M983" s="268" t="str">
        <f t="shared" si="1484"/>
        <v/>
      </c>
      <c r="N983" s="268" t="str">
        <f t="shared" si="1485"/>
        <v/>
      </c>
      <c r="O983" s="268" t="str">
        <f t="shared" si="1486"/>
        <v/>
      </c>
      <c r="P983" s="268" t="str">
        <f t="shared" si="1487"/>
        <v/>
      </c>
      <c r="Q983" s="268" t="str">
        <f t="shared" si="1488"/>
        <v/>
      </c>
      <c r="R983" s="268" t="str">
        <f t="shared" si="1489"/>
        <v/>
      </c>
      <c r="S983" s="268" t="str">
        <f t="shared" si="1490"/>
        <v/>
      </c>
      <c r="T983" s="268" t="str">
        <f t="shared" si="1491"/>
        <v/>
      </c>
      <c r="U983" s="268" t="str">
        <f t="shared" si="1492"/>
        <v/>
      </c>
      <c r="V983" s="268" t="str">
        <f t="shared" si="1493"/>
        <v/>
      </c>
      <c r="W983" s="268" t="str">
        <f t="shared" si="1494"/>
        <v/>
      </c>
      <c r="X983" s="268" t="str">
        <f t="shared" si="1495"/>
        <v/>
      </c>
      <c r="Y983" s="268" t="str">
        <f t="shared" si="1496"/>
        <v/>
      </c>
      <c r="Z983" s="268" t="str">
        <f t="shared" si="1497"/>
        <v/>
      </c>
      <c r="AA983" s="268" t="str">
        <f t="shared" si="1498"/>
        <v/>
      </c>
      <c r="AB983" s="268" t="str">
        <f t="shared" si="1499"/>
        <v/>
      </c>
      <c r="AC983" s="268" t="str">
        <f t="shared" si="1500"/>
        <v/>
      </c>
      <c r="AD983" s="268" t="str">
        <f t="shared" si="1501"/>
        <v/>
      </c>
      <c r="AE983" s="268" t="str">
        <f t="shared" si="1502"/>
        <v/>
      </c>
      <c r="AF983" s="268" t="str">
        <f t="shared" si="1503"/>
        <v/>
      </c>
      <c r="AG983" s="268" t="str">
        <f t="shared" si="1504"/>
        <v/>
      </c>
      <c r="AH983" s="268" t="str">
        <f t="shared" si="1505"/>
        <v/>
      </c>
      <c r="AI983" s="268" t="str">
        <f t="shared" si="1506"/>
        <v/>
      </c>
      <c r="AJ983" s="268" t="str">
        <f t="shared" si="1507"/>
        <v/>
      </c>
      <c r="AK983" s="268" t="str">
        <f t="shared" si="1508"/>
        <v/>
      </c>
      <c r="AL983" s="268" t="str">
        <f t="shared" si="1509"/>
        <v/>
      </c>
      <c r="AM983" s="268" t="str">
        <f t="shared" si="1510"/>
        <v/>
      </c>
      <c r="AN983" s="268" t="str">
        <f t="shared" si="1511"/>
        <v/>
      </c>
      <c r="AO983" s="268" t="str">
        <f t="shared" si="1512"/>
        <v/>
      </c>
      <c r="AP983" s="268" t="str">
        <f t="shared" si="1513"/>
        <v/>
      </c>
      <c r="AQ983" s="268" t="str">
        <f t="shared" si="1514"/>
        <v/>
      </c>
      <c r="AR983" s="268" t="str">
        <f t="shared" si="1515"/>
        <v/>
      </c>
      <c r="AS983" s="268" t="str">
        <f t="shared" si="1516"/>
        <v/>
      </c>
      <c r="AT983" s="268" t="str">
        <f t="shared" si="1517"/>
        <v/>
      </c>
      <c r="AU983" s="268" t="str">
        <f t="shared" si="1518"/>
        <v/>
      </c>
      <c r="AV983" s="268" t="str">
        <f t="shared" si="1519"/>
        <v/>
      </c>
      <c r="AW983" s="268" t="str">
        <f t="shared" si="1520"/>
        <v/>
      </c>
      <c r="AX983" s="268" t="str">
        <f t="shared" si="1521"/>
        <v/>
      </c>
      <c r="AY983" s="268" t="str">
        <f t="shared" si="1522"/>
        <v/>
      </c>
      <c r="AZ983" s="268" t="str">
        <f t="shared" si="1523"/>
        <v/>
      </c>
      <c r="BA983" s="268" t="str">
        <f t="shared" si="1524"/>
        <v/>
      </c>
      <c r="BB983" s="268" t="str">
        <f t="shared" si="1525"/>
        <v/>
      </c>
      <c r="BC983" s="268" t="str">
        <f t="shared" si="1526"/>
        <v/>
      </c>
      <c r="BD983" s="268" t="str">
        <f t="shared" si="1527"/>
        <v/>
      </c>
      <c r="BE983" s="268" t="str">
        <f t="shared" si="1528"/>
        <v/>
      </c>
      <c r="BF983" s="268">
        <f t="shared" si="1529"/>
        <v>14016</v>
      </c>
      <c r="BG983" s="268" t="str">
        <f t="shared" si="1530"/>
        <v/>
      </c>
      <c r="BH983" s="268" t="str">
        <f t="shared" si="1531"/>
        <v/>
      </c>
      <c r="BI983" s="268" t="str">
        <f t="shared" si="1532"/>
        <v/>
      </c>
      <c r="BJ983" s="268" t="str">
        <f t="shared" si="1533"/>
        <v/>
      </c>
      <c r="BK983" s="268" t="str">
        <f t="shared" si="1534"/>
        <v/>
      </c>
      <c r="BL983" s="268" t="str">
        <f t="shared" si="1535"/>
        <v/>
      </c>
      <c r="BM983" s="268" t="str">
        <f t="shared" si="1536"/>
        <v/>
      </c>
      <c r="BN983" s="268" t="str">
        <f t="shared" si="1537"/>
        <v/>
      </c>
      <c r="BO983" s="268" t="str">
        <f t="shared" si="1538"/>
        <v/>
      </c>
      <c r="BP983" s="268" t="str">
        <f t="shared" si="1539"/>
        <v/>
      </c>
      <c r="BQ983" s="268" t="str">
        <f t="shared" si="1459"/>
        <v/>
      </c>
      <c r="BR983" s="268" t="str">
        <f t="shared" si="1460"/>
        <v/>
      </c>
      <c r="BS983" s="268" t="str">
        <f t="shared" si="1461"/>
        <v/>
      </c>
      <c r="BT983" s="268" t="str">
        <f t="shared" si="1540"/>
        <v/>
      </c>
      <c r="BU983" s="268" t="str">
        <f t="shared" si="1541"/>
        <v/>
      </c>
      <c r="BV983" s="247">
        <v>0.78</v>
      </c>
      <c r="BW983" s="729">
        <f t="shared" si="1542"/>
        <v>10932.48</v>
      </c>
      <c r="BX983" s="730">
        <f t="shared" si="1543"/>
        <v>84726.72</v>
      </c>
      <c r="BY983" s="731" t="str">
        <f t="shared" si="1544"/>
        <v>JC</v>
      </c>
    </row>
    <row r="984" s="698" customFormat="1" customHeight="1" spans="1:77">
      <c r="A984" s="227">
        <v>46169</v>
      </c>
      <c r="B984" s="244">
        <v>46226</v>
      </c>
      <c r="C984" s="242"/>
      <c r="D984" s="242" t="s">
        <v>888</v>
      </c>
      <c r="E984" s="242" t="s">
        <v>59</v>
      </c>
      <c r="F984" s="231">
        <v>2040</v>
      </c>
      <c r="G984" s="242" t="s">
        <v>510</v>
      </c>
      <c r="H984" s="211" t="str">
        <f>IFERROR(VLOOKUP(E984,名称!A:E,4,0),"")</f>
        <v>三代</v>
      </c>
      <c r="I984" s="268" t="str">
        <f t="shared" si="1480"/>
        <v/>
      </c>
      <c r="J984" s="268" t="str">
        <f t="shared" si="1481"/>
        <v/>
      </c>
      <c r="K984" s="268" t="str">
        <f t="shared" si="1482"/>
        <v/>
      </c>
      <c r="L984" s="268" t="str">
        <f t="shared" si="1483"/>
        <v/>
      </c>
      <c r="M984" s="268" t="str">
        <f t="shared" si="1484"/>
        <v/>
      </c>
      <c r="N984" s="268" t="str">
        <f t="shared" si="1485"/>
        <v/>
      </c>
      <c r="O984" s="268" t="str">
        <f t="shared" si="1486"/>
        <v/>
      </c>
      <c r="P984" s="268" t="str">
        <f t="shared" si="1487"/>
        <v/>
      </c>
      <c r="Q984" s="268" t="str">
        <f t="shared" si="1488"/>
        <v/>
      </c>
      <c r="R984" s="268" t="str">
        <f t="shared" si="1489"/>
        <v/>
      </c>
      <c r="S984" s="268" t="str">
        <f t="shared" si="1490"/>
        <v/>
      </c>
      <c r="T984" s="268" t="str">
        <f t="shared" si="1491"/>
        <v/>
      </c>
      <c r="U984" s="268" t="str">
        <f t="shared" si="1492"/>
        <v/>
      </c>
      <c r="V984" s="268" t="str">
        <f t="shared" si="1493"/>
        <v/>
      </c>
      <c r="W984" s="268" t="str">
        <f t="shared" si="1494"/>
        <v/>
      </c>
      <c r="X984" s="268" t="str">
        <f t="shared" si="1495"/>
        <v/>
      </c>
      <c r="Y984" s="268" t="str">
        <f t="shared" si="1496"/>
        <v/>
      </c>
      <c r="Z984" s="268" t="str">
        <f t="shared" si="1497"/>
        <v/>
      </c>
      <c r="AA984" s="268" t="str">
        <f t="shared" si="1498"/>
        <v/>
      </c>
      <c r="AB984" s="268" t="str">
        <f t="shared" si="1499"/>
        <v/>
      </c>
      <c r="AC984" s="268" t="str">
        <f t="shared" si="1500"/>
        <v/>
      </c>
      <c r="AD984" s="268">
        <f t="shared" si="1501"/>
        <v>2040</v>
      </c>
      <c r="AE984" s="268" t="str">
        <f t="shared" si="1502"/>
        <v/>
      </c>
      <c r="AF984" s="268" t="str">
        <f t="shared" si="1503"/>
        <v/>
      </c>
      <c r="AG984" s="268" t="str">
        <f t="shared" si="1504"/>
        <v/>
      </c>
      <c r="AH984" s="268" t="str">
        <f t="shared" si="1505"/>
        <v/>
      </c>
      <c r="AI984" s="268" t="str">
        <f t="shared" si="1506"/>
        <v/>
      </c>
      <c r="AJ984" s="268" t="str">
        <f t="shared" si="1507"/>
        <v/>
      </c>
      <c r="AK984" s="268" t="str">
        <f t="shared" si="1508"/>
        <v/>
      </c>
      <c r="AL984" s="268" t="str">
        <f t="shared" si="1509"/>
        <v/>
      </c>
      <c r="AM984" s="268" t="str">
        <f t="shared" si="1510"/>
        <v/>
      </c>
      <c r="AN984" s="268" t="str">
        <f t="shared" si="1511"/>
        <v/>
      </c>
      <c r="AO984" s="268" t="str">
        <f t="shared" si="1512"/>
        <v/>
      </c>
      <c r="AP984" s="268" t="str">
        <f t="shared" si="1513"/>
        <v/>
      </c>
      <c r="AQ984" s="268" t="str">
        <f t="shared" si="1514"/>
        <v/>
      </c>
      <c r="AR984" s="268" t="str">
        <f t="shared" si="1515"/>
        <v/>
      </c>
      <c r="AS984" s="268" t="str">
        <f t="shared" si="1516"/>
        <v/>
      </c>
      <c r="AT984" s="268" t="str">
        <f t="shared" si="1517"/>
        <v/>
      </c>
      <c r="AU984" s="268" t="str">
        <f t="shared" si="1518"/>
        <v/>
      </c>
      <c r="AV984" s="268" t="str">
        <f t="shared" si="1519"/>
        <v/>
      </c>
      <c r="AW984" s="268" t="str">
        <f t="shared" si="1520"/>
        <v/>
      </c>
      <c r="AX984" s="268" t="str">
        <f t="shared" si="1521"/>
        <v/>
      </c>
      <c r="AY984" s="268" t="str">
        <f t="shared" si="1522"/>
        <v/>
      </c>
      <c r="AZ984" s="268" t="str">
        <f t="shared" si="1523"/>
        <v/>
      </c>
      <c r="BA984" s="268" t="str">
        <f t="shared" si="1524"/>
        <v/>
      </c>
      <c r="BB984" s="268" t="str">
        <f t="shared" si="1525"/>
        <v/>
      </c>
      <c r="BC984" s="268" t="str">
        <f t="shared" si="1526"/>
        <v/>
      </c>
      <c r="BD984" s="268" t="str">
        <f t="shared" si="1527"/>
        <v/>
      </c>
      <c r="BE984" s="268" t="str">
        <f t="shared" si="1528"/>
        <v/>
      </c>
      <c r="BF984" s="268" t="str">
        <f t="shared" si="1529"/>
        <v/>
      </c>
      <c r="BG984" s="268" t="str">
        <f t="shared" si="1530"/>
        <v/>
      </c>
      <c r="BH984" s="268" t="str">
        <f t="shared" si="1531"/>
        <v/>
      </c>
      <c r="BI984" s="268" t="str">
        <f t="shared" si="1532"/>
        <v/>
      </c>
      <c r="BJ984" s="268" t="str">
        <f t="shared" si="1533"/>
        <v/>
      </c>
      <c r="BK984" s="268" t="str">
        <f t="shared" si="1534"/>
        <v/>
      </c>
      <c r="BL984" s="268" t="str">
        <f t="shared" si="1535"/>
        <v/>
      </c>
      <c r="BM984" s="268" t="str">
        <f t="shared" si="1536"/>
        <v/>
      </c>
      <c r="BN984" s="268" t="str">
        <f t="shared" si="1537"/>
        <v/>
      </c>
      <c r="BO984" s="268" t="str">
        <f t="shared" si="1538"/>
        <v/>
      </c>
      <c r="BP984" s="268" t="str">
        <f t="shared" si="1539"/>
        <v/>
      </c>
      <c r="BQ984" s="268" t="str">
        <f t="shared" si="1459"/>
        <v/>
      </c>
      <c r="BR984" s="268" t="str">
        <f t="shared" si="1460"/>
        <v/>
      </c>
      <c r="BS984" s="268" t="str">
        <f t="shared" si="1461"/>
        <v/>
      </c>
      <c r="BT984" s="268" t="str">
        <f t="shared" si="1540"/>
        <v/>
      </c>
      <c r="BU984" s="268" t="str">
        <f t="shared" si="1541"/>
        <v/>
      </c>
      <c r="BV984" s="353">
        <v>0.66</v>
      </c>
      <c r="BW984" s="729">
        <f t="shared" si="1542"/>
        <v>1346.4</v>
      </c>
      <c r="BX984" s="730">
        <f t="shared" si="1543"/>
        <v>10434.6</v>
      </c>
      <c r="BY984" s="731" t="str">
        <f t="shared" si="1544"/>
        <v>SR</v>
      </c>
    </row>
    <row r="985" s="698" customFormat="1" customHeight="1" spans="1:77">
      <c r="A985" s="227">
        <v>46169</v>
      </c>
      <c r="B985" s="244">
        <v>46226</v>
      </c>
      <c r="C985" s="242"/>
      <c r="D985" s="242" t="s">
        <v>888</v>
      </c>
      <c r="E985" s="242" t="s">
        <v>99</v>
      </c>
      <c r="F985" s="231">
        <v>3504</v>
      </c>
      <c r="G985" s="242" t="s">
        <v>510</v>
      </c>
      <c r="H985" s="211" t="str">
        <f>IFERROR(VLOOKUP(E985,名称!A:E,4,0),"")</f>
        <v>三代</v>
      </c>
      <c r="I985" s="268" t="str">
        <f t="shared" si="1480"/>
        <v/>
      </c>
      <c r="J985" s="268" t="str">
        <f t="shared" si="1481"/>
        <v/>
      </c>
      <c r="K985" s="268" t="str">
        <f t="shared" si="1482"/>
        <v/>
      </c>
      <c r="L985" s="268" t="str">
        <f t="shared" si="1483"/>
        <v/>
      </c>
      <c r="M985" s="268" t="str">
        <f t="shared" si="1484"/>
        <v/>
      </c>
      <c r="N985" s="268" t="str">
        <f t="shared" si="1485"/>
        <v/>
      </c>
      <c r="O985" s="268" t="str">
        <f t="shared" si="1486"/>
        <v/>
      </c>
      <c r="P985" s="268" t="str">
        <f t="shared" si="1487"/>
        <v/>
      </c>
      <c r="Q985" s="268" t="str">
        <f t="shared" si="1488"/>
        <v/>
      </c>
      <c r="R985" s="268" t="str">
        <f t="shared" si="1489"/>
        <v/>
      </c>
      <c r="S985" s="268" t="str">
        <f t="shared" si="1490"/>
        <v/>
      </c>
      <c r="T985" s="268" t="str">
        <f t="shared" si="1491"/>
        <v/>
      </c>
      <c r="U985" s="268" t="str">
        <f t="shared" si="1492"/>
        <v/>
      </c>
      <c r="V985" s="268" t="str">
        <f t="shared" si="1493"/>
        <v/>
      </c>
      <c r="W985" s="268" t="str">
        <f t="shared" si="1494"/>
        <v/>
      </c>
      <c r="X985" s="268" t="str">
        <f t="shared" si="1495"/>
        <v/>
      </c>
      <c r="Y985" s="268" t="str">
        <f t="shared" si="1496"/>
        <v/>
      </c>
      <c r="Z985" s="268" t="str">
        <f t="shared" si="1497"/>
        <v/>
      </c>
      <c r="AA985" s="268" t="str">
        <f t="shared" si="1498"/>
        <v/>
      </c>
      <c r="AB985" s="268" t="str">
        <f t="shared" si="1499"/>
        <v/>
      </c>
      <c r="AC985" s="268">
        <f t="shared" si="1500"/>
        <v>3504</v>
      </c>
      <c r="AD985" s="268" t="str">
        <f t="shared" si="1501"/>
        <v/>
      </c>
      <c r="AE985" s="268" t="str">
        <f t="shared" si="1502"/>
        <v/>
      </c>
      <c r="AF985" s="268" t="str">
        <f t="shared" si="1503"/>
        <v/>
      </c>
      <c r="AG985" s="268" t="str">
        <f t="shared" si="1504"/>
        <v/>
      </c>
      <c r="AH985" s="268" t="str">
        <f t="shared" si="1505"/>
        <v/>
      </c>
      <c r="AI985" s="268" t="str">
        <f t="shared" si="1506"/>
        <v/>
      </c>
      <c r="AJ985" s="268" t="str">
        <f t="shared" si="1507"/>
        <v/>
      </c>
      <c r="AK985" s="268" t="str">
        <f t="shared" si="1508"/>
        <v/>
      </c>
      <c r="AL985" s="268" t="str">
        <f t="shared" si="1509"/>
        <v/>
      </c>
      <c r="AM985" s="268" t="str">
        <f t="shared" si="1510"/>
        <v/>
      </c>
      <c r="AN985" s="268" t="str">
        <f t="shared" si="1511"/>
        <v/>
      </c>
      <c r="AO985" s="268" t="str">
        <f t="shared" si="1512"/>
        <v/>
      </c>
      <c r="AP985" s="268" t="str">
        <f t="shared" si="1513"/>
        <v/>
      </c>
      <c r="AQ985" s="268" t="str">
        <f t="shared" si="1514"/>
        <v/>
      </c>
      <c r="AR985" s="268" t="str">
        <f t="shared" si="1515"/>
        <v/>
      </c>
      <c r="AS985" s="268" t="str">
        <f t="shared" si="1516"/>
        <v/>
      </c>
      <c r="AT985" s="268" t="str">
        <f t="shared" si="1517"/>
        <v/>
      </c>
      <c r="AU985" s="268" t="str">
        <f t="shared" si="1518"/>
        <v/>
      </c>
      <c r="AV985" s="268" t="str">
        <f t="shared" si="1519"/>
        <v/>
      </c>
      <c r="AW985" s="268" t="str">
        <f t="shared" si="1520"/>
        <v/>
      </c>
      <c r="AX985" s="268" t="str">
        <f t="shared" si="1521"/>
        <v/>
      </c>
      <c r="AY985" s="268" t="str">
        <f t="shared" si="1522"/>
        <v/>
      </c>
      <c r="AZ985" s="268" t="str">
        <f t="shared" si="1523"/>
        <v/>
      </c>
      <c r="BA985" s="268" t="str">
        <f t="shared" si="1524"/>
        <v/>
      </c>
      <c r="BB985" s="268" t="str">
        <f t="shared" si="1525"/>
        <v/>
      </c>
      <c r="BC985" s="268" t="str">
        <f t="shared" si="1526"/>
        <v/>
      </c>
      <c r="BD985" s="268" t="str">
        <f t="shared" si="1527"/>
        <v/>
      </c>
      <c r="BE985" s="268" t="str">
        <f t="shared" si="1528"/>
        <v/>
      </c>
      <c r="BF985" s="268" t="str">
        <f t="shared" si="1529"/>
        <v/>
      </c>
      <c r="BG985" s="268" t="str">
        <f t="shared" si="1530"/>
        <v/>
      </c>
      <c r="BH985" s="268" t="str">
        <f t="shared" si="1531"/>
        <v/>
      </c>
      <c r="BI985" s="268" t="str">
        <f t="shared" si="1532"/>
        <v/>
      </c>
      <c r="BJ985" s="268" t="str">
        <f t="shared" si="1533"/>
        <v/>
      </c>
      <c r="BK985" s="268" t="str">
        <f t="shared" si="1534"/>
        <v/>
      </c>
      <c r="BL985" s="268" t="str">
        <f t="shared" si="1535"/>
        <v/>
      </c>
      <c r="BM985" s="268" t="str">
        <f t="shared" si="1536"/>
        <v/>
      </c>
      <c r="BN985" s="268" t="str">
        <f t="shared" si="1537"/>
        <v/>
      </c>
      <c r="BO985" s="268" t="str">
        <f t="shared" si="1538"/>
        <v/>
      </c>
      <c r="BP985" s="268" t="str">
        <f t="shared" si="1539"/>
        <v/>
      </c>
      <c r="BQ985" s="268" t="str">
        <f t="shared" si="1459"/>
        <v/>
      </c>
      <c r="BR985" s="268" t="str">
        <f t="shared" si="1460"/>
        <v/>
      </c>
      <c r="BS985" s="268" t="str">
        <f t="shared" si="1461"/>
        <v/>
      </c>
      <c r="BT985" s="268" t="str">
        <f t="shared" si="1540"/>
        <v/>
      </c>
      <c r="BU985" s="268" t="str">
        <f t="shared" si="1541"/>
        <v/>
      </c>
      <c r="BV985" s="353">
        <v>0.92</v>
      </c>
      <c r="BW985" s="729">
        <f t="shared" si="1542"/>
        <v>3223.68</v>
      </c>
      <c r="BX985" s="730">
        <f t="shared" si="1543"/>
        <v>24983.52</v>
      </c>
      <c r="BY985" s="731" t="str">
        <f t="shared" si="1544"/>
        <v>SR</v>
      </c>
    </row>
    <row r="986" s="698" customFormat="1" customHeight="1" spans="1:77">
      <c r="A986" s="227">
        <v>46169</v>
      </c>
      <c r="B986" s="244">
        <v>46230</v>
      </c>
      <c r="C986" s="242" t="s">
        <v>889</v>
      </c>
      <c r="D986" s="242" t="s">
        <v>890</v>
      </c>
      <c r="E986" s="242" t="s">
        <v>71</v>
      </c>
      <c r="F986" s="231">
        <v>800</v>
      </c>
      <c r="G986" s="242" t="s">
        <v>510</v>
      </c>
      <c r="H986" s="211" t="str">
        <f>IFERROR(VLOOKUP(E986,名称!A:E,4,0),"")</f>
        <v>三代</v>
      </c>
      <c r="I986" s="268" t="str">
        <f t="shared" si="1480"/>
        <v/>
      </c>
      <c r="J986" s="268" t="str">
        <f t="shared" si="1481"/>
        <v/>
      </c>
      <c r="K986" s="268" t="str">
        <f t="shared" si="1482"/>
        <v/>
      </c>
      <c r="L986" s="268" t="str">
        <f t="shared" si="1483"/>
        <v/>
      </c>
      <c r="M986" s="268" t="str">
        <f t="shared" si="1484"/>
        <v/>
      </c>
      <c r="N986" s="268" t="str">
        <f t="shared" si="1485"/>
        <v/>
      </c>
      <c r="O986" s="268" t="str">
        <f t="shared" si="1486"/>
        <v/>
      </c>
      <c r="P986" s="268" t="str">
        <f t="shared" si="1487"/>
        <v/>
      </c>
      <c r="Q986" s="268" t="str">
        <f t="shared" si="1488"/>
        <v/>
      </c>
      <c r="R986" s="268" t="str">
        <f t="shared" si="1489"/>
        <v/>
      </c>
      <c r="S986" s="268" t="str">
        <f t="shared" si="1490"/>
        <v/>
      </c>
      <c r="T986" s="268" t="str">
        <f t="shared" si="1491"/>
        <v/>
      </c>
      <c r="U986" s="268" t="str">
        <f t="shared" si="1492"/>
        <v/>
      </c>
      <c r="V986" s="268" t="str">
        <f t="shared" si="1493"/>
        <v/>
      </c>
      <c r="W986" s="268" t="str">
        <f t="shared" si="1494"/>
        <v/>
      </c>
      <c r="X986" s="268" t="str">
        <f t="shared" si="1495"/>
        <v/>
      </c>
      <c r="Y986" s="268" t="str">
        <f t="shared" si="1496"/>
        <v/>
      </c>
      <c r="Z986" s="268" t="str">
        <f t="shared" si="1497"/>
        <v/>
      </c>
      <c r="AA986" s="268" t="str">
        <f t="shared" si="1498"/>
        <v/>
      </c>
      <c r="AB986" s="268" t="str">
        <f t="shared" si="1499"/>
        <v/>
      </c>
      <c r="AC986" s="268" t="str">
        <f t="shared" si="1500"/>
        <v/>
      </c>
      <c r="AD986" s="268" t="str">
        <f t="shared" si="1501"/>
        <v/>
      </c>
      <c r="AE986" s="268" t="str">
        <f t="shared" si="1502"/>
        <v/>
      </c>
      <c r="AF986" s="268" t="str">
        <f t="shared" si="1503"/>
        <v/>
      </c>
      <c r="AG986" s="268" t="str">
        <f t="shared" si="1504"/>
        <v/>
      </c>
      <c r="AH986" s="268" t="str">
        <f t="shared" si="1505"/>
        <v/>
      </c>
      <c r="AI986" s="268" t="str">
        <f t="shared" si="1506"/>
        <v/>
      </c>
      <c r="AJ986" s="268">
        <f t="shared" si="1507"/>
        <v>800</v>
      </c>
      <c r="AK986" s="268" t="str">
        <f t="shared" si="1508"/>
        <v/>
      </c>
      <c r="AL986" s="268" t="str">
        <f t="shared" si="1509"/>
        <v/>
      </c>
      <c r="AM986" s="268" t="str">
        <f t="shared" si="1510"/>
        <v/>
      </c>
      <c r="AN986" s="268" t="str">
        <f t="shared" si="1511"/>
        <v/>
      </c>
      <c r="AO986" s="268" t="str">
        <f t="shared" si="1512"/>
        <v/>
      </c>
      <c r="AP986" s="268" t="str">
        <f t="shared" si="1513"/>
        <v/>
      </c>
      <c r="AQ986" s="268" t="str">
        <f t="shared" si="1514"/>
        <v/>
      </c>
      <c r="AR986" s="268" t="str">
        <f t="shared" si="1515"/>
        <v/>
      </c>
      <c r="AS986" s="268" t="str">
        <f t="shared" si="1516"/>
        <v/>
      </c>
      <c r="AT986" s="268" t="str">
        <f t="shared" si="1517"/>
        <v/>
      </c>
      <c r="AU986" s="268" t="str">
        <f t="shared" si="1518"/>
        <v/>
      </c>
      <c r="AV986" s="268" t="str">
        <f t="shared" si="1519"/>
        <v/>
      </c>
      <c r="AW986" s="268" t="str">
        <f t="shared" si="1520"/>
        <v/>
      </c>
      <c r="AX986" s="268" t="str">
        <f t="shared" si="1521"/>
        <v/>
      </c>
      <c r="AY986" s="268" t="str">
        <f t="shared" si="1522"/>
        <v/>
      </c>
      <c r="AZ986" s="268" t="str">
        <f t="shared" si="1523"/>
        <v/>
      </c>
      <c r="BA986" s="268" t="str">
        <f t="shared" si="1524"/>
        <v/>
      </c>
      <c r="BB986" s="268" t="str">
        <f t="shared" si="1525"/>
        <v/>
      </c>
      <c r="BC986" s="268" t="str">
        <f t="shared" si="1526"/>
        <v/>
      </c>
      <c r="BD986" s="268" t="str">
        <f t="shared" si="1527"/>
        <v/>
      </c>
      <c r="BE986" s="268" t="str">
        <f t="shared" si="1528"/>
        <v/>
      </c>
      <c r="BF986" s="268" t="str">
        <f t="shared" si="1529"/>
        <v/>
      </c>
      <c r="BG986" s="268" t="str">
        <f t="shared" si="1530"/>
        <v/>
      </c>
      <c r="BH986" s="268" t="str">
        <f t="shared" si="1531"/>
        <v/>
      </c>
      <c r="BI986" s="268" t="str">
        <f t="shared" si="1532"/>
        <v/>
      </c>
      <c r="BJ986" s="268" t="str">
        <f t="shared" si="1533"/>
        <v/>
      </c>
      <c r="BK986" s="268" t="str">
        <f t="shared" si="1534"/>
        <v/>
      </c>
      <c r="BL986" s="268" t="str">
        <f t="shared" si="1535"/>
        <v/>
      </c>
      <c r="BM986" s="268" t="str">
        <f t="shared" si="1536"/>
        <v/>
      </c>
      <c r="BN986" s="268" t="str">
        <f t="shared" si="1537"/>
        <v/>
      </c>
      <c r="BO986" s="268" t="str">
        <f t="shared" si="1538"/>
        <v/>
      </c>
      <c r="BP986" s="268" t="str">
        <f t="shared" si="1539"/>
        <v/>
      </c>
      <c r="BQ986" s="268" t="str">
        <f t="shared" si="1459"/>
        <v/>
      </c>
      <c r="BR986" s="268" t="str">
        <f t="shared" si="1460"/>
        <v/>
      </c>
      <c r="BS986" s="268" t="str">
        <f t="shared" si="1461"/>
        <v/>
      </c>
      <c r="BT986" s="268" t="str">
        <f t="shared" si="1540"/>
        <v/>
      </c>
      <c r="BU986" s="268" t="str">
        <f t="shared" si="1541"/>
        <v/>
      </c>
      <c r="BV986" s="215">
        <v>7.34</v>
      </c>
      <c r="BW986" s="729">
        <f t="shared" si="1542"/>
        <v>5872</v>
      </c>
      <c r="BX986" s="730">
        <f t="shared" si="1543"/>
        <v>45508</v>
      </c>
      <c r="BY986" s="731" t="str">
        <f t="shared" si="1544"/>
        <v>SR</v>
      </c>
    </row>
    <row r="987" s="698" customFormat="1" customHeight="1" spans="1:77">
      <c r="A987" s="227">
        <v>46169</v>
      </c>
      <c r="B987" s="244">
        <v>46230</v>
      </c>
      <c r="C987" s="242" t="s">
        <v>889</v>
      </c>
      <c r="D987" s="242" t="s">
        <v>890</v>
      </c>
      <c r="E987" s="242" t="s">
        <v>108</v>
      </c>
      <c r="F987" s="231">
        <v>800</v>
      </c>
      <c r="G987" s="242" t="s">
        <v>510</v>
      </c>
      <c r="H987" s="211" t="str">
        <f>IFERROR(VLOOKUP(E987,名称!A:E,4,0),"")</f>
        <v>三代</v>
      </c>
      <c r="I987" s="268" t="str">
        <f t="shared" si="1480"/>
        <v/>
      </c>
      <c r="J987" s="268" t="str">
        <f t="shared" si="1481"/>
        <v/>
      </c>
      <c r="K987" s="268" t="str">
        <f t="shared" si="1482"/>
        <v/>
      </c>
      <c r="L987" s="268" t="str">
        <f t="shared" si="1483"/>
        <v/>
      </c>
      <c r="M987" s="268" t="str">
        <f t="shared" si="1484"/>
        <v/>
      </c>
      <c r="N987" s="268" t="str">
        <f t="shared" si="1485"/>
        <v/>
      </c>
      <c r="O987" s="268" t="str">
        <f t="shared" si="1486"/>
        <v/>
      </c>
      <c r="P987" s="268" t="str">
        <f t="shared" si="1487"/>
        <v/>
      </c>
      <c r="Q987" s="268" t="str">
        <f t="shared" si="1488"/>
        <v/>
      </c>
      <c r="R987" s="268" t="str">
        <f t="shared" si="1489"/>
        <v/>
      </c>
      <c r="S987" s="268" t="str">
        <f t="shared" si="1490"/>
        <v/>
      </c>
      <c r="T987" s="268" t="str">
        <f t="shared" si="1491"/>
        <v/>
      </c>
      <c r="U987" s="268" t="str">
        <f t="shared" si="1492"/>
        <v/>
      </c>
      <c r="V987" s="268" t="str">
        <f t="shared" si="1493"/>
        <v/>
      </c>
      <c r="W987" s="268" t="str">
        <f t="shared" si="1494"/>
        <v/>
      </c>
      <c r="X987" s="268" t="str">
        <f t="shared" si="1495"/>
        <v/>
      </c>
      <c r="Y987" s="268" t="str">
        <f t="shared" si="1496"/>
        <v/>
      </c>
      <c r="Z987" s="268" t="str">
        <f t="shared" si="1497"/>
        <v/>
      </c>
      <c r="AA987" s="268" t="str">
        <f t="shared" si="1498"/>
        <v/>
      </c>
      <c r="AB987" s="268" t="str">
        <f t="shared" si="1499"/>
        <v/>
      </c>
      <c r="AC987" s="268" t="str">
        <f t="shared" si="1500"/>
        <v/>
      </c>
      <c r="AD987" s="268" t="str">
        <f t="shared" si="1501"/>
        <v/>
      </c>
      <c r="AE987" s="268" t="str">
        <f t="shared" si="1502"/>
        <v/>
      </c>
      <c r="AF987" s="268" t="str">
        <f t="shared" si="1503"/>
        <v/>
      </c>
      <c r="AG987" s="268" t="str">
        <f t="shared" si="1504"/>
        <v/>
      </c>
      <c r="AH987" s="268" t="str">
        <f t="shared" si="1505"/>
        <v/>
      </c>
      <c r="AI987" s="268" t="str">
        <f t="shared" si="1506"/>
        <v/>
      </c>
      <c r="AJ987" s="268" t="str">
        <f t="shared" si="1507"/>
        <v/>
      </c>
      <c r="AK987" s="268" t="str">
        <f t="shared" si="1508"/>
        <v/>
      </c>
      <c r="AL987" s="268" t="str">
        <f t="shared" si="1509"/>
        <v/>
      </c>
      <c r="AM987" s="268" t="str">
        <f t="shared" si="1510"/>
        <v/>
      </c>
      <c r="AN987" s="268" t="str">
        <f t="shared" si="1511"/>
        <v/>
      </c>
      <c r="AO987" s="268" t="str">
        <f t="shared" si="1512"/>
        <v/>
      </c>
      <c r="AP987" s="268" t="str">
        <f t="shared" si="1513"/>
        <v/>
      </c>
      <c r="AQ987" s="268" t="str">
        <f t="shared" si="1514"/>
        <v/>
      </c>
      <c r="AR987" s="268" t="str">
        <f t="shared" si="1515"/>
        <v/>
      </c>
      <c r="AS987" s="268">
        <f t="shared" si="1516"/>
        <v>800</v>
      </c>
      <c r="AT987" s="268" t="str">
        <f t="shared" si="1517"/>
        <v/>
      </c>
      <c r="AU987" s="268" t="str">
        <f t="shared" si="1518"/>
        <v/>
      </c>
      <c r="AV987" s="268" t="str">
        <f t="shared" si="1519"/>
        <v/>
      </c>
      <c r="AW987" s="268" t="str">
        <f t="shared" si="1520"/>
        <v/>
      </c>
      <c r="AX987" s="268" t="str">
        <f t="shared" si="1521"/>
        <v/>
      </c>
      <c r="AY987" s="268" t="str">
        <f t="shared" si="1522"/>
        <v/>
      </c>
      <c r="AZ987" s="268" t="str">
        <f t="shared" si="1523"/>
        <v/>
      </c>
      <c r="BA987" s="268" t="str">
        <f t="shared" si="1524"/>
        <v/>
      </c>
      <c r="BB987" s="268" t="str">
        <f t="shared" si="1525"/>
        <v/>
      </c>
      <c r="BC987" s="268" t="str">
        <f t="shared" si="1526"/>
        <v/>
      </c>
      <c r="BD987" s="268" t="str">
        <f t="shared" si="1527"/>
        <v/>
      </c>
      <c r="BE987" s="268" t="str">
        <f t="shared" si="1528"/>
        <v/>
      </c>
      <c r="BF987" s="268" t="str">
        <f t="shared" si="1529"/>
        <v/>
      </c>
      <c r="BG987" s="268" t="str">
        <f t="shared" si="1530"/>
        <v/>
      </c>
      <c r="BH987" s="268" t="str">
        <f t="shared" si="1531"/>
        <v/>
      </c>
      <c r="BI987" s="268" t="str">
        <f t="shared" si="1532"/>
        <v/>
      </c>
      <c r="BJ987" s="268" t="str">
        <f t="shared" si="1533"/>
        <v/>
      </c>
      <c r="BK987" s="268" t="str">
        <f t="shared" si="1534"/>
        <v/>
      </c>
      <c r="BL987" s="268" t="str">
        <f t="shared" si="1535"/>
        <v/>
      </c>
      <c r="BM987" s="268" t="str">
        <f t="shared" si="1536"/>
        <v/>
      </c>
      <c r="BN987" s="268" t="str">
        <f t="shared" si="1537"/>
        <v/>
      </c>
      <c r="BO987" s="268" t="str">
        <f t="shared" si="1538"/>
        <v/>
      </c>
      <c r="BP987" s="268" t="str">
        <f t="shared" si="1539"/>
        <v/>
      </c>
      <c r="BQ987" s="268" t="str">
        <f t="shared" si="1459"/>
        <v/>
      </c>
      <c r="BR987" s="268" t="str">
        <f t="shared" si="1460"/>
        <v/>
      </c>
      <c r="BS987" s="268" t="str">
        <f t="shared" si="1461"/>
        <v/>
      </c>
      <c r="BT987" s="268" t="str">
        <f t="shared" si="1540"/>
        <v/>
      </c>
      <c r="BU987" s="268" t="str">
        <f t="shared" si="1541"/>
        <v/>
      </c>
      <c r="BV987" s="215">
        <v>7.62</v>
      </c>
      <c r="BW987" s="729">
        <f t="shared" si="1542"/>
        <v>6096</v>
      </c>
      <c r="BX987" s="730">
        <f t="shared" si="1543"/>
        <v>47244</v>
      </c>
      <c r="BY987" s="731" t="str">
        <f t="shared" si="1544"/>
        <v>SR</v>
      </c>
    </row>
    <row r="988" s="697" customFormat="1" customHeight="1" spans="1:77">
      <c r="A988" s="174">
        <v>46169</v>
      </c>
      <c r="B988" s="178">
        <v>46266</v>
      </c>
      <c r="C988" s="123" t="s">
        <v>891</v>
      </c>
      <c r="D988" s="176" t="s">
        <v>892</v>
      </c>
      <c r="E988" s="176" t="s">
        <v>197</v>
      </c>
      <c r="F988" s="741">
        <v>23976</v>
      </c>
      <c r="G988" s="176" t="s">
        <v>253</v>
      </c>
      <c r="H988" s="118" t="str">
        <f>IFERROR(VLOOKUP(E988,名称!A:E,4,0),"")</f>
        <v>三代</v>
      </c>
      <c r="I988" s="418" t="str">
        <f t="shared" si="1480"/>
        <v/>
      </c>
      <c r="J988" s="418" t="str">
        <f t="shared" si="1481"/>
        <v/>
      </c>
      <c r="K988" s="418" t="str">
        <f t="shared" si="1482"/>
        <v/>
      </c>
      <c r="L988" s="418" t="str">
        <f t="shared" si="1483"/>
        <v/>
      </c>
      <c r="M988" s="418" t="str">
        <f t="shared" si="1484"/>
        <v/>
      </c>
      <c r="N988" s="418" t="str">
        <f t="shared" si="1485"/>
        <v/>
      </c>
      <c r="O988" s="418" t="str">
        <f t="shared" si="1486"/>
        <v/>
      </c>
      <c r="P988" s="418" t="str">
        <f t="shared" si="1487"/>
        <v/>
      </c>
      <c r="Q988" s="418" t="str">
        <f t="shared" si="1488"/>
        <v/>
      </c>
      <c r="R988" s="418" t="str">
        <f t="shared" si="1489"/>
        <v/>
      </c>
      <c r="S988" s="418" t="str">
        <f t="shared" si="1490"/>
        <v/>
      </c>
      <c r="T988" s="418" t="str">
        <f t="shared" si="1491"/>
        <v/>
      </c>
      <c r="U988" s="418" t="str">
        <f t="shared" si="1492"/>
        <v/>
      </c>
      <c r="V988" s="418" t="str">
        <f t="shared" si="1493"/>
        <v/>
      </c>
      <c r="W988" s="418" t="str">
        <f t="shared" si="1494"/>
        <v/>
      </c>
      <c r="X988" s="418" t="str">
        <f t="shared" si="1495"/>
        <v/>
      </c>
      <c r="Y988" s="418" t="str">
        <f t="shared" si="1496"/>
        <v/>
      </c>
      <c r="Z988" s="418" t="str">
        <f t="shared" si="1497"/>
        <v/>
      </c>
      <c r="AA988" s="418" t="str">
        <f t="shared" si="1498"/>
        <v/>
      </c>
      <c r="AB988" s="418" t="str">
        <f t="shared" si="1499"/>
        <v/>
      </c>
      <c r="AC988" s="418" t="str">
        <f t="shared" si="1500"/>
        <v/>
      </c>
      <c r="AD988" s="418" t="str">
        <f t="shared" si="1501"/>
        <v/>
      </c>
      <c r="AE988" s="418" t="str">
        <f t="shared" si="1502"/>
        <v/>
      </c>
      <c r="AF988" s="418" t="str">
        <f t="shared" si="1503"/>
        <v/>
      </c>
      <c r="AG988" s="418" t="str">
        <f t="shared" si="1504"/>
        <v/>
      </c>
      <c r="AH988" s="418" t="str">
        <f t="shared" si="1505"/>
        <v/>
      </c>
      <c r="AI988" s="418" t="str">
        <f t="shared" si="1506"/>
        <v/>
      </c>
      <c r="AJ988" s="418" t="str">
        <f t="shared" si="1507"/>
        <v/>
      </c>
      <c r="AK988" s="418" t="str">
        <f t="shared" si="1508"/>
        <v/>
      </c>
      <c r="AL988" s="418" t="str">
        <f t="shared" si="1509"/>
        <v/>
      </c>
      <c r="AM988" s="418" t="str">
        <f t="shared" si="1510"/>
        <v/>
      </c>
      <c r="AN988" s="418" t="str">
        <f t="shared" si="1511"/>
        <v/>
      </c>
      <c r="AO988" s="418" t="str">
        <f t="shared" si="1512"/>
        <v/>
      </c>
      <c r="AP988" s="418" t="str">
        <f t="shared" si="1513"/>
        <v/>
      </c>
      <c r="AQ988" s="418" t="str">
        <f t="shared" si="1514"/>
        <v/>
      </c>
      <c r="AR988" s="418" t="str">
        <f t="shared" si="1515"/>
        <v/>
      </c>
      <c r="AS988" s="418" t="str">
        <f t="shared" si="1516"/>
        <v/>
      </c>
      <c r="AT988" s="418" t="str">
        <f t="shared" si="1517"/>
        <v/>
      </c>
      <c r="AU988" s="418" t="str">
        <f t="shared" si="1518"/>
        <v/>
      </c>
      <c r="AV988" s="418" t="str">
        <f t="shared" si="1519"/>
        <v/>
      </c>
      <c r="AW988" s="418" t="str">
        <f t="shared" si="1520"/>
        <v/>
      </c>
      <c r="AX988" s="418" t="str">
        <f t="shared" si="1521"/>
        <v/>
      </c>
      <c r="AY988" s="418" t="str">
        <f t="shared" si="1522"/>
        <v/>
      </c>
      <c r="AZ988" s="418" t="str">
        <f t="shared" si="1523"/>
        <v/>
      </c>
      <c r="BA988" s="418" t="str">
        <f t="shared" si="1524"/>
        <v/>
      </c>
      <c r="BB988" s="418" t="str">
        <f t="shared" si="1525"/>
        <v/>
      </c>
      <c r="BC988" s="418" t="str">
        <f t="shared" si="1526"/>
        <v/>
      </c>
      <c r="BD988" s="418" t="str">
        <f t="shared" si="1527"/>
        <v/>
      </c>
      <c r="BE988" s="418" t="str">
        <f t="shared" si="1528"/>
        <v/>
      </c>
      <c r="BF988" s="418" t="str">
        <f t="shared" si="1529"/>
        <v/>
      </c>
      <c r="BG988" s="418" t="str">
        <f t="shared" si="1530"/>
        <v/>
      </c>
      <c r="BH988" s="418" t="str">
        <f t="shared" si="1531"/>
        <v/>
      </c>
      <c r="BI988" s="418" t="str">
        <f t="shared" si="1532"/>
        <v/>
      </c>
      <c r="BJ988" s="418" t="str">
        <f t="shared" si="1533"/>
        <v/>
      </c>
      <c r="BK988" s="418" t="str">
        <f t="shared" si="1534"/>
        <v/>
      </c>
      <c r="BL988" s="418" t="str">
        <f t="shared" si="1535"/>
        <v/>
      </c>
      <c r="BM988" s="418" t="str">
        <f t="shared" si="1536"/>
        <v/>
      </c>
      <c r="BN988" s="418" t="str">
        <f t="shared" si="1537"/>
        <v/>
      </c>
      <c r="BO988" s="418">
        <f t="shared" si="1538"/>
        <v>23976</v>
      </c>
      <c r="BP988" s="418" t="str">
        <f t="shared" si="1539"/>
        <v/>
      </c>
      <c r="BQ988" s="418" t="str">
        <f t="shared" ref="BQ988:BQ1051" si="1545">IF(OR($E988="",BQ$1=""),"",IF(TRIM(LEFT($E988,MIN(IFERROR(FIND("CDU",UPPER($E988)),999),IFERROR(FIND("BULK",UPPER($E988)),999),IFERROR(FIND("-",$E988),999),IFERROR(FIND("（",$E988),999))-1))=BQ$1,$F988,""))</f>
        <v/>
      </c>
      <c r="BR988" s="418" t="str">
        <f t="shared" ref="BR988:BR1051" si="1546">IF(OR($E988="",BR$1=""),"",IF(TRIM(LEFT($E988,MIN(IFERROR(FIND("CDU",UPPER($E988)),999),IFERROR(FIND("BULK",UPPER($E988)),999),IFERROR(FIND("-",$E988),999),IFERROR(FIND("（",$E988),999))-1))=BR$1,$F988,""))</f>
        <v/>
      </c>
      <c r="BS988" s="418" t="str">
        <f t="shared" ref="BS988:BS1051" si="1547">IF(OR($E988="",BS$1=""),"",IF(TRIM(LEFT($E988,MIN(IFERROR(FIND("CDU",UPPER($E988)),999),IFERROR(FIND("BULK",UPPER($E988)),999),IFERROR(FIND("-",$E988),999),IFERROR(FIND("（",$E988),999))-1))=BS$1,$F988,""))</f>
        <v/>
      </c>
      <c r="BT988" s="418" t="str">
        <f t="shared" si="1540"/>
        <v/>
      </c>
      <c r="BU988" s="418" t="str">
        <f t="shared" si="1541"/>
        <v/>
      </c>
      <c r="BV988" s="742">
        <v>0.7</v>
      </c>
      <c r="BW988" s="723">
        <f t="shared" si="1542"/>
        <v>16783.2</v>
      </c>
      <c r="BX988" s="724">
        <f t="shared" si="1543"/>
        <v>130069.8</v>
      </c>
      <c r="BY988" s="725" t="str">
        <f t="shared" si="1544"/>
        <v>SR</v>
      </c>
    </row>
    <row r="989" s="697" customFormat="1" customHeight="1" spans="1:77">
      <c r="A989" s="174">
        <v>46169</v>
      </c>
      <c r="B989" s="178">
        <v>46174</v>
      </c>
      <c r="C989" s="118" t="s">
        <v>839</v>
      </c>
      <c r="D989" s="118" t="s">
        <v>839</v>
      </c>
      <c r="E989" s="176" t="s">
        <v>182</v>
      </c>
      <c r="F989" s="741">
        <v>768</v>
      </c>
      <c r="G989" s="418"/>
      <c r="H989" s="118" t="str">
        <f>IFERROR(VLOOKUP(E989,名称!A:E,4,0),"")</f>
        <v>三代</v>
      </c>
      <c r="I989" s="418" t="str">
        <f t="shared" si="1480"/>
        <v/>
      </c>
      <c r="J989" s="418" t="str">
        <f t="shared" si="1481"/>
        <v/>
      </c>
      <c r="K989" s="418" t="str">
        <f t="shared" si="1482"/>
        <v/>
      </c>
      <c r="L989" s="418" t="str">
        <f t="shared" si="1483"/>
        <v/>
      </c>
      <c r="M989" s="418" t="str">
        <f t="shared" si="1484"/>
        <v/>
      </c>
      <c r="N989" s="418" t="str">
        <f t="shared" si="1485"/>
        <v/>
      </c>
      <c r="O989" s="418" t="str">
        <f t="shared" si="1486"/>
        <v/>
      </c>
      <c r="P989" s="418" t="str">
        <f t="shared" si="1487"/>
        <v/>
      </c>
      <c r="Q989" s="418" t="str">
        <f t="shared" si="1488"/>
        <v/>
      </c>
      <c r="R989" s="418" t="str">
        <f t="shared" si="1489"/>
        <v/>
      </c>
      <c r="S989" s="418" t="str">
        <f t="shared" si="1490"/>
        <v/>
      </c>
      <c r="T989" s="418" t="str">
        <f t="shared" si="1491"/>
        <v/>
      </c>
      <c r="U989" s="418" t="str">
        <f t="shared" si="1492"/>
        <v/>
      </c>
      <c r="V989" s="418" t="str">
        <f t="shared" si="1493"/>
        <v/>
      </c>
      <c r="W989" s="418" t="str">
        <f t="shared" si="1494"/>
        <v/>
      </c>
      <c r="X989" s="418" t="str">
        <f t="shared" si="1495"/>
        <v/>
      </c>
      <c r="Y989" s="418" t="str">
        <f t="shared" si="1496"/>
        <v/>
      </c>
      <c r="Z989" s="418" t="str">
        <f t="shared" si="1497"/>
        <v/>
      </c>
      <c r="AA989" s="418" t="str">
        <f t="shared" si="1498"/>
        <v/>
      </c>
      <c r="AB989" s="418" t="str">
        <f t="shared" si="1499"/>
        <v/>
      </c>
      <c r="AC989" s="418" t="str">
        <f t="shared" si="1500"/>
        <v/>
      </c>
      <c r="AD989" s="418" t="str">
        <f t="shared" si="1501"/>
        <v/>
      </c>
      <c r="AE989" s="418">
        <f t="shared" si="1502"/>
        <v>768</v>
      </c>
      <c r="AF989" s="418" t="str">
        <f t="shared" si="1503"/>
        <v/>
      </c>
      <c r="AG989" s="418" t="str">
        <f t="shared" si="1504"/>
        <v/>
      </c>
      <c r="AH989" s="418" t="str">
        <f t="shared" si="1505"/>
        <v/>
      </c>
      <c r="AI989" s="418" t="str">
        <f t="shared" si="1506"/>
        <v/>
      </c>
      <c r="AJ989" s="418" t="str">
        <f t="shared" si="1507"/>
        <v/>
      </c>
      <c r="AK989" s="418" t="str">
        <f t="shared" si="1508"/>
        <v/>
      </c>
      <c r="AL989" s="418" t="str">
        <f t="shared" si="1509"/>
        <v/>
      </c>
      <c r="AM989" s="418" t="str">
        <f t="shared" si="1510"/>
        <v/>
      </c>
      <c r="AN989" s="418" t="str">
        <f t="shared" si="1511"/>
        <v/>
      </c>
      <c r="AO989" s="418" t="str">
        <f t="shared" si="1512"/>
        <v/>
      </c>
      <c r="AP989" s="418" t="str">
        <f t="shared" si="1513"/>
        <v/>
      </c>
      <c r="AQ989" s="418" t="str">
        <f t="shared" si="1514"/>
        <v/>
      </c>
      <c r="AR989" s="418" t="str">
        <f t="shared" si="1515"/>
        <v/>
      </c>
      <c r="AS989" s="418" t="str">
        <f t="shared" si="1516"/>
        <v/>
      </c>
      <c r="AT989" s="418" t="str">
        <f t="shared" si="1517"/>
        <v/>
      </c>
      <c r="AU989" s="418" t="str">
        <f t="shared" si="1518"/>
        <v/>
      </c>
      <c r="AV989" s="418" t="str">
        <f t="shared" si="1519"/>
        <v/>
      </c>
      <c r="AW989" s="418" t="str">
        <f t="shared" si="1520"/>
        <v/>
      </c>
      <c r="AX989" s="418" t="str">
        <f t="shared" si="1521"/>
        <v/>
      </c>
      <c r="AY989" s="418" t="str">
        <f t="shared" si="1522"/>
        <v/>
      </c>
      <c r="AZ989" s="418" t="str">
        <f t="shared" si="1523"/>
        <v/>
      </c>
      <c r="BA989" s="418" t="str">
        <f t="shared" si="1524"/>
        <v/>
      </c>
      <c r="BB989" s="418" t="str">
        <f t="shared" si="1525"/>
        <v/>
      </c>
      <c r="BC989" s="418" t="str">
        <f t="shared" si="1526"/>
        <v/>
      </c>
      <c r="BD989" s="418" t="str">
        <f t="shared" si="1527"/>
        <v/>
      </c>
      <c r="BE989" s="418" t="str">
        <f t="shared" si="1528"/>
        <v/>
      </c>
      <c r="BF989" s="418" t="str">
        <f t="shared" si="1529"/>
        <v/>
      </c>
      <c r="BG989" s="418" t="str">
        <f t="shared" si="1530"/>
        <v/>
      </c>
      <c r="BH989" s="418" t="str">
        <f t="shared" si="1531"/>
        <v/>
      </c>
      <c r="BI989" s="418" t="str">
        <f t="shared" si="1532"/>
        <v/>
      </c>
      <c r="BJ989" s="418" t="str">
        <f t="shared" si="1533"/>
        <v/>
      </c>
      <c r="BK989" s="418" t="str">
        <f t="shared" si="1534"/>
        <v/>
      </c>
      <c r="BL989" s="418" t="str">
        <f t="shared" si="1535"/>
        <v/>
      </c>
      <c r="BM989" s="418" t="str">
        <f t="shared" si="1536"/>
        <v/>
      </c>
      <c r="BN989" s="418" t="str">
        <f t="shared" si="1537"/>
        <v/>
      </c>
      <c r="BO989" s="418" t="str">
        <f t="shared" si="1538"/>
        <v/>
      </c>
      <c r="BP989" s="418" t="str">
        <f t="shared" si="1539"/>
        <v/>
      </c>
      <c r="BQ989" s="418" t="str">
        <f t="shared" si="1545"/>
        <v/>
      </c>
      <c r="BR989" s="418" t="str">
        <f t="shared" si="1546"/>
        <v/>
      </c>
      <c r="BS989" s="418" t="str">
        <f t="shared" si="1547"/>
        <v/>
      </c>
      <c r="BT989" s="418" t="str">
        <f t="shared" si="1540"/>
        <v/>
      </c>
      <c r="BU989" s="418" t="str">
        <f t="shared" si="1541"/>
        <v/>
      </c>
      <c r="BV989" s="544">
        <v>0</v>
      </c>
      <c r="BW989" s="723">
        <f t="shared" si="1542"/>
        <v>0</v>
      </c>
      <c r="BX989" s="724">
        <f t="shared" si="1543"/>
        <v>0</v>
      </c>
      <c r="BY989" s="725" t="str">
        <f t="shared" si="1544"/>
        <v>SR</v>
      </c>
    </row>
    <row r="990" s="697" customFormat="1" customHeight="1" spans="1:77">
      <c r="A990" s="174">
        <v>46169</v>
      </c>
      <c r="B990" s="178">
        <v>46174</v>
      </c>
      <c r="C990" s="118" t="s">
        <v>839</v>
      </c>
      <c r="D990" s="118" t="s">
        <v>839</v>
      </c>
      <c r="E990" s="176" t="s">
        <v>181</v>
      </c>
      <c r="F990" s="741">
        <v>200</v>
      </c>
      <c r="G990" s="418"/>
      <c r="H990" s="118" t="str">
        <f>IFERROR(VLOOKUP(E990,名称!A:E,4,0),"")</f>
        <v>三代</v>
      </c>
      <c r="I990" s="418" t="str">
        <f t="shared" si="1480"/>
        <v/>
      </c>
      <c r="J990" s="418" t="str">
        <f t="shared" si="1481"/>
        <v/>
      </c>
      <c r="K990" s="418" t="str">
        <f t="shared" si="1482"/>
        <v/>
      </c>
      <c r="L990" s="418" t="str">
        <f t="shared" si="1483"/>
        <v/>
      </c>
      <c r="M990" s="418" t="str">
        <f t="shared" si="1484"/>
        <v/>
      </c>
      <c r="N990" s="418" t="str">
        <f t="shared" si="1485"/>
        <v/>
      </c>
      <c r="O990" s="418" t="str">
        <f t="shared" si="1486"/>
        <v/>
      </c>
      <c r="P990" s="418" t="str">
        <f t="shared" si="1487"/>
        <v/>
      </c>
      <c r="Q990" s="418" t="str">
        <f t="shared" si="1488"/>
        <v/>
      </c>
      <c r="R990" s="418" t="str">
        <f t="shared" si="1489"/>
        <v/>
      </c>
      <c r="S990" s="418" t="str">
        <f t="shared" si="1490"/>
        <v/>
      </c>
      <c r="T990" s="418" t="str">
        <f t="shared" si="1491"/>
        <v/>
      </c>
      <c r="U990" s="418" t="str">
        <f t="shared" si="1492"/>
        <v/>
      </c>
      <c r="V990" s="418" t="str">
        <f t="shared" si="1493"/>
        <v/>
      </c>
      <c r="W990" s="418" t="str">
        <f t="shared" si="1494"/>
        <v/>
      </c>
      <c r="X990" s="418" t="str">
        <f t="shared" si="1495"/>
        <v/>
      </c>
      <c r="Y990" s="418" t="str">
        <f t="shared" si="1496"/>
        <v/>
      </c>
      <c r="Z990" s="418" t="str">
        <f t="shared" si="1497"/>
        <v/>
      </c>
      <c r="AA990" s="418" t="str">
        <f t="shared" si="1498"/>
        <v/>
      </c>
      <c r="AB990" s="418" t="str">
        <f t="shared" si="1499"/>
        <v/>
      </c>
      <c r="AC990" s="418" t="str">
        <f t="shared" si="1500"/>
        <v/>
      </c>
      <c r="AD990" s="418" t="str">
        <f t="shared" si="1501"/>
        <v/>
      </c>
      <c r="AE990" s="418" t="str">
        <f t="shared" si="1502"/>
        <v/>
      </c>
      <c r="AF990" s="418" t="str">
        <f t="shared" si="1503"/>
        <v/>
      </c>
      <c r="AG990" s="418" t="str">
        <f t="shared" si="1504"/>
        <v/>
      </c>
      <c r="AH990" s="418" t="str">
        <f t="shared" si="1505"/>
        <v/>
      </c>
      <c r="AI990" s="418" t="str">
        <f t="shared" si="1506"/>
        <v/>
      </c>
      <c r="AJ990" s="418" t="str">
        <f t="shared" si="1507"/>
        <v/>
      </c>
      <c r="AK990" s="418" t="str">
        <f t="shared" si="1508"/>
        <v/>
      </c>
      <c r="AL990" s="418" t="str">
        <f t="shared" si="1509"/>
        <v/>
      </c>
      <c r="AM990" s="418" t="str">
        <f t="shared" si="1510"/>
        <v/>
      </c>
      <c r="AN990" s="418">
        <f t="shared" si="1511"/>
        <v>200</v>
      </c>
      <c r="AO990" s="418" t="str">
        <f t="shared" si="1512"/>
        <v/>
      </c>
      <c r="AP990" s="418" t="str">
        <f t="shared" si="1513"/>
        <v/>
      </c>
      <c r="AQ990" s="418" t="str">
        <f t="shared" si="1514"/>
        <v/>
      </c>
      <c r="AR990" s="418" t="str">
        <f t="shared" si="1515"/>
        <v/>
      </c>
      <c r="AS990" s="418" t="str">
        <f t="shared" si="1516"/>
        <v/>
      </c>
      <c r="AT990" s="418" t="str">
        <f t="shared" si="1517"/>
        <v/>
      </c>
      <c r="AU990" s="418" t="str">
        <f t="shared" si="1518"/>
        <v/>
      </c>
      <c r="AV990" s="418" t="str">
        <f t="shared" si="1519"/>
        <v/>
      </c>
      <c r="AW990" s="418" t="str">
        <f t="shared" si="1520"/>
        <v/>
      </c>
      <c r="AX990" s="418" t="str">
        <f t="shared" si="1521"/>
        <v/>
      </c>
      <c r="AY990" s="418" t="str">
        <f t="shared" si="1522"/>
        <v/>
      </c>
      <c r="AZ990" s="418" t="str">
        <f t="shared" si="1523"/>
        <v/>
      </c>
      <c r="BA990" s="418" t="str">
        <f t="shared" si="1524"/>
        <v/>
      </c>
      <c r="BB990" s="418" t="str">
        <f t="shared" si="1525"/>
        <v/>
      </c>
      <c r="BC990" s="418" t="str">
        <f t="shared" si="1526"/>
        <v/>
      </c>
      <c r="BD990" s="418" t="str">
        <f t="shared" si="1527"/>
        <v/>
      </c>
      <c r="BE990" s="418" t="str">
        <f t="shared" si="1528"/>
        <v/>
      </c>
      <c r="BF990" s="418" t="str">
        <f t="shared" si="1529"/>
        <v/>
      </c>
      <c r="BG990" s="418" t="str">
        <f t="shared" si="1530"/>
        <v/>
      </c>
      <c r="BH990" s="418" t="str">
        <f t="shared" si="1531"/>
        <v/>
      </c>
      <c r="BI990" s="418" t="str">
        <f t="shared" si="1532"/>
        <v/>
      </c>
      <c r="BJ990" s="418" t="str">
        <f t="shared" si="1533"/>
        <v/>
      </c>
      <c r="BK990" s="418" t="str">
        <f t="shared" si="1534"/>
        <v/>
      </c>
      <c r="BL990" s="418" t="str">
        <f t="shared" si="1535"/>
        <v/>
      </c>
      <c r="BM990" s="418" t="str">
        <f t="shared" si="1536"/>
        <v/>
      </c>
      <c r="BN990" s="418" t="str">
        <f t="shared" si="1537"/>
        <v/>
      </c>
      <c r="BO990" s="418" t="str">
        <f t="shared" si="1538"/>
        <v/>
      </c>
      <c r="BP990" s="418" t="str">
        <f t="shared" si="1539"/>
        <v/>
      </c>
      <c r="BQ990" s="418" t="str">
        <f t="shared" si="1545"/>
        <v/>
      </c>
      <c r="BR990" s="418" t="str">
        <f t="shared" si="1546"/>
        <v/>
      </c>
      <c r="BS990" s="418" t="str">
        <f t="shared" si="1547"/>
        <v/>
      </c>
      <c r="BT990" s="418" t="str">
        <f t="shared" si="1540"/>
        <v/>
      </c>
      <c r="BU990" s="418" t="str">
        <f t="shared" si="1541"/>
        <v/>
      </c>
      <c r="BV990" s="544">
        <v>0</v>
      </c>
      <c r="BW990" s="723">
        <f t="shared" si="1542"/>
        <v>0</v>
      </c>
      <c r="BX990" s="724">
        <f t="shared" si="1543"/>
        <v>0</v>
      </c>
      <c r="BY990" s="725" t="str">
        <f t="shared" si="1544"/>
        <v>SR</v>
      </c>
    </row>
    <row r="991" s="698" customFormat="1" customHeight="1" spans="1:77">
      <c r="A991" s="227">
        <v>46170</v>
      </c>
      <c r="B991" s="244">
        <v>46171</v>
      </c>
      <c r="C991" s="242" t="s">
        <v>893</v>
      </c>
      <c r="D991" s="242" t="s">
        <v>894</v>
      </c>
      <c r="E991" s="242" t="s">
        <v>44</v>
      </c>
      <c r="F991" s="231">
        <v>984</v>
      </c>
      <c r="G991" s="242" t="s">
        <v>253</v>
      </c>
      <c r="H991" s="211" t="str">
        <f>IFERROR(VLOOKUP(E991,名称!A:E,4,0),"")</f>
        <v>二代</v>
      </c>
      <c r="I991" s="268" t="str">
        <f t="shared" si="1480"/>
        <v/>
      </c>
      <c r="J991" s="268" t="str">
        <f t="shared" si="1481"/>
        <v/>
      </c>
      <c r="K991" s="268" t="str">
        <f t="shared" si="1482"/>
        <v/>
      </c>
      <c r="L991" s="268" t="str">
        <f t="shared" si="1483"/>
        <v/>
      </c>
      <c r="M991" s="268">
        <f t="shared" si="1484"/>
        <v>984</v>
      </c>
      <c r="N991" s="268" t="str">
        <f t="shared" si="1485"/>
        <v/>
      </c>
      <c r="O991" s="268" t="str">
        <f t="shared" si="1486"/>
        <v/>
      </c>
      <c r="P991" s="268" t="str">
        <f t="shared" si="1487"/>
        <v/>
      </c>
      <c r="Q991" s="268" t="str">
        <f t="shared" si="1488"/>
        <v/>
      </c>
      <c r="R991" s="268" t="str">
        <f t="shared" si="1489"/>
        <v/>
      </c>
      <c r="S991" s="268" t="str">
        <f t="shared" si="1490"/>
        <v/>
      </c>
      <c r="T991" s="268" t="str">
        <f t="shared" si="1491"/>
        <v/>
      </c>
      <c r="U991" s="268" t="str">
        <f t="shared" si="1492"/>
        <v/>
      </c>
      <c r="V991" s="268" t="str">
        <f t="shared" si="1493"/>
        <v/>
      </c>
      <c r="W991" s="268" t="str">
        <f t="shared" si="1494"/>
        <v/>
      </c>
      <c r="X991" s="268" t="str">
        <f t="shared" si="1495"/>
        <v/>
      </c>
      <c r="Y991" s="268" t="str">
        <f t="shared" si="1496"/>
        <v/>
      </c>
      <c r="Z991" s="268" t="str">
        <f t="shared" si="1497"/>
        <v/>
      </c>
      <c r="AA991" s="268" t="str">
        <f t="shared" si="1498"/>
        <v/>
      </c>
      <c r="AB991" s="268" t="str">
        <f t="shared" si="1499"/>
        <v/>
      </c>
      <c r="AC991" s="268" t="str">
        <f t="shared" si="1500"/>
        <v/>
      </c>
      <c r="AD991" s="268" t="str">
        <f t="shared" si="1501"/>
        <v/>
      </c>
      <c r="AE991" s="268" t="str">
        <f t="shared" si="1502"/>
        <v/>
      </c>
      <c r="AF991" s="268" t="str">
        <f t="shared" si="1503"/>
        <v/>
      </c>
      <c r="AG991" s="268" t="str">
        <f t="shared" si="1504"/>
        <v/>
      </c>
      <c r="AH991" s="268" t="str">
        <f t="shared" si="1505"/>
        <v/>
      </c>
      <c r="AI991" s="268" t="str">
        <f t="shared" si="1506"/>
        <v/>
      </c>
      <c r="AJ991" s="268" t="str">
        <f t="shared" si="1507"/>
        <v/>
      </c>
      <c r="AK991" s="268" t="str">
        <f t="shared" si="1508"/>
        <v/>
      </c>
      <c r="AL991" s="268" t="str">
        <f t="shared" si="1509"/>
        <v/>
      </c>
      <c r="AM991" s="268" t="str">
        <f t="shared" si="1510"/>
        <v/>
      </c>
      <c r="AN991" s="268" t="str">
        <f t="shared" si="1511"/>
        <v/>
      </c>
      <c r="AO991" s="268" t="str">
        <f t="shared" si="1512"/>
        <v/>
      </c>
      <c r="AP991" s="268" t="str">
        <f t="shared" si="1513"/>
        <v/>
      </c>
      <c r="AQ991" s="268" t="str">
        <f t="shared" si="1514"/>
        <v/>
      </c>
      <c r="AR991" s="268" t="str">
        <f t="shared" si="1515"/>
        <v/>
      </c>
      <c r="AS991" s="268" t="str">
        <f t="shared" si="1516"/>
        <v/>
      </c>
      <c r="AT991" s="268" t="str">
        <f t="shared" si="1517"/>
        <v/>
      </c>
      <c r="AU991" s="268" t="str">
        <f t="shared" si="1518"/>
        <v/>
      </c>
      <c r="AV991" s="268" t="str">
        <f t="shared" si="1519"/>
        <v/>
      </c>
      <c r="AW991" s="268" t="str">
        <f t="shared" si="1520"/>
        <v/>
      </c>
      <c r="AX991" s="268" t="str">
        <f t="shared" si="1521"/>
        <v/>
      </c>
      <c r="AY991" s="268" t="str">
        <f t="shared" si="1522"/>
        <v/>
      </c>
      <c r="AZ991" s="268" t="str">
        <f t="shared" si="1523"/>
        <v/>
      </c>
      <c r="BA991" s="268" t="str">
        <f t="shared" si="1524"/>
        <v/>
      </c>
      <c r="BB991" s="268" t="str">
        <f t="shared" si="1525"/>
        <v/>
      </c>
      <c r="BC991" s="268" t="str">
        <f t="shared" si="1526"/>
        <v/>
      </c>
      <c r="BD991" s="268" t="str">
        <f t="shared" si="1527"/>
        <v/>
      </c>
      <c r="BE991" s="268" t="str">
        <f t="shared" si="1528"/>
        <v/>
      </c>
      <c r="BF991" s="268" t="str">
        <f t="shared" si="1529"/>
        <v/>
      </c>
      <c r="BG991" s="268" t="str">
        <f t="shared" si="1530"/>
        <v/>
      </c>
      <c r="BH991" s="268" t="str">
        <f t="shared" si="1531"/>
        <v/>
      </c>
      <c r="BI991" s="268" t="str">
        <f t="shared" si="1532"/>
        <v/>
      </c>
      <c r="BJ991" s="268" t="str">
        <f t="shared" si="1533"/>
        <v/>
      </c>
      <c r="BK991" s="268" t="str">
        <f t="shared" si="1534"/>
        <v/>
      </c>
      <c r="BL991" s="268" t="str">
        <f t="shared" si="1535"/>
        <v/>
      </c>
      <c r="BM991" s="268" t="str">
        <f t="shared" si="1536"/>
        <v/>
      </c>
      <c r="BN991" s="268" t="str">
        <f t="shared" si="1537"/>
        <v/>
      </c>
      <c r="BO991" s="268" t="str">
        <f t="shared" si="1538"/>
        <v/>
      </c>
      <c r="BP991" s="268" t="str">
        <f t="shared" si="1539"/>
        <v/>
      </c>
      <c r="BQ991" s="268" t="str">
        <f t="shared" si="1545"/>
        <v/>
      </c>
      <c r="BR991" s="268" t="str">
        <f t="shared" si="1546"/>
        <v/>
      </c>
      <c r="BS991" s="268" t="str">
        <f t="shared" si="1547"/>
        <v/>
      </c>
      <c r="BT991" s="268" t="str">
        <f t="shared" si="1540"/>
        <v/>
      </c>
      <c r="BU991" s="268" t="str">
        <f t="shared" si="1541"/>
        <v/>
      </c>
      <c r="BV991" s="247">
        <v>0.61</v>
      </c>
      <c r="BW991" s="729">
        <f t="shared" si="1542"/>
        <v>600.24</v>
      </c>
      <c r="BX991" s="730">
        <f t="shared" si="1543"/>
        <v>4651.86</v>
      </c>
      <c r="BY991" s="731" t="str">
        <f t="shared" si="1544"/>
        <v>SR</v>
      </c>
    </row>
    <row r="992" s="698" customFormat="1" customHeight="1" spans="1:77">
      <c r="A992" s="227">
        <v>46170</v>
      </c>
      <c r="B992" s="244">
        <v>46171</v>
      </c>
      <c r="C992" s="242" t="s">
        <v>895</v>
      </c>
      <c r="D992" s="242" t="s">
        <v>896</v>
      </c>
      <c r="E992" s="242" t="s">
        <v>44</v>
      </c>
      <c r="F992" s="231">
        <v>624</v>
      </c>
      <c r="G992" s="242" t="s">
        <v>253</v>
      </c>
      <c r="H992" s="211" t="str">
        <f>IFERROR(VLOOKUP(E992,名称!A:E,4,0),"")</f>
        <v>二代</v>
      </c>
      <c r="I992" s="268" t="str">
        <f t="shared" si="1480"/>
        <v/>
      </c>
      <c r="J992" s="268" t="str">
        <f t="shared" si="1481"/>
        <v/>
      </c>
      <c r="K992" s="268" t="str">
        <f t="shared" si="1482"/>
        <v/>
      </c>
      <c r="L992" s="268" t="str">
        <f t="shared" si="1483"/>
        <v/>
      </c>
      <c r="M992" s="268">
        <f t="shared" si="1484"/>
        <v>624</v>
      </c>
      <c r="N992" s="268" t="str">
        <f t="shared" si="1485"/>
        <v/>
      </c>
      <c r="O992" s="268" t="str">
        <f t="shared" si="1486"/>
        <v/>
      </c>
      <c r="P992" s="268" t="str">
        <f t="shared" si="1487"/>
        <v/>
      </c>
      <c r="Q992" s="268" t="str">
        <f t="shared" si="1488"/>
        <v/>
      </c>
      <c r="R992" s="268" t="str">
        <f t="shared" si="1489"/>
        <v/>
      </c>
      <c r="S992" s="268" t="str">
        <f t="shared" si="1490"/>
        <v/>
      </c>
      <c r="T992" s="268" t="str">
        <f t="shared" si="1491"/>
        <v/>
      </c>
      <c r="U992" s="268" t="str">
        <f t="shared" si="1492"/>
        <v/>
      </c>
      <c r="V992" s="268" t="str">
        <f t="shared" si="1493"/>
        <v/>
      </c>
      <c r="W992" s="268" t="str">
        <f t="shared" si="1494"/>
        <v/>
      </c>
      <c r="X992" s="268" t="str">
        <f t="shared" si="1495"/>
        <v/>
      </c>
      <c r="Y992" s="268" t="str">
        <f t="shared" si="1496"/>
        <v/>
      </c>
      <c r="Z992" s="268" t="str">
        <f t="shared" si="1497"/>
        <v/>
      </c>
      <c r="AA992" s="268" t="str">
        <f t="shared" si="1498"/>
        <v/>
      </c>
      <c r="AB992" s="268" t="str">
        <f t="shared" si="1499"/>
        <v/>
      </c>
      <c r="AC992" s="268" t="str">
        <f t="shared" si="1500"/>
        <v/>
      </c>
      <c r="AD992" s="268" t="str">
        <f t="shared" si="1501"/>
        <v/>
      </c>
      <c r="AE992" s="268" t="str">
        <f t="shared" si="1502"/>
        <v/>
      </c>
      <c r="AF992" s="268" t="str">
        <f t="shared" si="1503"/>
        <v/>
      </c>
      <c r="AG992" s="268" t="str">
        <f t="shared" si="1504"/>
        <v/>
      </c>
      <c r="AH992" s="268" t="str">
        <f t="shared" si="1505"/>
        <v/>
      </c>
      <c r="AI992" s="268" t="str">
        <f t="shared" si="1506"/>
        <v/>
      </c>
      <c r="AJ992" s="268" t="str">
        <f t="shared" si="1507"/>
        <v/>
      </c>
      <c r="AK992" s="268" t="str">
        <f t="shared" si="1508"/>
        <v/>
      </c>
      <c r="AL992" s="268" t="str">
        <f t="shared" si="1509"/>
        <v/>
      </c>
      <c r="AM992" s="268" t="str">
        <f t="shared" si="1510"/>
        <v/>
      </c>
      <c r="AN992" s="268" t="str">
        <f t="shared" si="1511"/>
        <v/>
      </c>
      <c r="AO992" s="268" t="str">
        <f t="shared" si="1512"/>
        <v/>
      </c>
      <c r="AP992" s="268" t="str">
        <f t="shared" si="1513"/>
        <v/>
      </c>
      <c r="AQ992" s="268" t="str">
        <f t="shared" si="1514"/>
        <v/>
      </c>
      <c r="AR992" s="268" t="str">
        <f t="shared" si="1515"/>
        <v/>
      </c>
      <c r="AS992" s="268" t="str">
        <f t="shared" si="1516"/>
        <v/>
      </c>
      <c r="AT992" s="268" t="str">
        <f t="shared" si="1517"/>
        <v/>
      </c>
      <c r="AU992" s="268" t="str">
        <f t="shared" si="1518"/>
        <v/>
      </c>
      <c r="AV992" s="268" t="str">
        <f t="shared" si="1519"/>
        <v/>
      </c>
      <c r="AW992" s="268" t="str">
        <f t="shared" si="1520"/>
        <v/>
      </c>
      <c r="AX992" s="268" t="str">
        <f t="shared" si="1521"/>
        <v/>
      </c>
      <c r="AY992" s="268" t="str">
        <f t="shared" si="1522"/>
        <v/>
      </c>
      <c r="AZ992" s="268" t="str">
        <f t="shared" si="1523"/>
        <v/>
      </c>
      <c r="BA992" s="268" t="str">
        <f t="shared" si="1524"/>
        <v/>
      </c>
      <c r="BB992" s="268" t="str">
        <f t="shared" si="1525"/>
        <v/>
      </c>
      <c r="BC992" s="268" t="str">
        <f t="shared" si="1526"/>
        <v/>
      </c>
      <c r="BD992" s="268" t="str">
        <f t="shared" si="1527"/>
        <v/>
      </c>
      <c r="BE992" s="268" t="str">
        <f t="shared" si="1528"/>
        <v/>
      </c>
      <c r="BF992" s="268" t="str">
        <f t="shared" si="1529"/>
        <v/>
      </c>
      <c r="BG992" s="268" t="str">
        <f t="shared" si="1530"/>
        <v/>
      </c>
      <c r="BH992" s="268" t="str">
        <f t="shared" si="1531"/>
        <v/>
      </c>
      <c r="BI992" s="268" t="str">
        <f t="shared" si="1532"/>
        <v/>
      </c>
      <c r="BJ992" s="268" t="str">
        <f t="shared" si="1533"/>
        <v/>
      </c>
      <c r="BK992" s="268" t="str">
        <f t="shared" si="1534"/>
        <v/>
      </c>
      <c r="BL992" s="268" t="str">
        <f t="shared" si="1535"/>
        <v/>
      </c>
      <c r="BM992" s="268" t="str">
        <f t="shared" si="1536"/>
        <v/>
      </c>
      <c r="BN992" s="268" t="str">
        <f t="shared" si="1537"/>
        <v/>
      </c>
      <c r="BO992" s="268" t="str">
        <f t="shared" si="1538"/>
        <v/>
      </c>
      <c r="BP992" s="268" t="str">
        <f t="shared" si="1539"/>
        <v/>
      </c>
      <c r="BQ992" s="268" t="str">
        <f t="shared" si="1545"/>
        <v/>
      </c>
      <c r="BR992" s="268" t="str">
        <f t="shared" si="1546"/>
        <v/>
      </c>
      <c r="BS992" s="268" t="str">
        <f t="shared" si="1547"/>
        <v/>
      </c>
      <c r="BT992" s="268" t="str">
        <f t="shared" si="1540"/>
        <v/>
      </c>
      <c r="BU992" s="268" t="str">
        <f t="shared" si="1541"/>
        <v/>
      </c>
      <c r="BV992" s="247">
        <v>0.61</v>
      </c>
      <c r="BW992" s="729">
        <f t="shared" si="1542"/>
        <v>380.64</v>
      </c>
      <c r="BX992" s="730">
        <f t="shared" si="1543"/>
        <v>2949.96</v>
      </c>
      <c r="BY992" s="731" t="str">
        <f t="shared" si="1544"/>
        <v>SR</v>
      </c>
    </row>
    <row r="993" s="697" customFormat="1" customHeight="1" spans="1:77">
      <c r="A993" s="174">
        <v>46170</v>
      </c>
      <c r="B993" s="178">
        <v>46315</v>
      </c>
      <c r="C993" s="176" t="s">
        <v>897</v>
      </c>
      <c r="D993" s="176" t="s">
        <v>898</v>
      </c>
      <c r="E993" s="176" t="s">
        <v>110</v>
      </c>
      <c r="F993" s="741">
        <v>45600</v>
      </c>
      <c r="G993" s="176" t="s">
        <v>270</v>
      </c>
      <c r="H993" s="118" t="str">
        <f>IFERROR(VLOOKUP(E993,名称!A:E,4,0),"")</f>
        <v>三代</v>
      </c>
      <c r="I993" s="418" t="str">
        <f t="shared" si="1480"/>
        <v/>
      </c>
      <c r="J993" s="418" t="str">
        <f t="shared" si="1481"/>
        <v/>
      </c>
      <c r="K993" s="418" t="str">
        <f t="shared" si="1482"/>
        <v/>
      </c>
      <c r="L993" s="418" t="str">
        <f t="shared" si="1483"/>
        <v/>
      </c>
      <c r="M993" s="418" t="str">
        <f t="shared" si="1484"/>
        <v/>
      </c>
      <c r="N993" s="418" t="str">
        <f t="shared" si="1485"/>
        <v/>
      </c>
      <c r="O993" s="418" t="str">
        <f t="shared" si="1486"/>
        <v/>
      </c>
      <c r="P993" s="418" t="str">
        <f t="shared" si="1487"/>
        <v/>
      </c>
      <c r="Q993" s="418" t="str">
        <f t="shared" si="1488"/>
        <v/>
      </c>
      <c r="R993" s="418" t="str">
        <f t="shared" si="1489"/>
        <v/>
      </c>
      <c r="S993" s="418" t="str">
        <f t="shared" si="1490"/>
        <v/>
      </c>
      <c r="T993" s="418" t="str">
        <f t="shared" si="1491"/>
        <v/>
      </c>
      <c r="U993" s="418" t="str">
        <f t="shared" si="1492"/>
        <v/>
      </c>
      <c r="V993" s="418" t="str">
        <f t="shared" si="1493"/>
        <v/>
      </c>
      <c r="W993" s="418" t="str">
        <f t="shared" si="1494"/>
        <v/>
      </c>
      <c r="X993" s="418" t="str">
        <f t="shared" si="1495"/>
        <v/>
      </c>
      <c r="Y993" s="418" t="str">
        <f t="shared" si="1496"/>
        <v/>
      </c>
      <c r="Z993" s="418" t="str">
        <f t="shared" si="1497"/>
        <v/>
      </c>
      <c r="AA993" s="418" t="str">
        <f t="shared" si="1498"/>
        <v/>
      </c>
      <c r="AB993" s="418" t="str">
        <f t="shared" si="1499"/>
        <v/>
      </c>
      <c r="AC993" s="418" t="str">
        <f t="shared" si="1500"/>
        <v/>
      </c>
      <c r="AD993" s="418" t="str">
        <f t="shared" si="1501"/>
        <v/>
      </c>
      <c r="AE993" s="418" t="str">
        <f t="shared" si="1502"/>
        <v/>
      </c>
      <c r="AF993" s="418" t="str">
        <f t="shared" si="1503"/>
        <v/>
      </c>
      <c r="AG993" s="418" t="str">
        <f t="shared" si="1504"/>
        <v/>
      </c>
      <c r="AH993" s="418" t="str">
        <f t="shared" si="1505"/>
        <v/>
      </c>
      <c r="AI993" s="418" t="str">
        <f t="shared" si="1506"/>
        <v/>
      </c>
      <c r="AJ993" s="418" t="str">
        <f t="shared" si="1507"/>
        <v/>
      </c>
      <c r="AK993" s="418" t="str">
        <f t="shared" si="1508"/>
        <v/>
      </c>
      <c r="AL993" s="418" t="str">
        <f t="shared" si="1509"/>
        <v/>
      </c>
      <c r="AM993" s="418" t="str">
        <f t="shared" si="1510"/>
        <v/>
      </c>
      <c r="AN993" s="418" t="str">
        <f t="shared" si="1511"/>
        <v/>
      </c>
      <c r="AO993" s="418" t="str">
        <f t="shared" si="1512"/>
        <v/>
      </c>
      <c r="AP993" s="418" t="str">
        <f t="shared" si="1513"/>
        <v/>
      </c>
      <c r="AQ993" s="418" t="str">
        <f t="shared" si="1514"/>
        <v/>
      </c>
      <c r="AR993" s="418" t="str">
        <f t="shared" si="1515"/>
        <v/>
      </c>
      <c r="AS993" s="418" t="str">
        <f t="shared" si="1516"/>
        <v/>
      </c>
      <c r="AT993" s="418" t="str">
        <f t="shared" si="1517"/>
        <v/>
      </c>
      <c r="AU993" s="418" t="str">
        <f t="shared" si="1518"/>
        <v/>
      </c>
      <c r="AV993" s="418" t="str">
        <f t="shared" si="1519"/>
        <v/>
      </c>
      <c r="AW993" s="418" t="str">
        <f t="shared" si="1520"/>
        <v/>
      </c>
      <c r="AX993" s="418" t="str">
        <f t="shared" si="1521"/>
        <v/>
      </c>
      <c r="AY993" s="418" t="str">
        <f t="shared" si="1522"/>
        <v/>
      </c>
      <c r="AZ993" s="418" t="str">
        <f t="shared" si="1523"/>
        <v/>
      </c>
      <c r="BA993" s="418" t="str">
        <f t="shared" si="1524"/>
        <v/>
      </c>
      <c r="BB993" s="418" t="str">
        <f t="shared" si="1525"/>
        <v/>
      </c>
      <c r="BC993" s="418" t="str">
        <f t="shared" si="1526"/>
        <v/>
      </c>
      <c r="BD993" s="418" t="str">
        <f t="shared" si="1527"/>
        <v/>
      </c>
      <c r="BE993" s="418">
        <f t="shared" si="1528"/>
        <v>45600</v>
      </c>
      <c r="BF993" s="418" t="str">
        <f t="shared" si="1529"/>
        <v/>
      </c>
      <c r="BG993" s="418" t="str">
        <f t="shared" si="1530"/>
        <v/>
      </c>
      <c r="BH993" s="418" t="str">
        <f t="shared" si="1531"/>
        <v/>
      </c>
      <c r="BI993" s="418" t="str">
        <f t="shared" si="1532"/>
        <v/>
      </c>
      <c r="BJ993" s="418" t="str">
        <f t="shared" si="1533"/>
        <v/>
      </c>
      <c r="BK993" s="418" t="str">
        <f t="shared" si="1534"/>
        <v/>
      </c>
      <c r="BL993" s="418" t="str">
        <f t="shared" si="1535"/>
        <v/>
      </c>
      <c r="BM993" s="418" t="str">
        <f t="shared" si="1536"/>
        <v/>
      </c>
      <c r="BN993" s="418" t="str">
        <f t="shared" si="1537"/>
        <v/>
      </c>
      <c r="BO993" s="418" t="str">
        <f t="shared" si="1538"/>
        <v/>
      </c>
      <c r="BP993" s="418" t="str">
        <f t="shared" si="1539"/>
        <v/>
      </c>
      <c r="BQ993" s="418" t="str">
        <f t="shared" si="1545"/>
        <v/>
      </c>
      <c r="BR993" s="418" t="str">
        <f t="shared" si="1546"/>
        <v/>
      </c>
      <c r="BS993" s="418" t="str">
        <f t="shared" si="1547"/>
        <v/>
      </c>
      <c r="BT993" s="418" t="str">
        <f t="shared" si="1540"/>
        <v/>
      </c>
      <c r="BU993" s="418" t="str">
        <f t="shared" si="1541"/>
        <v/>
      </c>
      <c r="BV993" s="742">
        <v>0.59</v>
      </c>
      <c r="BW993" s="723">
        <f t="shared" si="1542"/>
        <v>26904</v>
      </c>
      <c r="BX993" s="724">
        <f t="shared" si="1543"/>
        <v>208506</v>
      </c>
      <c r="BY993" s="725" t="str">
        <f t="shared" si="1544"/>
        <v>JS</v>
      </c>
    </row>
    <row r="994" s="697" customFormat="1" customHeight="1" spans="1:77">
      <c r="A994" s="174">
        <v>46174</v>
      </c>
      <c r="B994" s="140">
        <v>46234</v>
      </c>
      <c r="C994" s="123">
        <v>4500057174</v>
      </c>
      <c r="D994" s="619" t="s">
        <v>899</v>
      </c>
      <c r="E994" s="176" t="s">
        <v>198</v>
      </c>
      <c r="F994" s="741">
        <v>12000</v>
      </c>
      <c r="G994" s="176" t="s">
        <v>270</v>
      </c>
      <c r="H994" s="118" t="str">
        <f>IFERROR(VLOOKUP(E994,名称!A:E,4,0),"")</f>
        <v>三代</v>
      </c>
      <c r="I994" s="418" t="str">
        <f t="shared" si="1480"/>
        <v/>
      </c>
      <c r="J994" s="418" t="str">
        <f t="shared" si="1481"/>
        <v/>
      </c>
      <c r="K994" s="418" t="str">
        <f t="shared" si="1482"/>
        <v/>
      </c>
      <c r="L994" s="418" t="str">
        <f t="shared" si="1483"/>
        <v/>
      </c>
      <c r="M994" s="418" t="str">
        <f t="shared" si="1484"/>
        <v/>
      </c>
      <c r="N994" s="418" t="str">
        <f t="shared" si="1485"/>
        <v/>
      </c>
      <c r="O994" s="418" t="str">
        <f t="shared" si="1486"/>
        <v/>
      </c>
      <c r="P994" s="418" t="str">
        <f t="shared" si="1487"/>
        <v/>
      </c>
      <c r="Q994" s="418" t="str">
        <f t="shared" si="1488"/>
        <v/>
      </c>
      <c r="R994" s="418" t="str">
        <f t="shared" si="1489"/>
        <v/>
      </c>
      <c r="S994" s="418" t="str">
        <f t="shared" si="1490"/>
        <v/>
      </c>
      <c r="T994" s="418" t="str">
        <f t="shared" si="1491"/>
        <v/>
      </c>
      <c r="U994" s="418" t="str">
        <f t="shared" si="1492"/>
        <v/>
      </c>
      <c r="V994" s="418" t="str">
        <f t="shared" si="1493"/>
        <v/>
      </c>
      <c r="W994" s="418" t="str">
        <f t="shared" si="1494"/>
        <v/>
      </c>
      <c r="X994" s="418" t="str">
        <f t="shared" si="1495"/>
        <v/>
      </c>
      <c r="Y994" s="418" t="str">
        <f t="shared" si="1496"/>
        <v/>
      </c>
      <c r="Z994" s="418" t="str">
        <f t="shared" si="1497"/>
        <v/>
      </c>
      <c r="AA994" s="418" t="str">
        <f t="shared" si="1498"/>
        <v/>
      </c>
      <c r="AB994" s="418" t="str">
        <f t="shared" si="1499"/>
        <v/>
      </c>
      <c r="AC994" s="418" t="str">
        <f t="shared" si="1500"/>
        <v/>
      </c>
      <c r="AD994" s="418" t="str">
        <f t="shared" si="1501"/>
        <v/>
      </c>
      <c r="AE994" s="418" t="str">
        <f t="shared" si="1502"/>
        <v/>
      </c>
      <c r="AF994" s="418" t="str">
        <f t="shared" si="1503"/>
        <v/>
      </c>
      <c r="AG994" s="418" t="str">
        <f t="shared" si="1504"/>
        <v/>
      </c>
      <c r="AH994" s="418" t="str">
        <f t="shared" si="1505"/>
        <v/>
      </c>
      <c r="AI994" s="418" t="str">
        <f t="shared" si="1506"/>
        <v/>
      </c>
      <c r="AJ994" s="418" t="str">
        <f t="shared" si="1507"/>
        <v/>
      </c>
      <c r="AK994" s="418" t="str">
        <f t="shared" si="1508"/>
        <v/>
      </c>
      <c r="AL994" s="418" t="str">
        <f t="shared" si="1509"/>
        <v/>
      </c>
      <c r="AM994" s="418" t="str">
        <f t="shared" si="1510"/>
        <v/>
      </c>
      <c r="AN994" s="418" t="str">
        <f t="shared" si="1511"/>
        <v/>
      </c>
      <c r="AO994" s="418" t="str">
        <f t="shared" si="1512"/>
        <v/>
      </c>
      <c r="AP994" s="418" t="str">
        <f t="shared" si="1513"/>
        <v/>
      </c>
      <c r="AQ994" s="418" t="str">
        <f t="shared" si="1514"/>
        <v/>
      </c>
      <c r="AR994" s="418" t="str">
        <f t="shared" si="1515"/>
        <v/>
      </c>
      <c r="AS994" s="418" t="str">
        <f t="shared" si="1516"/>
        <v/>
      </c>
      <c r="AT994" s="418">
        <f t="shared" si="1517"/>
        <v>12000</v>
      </c>
      <c r="AU994" s="418" t="str">
        <f t="shared" si="1518"/>
        <v/>
      </c>
      <c r="AV994" s="418" t="str">
        <f t="shared" si="1519"/>
        <v/>
      </c>
      <c r="AW994" s="418" t="str">
        <f t="shared" si="1520"/>
        <v/>
      </c>
      <c r="AX994" s="418" t="str">
        <f t="shared" si="1521"/>
        <v/>
      </c>
      <c r="AY994" s="418" t="str">
        <f t="shared" si="1522"/>
        <v/>
      </c>
      <c r="AZ994" s="418" t="str">
        <f t="shared" si="1523"/>
        <v/>
      </c>
      <c r="BA994" s="418" t="str">
        <f t="shared" si="1524"/>
        <v/>
      </c>
      <c r="BB994" s="418" t="str">
        <f t="shared" si="1525"/>
        <v/>
      </c>
      <c r="BC994" s="418" t="str">
        <f t="shared" si="1526"/>
        <v/>
      </c>
      <c r="BD994" s="418" t="str">
        <f t="shared" si="1527"/>
        <v/>
      </c>
      <c r="BE994" s="418" t="str">
        <f t="shared" si="1528"/>
        <v/>
      </c>
      <c r="BF994" s="418" t="str">
        <f t="shared" si="1529"/>
        <v/>
      </c>
      <c r="BG994" s="418" t="str">
        <f t="shared" si="1530"/>
        <v/>
      </c>
      <c r="BH994" s="418" t="str">
        <f t="shared" si="1531"/>
        <v/>
      </c>
      <c r="BI994" s="418" t="str">
        <f t="shared" si="1532"/>
        <v/>
      </c>
      <c r="BJ994" s="418" t="str">
        <f t="shared" si="1533"/>
        <v/>
      </c>
      <c r="BK994" s="418" t="str">
        <f t="shared" si="1534"/>
        <v/>
      </c>
      <c r="BL994" s="418" t="str">
        <f t="shared" si="1535"/>
        <v/>
      </c>
      <c r="BM994" s="418" t="str">
        <f t="shared" si="1536"/>
        <v/>
      </c>
      <c r="BN994" s="418" t="str">
        <f t="shared" si="1537"/>
        <v/>
      </c>
      <c r="BO994" s="418" t="str">
        <f t="shared" si="1538"/>
        <v/>
      </c>
      <c r="BP994" s="418" t="str">
        <f t="shared" si="1539"/>
        <v/>
      </c>
      <c r="BQ994" s="418" t="str">
        <f t="shared" si="1545"/>
        <v/>
      </c>
      <c r="BR994" s="418" t="str">
        <f t="shared" si="1546"/>
        <v/>
      </c>
      <c r="BS994" s="418" t="str">
        <f t="shared" si="1547"/>
        <v/>
      </c>
      <c r="BT994" s="418" t="str">
        <f t="shared" si="1540"/>
        <v/>
      </c>
      <c r="BU994" s="418" t="str">
        <f t="shared" si="1541"/>
        <v/>
      </c>
      <c r="BV994" s="742">
        <v>0.61</v>
      </c>
      <c r="BW994" s="723">
        <f t="shared" si="1542"/>
        <v>7320</v>
      </c>
      <c r="BX994" s="724">
        <f t="shared" si="1543"/>
        <v>56730</v>
      </c>
      <c r="BY994" s="725" t="str">
        <f t="shared" si="1544"/>
        <v>SR</v>
      </c>
    </row>
    <row r="995" s="697" customFormat="1" customHeight="1" spans="1:77">
      <c r="A995" s="174">
        <v>46174</v>
      </c>
      <c r="B995" s="743">
        <v>46226</v>
      </c>
      <c r="C995" s="176" t="s">
        <v>900</v>
      </c>
      <c r="D995" s="176" t="s">
        <v>901</v>
      </c>
      <c r="E995" s="176" t="s">
        <v>96</v>
      </c>
      <c r="F995" s="741">
        <v>360</v>
      </c>
      <c r="G995" s="176" t="s">
        <v>270</v>
      </c>
      <c r="H995" s="118" t="str">
        <f>IFERROR(VLOOKUP(E995,名称!A:E,4,0),"")</f>
        <v>三代</v>
      </c>
      <c r="I995" s="418" t="str">
        <f t="shared" si="1480"/>
        <v/>
      </c>
      <c r="J995" s="418" t="str">
        <f t="shared" si="1481"/>
        <v/>
      </c>
      <c r="K995" s="418" t="str">
        <f t="shared" si="1482"/>
        <v/>
      </c>
      <c r="L995" s="418" t="str">
        <f t="shared" si="1483"/>
        <v/>
      </c>
      <c r="M995" s="418" t="str">
        <f t="shared" si="1484"/>
        <v/>
      </c>
      <c r="N995" s="418" t="str">
        <f t="shared" si="1485"/>
        <v/>
      </c>
      <c r="O995" s="418" t="str">
        <f t="shared" si="1486"/>
        <v/>
      </c>
      <c r="P995" s="418" t="str">
        <f t="shared" si="1487"/>
        <v/>
      </c>
      <c r="Q995" s="418" t="str">
        <f t="shared" si="1488"/>
        <v/>
      </c>
      <c r="R995" s="418" t="str">
        <f t="shared" si="1489"/>
        <v/>
      </c>
      <c r="S995" s="418" t="str">
        <f t="shared" si="1490"/>
        <v/>
      </c>
      <c r="T995" s="418" t="str">
        <f t="shared" si="1491"/>
        <v/>
      </c>
      <c r="U995" s="418" t="str">
        <f t="shared" si="1492"/>
        <v/>
      </c>
      <c r="V995" s="418" t="str">
        <f t="shared" si="1493"/>
        <v/>
      </c>
      <c r="W995" s="418" t="str">
        <f t="shared" si="1494"/>
        <v/>
      </c>
      <c r="X995" s="418" t="str">
        <f t="shared" si="1495"/>
        <v/>
      </c>
      <c r="Y995" s="418" t="str">
        <f t="shared" si="1496"/>
        <v/>
      </c>
      <c r="Z995" s="418" t="str">
        <f t="shared" si="1497"/>
        <v/>
      </c>
      <c r="AA995" s="418" t="str">
        <f t="shared" si="1498"/>
        <v/>
      </c>
      <c r="AB995" s="418" t="str">
        <f t="shared" si="1499"/>
        <v/>
      </c>
      <c r="AC995" s="418" t="str">
        <f t="shared" si="1500"/>
        <v/>
      </c>
      <c r="AD995" s="418" t="str">
        <f t="shared" si="1501"/>
        <v/>
      </c>
      <c r="AE995" s="418" t="str">
        <f t="shared" si="1502"/>
        <v/>
      </c>
      <c r="AF995" s="418" t="str">
        <f t="shared" si="1503"/>
        <v/>
      </c>
      <c r="AG995" s="418" t="str">
        <f t="shared" si="1504"/>
        <v/>
      </c>
      <c r="AH995" s="418" t="str">
        <f t="shared" si="1505"/>
        <v/>
      </c>
      <c r="AI995" s="418" t="str">
        <f t="shared" si="1506"/>
        <v/>
      </c>
      <c r="AJ995" s="418" t="str">
        <f t="shared" si="1507"/>
        <v/>
      </c>
      <c r="AK995" s="418" t="str">
        <f t="shared" si="1508"/>
        <v/>
      </c>
      <c r="AL995" s="418" t="str">
        <f t="shared" si="1509"/>
        <v/>
      </c>
      <c r="AM995" s="418" t="str">
        <f t="shared" si="1510"/>
        <v/>
      </c>
      <c r="AN995" s="418" t="str">
        <f t="shared" si="1511"/>
        <v/>
      </c>
      <c r="AO995" s="418" t="str">
        <f t="shared" si="1512"/>
        <v/>
      </c>
      <c r="AP995" s="418" t="str">
        <f t="shared" si="1513"/>
        <v/>
      </c>
      <c r="AQ995" s="418" t="str">
        <f t="shared" si="1514"/>
        <v/>
      </c>
      <c r="AR995" s="418" t="str">
        <f t="shared" si="1515"/>
        <v/>
      </c>
      <c r="AS995" s="418" t="str">
        <f t="shared" si="1516"/>
        <v/>
      </c>
      <c r="AT995" s="418" t="str">
        <f t="shared" si="1517"/>
        <v/>
      </c>
      <c r="AU995" s="418" t="str">
        <f t="shared" si="1518"/>
        <v/>
      </c>
      <c r="AV995" s="418" t="str">
        <f t="shared" si="1519"/>
        <v/>
      </c>
      <c r="AW995" s="418" t="str">
        <f t="shared" si="1520"/>
        <v/>
      </c>
      <c r="AX995" s="418" t="str">
        <f t="shared" si="1521"/>
        <v/>
      </c>
      <c r="AY995" s="418" t="str">
        <f t="shared" si="1522"/>
        <v/>
      </c>
      <c r="AZ995" s="418" t="str">
        <f t="shared" si="1523"/>
        <v/>
      </c>
      <c r="BA995" s="418">
        <f t="shared" si="1524"/>
        <v>360</v>
      </c>
      <c r="BB995" s="418" t="str">
        <f t="shared" si="1525"/>
        <v/>
      </c>
      <c r="BC995" s="418" t="str">
        <f t="shared" si="1526"/>
        <v/>
      </c>
      <c r="BD995" s="418" t="str">
        <f t="shared" si="1527"/>
        <v/>
      </c>
      <c r="BE995" s="418" t="str">
        <f t="shared" si="1528"/>
        <v/>
      </c>
      <c r="BF995" s="418" t="str">
        <f t="shared" si="1529"/>
        <v/>
      </c>
      <c r="BG995" s="418" t="str">
        <f t="shared" si="1530"/>
        <v/>
      </c>
      <c r="BH995" s="418" t="str">
        <f t="shared" si="1531"/>
        <v/>
      </c>
      <c r="BI995" s="418" t="str">
        <f t="shared" si="1532"/>
        <v/>
      </c>
      <c r="BJ995" s="418" t="str">
        <f t="shared" si="1533"/>
        <v/>
      </c>
      <c r="BK995" s="418" t="str">
        <f t="shared" si="1534"/>
        <v/>
      </c>
      <c r="BL995" s="418" t="str">
        <f t="shared" si="1535"/>
        <v/>
      </c>
      <c r="BM995" s="418" t="str">
        <f t="shared" si="1536"/>
        <v/>
      </c>
      <c r="BN995" s="418" t="str">
        <f t="shared" si="1537"/>
        <v/>
      </c>
      <c r="BO995" s="418" t="str">
        <f t="shared" si="1538"/>
        <v/>
      </c>
      <c r="BP995" s="418" t="str">
        <f t="shared" si="1539"/>
        <v/>
      </c>
      <c r="BQ995" s="418" t="str">
        <f t="shared" si="1545"/>
        <v/>
      </c>
      <c r="BR995" s="418" t="str">
        <f t="shared" si="1546"/>
        <v/>
      </c>
      <c r="BS995" s="418" t="str">
        <f t="shared" si="1547"/>
        <v/>
      </c>
      <c r="BT995" s="418" t="str">
        <f t="shared" si="1540"/>
        <v/>
      </c>
      <c r="BU995" s="418" t="str">
        <f t="shared" si="1541"/>
        <v/>
      </c>
      <c r="BV995" s="742">
        <v>0.59</v>
      </c>
      <c r="BW995" s="723">
        <f t="shared" si="1542"/>
        <v>212.4</v>
      </c>
      <c r="BX995" s="724">
        <f t="shared" si="1543"/>
        <v>1646.1</v>
      </c>
      <c r="BY995" s="725" t="str">
        <f t="shared" si="1544"/>
        <v>SR</v>
      </c>
    </row>
    <row r="996" s="697" customFormat="1" customHeight="1" spans="1:77">
      <c r="A996" s="174">
        <v>46174</v>
      </c>
      <c r="B996" s="743">
        <v>46226</v>
      </c>
      <c r="C996" s="176" t="s">
        <v>902</v>
      </c>
      <c r="D996" s="176" t="s">
        <v>903</v>
      </c>
      <c r="E996" s="176" t="s">
        <v>96</v>
      </c>
      <c r="F996" s="741">
        <v>240</v>
      </c>
      <c r="G996" s="176" t="s">
        <v>270</v>
      </c>
      <c r="H996" s="118" t="str">
        <f>IFERROR(VLOOKUP(E996,名称!A:E,4,0),"")</f>
        <v>三代</v>
      </c>
      <c r="I996" s="418" t="str">
        <f t="shared" si="1480"/>
        <v/>
      </c>
      <c r="J996" s="418" t="str">
        <f t="shared" si="1481"/>
        <v/>
      </c>
      <c r="K996" s="418" t="str">
        <f t="shared" si="1482"/>
        <v/>
      </c>
      <c r="L996" s="418" t="str">
        <f t="shared" si="1483"/>
        <v/>
      </c>
      <c r="M996" s="418" t="str">
        <f t="shared" si="1484"/>
        <v/>
      </c>
      <c r="N996" s="418" t="str">
        <f t="shared" si="1485"/>
        <v/>
      </c>
      <c r="O996" s="418" t="str">
        <f t="shared" si="1486"/>
        <v/>
      </c>
      <c r="P996" s="418" t="str">
        <f t="shared" si="1487"/>
        <v/>
      </c>
      <c r="Q996" s="418" t="str">
        <f t="shared" si="1488"/>
        <v/>
      </c>
      <c r="R996" s="418" t="str">
        <f t="shared" si="1489"/>
        <v/>
      </c>
      <c r="S996" s="418" t="str">
        <f t="shared" si="1490"/>
        <v/>
      </c>
      <c r="T996" s="418" t="str">
        <f t="shared" si="1491"/>
        <v/>
      </c>
      <c r="U996" s="418" t="str">
        <f t="shared" si="1492"/>
        <v/>
      </c>
      <c r="V996" s="418" t="str">
        <f t="shared" si="1493"/>
        <v/>
      </c>
      <c r="W996" s="418" t="str">
        <f t="shared" si="1494"/>
        <v/>
      </c>
      <c r="X996" s="418" t="str">
        <f t="shared" si="1495"/>
        <v/>
      </c>
      <c r="Y996" s="418" t="str">
        <f t="shared" si="1496"/>
        <v/>
      </c>
      <c r="Z996" s="418" t="str">
        <f t="shared" si="1497"/>
        <v/>
      </c>
      <c r="AA996" s="418" t="str">
        <f t="shared" si="1498"/>
        <v/>
      </c>
      <c r="AB996" s="418" t="str">
        <f t="shared" si="1499"/>
        <v/>
      </c>
      <c r="AC996" s="418" t="str">
        <f t="shared" si="1500"/>
        <v/>
      </c>
      <c r="AD996" s="418" t="str">
        <f t="shared" si="1501"/>
        <v/>
      </c>
      <c r="AE996" s="418" t="str">
        <f t="shared" si="1502"/>
        <v/>
      </c>
      <c r="AF996" s="418" t="str">
        <f t="shared" si="1503"/>
        <v/>
      </c>
      <c r="AG996" s="418" t="str">
        <f t="shared" si="1504"/>
        <v/>
      </c>
      <c r="AH996" s="418" t="str">
        <f t="shared" si="1505"/>
        <v/>
      </c>
      <c r="AI996" s="418" t="str">
        <f t="shared" si="1506"/>
        <v/>
      </c>
      <c r="AJ996" s="418" t="str">
        <f t="shared" si="1507"/>
        <v/>
      </c>
      <c r="AK996" s="418" t="str">
        <f t="shared" si="1508"/>
        <v/>
      </c>
      <c r="AL996" s="418" t="str">
        <f t="shared" si="1509"/>
        <v/>
      </c>
      <c r="AM996" s="418" t="str">
        <f t="shared" si="1510"/>
        <v/>
      </c>
      <c r="AN996" s="418" t="str">
        <f t="shared" si="1511"/>
        <v/>
      </c>
      <c r="AO996" s="418" t="str">
        <f t="shared" si="1512"/>
        <v/>
      </c>
      <c r="AP996" s="418" t="str">
        <f t="shared" si="1513"/>
        <v/>
      </c>
      <c r="AQ996" s="418" t="str">
        <f t="shared" si="1514"/>
        <v/>
      </c>
      <c r="AR996" s="418" t="str">
        <f t="shared" si="1515"/>
        <v/>
      </c>
      <c r="AS996" s="418" t="str">
        <f t="shared" si="1516"/>
        <v/>
      </c>
      <c r="AT996" s="418" t="str">
        <f t="shared" si="1517"/>
        <v/>
      </c>
      <c r="AU996" s="418" t="str">
        <f t="shared" si="1518"/>
        <v/>
      </c>
      <c r="AV996" s="418" t="str">
        <f t="shared" si="1519"/>
        <v/>
      </c>
      <c r="AW996" s="418" t="str">
        <f t="shared" si="1520"/>
        <v/>
      </c>
      <c r="AX996" s="418" t="str">
        <f t="shared" si="1521"/>
        <v/>
      </c>
      <c r="AY996" s="418" t="str">
        <f t="shared" si="1522"/>
        <v/>
      </c>
      <c r="AZ996" s="418" t="str">
        <f t="shared" si="1523"/>
        <v/>
      </c>
      <c r="BA996" s="418">
        <f t="shared" si="1524"/>
        <v>240</v>
      </c>
      <c r="BB996" s="418" t="str">
        <f t="shared" si="1525"/>
        <v/>
      </c>
      <c r="BC996" s="418" t="str">
        <f t="shared" si="1526"/>
        <v/>
      </c>
      <c r="BD996" s="418" t="str">
        <f t="shared" si="1527"/>
        <v/>
      </c>
      <c r="BE996" s="418" t="str">
        <f t="shared" si="1528"/>
        <v/>
      </c>
      <c r="BF996" s="418" t="str">
        <f t="shared" si="1529"/>
        <v/>
      </c>
      <c r="BG996" s="418" t="str">
        <f t="shared" si="1530"/>
        <v/>
      </c>
      <c r="BH996" s="418" t="str">
        <f t="shared" si="1531"/>
        <v/>
      </c>
      <c r="BI996" s="418" t="str">
        <f t="shared" si="1532"/>
        <v/>
      </c>
      <c r="BJ996" s="418" t="str">
        <f t="shared" si="1533"/>
        <v/>
      </c>
      <c r="BK996" s="418" t="str">
        <f t="shared" si="1534"/>
        <v/>
      </c>
      <c r="BL996" s="418" t="str">
        <f t="shared" si="1535"/>
        <v/>
      </c>
      <c r="BM996" s="418" t="str">
        <f t="shared" si="1536"/>
        <v/>
      </c>
      <c r="BN996" s="418" t="str">
        <f t="shared" si="1537"/>
        <v/>
      </c>
      <c r="BO996" s="418" t="str">
        <f t="shared" si="1538"/>
        <v/>
      </c>
      <c r="BP996" s="418" t="str">
        <f t="shared" si="1539"/>
        <v/>
      </c>
      <c r="BQ996" s="418" t="str">
        <f t="shared" si="1545"/>
        <v/>
      </c>
      <c r="BR996" s="418" t="str">
        <f t="shared" si="1546"/>
        <v/>
      </c>
      <c r="BS996" s="418" t="str">
        <f t="shared" si="1547"/>
        <v/>
      </c>
      <c r="BT996" s="418" t="str">
        <f t="shared" si="1540"/>
        <v/>
      </c>
      <c r="BU996" s="418" t="str">
        <f t="shared" si="1541"/>
        <v/>
      </c>
      <c r="BV996" s="742">
        <v>0.59</v>
      </c>
      <c r="BW996" s="723">
        <f t="shared" si="1542"/>
        <v>141.6</v>
      </c>
      <c r="BX996" s="724">
        <f t="shared" si="1543"/>
        <v>1097.4</v>
      </c>
      <c r="BY996" s="725" t="str">
        <f t="shared" si="1544"/>
        <v>SR</v>
      </c>
    </row>
    <row r="997" s="697" customFormat="1" customHeight="1" spans="1:77">
      <c r="A997" s="174">
        <v>46175</v>
      </c>
      <c r="B997" s="178">
        <v>46181</v>
      </c>
      <c r="C997" s="118" t="s">
        <v>839</v>
      </c>
      <c r="D997" s="118" t="s">
        <v>904</v>
      </c>
      <c r="E997" s="176" t="s">
        <v>89</v>
      </c>
      <c r="F997" s="741">
        <v>20</v>
      </c>
      <c r="G997" s="418" t="s">
        <v>510</v>
      </c>
      <c r="H997" s="118" t="str">
        <f>IFERROR(VLOOKUP(E997,名称!A:E,4,0),"")</f>
        <v>三代</v>
      </c>
      <c r="I997" s="418" t="str">
        <f t="shared" si="1480"/>
        <v/>
      </c>
      <c r="J997" s="418" t="str">
        <f t="shared" si="1481"/>
        <v/>
      </c>
      <c r="K997" s="418" t="str">
        <f t="shared" si="1482"/>
        <v/>
      </c>
      <c r="L997" s="418" t="str">
        <f t="shared" si="1483"/>
        <v/>
      </c>
      <c r="M997" s="418" t="str">
        <f t="shared" si="1484"/>
        <v/>
      </c>
      <c r="N997" s="418" t="str">
        <f t="shared" si="1485"/>
        <v/>
      </c>
      <c r="O997" s="418" t="str">
        <f t="shared" si="1486"/>
        <v/>
      </c>
      <c r="P997" s="418" t="str">
        <f t="shared" si="1487"/>
        <v/>
      </c>
      <c r="Q997" s="418" t="str">
        <f t="shared" si="1488"/>
        <v/>
      </c>
      <c r="R997" s="418" t="str">
        <f t="shared" si="1489"/>
        <v/>
      </c>
      <c r="S997" s="418" t="str">
        <f t="shared" si="1490"/>
        <v/>
      </c>
      <c r="T997" s="418" t="str">
        <f t="shared" si="1491"/>
        <v/>
      </c>
      <c r="U997" s="418" t="str">
        <f t="shared" si="1492"/>
        <v/>
      </c>
      <c r="V997" s="418" t="str">
        <f t="shared" si="1493"/>
        <v/>
      </c>
      <c r="W997" s="418" t="str">
        <f t="shared" si="1494"/>
        <v/>
      </c>
      <c r="X997" s="418" t="str">
        <f t="shared" si="1495"/>
        <v/>
      </c>
      <c r="Y997" s="418" t="str">
        <f t="shared" si="1496"/>
        <v/>
      </c>
      <c r="Z997" s="418" t="str">
        <f t="shared" si="1497"/>
        <v/>
      </c>
      <c r="AA997" s="418" t="str">
        <f t="shared" si="1498"/>
        <v/>
      </c>
      <c r="AB997" s="418" t="str">
        <f t="shared" si="1499"/>
        <v/>
      </c>
      <c r="AC997" s="418" t="str">
        <f t="shared" si="1500"/>
        <v/>
      </c>
      <c r="AD997" s="418" t="str">
        <f t="shared" si="1501"/>
        <v/>
      </c>
      <c r="AE997" s="418" t="str">
        <f t="shared" si="1502"/>
        <v/>
      </c>
      <c r="AF997" s="418" t="str">
        <f t="shared" si="1503"/>
        <v/>
      </c>
      <c r="AG997" s="418" t="str">
        <f t="shared" si="1504"/>
        <v/>
      </c>
      <c r="AH997" s="418" t="str">
        <f t="shared" si="1505"/>
        <v/>
      </c>
      <c r="AI997" s="418" t="str">
        <f t="shared" si="1506"/>
        <v/>
      </c>
      <c r="AJ997" s="418" t="str">
        <f t="shared" si="1507"/>
        <v/>
      </c>
      <c r="AK997" s="418" t="str">
        <f t="shared" si="1508"/>
        <v/>
      </c>
      <c r="AL997" s="418" t="str">
        <f t="shared" si="1509"/>
        <v/>
      </c>
      <c r="AM997" s="418" t="str">
        <f t="shared" si="1510"/>
        <v/>
      </c>
      <c r="AN997" s="418" t="str">
        <f t="shared" si="1511"/>
        <v/>
      </c>
      <c r="AO997" s="418" t="str">
        <f t="shared" si="1512"/>
        <v/>
      </c>
      <c r="AP997" s="418" t="str">
        <f t="shared" si="1513"/>
        <v/>
      </c>
      <c r="AQ997" s="418" t="str">
        <f t="shared" si="1514"/>
        <v/>
      </c>
      <c r="AR997" s="418" t="str">
        <f t="shared" si="1515"/>
        <v/>
      </c>
      <c r="AS997" s="418" t="str">
        <f t="shared" si="1516"/>
        <v/>
      </c>
      <c r="AT997" s="418" t="str">
        <f t="shared" si="1517"/>
        <v/>
      </c>
      <c r="AU997" s="418">
        <f t="shared" si="1518"/>
        <v>20</v>
      </c>
      <c r="AV997" s="418" t="str">
        <f t="shared" si="1519"/>
        <v/>
      </c>
      <c r="AW997" s="418" t="str">
        <f t="shared" si="1520"/>
        <v/>
      </c>
      <c r="AX997" s="418" t="str">
        <f t="shared" si="1521"/>
        <v/>
      </c>
      <c r="AY997" s="418" t="str">
        <f t="shared" si="1522"/>
        <v/>
      </c>
      <c r="AZ997" s="418" t="str">
        <f t="shared" si="1523"/>
        <v/>
      </c>
      <c r="BA997" s="418" t="str">
        <f t="shared" si="1524"/>
        <v/>
      </c>
      <c r="BB997" s="418" t="str">
        <f t="shared" si="1525"/>
        <v/>
      </c>
      <c r="BC997" s="418" t="str">
        <f t="shared" si="1526"/>
        <v/>
      </c>
      <c r="BD997" s="418" t="str">
        <f t="shared" si="1527"/>
        <v/>
      </c>
      <c r="BE997" s="418" t="str">
        <f t="shared" si="1528"/>
        <v/>
      </c>
      <c r="BF997" s="418" t="str">
        <f t="shared" si="1529"/>
        <v/>
      </c>
      <c r="BG997" s="418" t="str">
        <f t="shared" si="1530"/>
        <v/>
      </c>
      <c r="BH997" s="418" t="str">
        <f t="shared" si="1531"/>
        <v/>
      </c>
      <c r="BI997" s="418" t="str">
        <f t="shared" si="1532"/>
        <v/>
      </c>
      <c r="BJ997" s="418" t="str">
        <f t="shared" si="1533"/>
        <v/>
      </c>
      <c r="BK997" s="418" t="str">
        <f t="shared" si="1534"/>
        <v/>
      </c>
      <c r="BL997" s="418" t="str">
        <f t="shared" si="1535"/>
        <v/>
      </c>
      <c r="BM997" s="418" t="str">
        <f t="shared" si="1536"/>
        <v/>
      </c>
      <c r="BN997" s="418" t="str">
        <f t="shared" si="1537"/>
        <v/>
      </c>
      <c r="BO997" s="418" t="str">
        <f t="shared" si="1538"/>
        <v/>
      </c>
      <c r="BP997" s="418" t="str">
        <f t="shared" si="1539"/>
        <v/>
      </c>
      <c r="BQ997" s="418" t="str">
        <f t="shared" si="1545"/>
        <v/>
      </c>
      <c r="BR997" s="418" t="str">
        <f t="shared" si="1546"/>
        <v/>
      </c>
      <c r="BS997" s="418" t="str">
        <f t="shared" si="1547"/>
        <v/>
      </c>
      <c r="BT997" s="418" t="str">
        <f t="shared" si="1540"/>
        <v/>
      </c>
      <c r="BU997" s="418" t="str">
        <f t="shared" si="1541"/>
        <v/>
      </c>
      <c r="BV997" s="544"/>
      <c r="BW997" s="723">
        <f t="shared" si="1542"/>
        <v>0</v>
      </c>
      <c r="BX997" s="724">
        <f t="shared" si="1543"/>
        <v>0</v>
      </c>
      <c r="BY997" s="725" t="str">
        <f t="shared" si="1544"/>
        <v>SR</v>
      </c>
    </row>
    <row r="998" s="697" customFormat="1" customHeight="1" spans="1:77">
      <c r="A998" s="174">
        <v>46175</v>
      </c>
      <c r="B998" s="178">
        <v>46181</v>
      </c>
      <c r="C998" s="118" t="s">
        <v>839</v>
      </c>
      <c r="D998" s="118" t="s">
        <v>904</v>
      </c>
      <c r="E998" s="176" t="s">
        <v>905</v>
      </c>
      <c r="F998" s="741">
        <v>10</v>
      </c>
      <c r="G998" s="418" t="s">
        <v>510</v>
      </c>
      <c r="H998" s="118" t="str">
        <f>IFERROR(VLOOKUP(E998,名称!A:E,4,0),"")</f>
        <v/>
      </c>
      <c r="I998" s="418" t="str">
        <f t="shared" si="1480"/>
        <v/>
      </c>
      <c r="J998" s="418" t="str">
        <f t="shared" si="1481"/>
        <v/>
      </c>
      <c r="K998" s="418" t="str">
        <f t="shared" si="1482"/>
        <v/>
      </c>
      <c r="L998" s="418" t="str">
        <f t="shared" si="1483"/>
        <v/>
      </c>
      <c r="M998" s="418" t="str">
        <f t="shared" si="1484"/>
        <v/>
      </c>
      <c r="N998" s="418" t="str">
        <f t="shared" si="1485"/>
        <v/>
      </c>
      <c r="O998" s="418" t="str">
        <f t="shared" si="1486"/>
        <v/>
      </c>
      <c r="P998" s="418" t="str">
        <f t="shared" si="1487"/>
        <v/>
      </c>
      <c r="Q998" s="418" t="str">
        <f t="shared" si="1488"/>
        <v/>
      </c>
      <c r="R998" s="418" t="str">
        <f t="shared" si="1489"/>
        <v/>
      </c>
      <c r="S998" s="418" t="str">
        <f t="shared" si="1490"/>
        <v/>
      </c>
      <c r="T998" s="418" t="str">
        <f t="shared" si="1491"/>
        <v/>
      </c>
      <c r="U998" s="418" t="str">
        <f t="shared" si="1492"/>
        <v/>
      </c>
      <c r="V998" s="418" t="str">
        <f t="shared" si="1493"/>
        <v/>
      </c>
      <c r="W998" s="418" t="str">
        <f t="shared" si="1494"/>
        <v/>
      </c>
      <c r="X998" s="418" t="str">
        <f t="shared" si="1495"/>
        <v/>
      </c>
      <c r="Y998" s="418" t="str">
        <f t="shared" si="1496"/>
        <v/>
      </c>
      <c r="Z998" s="418" t="str">
        <f t="shared" si="1497"/>
        <v/>
      </c>
      <c r="AA998" s="418" t="str">
        <f t="shared" si="1498"/>
        <v/>
      </c>
      <c r="AB998" s="418" t="str">
        <f t="shared" si="1499"/>
        <v/>
      </c>
      <c r="AC998" s="418" t="str">
        <f t="shared" si="1500"/>
        <v/>
      </c>
      <c r="AD998" s="418" t="str">
        <f t="shared" si="1501"/>
        <v/>
      </c>
      <c r="AE998" s="418" t="str">
        <f t="shared" si="1502"/>
        <v/>
      </c>
      <c r="AF998" s="418" t="str">
        <f t="shared" si="1503"/>
        <v/>
      </c>
      <c r="AG998" s="418" t="str">
        <f t="shared" si="1504"/>
        <v/>
      </c>
      <c r="AH998" s="418" t="str">
        <f t="shared" si="1505"/>
        <v/>
      </c>
      <c r="AI998" s="418" t="str">
        <f t="shared" si="1506"/>
        <v/>
      </c>
      <c r="AJ998" s="418" t="str">
        <f t="shared" si="1507"/>
        <v/>
      </c>
      <c r="AK998" s="418" t="str">
        <f t="shared" si="1508"/>
        <v/>
      </c>
      <c r="AL998" s="418" t="str">
        <f t="shared" si="1509"/>
        <v/>
      </c>
      <c r="AM998" s="418" t="str">
        <f t="shared" si="1510"/>
        <v/>
      </c>
      <c r="AN998" s="418" t="str">
        <f t="shared" si="1511"/>
        <v/>
      </c>
      <c r="AO998" s="418" t="str">
        <f t="shared" si="1512"/>
        <v/>
      </c>
      <c r="AP998" s="418" t="str">
        <f t="shared" si="1513"/>
        <v/>
      </c>
      <c r="AQ998" s="418" t="str">
        <f t="shared" si="1514"/>
        <v/>
      </c>
      <c r="AR998" s="418" t="str">
        <f t="shared" si="1515"/>
        <v/>
      </c>
      <c r="AS998" s="418" t="str">
        <f t="shared" si="1516"/>
        <v/>
      </c>
      <c r="AT998" s="418" t="str">
        <f t="shared" si="1517"/>
        <v/>
      </c>
      <c r="AU998" s="418" t="str">
        <f t="shared" si="1518"/>
        <v/>
      </c>
      <c r="AV998" s="418" t="str">
        <f t="shared" si="1519"/>
        <v/>
      </c>
      <c r="AW998" s="418">
        <f t="shared" si="1520"/>
        <v>10</v>
      </c>
      <c r="AX998" s="418" t="str">
        <f t="shared" si="1521"/>
        <v/>
      </c>
      <c r="AY998" s="418" t="str">
        <f t="shared" si="1522"/>
        <v/>
      </c>
      <c r="AZ998" s="418" t="str">
        <f t="shared" si="1523"/>
        <v/>
      </c>
      <c r="BA998" s="418" t="str">
        <f t="shared" si="1524"/>
        <v/>
      </c>
      <c r="BB998" s="418" t="str">
        <f t="shared" si="1525"/>
        <v/>
      </c>
      <c r="BC998" s="418" t="str">
        <f t="shared" si="1526"/>
        <v/>
      </c>
      <c r="BD998" s="418" t="str">
        <f t="shared" si="1527"/>
        <v/>
      </c>
      <c r="BE998" s="418" t="str">
        <f t="shared" si="1528"/>
        <v/>
      </c>
      <c r="BF998" s="418" t="str">
        <f t="shared" si="1529"/>
        <v/>
      </c>
      <c r="BG998" s="418" t="str">
        <f t="shared" si="1530"/>
        <v/>
      </c>
      <c r="BH998" s="418" t="str">
        <f t="shared" si="1531"/>
        <v/>
      </c>
      <c r="BI998" s="418" t="str">
        <f t="shared" si="1532"/>
        <v/>
      </c>
      <c r="BJ998" s="418" t="str">
        <f t="shared" si="1533"/>
        <v/>
      </c>
      <c r="BK998" s="418" t="str">
        <f t="shared" si="1534"/>
        <v/>
      </c>
      <c r="BL998" s="418" t="str">
        <f t="shared" si="1535"/>
        <v/>
      </c>
      <c r="BM998" s="418" t="str">
        <f t="shared" si="1536"/>
        <v/>
      </c>
      <c r="BN998" s="418" t="str">
        <f t="shared" si="1537"/>
        <v/>
      </c>
      <c r="BO998" s="418" t="str">
        <f t="shared" si="1538"/>
        <v/>
      </c>
      <c r="BP998" s="418" t="str">
        <f t="shared" si="1539"/>
        <v/>
      </c>
      <c r="BQ998" s="418" t="str">
        <f t="shared" si="1545"/>
        <v/>
      </c>
      <c r="BR998" s="418" t="str">
        <f t="shared" si="1546"/>
        <v/>
      </c>
      <c r="BS998" s="418" t="str">
        <f t="shared" si="1547"/>
        <v/>
      </c>
      <c r="BT998" s="418" t="str">
        <f t="shared" si="1540"/>
        <v/>
      </c>
      <c r="BU998" s="418" t="str">
        <f t="shared" si="1541"/>
        <v/>
      </c>
      <c r="BV998" s="544"/>
      <c r="BW998" s="723">
        <f t="shared" si="1542"/>
        <v>0</v>
      </c>
      <c r="BX998" s="724">
        <f t="shared" si="1543"/>
        <v>0</v>
      </c>
      <c r="BY998" s="725" t="str">
        <f t="shared" si="1544"/>
        <v>SR</v>
      </c>
    </row>
    <row r="999" s="697" customFormat="1" customHeight="1" spans="1:77">
      <c r="A999" s="174">
        <v>46175</v>
      </c>
      <c r="B999" s="178">
        <v>46181</v>
      </c>
      <c r="C999" s="118" t="s">
        <v>839</v>
      </c>
      <c r="D999" s="118" t="s">
        <v>904</v>
      </c>
      <c r="E999" s="176" t="s">
        <v>906</v>
      </c>
      <c r="F999" s="741">
        <v>10</v>
      </c>
      <c r="G999" s="418" t="s">
        <v>510</v>
      </c>
      <c r="H999" s="118" t="str">
        <f>IFERROR(VLOOKUP(E999,名称!A:E,4,0),"")</f>
        <v/>
      </c>
      <c r="I999" s="418" t="str">
        <f t="shared" si="1480"/>
        <v/>
      </c>
      <c r="J999" s="418" t="str">
        <f t="shared" si="1481"/>
        <v/>
      </c>
      <c r="K999" s="418" t="str">
        <f t="shared" si="1482"/>
        <v/>
      </c>
      <c r="L999" s="418" t="str">
        <f t="shared" si="1483"/>
        <v/>
      </c>
      <c r="M999" s="418" t="str">
        <f t="shared" si="1484"/>
        <v/>
      </c>
      <c r="N999" s="418" t="str">
        <f t="shared" si="1485"/>
        <v/>
      </c>
      <c r="O999" s="418" t="str">
        <f t="shared" si="1486"/>
        <v/>
      </c>
      <c r="P999" s="418" t="str">
        <f t="shared" si="1487"/>
        <v/>
      </c>
      <c r="Q999" s="418" t="str">
        <f t="shared" si="1488"/>
        <v/>
      </c>
      <c r="R999" s="418" t="str">
        <f t="shared" si="1489"/>
        <v/>
      </c>
      <c r="S999" s="418" t="str">
        <f t="shared" si="1490"/>
        <v/>
      </c>
      <c r="T999" s="418" t="str">
        <f t="shared" si="1491"/>
        <v/>
      </c>
      <c r="U999" s="418" t="str">
        <f t="shared" si="1492"/>
        <v/>
      </c>
      <c r="V999" s="418" t="str">
        <f t="shared" si="1493"/>
        <v/>
      </c>
      <c r="W999" s="418" t="str">
        <f t="shared" si="1494"/>
        <v/>
      </c>
      <c r="X999" s="418" t="str">
        <f t="shared" si="1495"/>
        <v/>
      </c>
      <c r="Y999" s="418" t="str">
        <f t="shared" si="1496"/>
        <v/>
      </c>
      <c r="Z999" s="418" t="str">
        <f t="shared" si="1497"/>
        <v/>
      </c>
      <c r="AA999" s="418" t="str">
        <f t="shared" si="1498"/>
        <v/>
      </c>
      <c r="AB999" s="418" t="str">
        <f t="shared" si="1499"/>
        <v/>
      </c>
      <c r="AC999" s="418" t="str">
        <f t="shared" si="1500"/>
        <v/>
      </c>
      <c r="AD999" s="418" t="str">
        <f t="shared" si="1501"/>
        <v/>
      </c>
      <c r="AE999" s="418" t="str">
        <f t="shared" si="1502"/>
        <v/>
      </c>
      <c r="AF999" s="418" t="str">
        <f t="shared" si="1503"/>
        <v/>
      </c>
      <c r="AG999" s="418" t="str">
        <f t="shared" si="1504"/>
        <v/>
      </c>
      <c r="AH999" s="418" t="str">
        <f t="shared" si="1505"/>
        <v/>
      </c>
      <c r="AI999" s="418" t="str">
        <f t="shared" si="1506"/>
        <v/>
      </c>
      <c r="AJ999" s="418" t="str">
        <f t="shared" si="1507"/>
        <v/>
      </c>
      <c r="AK999" s="418" t="str">
        <f t="shared" si="1508"/>
        <v/>
      </c>
      <c r="AL999" s="418" t="str">
        <f t="shared" si="1509"/>
        <v/>
      </c>
      <c r="AM999" s="418" t="str">
        <f t="shared" si="1510"/>
        <v/>
      </c>
      <c r="AN999" s="418" t="str">
        <f t="shared" si="1511"/>
        <v/>
      </c>
      <c r="AO999" s="418" t="str">
        <f t="shared" si="1512"/>
        <v/>
      </c>
      <c r="AP999" s="418" t="str">
        <f t="shared" si="1513"/>
        <v/>
      </c>
      <c r="AQ999" s="418" t="str">
        <f t="shared" si="1514"/>
        <v/>
      </c>
      <c r="AR999" s="418" t="str">
        <f t="shared" si="1515"/>
        <v/>
      </c>
      <c r="AS999" s="418" t="str">
        <f t="shared" si="1516"/>
        <v/>
      </c>
      <c r="AT999" s="418" t="str">
        <f t="shared" si="1517"/>
        <v/>
      </c>
      <c r="AU999" s="418" t="str">
        <f t="shared" si="1518"/>
        <v/>
      </c>
      <c r="AV999" s="418" t="str">
        <f t="shared" si="1519"/>
        <v/>
      </c>
      <c r="AW999" s="418">
        <f t="shared" si="1520"/>
        <v>10</v>
      </c>
      <c r="AX999" s="418" t="str">
        <f t="shared" si="1521"/>
        <v/>
      </c>
      <c r="AY999" s="418" t="str">
        <f t="shared" si="1522"/>
        <v/>
      </c>
      <c r="AZ999" s="418" t="str">
        <f t="shared" si="1523"/>
        <v/>
      </c>
      <c r="BA999" s="418" t="str">
        <f t="shared" si="1524"/>
        <v/>
      </c>
      <c r="BB999" s="418" t="str">
        <f t="shared" si="1525"/>
        <v/>
      </c>
      <c r="BC999" s="418" t="str">
        <f t="shared" si="1526"/>
        <v/>
      </c>
      <c r="BD999" s="418" t="str">
        <f t="shared" si="1527"/>
        <v/>
      </c>
      <c r="BE999" s="418" t="str">
        <f t="shared" si="1528"/>
        <v/>
      </c>
      <c r="BF999" s="418" t="str">
        <f t="shared" si="1529"/>
        <v/>
      </c>
      <c r="BG999" s="418" t="str">
        <f t="shared" si="1530"/>
        <v/>
      </c>
      <c r="BH999" s="418" t="str">
        <f t="shared" si="1531"/>
        <v/>
      </c>
      <c r="BI999" s="418" t="str">
        <f t="shared" si="1532"/>
        <v/>
      </c>
      <c r="BJ999" s="418" t="str">
        <f t="shared" si="1533"/>
        <v/>
      </c>
      <c r="BK999" s="418" t="str">
        <f t="shared" si="1534"/>
        <v/>
      </c>
      <c r="BL999" s="418" t="str">
        <f t="shared" si="1535"/>
        <v/>
      </c>
      <c r="BM999" s="418" t="str">
        <f t="shared" si="1536"/>
        <v/>
      </c>
      <c r="BN999" s="418" t="str">
        <f t="shared" si="1537"/>
        <v/>
      </c>
      <c r="BO999" s="418" t="str">
        <f t="shared" si="1538"/>
        <v/>
      </c>
      <c r="BP999" s="418" t="str">
        <f t="shared" si="1539"/>
        <v/>
      </c>
      <c r="BQ999" s="418" t="str">
        <f t="shared" si="1545"/>
        <v/>
      </c>
      <c r="BR999" s="418" t="str">
        <f t="shared" si="1546"/>
        <v/>
      </c>
      <c r="BS999" s="418" t="str">
        <f t="shared" si="1547"/>
        <v/>
      </c>
      <c r="BT999" s="418" t="str">
        <f t="shared" si="1540"/>
        <v/>
      </c>
      <c r="BU999" s="418" t="str">
        <f t="shared" si="1541"/>
        <v/>
      </c>
      <c r="BV999" s="544"/>
      <c r="BW999" s="723">
        <f t="shared" si="1542"/>
        <v>0</v>
      </c>
      <c r="BX999" s="724">
        <f t="shared" si="1543"/>
        <v>0</v>
      </c>
      <c r="BY999" s="725" t="str">
        <f t="shared" si="1544"/>
        <v>SR</v>
      </c>
    </row>
    <row r="1000" s="697" customFormat="1" customHeight="1" spans="1:77">
      <c r="A1000" s="174">
        <v>46175</v>
      </c>
      <c r="B1000" s="178">
        <v>46181</v>
      </c>
      <c r="C1000" s="118" t="s">
        <v>839</v>
      </c>
      <c r="D1000" s="118" t="s">
        <v>904</v>
      </c>
      <c r="E1000" s="176" t="s">
        <v>907</v>
      </c>
      <c r="F1000" s="741">
        <v>10</v>
      </c>
      <c r="G1000" s="418" t="s">
        <v>510</v>
      </c>
      <c r="H1000" s="118" t="str">
        <f>IFERROR(VLOOKUP(E1000,名称!A:E,4,0),"")</f>
        <v/>
      </c>
      <c r="I1000" s="418" t="str">
        <f t="shared" si="1480"/>
        <v/>
      </c>
      <c r="J1000" s="418" t="str">
        <f t="shared" si="1481"/>
        <v/>
      </c>
      <c r="K1000" s="418" t="str">
        <f t="shared" si="1482"/>
        <v/>
      </c>
      <c r="L1000" s="418" t="str">
        <f t="shared" si="1483"/>
        <v/>
      </c>
      <c r="M1000" s="418" t="str">
        <f t="shared" si="1484"/>
        <v/>
      </c>
      <c r="N1000" s="418" t="str">
        <f t="shared" si="1485"/>
        <v/>
      </c>
      <c r="O1000" s="418" t="str">
        <f t="shared" si="1486"/>
        <v/>
      </c>
      <c r="P1000" s="418" t="str">
        <f t="shared" si="1487"/>
        <v/>
      </c>
      <c r="Q1000" s="418" t="str">
        <f t="shared" si="1488"/>
        <v/>
      </c>
      <c r="R1000" s="418" t="str">
        <f t="shared" si="1489"/>
        <v/>
      </c>
      <c r="S1000" s="418" t="str">
        <f t="shared" si="1490"/>
        <v/>
      </c>
      <c r="T1000" s="418" t="str">
        <f t="shared" si="1491"/>
        <v/>
      </c>
      <c r="U1000" s="418" t="str">
        <f t="shared" si="1492"/>
        <v/>
      </c>
      <c r="V1000" s="418" t="str">
        <f t="shared" si="1493"/>
        <v/>
      </c>
      <c r="W1000" s="418" t="str">
        <f t="shared" si="1494"/>
        <v/>
      </c>
      <c r="X1000" s="418" t="str">
        <f t="shared" si="1495"/>
        <v/>
      </c>
      <c r="Y1000" s="418" t="str">
        <f t="shared" si="1496"/>
        <v/>
      </c>
      <c r="Z1000" s="418" t="str">
        <f t="shared" si="1497"/>
        <v/>
      </c>
      <c r="AA1000" s="418" t="str">
        <f t="shared" si="1498"/>
        <v/>
      </c>
      <c r="AB1000" s="418" t="str">
        <f t="shared" si="1499"/>
        <v/>
      </c>
      <c r="AC1000" s="418" t="str">
        <f t="shared" si="1500"/>
        <v/>
      </c>
      <c r="AD1000" s="418" t="str">
        <f t="shared" si="1501"/>
        <v/>
      </c>
      <c r="AE1000" s="418" t="str">
        <f t="shared" si="1502"/>
        <v/>
      </c>
      <c r="AF1000" s="418" t="str">
        <f t="shared" si="1503"/>
        <v/>
      </c>
      <c r="AG1000" s="418" t="str">
        <f t="shared" si="1504"/>
        <v/>
      </c>
      <c r="AH1000" s="418" t="str">
        <f t="shared" si="1505"/>
        <v/>
      </c>
      <c r="AI1000" s="418" t="str">
        <f t="shared" si="1506"/>
        <v/>
      </c>
      <c r="AJ1000" s="418" t="str">
        <f t="shared" si="1507"/>
        <v/>
      </c>
      <c r="AK1000" s="418" t="str">
        <f t="shared" si="1508"/>
        <v/>
      </c>
      <c r="AL1000" s="418" t="str">
        <f t="shared" si="1509"/>
        <v/>
      </c>
      <c r="AM1000" s="418" t="str">
        <f t="shared" si="1510"/>
        <v/>
      </c>
      <c r="AN1000" s="418" t="str">
        <f t="shared" si="1511"/>
        <v/>
      </c>
      <c r="AO1000" s="418" t="str">
        <f t="shared" si="1512"/>
        <v/>
      </c>
      <c r="AP1000" s="418" t="str">
        <f t="shared" si="1513"/>
        <v/>
      </c>
      <c r="AQ1000" s="418" t="str">
        <f t="shared" si="1514"/>
        <v/>
      </c>
      <c r="AR1000" s="418" t="str">
        <f t="shared" si="1515"/>
        <v/>
      </c>
      <c r="AS1000" s="418" t="str">
        <f t="shared" si="1516"/>
        <v/>
      </c>
      <c r="AT1000" s="418" t="str">
        <f t="shared" si="1517"/>
        <v/>
      </c>
      <c r="AU1000" s="418" t="str">
        <f t="shared" si="1518"/>
        <v/>
      </c>
      <c r="AV1000" s="418" t="str">
        <f t="shared" si="1519"/>
        <v/>
      </c>
      <c r="AW1000" s="418">
        <f t="shared" si="1520"/>
        <v>10</v>
      </c>
      <c r="AX1000" s="418" t="str">
        <f t="shared" si="1521"/>
        <v/>
      </c>
      <c r="AY1000" s="418" t="str">
        <f t="shared" si="1522"/>
        <v/>
      </c>
      <c r="AZ1000" s="418" t="str">
        <f t="shared" si="1523"/>
        <v/>
      </c>
      <c r="BA1000" s="418" t="str">
        <f t="shared" si="1524"/>
        <v/>
      </c>
      <c r="BB1000" s="418" t="str">
        <f t="shared" si="1525"/>
        <v/>
      </c>
      <c r="BC1000" s="418" t="str">
        <f t="shared" si="1526"/>
        <v/>
      </c>
      <c r="BD1000" s="418" t="str">
        <f t="shared" si="1527"/>
        <v/>
      </c>
      <c r="BE1000" s="418" t="str">
        <f t="shared" si="1528"/>
        <v/>
      </c>
      <c r="BF1000" s="418" t="str">
        <f t="shared" si="1529"/>
        <v/>
      </c>
      <c r="BG1000" s="418" t="str">
        <f t="shared" si="1530"/>
        <v/>
      </c>
      <c r="BH1000" s="418" t="str">
        <f t="shared" si="1531"/>
        <v/>
      </c>
      <c r="BI1000" s="418" t="str">
        <f t="shared" si="1532"/>
        <v/>
      </c>
      <c r="BJ1000" s="418" t="str">
        <f t="shared" si="1533"/>
        <v/>
      </c>
      <c r="BK1000" s="418" t="str">
        <f t="shared" si="1534"/>
        <v/>
      </c>
      <c r="BL1000" s="418" t="str">
        <f t="shared" si="1535"/>
        <v/>
      </c>
      <c r="BM1000" s="418" t="str">
        <f t="shared" si="1536"/>
        <v/>
      </c>
      <c r="BN1000" s="418" t="str">
        <f t="shared" si="1537"/>
        <v/>
      </c>
      <c r="BO1000" s="418" t="str">
        <f t="shared" si="1538"/>
        <v/>
      </c>
      <c r="BP1000" s="418" t="str">
        <f t="shared" si="1539"/>
        <v/>
      </c>
      <c r="BQ1000" s="418" t="str">
        <f t="shared" si="1545"/>
        <v/>
      </c>
      <c r="BR1000" s="418" t="str">
        <f t="shared" si="1546"/>
        <v/>
      </c>
      <c r="BS1000" s="418" t="str">
        <f t="shared" si="1547"/>
        <v/>
      </c>
      <c r="BT1000" s="418" t="str">
        <f t="shared" si="1540"/>
        <v/>
      </c>
      <c r="BU1000" s="418" t="str">
        <f t="shared" si="1541"/>
        <v/>
      </c>
      <c r="BV1000" s="544"/>
      <c r="BW1000" s="723">
        <f t="shared" si="1542"/>
        <v>0</v>
      </c>
      <c r="BX1000" s="724">
        <f t="shared" si="1543"/>
        <v>0</v>
      </c>
      <c r="BY1000" s="725" t="str">
        <f t="shared" si="1544"/>
        <v>SR</v>
      </c>
    </row>
    <row r="1001" s="697" customFormat="1" customHeight="1" spans="1:77">
      <c r="A1001" s="174">
        <v>46175</v>
      </c>
      <c r="B1001" s="178">
        <v>46181</v>
      </c>
      <c r="C1001" s="118" t="s">
        <v>839</v>
      </c>
      <c r="D1001" s="118" t="s">
        <v>904</v>
      </c>
      <c r="E1001" s="176" t="s">
        <v>204</v>
      </c>
      <c r="F1001" s="741">
        <v>140</v>
      </c>
      <c r="G1001" s="418" t="s">
        <v>510</v>
      </c>
      <c r="H1001" s="118" t="str">
        <f>IFERROR(VLOOKUP(E1001,名称!A:E,4,0),"")</f>
        <v>三代</v>
      </c>
      <c r="I1001" s="418" t="str">
        <f t="shared" si="1480"/>
        <v/>
      </c>
      <c r="J1001" s="418" t="str">
        <f t="shared" si="1481"/>
        <v/>
      </c>
      <c r="K1001" s="418" t="str">
        <f t="shared" si="1482"/>
        <v/>
      </c>
      <c r="L1001" s="418" t="str">
        <f t="shared" si="1483"/>
        <v/>
      </c>
      <c r="M1001" s="418" t="str">
        <f t="shared" si="1484"/>
        <v/>
      </c>
      <c r="N1001" s="418" t="str">
        <f t="shared" si="1485"/>
        <v/>
      </c>
      <c r="O1001" s="418" t="str">
        <f t="shared" si="1486"/>
        <v/>
      </c>
      <c r="P1001" s="418" t="str">
        <f t="shared" si="1487"/>
        <v/>
      </c>
      <c r="Q1001" s="418" t="str">
        <f t="shared" si="1488"/>
        <v/>
      </c>
      <c r="R1001" s="418" t="str">
        <f t="shared" si="1489"/>
        <v/>
      </c>
      <c r="S1001" s="418" t="str">
        <f t="shared" si="1490"/>
        <v/>
      </c>
      <c r="T1001" s="418" t="str">
        <f t="shared" si="1491"/>
        <v/>
      </c>
      <c r="U1001" s="418" t="str">
        <f t="shared" si="1492"/>
        <v/>
      </c>
      <c r="V1001" s="418" t="str">
        <f t="shared" si="1493"/>
        <v/>
      </c>
      <c r="W1001" s="418" t="str">
        <f t="shared" si="1494"/>
        <v/>
      </c>
      <c r="X1001" s="418" t="str">
        <f t="shared" si="1495"/>
        <v/>
      </c>
      <c r="Y1001" s="418" t="str">
        <f t="shared" si="1496"/>
        <v/>
      </c>
      <c r="Z1001" s="418" t="str">
        <f t="shared" si="1497"/>
        <v/>
      </c>
      <c r="AA1001" s="418" t="str">
        <f t="shared" si="1498"/>
        <v/>
      </c>
      <c r="AB1001" s="418" t="str">
        <f t="shared" si="1499"/>
        <v/>
      </c>
      <c r="AC1001" s="418" t="str">
        <f t="shared" si="1500"/>
        <v/>
      </c>
      <c r="AD1001" s="418" t="str">
        <f t="shared" si="1501"/>
        <v/>
      </c>
      <c r="AE1001" s="418" t="str">
        <f t="shared" si="1502"/>
        <v/>
      </c>
      <c r="AF1001" s="418" t="str">
        <f t="shared" si="1503"/>
        <v/>
      </c>
      <c r="AG1001" s="418" t="str">
        <f t="shared" si="1504"/>
        <v/>
      </c>
      <c r="AH1001" s="418" t="str">
        <f t="shared" si="1505"/>
        <v/>
      </c>
      <c r="AI1001" s="418" t="str">
        <f t="shared" si="1506"/>
        <v/>
      </c>
      <c r="AJ1001" s="418" t="str">
        <f t="shared" si="1507"/>
        <v/>
      </c>
      <c r="AK1001" s="418" t="str">
        <f t="shared" si="1508"/>
        <v/>
      </c>
      <c r="AL1001" s="418" t="str">
        <f t="shared" si="1509"/>
        <v/>
      </c>
      <c r="AM1001" s="418" t="str">
        <f t="shared" si="1510"/>
        <v/>
      </c>
      <c r="AN1001" s="418" t="str">
        <f t="shared" si="1511"/>
        <v/>
      </c>
      <c r="AO1001" s="418" t="str">
        <f t="shared" si="1512"/>
        <v/>
      </c>
      <c r="AP1001" s="418" t="str">
        <f t="shared" si="1513"/>
        <v/>
      </c>
      <c r="AQ1001" s="418" t="str">
        <f t="shared" si="1514"/>
        <v/>
      </c>
      <c r="AR1001" s="418" t="str">
        <f t="shared" si="1515"/>
        <v/>
      </c>
      <c r="AS1001" s="418" t="str">
        <f t="shared" si="1516"/>
        <v/>
      </c>
      <c r="AT1001" s="418">
        <f t="shared" si="1517"/>
        <v>140</v>
      </c>
      <c r="AU1001" s="418" t="str">
        <f t="shared" si="1518"/>
        <v/>
      </c>
      <c r="AV1001" s="418" t="str">
        <f t="shared" si="1519"/>
        <v/>
      </c>
      <c r="AW1001" s="418" t="str">
        <f t="shared" si="1520"/>
        <v/>
      </c>
      <c r="AX1001" s="418" t="str">
        <f t="shared" si="1521"/>
        <v/>
      </c>
      <c r="AY1001" s="418" t="str">
        <f t="shared" si="1522"/>
        <v/>
      </c>
      <c r="AZ1001" s="418" t="str">
        <f t="shared" si="1523"/>
        <v/>
      </c>
      <c r="BA1001" s="418" t="str">
        <f t="shared" si="1524"/>
        <v/>
      </c>
      <c r="BB1001" s="418" t="str">
        <f t="shared" si="1525"/>
        <v/>
      </c>
      <c r="BC1001" s="418" t="str">
        <f t="shared" si="1526"/>
        <v/>
      </c>
      <c r="BD1001" s="418" t="str">
        <f t="shared" si="1527"/>
        <v/>
      </c>
      <c r="BE1001" s="418" t="str">
        <f t="shared" si="1528"/>
        <v/>
      </c>
      <c r="BF1001" s="418" t="str">
        <f t="shared" si="1529"/>
        <v/>
      </c>
      <c r="BG1001" s="418" t="str">
        <f t="shared" si="1530"/>
        <v/>
      </c>
      <c r="BH1001" s="418" t="str">
        <f t="shared" si="1531"/>
        <v/>
      </c>
      <c r="BI1001" s="418" t="str">
        <f t="shared" si="1532"/>
        <v/>
      </c>
      <c r="BJ1001" s="418" t="str">
        <f t="shared" si="1533"/>
        <v/>
      </c>
      <c r="BK1001" s="418" t="str">
        <f t="shared" si="1534"/>
        <v/>
      </c>
      <c r="BL1001" s="418" t="str">
        <f t="shared" si="1535"/>
        <v/>
      </c>
      <c r="BM1001" s="418" t="str">
        <f t="shared" si="1536"/>
        <v/>
      </c>
      <c r="BN1001" s="418" t="str">
        <f t="shared" si="1537"/>
        <v/>
      </c>
      <c r="BO1001" s="418" t="str">
        <f t="shared" si="1538"/>
        <v/>
      </c>
      <c r="BP1001" s="418" t="str">
        <f t="shared" si="1539"/>
        <v/>
      </c>
      <c r="BQ1001" s="418" t="str">
        <f t="shared" si="1545"/>
        <v/>
      </c>
      <c r="BR1001" s="418" t="str">
        <f t="shared" si="1546"/>
        <v/>
      </c>
      <c r="BS1001" s="418" t="str">
        <f t="shared" si="1547"/>
        <v/>
      </c>
      <c r="BT1001" s="418" t="str">
        <f t="shared" si="1540"/>
        <v/>
      </c>
      <c r="BU1001" s="418" t="str">
        <f t="shared" si="1541"/>
        <v/>
      </c>
      <c r="BV1001" s="544"/>
      <c r="BW1001" s="723">
        <f t="shared" si="1542"/>
        <v>0</v>
      </c>
      <c r="BX1001" s="724">
        <f t="shared" si="1543"/>
        <v>0</v>
      </c>
      <c r="BY1001" s="725" t="str">
        <f t="shared" si="1544"/>
        <v>SR</v>
      </c>
    </row>
    <row r="1002" s="697" customFormat="1" customHeight="1" spans="1:77">
      <c r="A1002" s="174">
        <v>46175</v>
      </c>
      <c r="B1002" s="178">
        <v>46181</v>
      </c>
      <c r="C1002" s="118" t="s">
        <v>839</v>
      </c>
      <c r="D1002" s="118" t="s">
        <v>904</v>
      </c>
      <c r="E1002" s="176" t="s">
        <v>181</v>
      </c>
      <c r="F1002" s="741">
        <v>140</v>
      </c>
      <c r="G1002" s="418" t="s">
        <v>510</v>
      </c>
      <c r="H1002" s="118" t="str">
        <f>IFERROR(VLOOKUP(E1002,名称!A:E,4,0),"")</f>
        <v>三代</v>
      </c>
      <c r="I1002" s="418" t="str">
        <f t="shared" si="1480"/>
        <v/>
      </c>
      <c r="J1002" s="418" t="str">
        <f t="shared" si="1481"/>
        <v/>
      </c>
      <c r="K1002" s="418" t="str">
        <f t="shared" si="1482"/>
        <v/>
      </c>
      <c r="L1002" s="418" t="str">
        <f t="shared" si="1483"/>
        <v/>
      </c>
      <c r="M1002" s="418" t="str">
        <f t="shared" si="1484"/>
        <v/>
      </c>
      <c r="N1002" s="418" t="str">
        <f t="shared" si="1485"/>
        <v/>
      </c>
      <c r="O1002" s="418" t="str">
        <f t="shared" si="1486"/>
        <v/>
      </c>
      <c r="P1002" s="418" t="str">
        <f t="shared" si="1487"/>
        <v/>
      </c>
      <c r="Q1002" s="418" t="str">
        <f t="shared" si="1488"/>
        <v/>
      </c>
      <c r="R1002" s="418" t="str">
        <f t="shared" si="1489"/>
        <v/>
      </c>
      <c r="S1002" s="418" t="str">
        <f t="shared" si="1490"/>
        <v/>
      </c>
      <c r="T1002" s="418" t="str">
        <f t="shared" si="1491"/>
        <v/>
      </c>
      <c r="U1002" s="418" t="str">
        <f t="shared" si="1492"/>
        <v/>
      </c>
      <c r="V1002" s="418" t="str">
        <f t="shared" si="1493"/>
        <v/>
      </c>
      <c r="W1002" s="418" t="str">
        <f t="shared" si="1494"/>
        <v/>
      </c>
      <c r="X1002" s="418" t="str">
        <f t="shared" si="1495"/>
        <v/>
      </c>
      <c r="Y1002" s="418" t="str">
        <f t="shared" si="1496"/>
        <v/>
      </c>
      <c r="Z1002" s="418" t="str">
        <f t="shared" si="1497"/>
        <v/>
      </c>
      <c r="AA1002" s="418" t="str">
        <f t="shared" si="1498"/>
        <v/>
      </c>
      <c r="AB1002" s="418" t="str">
        <f t="shared" si="1499"/>
        <v/>
      </c>
      <c r="AC1002" s="418" t="str">
        <f t="shared" si="1500"/>
        <v/>
      </c>
      <c r="AD1002" s="418" t="str">
        <f t="shared" si="1501"/>
        <v/>
      </c>
      <c r="AE1002" s="418" t="str">
        <f t="shared" si="1502"/>
        <v/>
      </c>
      <c r="AF1002" s="418" t="str">
        <f t="shared" si="1503"/>
        <v/>
      </c>
      <c r="AG1002" s="418" t="str">
        <f t="shared" si="1504"/>
        <v/>
      </c>
      <c r="AH1002" s="418" t="str">
        <f t="shared" si="1505"/>
        <v/>
      </c>
      <c r="AI1002" s="418" t="str">
        <f t="shared" si="1506"/>
        <v/>
      </c>
      <c r="AJ1002" s="418" t="str">
        <f t="shared" si="1507"/>
        <v/>
      </c>
      <c r="AK1002" s="418" t="str">
        <f t="shared" si="1508"/>
        <v/>
      </c>
      <c r="AL1002" s="418" t="str">
        <f t="shared" si="1509"/>
        <v/>
      </c>
      <c r="AM1002" s="418" t="str">
        <f t="shared" si="1510"/>
        <v/>
      </c>
      <c r="AN1002" s="418">
        <f t="shared" si="1511"/>
        <v>140</v>
      </c>
      <c r="AO1002" s="418" t="str">
        <f t="shared" si="1512"/>
        <v/>
      </c>
      <c r="AP1002" s="418" t="str">
        <f t="shared" si="1513"/>
        <v/>
      </c>
      <c r="AQ1002" s="418" t="str">
        <f t="shared" si="1514"/>
        <v/>
      </c>
      <c r="AR1002" s="418" t="str">
        <f t="shared" si="1515"/>
        <v/>
      </c>
      <c r="AS1002" s="418" t="str">
        <f t="shared" si="1516"/>
        <v/>
      </c>
      <c r="AT1002" s="418" t="str">
        <f t="shared" si="1517"/>
        <v/>
      </c>
      <c r="AU1002" s="418" t="str">
        <f t="shared" si="1518"/>
        <v/>
      </c>
      <c r="AV1002" s="418" t="str">
        <f t="shared" si="1519"/>
        <v/>
      </c>
      <c r="AW1002" s="418" t="str">
        <f t="shared" si="1520"/>
        <v/>
      </c>
      <c r="AX1002" s="418" t="str">
        <f t="shared" si="1521"/>
        <v/>
      </c>
      <c r="AY1002" s="418" t="str">
        <f t="shared" si="1522"/>
        <v/>
      </c>
      <c r="AZ1002" s="418" t="str">
        <f t="shared" si="1523"/>
        <v/>
      </c>
      <c r="BA1002" s="418" t="str">
        <f t="shared" si="1524"/>
        <v/>
      </c>
      <c r="BB1002" s="418" t="str">
        <f t="shared" si="1525"/>
        <v/>
      </c>
      <c r="BC1002" s="418" t="str">
        <f t="shared" si="1526"/>
        <v/>
      </c>
      <c r="BD1002" s="418" t="str">
        <f t="shared" si="1527"/>
        <v/>
      </c>
      <c r="BE1002" s="418" t="str">
        <f t="shared" si="1528"/>
        <v/>
      </c>
      <c r="BF1002" s="418" t="str">
        <f t="shared" si="1529"/>
        <v/>
      </c>
      <c r="BG1002" s="418" t="str">
        <f t="shared" si="1530"/>
        <v/>
      </c>
      <c r="BH1002" s="418" t="str">
        <f t="shared" si="1531"/>
        <v/>
      </c>
      <c r="BI1002" s="418" t="str">
        <f t="shared" si="1532"/>
        <v/>
      </c>
      <c r="BJ1002" s="418" t="str">
        <f t="shared" si="1533"/>
        <v/>
      </c>
      <c r="BK1002" s="418" t="str">
        <f t="shared" si="1534"/>
        <v/>
      </c>
      <c r="BL1002" s="418" t="str">
        <f t="shared" si="1535"/>
        <v/>
      </c>
      <c r="BM1002" s="418" t="str">
        <f t="shared" si="1536"/>
        <v/>
      </c>
      <c r="BN1002" s="418" t="str">
        <f t="shared" si="1537"/>
        <v/>
      </c>
      <c r="BO1002" s="418" t="str">
        <f t="shared" si="1538"/>
        <v/>
      </c>
      <c r="BP1002" s="418" t="str">
        <f t="shared" si="1539"/>
        <v/>
      </c>
      <c r="BQ1002" s="418" t="str">
        <f t="shared" si="1545"/>
        <v/>
      </c>
      <c r="BR1002" s="418" t="str">
        <f t="shared" si="1546"/>
        <v/>
      </c>
      <c r="BS1002" s="418" t="str">
        <f t="shared" si="1547"/>
        <v/>
      </c>
      <c r="BT1002" s="418" t="str">
        <f t="shared" si="1540"/>
        <v/>
      </c>
      <c r="BU1002" s="418" t="str">
        <f t="shared" si="1541"/>
        <v/>
      </c>
      <c r="BV1002" s="544"/>
      <c r="BW1002" s="723">
        <f t="shared" si="1542"/>
        <v>0</v>
      </c>
      <c r="BX1002" s="724">
        <f t="shared" si="1543"/>
        <v>0</v>
      </c>
      <c r="BY1002" s="725" t="str">
        <f t="shared" si="1544"/>
        <v>SR</v>
      </c>
    </row>
    <row r="1003" s="697" customFormat="1" customHeight="1" spans="1:77">
      <c r="A1003" s="174">
        <v>46177</v>
      </c>
      <c r="B1003" s="140">
        <v>46266</v>
      </c>
      <c r="C1003" s="123" t="s">
        <v>908</v>
      </c>
      <c r="D1003" s="176" t="s">
        <v>909</v>
      </c>
      <c r="E1003" s="176" t="s">
        <v>119</v>
      </c>
      <c r="F1003" s="741">
        <v>1200</v>
      </c>
      <c r="G1003" s="176" t="s">
        <v>510</v>
      </c>
      <c r="H1003" s="118" t="str">
        <f>IFERROR(VLOOKUP(E1003,名称!A:E,4,0),"")</f>
        <v>三代</v>
      </c>
      <c r="I1003" s="418" t="str">
        <f t="shared" si="1480"/>
        <v/>
      </c>
      <c r="J1003" s="418" t="str">
        <f t="shared" si="1481"/>
        <v/>
      </c>
      <c r="K1003" s="418" t="str">
        <f t="shared" si="1482"/>
        <v/>
      </c>
      <c r="L1003" s="418" t="str">
        <f t="shared" si="1483"/>
        <v/>
      </c>
      <c r="M1003" s="418" t="str">
        <f t="shared" si="1484"/>
        <v/>
      </c>
      <c r="N1003" s="418" t="str">
        <f t="shared" si="1485"/>
        <v/>
      </c>
      <c r="O1003" s="418" t="str">
        <f t="shared" si="1486"/>
        <v/>
      </c>
      <c r="P1003" s="418" t="str">
        <f t="shared" si="1487"/>
        <v/>
      </c>
      <c r="Q1003" s="418" t="str">
        <f t="shared" si="1488"/>
        <v/>
      </c>
      <c r="R1003" s="418" t="str">
        <f t="shared" si="1489"/>
        <v/>
      </c>
      <c r="S1003" s="418" t="str">
        <f t="shared" si="1490"/>
        <v/>
      </c>
      <c r="T1003" s="418" t="str">
        <f t="shared" si="1491"/>
        <v/>
      </c>
      <c r="U1003" s="418" t="str">
        <f t="shared" si="1492"/>
        <v/>
      </c>
      <c r="V1003" s="418" t="str">
        <f t="shared" si="1493"/>
        <v/>
      </c>
      <c r="W1003" s="418" t="str">
        <f t="shared" si="1494"/>
        <v/>
      </c>
      <c r="X1003" s="418" t="str">
        <f t="shared" si="1495"/>
        <v/>
      </c>
      <c r="Y1003" s="418" t="str">
        <f t="shared" si="1496"/>
        <v/>
      </c>
      <c r="Z1003" s="418" t="str">
        <f t="shared" si="1497"/>
        <v/>
      </c>
      <c r="AA1003" s="418" t="str">
        <f t="shared" si="1498"/>
        <v/>
      </c>
      <c r="AB1003" s="418" t="str">
        <f t="shared" si="1499"/>
        <v/>
      </c>
      <c r="AC1003" s="418" t="str">
        <f t="shared" si="1500"/>
        <v/>
      </c>
      <c r="AD1003" s="418" t="str">
        <f t="shared" si="1501"/>
        <v/>
      </c>
      <c r="AE1003" s="418" t="str">
        <f t="shared" si="1502"/>
        <v/>
      </c>
      <c r="AF1003" s="418" t="str">
        <f t="shared" si="1503"/>
        <v/>
      </c>
      <c r="AG1003" s="418" t="str">
        <f t="shared" si="1504"/>
        <v/>
      </c>
      <c r="AH1003" s="418" t="str">
        <f t="shared" si="1505"/>
        <v/>
      </c>
      <c r="AI1003" s="418" t="str">
        <f t="shared" si="1506"/>
        <v/>
      </c>
      <c r="AJ1003" s="418" t="str">
        <f t="shared" si="1507"/>
        <v/>
      </c>
      <c r="AK1003" s="418" t="str">
        <f t="shared" si="1508"/>
        <v/>
      </c>
      <c r="AL1003" s="418" t="str">
        <f t="shared" si="1509"/>
        <v/>
      </c>
      <c r="AM1003" s="418" t="str">
        <f t="shared" si="1510"/>
        <v/>
      </c>
      <c r="AN1003" s="418" t="str">
        <f t="shared" si="1511"/>
        <v/>
      </c>
      <c r="AO1003" s="418" t="str">
        <f t="shared" si="1512"/>
        <v/>
      </c>
      <c r="AP1003" s="418">
        <f t="shared" si="1513"/>
        <v>1200</v>
      </c>
      <c r="AQ1003" s="418" t="str">
        <f t="shared" si="1514"/>
        <v/>
      </c>
      <c r="AR1003" s="418" t="str">
        <f t="shared" si="1515"/>
        <v/>
      </c>
      <c r="AS1003" s="418" t="str">
        <f t="shared" si="1516"/>
        <v/>
      </c>
      <c r="AT1003" s="418" t="str">
        <f t="shared" si="1517"/>
        <v/>
      </c>
      <c r="AU1003" s="418" t="str">
        <f t="shared" si="1518"/>
        <v/>
      </c>
      <c r="AV1003" s="418" t="str">
        <f t="shared" si="1519"/>
        <v/>
      </c>
      <c r="AW1003" s="418" t="str">
        <f t="shared" si="1520"/>
        <v/>
      </c>
      <c r="AX1003" s="418" t="str">
        <f t="shared" si="1521"/>
        <v/>
      </c>
      <c r="AY1003" s="418" t="str">
        <f t="shared" si="1522"/>
        <v/>
      </c>
      <c r="AZ1003" s="418" t="str">
        <f t="shared" si="1523"/>
        <v/>
      </c>
      <c r="BA1003" s="418" t="str">
        <f t="shared" si="1524"/>
        <v/>
      </c>
      <c r="BB1003" s="418" t="str">
        <f t="shared" si="1525"/>
        <v/>
      </c>
      <c r="BC1003" s="418" t="str">
        <f t="shared" si="1526"/>
        <v/>
      </c>
      <c r="BD1003" s="418" t="str">
        <f t="shared" si="1527"/>
        <v/>
      </c>
      <c r="BE1003" s="418" t="str">
        <f t="shared" si="1528"/>
        <v/>
      </c>
      <c r="BF1003" s="418" t="str">
        <f t="shared" si="1529"/>
        <v/>
      </c>
      <c r="BG1003" s="418" t="str">
        <f t="shared" si="1530"/>
        <v/>
      </c>
      <c r="BH1003" s="418" t="str">
        <f t="shared" si="1531"/>
        <v/>
      </c>
      <c r="BI1003" s="418" t="str">
        <f t="shared" si="1532"/>
        <v/>
      </c>
      <c r="BJ1003" s="418" t="str">
        <f t="shared" si="1533"/>
        <v/>
      </c>
      <c r="BK1003" s="418" t="str">
        <f t="shared" si="1534"/>
        <v/>
      </c>
      <c r="BL1003" s="418" t="str">
        <f t="shared" si="1535"/>
        <v/>
      </c>
      <c r="BM1003" s="418" t="str">
        <f t="shared" si="1536"/>
        <v/>
      </c>
      <c r="BN1003" s="418" t="str">
        <f t="shared" si="1537"/>
        <v/>
      </c>
      <c r="BO1003" s="418" t="str">
        <f t="shared" si="1538"/>
        <v/>
      </c>
      <c r="BP1003" s="418" t="str">
        <f t="shared" si="1539"/>
        <v/>
      </c>
      <c r="BQ1003" s="418" t="str">
        <f t="shared" si="1545"/>
        <v/>
      </c>
      <c r="BR1003" s="418" t="str">
        <f t="shared" si="1546"/>
        <v/>
      </c>
      <c r="BS1003" s="418" t="str">
        <f t="shared" si="1547"/>
        <v/>
      </c>
      <c r="BT1003" s="418" t="str">
        <f t="shared" si="1540"/>
        <v/>
      </c>
      <c r="BU1003" s="418" t="str">
        <f t="shared" si="1541"/>
        <v/>
      </c>
      <c r="BV1003" s="742">
        <v>0.63</v>
      </c>
      <c r="BW1003" s="723">
        <f t="shared" si="1542"/>
        <v>756</v>
      </c>
      <c r="BX1003" s="724">
        <f t="shared" si="1543"/>
        <v>5859</v>
      </c>
      <c r="BY1003" s="725" t="str">
        <f t="shared" si="1544"/>
        <v>SR</v>
      </c>
    </row>
    <row r="1004" s="697" customFormat="1" customHeight="1" spans="1:77">
      <c r="A1004" s="174">
        <v>46177</v>
      </c>
      <c r="B1004" s="140">
        <v>46266</v>
      </c>
      <c r="C1004" s="123" t="s">
        <v>908</v>
      </c>
      <c r="D1004" s="176" t="s">
        <v>909</v>
      </c>
      <c r="E1004" s="176" t="s">
        <v>125</v>
      </c>
      <c r="F1004" s="741">
        <v>900</v>
      </c>
      <c r="G1004" s="176" t="s">
        <v>510</v>
      </c>
      <c r="H1004" s="118" t="str">
        <f>IFERROR(VLOOKUP(E1004,名称!A:E,4,0),"")</f>
        <v>三代</v>
      </c>
      <c r="I1004" s="418" t="str">
        <f t="shared" si="1480"/>
        <v/>
      </c>
      <c r="J1004" s="418" t="str">
        <f t="shared" si="1481"/>
        <v/>
      </c>
      <c r="K1004" s="418" t="str">
        <f t="shared" si="1482"/>
        <v/>
      </c>
      <c r="L1004" s="418" t="str">
        <f t="shared" si="1483"/>
        <v/>
      </c>
      <c r="M1004" s="418" t="str">
        <f t="shared" si="1484"/>
        <v/>
      </c>
      <c r="N1004" s="418" t="str">
        <f t="shared" si="1485"/>
        <v/>
      </c>
      <c r="O1004" s="418" t="str">
        <f t="shared" si="1486"/>
        <v/>
      </c>
      <c r="P1004" s="418" t="str">
        <f t="shared" si="1487"/>
        <v/>
      </c>
      <c r="Q1004" s="418" t="str">
        <f t="shared" si="1488"/>
        <v/>
      </c>
      <c r="R1004" s="418" t="str">
        <f t="shared" si="1489"/>
        <v/>
      </c>
      <c r="S1004" s="418" t="str">
        <f t="shared" si="1490"/>
        <v/>
      </c>
      <c r="T1004" s="418" t="str">
        <f t="shared" si="1491"/>
        <v/>
      </c>
      <c r="U1004" s="418" t="str">
        <f t="shared" si="1492"/>
        <v/>
      </c>
      <c r="V1004" s="418" t="str">
        <f t="shared" si="1493"/>
        <v/>
      </c>
      <c r="W1004" s="418" t="str">
        <f t="shared" si="1494"/>
        <v/>
      </c>
      <c r="X1004" s="418" t="str">
        <f t="shared" si="1495"/>
        <v/>
      </c>
      <c r="Y1004" s="418" t="str">
        <f t="shared" si="1496"/>
        <v/>
      </c>
      <c r="Z1004" s="418" t="str">
        <f t="shared" si="1497"/>
        <v/>
      </c>
      <c r="AA1004" s="418" t="str">
        <f t="shared" si="1498"/>
        <v/>
      </c>
      <c r="AB1004" s="418" t="str">
        <f t="shared" si="1499"/>
        <v/>
      </c>
      <c r="AC1004" s="418" t="str">
        <f t="shared" si="1500"/>
        <v/>
      </c>
      <c r="AD1004" s="418" t="str">
        <f t="shared" si="1501"/>
        <v/>
      </c>
      <c r="AE1004" s="418" t="str">
        <f t="shared" si="1502"/>
        <v/>
      </c>
      <c r="AF1004" s="418" t="str">
        <f t="shared" si="1503"/>
        <v/>
      </c>
      <c r="AG1004" s="418" t="str">
        <f t="shared" si="1504"/>
        <v/>
      </c>
      <c r="AH1004" s="418" t="str">
        <f t="shared" si="1505"/>
        <v/>
      </c>
      <c r="AI1004" s="418" t="str">
        <f t="shared" si="1506"/>
        <v/>
      </c>
      <c r="AJ1004" s="418" t="str">
        <f t="shared" si="1507"/>
        <v/>
      </c>
      <c r="AK1004" s="418" t="str">
        <f t="shared" si="1508"/>
        <v/>
      </c>
      <c r="AL1004" s="418" t="str">
        <f t="shared" si="1509"/>
        <v/>
      </c>
      <c r="AM1004" s="418" t="str">
        <f t="shared" si="1510"/>
        <v/>
      </c>
      <c r="AN1004" s="418" t="str">
        <f t="shared" si="1511"/>
        <v/>
      </c>
      <c r="AO1004" s="418" t="str">
        <f t="shared" si="1512"/>
        <v/>
      </c>
      <c r="AP1004" s="418" t="str">
        <f t="shared" si="1513"/>
        <v/>
      </c>
      <c r="AQ1004" s="418" t="str">
        <f t="shared" si="1514"/>
        <v/>
      </c>
      <c r="AR1004" s="418">
        <f t="shared" si="1515"/>
        <v>900</v>
      </c>
      <c r="AS1004" s="418" t="str">
        <f t="shared" si="1516"/>
        <v/>
      </c>
      <c r="AT1004" s="418" t="str">
        <f t="shared" si="1517"/>
        <v/>
      </c>
      <c r="AU1004" s="418" t="str">
        <f t="shared" si="1518"/>
        <v/>
      </c>
      <c r="AV1004" s="418" t="str">
        <f t="shared" si="1519"/>
        <v/>
      </c>
      <c r="AW1004" s="418" t="str">
        <f t="shared" si="1520"/>
        <v/>
      </c>
      <c r="AX1004" s="418" t="str">
        <f t="shared" si="1521"/>
        <v/>
      </c>
      <c r="AY1004" s="418" t="str">
        <f t="shared" si="1522"/>
        <v/>
      </c>
      <c r="AZ1004" s="418" t="str">
        <f t="shared" si="1523"/>
        <v/>
      </c>
      <c r="BA1004" s="418" t="str">
        <f t="shared" si="1524"/>
        <v/>
      </c>
      <c r="BB1004" s="418" t="str">
        <f t="shared" si="1525"/>
        <v/>
      </c>
      <c r="BC1004" s="418" t="str">
        <f t="shared" si="1526"/>
        <v/>
      </c>
      <c r="BD1004" s="418" t="str">
        <f t="shared" si="1527"/>
        <v/>
      </c>
      <c r="BE1004" s="418" t="str">
        <f t="shared" si="1528"/>
        <v/>
      </c>
      <c r="BF1004" s="418" t="str">
        <f t="shared" si="1529"/>
        <v/>
      </c>
      <c r="BG1004" s="418" t="str">
        <f t="shared" si="1530"/>
        <v/>
      </c>
      <c r="BH1004" s="418" t="str">
        <f t="shared" si="1531"/>
        <v/>
      </c>
      <c r="BI1004" s="418" t="str">
        <f t="shared" si="1532"/>
        <v/>
      </c>
      <c r="BJ1004" s="418" t="str">
        <f t="shared" si="1533"/>
        <v/>
      </c>
      <c r="BK1004" s="418" t="str">
        <f t="shared" si="1534"/>
        <v/>
      </c>
      <c r="BL1004" s="418" t="str">
        <f t="shared" si="1535"/>
        <v/>
      </c>
      <c r="BM1004" s="418" t="str">
        <f t="shared" si="1536"/>
        <v/>
      </c>
      <c r="BN1004" s="418" t="str">
        <f t="shared" si="1537"/>
        <v/>
      </c>
      <c r="BO1004" s="418" t="str">
        <f t="shared" si="1538"/>
        <v/>
      </c>
      <c r="BP1004" s="418" t="str">
        <f t="shared" si="1539"/>
        <v/>
      </c>
      <c r="BQ1004" s="418" t="str">
        <f t="shared" si="1545"/>
        <v/>
      </c>
      <c r="BR1004" s="418" t="str">
        <f t="shared" si="1546"/>
        <v/>
      </c>
      <c r="BS1004" s="418" t="str">
        <f t="shared" si="1547"/>
        <v/>
      </c>
      <c r="BT1004" s="418" t="str">
        <f t="shared" si="1540"/>
        <v/>
      </c>
      <c r="BU1004" s="418" t="str">
        <f t="shared" si="1541"/>
        <v/>
      </c>
      <c r="BV1004" s="742">
        <v>1.6</v>
      </c>
      <c r="BW1004" s="723">
        <f t="shared" si="1542"/>
        <v>1440</v>
      </c>
      <c r="BX1004" s="724">
        <f t="shared" si="1543"/>
        <v>11160</v>
      </c>
      <c r="BY1004" s="725" t="str">
        <f t="shared" si="1544"/>
        <v>SR</v>
      </c>
    </row>
    <row r="1005" s="697" customFormat="1" customHeight="1" spans="1:77">
      <c r="A1005" s="174">
        <v>46177</v>
      </c>
      <c r="B1005" s="140">
        <v>46266</v>
      </c>
      <c r="C1005" s="123" t="s">
        <v>908</v>
      </c>
      <c r="D1005" s="176" t="s">
        <v>909</v>
      </c>
      <c r="E1005" s="176" t="s">
        <v>97</v>
      </c>
      <c r="F1005" s="741">
        <v>1200</v>
      </c>
      <c r="G1005" s="176" t="s">
        <v>510</v>
      </c>
      <c r="H1005" s="118" t="str">
        <f>IFERROR(VLOOKUP(E1005,名称!A:E,4,0),"")</f>
        <v>三代</v>
      </c>
      <c r="I1005" s="418" t="str">
        <f t="shared" si="1480"/>
        <v/>
      </c>
      <c r="J1005" s="418" t="str">
        <f t="shared" si="1481"/>
        <v/>
      </c>
      <c r="K1005" s="418" t="str">
        <f t="shared" si="1482"/>
        <v/>
      </c>
      <c r="L1005" s="418" t="str">
        <f t="shared" si="1483"/>
        <v/>
      </c>
      <c r="M1005" s="418" t="str">
        <f t="shared" si="1484"/>
        <v/>
      </c>
      <c r="N1005" s="418" t="str">
        <f t="shared" si="1485"/>
        <v/>
      </c>
      <c r="O1005" s="418" t="str">
        <f t="shared" si="1486"/>
        <v/>
      </c>
      <c r="P1005" s="418" t="str">
        <f t="shared" si="1487"/>
        <v/>
      </c>
      <c r="Q1005" s="418" t="str">
        <f t="shared" si="1488"/>
        <v/>
      </c>
      <c r="R1005" s="418" t="str">
        <f t="shared" si="1489"/>
        <v/>
      </c>
      <c r="S1005" s="418" t="str">
        <f t="shared" si="1490"/>
        <v/>
      </c>
      <c r="T1005" s="418" t="str">
        <f t="shared" si="1491"/>
        <v/>
      </c>
      <c r="U1005" s="418" t="str">
        <f t="shared" si="1492"/>
        <v/>
      </c>
      <c r="V1005" s="418" t="str">
        <f t="shared" si="1493"/>
        <v/>
      </c>
      <c r="W1005" s="418" t="str">
        <f t="shared" si="1494"/>
        <v/>
      </c>
      <c r="X1005" s="418" t="str">
        <f t="shared" si="1495"/>
        <v/>
      </c>
      <c r="Y1005" s="418" t="str">
        <f t="shared" si="1496"/>
        <v/>
      </c>
      <c r="Z1005" s="418" t="str">
        <f t="shared" si="1497"/>
        <v/>
      </c>
      <c r="AA1005" s="418" t="str">
        <f t="shared" si="1498"/>
        <v/>
      </c>
      <c r="AB1005" s="418" t="str">
        <f t="shared" si="1499"/>
        <v/>
      </c>
      <c r="AC1005" s="418" t="str">
        <f t="shared" si="1500"/>
        <v/>
      </c>
      <c r="AD1005" s="418" t="str">
        <f t="shared" si="1501"/>
        <v/>
      </c>
      <c r="AE1005" s="418" t="str">
        <f t="shared" si="1502"/>
        <v/>
      </c>
      <c r="AF1005" s="418" t="str">
        <f t="shared" si="1503"/>
        <v/>
      </c>
      <c r="AG1005" s="418" t="str">
        <f t="shared" si="1504"/>
        <v/>
      </c>
      <c r="AH1005" s="418" t="str">
        <f t="shared" si="1505"/>
        <v/>
      </c>
      <c r="AI1005" s="418" t="str">
        <f t="shared" si="1506"/>
        <v/>
      </c>
      <c r="AJ1005" s="418" t="str">
        <f t="shared" si="1507"/>
        <v/>
      </c>
      <c r="AK1005" s="418" t="str">
        <f t="shared" si="1508"/>
        <v/>
      </c>
      <c r="AL1005" s="418" t="str">
        <f t="shared" si="1509"/>
        <v/>
      </c>
      <c r="AM1005" s="418" t="str">
        <f t="shared" si="1510"/>
        <v/>
      </c>
      <c r="AN1005" s="418" t="str">
        <f t="shared" si="1511"/>
        <v/>
      </c>
      <c r="AO1005" s="418" t="str">
        <f t="shared" si="1512"/>
        <v/>
      </c>
      <c r="AP1005" s="418" t="str">
        <f t="shared" si="1513"/>
        <v/>
      </c>
      <c r="AQ1005" s="418" t="str">
        <f t="shared" si="1514"/>
        <v/>
      </c>
      <c r="AR1005" s="418" t="str">
        <f t="shared" si="1515"/>
        <v/>
      </c>
      <c r="AS1005" s="418" t="str">
        <f t="shared" si="1516"/>
        <v/>
      </c>
      <c r="AT1005" s="418" t="str">
        <f t="shared" si="1517"/>
        <v/>
      </c>
      <c r="AU1005" s="418" t="str">
        <f t="shared" si="1518"/>
        <v/>
      </c>
      <c r="AV1005" s="418" t="str">
        <f t="shared" si="1519"/>
        <v/>
      </c>
      <c r="AW1005" s="418" t="str">
        <f t="shared" si="1520"/>
        <v/>
      </c>
      <c r="AX1005" s="418" t="str">
        <f t="shared" si="1521"/>
        <v/>
      </c>
      <c r="AY1005" s="418" t="str">
        <f t="shared" si="1522"/>
        <v/>
      </c>
      <c r="AZ1005" s="418" t="str">
        <f t="shared" si="1523"/>
        <v/>
      </c>
      <c r="BA1005" s="418">
        <f t="shared" si="1524"/>
        <v>1200</v>
      </c>
      <c r="BB1005" s="418" t="str">
        <f t="shared" si="1525"/>
        <v/>
      </c>
      <c r="BC1005" s="418" t="str">
        <f t="shared" si="1526"/>
        <v/>
      </c>
      <c r="BD1005" s="418" t="str">
        <f t="shared" si="1527"/>
        <v/>
      </c>
      <c r="BE1005" s="418" t="str">
        <f t="shared" si="1528"/>
        <v/>
      </c>
      <c r="BF1005" s="418" t="str">
        <f t="shared" si="1529"/>
        <v/>
      </c>
      <c r="BG1005" s="418" t="str">
        <f t="shared" si="1530"/>
        <v/>
      </c>
      <c r="BH1005" s="418" t="str">
        <f t="shared" si="1531"/>
        <v/>
      </c>
      <c r="BI1005" s="418" t="str">
        <f t="shared" si="1532"/>
        <v/>
      </c>
      <c r="BJ1005" s="418" t="str">
        <f t="shared" si="1533"/>
        <v/>
      </c>
      <c r="BK1005" s="418" t="str">
        <f t="shared" si="1534"/>
        <v/>
      </c>
      <c r="BL1005" s="418" t="str">
        <f t="shared" si="1535"/>
        <v/>
      </c>
      <c r="BM1005" s="418" t="str">
        <f t="shared" si="1536"/>
        <v/>
      </c>
      <c r="BN1005" s="418" t="str">
        <f t="shared" si="1537"/>
        <v/>
      </c>
      <c r="BO1005" s="418" t="str">
        <f t="shared" si="1538"/>
        <v/>
      </c>
      <c r="BP1005" s="418" t="str">
        <f t="shared" si="1539"/>
        <v/>
      </c>
      <c r="BQ1005" s="418" t="str">
        <f t="shared" si="1545"/>
        <v/>
      </c>
      <c r="BR1005" s="418" t="str">
        <f t="shared" si="1546"/>
        <v/>
      </c>
      <c r="BS1005" s="418" t="str">
        <f t="shared" si="1547"/>
        <v/>
      </c>
      <c r="BT1005" s="418" t="str">
        <f t="shared" si="1540"/>
        <v/>
      </c>
      <c r="BU1005" s="418" t="str">
        <f t="shared" si="1541"/>
        <v/>
      </c>
      <c r="BV1005" s="742">
        <v>0.63</v>
      </c>
      <c r="BW1005" s="723">
        <f t="shared" si="1542"/>
        <v>756</v>
      </c>
      <c r="BX1005" s="724">
        <f t="shared" si="1543"/>
        <v>5859</v>
      </c>
      <c r="BY1005" s="725" t="str">
        <f t="shared" si="1544"/>
        <v>SR</v>
      </c>
    </row>
    <row r="1006" s="697" customFormat="1" customHeight="1" spans="1:77">
      <c r="A1006" s="174">
        <v>46177</v>
      </c>
      <c r="B1006" s="140">
        <v>46266</v>
      </c>
      <c r="C1006" s="123" t="s">
        <v>908</v>
      </c>
      <c r="D1006" s="176" t="s">
        <v>909</v>
      </c>
      <c r="E1006" s="176" t="s">
        <v>98</v>
      </c>
      <c r="F1006" s="741">
        <v>900</v>
      </c>
      <c r="G1006" s="176" t="s">
        <v>510</v>
      </c>
      <c r="H1006" s="118" t="str">
        <f>IFERROR(VLOOKUP(E1006,名称!A:E,4,0),"")</f>
        <v>三代</v>
      </c>
      <c r="I1006" s="418" t="str">
        <f t="shared" si="1480"/>
        <v/>
      </c>
      <c r="J1006" s="418" t="str">
        <f t="shared" si="1481"/>
        <v/>
      </c>
      <c r="K1006" s="418" t="str">
        <f t="shared" si="1482"/>
        <v/>
      </c>
      <c r="L1006" s="418" t="str">
        <f t="shared" si="1483"/>
        <v/>
      </c>
      <c r="M1006" s="418" t="str">
        <f t="shared" si="1484"/>
        <v/>
      </c>
      <c r="N1006" s="418" t="str">
        <f t="shared" si="1485"/>
        <v/>
      </c>
      <c r="O1006" s="418" t="str">
        <f t="shared" si="1486"/>
        <v/>
      </c>
      <c r="P1006" s="418" t="str">
        <f t="shared" si="1487"/>
        <v/>
      </c>
      <c r="Q1006" s="418" t="str">
        <f t="shared" si="1488"/>
        <v/>
      </c>
      <c r="R1006" s="418" t="str">
        <f t="shared" si="1489"/>
        <v/>
      </c>
      <c r="S1006" s="418" t="str">
        <f t="shared" si="1490"/>
        <v/>
      </c>
      <c r="T1006" s="418" t="str">
        <f t="shared" si="1491"/>
        <v/>
      </c>
      <c r="U1006" s="418" t="str">
        <f t="shared" si="1492"/>
        <v/>
      </c>
      <c r="V1006" s="418" t="str">
        <f t="shared" si="1493"/>
        <v/>
      </c>
      <c r="W1006" s="418" t="str">
        <f t="shared" si="1494"/>
        <v/>
      </c>
      <c r="X1006" s="418" t="str">
        <f t="shared" si="1495"/>
        <v/>
      </c>
      <c r="Y1006" s="418" t="str">
        <f t="shared" si="1496"/>
        <v/>
      </c>
      <c r="Z1006" s="418" t="str">
        <f t="shared" si="1497"/>
        <v/>
      </c>
      <c r="AA1006" s="418" t="str">
        <f t="shared" si="1498"/>
        <v/>
      </c>
      <c r="AB1006" s="418" t="str">
        <f t="shared" si="1499"/>
        <v/>
      </c>
      <c r="AC1006" s="418" t="str">
        <f t="shared" si="1500"/>
        <v/>
      </c>
      <c r="AD1006" s="418" t="str">
        <f t="shared" si="1501"/>
        <v/>
      </c>
      <c r="AE1006" s="418" t="str">
        <f t="shared" si="1502"/>
        <v/>
      </c>
      <c r="AF1006" s="418" t="str">
        <f t="shared" si="1503"/>
        <v/>
      </c>
      <c r="AG1006" s="418" t="str">
        <f t="shared" si="1504"/>
        <v/>
      </c>
      <c r="AH1006" s="418" t="str">
        <f t="shared" si="1505"/>
        <v/>
      </c>
      <c r="AI1006" s="418" t="str">
        <f t="shared" si="1506"/>
        <v/>
      </c>
      <c r="AJ1006" s="418" t="str">
        <f t="shared" si="1507"/>
        <v/>
      </c>
      <c r="AK1006" s="418" t="str">
        <f t="shared" si="1508"/>
        <v/>
      </c>
      <c r="AL1006" s="418" t="str">
        <f t="shared" si="1509"/>
        <v/>
      </c>
      <c r="AM1006" s="418" t="str">
        <f t="shared" si="1510"/>
        <v/>
      </c>
      <c r="AN1006" s="418" t="str">
        <f t="shared" si="1511"/>
        <v/>
      </c>
      <c r="AO1006" s="418" t="str">
        <f t="shared" si="1512"/>
        <v/>
      </c>
      <c r="AP1006" s="418" t="str">
        <f t="shared" si="1513"/>
        <v/>
      </c>
      <c r="AQ1006" s="418" t="str">
        <f t="shared" si="1514"/>
        <v/>
      </c>
      <c r="AR1006" s="418" t="str">
        <f t="shared" si="1515"/>
        <v/>
      </c>
      <c r="AS1006" s="418" t="str">
        <f t="shared" si="1516"/>
        <v/>
      </c>
      <c r="AT1006" s="418" t="str">
        <f t="shared" si="1517"/>
        <v/>
      </c>
      <c r="AU1006" s="418" t="str">
        <f t="shared" si="1518"/>
        <v/>
      </c>
      <c r="AV1006" s="418" t="str">
        <f t="shared" si="1519"/>
        <v/>
      </c>
      <c r="AW1006" s="418" t="str">
        <f t="shared" si="1520"/>
        <v/>
      </c>
      <c r="AX1006" s="418" t="str">
        <f t="shared" si="1521"/>
        <v/>
      </c>
      <c r="AY1006" s="418" t="str">
        <f t="shared" si="1522"/>
        <v/>
      </c>
      <c r="AZ1006" s="418" t="str">
        <f t="shared" si="1523"/>
        <v/>
      </c>
      <c r="BA1006" s="418" t="str">
        <f t="shared" si="1524"/>
        <v/>
      </c>
      <c r="BB1006" s="418">
        <f t="shared" si="1525"/>
        <v>900</v>
      </c>
      <c r="BC1006" s="418" t="str">
        <f t="shared" si="1526"/>
        <v/>
      </c>
      <c r="BD1006" s="418" t="str">
        <f t="shared" si="1527"/>
        <v/>
      </c>
      <c r="BE1006" s="418" t="str">
        <f t="shared" si="1528"/>
        <v/>
      </c>
      <c r="BF1006" s="418" t="str">
        <f t="shared" si="1529"/>
        <v/>
      </c>
      <c r="BG1006" s="418" t="str">
        <f t="shared" si="1530"/>
        <v/>
      </c>
      <c r="BH1006" s="418" t="str">
        <f t="shared" si="1531"/>
        <v/>
      </c>
      <c r="BI1006" s="418" t="str">
        <f t="shared" si="1532"/>
        <v/>
      </c>
      <c r="BJ1006" s="418" t="str">
        <f t="shared" si="1533"/>
        <v/>
      </c>
      <c r="BK1006" s="418" t="str">
        <f t="shared" si="1534"/>
        <v/>
      </c>
      <c r="BL1006" s="418" t="str">
        <f t="shared" si="1535"/>
        <v/>
      </c>
      <c r="BM1006" s="418" t="str">
        <f t="shared" si="1536"/>
        <v/>
      </c>
      <c r="BN1006" s="418" t="str">
        <f t="shared" si="1537"/>
        <v/>
      </c>
      <c r="BO1006" s="418" t="str">
        <f t="shared" si="1538"/>
        <v/>
      </c>
      <c r="BP1006" s="418" t="str">
        <f t="shared" si="1539"/>
        <v/>
      </c>
      <c r="BQ1006" s="418" t="str">
        <f t="shared" si="1545"/>
        <v/>
      </c>
      <c r="BR1006" s="418" t="str">
        <f t="shared" si="1546"/>
        <v/>
      </c>
      <c r="BS1006" s="418" t="str">
        <f t="shared" si="1547"/>
        <v/>
      </c>
      <c r="BT1006" s="418" t="str">
        <f t="shared" si="1540"/>
        <v/>
      </c>
      <c r="BU1006" s="418" t="str">
        <f t="shared" si="1541"/>
        <v/>
      </c>
      <c r="BV1006" s="742">
        <v>1.6</v>
      </c>
      <c r="BW1006" s="723">
        <f t="shared" si="1542"/>
        <v>1440</v>
      </c>
      <c r="BX1006" s="724">
        <f t="shared" si="1543"/>
        <v>11160</v>
      </c>
      <c r="BY1006" s="725" t="str">
        <f t="shared" si="1544"/>
        <v>SR</v>
      </c>
    </row>
    <row r="1007" s="697" customFormat="1" customHeight="1" spans="1:77">
      <c r="A1007" s="174">
        <v>46177</v>
      </c>
      <c r="B1007" s="140">
        <v>46266</v>
      </c>
      <c r="C1007" s="123" t="s">
        <v>908</v>
      </c>
      <c r="D1007" s="176" t="s">
        <v>909</v>
      </c>
      <c r="E1007" s="176" t="s">
        <v>99</v>
      </c>
      <c r="F1007" s="142">
        <f>2400+600</f>
        <v>3000</v>
      </c>
      <c r="G1007" s="176" t="s">
        <v>510</v>
      </c>
      <c r="H1007" s="118" t="str">
        <f>IFERROR(VLOOKUP(E1007,名称!A:E,4,0),"")</f>
        <v>三代</v>
      </c>
      <c r="I1007" s="418" t="str">
        <f t="shared" si="1480"/>
        <v/>
      </c>
      <c r="J1007" s="418" t="str">
        <f t="shared" si="1481"/>
        <v/>
      </c>
      <c r="K1007" s="418" t="str">
        <f t="shared" si="1482"/>
        <v/>
      </c>
      <c r="L1007" s="418" t="str">
        <f t="shared" si="1483"/>
        <v/>
      </c>
      <c r="M1007" s="418" t="str">
        <f t="shared" si="1484"/>
        <v/>
      </c>
      <c r="N1007" s="418" t="str">
        <f t="shared" si="1485"/>
        <v/>
      </c>
      <c r="O1007" s="418" t="str">
        <f t="shared" si="1486"/>
        <v/>
      </c>
      <c r="P1007" s="418" t="str">
        <f t="shared" si="1487"/>
        <v/>
      </c>
      <c r="Q1007" s="418" t="str">
        <f t="shared" si="1488"/>
        <v/>
      </c>
      <c r="R1007" s="418" t="str">
        <f t="shared" si="1489"/>
        <v/>
      </c>
      <c r="S1007" s="418" t="str">
        <f t="shared" si="1490"/>
        <v/>
      </c>
      <c r="T1007" s="418" t="str">
        <f t="shared" si="1491"/>
        <v/>
      </c>
      <c r="U1007" s="418" t="str">
        <f t="shared" si="1492"/>
        <v/>
      </c>
      <c r="V1007" s="418" t="str">
        <f t="shared" si="1493"/>
        <v/>
      </c>
      <c r="W1007" s="418" t="str">
        <f t="shared" si="1494"/>
        <v/>
      </c>
      <c r="X1007" s="418" t="str">
        <f t="shared" si="1495"/>
        <v/>
      </c>
      <c r="Y1007" s="418" t="str">
        <f t="shared" si="1496"/>
        <v/>
      </c>
      <c r="Z1007" s="418" t="str">
        <f t="shared" si="1497"/>
        <v/>
      </c>
      <c r="AA1007" s="418" t="str">
        <f t="shared" si="1498"/>
        <v/>
      </c>
      <c r="AB1007" s="418" t="str">
        <f t="shared" si="1499"/>
        <v/>
      </c>
      <c r="AC1007" s="418">
        <f t="shared" si="1500"/>
        <v>3000</v>
      </c>
      <c r="AD1007" s="418" t="str">
        <f t="shared" si="1501"/>
        <v/>
      </c>
      <c r="AE1007" s="418" t="str">
        <f t="shared" si="1502"/>
        <v/>
      </c>
      <c r="AF1007" s="418" t="str">
        <f t="shared" si="1503"/>
        <v/>
      </c>
      <c r="AG1007" s="418" t="str">
        <f t="shared" si="1504"/>
        <v/>
      </c>
      <c r="AH1007" s="418" t="str">
        <f t="shared" si="1505"/>
        <v/>
      </c>
      <c r="AI1007" s="418" t="str">
        <f t="shared" si="1506"/>
        <v/>
      </c>
      <c r="AJ1007" s="418" t="str">
        <f t="shared" si="1507"/>
        <v/>
      </c>
      <c r="AK1007" s="418" t="str">
        <f t="shared" si="1508"/>
        <v/>
      </c>
      <c r="AL1007" s="418" t="str">
        <f t="shared" si="1509"/>
        <v/>
      </c>
      <c r="AM1007" s="418" t="str">
        <f t="shared" si="1510"/>
        <v/>
      </c>
      <c r="AN1007" s="418" t="str">
        <f t="shared" si="1511"/>
        <v/>
      </c>
      <c r="AO1007" s="418" t="str">
        <f t="shared" si="1512"/>
        <v/>
      </c>
      <c r="AP1007" s="418" t="str">
        <f t="shared" si="1513"/>
        <v/>
      </c>
      <c r="AQ1007" s="418" t="str">
        <f t="shared" si="1514"/>
        <v/>
      </c>
      <c r="AR1007" s="418" t="str">
        <f t="shared" si="1515"/>
        <v/>
      </c>
      <c r="AS1007" s="418" t="str">
        <f t="shared" si="1516"/>
        <v/>
      </c>
      <c r="AT1007" s="418" t="str">
        <f t="shared" si="1517"/>
        <v/>
      </c>
      <c r="AU1007" s="418" t="str">
        <f t="shared" si="1518"/>
        <v/>
      </c>
      <c r="AV1007" s="418" t="str">
        <f t="shared" si="1519"/>
        <v/>
      </c>
      <c r="AW1007" s="418" t="str">
        <f t="shared" si="1520"/>
        <v/>
      </c>
      <c r="AX1007" s="418" t="str">
        <f t="shared" si="1521"/>
        <v/>
      </c>
      <c r="AY1007" s="418" t="str">
        <f t="shared" si="1522"/>
        <v/>
      </c>
      <c r="AZ1007" s="418" t="str">
        <f t="shared" si="1523"/>
        <v/>
      </c>
      <c r="BA1007" s="418" t="str">
        <f t="shared" si="1524"/>
        <v/>
      </c>
      <c r="BB1007" s="418" t="str">
        <f t="shared" si="1525"/>
        <v/>
      </c>
      <c r="BC1007" s="418" t="str">
        <f t="shared" si="1526"/>
        <v/>
      </c>
      <c r="BD1007" s="418" t="str">
        <f t="shared" si="1527"/>
        <v/>
      </c>
      <c r="BE1007" s="418" t="str">
        <f t="shared" si="1528"/>
        <v/>
      </c>
      <c r="BF1007" s="418" t="str">
        <f t="shared" si="1529"/>
        <v/>
      </c>
      <c r="BG1007" s="418" t="str">
        <f t="shared" si="1530"/>
        <v/>
      </c>
      <c r="BH1007" s="418" t="str">
        <f t="shared" si="1531"/>
        <v/>
      </c>
      <c r="BI1007" s="418" t="str">
        <f t="shared" si="1532"/>
        <v/>
      </c>
      <c r="BJ1007" s="418" t="str">
        <f t="shared" si="1533"/>
        <v/>
      </c>
      <c r="BK1007" s="418" t="str">
        <f t="shared" si="1534"/>
        <v/>
      </c>
      <c r="BL1007" s="418" t="str">
        <f t="shared" si="1535"/>
        <v/>
      </c>
      <c r="BM1007" s="418" t="str">
        <f t="shared" si="1536"/>
        <v/>
      </c>
      <c r="BN1007" s="418" t="str">
        <f t="shared" si="1537"/>
        <v/>
      </c>
      <c r="BO1007" s="418" t="str">
        <f t="shared" si="1538"/>
        <v/>
      </c>
      <c r="BP1007" s="418" t="str">
        <f t="shared" si="1539"/>
        <v/>
      </c>
      <c r="BQ1007" s="418" t="str">
        <f t="shared" si="1545"/>
        <v/>
      </c>
      <c r="BR1007" s="418" t="str">
        <f t="shared" si="1546"/>
        <v/>
      </c>
      <c r="BS1007" s="418" t="str">
        <f t="shared" si="1547"/>
        <v/>
      </c>
      <c r="BT1007" s="418" t="str">
        <f t="shared" si="1540"/>
        <v/>
      </c>
      <c r="BU1007" s="418" t="str">
        <f t="shared" si="1541"/>
        <v/>
      </c>
      <c r="BV1007" s="742">
        <v>0.87</v>
      </c>
      <c r="BW1007" s="723">
        <f t="shared" si="1542"/>
        <v>2610</v>
      </c>
      <c r="BX1007" s="724">
        <f t="shared" si="1543"/>
        <v>20227.5</v>
      </c>
      <c r="BY1007" s="725" t="str">
        <f t="shared" si="1544"/>
        <v>SR</v>
      </c>
    </row>
    <row r="1008" s="697" customFormat="1" customHeight="1" spans="1:77">
      <c r="A1008" s="174">
        <v>46177</v>
      </c>
      <c r="B1008" s="140">
        <v>46266</v>
      </c>
      <c r="C1008" s="123" t="s">
        <v>908</v>
      </c>
      <c r="D1008" s="176" t="s">
        <v>909</v>
      </c>
      <c r="E1008" s="176" t="s">
        <v>67</v>
      </c>
      <c r="F1008" s="142">
        <f>2400+600</f>
        <v>3000</v>
      </c>
      <c r="G1008" s="176" t="s">
        <v>510</v>
      </c>
      <c r="H1008" s="118" t="str">
        <f>IFERROR(VLOOKUP(E1008,名称!A:E,4,0),"")</f>
        <v>三代</v>
      </c>
      <c r="I1008" s="418" t="str">
        <f t="shared" si="1480"/>
        <v/>
      </c>
      <c r="J1008" s="418" t="str">
        <f t="shared" si="1481"/>
        <v/>
      </c>
      <c r="K1008" s="418" t="str">
        <f t="shared" si="1482"/>
        <v/>
      </c>
      <c r="L1008" s="418" t="str">
        <f t="shared" si="1483"/>
        <v/>
      </c>
      <c r="M1008" s="418" t="str">
        <f t="shared" si="1484"/>
        <v/>
      </c>
      <c r="N1008" s="418" t="str">
        <f t="shared" si="1485"/>
        <v/>
      </c>
      <c r="O1008" s="418" t="str">
        <f t="shared" si="1486"/>
        <v/>
      </c>
      <c r="P1008" s="418" t="str">
        <f t="shared" si="1487"/>
        <v/>
      </c>
      <c r="Q1008" s="418" t="str">
        <f t="shared" si="1488"/>
        <v/>
      </c>
      <c r="R1008" s="418" t="str">
        <f t="shared" si="1489"/>
        <v/>
      </c>
      <c r="S1008" s="418" t="str">
        <f t="shared" si="1490"/>
        <v/>
      </c>
      <c r="T1008" s="418" t="str">
        <f t="shared" si="1491"/>
        <v/>
      </c>
      <c r="U1008" s="418" t="str">
        <f t="shared" si="1492"/>
        <v/>
      </c>
      <c r="V1008" s="418" t="str">
        <f t="shared" si="1493"/>
        <v/>
      </c>
      <c r="W1008" s="418" t="str">
        <f t="shared" si="1494"/>
        <v/>
      </c>
      <c r="X1008" s="418" t="str">
        <f t="shared" si="1495"/>
        <v/>
      </c>
      <c r="Y1008" s="418" t="str">
        <f t="shared" si="1496"/>
        <v/>
      </c>
      <c r="Z1008" s="418" t="str">
        <f t="shared" si="1497"/>
        <v/>
      </c>
      <c r="AA1008" s="418" t="str">
        <f t="shared" si="1498"/>
        <v/>
      </c>
      <c r="AB1008" s="418" t="str">
        <f t="shared" si="1499"/>
        <v/>
      </c>
      <c r="AC1008" s="418" t="str">
        <f t="shared" si="1500"/>
        <v/>
      </c>
      <c r="AD1008" s="418" t="str">
        <f t="shared" si="1501"/>
        <v/>
      </c>
      <c r="AE1008" s="418" t="str">
        <f t="shared" si="1502"/>
        <v/>
      </c>
      <c r="AF1008" s="418" t="str">
        <f t="shared" si="1503"/>
        <v/>
      </c>
      <c r="AG1008" s="418">
        <f t="shared" si="1504"/>
        <v>3000</v>
      </c>
      <c r="AH1008" s="418" t="str">
        <f t="shared" si="1505"/>
        <v/>
      </c>
      <c r="AI1008" s="418" t="str">
        <f t="shared" si="1506"/>
        <v/>
      </c>
      <c r="AJ1008" s="418" t="str">
        <f t="shared" si="1507"/>
        <v/>
      </c>
      <c r="AK1008" s="418" t="str">
        <f t="shared" si="1508"/>
        <v/>
      </c>
      <c r="AL1008" s="418" t="str">
        <f t="shared" si="1509"/>
        <v/>
      </c>
      <c r="AM1008" s="418" t="str">
        <f t="shared" si="1510"/>
        <v/>
      </c>
      <c r="AN1008" s="418" t="str">
        <f t="shared" si="1511"/>
        <v/>
      </c>
      <c r="AO1008" s="418" t="str">
        <f t="shared" si="1512"/>
        <v/>
      </c>
      <c r="AP1008" s="418" t="str">
        <f t="shared" si="1513"/>
        <v/>
      </c>
      <c r="AQ1008" s="418" t="str">
        <f t="shared" si="1514"/>
        <v/>
      </c>
      <c r="AR1008" s="418" t="str">
        <f t="shared" si="1515"/>
        <v/>
      </c>
      <c r="AS1008" s="418" t="str">
        <f t="shared" si="1516"/>
        <v/>
      </c>
      <c r="AT1008" s="418" t="str">
        <f t="shared" si="1517"/>
        <v/>
      </c>
      <c r="AU1008" s="418" t="str">
        <f t="shared" si="1518"/>
        <v/>
      </c>
      <c r="AV1008" s="418" t="str">
        <f t="shared" si="1519"/>
        <v/>
      </c>
      <c r="AW1008" s="418" t="str">
        <f t="shared" si="1520"/>
        <v/>
      </c>
      <c r="AX1008" s="418" t="str">
        <f t="shared" si="1521"/>
        <v/>
      </c>
      <c r="AY1008" s="418" t="str">
        <f t="shared" si="1522"/>
        <v/>
      </c>
      <c r="AZ1008" s="418" t="str">
        <f t="shared" si="1523"/>
        <v/>
      </c>
      <c r="BA1008" s="418" t="str">
        <f t="shared" si="1524"/>
        <v/>
      </c>
      <c r="BB1008" s="418" t="str">
        <f t="shared" si="1525"/>
        <v/>
      </c>
      <c r="BC1008" s="418" t="str">
        <f t="shared" si="1526"/>
        <v/>
      </c>
      <c r="BD1008" s="418" t="str">
        <f t="shared" si="1527"/>
        <v/>
      </c>
      <c r="BE1008" s="418" t="str">
        <f t="shared" si="1528"/>
        <v/>
      </c>
      <c r="BF1008" s="418" t="str">
        <f t="shared" si="1529"/>
        <v/>
      </c>
      <c r="BG1008" s="418" t="str">
        <f t="shared" si="1530"/>
        <v/>
      </c>
      <c r="BH1008" s="418" t="str">
        <f t="shared" si="1531"/>
        <v/>
      </c>
      <c r="BI1008" s="418" t="str">
        <f t="shared" si="1532"/>
        <v/>
      </c>
      <c r="BJ1008" s="418" t="str">
        <f t="shared" si="1533"/>
        <v/>
      </c>
      <c r="BK1008" s="418" t="str">
        <f t="shared" si="1534"/>
        <v/>
      </c>
      <c r="BL1008" s="418" t="str">
        <f t="shared" si="1535"/>
        <v/>
      </c>
      <c r="BM1008" s="418" t="str">
        <f t="shared" si="1536"/>
        <v/>
      </c>
      <c r="BN1008" s="418" t="str">
        <f t="shared" si="1537"/>
        <v/>
      </c>
      <c r="BO1008" s="418" t="str">
        <f t="shared" si="1538"/>
        <v/>
      </c>
      <c r="BP1008" s="418" t="str">
        <f t="shared" si="1539"/>
        <v/>
      </c>
      <c r="BQ1008" s="418" t="str">
        <f t="shared" si="1545"/>
        <v/>
      </c>
      <c r="BR1008" s="418" t="str">
        <f t="shared" si="1546"/>
        <v/>
      </c>
      <c r="BS1008" s="418" t="str">
        <f t="shared" si="1547"/>
        <v/>
      </c>
      <c r="BT1008" s="418" t="str">
        <f t="shared" si="1540"/>
        <v/>
      </c>
      <c r="BU1008" s="418" t="str">
        <f t="shared" si="1541"/>
        <v/>
      </c>
      <c r="BV1008" s="742">
        <v>2.04</v>
      </c>
      <c r="BW1008" s="723">
        <f t="shared" si="1542"/>
        <v>6120</v>
      </c>
      <c r="BX1008" s="724">
        <f t="shared" si="1543"/>
        <v>47430</v>
      </c>
      <c r="BY1008" s="725" t="str">
        <f t="shared" si="1544"/>
        <v>SR</v>
      </c>
    </row>
    <row r="1009" s="697" customFormat="1" customHeight="1" spans="1:77">
      <c r="A1009" s="174">
        <v>46177</v>
      </c>
      <c r="B1009" s="140">
        <v>46266</v>
      </c>
      <c r="C1009" s="123" t="s">
        <v>908</v>
      </c>
      <c r="D1009" s="176" t="s">
        <v>909</v>
      </c>
      <c r="E1009" s="123" t="s">
        <v>112</v>
      </c>
      <c r="F1009" s="142">
        <f>750+50</f>
        <v>800</v>
      </c>
      <c r="G1009" s="176" t="s">
        <v>510</v>
      </c>
      <c r="H1009" s="118" t="str">
        <f>IFERROR(VLOOKUP(E1009,名称!A:E,4,0),"")</f>
        <v>三代</v>
      </c>
      <c r="I1009" s="418" t="str">
        <f t="shared" si="1480"/>
        <v/>
      </c>
      <c r="J1009" s="418" t="str">
        <f t="shared" si="1481"/>
        <v/>
      </c>
      <c r="K1009" s="418" t="str">
        <f t="shared" si="1482"/>
        <v/>
      </c>
      <c r="L1009" s="418" t="str">
        <f t="shared" si="1483"/>
        <v/>
      </c>
      <c r="M1009" s="418" t="str">
        <f t="shared" si="1484"/>
        <v/>
      </c>
      <c r="N1009" s="418" t="str">
        <f t="shared" si="1485"/>
        <v/>
      </c>
      <c r="O1009" s="418" t="str">
        <f t="shared" si="1486"/>
        <v/>
      </c>
      <c r="P1009" s="418" t="str">
        <f t="shared" si="1487"/>
        <v/>
      </c>
      <c r="Q1009" s="418" t="str">
        <f t="shared" si="1488"/>
        <v/>
      </c>
      <c r="R1009" s="418" t="str">
        <f t="shared" si="1489"/>
        <v/>
      </c>
      <c r="S1009" s="418" t="str">
        <f t="shared" si="1490"/>
        <v/>
      </c>
      <c r="T1009" s="418" t="str">
        <f t="shared" si="1491"/>
        <v/>
      </c>
      <c r="U1009" s="418" t="str">
        <f t="shared" si="1492"/>
        <v/>
      </c>
      <c r="V1009" s="418" t="str">
        <f t="shared" si="1493"/>
        <v/>
      </c>
      <c r="W1009" s="418" t="str">
        <f t="shared" si="1494"/>
        <v/>
      </c>
      <c r="X1009" s="418" t="str">
        <f t="shared" si="1495"/>
        <v/>
      </c>
      <c r="Y1009" s="418" t="str">
        <f t="shared" si="1496"/>
        <v/>
      </c>
      <c r="Z1009" s="418" t="str">
        <f t="shared" si="1497"/>
        <v/>
      </c>
      <c r="AA1009" s="418" t="str">
        <f t="shared" si="1498"/>
        <v/>
      </c>
      <c r="AB1009" s="418" t="str">
        <f t="shared" si="1499"/>
        <v/>
      </c>
      <c r="AC1009" s="418" t="str">
        <f t="shared" si="1500"/>
        <v/>
      </c>
      <c r="AD1009" s="418" t="str">
        <f t="shared" si="1501"/>
        <v/>
      </c>
      <c r="AE1009" s="418" t="str">
        <f t="shared" si="1502"/>
        <v/>
      </c>
      <c r="AF1009" s="418" t="str">
        <f t="shared" si="1503"/>
        <v/>
      </c>
      <c r="AG1009" s="418" t="str">
        <f t="shared" si="1504"/>
        <v/>
      </c>
      <c r="AH1009" s="418" t="str">
        <f t="shared" si="1505"/>
        <v/>
      </c>
      <c r="AI1009" s="418">
        <f t="shared" si="1506"/>
        <v>800</v>
      </c>
      <c r="AJ1009" s="418" t="str">
        <f t="shared" si="1507"/>
        <v/>
      </c>
      <c r="AK1009" s="418" t="str">
        <f t="shared" si="1508"/>
        <v/>
      </c>
      <c r="AL1009" s="418" t="str">
        <f t="shared" si="1509"/>
        <v/>
      </c>
      <c r="AM1009" s="418" t="str">
        <f t="shared" si="1510"/>
        <v/>
      </c>
      <c r="AN1009" s="418" t="str">
        <f t="shared" si="1511"/>
        <v/>
      </c>
      <c r="AO1009" s="418" t="str">
        <f t="shared" si="1512"/>
        <v/>
      </c>
      <c r="AP1009" s="418" t="str">
        <f t="shared" si="1513"/>
        <v/>
      </c>
      <c r="AQ1009" s="418" t="str">
        <f t="shared" si="1514"/>
        <v/>
      </c>
      <c r="AR1009" s="418" t="str">
        <f t="shared" si="1515"/>
        <v/>
      </c>
      <c r="AS1009" s="418" t="str">
        <f t="shared" si="1516"/>
        <v/>
      </c>
      <c r="AT1009" s="418" t="str">
        <f t="shared" si="1517"/>
        <v/>
      </c>
      <c r="AU1009" s="418" t="str">
        <f t="shared" si="1518"/>
        <v/>
      </c>
      <c r="AV1009" s="418" t="str">
        <f t="shared" si="1519"/>
        <v/>
      </c>
      <c r="AW1009" s="418" t="str">
        <f t="shared" si="1520"/>
        <v/>
      </c>
      <c r="AX1009" s="418" t="str">
        <f t="shared" si="1521"/>
        <v/>
      </c>
      <c r="AY1009" s="418" t="str">
        <f t="shared" si="1522"/>
        <v/>
      </c>
      <c r="AZ1009" s="418" t="str">
        <f t="shared" si="1523"/>
        <v/>
      </c>
      <c r="BA1009" s="418" t="str">
        <f t="shared" si="1524"/>
        <v/>
      </c>
      <c r="BB1009" s="418" t="str">
        <f t="shared" si="1525"/>
        <v/>
      </c>
      <c r="BC1009" s="418" t="str">
        <f t="shared" si="1526"/>
        <v/>
      </c>
      <c r="BD1009" s="418" t="str">
        <f t="shared" si="1527"/>
        <v/>
      </c>
      <c r="BE1009" s="418" t="str">
        <f t="shared" si="1528"/>
        <v/>
      </c>
      <c r="BF1009" s="418" t="str">
        <f t="shared" si="1529"/>
        <v/>
      </c>
      <c r="BG1009" s="418" t="str">
        <f t="shared" si="1530"/>
        <v/>
      </c>
      <c r="BH1009" s="418" t="str">
        <f t="shared" si="1531"/>
        <v/>
      </c>
      <c r="BI1009" s="418" t="str">
        <f t="shared" si="1532"/>
        <v/>
      </c>
      <c r="BJ1009" s="418" t="str">
        <f t="shared" si="1533"/>
        <v/>
      </c>
      <c r="BK1009" s="418" t="str">
        <f t="shared" si="1534"/>
        <v/>
      </c>
      <c r="BL1009" s="418" t="str">
        <f t="shared" si="1535"/>
        <v/>
      </c>
      <c r="BM1009" s="418" t="str">
        <f t="shared" si="1536"/>
        <v/>
      </c>
      <c r="BN1009" s="418" t="str">
        <f t="shared" si="1537"/>
        <v/>
      </c>
      <c r="BO1009" s="418" t="str">
        <f t="shared" si="1538"/>
        <v/>
      </c>
      <c r="BP1009" s="418" t="str">
        <f t="shared" si="1539"/>
        <v/>
      </c>
      <c r="BQ1009" s="418" t="str">
        <f t="shared" si="1545"/>
        <v/>
      </c>
      <c r="BR1009" s="418" t="str">
        <f t="shared" si="1546"/>
        <v/>
      </c>
      <c r="BS1009" s="418" t="str">
        <f t="shared" si="1547"/>
        <v/>
      </c>
      <c r="BT1009" s="418" t="str">
        <f t="shared" si="1540"/>
        <v/>
      </c>
      <c r="BU1009" s="418" t="str">
        <f t="shared" si="1541"/>
        <v/>
      </c>
      <c r="BV1009" s="742">
        <v>9.42</v>
      </c>
      <c r="BW1009" s="723">
        <f t="shared" si="1542"/>
        <v>7536</v>
      </c>
      <c r="BX1009" s="724">
        <f t="shared" si="1543"/>
        <v>58404</v>
      </c>
      <c r="BY1009" s="725" t="str">
        <f t="shared" si="1544"/>
        <v>SR</v>
      </c>
    </row>
    <row r="1010" s="697" customFormat="1" customHeight="1" spans="1:77">
      <c r="A1010" s="174">
        <v>46177</v>
      </c>
      <c r="B1010" s="116">
        <v>46244</v>
      </c>
      <c r="C1010" s="118" t="s">
        <v>910</v>
      </c>
      <c r="D1010" s="118" t="s">
        <v>911</v>
      </c>
      <c r="E1010" s="118" t="s">
        <v>44</v>
      </c>
      <c r="F1010" s="726">
        <v>5592</v>
      </c>
      <c r="G1010" s="118" t="s">
        <v>253</v>
      </c>
      <c r="H1010" s="118" t="str">
        <f>IFERROR(VLOOKUP(E1010,名称!A:E,4,0),"")</f>
        <v>二代</v>
      </c>
      <c r="I1010" s="418" t="str">
        <f t="shared" si="1480"/>
        <v/>
      </c>
      <c r="J1010" s="418" t="str">
        <f t="shared" si="1481"/>
        <v/>
      </c>
      <c r="K1010" s="418" t="str">
        <f t="shared" si="1482"/>
        <v/>
      </c>
      <c r="L1010" s="418" t="str">
        <f t="shared" si="1483"/>
        <v/>
      </c>
      <c r="M1010" s="418">
        <f t="shared" si="1484"/>
        <v>5592</v>
      </c>
      <c r="N1010" s="418" t="str">
        <f t="shared" si="1485"/>
        <v/>
      </c>
      <c r="O1010" s="418" t="str">
        <f t="shared" si="1486"/>
        <v/>
      </c>
      <c r="P1010" s="418" t="str">
        <f t="shared" si="1487"/>
        <v/>
      </c>
      <c r="Q1010" s="418" t="str">
        <f t="shared" si="1488"/>
        <v/>
      </c>
      <c r="R1010" s="418" t="str">
        <f t="shared" si="1489"/>
        <v/>
      </c>
      <c r="S1010" s="418" t="str">
        <f t="shared" si="1490"/>
        <v/>
      </c>
      <c r="T1010" s="418" t="str">
        <f t="shared" si="1491"/>
        <v/>
      </c>
      <c r="U1010" s="418" t="str">
        <f t="shared" si="1492"/>
        <v/>
      </c>
      <c r="V1010" s="418" t="str">
        <f t="shared" si="1493"/>
        <v/>
      </c>
      <c r="W1010" s="418" t="str">
        <f t="shared" si="1494"/>
        <v/>
      </c>
      <c r="X1010" s="418" t="str">
        <f t="shared" si="1495"/>
        <v/>
      </c>
      <c r="Y1010" s="418" t="str">
        <f t="shared" si="1496"/>
        <v/>
      </c>
      <c r="Z1010" s="418" t="str">
        <f t="shared" si="1497"/>
        <v/>
      </c>
      <c r="AA1010" s="418" t="str">
        <f t="shared" si="1498"/>
        <v/>
      </c>
      <c r="AB1010" s="418" t="str">
        <f t="shared" si="1499"/>
        <v/>
      </c>
      <c r="AC1010" s="418" t="str">
        <f t="shared" si="1500"/>
        <v/>
      </c>
      <c r="AD1010" s="418" t="str">
        <f t="shared" si="1501"/>
        <v/>
      </c>
      <c r="AE1010" s="418" t="str">
        <f t="shared" si="1502"/>
        <v/>
      </c>
      <c r="AF1010" s="418" t="str">
        <f t="shared" si="1503"/>
        <v/>
      </c>
      <c r="AG1010" s="418" t="str">
        <f t="shared" si="1504"/>
        <v/>
      </c>
      <c r="AH1010" s="418" t="str">
        <f t="shared" si="1505"/>
        <v/>
      </c>
      <c r="AI1010" s="418" t="str">
        <f t="shared" si="1506"/>
        <v/>
      </c>
      <c r="AJ1010" s="418" t="str">
        <f t="shared" si="1507"/>
        <v/>
      </c>
      <c r="AK1010" s="418" t="str">
        <f t="shared" si="1508"/>
        <v/>
      </c>
      <c r="AL1010" s="418" t="str">
        <f t="shared" si="1509"/>
        <v/>
      </c>
      <c r="AM1010" s="418" t="str">
        <f t="shared" si="1510"/>
        <v/>
      </c>
      <c r="AN1010" s="418" t="str">
        <f t="shared" si="1511"/>
        <v/>
      </c>
      <c r="AO1010" s="418" t="str">
        <f t="shared" si="1512"/>
        <v/>
      </c>
      <c r="AP1010" s="418" t="str">
        <f t="shared" si="1513"/>
        <v/>
      </c>
      <c r="AQ1010" s="418" t="str">
        <f t="shared" si="1514"/>
        <v/>
      </c>
      <c r="AR1010" s="418" t="str">
        <f t="shared" si="1515"/>
        <v/>
      </c>
      <c r="AS1010" s="418" t="str">
        <f t="shared" si="1516"/>
        <v/>
      </c>
      <c r="AT1010" s="418" t="str">
        <f t="shared" si="1517"/>
        <v/>
      </c>
      <c r="AU1010" s="418" t="str">
        <f t="shared" si="1518"/>
        <v/>
      </c>
      <c r="AV1010" s="418" t="str">
        <f t="shared" si="1519"/>
        <v/>
      </c>
      <c r="AW1010" s="418" t="str">
        <f t="shared" si="1520"/>
        <v/>
      </c>
      <c r="AX1010" s="418" t="str">
        <f t="shared" si="1521"/>
        <v/>
      </c>
      <c r="AY1010" s="418" t="str">
        <f t="shared" si="1522"/>
        <v/>
      </c>
      <c r="AZ1010" s="418" t="str">
        <f t="shared" si="1523"/>
        <v/>
      </c>
      <c r="BA1010" s="418" t="str">
        <f t="shared" si="1524"/>
        <v/>
      </c>
      <c r="BB1010" s="418" t="str">
        <f t="shared" si="1525"/>
        <v/>
      </c>
      <c r="BC1010" s="418" t="str">
        <f t="shared" si="1526"/>
        <v/>
      </c>
      <c r="BD1010" s="418" t="str">
        <f t="shared" si="1527"/>
        <v/>
      </c>
      <c r="BE1010" s="418" t="str">
        <f t="shared" si="1528"/>
        <v/>
      </c>
      <c r="BF1010" s="418" t="str">
        <f t="shared" si="1529"/>
        <v/>
      </c>
      <c r="BG1010" s="418" t="str">
        <f t="shared" si="1530"/>
        <v/>
      </c>
      <c r="BH1010" s="418" t="str">
        <f t="shared" si="1531"/>
        <v/>
      </c>
      <c r="BI1010" s="418" t="str">
        <f t="shared" si="1532"/>
        <v/>
      </c>
      <c r="BJ1010" s="418" t="str">
        <f t="shared" si="1533"/>
        <v/>
      </c>
      <c r="BK1010" s="418" t="str">
        <f t="shared" si="1534"/>
        <v/>
      </c>
      <c r="BL1010" s="418" t="str">
        <f t="shared" si="1535"/>
        <v/>
      </c>
      <c r="BM1010" s="418" t="str">
        <f t="shared" si="1536"/>
        <v/>
      </c>
      <c r="BN1010" s="418" t="str">
        <f t="shared" si="1537"/>
        <v/>
      </c>
      <c r="BO1010" s="418" t="str">
        <f t="shared" si="1538"/>
        <v/>
      </c>
      <c r="BP1010" s="418" t="str">
        <f t="shared" si="1539"/>
        <v/>
      </c>
      <c r="BQ1010" s="418" t="str">
        <f t="shared" si="1545"/>
        <v/>
      </c>
      <c r="BR1010" s="418" t="str">
        <f t="shared" si="1546"/>
        <v/>
      </c>
      <c r="BS1010" s="418" t="str">
        <f t="shared" si="1547"/>
        <v/>
      </c>
      <c r="BT1010" s="418" t="str">
        <f t="shared" si="1540"/>
        <v/>
      </c>
      <c r="BU1010" s="418" t="str">
        <f t="shared" si="1541"/>
        <v/>
      </c>
      <c r="BV1010" s="544">
        <v>0.62</v>
      </c>
      <c r="BW1010" s="723">
        <f t="shared" si="1542"/>
        <v>3467.04</v>
      </c>
      <c r="BX1010" s="724">
        <f t="shared" si="1543"/>
        <v>26869.56</v>
      </c>
      <c r="BY1010" s="725" t="str">
        <f t="shared" si="1544"/>
        <v>SR</v>
      </c>
    </row>
    <row r="1011" s="697" customFormat="1" customHeight="1" spans="1:77">
      <c r="A1011" s="174">
        <v>46177</v>
      </c>
      <c r="B1011" s="116">
        <v>46244</v>
      </c>
      <c r="C1011" s="118" t="s">
        <v>910</v>
      </c>
      <c r="D1011" s="118" t="s">
        <v>911</v>
      </c>
      <c r="E1011" s="118" t="s">
        <v>44</v>
      </c>
      <c r="F1011" s="726">
        <v>408</v>
      </c>
      <c r="G1011" s="118" t="s">
        <v>253</v>
      </c>
      <c r="H1011" s="118" t="str">
        <f>IFERROR(VLOOKUP(E1011,名称!A:E,4,0),"")</f>
        <v>二代</v>
      </c>
      <c r="I1011" s="418" t="str">
        <f t="shared" si="1480"/>
        <v/>
      </c>
      <c r="J1011" s="418" t="str">
        <f t="shared" si="1481"/>
        <v/>
      </c>
      <c r="K1011" s="418" t="str">
        <f t="shared" si="1482"/>
        <v/>
      </c>
      <c r="L1011" s="418" t="str">
        <f t="shared" si="1483"/>
        <v/>
      </c>
      <c r="M1011" s="418">
        <f t="shared" si="1484"/>
        <v>408</v>
      </c>
      <c r="N1011" s="418" t="str">
        <f t="shared" si="1485"/>
        <v/>
      </c>
      <c r="O1011" s="418" t="str">
        <f t="shared" si="1486"/>
        <v/>
      </c>
      <c r="P1011" s="418" t="str">
        <f t="shared" si="1487"/>
        <v/>
      </c>
      <c r="Q1011" s="418" t="str">
        <f t="shared" si="1488"/>
        <v/>
      </c>
      <c r="R1011" s="418" t="str">
        <f t="shared" si="1489"/>
        <v/>
      </c>
      <c r="S1011" s="418" t="str">
        <f t="shared" si="1490"/>
        <v/>
      </c>
      <c r="T1011" s="418" t="str">
        <f t="shared" si="1491"/>
        <v/>
      </c>
      <c r="U1011" s="418" t="str">
        <f t="shared" si="1492"/>
        <v/>
      </c>
      <c r="V1011" s="418" t="str">
        <f t="shared" si="1493"/>
        <v/>
      </c>
      <c r="W1011" s="418" t="str">
        <f t="shared" si="1494"/>
        <v/>
      </c>
      <c r="X1011" s="418" t="str">
        <f t="shared" si="1495"/>
        <v/>
      </c>
      <c r="Y1011" s="418" t="str">
        <f t="shared" si="1496"/>
        <v/>
      </c>
      <c r="Z1011" s="418" t="str">
        <f t="shared" si="1497"/>
        <v/>
      </c>
      <c r="AA1011" s="418" t="str">
        <f t="shared" si="1498"/>
        <v/>
      </c>
      <c r="AB1011" s="418" t="str">
        <f t="shared" si="1499"/>
        <v/>
      </c>
      <c r="AC1011" s="418" t="str">
        <f t="shared" si="1500"/>
        <v/>
      </c>
      <c r="AD1011" s="418" t="str">
        <f t="shared" si="1501"/>
        <v/>
      </c>
      <c r="AE1011" s="418" t="str">
        <f t="shared" si="1502"/>
        <v/>
      </c>
      <c r="AF1011" s="418" t="str">
        <f t="shared" si="1503"/>
        <v/>
      </c>
      <c r="AG1011" s="418" t="str">
        <f t="shared" si="1504"/>
        <v/>
      </c>
      <c r="AH1011" s="418" t="str">
        <f t="shared" si="1505"/>
        <v/>
      </c>
      <c r="AI1011" s="418" t="str">
        <f t="shared" si="1506"/>
        <v/>
      </c>
      <c r="AJ1011" s="418" t="str">
        <f t="shared" si="1507"/>
        <v/>
      </c>
      <c r="AK1011" s="418" t="str">
        <f t="shared" si="1508"/>
        <v/>
      </c>
      <c r="AL1011" s="418" t="str">
        <f t="shared" si="1509"/>
        <v/>
      </c>
      <c r="AM1011" s="418" t="str">
        <f t="shared" si="1510"/>
        <v/>
      </c>
      <c r="AN1011" s="418" t="str">
        <f t="shared" si="1511"/>
        <v/>
      </c>
      <c r="AO1011" s="418" t="str">
        <f t="shared" si="1512"/>
        <v/>
      </c>
      <c r="AP1011" s="418" t="str">
        <f t="shared" si="1513"/>
        <v/>
      </c>
      <c r="AQ1011" s="418" t="str">
        <f t="shared" si="1514"/>
        <v/>
      </c>
      <c r="AR1011" s="418" t="str">
        <f t="shared" si="1515"/>
        <v/>
      </c>
      <c r="AS1011" s="418" t="str">
        <f t="shared" si="1516"/>
        <v/>
      </c>
      <c r="AT1011" s="418" t="str">
        <f t="shared" si="1517"/>
        <v/>
      </c>
      <c r="AU1011" s="418" t="str">
        <f t="shared" si="1518"/>
        <v/>
      </c>
      <c r="AV1011" s="418" t="str">
        <f t="shared" si="1519"/>
        <v/>
      </c>
      <c r="AW1011" s="418" t="str">
        <f t="shared" si="1520"/>
        <v/>
      </c>
      <c r="AX1011" s="418" t="str">
        <f t="shared" si="1521"/>
        <v/>
      </c>
      <c r="AY1011" s="418" t="str">
        <f t="shared" si="1522"/>
        <v/>
      </c>
      <c r="AZ1011" s="418" t="str">
        <f t="shared" si="1523"/>
        <v/>
      </c>
      <c r="BA1011" s="418" t="str">
        <f t="shared" si="1524"/>
        <v/>
      </c>
      <c r="BB1011" s="418" t="str">
        <f t="shared" si="1525"/>
        <v/>
      </c>
      <c r="BC1011" s="418" t="str">
        <f t="shared" si="1526"/>
        <v/>
      </c>
      <c r="BD1011" s="418" t="str">
        <f t="shared" si="1527"/>
        <v/>
      </c>
      <c r="BE1011" s="418" t="str">
        <f t="shared" si="1528"/>
        <v/>
      </c>
      <c r="BF1011" s="418" t="str">
        <f t="shared" si="1529"/>
        <v/>
      </c>
      <c r="BG1011" s="418" t="str">
        <f t="shared" si="1530"/>
        <v/>
      </c>
      <c r="BH1011" s="418" t="str">
        <f t="shared" si="1531"/>
        <v/>
      </c>
      <c r="BI1011" s="418" t="str">
        <f t="shared" si="1532"/>
        <v/>
      </c>
      <c r="BJ1011" s="418" t="str">
        <f t="shared" si="1533"/>
        <v/>
      </c>
      <c r="BK1011" s="418" t="str">
        <f t="shared" si="1534"/>
        <v/>
      </c>
      <c r="BL1011" s="418" t="str">
        <f t="shared" si="1535"/>
        <v/>
      </c>
      <c r="BM1011" s="418" t="str">
        <f t="shared" si="1536"/>
        <v/>
      </c>
      <c r="BN1011" s="418" t="str">
        <f t="shared" si="1537"/>
        <v/>
      </c>
      <c r="BO1011" s="418" t="str">
        <f t="shared" si="1538"/>
        <v/>
      </c>
      <c r="BP1011" s="418" t="str">
        <f t="shared" si="1539"/>
        <v/>
      </c>
      <c r="BQ1011" s="418" t="str">
        <f t="shared" si="1545"/>
        <v/>
      </c>
      <c r="BR1011" s="418" t="str">
        <f t="shared" si="1546"/>
        <v/>
      </c>
      <c r="BS1011" s="418" t="str">
        <f t="shared" si="1547"/>
        <v/>
      </c>
      <c r="BT1011" s="418" t="str">
        <f t="shared" si="1540"/>
        <v/>
      </c>
      <c r="BU1011" s="418" t="str">
        <f t="shared" si="1541"/>
        <v/>
      </c>
      <c r="BV1011" s="544">
        <v>0.62</v>
      </c>
      <c r="BW1011" s="723">
        <f t="shared" si="1542"/>
        <v>252.96</v>
      </c>
      <c r="BX1011" s="724">
        <f t="shared" si="1543"/>
        <v>1960.44</v>
      </c>
      <c r="BY1011" s="725" t="str">
        <f t="shared" si="1544"/>
        <v>SR</v>
      </c>
    </row>
    <row r="1012" s="697" customFormat="1" customHeight="1" spans="1:77">
      <c r="A1012" s="174">
        <v>46177</v>
      </c>
      <c r="B1012" s="116">
        <v>46367</v>
      </c>
      <c r="C1012" s="118" t="s">
        <v>912</v>
      </c>
      <c r="D1012" s="118" t="s">
        <v>913</v>
      </c>
      <c r="E1012" s="118" t="s">
        <v>44</v>
      </c>
      <c r="F1012" s="726">
        <v>6000</v>
      </c>
      <c r="G1012" s="118" t="s">
        <v>253</v>
      </c>
      <c r="H1012" s="118" t="str">
        <f>IFERROR(VLOOKUP(E1012,名称!A:E,4,0),"")</f>
        <v>二代</v>
      </c>
      <c r="I1012" s="418" t="str">
        <f t="shared" si="1480"/>
        <v/>
      </c>
      <c r="J1012" s="418" t="str">
        <f t="shared" si="1481"/>
        <v/>
      </c>
      <c r="K1012" s="418" t="str">
        <f t="shared" si="1482"/>
        <v/>
      </c>
      <c r="L1012" s="418" t="str">
        <f t="shared" si="1483"/>
        <v/>
      </c>
      <c r="M1012" s="418">
        <f t="shared" si="1484"/>
        <v>6000</v>
      </c>
      <c r="N1012" s="418" t="str">
        <f t="shared" si="1485"/>
        <v/>
      </c>
      <c r="O1012" s="418" t="str">
        <f t="shared" si="1486"/>
        <v/>
      </c>
      <c r="P1012" s="418" t="str">
        <f t="shared" si="1487"/>
        <v/>
      </c>
      <c r="Q1012" s="418" t="str">
        <f t="shared" si="1488"/>
        <v/>
      </c>
      <c r="R1012" s="418" t="str">
        <f t="shared" si="1489"/>
        <v/>
      </c>
      <c r="S1012" s="418" t="str">
        <f t="shared" si="1490"/>
        <v/>
      </c>
      <c r="T1012" s="418" t="str">
        <f t="shared" si="1491"/>
        <v/>
      </c>
      <c r="U1012" s="418" t="str">
        <f t="shared" si="1492"/>
        <v/>
      </c>
      <c r="V1012" s="418" t="str">
        <f t="shared" si="1493"/>
        <v/>
      </c>
      <c r="W1012" s="418" t="str">
        <f t="shared" si="1494"/>
        <v/>
      </c>
      <c r="X1012" s="418" t="str">
        <f t="shared" si="1495"/>
        <v/>
      </c>
      <c r="Y1012" s="418" t="str">
        <f t="shared" si="1496"/>
        <v/>
      </c>
      <c r="Z1012" s="418" t="str">
        <f t="shared" si="1497"/>
        <v/>
      </c>
      <c r="AA1012" s="418" t="str">
        <f t="shared" si="1498"/>
        <v/>
      </c>
      <c r="AB1012" s="418" t="str">
        <f t="shared" si="1499"/>
        <v/>
      </c>
      <c r="AC1012" s="418" t="str">
        <f t="shared" si="1500"/>
        <v/>
      </c>
      <c r="AD1012" s="418" t="str">
        <f t="shared" si="1501"/>
        <v/>
      </c>
      <c r="AE1012" s="418" t="str">
        <f t="shared" si="1502"/>
        <v/>
      </c>
      <c r="AF1012" s="418" t="str">
        <f t="shared" si="1503"/>
        <v/>
      </c>
      <c r="AG1012" s="418" t="str">
        <f t="shared" si="1504"/>
        <v/>
      </c>
      <c r="AH1012" s="418" t="str">
        <f t="shared" si="1505"/>
        <v/>
      </c>
      <c r="AI1012" s="418" t="str">
        <f t="shared" si="1506"/>
        <v/>
      </c>
      <c r="AJ1012" s="418" t="str">
        <f t="shared" si="1507"/>
        <v/>
      </c>
      <c r="AK1012" s="418" t="str">
        <f t="shared" si="1508"/>
        <v/>
      </c>
      <c r="AL1012" s="418" t="str">
        <f t="shared" si="1509"/>
        <v/>
      </c>
      <c r="AM1012" s="418" t="str">
        <f t="shared" si="1510"/>
        <v/>
      </c>
      <c r="AN1012" s="418" t="str">
        <f t="shared" si="1511"/>
        <v/>
      </c>
      <c r="AO1012" s="418" t="str">
        <f t="shared" si="1512"/>
        <v/>
      </c>
      <c r="AP1012" s="418" t="str">
        <f t="shared" si="1513"/>
        <v/>
      </c>
      <c r="AQ1012" s="418" t="str">
        <f t="shared" si="1514"/>
        <v/>
      </c>
      <c r="AR1012" s="418" t="str">
        <f t="shared" si="1515"/>
        <v/>
      </c>
      <c r="AS1012" s="418" t="str">
        <f t="shared" si="1516"/>
        <v/>
      </c>
      <c r="AT1012" s="418" t="str">
        <f t="shared" si="1517"/>
        <v/>
      </c>
      <c r="AU1012" s="418" t="str">
        <f t="shared" si="1518"/>
        <v/>
      </c>
      <c r="AV1012" s="418" t="str">
        <f t="shared" si="1519"/>
        <v/>
      </c>
      <c r="AW1012" s="418" t="str">
        <f t="shared" si="1520"/>
        <v/>
      </c>
      <c r="AX1012" s="418" t="str">
        <f t="shared" si="1521"/>
        <v/>
      </c>
      <c r="AY1012" s="418" t="str">
        <f t="shared" si="1522"/>
        <v/>
      </c>
      <c r="AZ1012" s="418" t="str">
        <f t="shared" si="1523"/>
        <v/>
      </c>
      <c r="BA1012" s="418" t="str">
        <f t="shared" si="1524"/>
        <v/>
      </c>
      <c r="BB1012" s="418" t="str">
        <f t="shared" si="1525"/>
        <v/>
      </c>
      <c r="BC1012" s="418" t="str">
        <f t="shared" si="1526"/>
        <v/>
      </c>
      <c r="BD1012" s="418" t="str">
        <f t="shared" si="1527"/>
        <v/>
      </c>
      <c r="BE1012" s="418" t="str">
        <f t="shared" si="1528"/>
        <v/>
      </c>
      <c r="BF1012" s="418" t="str">
        <f t="shared" si="1529"/>
        <v/>
      </c>
      <c r="BG1012" s="418" t="str">
        <f t="shared" si="1530"/>
        <v/>
      </c>
      <c r="BH1012" s="418" t="str">
        <f t="shared" si="1531"/>
        <v/>
      </c>
      <c r="BI1012" s="418" t="str">
        <f t="shared" si="1532"/>
        <v/>
      </c>
      <c r="BJ1012" s="418" t="str">
        <f t="shared" si="1533"/>
        <v/>
      </c>
      <c r="BK1012" s="418" t="str">
        <f t="shared" si="1534"/>
        <v/>
      </c>
      <c r="BL1012" s="418" t="str">
        <f t="shared" si="1535"/>
        <v/>
      </c>
      <c r="BM1012" s="418" t="str">
        <f t="shared" si="1536"/>
        <v/>
      </c>
      <c r="BN1012" s="418" t="str">
        <f t="shared" si="1537"/>
        <v/>
      </c>
      <c r="BO1012" s="418" t="str">
        <f t="shared" si="1538"/>
        <v/>
      </c>
      <c r="BP1012" s="418" t="str">
        <f t="shared" si="1539"/>
        <v/>
      </c>
      <c r="BQ1012" s="418" t="str">
        <f t="shared" si="1545"/>
        <v/>
      </c>
      <c r="BR1012" s="418" t="str">
        <f t="shared" si="1546"/>
        <v/>
      </c>
      <c r="BS1012" s="418" t="str">
        <f t="shared" si="1547"/>
        <v/>
      </c>
      <c r="BT1012" s="418" t="str">
        <f t="shared" si="1540"/>
        <v/>
      </c>
      <c r="BU1012" s="418" t="str">
        <f t="shared" si="1541"/>
        <v/>
      </c>
      <c r="BV1012" s="544">
        <v>0.62</v>
      </c>
      <c r="BW1012" s="723">
        <f t="shared" si="1542"/>
        <v>3720</v>
      </c>
      <c r="BX1012" s="724">
        <f t="shared" si="1543"/>
        <v>28830</v>
      </c>
      <c r="BY1012" s="725" t="str">
        <f t="shared" si="1544"/>
        <v>SR</v>
      </c>
    </row>
    <row r="1013" s="697" customFormat="1" customHeight="1" spans="1:77">
      <c r="A1013" s="174">
        <v>46177</v>
      </c>
      <c r="B1013" s="179">
        <v>46230</v>
      </c>
      <c r="C1013" s="176" t="s">
        <v>914</v>
      </c>
      <c r="D1013" s="176" t="s">
        <v>915</v>
      </c>
      <c r="E1013" s="176" t="s">
        <v>117</v>
      </c>
      <c r="F1013" s="741">
        <v>2250</v>
      </c>
      <c r="G1013" s="175" t="s">
        <v>334</v>
      </c>
      <c r="H1013" s="118" t="str">
        <f>IFERROR(VLOOKUP(E1013,名称!A:E,4,0),"")</f>
        <v>三代</v>
      </c>
      <c r="I1013" s="418" t="str">
        <f t="shared" si="1480"/>
        <v/>
      </c>
      <c r="J1013" s="418" t="str">
        <f t="shared" si="1481"/>
        <v/>
      </c>
      <c r="K1013" s="418" t="str">
        <f t="shared" si="1482"/>
        <v/>
      </c>
      <c r="L1013" s="418" t="str">
        <f t="shared" si="1483"/>
        <v/>
      </c>
      <c r="M1013" s="418" t="str">
        <f t="shared" si="1484"/>
        <v/>
      </c>
      <c r="N1013" s="418" t="str">
        <f t="shared" si="1485"/>
        <v/>
      </c>
      <c r="O1013" s="418" t="str">
        <f t="shared" si="1486"/>
        <v/>
      </c>
      <c r="P1013" s="418" t="str">
        <f t="shared" si="1487"/>
        <v/>
      </c>
      <c r="Q1013" s="418" t="str">
        <f t="shared" si="1488"/>
        <v/>
      </c>
      <c r="R1013" s="418" t="str">
        <f t="shared" si="1489"/>
        <v/>
      </c>
      <c r="S1013" s="418" t="str">
        <f t="shared" si="1490"/>
        <v/>
      </c>
      <c r="T1013" s="418" t="str">
        <f t="shared" si="1491"/>
        <v/>
      </c>
      <c r="U1013" s="418" t="str">
        <f t="shared" si="1492"/>
        <v/>
      </c>
      <c r="V1013" s="418" t="str">
        <f t="shared" si="1493"/>
        <v/>
      </c>
      <c r="W1013" s="418" t="str">
        <f t="shared" si="1494"/>
        <v/>
      </c>
      <c r="X1013" s="418" t="str">
        <f t="shared" si="1495"/>
        <v/>
      </c>
      <c r="Y1013" s="418" t="str">
        <f t="shared" si="1496"/>
        <v/>
      </c>
      <c r="Z1013" s="418" t="str">
        <f t="shared" si="1497"/>
        <v/>
      </c>
      <c r="AA1013" s="418" t="str">
        <f t="shared" si="1498"/>
        <v/>
      </c>
      <c r="AB1013" s="418" t="str">
        <f t="shared" si="1499"/>
        <v/>
      </c>
      <c r="AC1013" s="418" t="str">
        <f t="shared" si="1500"/>
        <v/>
      </c>
      <c r="AD1013" s="418" t="str">
        <f t="shared" si="1501"/>
        <v/>
      </c>
      <c r="AE1013" s="418" t="str">
        <f t="shared" si="1502"/>
        <v/>
      </c>
      <c r="AF1013" s="418" t="str">
        <f t="shared" si="1503"/>
        <v/>
      </c>
      <c r="AG1013" s="418" t="str">
        <f t="shared" si="1504"/>
        <v/>
      </c>
      <c r="AH1013" s="418" t="str">
        <f t="shared" si="1505"/>
        <v/>
      </c>
      <c r="AI1013" s="418" t="str">
        <f t="shared" si="1506"/>
        <v/>
      </c>
      <c r="AJ1013" s="418" t="str">
        <f t="shared" si="1507"/>
        <v/>
      </c>
      <c r="AK1013" s="418" t="str">
        <f t="shared" si="1508"/>
        <v/>
      </c>
      <c r="AL1013" s="418" t="str">
        <f t="shared" si="1509"/>
        <v/>
      </c>
      <c r="AM1013" s="418" t="str">
        <f t="shared" si="1510"/>
        <v/>
      </c>
      <c r="AN1013" s="418" t="str">
        <f t="shared" si="1511"/>
        <v/>
      </c>
      <c r="AO1013" s="418" t="str">
        <f t="shared" si="1512"/>
        <v/>
      </c>
      <c r="AP1013" s="418" t="str">
        <f t="shared" si="1513"/>
        <v/>
      </c>
      <c r="AQ1013" s="418">
        <f t="shared" si="1514"/>
        <v>2250</v>
      </c>
      <c r="AR1013" s="418" t="str">
        <f t="shared" si="1515"/>
        <v/>
      </c>
      <c r="AS1013" s="418" t="str">
        <f t="shared" si="1516"/>
        <v/>
      </c>
      <c r="AT1013" s="418" t="str">
        <f t="shared" si="1517"/>
        <v/>
      </c>
      <c r="AU1013" s="418" t="str">
        <f t="shared" si="1518"/>
        <v/>
      </c>
      <c r="AV1013" s="418" t="str">
        <f t="shared" si="1519"/>
        <v/>
      </c>
      <c r="AW1013" s="418" t="str">
        <f t="shared" si="1520"/>
        <v/>
      </c>
      <c r="AX1013" s="418" t="str">
        <f t="shared" si="1521"/>
        <v/>
      </c>
      <c r="AY1013" s="418" t="str">
        <f t="shared" si="1522"/>
        <v/>
      </c>
      <c r="AZ1013" s="418" t="str">
        <f t="shared" si="1523"/>
        <v/>
      </c>
      <c r="BA1013" s="418" t="str">
        <f t="shared" si="1524"/>
        <v/>
      </c>
      <c r="BB1013" s="418" t="str">
        <f t="shared" si="1525"/>
        <v/>
      </c>
      <c r="BC1013" s="418" t="str">
        <f t="shared" si="1526"/>
        <v/>
      </c>
      <c r="BD1013" s="418" t="str">
        <f t="shared" si="1527"/>
        <v/>
      </c>
      <c r="BE1013" s="418" t="str">
        <f t="shared" si="1528"/>
        <v/>
      </c>
      <c r="BF1013" s="418" t="str">
        <f t="shared" si="1529"/>
        <v/>
      </c>
      <c r="BG1013" s="418" t="str">
        <f t="shared" si="1530"/>
        <v/>
      </c>
      <c r="BH1013" s="418" t="str">
        <f t="shared" si="1531"/>
        <v/>
      </c>
      <c r="BI1013" s="418" t="str">
        <f t="shared" si="1532"/>
        <v/>
      </c>
      <c r="BJ1013" s="418" t="str">
        <f t="shared" si="1533"/>
        <v/>
      </c>
      <c r="BK1013" s="418" t="str">
        <f t="shared" si="1534"/>
        <v/>
      </c>
      <c r="BL1013" s="418" t="str">
        <f t="shared" si="1535"/>
        <v/>
      </c>
      <c r="BM1013" s="418" t="str">
        <f t="shared" si="1536"/>
        <v/>
      </c>
      <c r="BN1013" s="418" t="str">
        <f t="shared" si="1537"/>
        <v/>
      </c>
      <c r="BO1013" s="418" t="str">
        <f t="shared" si="1538"/>
        <v/>
      </c>
      <c r="BP1013" s="418" t="str">
        <f t="shared" si="1539"/>
        <v/>
      </c>
      <c r="BQ1013" s="418" t="str">
        <f t="shared" si="1545"/>
        <v/>
      </c>
      <c r="BR1013" s="418" t="str">
        <f t="shared" si="1546"/>
        <v/>
      </c>
      <c r="BS1013" s="418" t="str">
        <f t="shared" si="1547"/>
        <v/>
      </c>
      <c r="BT1013" s="418" t="str">
        <f t="shared" si="1540"/>
        <v/>
      </c>
      <c r="BU1013" s="418" t="str">
        <f t="shared" si="1541"/>
        <v/>
      </c>
      <c r="BV1013" s="742">
        <v>9.42</v>
      </c>
      <c r="BW1013" s="723">
        <f t="shared" si="1542"/>
        <v>21195</v>
      </c>
      <c r="BX1013" s="724">
        <f t="shared" si="1543"/>
        <v>164261.25</v>
      </c>
      <c r="BY1013" s="725" t="str">
        <f t="shared" si="1544"/>
        <v>SR</v>
      </c>
    </row>
    <row r="1014" s="697" customFormat="1" customHeight="1" spans="1:77">
      <c r="A1014" s="174">
        <v>46177</v>
      </c>
      <c r="B1014" s="179">
        <v>46230</v>
      </c>
      <c r="C1014" s="176" t="s">
        <v>916</v>
      </c>
      <c r="D1014" s="176" t="s">
        <v>917</v>
      </c>
      <c r="E1014" s="176" t="s">
        <v>117</v>
      </c>
      <c r="F1014" s="741">
        <v>2250</v>
      </c>
      <c r="G1014" s="175" t="s">
        <v>334</v>
      </c>
      <c r="H1014" s="118" t="str">
        <f>IFERROR(VLOOKUP(E1014,名称!A:E,4,0),"")</f>
        <v>三代</v>
      </c>
      <c r="I1014" s="418" t="str">
        <f t="shared" si="1480"/>
        <v/>
      </c>
      <c r="J1014" s="418" t="str">
        <f t="shared" si="1481"/>
        <v/>
      </c>
      <c r="K1014" s="418" t="str">
        <f t="shared" si="1482"/>
        <v/>
      </c>
      <c r="L1014" s="418" t="str">
        <f t="shared" si="1483"/>
        <v/>
      </c>
      <c r="M1014" s="418" t="str">
        <f t="shared" si="1484"/>
        <v/>
      </c>
      <c r="N1014" s="418" t="str">
        <f t="shared" si="1485"/>
        <v/>
      </c>
      <c r="O1014" s="418" t="str">
        <f t="shared" si="1486"/>
        <v/>
      </c>
      <c r="P1014" s="418" t="str">
        <f t="shared" si="1487"/>
        <v/>
      </c>
      <c r="Q1014" s="418" t="str">
        <f t="shared" si="1488"/>
        <v/>
      </c>
      <c r="R1014" s="418" t="str">
        <f t="shared" si="1489"/>
        <v/>
      </c>
      <c r="S1014" s="418" t="str">
        <f t="shared" si="1490"/>
        <v/>
      </c>
      <c r="T1014" s="418" t="str">
        <f t="shared" si="1491"/>
        <v/>
      </c>
      <c r="U1014" s="418" t="str">
        <f t="shared" si="1492"/>
        <v/>
      </c>
      <c r="V1014" s="418" t="str">
        <f t="shared" si="1493"/>
        <v/>
      </c>
      <c r="W1014" s="418" t="str">
        <f t="shared" si="1494"/>
        <v/>
      </c>
      <c r="X1014" s="418" t="str">
        <f t="shared" si="1495"/>
        <v/>
      </c>
      <c r="Y1014" s="418" t="str">
        <f t="shared" si="1496"/>
        <v/>
      </c>
      <c r="Z1014" s="418" t="str">
        <f t="shared" si="1497"/>
        <v/>
      </c>
      <c r="AA1014" s="418" t="str">
        <f t="shared" si="1498"/>
        <v/>
      </c>
      <c r="AB1014" s="418" t="str">
        <f t="shared" si="1499"/>
        <v/>
      </c>
      <c r="AC1014" s="418" t="str">
        <f t="shared" si="1500"/>
        <v/>
      </c>
      <c r="AD1014" s="418" t="str">
        <f t="shared" si="1501"/>
        <v/>
      </c>
      <c r="AE1014" s="418" t="str">
        <f t="shared" si="1502"/>
        <v/>
      </c>
      <c r="AF1014" s="418" t="str">
        <f t="shared" si="1503"/>
        <v/>
      </c>
      <c r="AG1014" s="418" t="str">
        <f t="shared" si="1504"/>
        <v/>
      </c>
      <c r="AH1014" s="418" t="str">
        <f t="shared" si="1505"/>
        <v/>
      </c>
      <c r="AI1014" s="418" t="str">
        <f t="shared" si="1506"/>
        <v/>
      </c>
      <c r="AJ1014" s="418" t="str">
        <f t="shared" si="1507"/>
        <v/>
      </c>
      <c r="AK1014" s="418" t="str">
        <f t="shared" si="1508"/>
        <v/>
      </c>
      <c r="AL1014" s="418" t="str">
        <f t="shared" si="1509"/>
        <v/>
      </c>
      <c r="AM1014" s="418" t="str">
        <f t="shared" si="1510"/>
        <v/>
      </c>
      <c r="AN1014" s="418" t="str">
        <f t="shared" si="1511"/>
        <v/>
      </c>
      <c r="AO1014" s="418" t="str">
        <f t="shared" si="1512"/>
        <v/>
      </c>
      <c r="AP1014" s="418" t="str">
        <f t="shared" si="1513"/>
        <v/>
      </c>
      <c r="AQ1014" s="418">
        <f t="shared" si="1514"/>
        <v>2250</v>
      </c>
      <c r="AR1014" s="418" t="str">
        <f t="shared" si="1515"/>
        <v/>
      </c>
      <c r="AS1014" s="418" t="str">
        <f t="shared" si="1516"/>
        <v/>
      </c>
      <c r="AT1014" s="418" t="str">
        <f t="shared" si="1517"/>
        <v/>
      </c>
      <c r="AU1014" s="418" t="str">
        <f t="shared" si="1518"/>
        <v/>
      </c>
      <c r="AV1014" s="418" t="str">
        <f t="shared" si="1519"/>
        <v/>
      </c>
      <c r="AW1014" s="418" t="str">
        <f t="shared" si="1520"/>
        <v/>
      </c>
      <c r="AX1014" s="418" t="str">
        <f t="shared" si="1521"/>
        <v/>
      </c>
      <c r="AY1014" s="418" t="str">
        <f t="shared" si="1522"/>
        <v/>
      </c>
      <c r="AZ1014" s="418" t="str">
        <f t="shared" si="1523"/>
        <v/>
      </c>
      <c r="BA1014" s="418" t="str">
        <f t="shared" si="1524"/>
        <v/>
      </c>
      <c r="BB1014" s="418" t="str">
        <f t="shared" si="1525"/>
        <v/>
      </c>
      <c r="BC1014" s="418" t="str">
        <f t="shared" si="1526"/>
        <v/>
      </c>
      <c r="BD1014" s="418" t="str">
        <f t="shared" si="1527"/>
        <v/>
      </c>
      <c r="BE1014" s="418" t="str">
        <f t="shared" si="1528"/>
        <v/>
      </c>
      <c r="BF1014" s="418" t="str">
        <f t="shared" si="1529"/>
        <v/>
      </c>
      <c r="BG1014" s="418" t="str">
        <f t="shared" si="1530"/>
        <v/>
      </c>
      <c r="BH1014" s="418" t="str">
        <f t="shared" si="1531"/>
        <v/>
      </c>
      <c r="BI1014" s="418" t="str">
        <f t="shared" si="1532"/>
        <v/>
      </c>
      <c r="BJ1014" s="418" t="str">
        <f t="shared" si="1533"/>
        <v/>
      </c>
      <c r="BK1014" s="418" t="str">
        <f t="shared" si="1534"/>
        <v/>
      </c>
      <c r="BL1014" s="418" t="str">
        <f t="shared" si="1535"/>
        <v/>
      </c>
      <c r="BM1014" s="418" t="str">
        <f t="shared" si="1536"/>
        <v/>
      </c>
      <c r="BN1014" s="418" t="str">
        <f t="shared" si="1537"/>
        <v/>
      </c>
      <c r="BO1014" s="418" t="str">
        <f t="shared" si="1538"/>
        <v/>
      </c>
      <c r="BP1014" s="418" t="str">
        <f t="shared" si="1539"/>
        <v/>
      </c>
      <c r="BQ1014" s="418" t="str">
        <f t="shared" si="1545"/>
        <v/>
      </c>
      <c r="BR1014" s="418" t="str">
        <f t="shared" si="1546"/>
        <v/>
      </c>
      <c r="BS1014" s="418" t="str">
        <f t="shared" si="1547"/>
        <v/>
      </c>
      <c r="BT1014" s="418" t="str">
        <f t="shared" si="1540"/>
        <v/>
      </c>
      <c r="BU1014" s="418" t="str">
        <f t="shared" si="1541"/>
        <v/>
      </c>
      <c r="BV1014" s="742">
        <v>9.42</v>
      </c>
      <c r="BW1014" s="723">
        <f t="shared" si="1542"/>
        <v>21195</v>
      </c>
      <c r="BX1014" s="724">
        <f t="shared" si="1543"/>
        <v>164261.25</v>
      </c>
      <c r="BY1014" s="725" t="str">
        <f t="shared" si="1544"/>
        <v>SR</v>
      </c>
    </row>
    <row r="1015" s="698" customFormat="1" customHeight="1" spans="1:77">
      <c r="A1015" s="227">
        <v>46178</v>
      </c>
      <c r="B1015" s="248">
        <v>46230</v>
      </c>
      <c r="C1015" s="242" t="s">
        <v>918</v>
      </c>
      <c r="D1015" s="242" t="s">
        <v>919</v>
      </c>
      <c r="E1015" s="242" t="s">
        <v>121</v>
      </c>
      <c r="F1015" s="231">
        <v>2808</v>
      </c>
      <c r="G1015" s="242" t="s">
        <v>510</v>
      </c>
      <c r="H1015" s="211" t="str">
        <f>IFERROR(VLOOKUP(E1015,名称!A:E,4,0),"")</f>
        <v>三代</v>
      </c>
      <c r="I1015" s="268" t="str">
        <f t="shared" si="1480"/>
        <v/>
      </c>
      <c r="J1015" s="268" t="str">
        <f t="shared" si="1481"/>
        <v/>
      </c>
      <c r="K1015" s="268" t="str">
        <f t="shared" si="1482"/>
        <v/>
      </c>
      <c r="L1015" s="268" t="str">
        <f t="shared" si="1483"/>
        <v/>
      </c>
      <c r="M1015" s="268" t="str">
        <f t="shared" si="1484"/>
        <v/>
      </c>
      <c r="N1015" s="268" t="str">
        <f t="shared" si="1485"/>
        <v/>
      </c>
      <c r="O1015" s="268" t="str">
        <f t="shared" si="1486"/>
        <v/>
      </c>
      <c r="P1015" s="268" t="str">
        <f t="shared" si="1487"/>
        <v/>
      </c>
      <c r="Q1015" s="268" t="str">
        <f t="shared" si="1488"/>
        <v/>
      </c>
      <c r="R1015" s="268" t="str">
        <f t="shared" si="1489"/>
        <v/>
      </c>
      <c r="S1015" s="268" t="str">
        <f t="shared" si="1490"/>
        <v/>
      </c>
      <c r="T1015" s="268" t="str">
        <f t="shared" si="1491"/>
        <v/>
      </c>
      <c r="U1015" s="268" t="str">
        <f t="shared" si="1492"/>
        <v/>
      </c>
      <c r="V1015" s="268" t="str">
        <f t="shared" si="1493"/>
        <v/>
      </c>
      <c r="W1015" s="268" t="str">
        <f t="shared" si="1494"/>
        <v/>
      </c>
      <c r="X1015" s="268" t="str">
        <f t="shared" si="1495"/>
        <v/>
      </c>
      <c r="Y1015" s="268" t="str">
        <f t="shared" si="1496"/>
        <v/>
      </c>
      <c r="Z1015" s="268" t="str">
        <f t="shared" si="1497"/>
        <v/>
      </c>
      <c r="AA1015" s="268" t="str">
        <f t="shared" si="1498"/>
        <v/>
      </c>
      <c r="AB1015" s="268" t="str">
        <f t="shared" si="1499"/>
        <v/>
      </c>
      <c r="AC1015" s="268">
        <f t="shared" si="1500"/>
        <v>2808</v>
      </c>
      <c r="AD1015" s="268" t="str">
        <f t="shared" si="1501"/>
        <v/>
      </c>
      <c r="AE1015" s="268" t="str">
        <f t="shared" si="1502"/>
        <v/>
      </c>
      <c r="AF1015" s="268" t="str">
        <f t="shared" si="1503"/>
        <v/>
      </c>
      <c r="AG1015" s="268" t="str">
        <f t="shared" si="1504"/>
        <v/>
      </c>
      <c r="AH1015" s="268" t="str">
        <f t="shared" si="1505"/>
        <v/>
      </c>
      <c r="AI1015" s="268" t="str">
        <f t="shared" si="1506"/>
        <v/>
      </c>
      <c r="AJ1015" s="268" t="str">
        <f t="shared" si="1507"/>
        <v/>
      </c>
      <c r="AK1015" s="268" t="str">
        <f t="shared" si="1508"/>
        <v/>
      </c>
      <c r="AL1015" s="268" t="str">
        <f t="shared" si="1509"/>
        <v/>
      </c>
      <c r="AM1015" s="268" t="str">
        <f t="shared" si="1510"/>
        <v/>
      </c>
      <c r="AN1015" s="268" t="str">
        <f t="shared" si="1511"/>
        <v/>
      </c>
      <c r="AO1015" s="268" t="str">
        <f t="shared" si="1512"/>
        <v/>
      </c>
      <c r="AP1015" s="268" t="str">
        <f t="shared" si="1513"/>
        <v/>
      </c>
      <c r="AQ1015" s="268" t="str">
        <f t="shared" si="1514"/>
        <v/>
      </c>
      <c r="AR1015" s="268" t="str">
        <f t="shared" si="1515"/>
        <v/>
      </c>
      <c r="AS1015" s="268" t="str">
        <f t="shared" si="1516"/>
        <v/>
      </c>
      <c r="AT1015" s="268" t="str">
        <f t="shared" si="1517"/>
        <v/>
      </c>
      <c r="AU1015" s="268" t="str">
        <f t="shared" si="1518"/>
        <v/>
      </c>
      <c r="AV1015" s="268" t="str">
        <f t="shared" si="1519"/>
        <v/>
      </c>
      <c r="AW1015" s="268" t="str">
        <f t="shared" si="1520"/>
        <v/>
      </c>
      <c r="AX1015" s="268" t="str">
        <f t="shared" si="1521"/>
        <v/>
      </c>
      <c r="AY1015" s="268" t="str">
        <f t="shared" si="1522"/>
        <v/>
      </c>
      <c r="AZ1015" s="268" t="str">
        <f t="shared" si="1523"/>
        <v/>
      </c>
      <c r="BA1015" s="268" t="str">
        <f t="shared" si="1524"/>
        <v/>
      </c>
      <c r="BB1015" s="268" t="str">
        <f t="shared" si="1525"/>
        <v/>
      </c>
      <c r="BC1015" s="268" t="str">
        <f t="shared" si="1526"/>
        <v/>
      </c>
      <c r="BD1015" s="268" t="str">
        <f t="shared" si="1527"/>
        <v/>
      </c>
      <c r="BE1015" s="268" t="str">
        <f t="shared" si="1528"/>
        <v/>
      </c>
      <c r="BF1015" s="268" t="str">
        <f t="shared" si="1529"/>
        <v/>
      </c>
      <c r="BG1015" s="268" t="str">
        <f t="shared" si="1530"/>
        <v/>
      </c>
      <c r="BH1015" s="268" t="str">
        <f t="shared" si="1531"/>
        <v/>
      </c>
      <c r="BI1015" s="268" t="str">
        <f t="shared" si="1532"/>
        <v/>
      </c>
      <c r="BJ1015" s="268" t="str">
        <f t="shared" si="1533"/>
        <v/>
      </c>
      <c r="BK1015" s="268" t="str">
        <f t="shared" si="1534"/>
        <v/>
      </c>
      <c r="BL1015" s="268" t="str">
        <f t="shared" si="1535"/>
        <v/>
      </c>
      <c r="BM1015" s="268" t="str">
        <f t="shared" si="1536"/>
        <v/>
      </c>
      <c r="BN1015" s="268" t="str">
        <f t="shared" si="1537"/>
        <v/>
      </c>
      <c r="BO1015" s="268" t="str">
        <f t="shared" si="1538"/>
        <v/>
      </c>
      <c r="BP1015" s="268" t="str">
        <f t="shared" si="1539"/>
        <v/>
      </c>
      <c r="BQ1015" s="268" t="str">
        <f t="shared" si="1545"/>
        <v/>
      </c>
      <c r="BR1015" s="268" t="str">
        <f t="shared" si="1546"/>
        <v/>
      </c>
      <c r="BS1015" s="268" t="str">
        <f t="shared" si="1547"/>
        <v/>
      </c>
      <c r="BT1015" s="268" t="str">
        <f t="shared" si="1540"/>
        <v/>
      </c>
      <c r="BU1015" s="268" t="str">
        <f t="shared" si="1541"/>
        <v/>
      </c>
      <c r="BV1015" s="247">
        <v>0.79</v>
      </c>
      <c r="BW1015" s="729">
        <f t="shared" si="1542"/>
        <v>2218.32</v>
      </c>
      <c r="BX1015" s="730">
        <f t="shared" si="1543"/>
        <v>17191.98</v>
      </c>
      <c r="BY1015" s="731" t="str">
        <f t="shared" si="1544"/>
        <v>SR</v>
      </c>
    </row>
    <row r="1016" s="698" customFormat="1" customHeight="1" spans="1:77">
      <c r="A1016" s="227">
        <v>46178</v>
      </c>
      <c r="B1016" s="248">
        <v>46230</v>
      </c>
      <c r="C1016" s="242" t="s">
        <v>918</v>
      </c>
      <c r="D1016" s="242" t="s">
        <v>919</v>
      </c>
      <c r="E1016" s="242" t="s">
        <v>59</v>
      </c>
      <c r="F1016" s="231">
        <v>2160</v>
      </c>
      <c r="G1016" s="242" t="s">
        <v>510</v>
      </c>
      <c r="H1016" s="211" t="str">
        <f>IFERROR(VLOOKUP(E1016,名称!A:E,4,0),"")</f>
        <v>三代</v>
      </c>
      <c r="I1016" s="268" t="str">
        <f t="shared" ref="I1016:BR1016" si="1548">IF(OR($E1016="",I$1=""),"",IF(TRIM(LEFT($E1016,MIN(IFERROR(FIND("CDU",UPPER($E1016)),999),IFERROR(FIND("BULK",UPPER($E1016)),999),IFERROR(FIND("-",$E1016),999),IFERROR(FIND("（",$E1016),999))-1))=I$1,$F1016,""))</f>
        <v/>
      </c>
      <c r="J1016" s="268" t="str">
        <f t="shared" si="1548"/>
        <v/>
      </c>
      <c r="K1016" s="268" t="str">
        <f t="shared" si="1548"/>
        <v/>
      </c>
      <c r="L1016" s="268" t="str">
        <f t="shared" si="1548"/>
        <v/>
      </c>
      <c r="M1016" s="268" t="str">
        <f t="shared" si="1548"/>
        <v/>
      </c>
      <c r="N1016" s="268" t="str">
        <f t="shared" si="1548"/>
        <v/>
      </c>
      <c r="O1016" s="268" t="str">
        <f t="shared" si="1548"/>
        <v/>
      </c>
      <c r="P1016" s="268" t="str">
        <f t="shared" si="1548"/>
        <v/>
      </c>
      <c r="Q1016" s="268" t="str">
        <f t="shared" si="1548"/>
        <v/>
      </c>
      <c r="R1016" s="268" t="str">
        <f t="shared" si="1548"/>
        <v/>
      </c>
      <c r="S1016" s="268" t="str">
        <f t="shared" si="1548"/>
        <v/>
      </c>
      <c r="T1016" s="268" t="str">
        <f t="shared" si="1548"/>
        <v/>
      </c>
      <c r="U1016" s="268" t="str">
        <f t="shared" si="1548"/>
        <v/>
      </c>
      <c r="V1016" s="268" t="str">
        <f t="shared" si="1548"/>
        <v/>
      </c>
      <c r="W1016" s="268" t="str">
        <f t="shared" si="1548"/>
        <v/>
      </c>
      <c r="X1016" s="268" t="str">
        <f t="shared" si="1548"/>
        <v/>
      </c>
      <c r="Y1016" s="268" t="str">
        <f t="shared" si="1548"/>
        <v/>
      </c>
      <c r="Z1016" s="268" t="str">
        <f t="shared" si="1548"/>
        <v/>
      </c>
      <c r="AA1016" s="268" t="str">
        <f t="shared" si="1548"/>
        <v/>
      </c>
      <c r="AB1016" s="268" t="str">
        <f t="shared" si="1548"/>
        <v/>
      </c>
      <c r="AC1016" s="268" t="str">
        <f t="shared" si="1548"/>
        <v/>
      </c>
      <c r="AD1016" s="268">
        <f t="shared" si="1548"/>
        <v>2160</v>
      </c>
      <c r="AE1016" s="268" t="str">
        <f t="shared" si="1548"/>
        <v/>
      </c>
      <c r="AF1016" s="268" t="str">
        <f t="shared" si="1548"/>
        <v/>
      </c>
      <c r="AG1016" s="268" t="str">
        <f t="shared" si="1548"/>
        <v/>
      </c>
      <c r="AH1016" s="268" t="str">
        <f t="shared" si="1548"/>
        <v/>
      </c>
      <c r="AI1016" s="268" t="str">
        <f t="shared" si="1548"/>
        <v/>
      </c>
      <c r="AJ1016" s="268" t="str">
        <f t="shared" si="1548"/>
        <v/>
      </c>
      <c r="AK1016" s="268" t="str">
        <f t="shared" si="1548"/>
        <v/>
      </c>
      <c r="AL1016" s="268" t="str">
        <f t="shared" si="1548"/>
        <v/>
      </c>
      <c r="AM1016" s="268" t="str">
        <f t="shared" si="1548"/>
        <v/>
      </c>
      <c r="AN1016" s="268" t="str">
        <f t="shared" si="1548"/>
        <v/>
      </c>
      <c r="AO1016" s="268" t="str">
        <f t="shared" si="1548"/>
        <v/>
      </c>
      <c r="AP1016" s="268" t="str">
        <f t="shared" si="1548"/>
        <v/>
      </c>
      <c r="AQ1016" s="268" t="str">
        <f t="shared" si="1548"/>
        <v/>
      </c>
      <c r="AR1016" s="268" t="str">
        <f t="shared" si="1548"/>
        <v/>
      </c>
      <c r="AS1016" s="268" t="str">
        <f t="shared" si="1548"/>
        <v/>
      </c>
      <c r="AT1016" s="268" t="str">
        <f t="shared" si="1548"/>
        <v/>
      </c>
      <c r="AU1016" s="268" t="str">
        <f t="shared" si="1548"/>
        <v/>
      </c>
      <c r="AV1016" s="268" t="str">
        <f t="shared" si="1548"/>
        <v/>
      </c>
      <c r="AW1016" s="268" t="str">
        <f t="shared" si="1548"/>
        <v/>
      </c>
      <c r="AX1016" s="268" t="str">
        <f t="shared" si="1548"/>
        <v/>
      </c>
      <c r="AY1016" s="268" t="str">
        <f t="shared" si="1548"/>
        <v/>
      </c>
      <c r="AZ1016" s="268" t="str">
        <f t="shared" si="1548"/>
        <v/>
      </c>
      <c r="BA1016" s="268" t="str">
        <f t="shared" si="1548"/>
        <v/>
      </c>
      <c r="BB1016" s="268" t="str">
        <f t="shared" si="1548"/>
        <v/>
      </c>
      <c r="BC1016" s="268" t="str">
        <f t="shared" si="1548"/>
        <v/>
      </c>
      <c r="BD1016" s="268" t="str">
        <f t="shared" si="1548"/>
        <v/>
      </c>
      <c r="BE1016" s="268" t="str">
        <f t="shared" si="1548"/>
        <v/>
      </c>
      <c r="BF1016" s="268" t="str">
        <f t="shared" si="1548"/>
        <v/>
      </c>
      <c r="BG1016" s="268" t="str">
        <f t="shared" si="1548"/>
        <v/>
      </c>
      <c r="BH1016" s="268" t="str">
        <f t="shared" si="1548"/>
        <v/>
      </c>
      <c r="BI1016" s="268" t="str">
        <f t="shared" si="1548"/>
        <v/>
      </c>
      <c r="BJ1016" s="268" t="str">
        <f t="shared" si="1548"/>
        <v/>
      </c>
      <c r="BK1016" s="268" t="str">
        <f t="shared" si="1548"/>
        <v/>
      </c>
      <c r="BL1016" s="268" t="str">
        <f t="shared" si="1548"/>
        <v/>
      </c>
      <c r="BM1016" s="268" t="str">
        <f t="shared" si="1548"/>
        <v/>
      </c>
      <c r="BN1016" s="268" t="str">
        <f t="shared" si="1548"/>
        <v/>
      </c>
      <c r="BO1016" s="268" t="str">
        <f t="shared" si="1548"/>
        <v/>
      </c>
      <c r="BP1016" s="268" t="str">
        <f t="shared" si="1548"/>
        <v/>
      </c>
      <c r="BQ1016" s="268" t="str">
        <f t="shared" si="1545"/>
        <v/>
      </c>
      <c r="BR1016" s="268" t="str">
        <f t="shared" si="1546"/>
        <v/>
      </c>
      <c r="BS1016" s="268" t="str">
        <f t="shared" si="1547"/>
        <v/>
      </c>
      <c r="BT1016" s="268" t="str">
        <f t="shared" ref="BT1016:BT1034" si="1549">IF(OR($E1016="",BT$1=""),"",IF(TRIM(LEFT($E1016,MIN(IFERROR(FIND("CDU",UPPER($E1016)),999),IFERROR(FIND("BULK",UPPER($E1016)),999),IFERROR(FIND("-",$E1016),999),IFERROR(FIND("（",$E1016),999))-1))=BT$1,$F1016,""))</f>
        <v/>
      </c>
      <c r="BU1016" s="268" t="str">
        <f t="shared" ref="BU1016:BU1034" si="1550">IF(OR($E1016="",BU$1=""),"",IF(TRIM(LEFT($E1016,MIN(IFERROR(FIND("CDU",UPPER($E1016)),999),IFERROR(FIND("BULK",UPPER($E1016)),999),IFERROR(FIND("-",$E1016),999),IFERROR(FIND("（",$E1016),999))-1))=BU$1,$F1016,""))</f>
        <v/>
      </c>
      <c r="BV1016" s="247">
        <v>0.62</v>
      </c>
      <c r="BW1016" s="729">
        <f t="shared" ref="BW1016:BW1025" si="1551">SUM(I1016:BU1016)*BV1016</f>
        <v>1339.2</v>
      </c>
      <c r="BX1016" s="730">
        <f t="shared" ref="BX1016:BX1025" si="1552">BW1016*7.75</f>
        <v>10378.8</v>
      </c>
      <c r="BY1016" s="731" t="str">
        <f t="shared" ref="BY1016:BY1025" si="1553">MID(E1016,1,2)</f>
        <v>SR</v>
      </c>
    </row>
    <row r="1017" s="698" customFormat="1" customHeight="1" spans="1:77">
      <c r="A1017" s="227">
        <v>46178</v>
      </c>
      <c r="B1017" s="248">
        <v>46230</v>
      </c>
      <c r="C1017" s="242" t="s">
        <v>918</v>
      </c>
      <c r="D1017" s="242" t="s">
        <v>919</v>
      </c>
      <c r="E1017" s="242" t="s">
        <v>66</v>
      </c>
      <c r="F1017" s="231">
        <v>1740</v>
      </c>
      <c r="G1017" s="242" t="s">
        <v>510</v>
      </c>
      <c r="H1017" s="211" t="str">
        <f>IFERROR(VLOOKUP(E1017,名称!A:E,4,0),"")</f>
        <v>三代</v>
      </c>
      <c r="I1017" s="268" t="str">
        <f t="shared" ref="I1017:BR1017" si="1554">IF(OR($E1017="",I$1=""),"",IF(TRIM(LEFT($E1017,MIN(IFERROR(FIND("CDU",UPPER($E1017)),999),IFERROR(FIND("BULK",UPPER($E1017)),999),IFERROR(FIND("-",$E1017),999),IFERROR(FIND("（",$E1017),999))-1))=I$1,$F1017,""))</f>
        <v/>
      </c>
      <c r="J1017" s="268" t="str">
        <f t="shared" si="1554"/>
        <v/>
      </c>
      <c r="K1017" s="268" t="str">
        <f t="shared" si="1554"/>
        <v/>
      </c>
      <c r="L1017" s="268" t="str">
        <f t="shared" si="1554"/>
        <v/>
      </c>
      <c r="M1017" s="268" t="str">
        <f t="shared" si="1554"/>
        <v/>
      </c>
      <c r="N1017" s="268" t="str">
        <f t="shared" si="1554"/>
        <v/>
      </c>
      <c r="O1017" s="268" t="str">
        <f t="shared" si="1554"/>
        <v/>
      </c>
      <c r="P1017" s="268" t="str">
        <f t="shared" si="1554"/>
        <v/>
      </c>
      <c r="Q1017" s="268" t="str">
        <f t="shared" si="1554"/>
        <v/>
      </c>
      <c r="R1017" s="268" t="str">
        <f t="shared" si="1554"/>
        <v/>
      </c>
      <c r="S1017" s="268" t="str">
        <f t="shared" si="1554"/>
        <v/>
      </c>
      <c r="T1017" s="268" t="str">
        <f t="shared" si="1554"/>
        <v/>
      </c>
      <c r="U1017" s="268" t="str">
        <f t="shared" si="1554"/>
        <v/>
      </c>
      <c r="V1017" s="268" t="str">
        <f t="shared" si="1554"/>
        <v/>
      </c>
      <c r="W1017" s="268" t="str">
        <f t="shared" si="1554"/>
        <v/>
      </c>
      <c r="X1017" s="268" t="str">
        <f t="shared" si="1554"/>
        <v/>
      </c>
      <c r="Y1017" s="268" t="str">
        <f t="shared" si="1554"/>
        <v/>
      </c>
      <c r="Z1017" s="268" t="str">
        <f t="shared" si="1554"/>
        <v/>
      </c>
      <c r="AA1017" s="268" t="str">
        <f t="shared" si="1554"/>
        <v/>
      </c>
      <c r="AB1017" s="268" t="str">
        <f t="shared" si="1554"/>
        <v/>
      </c>
      <c r="AC1017" s="268" t="str">
        <f t="shared" si="1554"/>
        <v/>
      </c>
      <c r="AD1017" s="268" t="str">
        <f t="shared" si="1554"/>
        <v/>
      </c>
      <c r="AE1017" s="268" t="str">
        <f t="shared" si="1554"/>
        <v/>
      </c>
      <c r="AF1017" s="268" t="str">
        <f t="shared" si="1554"/>
        <v/>
      </c>
      <c r="AG1017" s="268">
        <f t="shared" si="1554"/>
        <v>1740</v>
      </c>
      <c r="AH1017" s="268" t="str">
        <f t="shared" si="1554"/>
        <v/>
      </c>
      <c r="AI1017" s="268" t="str">
        <f t="shared" si="1554"/>
        <v/>
      </c>
      <c r="AJ1017" s="268" t="str">
        <f t="shared" si="1554"/>
        <v/>
      </c>
      <c r="AK1017" s="268" t="str">
        <f t="shared" si="1554"/>
        <v/>
      </c>
      <c r="AL1017" s="268" t="str">
        <f t="shared" si="1554"/>
        <v/>
      </c>
      <c r="AM1017" s="268" t="str">
        <f t="shared" si="1554"/>
        <v/>
      </c>
      <c r="AN1017" s="268" t="str">
        <f t="shared" si="1554"/>
        <v/>
      </c>
      <c r="AO1017" s="268" t="str">
        <f t="shared" si="1554"/>
        <v/>
      </c>
      <c r="AP1017" s="268" t="str">
        <f t="shared" si="1554"/>
        <v/>
      </c>
      <c r="AQ1017" s="268" t="str">
        <f t="shared" si="1554"/>
        <v/>
      </c>
      <c r="AR1017" s="268" t="str">
        <f t="shared" si="1554"/>
        <v/>
      </c>
      <c r="AS1017" s="268" t="str">
        <f t="shared" si="1554"/>
        <v/>
      </c>
      <c r="AT1017" s="268" t="str">
        <f t="shared" si="1554"/>
        <v/>
      </c>
      <c r="AU1017" s="268" t="str">
        <f t="shared" si="1554"/>
        <v/>
      </c>
      <c r="AV1017" s="268" t="str">
        <f t="shared" si="1554"/>
        <v/>
      </c>
      <c r="AW1017" s="268" t="str">
        <f t="shared" si="1554"/>
        <v/>
      </c>
      <c r="AX1017" s="268" t="str">
        <f t="shared" si="1554"/>
        <v/>
      </c>
      <c r="AY1017" s="268" t="str">
        <f t="shared" si="1554"/>
        <v/>
      </c>
      <c r="AZ1017" s="268" t="str">
        <f t="shared" si="1554"/>
        <v/>
      </c>
      <c r="BA1017" s="268" t="str">
        <f t="shared" si="1554"/>
        <v/>
      </c>
      <c r="BB1017" s="268" t="str">
        <f t="shared" si="1554"/>
        <v/>
      </c>
      <c r="BC1017" s="268" t="str">
        <f t="shared" si="1554"/>
        <v/>
      </c>
      <c r="BD1017" s="268" t="str">
        <f t="shared" si="1554"/>
        <v/>
      </c>
      <c r="BE1017" s="268" t="str">
        <f t="shared" si="1554"/>
        <v/>
      </c>
      <c r="BF1017" s="268" t="str">
        <f t="shared" si="1554"/>
        <v/>
      </c>
      <c r="BG1017" s="268" t="str">
        <f t="shared" si="1554"/>
        <v/>
      </c>
      <c r="BH1017" s="268" t="str">
        <f t="shared" si="1554"/>
        <v/>
      </c>
      <c r="BI1017" s="268" t="str">
        <f t="shared" si="1554"/>
        <v/>
      </c>
      <c r="BJ1017" s="268" t="str">
        <f t="shared" si="1554"/>
        <v/>
      </c>
      <c r="BK1017" s="268" t="str">
        <f t="shared" si="1554"/>
        <v/>
      </c>
      <c r="BL1017" s="268" t="str">
        <f t="shared" si="1554"/>
        <v/>
      </c>
      <c r="BM1017" s="268" t="str">
        <f t="shared" si="1554"/>
        <v/>
      </c>
      <c r="BN1017" s="268" t="str">
        <f t="shared" si="1554"/>
        <v/>
      </c>
      <c r="BO1017" s="268" t="str">
        <f t="shared" si="1554"/>
        <v/>
      </c>
      <c r="BP1017" s="268" t="str">
        <f t="shared" si="1554"/>
        <v/>
      </c>
      <c r="BQ1017" s="268" t="str">
        <f t="shared" si="1545"/>
        <v/>
      </c>
      <c r="BR1017" s="268" t="str">
        <f t="shared" si="1546"/>
        <v/>
      </c>
      <c r="BS1017" s="268" t="str">
        <f t="shared" si="1547"/>
        <v/>
      </c>
      <c r="BT1017" s="268" t="str">
        <f t="shared" si="1549"/>
        <v/>
      </c>
      <c r="BU1017" s="268" t="str">
        <f t="shared" si="1550"/>
        <v/>
      </c>
      <c r="BV1017" s="247">
        <v>2.02</v>
      </c>
      <c r="BW1017" s="729">
        <f t="shared" si="1551"/>
        <v>3514.8</v>
      </c>
      <c r="BX1017" s="730">
        <f t="shared" si="1552"/>
        <v>27239.7</v>
      </c>
      <c r="BY1017" s="731" t="str">
        <f t="shared" si="1553"/>
        <v>SR</v>
      </c>
    </row>
    <row r="1018" s="698" customFormat="1" customHeight="1" spans="1:77">
      <c r="A1018" s="227">
        <v>46178</v>
      </c>
      <c r="B1018" s="248">
        <v>46230</v>
      </c>
      <c r="C1018" s="242" t="s">
        <v>918</v>
      </c>
      <c r="D1018" s="242" t="s">
        <v>919</v>
      </c>
      <c r="E1018" s="242" t="s">
        <v>68</v>
      </c>
      <c r="F1018" s="231">
        <v>600</v>
      </c>
      <c r="G1018" s="242" t="s">
        <v>510</v>
      </c>
      <c r="H1018" s="211" t="str">
        <f>IFERROR(VLOOKUP(E1018,名称!A:E,4,0),"")</f>
        <v>三代</v>
      </c>
      <c r="I1018" s="268" t="str">
        <f t="shared" ref="I1018:BR1018" si="1555">IF(OR($E1018="",I$1=""),"",IF(TRIM(LEFT($E1018,MIN(IFERROR(FIND("CDU",UPPER($E1018)),999),IFERROR(FIND("BULK",UPPER($E1018)),999),IFERROR(FIND("-",$E1018),999),IFERROR(FIND("（",$E1018),999))-1))=I$1,$F1018,""))</f>
        <v/>
      </c>
      <c r="J1018" s="268" t="str">
        <f t="shared" si="1555"/>
        <v/>
      </c>
      <c r="K1018" s="268" t="str">
        <f t="shared" si="1555"/>
        <v/>
      </c>
      <c r="L1018" s="268" t="str">
        <f t="shared" si="1555"/>
        <v/>
      </c>
      <c r="M1018" s="268" t="str">
        <f t="shared" si="1555"/>
        <v/>
      </c>
      <c r="N1018" s="268" t="str">
        <f t="shared" si="1555"/>
        <v/>
      </c>
      <c r="O1018" s="268" t="str">
        <f t="shared" si="1555"/>
        <v/>
      </c>
      <c r="P1018" s="268" t="str">
        <f t="shared" si="1555"/>
        <v/>
      </c>
      <c r="Q1018" s="268" t="str">
        <f t="shared" si="1555"/>
        <v/>
      </c>
      <c r="R1018" s="268" t="str">
        <f t="shared" si="1555"/>
        <v/>
      </c>
      <c r="S1018" s="268" t="str">
        <f t="shared" si="1555"/>
        <v/>
      </c>
      <c r="T1018" s="268" t="str">
        <f t="shared" si="1555"/>
        <v/>
      </c>
      <c r="U1018" s="268" t="str">
        <f t="shared" si="1555"/>
        <v/>
      </c>
      <c r="V1018" s="268" t="str">
        <f t="shared" si="1555"/>
        <v/>
      </c>
      <c r="W1018" s="268" t="str">
        <f t="shared" si="1555"/>
        <v/>
      </c>
      <c r="X1018" s="268" t="str">
        <f t="shared" si="1555"/>
        <v/>
      </c>
      <c r="Y1018" s="268" t="str">
        <f t="shared" si="1555"/>
        <v/>
      </c>
      <c r="Z1018" s="268" t="str">
        <f t="shared" si="1555"/>
        <v/>
      </c>
      <c r="AA1018" s="268" t="str">
        <f t="shared" si="1555"/>
        <v/>
      </c>
      <c r="AB1018" s="268" t="str">
        <f t="shared" si="1555"/>
        <v/>
      </c>
      <c r="AC1018" s="268" t="str">
        <f t="shared" si="1555"/>
        <v/>
      </c>
      <c r="AD1018" s="268" t="str">
        <f t="shared" si="1555"/>
        <v/>
      </c>
      <c r="AE1018" s="268" t="str">
        <f t="shared" si="1555"/>
        <v/>
      </c>
      <c r="AF1018" s="268" t="str">
        <f t="shared" si="1555"/>
        <v/>
      </c>
      <c r="AG1018" s="268" t="str">
        <f t="shared" si="1555"/>
        <v/>
      </c>
      <c r="AH1018" s="268">
        <f t="shared" si="1555"/>
        <v>600</v>
      </c>
      <c r="AI1018" s="268" t="str">
        <f t="shared" si="1555"/>
        <v/>
      </c>
      <c r="AJ1018" s="268" t="str">
        <f t="shared" si="1555"/>
        <v/>
      </c>
      <c r="AK1018" s="268" t="str">
        <f t="shared" si="1555"/>
        <v/>
      </c>
      <c r="AL1018" s="268" t="str">
        <f t="shared" si="1555"/>
        <v/>
      </c>
      <c r="AM1018" s="268" t="str">
        <f t="shared" si="1555"/>
        <v/>
      </c>
      <c r="AN1018" s="268" t="str">
        <f t="shared" si="1555"/>
        <v/>
      </c>
      <c r="AO1018" s="268" t="str">
        <f t="shared" si="1555"/>
        <v/>
      </c>
      <c r="AP1018" s="268" t="str">
        <f t="shared" si="1555"/>
        <v/>
      </c>
      <c r="AQ1018" s="268" t="str">
        <f t="shared" si="1555"/>
        <v/>
      </c>
      <c r="AR1018" s="268" t="str">
        <f t="shared" si="1555"/>
        <v/>
      </c>
      <c r="AS1018" s="268" t="str">
        <f t="shared" si="1555"/>
        <v/>
      </c>
      <c r="AT1018" s="268" t="str">
        <f t="shared" si="1555"/>
        <v/>
      </c>
      <c r="AU1018" s="268" t="str">
        <f t="shared" si="1555"/>
        <v/>
      </c>
      <c r="AV1018" s="268" t="str">
        <f t="shared" si="1555"/>
        <v/>
      </c>
      <c r="AW1018" s="268" t="str">
        <f t="shared" si="1555"/>
        <v/>
      </c>
      <c r="AX1018" s="268" t="str">
        <f t="shared" si="1555"/>
        <v/>
      </c>
      <c r="AY1018" s="268" t="str">
        <f t="shared" si="1555"/>
        <v/>
      </c>
      <c r="AZ1018" s="268" t="str">
        <f t="shared" si="1555"/>
        <v/>
      </c>
      <c r="BA1018" s="268" t="str">
        <f t="shared" si="1555"/>
        <v/>
      </c>
      <c r="BB1018" s="268" t="str">
        <f t="shared" si="1555"/>
        <v/>
      </c>
      <c r="BC1018" s="268" t="str">
        <f t="shared" si="1555"/>
        <v/>
      </c>
      <c r="BD1018" s="268" t="str">
        <f t="shared" si="1555"/>
        <v/>
      </c>
      <c r="BE1018" s="268" t="str">
        <f t="shared" si="1555"/>
        <v/>
      </c>
      <c r="BF1018" s="268" t="str">
        <f t="shared" si="1555"/>
        <v/>
      </c>
      <c r="BG1018" s="268" t="str">
        <f t="shared" si="1555"/>
        <v/>
      </c>
      <c r="BH1018" s="268" t="str">
        <f t="shared" si="1555"/>
        <v/>
      </c>
      <c r="BI1018" s="268" t="str">
        <f t="shared" si="1555"/>
        <v/>
      </c>
      <c r="BJ1018" s="268" t="str">
        <f t="shared" si="1555"/>
        <v/>
      </c>
      <c r="BK1018" s="268" t="str">
        <f t="shared" si="1555"/>
        <v/>
      </c>
      <c r="BL1018" s="268" t="str">
        <f t="shared" si="1555"/>
        <v/>
      </c>
      <c r="BM1018" s="268" t="str">
        <f t="shared" si="1555"/>
        <v/>
      </c>
      <c r="BN1018" s="268" t="str">
        <f t="shared" si="1555"/>
        <v/>
      </c>
      <c r="BO1018" s="268" t="str">
        <f t="shared" si="1555"/>
        <v/>
      </c>
      <c r="BP1018" s="268" t="str">
        <f t="shared" si="1555"/>
        <v/>
      </c>
      <c r="BQ1018" s="268" t="str">
        <f t="shared" si="1545"/>
        <v/>
      </c>
      <c r="BR1018" s="268" t="str">
        <f t="shared" si="1546"/>
        <v/>
      </c>
      <c r="BS1018" s="268" t="str">
        <f t="shared" si="1547"/>
        <v/>
      </c>
      <c r="BT1018" s="268" t="str">
        <f t="shared" si="1549"/>
        <v/>
      </c>
      <c r="BU1018" s="268" t="str">
        <f t="shared" si="1550"/>
        <v/>
      </c>
      <c r="BV1018" s="247">
        <v>3.09</v>
      </c>
      <c r="BW1018" s="729">
        <f t="shared" si="1551"/>
        <v>1854</v>
      </c>
      <c r="BX1018" s="730">
        <f t="shared" si="1552"/>
        <v>14368.5</v>
      </c>
      <c r="BY1018" s="731" t="str">
        <f t="shared" si="1553"/>
        <v>SR</v>
      </c>
    </row>
    <row r="1019" s="698" customFormat="1" customHeight="1" spans="1:77">
      <c r="A1019" s="227">
        <v>46178</v>
      </c>
      <c r="B1019" s="248">
        <v>46230</v>
      </c>
      <c r="C1019" s="242" t="s">
        <v>918</v>
      </c>
      <c r="D1019" s="242" t="s">
        <v>919</v>
      </c>
      <c r="E1019" s="242" t="s">
        <v>72</v>
      </c>
      <c r="F1019" s="231">
        <v>960</v>
      </c>
      <c r="G1019" s="242" t="s">
        <v>510</v>
      </c>
      <c r="H1019" s="211" t="str">
        <f>IFERROR(VLOOKUP(E1019,名称!A:E,4,0),"")</f>
        <v>三代</v>
      </c>
      <c r="I1019" s="268" t="str">
        <f t="shared" ref="I1019:BR1019" si="1556">IF(OR($E1019="",I$1=""),"",IF(TRIM(LEFT($E1019,MIN(IFERROR(FIND("CDU",UPPER($E1019)),999),IFERROR(FIND("BULK",UPPER($E1019)),999),IFERROR(FIND("-",$E1019),999),IFERROR(FIND("（",$E1019),999))-1))=I$1,$F1019,""))</f>
        <v/>
      </c>
      <c r="J1019" s="268" t="str">
        <f t="shared" si="1556"/>
        <v/>
      </c>
      <c r="K1019" s="268" t="str">
        <f t="shared" si="1556"/>
        <v/>
      </c>
      <c r="L1019" s="268" t="str">
        <f t="shared" si="1556"/>
        <v/>
      </c>
      <c r="M1019" s="268" t="str">
        <f t="shared" si="1556"/>
        <v/>
      </c>
      <c r="N1019" s="268" t="str">
        <f t="shared" si="1556"/>
        <v/>
      </c>
      <c r="O1019" s="268" t="str">
        <f t="shared" si="1556"/>
        <v/>
      </c>
      <c r="P1019" s="268" t="str">
        <f t="shared" si="1556"/>
        <v/>
      </c>
      <c r="Q1019" s="268" t="str">
        <f t="shared" si="1556"/>
        <v/>
      </c>
      <c r="R1019" s="268" t="str">
        <f t="shared" si="1556"/>
        <v/>
      </c>
      <c r="S1019" s="268" t="str">
        <f t="shared" si="1556"/>
        <v/>
      </c>
      <c r="T1019" s="268" t="str">
        <f t="shared" si="1556"/>
        <v/>
      </c>
      <c r="U1019" s="268" t="str">
        <f t="shared" si="1556"/>
        <v/>
      </c>
      <c r="V1019" s="268" t="str">
        <f t="shared" si="1556"/>
        <v/>
      </c>
      <c r="W1019" s="268" t="str">
        <f t="shared" si="1556"/>
        <v/>
      </c>
      <c r="X1019" s="268" t="str">
        <f t="shared" si="1556"/>
        <v/>
      </c>
      <c r="Y1019" s="268" t="str">
        <f t="shared" si="1556"/>
        <v/>
      </c>
      <c r="Z1019" s="268" t="str">
        <f t="shared" si="1556"/>
        <v/>
      </c>
      <c r="AA1019" s="268" t="str">
        <f t="shared" si="1556"/>
        <v/>
      </c>
      <c r="AB1019" s="268" t="str">
        <f t="shared" si="1556"/>
        <v/>
      </c>
      <c r="AC1019" s="268" t="str">
        <f t="shared" si="1556"/>
        <v/>
      </c>
      <c r="AD1019" s="268" t="str">
        <f t="shared" si="1556"/>
        <v/>
      </c>
      <c r="AE1019" s="268" t="str">
        <f t="shared" si="1556"/>
        <v/>
      </c>
      <c r="AF1019" s="268" t="str">
        <f t="shared" si="1556"/>
        <v/>
      </c>
      <c r="AG1019" s="268" t="str">
        <f t="shared" si="1556"/>
        <v/>
      </c>
      <c r="AH1019" s="268" t="str">
        <f t="shared" si="1556"/>
        <v/>
      </c>
      <c r="AI1019" s="268" t="str">
        <f t="shared" si="1556"/>
        <v/>
      </c>
      <c r="AJ1019" s="268" t="str">
        <f t="shared" si="1556"/>
        <v/>
      </c>
      <c r="AK1019" s="268" t="str">
        <f t="shared" si="1556"/>
        <v/>
      </c>
      <c r="AL1019" s="268">
        <f t="shared" si="1556"/>
        <v>960</v>
      </c>
      <c r="AM1019" s="268" t="str">
        <f t="shared" si="1556"/>
        <v/>
      </c>
      <c r="AN1019" s="268" t="str">
        <f t="shared" si="1556"/>
        <v/>
      </c>
      <c r="AO1019" s="268" t="str">
        <f t="shared" si="1556"/>
        <v/>
      </c>
      <c r="AP1019" s="268" t="str">
        <f t="shared" si="1556"/>
        <v/>
      </c>
      <c r="AQ1019" s="268" t="str">
        <f t="shared" si="1556"/>
        <v/>
      </c>
      <c r="AR1019" s="268" t="str">
        <f t="shared" si="1556"/>
        <v/>
      </c>
      <c r="AS1019" s="268" t="str">
        <f t="shared" si="1556"/>
        <v/>
      </c>
      <c r="AT1019" s="268" t="str">
        <f t="shared" si="1556"/>
        <v/>
      </c>
      <c r="AU1019" s="268" t="str">
        <f t="shared" si="1556"/>
        <v/>
      </c>
      <c r="AV1019" s="268" t="str">
        <f t="shared" si="1556"/>
        <v/>
      </c>
      <c r="AW1019" s="268" t="str">
        <f t="shared" si="1556"/>
        <v/>
      </c>
      <c r="AX1019" s="268" t="str">
        <f t="shared" si="1556"/>
        <v/>
      </c>
      <c r="AY1019" s="268" t="str">
        <f t="shared" si="1556"/>
        <v/>
      </c>
      <c r="AZ1019" s="268" t="str">
        <f t="shared" si="1556"/>
        <v/>
      </c>
      <c r="BA1019" s="268" t="str">
        <f t="shared" si="1556"/>
        <v/>
      </c>
      <c r="BB1019" s="268" t="str">
        <f t="shared" si="1556"/>
        <v/>
      </c>
      <c r="BC1019" s="268" t="str">
        <f t="shared" si="1556"/>
        <v/>
      </c>
      <c r="BD1019" s="268" t="str">
        <f t="shared" si="1556"/>
        <v/>
      </c>
      <c r="BE1019" s="268" t="str">
        <f t="shared" si="1556"/>
        <v/>
      </c>
      <c r="BF1019" s="268" t="str">
        <f t="shared" si="1556"/>
        <v/>
      </c>
      <c r="BG1019" s="268" t="str">
        <f t="shared" si="1556"/>
        <v/>
      </c>
      <c r="BH1019" s="268" t="str">
        <f t="shared" si="1556"/>
        <v/>
      </c>
      <c r="BI1019" s="268" t="str">
        <f t="shared" si="1556"/>
        <v/>
      </c>
      <c r="BJ1019" s="268" t="str">
        <f t="shared" si="1556"/>
        <v/>
      </c>
      <c r="BK1019" s="268" t="str">
        <f t="shared" si="1556"/>
        <v/>
      </c>
      <c r="BL1019" s="268" t="str">
        <f t="shared" si="1556"/>
        <v/>
      </c>
      <c r="BM1019" s="268" t="str">
        <f t="shared" si="1556"/>
        <v/>
      </c>
      <c r="BN1019" s="268" t="str">
        <f t="shared" si="1556"/>
        <v/>
      </c>
      <c r="BO1019" s="268" t="str">
        <f t="shared" si="1556"/>
        <v/>
      </c>
      <c r="BP1019" s="268" t="str">
        <f t="shared" si="1556"/>
        <v/>
      </c>
      <c r="BQ1019" s="268" t="str">
        <f t="shared" si="1545"/>
        <v/>
      </c>
      <c r="BR1019" s="268" t="str">
        <f t="shared" si="1546"/>
        <v/>
      </c>
      <c r="BS1019" s="268" t="str">
        <f t="shared" si="1547"/>
        <v/>
      </c>
      <c r="BT1019" s="268" t="str">
        <f t="shared" si="1549"/>
        <v/>
      </c>
      <c r="BU1019" s="268" t="str">
        <f t="shared" si="1550"/>
        <v/>
      </c>
      <c r="BV1019" s="247">
        <v>1.58</v>
      </c>
      <c r="BW1019" s="729">
        <f t="shared" si="1551"/>
        <v>1516.8</v>
      </c>
      <c r="BX1019" s="730">
        <f t="shared" si="1552"/>
        <v>11755.2</v>
      </c>
      <c r="BY1019" s="731" t="str">
        <f t="shared" si="1553"/>
        <v>SR</v>
      </c>
    </row>
    <row r="1020" s="698" customFormat="1" customHeight="1" spans="1:77">
      <c r="A1020" s="227">
        <v>46178</v>
      </c>
      <c r="B1020" s="248">
        <v>46230</v>
      </c>
      <c r="C1020" s="242" t="s">
        <v>918</v>
      </c>
      <c r="D1020" s="242" t="s">
        <v>919</v>
      </c>
      <c r="E1020" s="242" t="s">
        <v>85</v>
      </c>
      <c r="F1020" s="231">
        <v>720</v>
      </c>
      <c r="G1020" s="242" t="s">
        <v>510</v>
      </c>
      <c r="H1020" s="211" t="str">
        <f>IFERROR(VLOOKUP(E1020,名称!A:E,4,0),"")</f>
        <v>三代</v>
      </c>
      <c r="I1020" s="268" t="str">
        <f t="shared" ref="I1020:BR1020" si="1557">IF(OR($E1020="",I$1=""),"",IF(TRIM(LEFT($E1020,MIN(IFERROR(FIND("CDU",UPPER($E1020)),999),IFERROR(FIND("BULK",UPPER($E1020)),999),IFERROR(FIND("-",$E1020),999),IFERROR(FIND("（",$E1020),999))-1))=I$1,$F1020,""))</f>
        <v/>
      </c>
      <c r="J1020" s="268" t="str">
        <f t="shared" si="1557"/>
        <v/>
      </c>
      <c r="K1020" s="268" t="str">
        <f t="shared" si="1557"/>
        <v/>
      </c>
      <c r="L1020" s="268" t="str">
        <f t="shared" si="1557"/>
        <v/>
      </c>
      <c r="M1020" s="268" t="str">
        <f t="shared" si="1557"/>
        <v/>
      </c>
      <c r="N1020" s="268" t="str">
        <f t="shared" si="1557"/>
        <v/>
      </c>
      <c r="O1020" s="268" t="str">
        <f t="shared" si="1557"/>
        <v/>
      </c>
      <c r="P1020" s="268" t="str">
        <f t="shared" si="1557"/>
        <v/>
      </c>
      <c r="Q1020" s="268" t="str">
        <f t="shared" si="1557"/>
        <v/>
      </c>
      <c r="R1020" s="268" t="str">
        <f t="shared" si="1557"/>
        <v/>
      </c>
      <c r="S1020" s="268" t="str">
        <f t="shared" si="1557"/>
        <v/>
      </c>
      <c r="T1020" s="268" t="str">
        <f t="shared" si="1557"/>
        <v/>
      </c>
      <c r="U1020" s="268" t="str">
        <f t="shared" si="1557"/>
        <v/>
      </c>
      <c r="V1020" s="268" t="str">
        <f t="shared" si="1557"/>
        <v/>
      </c>
      <c r="W1020" s="268" t="str">
        <f t="shared" si="1557"/>
        <v/>
      </c>
      <c r="X1020" s="268" t="str">
        <f t="shared" si="1557"/>
        <v/>
      </c>
      <c r="Y1020" s="268" t="str">
        <f t="shared" si="1557"/>
        <v/>
      </c>
      <c r="Z1020" s="268" t="str">
        <f t="shared" si="1557"/>
        <v/>
      </c>
      <c r="AA1020" s="268" t="str">
        <f t="shared" si="1557"/>
        <v/>
      </c>
      <c r="AB1020" s="268" t="str">
        <f t="shared" si="1557"/>
        <v/>
      </c>
      <c r="AC1020" s="268" t="str">
        <f t="shared" si="1557"/>
        <v/>
      </c>
      <c r="AD1020" s="268" t="str">
        <f t="shared" si="1557"/>
        <v/>
      </c>
      <c r="AE1020" s="268" t="str">
        <f t="shared" si="1557"/>
        <v/>
      </c>
      <c r="AF1020" s="268" t="str">
        <f t="shared" si="1557"/>
        <v/>
      </c>
      <c r="AG1020" s="268" t="str">
        <f t="shared" si="1557"/>
        <v/>
      </c>
      <c r="AH1020" s="268" t="str">
        <f t="shared" si="1557"/>
        <v/>
      </c>
      <c r="AI1020" s="268" t="str">
        <f t="shared" si="1557"/>
        <v/>
      </c>
      <c r="AJ1020" s="268" t="str">
        <f t="shared" si="1557"/>
        <v/>
      </c>
      <c r="AK1020" s="268" t="str">
        <f t="shared" si="1557"/>
        <v/>
      </c>
      <c r="AL1020" s="268" t="str">
        <f t="shared" si="1557"/>
        <v/>
      </c>
      <c r="AM1020" s="268" t="str">
        <f t="shared" si="1557"/>
        <v/>
      </c>
      <c r="AN1020" s="268">
        <f t="shared" si="1557"/>
        <v>720</v>
      </c>
      <c r="AO1020" s="268" t="str">
        <f t="shared" si="1557"/>
        <v/>
      </c>
      <c r="AP1020" s="268" t="str">
        <f t="shared" si="1557"/>
        <v/>
      </c>
      <c r="AQ1020" s="268" t="str">
        <f t="shared" si="1557"/>
        <v/>
      </c>
      <c r="AR1020" s="268" t="str">
        <f t="shared" si="1557"/>
        <v/>
      </c>
      <c r="AS1020" s="268" t="str">
        <f t="shared" si="1557"/>
        <v/>
      </c>
      <c r="AT1020" s="268" t="str">
        <f t="shared" si="1557"/>
        <v/>
      </c>
      <c r="AU1020" s="268" t="str">
        <f t="shared" si="1557"/>
        <v/>
      </c>
      <c r="AV1020" s="268" t="str">
        <f t="shared" si="1557"/>
        <v/>
      </c>
      <c r="AW1020" s="268" t="str">
        <f t="shared" si="1557"/>
        <v/>
      </c>
      <c r="AX1020" s="268" t="str">
        <f t="shared" si="1557"/>
        <v/>
      </c>
      <c r="AY1020" s="268" t="str">
        <f t="shared" si="1557"/>
        <v/>
      </c>
      <c r="AZ1020" s="268" t="str">
        <f t="shared" si="1557"/>
        <v/>
      </c>
      <c r="BA1020" s="268" t="str">
        <f t="shared" si="1557"/>
        <v/>
      </c>
      <c r="BB1020" s="268" t="str">
        <f t="shared" si="1557"/>
        <v/>
      </c>
      <c r="BC1020" s="268" t="str">
        <f t="shared" si="1557"/>
        <v/>
      </c>
      <c r="BD1020" s="268" t="str">
        <f t="shared" si="1557"/>
        <v/>
      </c>
      <c r="BE1020" s="268" t="str">
        <f t="shared" si="1557"/>
        <v/>
      </c>
      <c r="BF1020" s="268" t="str">
        <f t="shared" si="1557"/>
        <v/>
      </c>
      <c r="BG1020" s="268" t="str">
        <f t="shared" si="1557"/>
        <v/>
      </c>
      <c r="BH1020" s="268" t="str">
        <f t="shared" si="1557"/>
        <v/>
      </c>
      <c r="BI1020" s="268" t="str">
        <f t="shared" si="1557"/>
        <v/>
      </c>
      <c r="BJ1020" s="268" t="str">
        <f t="shared" si="1557"/>
        <v/>
      </c>
      <c r="BK1020" s="268" t="str">
        <f t="shared" si="1557"/>
        <v/>
      </c>
      <c r="BL1020" s="268" t="str">
        <f t="shared" si="1557"/>
        <v/>
      </c>
      <c r="BM1020" s="268" t="str">
        <f t="shared" si="1557"/>
        <v/>
      </c>
      <c r="BN1020" s="268" t="str">
        <f t="shared" si="1557"/>
        <v/>
      </c>
      <c r="BO1020" s="268" t="str">
        <f t="shared" si="1557"/>
        <v/>
      </c>
      <c r="BP1020" s="268" t="str">
        <f t="shared" si="1557"/>
        <v/>
      </c>
      <c r="BQ1020" s="268" t="str">
        <f t="shared" si="1545"/>
        <v/>
      </c>
      <c r="BR1020" s="268" t="str">
        <f t="shared" si="1546"/>
        <v/>
      </c>
      <c r="BS1020" s="268" t="str">
        <f t="shared" si="1547"/>
        <v/>
      </c>
      <c r="BT1020" s="268" t="str">
        <f t="shared" si="1549"/>
        <v/>
      </c>
      <c r="BU1020" s="268" t="str">
        <f t="shared" si="1550"/>
        <v/>
      </c>
      <c r="BV1020" s="247">
        <v>0.88</v>
      </c>
      <c r="BW1020" s="729">
        <f t="shared" si="1551"/>
        <v>633.6</v>
      </c>
      <c r="BX1020" s="730">
        <f t="shared" si="1552"/>
        <v>4910.4</v>
      </c>
      <c r="BY1020" s="731" t="str">
        <f t="shared" si="1553"/>
        <v>SR</v>
      </c>
    </row>
    <row r="1021" s="698" customFormat="1" customHeight="1" spans="1:77">
      <c r="A1021" s="227">
        <v>46178</v>
      </c>
      <c r="B1021" s="248">
        <v>46230</v>
      </c>
      <c r="C1021" s="242" t="s">
        <v>918</v>
      </c>
      <c r="D1021" s="242" t="s">
        <v>919</v>
      </c>
      <c r="E1021" s="242" t="s">
        <v>109</v>
      </c>
      <c r="F1021" s="231">
        <v>1416</v>
      </c>
      <c r="G1021" s="242" t="s">
        <v>510</v>
      </c>
      <c r="H1021" s="211" t="str">
        <f>IFERROR(VLOOKUP(E1021,名称!A:E,4,0),"")</f>
        <v>三代</v>
      </c>
      <c r="I1021" s="268" t="str">
        <f t="shared" ref="I1021:BR1021" si="1558">IF(OR($E1021="",I$1=""),"",IF(TRIM(LEFT($E1021,MIN(IFERROR(FIND("CDU",UPPER($E1021)),999),IFERROR(FIND("BULK",UPPER($E1021)),999),IFERROR(FIND("-",$E1021),999),IFERROR(FIND("（",$E1021),999))-1))=I$1,$F1021,""))</f>
        <v/>
      </c>
      <c r="J1021" s="268" t="str">
        <f t="shared" si="1558"/>
        <v/>
      </c>
      <c r="K1021" s="268" t="str">
        <f t="shared" si="1558"/>
        <v/>
      </c>
      <c r="L1021" s="268" t="str">
        <f t="shared" si="1558"/>
        <v/>
      </c>
      <c r="M1021" s="268" t="str">
        <f t="shared" si="1558"/>
        <v/>
      </c>
      <c r="N1021" s="268" t="str">
        <f t="shared" si="1558"/>
        <v/>
      </c>
      <c r="O1021" s="268" t="str">
        <f t="shared" si="1558"/>
        <v/>
      </c>
      <c r="P1021" s="268" t="str">
        <f t="shared" si="1558"/>
        <v/>
      </c>
      <c r="Q1021" s="268" t="str">
        <f t="shared" si="1558"/>
        <v/>
      </c>
      <c r="R1021" s="268" t="str">
        <f t="shared" si="1558"/>
        <v/>
      </c>
      <c r="S1021" s="268" t="str">
        <f t="shared" si="1558"/>
        <v/>
      </c>
      <c r="T1021" s="268" t="str">
        <f t="shared" si="1558"/>
        <v/>
      </c>
      <c r="U1021" s="268" t="str">
        <f t="shared" si="1558"/>
        <v/>
      </c>
      <c r="V1021" s="268" t="str">
        <f t="shared" si="1558"/>
        <v/>
      </c>
      <c r="W1021" s="268" t="str">
        <f t="shared" si="1558"/>
        <v/>
      </c>
      <c r="X1021" s="268" t="str">
        <f t="shared" si="1558"/>
        <v/>
      </c>
      <c r="Y1021" s="268" t="str">
        <f t="shared" si="1558"/>
        <v/>
      </c>
      <c r="Z1021" s="268" t="str">
        <f t="shared" si="1558"/>
        <v/>
      </c>
      <c r="AA1021" s="268" t="str">
        <f t="shared" si="1558"/>
        <v/>
      </c>
      <c r="AB1021" s="268" t="str">
        <f t="shared" si="1558"/>
        <v/>
      </c>
      <c r="AC1021" s="268" t="str">
        <f t="shared" si="1558"/>
        <v/>
      </c>
      <c r="AD1021" s="268" t="str">
        <f t="shared" si="1558"/>
        <v/>
      </c>
      <c r="AE1021" s="268" t="str">
        <f t="shared" si="1558"/>
        <v/>
      </c>
      <c r="AF1021" s="268" t="str">
        <f t="shared" si="1558"/>
        <v/>
      </c>
      <c r="AG1021" s="268" t="str">
        <f t="shared" si="1558"/>
        <v/>
      </c>
      <c r="AH1021" s="268" t="str">
        <f t="shared" si="1558"/>
        <v/>
      </c>
      <c r="AI1021" s="268" t="str">
        <f t="shared" si="1558"/>
        <v/>
      </c>
      <c r="AJ1021" s="268" t="str">
        <f t="shared" si="1558"/>
        <v/>
      </c>
      <c r="AK1021" s="268" t="str">
        <f t="shared" si="1558"/>
        <v/>
      </c>
      <c r="AL1021" s="268" t="str">
        <f t="shared" si="1558"/>
        <v/>
      </c>
      <c r="AM1021" s="268" t="str">
        <f t="shared" si="1558"/>
        <v/>
      </c>
      <c r="AN1021" s="268" t="str">
        <f t="shared" si="1558"/>
        <v/>
      </c>
      <c r="AO1021" s="268" t="str">
        <f t="shared" si="1558"/>
        <v/>
      </c>
      <c r="AP1021" s="268" t="str">
        <f t="shared" si="1558"/>
        <v/>
      </c>
      <c r="AQ1021" s="268" t="str">
        <f t="shared" si="1558"/>
        <v/>
      </c>
      <c r="AR1021" s="268" t="str">
        <f t="shared" si="1558"/>
        <v/>
      </c>
      <c r="AS1021" s="268" t="str">
        <f t="shared" si="1558"/>
        <v/>
      </c>
      <c r="AT1021" s="268" t="str">
        <f t="shared" si="1558"/>
        <v/>
      </c>
      <c r="AU1021" s="268" t="str">
        <f t="shared" si="1558"/>
        <v/>
      </c>
      <c r="AV1021" s="268" t="str">
        <f t="shared" si="1558"/>
        <v/>
      </c>
      <c r="AW1021" s="268" t="str">
        <f t="shared" si="1558"/>
        <v/>
      </c>
      <c r="AX1021" s="268" t="str">
        <f t="shared" si="1558"/>
        <v/>
      </c>
      <c r="AY1021" s="268" t="str">
        <f t="shared" si="1558"/>
        <v/>
      </c>
      <c r="AZ1021" s="268" t="str">
        <f t="shared" si="1558"/>
        <v/>
      </c>
      <c r="BA1021" s="268" t="str">
        <f t="shared" si="1558"/>
        <v/>
      </c>
      <c r="BB1021" s="268" t="str">
        <f t="shared" si="1558"/>
        <v/>
      </c>
      <c r="BC1021" s="268">
        <f t="shared" si="1558"/>
        <v>1416</v>
      </c>
      <c r="BD1021" s="268" t="str">
        <f t="shared" si="1558"/>
        <v/>
      </c>
      <c r="BE1021" s="268" t="str">
        <f t="shared" si="1558"/>
        <v/>
      </c>
      <c r="BF1021" s="268" t="str">
        <f t="shared" si="1558"/>
        <v/>
      </c>
      <c r="BG1021" s="268" t="str">
        <f t="shared" si="1558"/>
        <v/>
      </c>
      <c r="BH1021" s="268" t="str">
        <f t="shared" si="1558"/>
        <v/>
      </c>
      <c r="BI1021" s="268" t="str">
        <f t="shared" si="1558"/>
        <v/>
      </c>
      <c r="BJ1021" s="268" t="str">
        <f t="shared" si="1558"/>
        <v/>
      </c>
      <c r="BK1021" s="268" t="str">
        <f t="shared" si="1558"/>
        <v/>
      </c>
      <c r="BL1021" s="268" t="str">
        <f t="shared" si="1558"/>
        <v/>
      </c>
      <c r="BM1021" s="268" t="str">
        <f t="shared" si="1558"/>
        <v/>
      </c>
      <c r="BN1021" s="268" t="str">
        <f t="shared" si="1558"/>
        <v/>
      </c>
      <c r="BO1021" s="268" t="str">
        <f t="shared" si="1558"/>
        <v/>
      </c>
      <c r="BP1021" s="268" t="str">
        <f t="shared" si="1558"/>
        <v/>
      </c>
      <c r="BQ1021" s="268" t="str">
        <f t="shared" si="1545"/>
        <v/>
      </c>
      <c r="BR1021" s="268" t="str">
        <f t="shared" si="1546"/>
        <v/>
      </c>
      <c r="BS1021" s="268" t="str">
        <f t="shared" si="1547"/>
        <v/>
      </c>
      <c r="BT1021" s="268" t="str">
        <f t="shared" si="1549"/>
        <v/>
      </c>
      <c r="BU1021" s="268" t="str">
        <f t="shared" si="1550"/>
        <v/>
      </c>
      <c r="BV1021" s="247">
        <v>0.59</v>
      </c>
      <c r="BW1021" s="729">
        <f t="shared" si="1551"/>
        <v>835.44</v>
      </c>
      <c r="BX1021" s="730">
        <f t="shared" si="1552"/>
        <v>6474.66</v>
      </c>
      <c r="BY1021" s="731" t="str">
        <f t="shared" si="1553"/>
        <v>JS</v>
      </c>
    </row>
    <row r="1022" s="698" customFormat="1" customHeight="1" spans="1:77">
      <c r="A1022" s="227">
        <v>46178</v>
      </c>
      <c r="B1022" s="248">
        <v>46230</v>
      </c>
      <c r="C1022" s="242" t="s">
        <v>918</v>
      </c>
      <c r="D1022" s="242" t="s">
        <v>919</v>
      </c>
      <c r="E1022" s="242" t="s">
        <v>65</v>
      </c>
      <c r="F1022" s="231">
        <v>2400</v>
      </c>
      <c r="G1022" s="242" t="s">
        <v>510</v>
      </c>
      <c r="H1022" s="211" t="str">
        <f>IFERROR(VLOOKUP(E1022,名称!A:E,4,0),"")</f>
        <v>二代</v>
      </c>
      <c r="I1022" s="268" t="str">
        <f t="shared" ref="I1022:BR1022" si="1559">IF(OR($E1022="",I$1=""),"",IF(TRIM(LEFT($E1022,MIN(IFERROR(FIND("CDU",UPPER($E1022)),999),IFERROR(FIND("BULK",UPPER($E1022)),999),IFERROR(FIND("-",$E1022),999),IFERROR(FIND("（",$E1022),999))-1))=I$1,$F1022,""))</f>
        <v/>
      </c>
      <c r="J1022" s="268" t="str">
        <f t="shared" si="1559"/>
        <v/>
      </c>
      <c r="K1022" s="268" t="str">
        <f t="shared" si="1559"/>
        <v/>
      </c>
      <c r="L1022" s="268" t="str">
        <f t="shared" si="1559"/>
        <v/>
      </c>
      <c r="M1022" s="268" t="str">
        <f t="shared" si="1559"/>
        <v/>
      </c>
      <c r="N1022" s="268" t="str">
        <f t="shared" si="1559"/>
        <v/>
      </c>
      <c r="O1022" s="268" t="str">
        <f t="shared" si="1559"/>
        <v/>
      </c>
      <c r="P1022" s="268" t="str">
        <f t="shared" si="1559"/>
        <v/>
      </c>
      <c r="Q1022" s="268">
        <f t="shared" si="1559"/>
        <v>2400</v>
      </c>
      <c r="R1022" s="268" t="str">
        <f t="shared" si="1559"/>
        <v/>
      </c>
      <c r="S1022" s="268" t="str">
        <f t="shared" si="1559"/>
        <v/>
      </c>
      <c r="T1022" s="268" t="str">
        <f t="shared" si="1559"/>
        <v/>
      </c>
      <c r="U1022" s="268" t="str">
        <f t="shared" si="1559"/>
        <v/>
      </c>
      <c r="V1022" s="268" t="str">
        <f t="shared" si="1559"/>
        <v/>
      </c>
      <c r="W1022" s="268" t="str">
        <f t="shared" si="1559"/>
        <v/>
      </c>
      <c r="X1022" s="268" t="str">
        <f t="shared" si="1559"/>
        <v/>
      </c>
      <c r="Y1022" s="268" t="str">
        <f t="shared" si="1559"/>
        <v/>
      </c>
      <c r="Z1022" s="268" t="str">
        <f t="shared" si="1559"/>
        <v/>
      </c>
      <c r="AA1022" s="268" t="str">
        <f t="shared" si="1559"/>
        <v/>
      </c>
      <c r="AB1022" s="268" t="str">
        <f t="shared" si="1559"/>
        <v/>
      </c>
      <c r="AC1022" s="268" t="str">
        <f t="shared" si="1559"/>
        <v/>
      </c>
      <c r="AD1022" s="268" t="str">
        <f t="shared" si="1559"/>
        <v/>
      </c>
      <c r="AE1022" s="268" t="str">
        <f t="shared" si="1559"/>
        <v/>
      </c>
      <c r="AF1022" s="268" t="str">
        <f t="shared" si="1559"/>
        <v/>
      </c>
      <c r="AG1022" s="268" t="str">
        <f t="shared" si="1559"/>
        <v/>
      </c>
      <c r="AH1022" s="268" t="str">
        <f t="shared" si="1559"/>
        <v/>
      </c>
      <c r="AI1022" s="268" t="str">
        <f t="shared" si="1559"/>
        <v/>
      </c>
      <c r="AJ1022" s="268" t="str">
        <f t="shared" si="1559"/>
        <v/>
      </c>
      <c r="AK1022" s="268" t="str">
        <f t="shared" si="1559"/>
        <v/>
      </c>
      <c r="AL1022" s="268" t="str">
        <f t="shared" si="1559"/>
        <v/>
      </c>
      <c r="AM1022" s="268" t="str">
        <f t="shared" si="1559"/>
        <v/>
      </c>
      <c r="AN1022" s="268" t="str">
        <f t="shared" si="1559"/>
        <v/>
      </c>
      <c r="AO1022" s="268" t="str">
        <f t="shared" si="1559"/>
        <v/>
      </c>
      <c r="AP1022" s="268" t="str">
        <f t="shared" si="1559"/>
        <v/>
      </c>
      <c r="AQ1022" s="268" t="str">
        <f t="shared" si="1559"/>
        <v/>
      </c>
      <c r="AR1022" s="268" t="str">
        <f t="shared" si="1559"/>
        <v/>
      </c>
      <c r="AS1022" s="268" t="str">
        <f t="shared" si="1559"/>
        <v/>
      </c>
      <c r="AT1022" s="268" t="str">
        <f t="shared" si="1559"/>
        <v/>
      </c>
      <c r="AU1022" s="268" t="str">
        <f t="shared" si="1559"/>
        <v/>
      </c>
      <c r="AV1022" s="268" t="str">
        <f t="shared" si="1559"/>
        <v/>
      </c>
      <c r="AW1022" s="268" t="str">
        <f t="shared" si="1559"/>
        <v/>
      </c>
      <c r="AX1022" s="268" t="str">
        <f t="shared" si="1559"/>
        <v/>
      </c>
      <c r="AY1022" s="268" t="str">
        <f t="shared" si="1559"/>
        <v/>
      </c>
      <c r="AZ1022" s="268" t="str">
        <f t="shared" si="1559"/>
        <v/>
      </c>
      <c r="BA1022" s="268" t="str">
        <f t="shared" si="1559"/>
        <v/>
      </c>
      <c r="BB1022" s="268" t="str">
        <f t="shared" si="1559"/>
        <v/>
      </c>
      <c r="BC1022" s="268" t="str">
        <f t="shared" si="1559"/>
        <v/>
      </c>
      <c r="BD1022" s="268" t="str">
        <f t="shared" si="1559"/>
        <v/>
      </c>
      <c r="BE1022" s="268" t="str">
        <f t="shared" si="1559"/>
        <v/>
      </c>
      <c r="BF1022" s="268" t="str">
        <f t="shared" si="1559"/>
        <v/>
      </c>
      <c r="BG1022" s="268" t="str">
        <f t="shared" si="1559"/>
        <v/>
      </c>
      <c r="BH1022" s="268" t="str">
        <f t="shared" si="1559"/>
        <v/>
      </c>
      <c r="BI1022" s="268" t="str">
        <f t="shared" si="1559"/>
        <v/>
      </c>
      <c r="BJ1022" s="268" t="str">
        <f t="shared" si="1559"/>
        <v/>
      </c>
      <c r="BK1022" s="268" t="str">
        <f t="shared" si="1559"/>
        <v/>
      </c>
      <c r="BL1022" s="268" t="str">
        <f t="shared" si="1559"/>
        <v/>
      </c>
      <c r="BM1022" s="268" t="str">
        <f t="shared" si="1559"/>
        <v/>
      </c>
      <c r="BN1022" s="268" t="str">
        <f t="shared" si="1559"/>
        <v/>
      </c>
      <c r="BO1022" s="268" t="str">
        <f t="shared" si="1559"/>
        <v/>
      </c>
      <c r="BP1022" s="268" t="str">
        <f t="shared" si="1559"/>
        <v/>
      </c>
      <c r="BQ1022" s="268" t="str">
        <f t="shared" si="1545"/>
        <v/>
      </c>
      <c r="BR1022" s="268" t="str">
        <f t="shared" si="1546"/>
        <v/>
      </c>
      <c r="BS1022" s="268" t="str">
        <f t="shared" si="1547"/>
        <v/>
      </c>
      <c r="BT1022" s="268" t="str">
        <f t="shared" si="1549"/>
        <v/>
      </c>
      <c r="BU1022" s="268" t="str">
        <f t="shared" si="1550"/>
        <v/>
      </c>
      <c r="BV1022" s="353">
        <v>0.61</v>
      </c>
      <c r="BW1022" s="729">
        <f t="shared" si="1551"/>
        <v>1464</v>
      </c>
      <c r="BX1022" s="730">
        <f t="shared" si="1552"/>
        <v>11346</v>
      </c>
      <c r="BY1022" s="731" t="str">
        <f t="shared" si="1553"/>
        <v>SR</v>
      </c>
    </row>
    <row r="1023" s="698" customFormat="1" customHeight="1" spans="1:77">
      <c r="A1023" s="227">
        <v>46178</v>
      </c>
      <c r="B1023" s="248">
        <v>46230</v>
      </c>
      <c r="C1023" s="242" t="s">
        <v>918</v>
      </c>
      <c r="D1023" s="242" t="s">
        <v>919</v>
      </c>
      <c r="E1023" s="242" t="s">
        <v>63</v>
      </c>
      <c r="F1023" s="231">
        <v>1872</v>
      </c>
      <c r="G1023" s="242" t="s">
        <v>510</v>
      </c>
      <c r="H1023" s="211" t="str">
        <f>IFERROR(VLOOKUP(E1023,名称!A:E,4,0),"")</f>
        <v>三代</v>
      </c>
      <c r="I1023" s="268" t="str">
        <f t="shared" ref="I1023:BR1023" si="1560">IF(OR($E1023="",I$1=""),"",IF(TRIM(LEFT($E1023,MIN(IFERROR(FIND("CDU",UPPER($E1023)),999),IFERROR(FIND("BULK",UPPER($E1023)),999),IFERROR(FIND("-",$E1023),999),IFERROR(FIND("（",$E1023),999))-1))=I$1,$F1023,""))</f>
        <v/>
      </c>
      <c r="J1023" s="268" t="str">
        <f t="shared" si="1560"/>
        <v/>
      </c>
      <c r="K1023" s="268" t="str">
        <f t="shared" si="1560"/>
        <v/>
      </c>
      <c r="L1023" s="268" t="str">
        <f t="shared" si="1560"/>
        <v/>
      </c>
      <c r="M1023" s="268" t="str">
        <f t="shared" si="1560"/>
        <v/>
      </c>
      <c r="N1023" s="268" t="str">
        <f t="shared" si="1560"/>
        <v/>
      </c>
      <c r="O1023" s="268" t="str">
        <f t="shared" si="1560"/>
        <v/>
      </c>
      <c r="P1023" s="268" t="str">
        <f t="shared" si="1560"/>
        <v/>
      </c>
      <c r="Q1023" s="268" t="str">
        <f t="shared" si="1560"/>
        <v/>
      </c>
      <c r="R1023" s="268" t="str">
        <f t="shared" si="1560"/>
        <v/>
      </c>
      <c r="S1023" s="268" t="str">
        <f t="shared" si="1560"/>
        <v/>
      </c>
      <c r="T1023" s="268" t="str">
        <f t="shared" si="1560"/>
        <v/>
      </c>
      <c r="U1023" s="268" t="str">
        <f t="shared" si="1560"/>
        <v/>
      </c>
      <c r="V1023" s="268" t="str">
        <f t="shared" si="1560"/>
        <v/>
      </c>
      <c r="W1023" s="268" t="str">
        <f t="shared" si="1560"/>
        <v/>
      </c>
      <c r="X1023" s="268" t="str">
        <f t="shared" si="1560"/>
        <v/>
      </c>
      <c r="Y1023" s="268" t="str">
        <f t="shared" si="1560"/>
        <v/>
      </c>
      <c r="Z1023" s="268" t="str">
        <f t="shared" si="1560"/>
        <v/>
      </c>
      <c r="AA1023" s="268" t="str">
        <f t="shared" si="1560"/>
        <v/>
      </c>
      <c r="AB1023" s="268" t="str">
        <f t="shared" si="1560"/>
        <v/>
      </c>
      <c r="AC1023" s="268" t="str">
        <f t="shared" si="1560"/>
        <v/>
      </c>
      <c r="AD1023" s="268" t="str">
        <f t="shared" si="1560"/>
        <v/>
      </c>
      <c r="AE1023" s="268" t="str">
        <f t="shared" si="1560"/>
        <v/>
      </c>
      <c r="AF1023" s="268">
        <f t="shared" si="1560"/>
        <v>1872</v>
      </c>
      <c r="AG1023" s="268" t="str">
        <f t="shared" si="1560"/>
        <v/>
      </c>
      <c r="AH1023" s="268" t="str">
        <f t="shared" si="1560"/>
        <v/>
      </c>
      <c r="AI1023" s="268" t="str">
        <f t="shared" si="1560"/>
        <v/>
      </c>
      <c r="AJ1023" s="268" t="str">
        <f t="shared" si="1560"/>
        <v/>
      </c>
      <c r="AK1023" s="268" t="str">
        <f t="shared" si="1560"/>
        <v/>
      </c>
      <c r="AL1023" s="268" t="str">
        <f t="shared" si="1560"/>
        <v/>
      </c>
      <c r="AM1023" s="268" t="str">
        <f t="shared" si="1560"/>
        <v/>
      </c>
      <c r="AN1023" s="268" t="str">
        <f t="shared" si="1560"/>
        <v/>
      </c>
      <c r="AO1023" s="268" t="str">
        <f t="shared" si="1560"/>
        <v/>
      </c>
      <c r="AP1023" s="268" t="str">
        <f t="shared" si="1560"/>
        <v/>
      </c>
      <c r="AQ1023" s="268" t="str">
        <f t="shared" si="1560"/>
        <v/>
      </c>
      <c r="AR1023" s="268" t="str">
        <f t="shared" si="1560"/>
        <v/>
      </c>
      <c r="AS1023" s="268" t="str">
        <f t="shared" si="1560"/>
        <v/>
      </c>
      <c r="AT1023" s="268" t="str">
        <f t="shared" si="1560"/>
        <v/>
      </c>
      <c r="AU1023" s="268" t="str">
        <f t="shared" si="1560"/>
        <v/>
      </c>
      <c r="AV1023" s="268" t="str">
        <f t="shared" si="1560"/>
        <v/>
      </c>
      <c r="AW1023" s="268" t="str">
        <f t="shared" si="1560"/>
        <v/>
      </c>
      <c r="AX1023" s="268" t="str">
        <f t="shared" si="1560"/>
        <v/>
      </c>
      <c r="AY1023" s="268" t="str">
        <f t="shared" si="1560"/>
        <v/>
      </c>
      <c r="AZ1023" s="268" t="str">
        <f t="shared" si="1560"/>
        <v/>
      </c>
      <c r="BA1023" s="268" t="str">
        <f t="shared" si="1560"/>
        <v/>
      </c>
      <c r="BB1023" s="268" t="str">
        <f t="shared" si="1560"/>
        <v/>
      </c>
      <c r="BC1023" s="268" t="str">
        <f t="shared" si="1560"/>
        <v/>
      </c>
      <c r="BD1023" s="268" t="str">
        <f t="shared" si="1560"/>
        <v/>
      </c>
      <c r="BE1023" s="268" t="str">
        <f t="shared" si="1560"/>
        <v/>
      </c>
      <c r="BF1023" s="268" t="str">
        <f t="shared" si="1560"/>
        <v/>
      </c>
      <c r="BG1023" s="268" t="str">
        <f t="shared" si="1560"/>
        <v/>
      </c>
      <c r="BH1023" s="268" t="str">
        <f t="shared" si="1560"/>
        <v/>
      </c>
      <c r="BI1023" s="268" t="str">
        <f t="shared" si="1560"/>
        <v/>
      </c>
      <c r="BJ1023" s="268" t="str">
        <f t="shared" si="1560"/>
        <v/>
      </c>
      <c r="BK1023" s="268" t="str">
        <f t="shared" si="1560"/>
        <v/>
      </c>
      <c r="BL1023" s="268" t="str">
        <f t="shared" si="1560"/>
        <v/>
      </c>
      <c r="BM1023" s="268" t="str">
        <f t="shared" si="1560"/>
        <v/>
      </c>
      <c r="BN1023" s="268" t="str">
        <f t="shared" si="1560"/>
        <v/>
      </c>
      <c r="BO1023" s="268" t="str">
        <f t="shared" si="1560"/>
        <v/>
      </c>
      <c r="BP1023" s="268" t="str">
        <f t="shared" si="1560"/>
        <v/>
      </c>
      <c r="BQ1023" s="268" t="str">
        <f t="shared" si="1545"/>
        <v/>
      </c>
      <c r="BR1023" s="268" t="str">
        <f t="shared" si="1546"/>
        <v/>
      </c>
      <c r="BS1023" s="268" t="str">
        <f t="shared" si="1547"/>
        <v/>
      </c>
      <c r="BT1023" s="268" t="str">
        <f t="shared" si="1549"/>
        <v/>
      </c>
      <c r="BU1023" s="268" t="str">
        <f t="shared" si="1550"/>
        <v/>
      </c>
      <c r="BV1023" s="247">
        <v>0.62</v>
      </c>
      <c r="BW1023" s="729">
        <f t="shared" si="1551"/>
        <v>1160.64</v>
      </c>
      <c r="BX1023" s="730">
        <f t="shared" si="1552"/>
        <v>8994.96</v>
      </c>
      <c r="BY1023" s="731" t="str">
        <f t="shared" si="1553"/>
        <v>SR</v>
      </c>
    </row>
    <row r="1024" s="698" customFormat="1" customHeight="1" spans="1:77">
      <c r="A1024" s="227">
        <v>46178</v>
      </c>
      <c r="B1024" s="248">
        <v>46230</v>
      </c>
      <c r="C1024" s="242" t="s">
        <v>918</v>
      </c>
      <c r="D1024" s="242" t="s">
        <v>919</v>
      </c>
      <c r="E1024" s="242" t="s">
        <v>61</v>
      </c>
      <c r="F1024" s="231">
        <v>1920</v>
      </c>
      <c r="G1024" s="242" t="s">
        <v>510</v>
      </c>
      <c r="H1024" s="211" t="str">
        <f>IFERROR(VLOOKUP(E1024,名称!A:E,4,0),"")</f>
        <v>三代</v>
      </c>
      <c r="I1024" s="268" t="str">
        <f t="shared" ref="I1024:BR1024" si="1561">IF(OR($E1024="",I$1=""),"",IF(TRIM(LEFT($E1024,MIN(IFERROR(FIND("CDU",UPPER($E1024)),999),IFERROR(FIND("BULK",UPPER($E1024)),999),IFERROR(FIND("-",$E1024),999),IFERROR(FIND("（",$E1024),999))-1))=I$1,$F1024,""))</f>
        <v/>
      </c>
      <c r="J1024" s="268" t="str">
        <f t="shared" si="1561"/>
        <v/>
      </c>
      <c r="K1024" s="268" t="str">
        <f t="shared" si="1561"/>
        <v/>
      </c>
      <c r="L1024" s="268" t="str">
        <f t="shared" si="1561"/>
        <v/>
      </c>
      <c r="M1024" s="268" t="str">
        <f t="shared" si="1561"/>
        <v/>
      </c>
      <c r="N1024" s="268" t="str">
        <f t="shared" si="1561"/>
        <v/>
      </c>
      <c r="O1024" s="268" t="str">
        <f t="shared" si="1561"/>
        <v/>
      </c>
      <c r="P1024" s="268" t="str">
        <f t="shared" si="1561"/>
        <v/>
      </c>
      <c r="Q1024" s="268" t="str">
        <f t="shared" si="1561"/>
        <v/>
      </c>
      <c r="R1024" s="268" t="str">
        <f t="shared" si="1561"/>
        <v/>
      </c>
      <c r="S1024" s="268" t="str">
        <f t="shared" si="1561"/>
        <v/>
      </c>
      <c r="T1024" s="268" t="str">
        <f t="shared" si="1561"/>
        <v/>
      </c>
      <c r="U1024" s="268" t="str">
        <f t="shared" si="1561"/>
        <v/>
      </c>
      <c r="V1024" s="268" t="str">
        <f t="shared" si="1561"/>
        <v/>
      </c>
      <c r="W1024" s="268" t="str">
        <f t="shared" si="1561"/>
        <v/>
      </c>
      <c r="X1024" s="268" t="str">
        <f t="shared" si="1561"/>
        <v/>
      </c>
      <c r="Y1024" s="268" t="str">
        <f t="shared" si="1561"/>
        <v/>
      </c>
      <c r="Z1024" s="268" t="str">
        <f t="shared" si="1561"/>
        <v/>
      </c>
      <c r="AA1024" s="268" t="str">
        <f t="shared" si="1561"/>
        <v/>
      </c>
      <c r="AB1024" s="268" t="str">
        <f t="shared" si="1561"/>
        <v/>
      </c>
      <c r="AC1024" s="268" t="str">
        <f t="shared" si="1561"/>
        <v/>
      </c>
      <c r="AD1024" s="268" t="str">
        <f t="shared" si="1561"/>
        <v/>
      </c>
      <c r="AE1024" s="268">
        <f t="shared" si="1561"/>
        <v>1920</v>
      </c>
      <c r="AF1024" s="268" t="str">
        <f t="shared" si="1561"/>
        <v/>
      </c>
      <c r="AG1024" s="268" t="str">
        <f t="shared" si="1561"/>
        <v/>
      </c>
      <c r="AH1024" s="268" t="str">
        <f t="shared" si="1561"/>
        <v/>
      </c>
      <c r="AI1024" s="268" t="str">
        <f t="shared" si="1561"/>
        <v/>
      </c>
      <c r="AJ1024" s="268" t="str">
        <f t="shared" si="1561"/>
        <v/>
      </c>
      <c r="AK1024" s="268" t="str">
        <f t="shared" si="1561"/>
        <v/>
      </c>
      <c r="AL1024" s="268" t="str">
        <f t="shared" si="1561"/>
        <v/>
      </c>
      <c r="AM1024" s="268" t="str">
        <f t="shared" si="1561"/>
        <v/>
      </c>
      <c r="AN1024" s="268" t="str">
        <f t="shared" si="1561"/>
        <v/>
      </c>
      <c r="AO1024" s="268" t="str">
        <f t="shared" si="1561"/>
        <v/>
      </c>
      <c r="AP1024" s="268" t="str">
        <f t="shared" si="1561"/>
        <v/>
      </c>
      <c r="AQ1024" s="268" t="str">
        <f t="shared" si="1561"/>
        <v/>
      </c>
      <c r="AR1024" s="268" t="str">
        <f t="shared" si="1561"/>
        <v/>
      </c>
      <c r="AS1024" s="268" t="str">
        <f t="shared" si="1561"/>
        <v/>
      </c>
      <c r="AT1024" s="268" t="str">
        <f t="shared" si="1561"/>
        <v/>
      </c>
      <c r="AU1024" s="268" t="str">
        <f t="shared" si="1561"/>
        <v/>
      </c>
      <c r="AV1024" s="268" t="str">
        <f t="shared" si="1561"/>
        <v/>
      </c>
      <c r="AW1024" s="268" t="str">
        <f t="shared" si="1561"/>
        <v/>
      </c>
      <c r="AX1024" s="268" t="str">
        <f t="shared" si="1561"/>
        <v/>
      </c>
      <c r="AY1024" s="268" t="str">
        <f t="shared" si="1561"/>
        <v/>
      </c>
      <c r="AZ1024" s="268" t="str">
        <f t="shared" si="1561"/>
        <v/>
      </c>
      <c r="BA1024" s="268" t="str">
        <f t="shared" si="1561"/>
        <v/>
      </c>
      <c r="BB1024" s="268" t="str">
        <f t="shared" si="1561"/>
        <v/>
      </c>
      <c r="BC1024" s="268" t="str">
        <f t="shared" si="1561"/>
        <v/>
      </c>
      <c r="BD1024" s="268" t="str">
        <f t="shared" si="1561"/>
        <v/>
      </c>
      <c r="BE1024" s="268" t="str">
        <f t="shared" si="1561"/>
        <v/>
      </c>
      <c r="BF1024" s="268" t="str">
        <f t="shared" si="1561"/>
        <v/>
      </c>
      <c r="BG1024" s="268" t="str">
        <f t="shared" si="1561"/>
        <v/>
      </c>
      <c r="BH1024" s="268" t="str">
        <f t="shared" si="1561"/>
        <v/>
      </c>
      <c r="BI1024" s="268" t="str">
        <f t="shared" si="1561"/>
        <v/>
      </c>
      <c r="BJ1024" s="268" t="str">
        <f t="shared" si="1561"/>
        <v/>
      </c>
      <c r="BK1024" s="268" t="str">
        <f t="shared" si="1561"/>
        <v/>
      </c>
      <c r="BL1024" s="268" t="str">
        <f t="shared" si="1561"/>
        <v/>
      </c>
      <c r="BM1024" s="268" t="str">
        <f t="shared" si="1561"/>
        <v/>
      </c>
      <c r="BN1024" s="268" t="str">
        <f t="shared" si="1561"/>
        <v/>
      </c>
      <c r="BO1024" s="268" t="str">
        <f t="shared" si="1561"/>
        <v/>
      </c>
      <c r="BP1024" s="268" t="str">
        <f t="shared" si="1561"/>
        <v/>
      </c>
      <c r="BQ1024" s="268" t="str">
        <f t="shared" si="1545"/>
        <v/>
      </c>
      <c r="BR1024" s="268" t="str">
        <f t="shared" si="1546"/>
        <v/>
      </c>
      <c r="BS1024" s="268" t="str">
        <f t="shared" si="1547"/>
        <v/>
      </c>
      <c r="BT1024" s="268" t="str">
        <f t="shared" si="1549"/>
        <v/>
      </c>
      <c r="BU1024" s="268" t="str">
        <f t="shared" si="1550"/>
        <v/>
      </c>
      <c r="BV1024" s="247">
        <v>0.61</v>
      </c>
      <c r="BW1024" s="729">
        <f t="shared" si="1551"/>
        <v>1171.2</v>
      </c>
      <c r="BX1024" s="730">
        <f t="shared" si="1552"/>
        <v>9076.8</v>
      </c>
      <c r="BY1024" s="731" t="str">
        <f t="shared" si="1553"/>
        <v>SR</v>
      </c>
    </row>
    <row r="1025" s="698" customFormat="1" customHeight="1" spans="1:77">
      <c r="A1025" s="227">
        <v>46178</v>
      </c>
      <c r="B1025" s="248">
        <v>46230</v>
      </c>
      <c r="C1025" s="242" t="s">
        <v>918</v>
      </c>
      <c r="D1025" s="242" t="s">
        <v>919</v>
      </c>
      <c r="E1025" s="242" t="s">
        <v>116</v>
      </c>
      <c r="F1025" s="231">
        <v>900</v>
      </c>
      <c r="G1025" s="242" t="s">
        <v>510</v>
      </c>
      <c r="H1025" s="211" t="str">
        <f>IFERROR(VLOOKUP(E1025,名称!A:E,4,0),"")</f>
        <v>三代</v>
      </c>
      <c r="I1025" s="268" t="str">
        <f t="shared" ref="I1025:BR1025" si="1562">IF(OR($E1025="",I$1=""),"",IF(TRIM(LEFT($E1025,MIN(IFERROR(FIND("CDU",UPPER($E1025)),999),IFERROR(FIND("BULK",UPPER($E1025)),999),IFERROR(FIND("-",$E1025),999),IFERROR(FIND("（",$E1025),999))-1))=I$1,$F1025,""))</f>
        <v/>
      </c>
      <c r="J1025" s="268" t="str">
        <f t="shared" si="1562"/>
        <v/>
      </c>
      <c r="K1025" s="268" t="str">
        <f t="shared" si="1562"/>
        <v/>
      </c>
      <c r="L1025" s="268" t="str">
        <f t="shared" si="1562"/>
        <v/>
      </c>
      <c r="M1025" s="268" t="str">
        <f t="shared" si="1562"/>
        <v/>
      </c>
      <c r="N1025" s="268" t="str">
        <f t="shared" si="1562"/>
        <v/>
      </c>
      <c r="O1025" s="268" t="str">
        <f t="shared" si="1562"/>
        <v/>
      </c>
      <c r="P1025" s="268" t="str">
        <f t="shared" si="1562"/>
        <v/>
      </c>
      <c r="Q1025" s="268" t="str">
        <f t="shared" si="1562"/>
        <v/>
      </c>
      <c r="R1025" s="268" t="str">
        <f t="shared" si="1562"/>
        <v/>
      </c>
      <c r="S1025" s="268" t="str">
        <f t="shared" si="1562"/>
        <v/>
      </c>
      <c r="T1025" s="268" t="str">
        <f t="shared" si="1562"/>
        <v/>
      </c>
      <c r="U1025" s="268" t="str">
        <f t="shared" si="1562"/>
        <v/>
      </c>
      <c r="V1025" s="268" t="str">
        <f t="shared" si="1562"/>
        <v/>
      </c>
      <c r="W1025" s="268" t="str">
        <f t="shared" si="1562"/>
        <v/>
      </c>
      <c r="X1025" s="268" t="str">
        <f t="shared" si="1562"/>
        <v/>
      </c>
      <c r="Y1025" s="268" t="str">
        <f t="shared" si="1562"/>
        <v/>
      </c>
      <c r="Z1025" s="268" t="str">
        <f t="shared" si="1562"/>
        <v/>
      </c>
      <c r="AA1025" s="268" t="str">
        <f t="shared" si="1562"/>
        <v/>
      </c>
      <c r="AB1025" s="268" t="str">
        <f t="shared" si="1562"/>
        <v/>
      </c>
      <c r="AC1025" s="268" t="str">
        <f t="shared" si="1562"/>
        <v/>
      </c>
      <c r="AD1025" s="268" t="str">
        <f t="shared" si="1562"/>
        <v/>
      </c>
      <c r="AE1025" s="268" t="str">
        <f t="shared" si="1562"/>
        <v/>
      </c>
      <c r="AF1025" s="268" t="str">
        <f t="shared" si="1562"/>
        <v/>
      </c>
      <c r="AG1025" s="268" t="str">
        <f t="shared" si="1562"/>
        <v/>
      </c>
      <c r="AH1025" s="268" t="str">
        <f t="shared" si="1562"/>
        <v/>
      </c>
      <c r="AI1025" s="268" t="str">
        <f t="shared" si="1562"/>
        <v/>
      </c>
      <c r="AJ1025" s="268" t="str">
        <f t="shared" si="1562"/>
        <v/>
      </c>
      <c r="AK1025" s="268" t="str">
        <f t="shared" si="1562"/>
        <v/>
      </c>
      <c r="AL1025" s="268" t="str">
        <f t="shared" si="1562"/>
        <v/>
      </c>
      <c r="AM1025" s="268">
        <f t="shared" si="1562"/>
        <v>900</v>
      </c>
      <c r="AN1025" s="268" t="str">
        <f t="shared" si="1562"/>
        <v/>
      </c>
      <c r="AO1025" s="268" t="str">
        <f t="shared" si="1562"/>
        <v/>
      </c>
      <c r="AP1025" s="268" t="str">
        <f t="shared" si="1562"/>
        <v/>
      </c>
      <c r="AQ1025" s="268" t="str">
        <f t="shared" si="1562"/>
        <v/>
      </c>
      <c r="AR1025" s="268" t="str">
        <f t="shared" si="1562"/>
        <v/>
      </c>
      <c r="AS1025" s="268" t="str">
        <f t="shared" si="1562"/>
        <v/>
      </c>
      <c r="AT1025" s="268" t="str">
        <f t="shared" si="1562"/>
        <v/>
      </c>
      <c r="AU1025" s="268" t="str">
        <f t="shared" si="1562"/>
        <v/>
      </c>
      <c r="AV1025" s="268" t="str">
        <f t="shared" si="1562"/>
        <v/>
      </c>
      <c r="AW1025" s="268" t="str">
        <f t="shared" si="1562"/>
        <v/>
      </c>
      <c r="AX1025" s="268" t="str">
        <f t="shared" si="1562"/>
        <v/>
      </c>
      <c r="AY1025" s="268" t="str">
        <f t="shared" si="1562"/>
        <v/>
      </c>
      <c r="AZ1025" s="268" t="str">
        <f t="shared" si="1562"/>
        <v/>
      </c>
      <c r="BA1025" s="268" t="str">
        <f t="shared" si="1562"/>
        <v/>
      </c>
      <c r="BB1025" s="268" t="str">
        <f t="shared" si="1562"/>
        <v/>
      </c>
      <c r="BC1025" s="268" t="str">
        <f t="shared" si="1562"/>
        <v/>
      </c>
      <c r="BD1025" s="268" t="str">
        <f t="shared" si="1562"/>
        <v/>
      </c>
      <c r="BE1025" s="268" t="str">
        <f t="shared" si="1562"/>
        <v/>
      </c>
      <c r="BF1025" s="268" t="str">
        <f t="shared" si="1562"/>
        <v/>
      </c>
      <c r="BG1025" s="268" t="str">
        <f t="shared" si="1562"/>
        <v/>
      </c>
      <c r="BH1025" s="268" t="str">
        <f t="shared" si="1562"/>
        <v/>
      </c>
      <c r="BI1025" s="268" t="str">
        <f t="shared" si="1562"/>
        <v/>
      </c>
      <c r="BJ1025" s="268" t="str">
        <f t="shared" si="1562"/>
        <v/>
      </c>
      <c r="BK1025" s="268" t="str">
        <f t="shared" si="1562"/>
        <v/>
      </c>
      <c r="BL1025" s="268" t="str">
        <f t="shared" si="1562"/>
        <v/>
      </c>
      <c r="BM1025" s="268" t="str">
        <f t="shared" si="1562"/>
        <v/>
      </c>
      <c r="BN1025" s="268" t="str">
        <f t="shared" si="1562"/>
        <v/>
      </c>
      <c r="BO1025" s="268" t="str">
        <f t="shared" si="1562"/>
        <v/>
      </c>
      <c r="BP1025" s="268" t="str">
        <f t="shared" si="1562"/>
        <v/>
      </c>
      <c r="BQ1025" s="268" t="str">
        <f t="shared" si="1545"/>
        <v/>
      </c>
      <c r="BR1025" s="268" t="str">
        <f t="shared" si="1546"/>
        <v/>
      </c>
      <c r="BS1025" s="268" t="str">
        <f t="shared" si="1547"/>
        <v/>
      </c>
      <c r="BT1025" s="268" t="str">
        <f t="shared" si="1549"/>
        <v/>
      </c>
      <c r="BU1025" s="268" t="str">
        <f t="shared" si="1550"/>
        <v/>
      </c>
      <c r="BV1025" s="247">
        <v>1.56</v>
      </c>
      <c r="BW1025" s="729">
        <f t="shared" si="1551"/>
        <v>1404</v>
      </c>
      <c r="BX1025" s="730">
        <f t="shared" si="1552"/>
        <v>10881</v>
      </c>
      <c r="BY1025" s="731" t="str">
        <f t="shared" si="1553"/>
        <v>SR</v>
      </c>
    </row>
    <row r="1026" s="698" customFormat="1" customHeight="1" spans="1:77">
      <c r="A1026" s="227">
        <v>46178</v>
      </c>
      <c r="B1026" s="248">
        <v>46230</v>
      </c>
      <c r="C1026" s="242" t="s">
        <v>918</v>
      </c>
      <c r="D1026" s="242" t="s">
        <v>919</v>
      </c>
      <c r="E1026" s="242" t="s">
        <v>97</v>
      </c>
      <c r="F1026" s="231">
        <v>1536</v>
      </c>
      <c r="G1026" s="242" t="s">
        <v>510</v>
      </c>
      <c r="H1026" s="211" t="str">
        <f>IFERROR(VLOOKUP(E1026,名称!A:E,4,0),"")</f>
        <v>三代</v>
      </c>
      <c r="I1026" s="268" t="str">
        <f t="shared" ref="I1026:BR1026" si="1563">IF(OR($E1026="",I$1=""),"",IF(TRIM(LEFT($E1026,MIN(IFERROR(FIND("CDU",UPPER($E1026)),999),IFERROR(FIND("BULK",UPPER($E1026)),999),IFERROR(FIND("-",$E1026),999),IFERROR(FIND("（",$E1026),999))-1))=I$1,$F1026,""))</f>
        <v/>
      </c>
      <c r="J1026" s="268" t="str">
        <f t="shared" si="1563"/>
        <v/>
      </c>
      <c r="K1026" s="268" t="str">
        <f t="shared" si="1563"/>
        <v/>
      </c>
      <c r="L1026" s="268" t="str">
        <f t="shared" si="1563"/>
        <v/>
      </c>
      <c r="M1026" s="268" t="str">
        <f t="shared" si="1563"/>
        <v/>
      </c>
      <c r="N1026" s="268" t="str">
        <f t="shared" si="1563"/>
        <v/>
      </c>
      <c r="O1026" s="268" t="str">
        <f t="shared" si="1563"/>
        <v/>
      </c>
      <c r="P1026" s="268" t="str">
        <f t="shared" si="1563"/>
        <v/>
      </c>
      <c r="Q1026" s="268" t="str">
        <f t="shared" si="1563"/>
        <v/>
      </c>
      <c r="R1026" s="268" t="str">
        <f t="shared" si="1563"/>
        <v/>
      </c>
      <c r="S1026" s="268" t="str">
        <f t="shared" si="1563"/>
        <v/>
      </c>
      <c r="T1026" s="268" t="str">
        <f t="shared" si="1563"/>
        <v/>
      </c>
      <c r="U1026" s="268" t="str">
        <f t="shared" si="1563"/>
        <v/>
      </c>
      <c r="V1026" s="268" t="str">
        <f t="shared" si="1563"/>
        <v/>
      </c>
      <c r="W1026" s="268" t="str">
        <f t="shared" si="1563"/>
        <v/>
      </c>
      <c r="X1026" s="268" t="str">
        <f t="shared" si="1563"/>
        <v/>
      </c>
      <c r="Y1026" s="268" t="str">
        <f t="shared" si="1563"/>
        <v/>
      </c>
      <c r="Z1026" s="268" t="str">
        <f t="shared" si="1563"/>
        <v/>
      </c>
      <c r="AA1026" s="268" t="str">
        <f t="shared" si="1563"/>
        <v/>
      </c>
      <c r="AB1026" s="268" t="str">
        <f t="shared" si="1563"/>
        <v/>
      </c>
      <c r="AC1026" s="268" t="str">
        <f t="shared" si="1563"/>
        <v/>
      </c>
      <c r="AD1026" s="268" t="str">
        <f t="shared" si="1563"/>
        <v/>
      </c>
      <c r="AE1026" s="268" t="str">
        <f t="shared" si="1563"/>
        <v/>
      </c>
      <c r="AF1026" s="268" t="str">
        <f t="shared" si="1563"/>
        <v/>
      </c>
      <c r="AG1026" s="268" t="str">
        <f t="shared" si="1563"/>
        <v/>
      </c>
      <c r="AH1026" s="268" t="str">
        <f t="shared" si="1563"/>
        <v/>
      </c>
      <c r="AI1026" s="268" t="str">
        <f t="shared" si="1563"/>
        <v/>
      </c>
      <c r="AJ1026" s="268" t="str">
        <f t="shared" si="1563"/>
        <v/>
      </c>
      <c r="AK1026" s="268" t="str">
        <f t="shared" si="1563"/>
        <v/>
      </c>
      <c r="AL1026" s="268" t="str">
        <f t="shared" si="1563"/>
        <v/>
      </c>
      <c r="AM1026" s="268" t="str">
        <f t="shared" si="1563"/>
        <v/>
      </c>
      <c r="AN1026" s="268" t="str">
        <f t="shared" si="1563"/>
        <v/>
      </c>
      <c r="AO1026" s="268" t="str">
        <f t="shared" si="1563"/>
        <v/>
      </c>
      <c r="AP1026" s="268" t="str">
        <f t="shared" si="1563"/>
        <v/>
      </c>
      <c r="AQ1026" s="268" t="str">
        <f t="shared" si="1563"/>
        <v/>
      </c>
      <c r="AR1026" s="268" t="str">
        <f t="shared" si="1563"/>
        <v/>
      </c>
      <c r="AS1026" s="268" t="str">
        <f t="shared" si="1563"/>
        <v/>
      </c>
      <c r="AT1026" s="268" t="str">
        <f t="shared" si="1563"/>
        <v/>
      </c>
      <c r="AU1026" s="268" t="str">
        <f t="shared" si="1563"/>
        <v/>
      </c>
      <c r="AV1026" s="268" t="str">
        <f t="shared" si="1563"/>
        <v/>
      </c>
      <c r="AW1026" s="268" t="str">
        <f t="shared" si="1563"/>
        <v/>
      </c>
      <c r="AX1026" s="268" t="str">
        <f t="shared" si="1563"/>
        <v/>
      </c>
      <c r="AY1026" s="268" t="str">
        <f t="shared" si="1563"/>
        <v/>
      </c>
      <c r="AZ1026" s="268" t="str">
        <f t="shared" si="1563"/>
        <v/>
      </c>
      <c r="BA1026" s="268">
        <f t="shared" si="1563"/>
        <v>1536</v>
      </c>
      <c r="BB1026" s="268" t="str">
        <f t="shared" si="1563"/>
        <v/>
      </c>
      <c r="BC1026" s="268" t="str">
        <f t="shared" si="1563"/>
        <v/>
      </c>
      <c r="BD1026" s="268" t="str">
        <f t="shared" si="1563"/>
        <v/>
      </c>
      <c r="BE1026" s="268" t="str">
        <f t="shared" si="1563"/>
        <v/>
      </c>
      <c r="BF1026" s="268" t="str">
        <f t="shared" si="1563"/>
        <v/>
      </c>
      <c r="BG1026" s="268" t="str">
        <f t="shared" si="1563"/>
        <v/>
      </c>
      <c r="BH1026" s="268" t="str">
        <f t="shared" si="1563"/>
        <v/>
      </c>
      <c r="BI1026" s="268" t="str">
        <f t="shared" si="1563"/>
        <v/>
      </c>
      <c r="BJ1026" s="268" t="str">
        <f t="shared" si="1563"/>
        <v/>
      </c>
      <c r="BK1026" s="268" t="str">
        <f t="shared" si="1563"/>
        <v/>
      </c>
      <c r="BL1026" s="268" t="str">
        <f t="shared" si="1563"/>
        <v/>
      </c>
      <c r="BM1026" s="268" t="str">
        <f t="shared" si="1563"/>
        <v/>
      </c>
      <c r="BN1026" s="268" t="str">
        <f t="shared" si="1563"/>
        <v/>
      </c>
      <c r="BO1026" s="268" t="str">
        <f t="shared" si="1563"/>
        <v/>
      </c>
      <c r="BP1026" s="268" t="str">
        <f t="shared" si="1563"/>
        <v/>
      </c>
      <c r="BQ1026" s="268" t="str">
        <f t="shared" si="1545"/>
        <v/>
      </c>
      <c r="BR1026" s="268" t="str">
        <f t="shared" si="1546"/>
        <v/>
      </c>
      <c r="BS1026" s="268" t="str">
        <f t="shared" si="1547"/>
        <v/>
      </c>
      <c r="BT1026" s="268" t="str">
        <f t="shared" si="1549"/>
        <v/>
      </c>
      <c r="BU1026" s="268" t="str">
        <f t="shared" si="1550"/>
        <v/>
      </c>
      <c r="BV1026" s="247">
        <v>0.62</v>
      </c>
      <c r="BW1026" s="729">
        <f t="shared" ref="BW1026:BW1040" si="1564">SUM(I1026:BU1026)*BV1026</f>
        <v>952.32</v>
      </c>
      <c r="BX1026" s="730">
        <f t="shared" ref="BX1026:BX1040" si="1565">BW1026*7.75</f>
        <v>7380.48</v>
      </c>
      <c r="BY1026" s="731" t="str">
        <f t="shared" ref="BY1026:BY1039" si="1566">MID(E1026,1,2)</f>
        <v>SR</v>
      </c>
    </row>
    <row r="1027" s="698" customFormat="1" customHeight="1" spans="1:77">
      <c r="A1027" s="227">
        <v>46178</v>
      </c>
      <c r="B1027" s="248">
        <v>46230</v>
      </c>
      <c r="C1027" s="242" t="s">
        <v>918</v>
      </c>
      <c r="D1027" s="242" t="s">
        <v>919</v>
      </c>
      <c r="E1027" s="242" t="s">
        <v>98</v>
      </c>
      <c r="F1027" s="231">
        <v>1200</v>
      </c>
      <c r="G1027" s="242" t="s">
        <v>510</v>
      </c>
      <c r="H1027" s="211" t="str">
        <f>IFERROR(VLOOKUP(E1027,名称!A:E,4,0),"")</f>
        <v>三代</v>
      </c>
      <c r="I1027" s="268" t="str">
        <f t="shared" ref="I1027:BR1027" si="1567">IF(OR($E1027="",I$1=""),"",IF(TRIM(LEFT($E1027,MIN(IFERROR(FIND("CDU",UPPER($E1027)),999),IFERROR(FIND("BULK",UPPER($E1027)),999),IFERROR(FIND("-",$E1027),999),IFERROR(FIND("（",$E1027),999))-1))=I$1,$F1027,""))</f>
        <v/>
      </c>
      <c r="J1027" s="268" t="str">
        <f t="shared" si="1567"/>
        <v/>
      </c>
      <c r="K1027" s="268" t="str">
        <f t="shared" si="1567"/>
        <v/>
      </c>
      <c r="L1027" s="268" t="str">
        <f t="shared" si="1567"/>
        <v/>
      </c>
      <c r="M1027" s="268" t="str">
        <f t="shared" si="1567"/>
        <v/>
      </c>
      <c r="N1027" s="268" t="str">
        <f t="shared" si="1567"/>
        <v/>
      </c>
      <c r="O1027" s="268" t="str">
        <f t="shared" si="1567"/>
        <v/>
      </c>
      <c r="P1027" s="268" t="str">
        <f t="shared" si="1567"/>
        <v/>
      </c>
      <c r="Q1027" s="268" t="str">
        <f t="shared" si="1567"/>
        <v/>
      </c>
      <c r="R1027" s="268" t="str">
        <f t="shared" si="1567"/>
        <v/>
      </c>
      <c r="S1027" s="268" t="str">
        <f t="shared" si="1567"/>
        <v/>
      </c>
      <c r="T1027" s="268" t="str">
        <f t="shared" si="1567"/>
        <v/>
      </c>
      <c r="U1027" s="268" t="str">
        <f t="shared" si="1567"/>
        <v/>
      </c>
      <c r="V1027" s="268" t="str">
        <f t="shared" si="1567"/>
        <v/>
      </c>
      <c r="W1027" s="268" t="str">
        <f t="shared" si="1567"/>
        <v/>
      </c>
      <c r="X1027" s="268" t="str">
        <f t="shared" si="1567"/>
        <v/>
      </c>
      <c r="Y1027" s="268" t="str">
        <f t="shared" si="1567"/>
        <v/>
      </c>
      <c r="Z1027" s="268" t="str">
        <f t="shared" si="1567"/>
        <v/>
      </c>
      <c r="AA1027" s="268" t="str">
        <f t="shared" si="1567"/>
        <v/>
      </c>
      <c r="AB1027" s="268" t="str">
        <f t="shared" si="1567"/>
        <v/>
      </c>
      <c r="AC1027" s="268" t="str">
        <f t="shared" si="1567"/>
        <v/>
      </c>
      <c r="AD1027" s="268" t="str">
        <f t="shared" si="1567"/>
        <v/>
      </c>
      <c r="AE1027" s="268" t="str">
        <f t="shared" si="1567"/>
        <v/>
      </c>
      <c r="AF1027" s="268" t="str">
        <f t="shared" si="1567"/>
        <v/>
      </c>
      <c r="AG1027" s="268" t="str">
        <f t="shared" si="1567"/>
        <v/>
      </c>
      <c r="AH1027" s="268" t="str">
        <f t="shared" si="1567"/>
        <v/>
      </c>
      <c r="AI1027" s="268" t="str">
        <f t="shared" si="1567"/>
        <v/>
      </c>
      <c r="AJ1027" s="268" t="str">
        <f t="shared" si="1567"/>
        <v/>
      </c>
      <c r="AK1027" s="268" t="str">
        <f t="shared" si="1567"/>
        <v/>
      </c>
      <c r="AL1027" s="268" t="str">
        <f t="shared" si="1567"/>
        <v/>
      </c>
      <c r="AM1027" s="268" t="str">
        <f t="shared" si="1567"/>
        <v/>
      </c>
      <c r="AN1027" s="268" t="str">
        <f t="shared" si="1567"/>
        <v/>
      </c>
      <c r="AO1027" s="268" t="str">
        <f t="shared" si="1567"/>
        <v/>
      </c>
      <c r="AP1027" s="268" t="str">
        <f t="shared" si="1567"/>
        <v/>
      </c>
      <c r="AQ1027" s="268" t="str">
        <f t="shared" si="1567"/>
        <v/>
      </c>
      <c r="AR1027" s="268" t="str">
        <f t="shared" si="1567"/>
        <v/>
      </c>
      <c r="AS1027" s="268" t="str">
        <f t="shared" si="1567"/>
        <v/>
      </c>
      <c r="AT1027" s="268" t="str">
        <f t="shared" si="1567"/>
        <v/>
      </c>
      <c r="AU1027" s="268" t="str">
        <f t="shared" si="1567"/>
        <v/>
      </c>
      <c r="AV1027" s="268" t="str">
        <f t="shared" si="1567"/>
        <v/>
      </c>
      <c r="AW1027" s="268" t="str">
        <f t="shared" si="1567"/>
        <v/>
      </c>
      <c r="AX1027" s="268" t="str">
        <f t="shared" si="1567"/>
        <v/>
      </c>
      <c r="AY1027" s="268" t="str">
        <f t="shared" si="1567"/>
        <v/>
      </c>
      <c r="AZ1027" s="268" t="str">
        <f t="shared" si="1567"/>
        <v/>
      </c>
      <c r="BA1027" s="268" t="str">
        <f t="shared" si="1567"/>
        <v/>
      </c>
      <c r="BB1027" s="268">
        <f t="shared" si="1567"/>
        <v>1200</v>
      </c>
      <c r="BC1027" s="268" t="str">
        <f t="shared" si="1567"/>
        <v/>
      </c>
      <c r="BD1027" s="268" t="str">
        <f t="shared" si="1567"/>
        <v/>
      </c>
      <c r="BE1027" s="268" t="str">
        <f t="shared" si="1567"/>
        <v/>
      </c>
      <c r="BF1027" s="268" t="str">
        <f t="shared" si="1567"/>
        <v/>
      </c>
      <c r="BG1027" s="268" t="str">
        <f t="shared" si="1567"/>
        <v/>
      </c>
      <c r="BH1027" s="268" t="str">
        <f t="shared" si="1567"/>
        <v/>
      </c>
      <c r="BI1027" s="268" t="str">
        <f t="shared" si="1567"/>
        <v/>
      </c>
      <c r="BJ1027" s="268" t="str">
        <f t="shared" si="1567"/>
        <v/>
      </c>
      <c r="BK1027" s="268" t="str">
        <f t="shared" si="1567"/>
        <v/>
      </c>
      <c r="BL1027" s="268" t="str">
        <f t="shared" si="1567"/>
        <v/>
      </c>
      <c r="BM1027" s="268" t="str">
        <f t="shared" si="1567"/>
        <v/>
      </c>
      <c r="BN1027" s="268" t="str">
        <f t="shared" si="1567"/>
        <v/>
      </c>
      <c r="BO1027" s="268" t="str">
        <f t="shared" si="1567"/>
        <v/>
      </c>
      <c r="BP1027" s="268" t="str">
        <f t="shared" si="1567"/>
        <v/>
      </c>
      <c r="BQ1027" s="268" t="str">
        <f t="shared" si="1545"/>
        <v/>
      </c>
      <c r="BR1027" s="268" t="str">
        <f t="shared" si="1546"/>
        <v/>
      </c>
      <c r="BS1027" s="268" t="str">
        <f t="shared" si="1547"/>
        <v/>
      </c>
      <c r="BT1027" s="268" t="str">
        <f t="shared" si="1549"/>
        <v/>
      </c>
      <c r="BU1027" s="268" t="str">
        <f t="shared" si="1550"/>
        <v/>
      </c>
      <c r="BV1027" s="247">
        <v>1.58</v>
      </c>
      <c r="BW1027" s="729">
        <f t="shared" si="1564"/>
        <v>1896</v>
      </c>
      <c r="BX1027" s="730">
        <f t="shared" si="1565"/>
        <v>14694</v>
      </c>
      <c r="BY1027" s="731" t="str">
        <f t="shared" si="1566"/>
        <v>SR</v>
      </c>
    </row>
    <row r="1028" s="698" customFormat="1" customHeight="1" spans="1:77">
      <c r="A1028" s="227">
        <v>46178</v>
      </c>
      <c r="B1028" s="248">
        <v>46230</v>
      </c>
      <c r="C1028" s="242" t="s">
        <v>918</v>
      </c>
      <c r="D1028" s="242" t="s">
        <v>919</v>
      </c>
      <c r="E1028" s="242" t="s">
        <v>94</v>
      </c>
      <c r="F1028" s="231">
        <v>2880</v>
      </c>
      <c r="G1028" s="242" t="s">
        <v>510</v>
      </c>
      <c r="H1028" s="211" t="str">
        <f>IFERROR(VLOOKUP(E1028,名称!A:E,4,0),"")</f>
        <v>三代</v>
      </c>
      <c r="I1028" s="268" t="str">
        <f t="shared" ref="I1028:BR1028" si="1568">IF(OR($E1028="",I$1=""),"",IF(TRIM(LEFT($E1028,MIN(IFERROR(FIND("CDU",UPPER($E1028)),999),IFERROR(FIND("BULK",UPPER($E1028)),999),IFERROR(FIND("-",$E1028),999),IFERROR(FIND("（",$E1028),999))-1))=I$1,$F1028,""))</f>
        <v/>
      </c>
      <c r="J1028" s="268" t="str">
        <f t="shared" si="1568"/>
        <v/>
      </c>
      <c r="K1028" s="268" t="str">
        <f t="shared" si="1568"/>
        <v/>
      </c>
      <c r="L1028" s="268" t="str">
        <f t="shared" si="1568"/>
        <v/>
      </c>
      <c r="M1028" s="268" t="str">
        <f t="shared" si="1568"/>
        <v/>
      </c>
      <c r="N1028" s="268" t="str">
        <f t="shared" si="1568"/>
        <v/>
      </c>
      <c r="O1028" s="268" t="str">
        <f t="shared" si="1568"/>
        <v/>
      </c>
      <c r="P1028" s="268" t="str">
        <f t="shared" si="1568"/>
        <v/>
      </c>
      <c r="Q1028" s="268" t="str">
        <f t="shared" si="1568"/>
        <v/>
      </c>
      <c r="R1028" s="268" t="str">
        <f t="shared" si="1568"/>
        <v/>
      </c>
      <c r="S1028" s="268" t="str">
        <f t="shared" si="1568"/>
        <v/>
      </c>
      <c r="T1028" s="268" t="str">
        <f t="shared" si="1568"/>
        <v/>
      </c>
      <c r="U1028" s="268" t="str">
        <f t="shared" si="1568"/>
        <v/>
      </c>
      <c r="V1028" s="268" t="str">
        <f t="shared" si="1568"/>
        <v/>
      </c>
      <c r="W1028" s="268" t="str">
        <f t="shared" si="1568"/>
        <v/>
      </c>
      <c r="X1028" s="268" t="str">
        <f t="shared" si="1568"/>
        <v/>
      </c>
      <c r="Y1028" s="268" t="str">
        <f t="shared" si="1568"/>
        <v/>
      </c>
      <c r="Z1028" s="268" t="str">
        <f t="shared" si="1568"/>
        <v/>
      </c>
      <c r="AA1028" s="268" t="str">
        <f t="shared" si="1568"/>
        <v/>
      </c>
      <c r="AB1028" s="268" t="str">
        <f t="shared" si="1568"/>
        <v/>
      </c>
      <c r="AC1028" s="268" t="str">
        <f t="shared" si="1568"/>
        <v/>
      </c>
      <c r="AD1028" s="268" t="str">
        <f t="shared" si="1568"/>
        <v/>
      </c>
      <c r="AE1028" s="268" t="str">
        <f t="shared" si="1568"/>
        <v/>
      </c>
      <c r="AF1028" s="268" t="str">
        <f t="shared" si="1568"/>
        <v/>
      </c>
      <c r="AG1028" s="268" t="str">
        <f t="shared" si="1568"/>
        <v/>
      </c>
      <c r="AH1028" s="268" t="str">
        <f t="shared" si="1568"/>
        <v/>
      </c>
      <c r="AI1028" s="268" t="str">
        <f t="shared" si="1568"/>
        <v/>
      </c>
      <c r="AJ1028" s="268" t="str">
        <f t="shared" si="1568"/>
        <v/>
      </c>
      <c r="AK1028" s="268" t="str">
        <f t="shared" si="1568"/>
        <v/>
      </c>
      <c r="AL1028" s="268" t="str">
        <f t="shared" si="1568"/>
        <v/>
      </c>
      <c r="AM1028" s="268" t="str">
        <f t="shared" si="1568"/>
        <v/>
      </c>
      <c r="AN1028" s="268" t="str">
        <f t="shared" si="1568"/>
        <v/>
      </c>
      <c r="AO1028" s="268" t="str">
        <f t="shared" si="1568"/>
        <v/>
      </c>
      <c r="AP1028" s="268" t="str">
        <f t="shared" si="1568"/>
        <v/>
      </c>
      <c r="AQ1028" s="268" t="str">
        <f t="shared" si="1568"/>
        <v/>
      </c>
      <c r="AR1028" s="268" t="str">
        <f t="shared" si="1568"/>
        <v/>
      </c>
      <c r="AS1028" s="268" t="str">
        <f t="shared" si="1568"/>
        <v/>
      </c>
      <c r="AT1028" s="268" t="str">
        <f t="shared" si="1568"/>
        <v/>
      </c>
      <c r="AU1028" s="268" t="str">
        <f t="shared" si="1568"/>
        <v/>
      </c>
      <c r="AV1028" s="268" t="str">
        <f t="shared" si="1568"/>
        <v/>
      </c>
      <c r="AW1028" s="268" t="str">
        <f t="shared" si="1568"/>
        <v/>
      </c>
      <c r="AX1028" s="268" t="str">
        <f t="shared" si="1568"/>
        <v/>
      </c>
      <c r="AY1028" s="268">
        <f t="shared" si="1568"/>
        <v>2880</v>
      </c>
      <c r="AZ1028" s="268" t="str">
        <f t="shared" si="1568"/>
        <v/>
      </c>
      <c r="BA1028" s="268" t="str">
        <f t="shared" si="1568"/>
        <v/>
      </c>
      <c r="BB1028" s="268" t="str">
        <f t="shared" si="1568"/>
        <v/>
      </c>
      <c r="BC1028" s="268" t="str">
        <f t="shared" si="1568"/>
        <v/>
      </c>
      <c r="BD1028" s="268" t="str">
        <f t="shared" si="1568"/>
        <v/>
      </c>
      <c r="BE1028" s="268" t="str">
        <f t="shared" si="1568"/>
        <v/>
      </c>
      <c r="BF1028" s="268" t="str">
        <f t="shared" si="1568"/>
        <v/>
      </c>
      <c r="BG1028" s="268" t="str">
        <f t="shared" si="1568"/>
        <v/>
      </c>
      <c r="BH1028" s="268" t="str">
        <f t="shared" si="1568"/>
        <v/>
      </c>
      <c r="BI1028" s="268" t="str">
        <f t="shared" si="1568"/>
        <v/>
      </c>
      <c r="BJ1028" s="268" t="str">
        <f t="shared" si="1568"/>
        <v/>
      </c>
      <c r="BK1028" s="268" t="str">
        <f t="shared" si="1568"/>
        <v/>
      </c>
      <c r="BL1028" s="268" t="str">
        <f t="shared" si="1568"/>
        <v/>
      </c>
      <c r="BM1028" s="268" t="str">
        <f t="shared" si="1568"/>
        <v/>
      </c>
      <c r="BN1028" s="268" t="str">
        <f t="shared" si="1568"/>
        <v/>
      </c>
      <c r="BO1028" s="268" t="str">
        <f t="shared" si="1568"/>
        <v/>
      </c>
      <c r="BP1028" s="268" t="str">
        <f t="shared" si="1568"/>
        <v/>
      </c>
      <c r="BQ1028" s="268" t="str">
        <f t="shared" si="1545"/>
        <v/>
      </c>
      <c r="BR1028" s="268" t="str">
        <f t="shared" si="1546"/>
        <v/>
      </c>
      <c r="BS1028" s="268" t="str">
        <f t="shared" si="1547"/>
        <v/>
      </c>
      <c r="BT1028" s="268" t="str">
        <f t="shared" si="1549"/>
        <v/>
      </c>
      <c r="BU1028" s="268" t="str">
        <f t="shared" si="1550"/>
        <v/>
      </c>
      <c r="BV1028" s="247">
        <v>0.62</v>
      </c>
      <c r="BW1028" s="729">
        <f t="shared" si="1564"/>
        <v>1785.6</v>
      </c>
      <c r="BX1028" s="730">
        <f t="shared" si="1565"/>
        <v>13838.4</v>
      </c>
      <c r="BY1028" s="731" t="str">
        <f t="shared" si="1566"/>
        <v>SR</v>
      </c>
    </row>
    <row r="1029" s="698" customFormat="1" customHeight="1" spans="1:77">
      <c r="A1029" s="227">
        <v>46178</v>
      </c>
      <c r="B1029" s="248">
        <v>46230</v>
      </c>
      <c r="C1029" s="242" t="s">
        <v>918</v>
      </c>
      <c r="D1029" s="242" t="s">
        <v>919</v>
      </c>
      <c r="E1029" s="242" t="s">
        <v>92</v>
      </c>
      <c r="F1029" s="231">
        <v>3120</v>
      </c>
      <c r="G1029" s="242" t="s">
        <v>510</v>
      </c>
      <c r="H1029" s="211" t="str">
        <f>IFERROR(VLOOKUP(E1029,名称!A:E,4,0),"")</f>
        <v>三代</v>
      </c>
      <c r="I1029" s="268" t="str">
        <f t="shared" ref="I1029:BR1029" si="1569">IF(OR($E1029="",I$1=""),"",IF(TRIM(LEFT($E1029,MIN(IFERROR(FIND("CDU",UPPER($E1029)),999),IFERROR(FIND("BULK",UPPER($E1029)),999),IFERROR(FIND("-",$E1029),999),IFERROR(FIND("（",$E1029),999))-1))=I$1,$F1029,""))</f>
        <v/>
      </c>
      <c r="J1029" s="268" t="str">
        <f t="shared" si="1569"/>
        <v/>
      </c>
      <c r="K1029" s="268" t="str">
        <f t="shared" si="1569"/>
        <v/>
      </c>
      <c r="L1029" s="268" t="str">
        <f t="shared" si="1569"/>
        <v/>
      </c>
      <c r="M1029" s="268" t="str">
        <f t="shared" si="1569"/>
        <v/>
      </c>
      <c r="N1029" s="268" t="str">
        <f t="shared" si="1569"/>
        <v/>
      </c>
      <c r="O1029" s="268" t="str">
        <f t="shared" si="1569"/>
        <v/>
      </c>
      <c r="P1029" s="268" t="str">
        <f t="shared" si="1569"/>
        <v/>
      </c>
      <c r="Q1029" s="268" t="str">
        <f t="shared" si="1569"/>
        <v/>
      </c>
      <c r="R1029" s="268" t="str">
        <f t="shared" si="1569"/>
        <v/>
      </c>
      <c r="S1029" s="268" t="str">
        <f t="shared" si="1569"/>
        <v/>
      </c>
      <c r="T1029" s="268" t="str">
        <f t="shared" si="1569"/>
        <v/>
      </c>
      <c r="U1029" s="268" t="str">
        <f t="shared" si="1569"/>
        <v/>
      </c>
      <c r="V1029" s="268" t="str">
        <f t="shared" si="1569"/>
        <v/>
      </c>
      <c r="W1029" s="268" t="str">
        <f t="shared" si="1569"/>
        <v/>
      </c>
      <c r="X1029" s="268" t="str">
        <f t="shared" si="1569"/>
        <v/>
      </c>
      <c r="Y1029" s="268" t="str">
        <f t="shared" si="1569"/>
        <v/>
      </c>
      <c r="Z1029" s="268" t="str">
        <f t="shared" si="1569"/>
        <v/>
      </c>
      <c r="AA1029" s="268" t="str">
        <f t="shared" si="1569"/>
        <v/>
      </c>
      <c r="AB1029" s="268" t="str">
        <f t="shared" si="1569"/>
        <v/>
      </c>
      <c r="AC1029" s="268" t="str">
        <f t="shared" si="1569"/>
        <v/>
      </c>
      <c r="AD1029" s="268" t="str">
        <f t="shared" si="1569"/>
        <v/>
      </c>
      <c r="AE1029" s="268" t="str">
        <f t="shared" si="1569"/>
        <v/>
      </c>
      <c r="AF1029" s="268" t="str">
        <f t="shared" si="1569"/>
        <v/>
      </c>
      <c r="AG1029" s="268" t="str">
        <f t="shared" si="1569"/>
        <v/>
      </c>
      <c r="AH1029" s="268" t="str">
        <f t="shared" si="1569"/>
        <v/>
      </c>
      <c r="AI1029" s="268" t="str">
        <f t="shared" si="1569"/>
        <v/>
      </c>
      <c r="AJ1029" s="268" t="str">
        <f t="shared" si="1569"/>
        <v/>
      </c>
      <c r="AK1029" s="268" t="str">
        <f t="shared" si="1569"/>
        <v/>
      </c>
      <c r="AL1029" s="268" t="str">
        <f t="shared" si="1569"/>
        <v/>
      </c>
      <c r="AM1029" s="268" t="str">
        <f t="shared" si="1569"/>
        <v/>
      </c>
      <c r="AN1029" s="268" t="str">
        <f t="shared" si="1569"/>
        <v/>
      </c>
      <c r="AO1029" s="268" t="str">
        <f t="shared" si="1569"/>
        <v/>
      </c>
      <c r="AP1029" s="268" t="str">
        <f t="shared" si="1569"/>
        <v/>
      </c>
      <c r="AQ1029" s="268" t="str">
        <f t="shared" si="1569"/>
        <v/>
      </c>
      <c r="AR1029" s="268" t="str">
        <f t="shared" si="1569"/>
        <v/>
      </c>
      <c r="AS1029" s="268" t="str">
        <f t="shared" si="1569"/>
        <v/>
      </c>
      <c r="AT1029" s="268" t="str">
        <f t="shared" si="1569"/>
        <v/>
      </c>
      <c r="AU1029" s="268" t="str">
        <f t="shared" si="1569"/>
        <v/>
      </c>
      <c r="AV1029" s="268" t="str">
        <f t="shared" si="1569"/>
        <v/>
      </c>
      <c r="AW1029" s="268" t="str">
        <f t="shared" si="1569"/>
        <v/>
      </c>
      <c r="AX1029" s="268">
        <f t="shared" si="1569"/>
        <v>3120</v>
      </c>
      <c r="AY1029" s="268" t="str">
        <f t="shared" si="1569"/>
        <v/>
      </c>
      <c r="AZ1029" s="268" t="str">
        <f t="shared" si="1569"/>
        <v/>
      </c>
      <c r="BA1029" s="268" t="str">
        <f t="shared" si="1569"/>
        <v/>
      </c>
      <c r="BB1029" s="268" t="str">
        <f t="shared" si="1569"/>
        <v/>
      </c>
      <c r="BC1029" s="268" t="str">
        <f t="shared" si="1569"/>
        <v/>
      </c>
      <c r="BD1029" s="268" t="str">
        <f t="shared" si="1569"/>
        <v/>
      </c>
      <c r="BE1029" s="268" t="str">
        <f t="shared" si="1569"/>
        <v/>
      </c>
      <c r="BF1029" s="268" t="str">
        <f t="shared" si="1569"/>
        <v/>
      </c>
      <c r="BG1029" s="268" t="str">
        <f t="shared" si="1569"/>
        <v/>
      </c>
      <c r="BH1029" s="268" t="str">
        <f t="shared" si="1569"/>
        <v/>
      </c>
      <c r="BI1029" s="268" t="str">
        <f t="shared" si="1569"/>
        <v/>
      </c>
      <c r="BJ1029" s="268" t="str">
        <f t="shared" si="1569"/>
        <v/>
      </c>
      <c r="BK1029" s="268" t="str">
        <f t="shared" si="1569"/>
        <v/>
      </c>
      <c r="BL1029" s="268" t="str">
        <f t="shared" si="1569"/>
        <v/>
      </c>
      <c r="BM1029" s="268" t="str">
        <f t="shared" si="1569"/>
        <v/>
      </c>
      <c r="BN1029" s="268" t="str">
        <f t="shared" si="1569"/>
        <v/>
      </c>
      <c r="BO1029" s="268" t="str">
        <f t="shared" si="1569"/>
        <v/>
      </c>
      <c r="BP1029" s="268" t="str">
        <f t="shared" si="1569"/>
        <v/>
      </c>
      <c r="BQ1029" s="268" t="str">
        <f t="shared" si="1545"/>
        <v/>
      </c>
      <c r="BR1029" s="268" t="str">
        <f t="shared" si="1546"/>
        <v/>
      </c>
      <c r="BS1029" s="268" t="str">
        <f t="shared" si="1547"/>
        <v/>
      </c>
      <c r="BT1029" s="268" t="str">
        <f t="shared" si="1549"/>
        <v/>
      </c>
      <c r="BU1029" s="268" t="str">
        <f t="shared" si="1550"/>
        <v/>
      </c>
      <c r="BV1029" s="247">
        <v>0.86</v>
      </c>
      <c r="BW1029" s="729">
        <f t="shared" si="1564"/>
        <v>2683.2</v>
      </c>
      <c r="BX1029" s="730">
        <f t="shared" si="1565"/>
        <v>20794.8</v>
      </c>
      <c r="BY1029" s="731" t="str">
        <f t="shared" si="1566"/>
        <v>SR</v>
      </c>
    </row>
    <row r="1030" s="698" customFormat="1" customHeight="1" spans="1:77">
      <c r="A1030" s="227">
        <v>46178</v>
      </c>
      <c r="B1030" s="248">
        <v>46230</v>
      </c>
      <c r="C1030" s="242" t="s">
        <v>918</v>
      </c>
      <c r="D1030" s="242" t="s">
        <v>919</v>
      </c>
      <c r="E1030" s="242" t="s">
        <v>95</v>
      </c>
      <c r="F1030" s="231">
        <v>1008</v>
      </c>
      <c r="G1030" s="242" t="s">
        <v>510</v>
      </c>
      <c r="H1030" s="211" t="str">
        <f>IFERROR(VLOOKUP(E1030,名称!A:E,4,0),"")</f>
        <v>三代</v>
      </c>
      <c r="I1030" s="268" t="str">
        <f t="shared" ref="I1030:BR1030" si="1570">IF(OR($E1030="",I$1=""),"",IF(TRIM(LEFT($E1030,MIN(IFERROR(FIND("CDU",UPPER($E1030)),999),IFERROR(FIND("BULK",UPPER($E1030)),999),IFERROR(FIND("-",$E1030),999),IFERROR(FIND("（",$E1030),999))-1))=I$1,$F1030,""))</f>
        <v/>
      </c>
      <c r="J1030" s="268" t="str">
        <f t="shared" si="1570"/>
        <v/>
      </c>
      <c r="K1030" s="268" t="str">
        <f t="shared" si="1570"/>
        <v/>
      </c>
      <c r="L1030" s="268" t="str">
        <f t="shared" si="1570"/>
        <v/>
      </c>
      <c r="M1030" s="268" t="str">
        <f t="shared" si="1570"/>
        <v/>
      </c>
      <c r="N1030" s="268" t="str">
        <f t="shared" si="1570"/>
        <v/>
      </c>
      <c r="O1030" s="268" t="str">
        <f t="shared" si="1570"/>
        <v/>
      </c>
      <c r="P1030" s="268" t="str">
        <f t="shared" si="1570"/>
        <v/>
      </c>
      <c r="Q1030" s="268" t="str">
        <f t="shared" si="1570"/>
        <v/>
      </c>
      <c r="R1030" s="268" t="str">
        <f t="shared" si="1570"/>
        <v/>
      </c>
      <c r="S1030" s="268" t="str">
        <f t="shared" si="1570"/>
        <v/>
      </c>
      <c r="T1030" s="268" t="str">
        <f t="shared" si="1570"/>
        <v/>
      </c>
      <c r="U1030" s="268" t="str">
        <f t="shared" si="1570"/>
        <v/>
      </c>
      <c r="V1030" s="268" t="str">
        <f t="shared" si="1570"/>
        <v/>
      </c>
      <c r="W1030" s="268" t="str">
        <f t="shared" si="1570"/>
        <v/>
      </c>
      <c r="X1030" s="268" t="str">
        <f t="shared" si="1570"/>
        <v/>
      </c>
      <c r="Y1030" s="268" t="str">
        <f t="shared" si="1570"/>
        <v/>
      </c>
      <c r="Z1030" s="268" t="str">
        <f t="shared" si="1570"/>
        <v/>
      </c>
      <c r="AA1030" s="268" t="str">
        <f t="shared" si="1570"/>
        <v/>
      </c>
      <c r="AB1030" s="268" t="str">
        <f t="shared" si="1570"/>
        <v/>
      </c>
      <c r="AC1030" s="268" t="str">
        <f t="shared" si="1570"/>
        <v/>
      </c>
      <c r="AD1030" s="268" t="str">
        <f t="shared" si="1570"/>
        <v/>
      </c>
      <c r="AE1030" s="268" t="str">
        <f t="shared" si="1570"/>
        <v/>
      </c>
      <c r="AF1030" s="268" t="str">
        <f t="shared" si="1570"/>
        <v/>
      </c>
      <c r="AG1030" s="268" t="str">
        <f t="shared" si="1570"/>
        <v/>
      </c>
      <c r="AH1030" s="268" t="str">
        <f t="shared" si="1570"/>
        <v/>
      </c>
      <c r="AI1030" s="268" t="str">
        <f t="shared" si="1570"/>
        <v/>
      </c>
      <c r="AJ1030" s="268" t="str">
        <f t="shared" si="1570"/>
        <v/>
      </c>
      <c r="AK1030" s="268" t="str">
        <f t="shared" si="1570"/>
        <v/>
      </c>
      <c r="AL1030" s="268" t="str">
        <f t="shared" si="1570"/>
        <v/>
      </c>
      <c r="AM1030" s="268" t="str">
        <f t="shared" si="1570"/>
        <v/>
      </c>
      <c r="AN1030" s="268" t="str">
        <f t="shared" si="1570"/>
        <v/>
      </c>
      <c r="AO1030" s="268" t="str">
        <f t="shared" si="1570"/>
        <v/>
      </c>
      <c r="AP1030" s="268" t="str">
        <f t="shared" si="1570"/>
        <v/>
      </c>
      <c r="AQ1030" s="268" t="str">
        <f t="shared" si="1570"/>
        <v/>
      </c>
      <c r="AR1030" s="268" t="str">
        <f t="shared" si="1570"/>
        <v/>
      </c>
      <c r="AS1030" s="268" t="str">
        <f t="shared" si="1570"/>
        <v/>
      </c>
      <c r="AT1030" s="268" t="str">
        <f t="shared" si="1570"/>
        <v/>
      </c>
      <c r="AU1030" s="268" t="str">
        <f t="shared" si="1570"/>
        <v/>
      </c>
      <c r="AV1030" s="268" t="str">
        <f t="shared" si="1570"/>
        <v/>
      </c>
      <c r="AW1030" s="268" t="str">
        <f t="shared" si="1570"/>
        <v/>
      </c>
      <c r="AX1030" s="268" t="str">
        <f t="shared" si="1570"/>
        <v/>
      </c>
      <c r="AY1030" s="268" t="str">
        <f t="shared" si="1570"/>
        <v/>
      </c>
      <c r="AZ1030" s="268">
        <f t="shared" si="1570"/>
        <v>1008</v>
      </c>
      <c r="BA1030" s="268" t="str">
        <f t="shared" si="1570"/>
        <v/>
      </c>
      <c r="BB1030" s="268" t="str">
        <f t="shared" si="1570"/>
        <v/>
      </c>
      <c r="BC1030" s="268" t="str">
        <f t="shared" si="1570"/>
        <v/>
      </c>
      <c r="BD1030" s="268" t="str">
        <f t="shared" si="1570"/>
        <v/>
      </c>
      <c r="BE1030" s="268" t="str">
        <f t="shared" si="1570"/>
        <v/>
      </c>
      <c r="BF1030" s="268" t="str">
        <f t="shared" si="1570"/>
        <v/>
      </c>
      <c r="BG1030" s="268" t="str">
        <f t="shared" si="1570"/>
        <v/>
      </c>
      <c r="BH1030" s="268" t="str">
        <f t="shared" si="1570"/>
        <v/>
      </c>
      <c r="BI1030" s="268" t="str">
        <f t="shared" si="1570"/>
        <v/>
      </c>
      <c r="BJ1030" s="268" t="str">
        <f t="shared" si="1570"/>
        <v/>
      </c>
      <c r="BK1030" s="268" t="str">
        <f t="shared" si="1570"/>
        <v/>
      </c>
      <c r="BL1030" s="268" t="str">
        <f t="shared" si="1570"/>
        <v/>
      </c>
      <c r="BM1030" s="268" t="str">
        <f t="shared" si="1570"/>
        <v/>
      </c>
      <c r="BN1030" s="268" t="str">
        <f t="shared" si="1570"/>
        <v/>
      </c>
      <c r="BO1030" s="268" t="str">
        <f t="shared" si="1570"/>
        <v/>
      </c>
      <c r="BP1030" s="268" t="str">
        <f t="shared" si="1570"/>
        <v/>
      </c>
      <c r="BQ1030" s="268" t="str">
        <f t="shared" si="1545"/>
        <v/>
      </c>
      <c r="BR1030" s="268" t="str">
        <f t="shared" si="1546"/>
        <v/>
      </c>
      <c r="BS1030" s="268" t="str">
        <f t="shared" si="1547"/>
        <v/>
      </c>
      <c r="BT1030" s="268" t="str">
        <f t="shared" si="1549"/>
        <v/>
      </c>
      <c r="BU1030" s="268" t="str">
        <f t="shared" si="1550"/>
        <v/>
      </c>
      <c r="BV1030" s="247">
        <v>3.09</v>
      </c>
      <c r="BW1030" s="729">
        <f t="shared" si="1564"/>
        <v>3114.72</v>
      </c>
      <c r="BX1030" s="730">
        <f t="shared" si="1565"/>
        <v>24139.08</v>
      </c>
      <c r="BY1030" s="731" t="str">
        <f t="shared" si="1566"/>
        <v>SR</v>
      </c>
    </row>
    <row r="1031" s="698" customFormat="1" customHeight="1" spans="1:77">
      <c r="A1031" s="227">
        <v>46178</v>
      </c>
      <c r="B1031" s="248">
        <v>46230</v>
      </c>
      <c r="C1031" s="242" t="s">
        <v>918</v>
      </c>
      <c r="D1031" s="242" t="s">
        <v>919</v>
      </c>
      <c r="E1031" s="242" t="s">
        <v>179</v>
      </c>
      <c r="F1031" s="231">
        <v>2400</v>
      </c>
      <c r="G1031" s="242" t="s">
        <v>510</v>
      </c>
      <c r="H1031" s="211" t="str">
        <f>IFERROR(VLOOKUP(E1031,名称!A:E,4,0),"")</f>
        <v>三代</v>
      </c>
      <c r="I1031" s="268" t="str">
        <f t="shared" ref="I1031:BR1031" si="1571">IF(OR($E1031="",I$1=""),"",IF(TRIM(LEFT($E1031,MIN(IFERROR(FIND("CDU",UPPER($E1031)),999),IFERROR(FIND("BULK",UPPER($E1031)),999),IFERROR(FIND("-",$E1031),999),IFERROR(FIND("（",$E1031),999))-1))=I$1,$F1031,""))</f>
        <v/>
      </c>
      <c r="J1031" s="268" t="str">
        <f t="shared" si="1571"/>
        <v/>
      </c>
      <c r="K1031" s="268" t="str">
        <f t="shared" si="1571"/>
        <v/>
      </c>
      <c r="L1031" s="268" t="str">
        <f t="shared" si="1571"/>
        <v/>
      </c>
      <c r="M1031" s="268" t="str">
        <f t="shared" si="1571"/>
        <v/>
      </c>
      <c r="N1031" s="268" t="str">
        <f t="shared" si="1571"/>
        <v/>
      </c>
      <c r="O1031" s="268" t="str">
        <f t="shared" si="1571"/>
        <v/>
      </c>
      <c r="P1031" s="268" t="str">
        <f t="shared" si="1571"/>
        <v/>
      </c>
      <c r="Q1031" s="268" t="str">
        <f t="shared" si="1571"/>
        <v/>
      </c>
      <c r="R1031" s="268" t="str">
        <f t="shared" si="1571"/>
        <v/>
      </c>
      <c r="S1031" s="268" t="str">
        <f t="shared" si="1571"/>
        <v/>
      </c>
      <c r="T1031" s="268" t="str">
        <f t="shared" si="1571"/>
        <v/>
      </c>
      <c r="U1031" s="268" t="str">
        <f t="shared" si="1571"/>
        <v/>
      </c>
      <c r="V1031" s="268" t="str">
        <f t="shared" si="1571"/>
        <v/>
      </c>
      <c r="W1031" s="268" t="str">
        <f t="shared" si="1571"/>
        <v/>
      </c>
      <c r="X1031" s="268" t="str">
        <f t="shared" si="1571"/>
        <v/>
      </c>
      <c r="Y1031" s="268" t="str">
        <f t="shared" si="1571"/>
        <v/>
      </c>
      <c r="Z1031" s="268" t="str">
        <f t="shared" si="1571"/>
        <v/>
      </c>
      <c r="AA1031" s="268" t="str">
        <f t="shared" si="1571"/>
        <v/>
      </c>
      <c r="AB1031" s="268" t="str">
        <f t="shared" si="1571"/>
        <v/>
      </c>
      <c r="AC1031" s="268" t="str">
        <f t="shared" si="1571"/>
        <v/>
      </c>
      <c r="AD1031" s="268" t="str">
        <f t="shared" si="1571"/>
        <v/>
      </c>
      <c r="AE1031" s="268" t="str">
        <f t="shared" si="1571"/>
        <v/>
      </c>
      <c r="AF1031" s="268" t="str">
        <f t="shared" si="1571"/>
        <v/>
      </c>
      <c r="AG1031" s="268" t="str">
        <f t="shared" si="1571"/>
        <v/>
      </c>
      <c r="AH1031" s="268" t="str">
        <f t="shared" si="1571"/>
        <v/>
      </c>
      <c r="AI1031" s="268" t="str">
        <f t="shared" si="1571"/>
        <v/>
      </c>
      <c r="AJ1031" s="268" t="str">
        <f t="shared" si="1571"/>
        <v/>
      </c>
      <c r="AK1031" s="268" t="str">
        <f t="shared" si="1571"/>
        <v/>
      </c>
      <c r="AL1031" s="268" t="str">
        <f t="shared" si="1571"/>
        <v/>
      </c>
      <c r="AM1031" s="268" t="str">
        <f t="shared" si="1571"/>
        <v/>
      </c>
      <c r="AN1031" s="268" t="str">
        <f t="shared" si="1571"/>
        <v/>
      </c>
      <c r="AO1031" s="268">
        <f t="shared" si="1571"/>
        <v>2400</v>
      </c>
      <c r="AP1031" s="268" t="str">
        <f t="shared" si="1571"/>
        <v/>
      </c>
      <c r="AQ1031" s="268" t="str">
        <f t="shared" si="1571"/>
        <v/>
      </c>
      <c r="AR1031" s="268" t="str">
        <f t="shared" si="1571"/>
        <v/>
      </c>
      <c r="AS1031" s="268" t="str">
        <f t="shared" si="1571"/>
        <v/>
      </c>
      <c r="AT1031" s="268" t="str">
        <f t="shared" si="1571"/>
        <v/>
      </c>
      <c r="AU1031" s="268" t="str">
        <f t="shared" si="1571"/>
        <v/>
      </c>
      <c r="AV1031" s="268" t="str">
        <f t="shared" si="1571"/>
        <v/>
      </c>
      <c r="AW1031" s="268" t="str">
        <f t="shared" si="1571"/>
        <v/>
      </c>
      <c r="AX1031" s="268" t="str">
        <f t="shared" si="1571"/>
        <v/>
      </c>
      <c r="AY1031" s="268" t="str">
        <f t="shared" si="1571"/>
        <v/>
      </c>
      <c r="AZ1031" s="268" t="str">
        <f t="shared" si="1571"/>
        <v/>
      </c>
      <c r="BA1031" s="268" t="str">
        <f t="shared" si="1571"/>
        <v/>
      </c>
      <c r="BB1031" s="268" t="str">
        <f t="shared" si="1571"/>
        <v/>
      </c>
      <c r="BC1031" s="268" t="str">
        <f t="shared" si="1571"/>
        <v/>
      </c>
      <c r="BD1031" s="268" t="str">
        <f t="shared" si="1571"/>
        <v/>
      </c>
      <c r="BE1031" s="268" t="str">
        <f t="shared" si="1571"/>
        <v/>
      </c>
      <c r="BF1031" s="268" t="str">
        <f t="shared" si="1571"/>
        <v/>
      </c>
      <c r="BG1031" s="268" t="str">
        <f t="shared" si="1571"/>
        <v/>
      </c>
      <c r="BH1031" s="268" t="str">
        <f t="shared" si="1571"/>
        <v/>
      </c>
      <c r="BI1031" s="268" t="str">
        <f t="shared" si="1571"/>
        <v/>
      </c>
      <c r="BJ1031" s="268" t="str">
        <f t="shared" si="1571"/>
        <v/>
      </c>
      <c r="BK1031" s="268" t="str">
        <f t="shared" si="1571"/>
        <v/>
      </c>
      <c r="BL1031" s="268" t="str">
        <f t="shared" si="1571"/>
        <v/>
      </c>
      <c r="BM1031" s="268" t="str">
        <f t="shared" si="1571"/>
        <v/>
      </c>
      <c r="BN1031" s="268" t="str">
        <f t="shared" si="1571"/>
        <v/>
      </c>
      <c r="BO1031" s="268" t="str">
        <f t="shared" si="1571"/>
        <v/>
      </c>
      <c r="BP1031" s="268" t="str">
        <f t="shared" si="1571"/>
        <v/>
      </c>
      <c r="BQ1031" s="268" t="str">
        <f t="shared" si="1545"/>
        <v/>
      </c>
      <c r="BR1031" s="268" t="str">
        <f t="shared" si="1546"/>
        <v/>
      </c>
      <c r="BS1031" s="268" t="str">
        <f t="shared" si="1547"/>
        <v/>
      </c>
      <c r="BT1031" s="268" t="str">
        <f t="shared" si="1549"/>
        <v/>
      </c>
      <c r="BU1031" s="268" t="str">
        <f t="shared" si="1550"/>
        <v/>
      </c>
      <c r="BV1031" s="247">
        <v>0.6</v>
      </c>
      <c r="BW1031" s="729">
        <f t="shared" si="1564"/>
        <v>1440</v>
      </c>
      <c r="BX1031" s="730">
        <f t="shared" si="1565"/>
        <v>11160</v>
      </c>
      <c r="BY1031" s="731" t="str">
        <f t="shared" si="1566"/>
        <v>SR</v>
      </c>
    </row>
    <row r="1032" s="698" customFormat="1" customHeight="1" spans="1:77">
      <c r="A1032" s="227">
        <v>46178</v>
      </c>
      <c r="B1032" s="248">
        <v>46230</v>
      </c>
      <c r="C1032" s="242" t="s">
        <v>918</v>
      </c>
      <c r="D1032" s="242" t="s">
        <v>919</v>
      </c>
      <c r="E1032" s="242" t="s">
        <v>119</v>
      </c>
      <c r="F1032" s="231">
        <v>1440</v>
      </c>
      <c r="G1032" s="242" t="s">
        <v>510</v>
      </c>
      <c r="H1032" s="211" t="str">
        <f>IFERROR(VLOOKUP(E1032,名称!A:E,4,0),"")</f>
        <v>三代</v>
      </c>
      <c r="I1032" s="268" t="str">
        <f t="shared" ref="I1032:BR1032" si="1572">IF(OR($E1032="",I$1=""),"",IF(TRIM(LEFT($E1032,MIN(IFERROR(FIND("CDU",UPPER($E1032)),999),IFERROR(FIND("BULK",UPPER($E1032)),999),IFERROR(FIND("-",$E1032),999),IFERROR(FIND("（",$E1032),999))-1))=I$1,$F1032,""))</f>
        <v/>
      </c>
      <c r="J1032" s="268" t="str">
        <f t="shared" si="1572"/>
        <v/>
      </c>
      <c r="K1032" s="268" t="str">
        <f t="shared" si="1572"/>
        <v/>
      </c>
      <c r="L1032" s="268" t="str">
        <f t="shared" si="1572"/>
        <v/>
      </c>
      <c r="M1032" s="268" t="str">
        <f t="shared" si="1572"/>
        <v/>
      </c>
      <c r="N1032" s="268" t="str">
        <f t="shared" si="1572"/>
        <v/>
      </c>
      <c r="O1032" s="268" t="str">
        <f t="shared" si="1572"/>
        <v/>
      </c>
      <c r="P1032" s="268" t="str">
        <f t="shared" si="1572"/>
        <v/>
      </c>
      <c r="Q1032" s="268" t="str">
        <f t="shared" si="1572"/>
        <v/>
      </c>
      <c r="R1032" s="268" t="str">
        <f t="shared" si="1572"/>
        <v/>
      </c>
      <c r="S1032" s="268" t="str">
        <f t="shared" si="1572"/>
        <v/>
      </c>
      <c r="T1032" s="268" t="str">
        <f t="shared" si="1572"/>
        <v/>
      </c>
      <c r="U1032" s="268" t="str">
        <f t="shared" si="1572"/>
        <v/>
      </c>
      <c r="V1032" s="268" t="str">
        <f t="shared" si="1572"/>
        <v/>
      </c>
      <c r="W1032" s="268" t="str">
        <f t="shared" si="1572"/>
        <v/>
      </c>
      <c r="X1032" s="268" t="str">
        <f t="shared" si="1572"/>
        <v/>
      </c>
      <c r="Y1032" s="268" t="str">
        <f t="shared" si="1572"/>
        <v/>
      </c>
      <c r="Z1032" s="268" t="str">
        <f t="shared" si="1572"/>
        <v/>
      </c>
      <c r="AA1032" s="268" t="str">
        <f t="shared" si="1572"/>
        <v/>
      </c>
      <c r="AB1032" s="268" t="str">
        <f t="shared" si="1572"/>
        <v/>
      </c>
      <c r="AC1032" s="268" t="str">
        <f t="shared" si="1572"/>
        <v/>
      </c>
      <c r="AD1032" s="268" t="str">
        <f t="shared" si="1572"/>
        <v/>
      </c>
      <c r="AE1032" s="268" t="str">
        <f t="shared" si="1572"/>
        <v/>
      </c>
      <c r="AF1032" s="268" t="str">
        <f t="shared" si="1572"/>
        <v/>
      </c>
      <c r="AG1032" s="268" t="str">
        <f t="shared" si="1572"/>
        <v/>
      </c>
      <c r="AH1032" s="268" t="str">
        <f t="shared" si="1572"/>
        <v/>
      </c>
      <c r="AI1032" s="268" t="str">
        <f t="shared" si="1572"/>
        <v/>
      </c>
      <c r="AJ1032" s="268" t="str">
        <f t="shared" si="1572"/>
        <v/>
      </c>
      <c r="AK1032" s="268" t="str">
        <f t="shared" si="1572"/>
        <v/>
      </c>
      <c r="AL1032" s="268" t="str">
        <f t="shared" si="1572"/>
        <v/>
      </c>
      <c r="AM1032" s="268" t="str">
        <f t="shared" si="1572"/>
        <v/>
      </c>
      <c r="AN1032" s="268" t="str">
        <f t="shared" si="1572"/>
        <v/>
      </c>
      <c r="AO1032" s="268" t="str">
        <f t="shared" si="1572"/>
        <v/>
      </c>
      <c r="AP1032" s="268">
        <f t="shared" si="1572"/>
        <v>1440</v>
      </c>
      <c r="AQ1032" s="268" t="str">
        <f t="shared" si="1572"/>
        <v/>
      </c>
      <c r="AR1032" s="268" t="str">
        <f t="shared" si="1572"/>
        <v/>
      </c>
      <c r="AS1032" s="268" t="str">
        <f t="shared" si="1572"/>
        <v/>
      </c>
      <c r="AT1032" s="268" t="str">
        <f t="shared" si="1572"/>
        <v/>
      </c>
      <c r="AU1032" s="268" t="str">
        <f t="shared" si="1572"/>
        <v/>
      </c>
      <c r="AV1032" s="268" t="str">
        <f t="shared" si="1572"/>
        <v/>
      </c>
      <c r="AW1032" s="268" t="str">
        <f t="shared" si="1572"/>
        <v/>
      </c>
      <c r="AX1032" s="268" t="str">
        <f t="shared" si="1572"/>
        <v/>
      </c>
      <c r="AY1032" s="268" t="str">
        <f t="shared" si="1572"/>
        <v/>
      </c>
      <c r="AZ1032" s="268" t="str">
        <f t="shared" si="1572"/>
        <v/>
      </c>
      <c r="BA1032" s="268" t="str">
        <f t="shared" si="1572"/>
        <v/>
      </c>
      <c r="BB1032" s="268" t="str">
        <f t="shared" si="1572"/>
        <v/>
      </c>
      <c r="BC1032" s="268" t="str">
        <f t="shared" si="1572"/>
        <v/>
      </c>
      <c r="BD1032" s="268" t="str">
        <f t="shared" si="1572"/>
        <v/>
      </c>
      <c r="BE1032" s="268" t="str">
        <f t="shared" si="1572"/>
        <v/>
      </c>
      <c r="BF1032" s="268" t="str">
        <f t="shared" si="1572"/>
        <v/>
      </c>
      <c r="BG1032" s="268" t="str">
        <f t="shared" si="1572"/>
        <v/>
      </c>
      <c r="BH1032" s="268" t="str">
        <f t="shared" si="1572"/>
        <v/>
      </c>
      <c r="BI1032" s="268" t="str">
        <f t="shared" si="1572"/>
        <v/>
      </c>
      <c r="BJ1032" s="268" t="str">
        <f t="shared" si="1572"/>
        <v/>
      </c>
      <c r="BK1032" s="268" t="str">
        <f t="shared" si="1572"/>
        <v/>
      </c>
      <c r="BL1032" s="268" t="str">
        <f t="shared" si="1572"/>
        <v/>
      </c>
      <c r="BM1032" s="268" t="str">
        <f t="shared" si="1572"/>
        <v/>
      </c>
      <c r="BN1032" s="268" t="str">
        <f t="shared" si="1572"/>
        <v/>
      </c>
      <c r="BO1032" s="268" t="str">
        <f t="shared" si="1572"/>
        <v/>
      </c>
      <c r="BP1032" s="268" t="str">
        <f t="shared" si="1572"/>
        <v/>
      </c>
      <c r="BQ1032" s="268" t="str">
        <f t="shared" si="1545"/>
        <v/>
      </c>
      <c r="BR1032" s="268" t="str">
        <f t="shared" si="1546"/>
        <v/>
      </c>
      <c r="BS1032" s="268" t="str">
        <f t="shared" si="1547"/>
        <v/>
      </c>
      <c r="BT1032" s="268" t="str">
        <f t="shared" si="1549"/>
        <v/>
      </c>
      <c r="BU1032" s="268" t="str">
        <f t="shared" si="1550"/>
        <v/>
      </c>
      <c r="BV1032" s="247">
        <v>0.61</v>
      </c>
      <c r="BW1032" s="729">
        <f t="shared" si="1564"/>
        <v>878.4</v>
      </c>
      <c r="BX1032" s="730">
        <f t="shared" si="1565"/>
        <v>6807.6</v>
      </c>
      <c r="BY1032" s="731" t="str">
        <f t="shared" si="1566"/>
        <v>SR</v>
      </c>
    </row>
    <row r="1033" s="697" customFormat="1" customHeight="1" spans="1:77">
      <c r="A1033" s="174">
        <v>46178</v>
      </c>
      <c r="B1033" s="140">
        <v>46321</v>
      </c>
      <c r="C1033" s="176">
        <v>6957956</v>
      </c>
      <c r="D1033" s="176" t="s">
        <v>920</v>
      </c>
      <c r="E1033" s="176" t="s">
        <v>199</v>
      </c>
      <c r="F1033" s="741">
        <v>75000</v>
      </c>
      <c r="G1033" s="176" t="s">
        <v>270</v>
      </c>
      <c r="H1033" s="118" t="str">
        <f>IFERROR(VLOOKUP(E1033,名称!A:E,4,0),"")</f>
        <v>三代</v>
      </c>
      <c r="I1033" s="418" t="str">
        <f t="shared" ref="I1033:BR1033" si="1573">IF(OR($E1033="",I$1=""),"",IF(TRIM(LEFT($E1033,MIN(IFERROR(FIND("CDU",UPPER($E1033)),999),IFERROR(FIND("BULK",UPPER($E1033)),999),IFERROR(FIND("-",$E1033),999),IFERROR(FIND("（",$E1033),999))-1))=I$1,$F1033,""))</f>
        <v/>
      </c>
      <c r="J1033" s="418" t="str">
        <f t="shared" si="1573"/>
        <v/>
      </c>
      <c r="K1033" s="418" t="str">
        <f t="shared" si="1573"/>
        <v/>
      </c>
      <c r="L1033" s="418" t="str">
        <f t="shared" si="1573"/>
        <v/>
      </c>
      <c r="M1033" s="418" t="str">
        <f t="shared" si="1573"/>
        <v/>
      </c>
      <c r="N1033" s="418" t="str">
        <f t="shared" si="1573"/>
        <v/>
      </c>
      <c r="O1033" s="418" t="str">
        <f t="shared" si="1573"/>
        <v/>
      </c>
      <c r="P1033" s="418" t="str">
        <f t="shared" si="1573"/>
        <v/>
      </c>
      <c r="Q1033" s="418" t="str">
        <f t="shared" si="1573"/>
        <v/>
      </c>
      <c r="R1033" s="418" t="str">
        <f t="shared" si="1573"/>
        <v/>
      </c>
      <c r="S1033" s="418" t="str">
        <f t="shared" si="1573"/>
        <v/>
      </c>
      <c r="T1033" s="418" t="str">
        <f t="shared" si="1573"/>
        <v/>
      </c>
      <c r="U1033" s="418" t="str">
        <f t="shared" si="1573"/>
        <v/>
      </c>
      <c r="V1033" s="418" t="str">
        <f t="shared" si="1573"/>
        <v/>
      </c>
      <c r="W1033" s="418" t="str">
        <f t="shared" si="1573"/>
        <v/>
      </c>
      <c r="X1033" s="418" t="str">
        <f t="shared" si="1573"/>
        <v/>
      </c>
      <c r="Y1033" s="418" t="str">
        <f t="shared" si="1573"/>
        <v/>
      </c>
      <c r="Z1033" s="418" t="str">
        <f t="shared" si="1573"/>
        <v/>
      </c>
      <c r="AA1033" s="418" t="str">
        <f t="shared" si="1573"/>
        <v/>
      </c>
      <c r="AB1033" s="418" t="str">
        <f t="shared" si="1573"/>
        <v/>
      </c>
      <c r="AC1033" s="418" t="str">
        <f t="shared" si="1573"/>
        <v/>
      </c>
      <c r="AD1033" s="418" t="str">
        <f t="shared" si="1573"/>
        <v/>
      </c>
      <c r="AE1033" s="418" t="str">
        <f t="shared" si="1573"/>
        <v/>
      </c>
      <c r="AF1033" s="418" t="str">
        <f t="shared" si="1573"/>
        <v/>
      </c>
      <c r="AG1033" s="418" t="str">
        <f t="shared" si="1573"/>
        <v/>
      </c>
      <c r="AH1033" s="418" t="str">
        <f t="shared" si="1573"/>
        <v/>
      </c>
      <c r="AI1033" s="418" t="str">
        <f t="shared" si="1573"/>
        <v/>
      </c>
      <c r="AJ1033" s="418" t="str">
        <f t="shared" si="1573"/>
        <v/>
      </c>
      <c r="AK1033" s="418" t="str">
        <f t="shared" si="1573"/>
        <v/>
      </c>
      <c r="AL1033" s="418" t="str">
        <f t="shared" si="1573"/>
        <v/>
      </c>
      <c r="AM1033" s="418" t="str">
        <f t="shared" si="1573"/>
        <v/>
      </c>
      <c r="AN1033" s="418" t="str">
        <f t="shared" si="1573"/>
        <v/>
      </c>
      <c r="AO1033" s="418" t="str">
        <f t="shared" si="1573"/>
        <v/>
      </c>
      <c r="AP1033" s="418" t="str">
        <f t="shared" si="1573"/>
        <v/>
      </c>
      <c r="AQ1033" s="418" t="str">
        <f t="shared" si="1573"/>
        <v/>
      </c>
      <c r="AR1033" s="418" t="str">
        <f t="shared" si="1573"/>
        <v/>
      </c>
      <c r="AS1033" s="418" t="str">
        <f t="shared" si="1573"/>
        <v/>
      </c>
      <c r="AT1033" s="418" t="str">
        <f t="shared" si="1573"/>
        <v/>
      </c>
      <c r="AU1033" s="418" t="str">
        <f t="shared" si="1573"/>
        <v/>
      </c>
      <c r="AV1033" s="418" t="str">
        <f t="shared" si="1573"/>
        <v/>
      </c>
      <c r="AW1033" s="418" t="str">
        <f t="shared" si="1573"/>
        <v/>
      </c>
      <c r="AX1033" s="418" t="str">
        <f t="shared" si="1573"/>
        <v/>
      </c>
      <c r="AY1033" s="418" t="str">
        <f t="shared" si="1573"/>
        <v/>
      </c>
      <c r="AZ1033" s="418" t="str">
        <f t="shared" si="1573"/>
        <v/>
      </c>
      <c r="BA1033" s="418" t="str">
        <f t="shared" si="1573"/>
        <v/>
      </c>
      <c r="BB1033" s="418" t="str">
        <f t="shared" si="1573"/>
        <v/>
      </c>
      <c r="BC1033" s="418" t="str">
        <f t="shared" si="1573"/>
        <v/>
      </c>
      <c r="BD1033" s="418" t="str">
        <f t="shared" si="1573"/>
        <v/>
      </c>
      <c r="BE1033" s="418" t="str">
        <f t="shared" si="1573"/>
        <v/>
      </c>
      <c r="BF1033" s="418" t="str">
        <f t="shared" si="1573"/>
        <v/>
      </c>
      <c r="BG1033" s="418" t="str">
        <f t="shared" si="1573"/>
        <v/>
      </c>
      <c r="BH1033" s="418" t="str">
        <f t="shared" si="1573"/>
        <v/>
      </c>
      <c r="BI1033" s="418" t="str">
        <f t="shared" si="1573"/>
        <v/>
      </c>
      <c r="BJ1033" s="418" t="str">
        <f t="shared" si="1573"/>
        <v/>
      </c>
      <c r="BK1033" s="418" t="str">
        <f t="shared" si="1573"/>
        <v/>
      </c>
      <c r="BL1033" s="418" t="str">
        <f t="shared" si="1573"/>
        <v/>
      </c>
      <c r="BM1033" s="418" t="str">
        <f t="shared" si="1573"/>
        <v/>
      </c>
      <c r="BN1033" s="418" t="str">
        <f t="shared" si="1573"/>
        <v/>
      </c>
      <c r="BO1033" s="418" t="str">
        <f t="shared" si="1573"/>
        <v/>
      </c>
      <c r="BP1033" s="418">
        <f t="shared" si="1573"/>
        <v>75000</v>
      </c>
      <c r="BQ1033" s="418" t="str">
        <f t="shared" si="1545"/>
        <v/>
      </c>
      <c r="BR1033" s="418" t="str">
        <f t="shared" si="1546"/>
        <v/>
      </c>
      <c r="BS1033" s="418" t="str">
        <f t="shared" si="1547"/>
        <v/>
      </c>
      <c r="BT1033" s="418" t="str">
        <f t="shared" si="1549"/>
        <v/>
      </c>
      <c r="BU1033" s="418" t="str">
        <f t="shared" si="1550"/>
        <v/>
      </c>
      <c r="BV1033" s="544">
        <v>0.89</v>
      </c>
      <c r="BW1033" s="723">
        <f t="shared" si="1564"/>
        <v>66750</v>
      </c>
      <c r="BX1033" s="724">
        <f t="shared" si="1565"/>
        <v>517312.5</v>
      </c>
      <c r="BY1033" s="725" t="str">
        <f t="shared" si="1566"/>
        <v>SR</v>
      </c>
    </row>
    <row r="1034" s="697" customFormat="1" customHeight="1" spans="1:77">
      <c r="A1034" s="116">
        <v>46181</v>
      </c>
      <c r="B1034" s="140">
        <v>46239</v>
      </c>
      <c r="C1034" s="123" t="s">
        <v>921</v>
      </c>
      <c r="D1034" s="123" t="s">
        <v>922</v>
      </c>
      <c r="E1034" s="123" t="s">
        <v>55</v>
      </c>
      <c r="F1034" s="142">
        <v>5488</v>
      </c>
      <c r="G1034" s="123" t="s">
        <v>510</v>
      </c>
      <c r="H1034" s="118" t="str">
        <f>IFERROR(VLOOKUP(E1034,名称!A:E,4,0),"")</f>
        <v>三代</v>
      </c>
      <c r="I1034" s="418" t="str">
        <f t="shared" ref="I1034:BR1034" si="1574">IF(OR($E1034="",I$1=""),"",IF(TRIM(LEFT($E1034,MIN(IFERROR(FIND("CDU",UPPER($E1034)),999),IFERROR(FIND("BULK",UPPER($E1034)),999),IFERROR(FIND("-",$E1034),999),IFERROR(FIND("（",$E1034),999))-1))=I$1,$F1034,""))</f>
        <v/>
      </c>
      <c r="J1034" s="418" t="str">
        <f t="shared" si="1574"/>
        <v/>
      </c>
      <c r="K1034" s="418" t="str">
        <f t="shared" si="1574"/>
        <v/>
      </c>
      <c r="L1034" s="418" t="str">
        <f t="shared" si="1574"/>
        <v/>
      </c>
      <c r="M1034" s="418" t="str">
        <f t="shared" si="1574"/>
        <v/>
      </c>
      <c r="N1034" s="418" t="str">
        <f t="shared" si="1574"/>
        <v/>
      </c>
      <c r="O1034" s="418" t="str">
        <f t="shared" si="1574"/>
        <v/>
      </c>
      <c r="P1034" s="418" t="str">
        <f t="shared" si="1574"/>
        <v/>
      </c>
      <c r="Q1034" s="418" t="str">
        <f t="shared" si="1574"/>
        <v/>
      </c>
      <c r="R1034" s="418" t="str">
        <f t="shared" si="1574"/>
        <v/>
      </c>
      <c r="S1034" s="418" t="str">
        <f t="shared" si="1574"/>
        <v/>
      </c>
      <c r="T1034" s="418" t="str">
        <f t="shared" si="1574"/>
        <v/>
      </c>
      <c r="U1034" s="418" t="str">
        <f t="shared" si="1574"/>
        <v/>
      </c>
      <c r="V1034" s="418" t="str">
        <f t="shared" si="1574"/>
        <v/>
      </c>
      <c r="W1034" s="418" t="str">
        <f t="shared" si="1574"/>
        <v/>
      </c>
      <c r="X1034" s="418" t="str">
        <f t="shared" si="1574"/>
        <v/>
      </c>
      <c r="Y1034" s="418" t="str">
        <f t="shared" si="1574"/>
        <v/>
      </c>
      <c r="Z1034" s="418" t="str">
        <f t="shared" si="1574"/>
        <v/>
      </c>
      <c r="AA1034" s="418" t="str">
        <f t="shared" si="1574"/>
        <v/>
      </c>
      <c r="AB1034" s="418" t="str">
        <f t="shared" si="1574"/>
        <v/>
      </c>
      <c r="AC1034" s="418">
        <f t="shared" si="1574"/>
        <v>5488</v>
      </c>
      <c r="AD1034" s="418" t="str">
        <f t="shared" si="1574"/>
        <v/>
      </c>
      <c r="AE1034" s="418" t="str">
        <f t="shared" si="1574"/>
        <v/>
      </c>
      <c r="AF1034" s="418" t="str">
        <f t="shared" si="1574"/>
        <v/>
      </c>
      <c r="AG1034" s="418" t="str">
        <f t="shared" si="1574"/>
        <v/>
      </c>
      <c r="AH1034" s="418" t="str">
        <f t="shared" si="1574"/>
        <v/>
      </c>
      <c r="AI1034" s="418" t="str">
        <f t="shared" si="1574"/>
        <v/>
      </c>
      <c r="AJ1034" s="418" t="str">
        <f t="shared" si="1574"/>
        <v/>
      </c>
      <c r="AK1034" s="418" t="str">
        <f t="shared" si="1574"/>
        <v/>
      </c>
      <c r="AL1034" s="418" t="str">
        <f t="shared" si="1574"/>
        <v/>
      </c>
      <c r="AM1034" s="418" t="str">
        <f t="shared" si="1574"/>
        <v/>
      </c>
      <c r="AN1034" s="418" t="str">
        <f t="shared" si="1574"/>
        <v/>
      </c>
      <c r="AO1034" s="418" t="str">
        <f t="shared" si="1574"/>
        <v/>
      </c>
      <c r="AP1034" s="418" t="str">
        <f t="shared" si="1574"/>
        <v/>
      </c>
      <c r="AQ1034" s="418" t="str">
        <f t="shared" si="1574"/>
        <v/>
      </c>
      <c r="AR1034" s="418" t="str">
        <f t="shared" si="1574"/>
        <v/>
      </c>
      <c r="AS1034" s="418" t="str">
        <f t="shared" si="1574"/>
        <v/>
      </c>
      <c r="AT1034" s="418" t="str">
        <f t="shared" si="1574"/>
        <v/>
      </c>
      <c r="AU1034" s="418" t="str">
        <f t="shared" si="1574"/>
        <v/>
      </c>
      <c r="AV1034" s="418" t="str">
        <f t="shared" si="1574"/>
        <v/>
      </c>
      <c r="AW1034" s="418" t="str">
        <f t="shared" si="1574"/>
        <v/>
      </c>
      <c r="AX1034" s="418" t="str">
        <f t="shared" si="1574"/>
        <v/>
      </c>
      <c r="AY1034" s="418" t="str">
        <f t="shared" si="1574"/>
        <v/>
      </c>
      <c r="AZ1034" s="418" t="str">
        <f t="shared" si="1574"/>
        <v/>
      </c>
      <c r="BA1034" s="418" t="str">
        <f t="shared" si="1574"/>
        <v/>
      </c>
      <c r="BB1034" s="418" t="str">
        <f t="shared" si="1574"/>
        <v/>
      </c>
      <c r="BC1034" s="418" t="str">
        <f t="shared" si="1574"/>
        <v/>
      </c>
      <c r="BD1034" s="418" t="str">
        <f t="shared" si="1574"/>
        <v/>
      </c>
      <c r="BE1034" s="418" t="str">
        <f t="shared" si="1574"/>
        <v/>
      </c>
      <c r="BF1034" s="418" t="str">
        <f t="shared" si="1574"/>
        <v/>
      </c>
      <c r="BG1034" s="418" t="str">
        <f t="shared" si="1574"/>
        <v/>
      </c>
      <c r="BH1034" s="418" t="str">
        <f t="shared" si="1574"/>
        <v/>
      </c>
      <c r="BI1034" s="418" t="str">
        <f t="shared" si="1574"/>
        <v/>
      </c>
      <c r="BJ1034" s="418" t="str">
        <f t="shared" si="1574"/>
        <v/>
      </c>
      <c r="BK1034" s="418" t="str">
        <f t="shared" si="1574"/>
        <v/>
      </c>
      <c r="BL1034" s="418" t="str">
        <f t="shared" si="1574"/>
        <v/>
      </c>
      <c r="BM1034" s="418" t="str">
        <f t="shared" si="1574"/>
        <v/>
      </c>
      <c r="BN1034" s="418" t="str">
        <f t="shared" si="1574"/>
        <v/>
      </c>
      <c r="BO1034" s="418" t="str">
        <f t="shared" si="1574"/>
        <v/>
      </c>
      <c r="BP1034" s="418" t="str">
        <f t="shared" si="1574"/>
        <v/>
      </c>
      <c r="BQ1034" s="418" t="str">
        <f t="shared" si="1545"/>
        <v/>
      </c>
      <c r="BR1034" s="418" t="str">
        <f t="shared" si="1546"/>
        <v/>
      </c>
      <c r="BS1034" s="418" t="str">
        <f t="shared" si="1547"/>
        <v/>
      </c>
      <c r="BT1034" s="418" t="str">
        <f t="shared" si="1549"/>
        <v/>
      </c>
      <c r="BU1034" s="418" t="str">
        <f t="shared" si="1550"/>
        <v/>
      </c>
      <c r="BV1034" s="544">
        <v>0.88</v>
      </c>
      <c r="BW1034" s="723">
        <f t="shared" si="1564"/>
        <v>4829.44</v>
      </c>
      <c r="BX1034" s="724">
        <f t="shared" si="1565"/>
        <v>37428.16</v>
      </c>
      <c r="BY1034" s="725" t="str">
        <f t="shared" si="1566"/>
        <v>SR</v>
      </c>
    </row>
    <row r="1035" s="697" customFormat="1" customHeight="1" spans="1:77">
      <c r="A1035" s="116">
        <v>46181</v>
      </c>
      <c r="B1035" s="140">
        <v>46239</v>
      </c>
      <c r="C1035" s="123" t="s">
        <v>921</v>
      </c>
      <c r="D1035" s="123" t="s">
        <v>922</v>
      </c>
      <c r="E1035" s="123" t="s">
        <v>66</v>
      </c>
      <c r="F1035" s="142">
        <v>4500</v>
      </c>
      <c r="G1035" s="123" t="s">
        <v>510</v>
      </c>
      <c r="H1035" s="118" t="str">
        <f>IFERROR(VLOOKUP(E1035,名称!A:E,4,0),"")</f>
        <v>三代</v>
      </c>
      <c r="I1035" s="418" t="str">
        <f t="shared" ref="I1035:I1098" si="1575">IF(OR($E1035="",I$1=""),"",IF(TRIM(LEFT($E1035,MIN(IFERROR(FIND("CDU",UPPER($E1035)),999),IFERROR(FIND("BULK",UPPER($E1035)),999),IFERROR(FIND("-",$E1035),999),IFERROR(FIND("（",$E1035),999))-1))=I$1,$F1035,""))</f>
        <v/>
      </c>
      <c r="J1035" s="418" t="str">
        <f t="shared" ref="J1035:J1098" si="1576">IF(OR($E1035="",J$1=""),"",IF(TRIM(LEFT($E1035,MIN(IFERROR(FIND("CDU",UPPER($E1035)),999),IFERROR(FIND("BULK",UPPER($E1035)),999),IFERROR(FIND("-",$E1035),999),IFERROR(FIND("（",$E1035),999))-1))=J$1,$F1035,""))</f>
        <v/>
      </c>
      <c r="K1035" s="418" t="str">
        <f t="shared" ref="K1035:K1098" si="1577">IF(OR($E1035="",K$1=""),"",IF(TRIM(LEFT($E1035,MIN(IFERROR(FIND("CDU",UPPER($E1035)),999),IFERROR(FIND("BULK",UPPER($E1035)),999),IFERROR(FIND("-",$E1035),999),IFERROR(FIND("（",$E1035),999))-1))=K$1,$F1035,""))</f>
        <v/>
      </c>
      <c r="L1035" s="418" t="str">
        <f t="shared" ref="L1035:L1098" si="1578">IF(OR($E1035="",L$1=""),"",IF(TRIM(LEFT($E1035,MIN(IFERROR(FIND("CDU",UPPER($E1035)),999),IFERROR(FIND("BULK",UPPER($E1035)),999),IFERROR(FIND("-",$E1035),999),IFERROR(FIND("（",$E1035),999))-1))=L$1,$F1035,""))</f>
        <v/>
      </c>
      <c r="M1035" s="418" t="str">
        <f t="shared" ref="M1035:M1098" si="1579">IF(OR($E1035="",M$1=""),"",IF(TRIM(LEFT($E1035,MIN(IFERROR(FIND("CDU",UPPER($E1035)),999),IFERROR(FIND("BULK",UPPER($E1035)),999),IFERROR(FIND("-",$E1035),999),IFERROR(FIND("（",$E1035),999))-1))=M$1,$F1035,""))</f>
        <v/>
      </c>
      <c r="N1035" s="418" t="str">
        <f t="shared" ref="N1035:N1098" si="1580">IF(OR($E1035="",N$1=""),"",IF(TRIM(LEFT($E1035,MIN(IFERROR(FIND("CDU",UPPER($E1035)),999),IFERROR(FIND("BULK",UPPER($E1035)),999),IFERROR(FIND("-",$E1035),999),IFERROR(FIND("（",$E1035),999))-1))=N$1,$F1035,""))</f>
        <v/>
      </c>
      <c r="O1035" s="418" t="str">
        <f t="shared" ref="O1035:O1098" si="1581">IF(OR($E1035="",O$1=""),"",IF(TRIM(LEFT($E1035,MIN(IFERROR(FIND("CDU",UPPER($E1035)),999),IFERROR(FIND("BULK",UPPER($E1035)),999),IFERROR(FIND("-",$E1035),999),IFERROR(FIND("（",$E1035),999))-1))=O$1,$F1035,""))</f>
        <v/>
      </c>
      <c r="P1035" s="418" t="str">
        <f t="shared" ref="P1035:P1098" si="1582">IF(OR($E1035="",P$1=""),"",IF(TRIM(LEFT($E1035,MIN(IFERROR(FIND("CDU",UPPER($E1035)),999),IFERROR(FIND("BULK",UPPER($E1035)),999),IFERROR(FIND("-",$E1035),999),IFERROR(FIND("（",$E1035),999))-1))=P$1,$F1035,""))</f>
        <v/>
      </c>
      <c r="Q1035" s="418" t="str">
        <f t="shared" ref="Q1035:Q1098" si="1583">IF(OR($E1035="",Q$1=""),"",IF(TRIM(LEFT($E1035,MIN(IFERROR(FIND("CDU",UPPER($E1035)),999),IFERROR(FIND("BULK",UPPER($E1035)),999),IFERROR(FIND("-",$E1035),999),IFERROR(FIND("（",$E1035),999))-1))=Q$1,$F1035,""))</f>
        <v/>
      </c>
      <c r="R1035" s="418" t="str">
        <f t="shared" ref="R1035:R1098" si="1584">IF(OR($E1035="",R$1=""),"",IF(TRIM(LEFT($E1035,MIN(IFERROR(FIND("CDU",UPPER($E1035)),999),IFERROR(FIND("BULK",UPPER($E1035)),999),IFERROR(FIND("-",$E1035),999),IFERROR(FIND("（",$E1035),999))-1))=R$1,$F1035,""))</f>
        <v/>
      </c>
      <c r="S1035" s="418" t="str">
        <f t="shared" ref="S1035:S1098" si="1585">IF(OR($E1035="",S$1=""),"",IF(TRIM(LEFT($E1035,MIN(IFERROR(FIND("CDU",UPPER($E1035)),999),IFERROR(FIND("BULK",UPPER($E1035)),999),IFERROR(FIND("-",$E1035),999),IFERROR(FIND("（",$E1035),999))-1))=S$1,$F1035,""))</f>
        <v/>
      </c>
      <c r="T1035" s="418" t="str">
        <f t="shared" ref="T1035:T1098" si="1586">IF(OR($E1035="",T$1=""),"",IF(TRIM(LEFT($E1035,MIN(IFERROR(FIND("CDU",UPPER($E1035)),999),IFERROR(FIND("BULK",UPPER($E1035)),999),IFERROR(FIND("-",$E1035),999),IFERROR(FIND("（",$E1035),999))-1))=T$1,$F1035,""))</f>
        <v/>
      </c>
      <c r="U1035" s="418" t="str">
        <f t="shared" ref="U1035:U1098" si="1587">IF(OR($E1035="",U$1=""),"",IF(TRIM(LEFT($E1035,MIN(IFERROR(FIND("CDU",UPPER($E1035)),999),IFERROR(FIND("BULK",UPPER($E1035)),999),IFERROR(FIND("-",$E1035),999),IFERROR(FIND("（",$E1035),999))-1))=U$1,$F1035,""))</f>
        <v/>
      </c>
      <c r="V1035" s="418" t="str">
        <f t="shared" ref="V1035:V1098" si="1588">IF(OR($E1035="",V$1=""),"",IF(TRIM(LEFT($E1035,MIN(IFERROR(FIND("CDU",UPPER($E1035)),999),IFERROR(FIND("BULK",UPPER($E1035)),999),IFERROR(FIND("-",$E1035),999),IFERROR(FIND("（",$E1035),999))-1))=V$1,$F1035,""))</f>
        <v/>
      </c>
      <c r="W1035" s="418" t="str">
        <f t="shared" ref="W1035:W1098" si="1589">IF(OR($E1035="",W$1=""),"",IF(TRIM(LEFT($E1035,MIN(IFERROR(FIND("CDU",UPPER($E1035)),999),IFERROR(FIND("BULK",UPPER($E1035)),999),IFERROR(FIND("-",$E1035),999),IFERROR(FIND("（",$E1035),999))-1))=W$1,$F1035,""))</f>
        <v/>
      </c>
      <c r="X1035" s="418" t="str">
        <f t="shared" ref="X1035:X1098" si="1590">IF(OR($E1035="",X$1=""),"",IF(TRIM(LEFT($E1035,MIN(IFERROR(FIND("CDU",UPPER($E1035)),999),IFERROR(FIND("BULK",UPPER($E1035)),999),IFERROR(FIND("-",$E1035),999),IFERROR(FIND("（",$E1035),999))-1))=X$1,$F1035,""))</f>
        <v/>
      </c>
      <c r="Y1035" s="418" t="str">
        <f t="shared" ref="Y1035:Y1098" si="1591">IF(OR($E1035="",Y$1=""),"",IF(TRIM(LEFT($E1035,MIN(IFERROR(FIND("CDU",UPPER($E1035)),999),IFERROR(FIND("BULK",UPPER($E1035)),999),IFERROR(FIND("-",$E1035),999),IFERROR(FIND("（",$E1035),999))-1))=Y$1,$F1035,""))</f>
        <v/>
      </c>
      <c r="Z1035" s="418" t="str">
        <f t="shared" ref="Z1035:Z1098" si="1592">IF(OR($E1035="",Z$1=""),"",IF(TRIM(LEFT($E1035,MIN(IFERROR(FIND("CDU",UPPER($E1035)),999),IFERROR(FIND("BULK",UPPER($E1035)),999),IFERROR(FIND("-",$E1035),999),IFERROR(FIND("（",$E1035),999))-1))=Z$1,$F1035,""))</f>
        <v/>
      </c>
      <c r="AA1035" s="418" t="str">
        <f t="shared" ref="AA1035:AA1098" si="1593">IF(OR($E1035="",AA$1=""),"",IF(TRIM(LEFT($E1035,MIN(IFERROR(FIND("CDU",UPPER($E1035)),999),IFERROR(FIND("BULK",UPPER($E1035)),999),IFERROR(FIND("-",$E1035),999),IFERROR(FIND("（",$E1035),999))-1))=AA$1,$F1035,""))</f>
        <v/>
      </c>
      <c r="AB1035" s="418" t="str">
        <f t="shared" ref="AB1035:AB1098" si="1594">IF(OR($E1035="",AB$1=""),"",IF(TRIM(LEFT($E1035,MIN(IFERROR(FIND("CDU",UPPER($E1035)),999),IFERROR(FIND("BULK",UPPER($E1035)),999),IFERROR(FIND("-",$E1035),999),IFERROR(FIND("（",$E1035),999))-1))=AB$1,$F1035,""))</f>
        <v/>
      </c>
      <c r="AC1035" s="418" t="str">
        <f t="shared" ref="AC1035:AC1098" si="1595">IF(OR($E1035="",AC$1=""),"",IF(TRIM(LEFT($E1035,MIN(IFERROR(FIND("CDU",UPPER($E1035)),999),IFERROR(FIND("BULK",UPPER($E1035)),999),IFERROR(FIND("-",$E1035),999),IFERROR(FIND("（",$E1035),999))-1))=AC$1,$F1035,""))</f>
        <v/>
      </c>
      <c r="AD1035" s="418" t="str">
        <f t="shared" ref="AD1035:AD1098" si="1596">IF(OR($E1035="",AD$1=""),"",IF(TRIM(LEFT($E1035,MIN(IFERROR(FIND("CDU",UPPER($E1035)),999),IFERROR(FIND("BULK",UPPER($E1035)),999),IFERROR(FIND("-",$E1035),999),IFERROR(FIND("（",$E1035),999))-1))=AD$1,$F1035,""))</f>
        <v/>
      </c>
      <c r="AE1035" s="418" t="str">
        <f t="shared" ref="AE1035:AE1098" si="1597">IF(OR($E1035="",AE$1=""),"",IF(TRIM(LEFT($E1035,MIN(IFERROR(FIND("CDU",UPPER($E1035)),999),IFERROR(FIND("BULK",UPPER($E1035)),999),IFERROR(FIND("-",$E1035),999),IFERROR(FIND("（",$E1035),999))-1))=AE$1,$F1035,""))</f>
        <v/>
      </c>
      <c r="AF1035" s="418" t="str">
        <f t="shared" ref="AF1035:AF1098" si="1598">IF(OR($E1035="",AF$1=""),"",IF(TRIM(LEFT($E1035,MIN(IFERROR(FIND("CDU",UPPER($E1035)),999),IFERROR(FIND("BULK",UPPER($E1035)),999),IFERROR(FIND("-",$E1035),999),IFERROR(FIND("（",$E1035),999))-1))=AF$1,$F1035,""))</f>
        <v/>
      </c>
      <c r="AG1035" s="418">
        <f t="shared" ref="AG1035:AG1098" si="1599">IF(OR($E1035="",AG$1=""),"",IF(TRIM(LEFT($E1035,MIN(IFERROR(FIND("CDU",UPPER($E1035)),999),IFERROR(FIND("BULK",UPPER($E1035)),999),IFERROR(FIND("-",$E1035),999),IFERROR(FIND("（",$E1035),999))-1))=AG$1,$F1035,""))</f>
        <v>4500</v>
      </c>
      <c r="AH1035" s="418" t="str">
        <f t="shared" ref="AH1035:AH1098" si="1600">IF(OR($E1035="",AH$1=""),"",IF(TRIM(LEFT($E1035,MIN(IFERROR(FIND("CDU",UPPER($E1035)),999),IFERROR(FIND("BULK",UPPER($E1035)),999),IFERROR(FIND("-",$E1035),999),IFERROR(FIND("（",$E1035),999))-1))=AH$1,$F1035,""))</f>
        <v/>
      </c>
      <c r="AI1035" s="418" t="str">
        <f t="shared" ref="AI1035:AI1098" si="1601">IF(OR($E1035="",AI$1=""),"",IF(TRIM(LEFT($E1035,MIN(IFERROR(FIND("CDU",UPPER($E1035)),999),IFERROR(FIND("BULK",UPPER($E1035)),999),IFERROR(FIND("-",$E1035),999),IFERROR(FIND("（",$E1035),999))-1))=AI$1,$F1035,""))</f>
        <v/>
      </c>
      <c r="AJ1035" s="418" t="str">
        <f t="shared" ref="AJ1035:AJ1098" si="1602">IF(OR($E1035="",AJ$1=""),"",IF(TRIM(LEFT($E1035,MIN(IFERROR(FIND("CDU",UPPER($E1035)),999),IFERROR(FIND("BULK",UPPER($E1035)),999),IFERROR(FIND("-",$E1035),999),IFERROR(FIND("（",$E1035),999))-1))=AJ$1,$F1035,""))</f>
        <v/>
      </c>
      <c r="AK1035" s="418" t="str">
        <f t="shared" ref="AK1035:AK1098" si="1603">IF(OR($E1035="",AK$1=""),"",IF(TRIM(LEFT($E1035,MIN(IFERROR(FIND("CDU",UPPER($E1035)),999),IFERROR(FIND("BULK",UPPER($E1035)),999),IFERROR(FIND("-",$E1035),999),IFERROR(FIND("（",$E1035),999))-1))=AK$1,$F1035,""))</f>
        <v/>
      </c>
      <c r="AL1035" s="418" t="str">
        <f t="shared" ref="AL1035:AL1098" si="1604">IF(OR($E1035="",AL$1=""),"",IF(TRIM(LEFT($E1035,MIN(IFERROR(FIND("CDU",UPPER($E1035)),999),IFERROR(FIND("BULK",UPPER($E1035)),999),IFERROR(FIND("-",$E1035),999),IFERROR(FIND("（",$E1035),999))-1))=AL$1,$F1035,""))</f>
        <v/>
      </c>
      <c r="AM1035" s="418" t="str">
        <f t="shared" ref="AM1035:AM1098" si="1605">IF(OR($E1035="",AM$1=""),"",IF(TRIM(LEFT($E1035,MIN(IFERROR(FIND("CDU",UPPER($E1035)),999),IFERROR(FIND("BULK",UPPER($E1035)),999),IFERROR(FIND("-",$E1035),999),IFERROR(FIND("（",$E1035),999))-1))=AM$1,$F1035,""))</f>
        <v/>
      </c>
      <c r="AN1035" s="418" t="str">
        <f t="shared" ref="AN1035:AN1098" si="1606">IF(OR($E1035="",AN$1=""),"",IF(TRIM(LEFT($E1035,MIN(IFERROR(FIND("CDU",UPPER($E1035)),999),IFERROR(FIND("BULK",UPPER($E1035)),999),IFERROR(FIND("-",$E1035),999),IFERROR(FIND("（",$E1035),999))-1))=AN$1,$F1035,""))</f>
        <v/>
      </c>
      <c r="AO1035" s="418" t="str">
        <f t="shared" ref="AO1035:AO1098" si="1607">IF(OR($E1035="",AO$1=""),"",IF(TRIM(LEFT($E1035,MIN(IFERROR(FIND("CDU",UPPER($E1035)),999),IFERROR(FIND("BULK",UPPER($E1035)),999),IFERROR(FIND("-",$E1035),999),IFERROR(FIND("（",$E1035),999))-1))=AO$1,$F1035,""))</f>
        <v/>
      </c>
      <c r="AP1035" s="418" t="str">
        <f t="shared" ref="AP1035:AP1098" si="1608">IF(OR($E1035="",AP$1=""),"",IF(TRIM(LEFT($E1035,MIN(IFERROR(FIND("CDU",UPPER($E1035)),999),IFERROR(FIND("BULK",UPPER($E1035)),999),IFERROR(FIND("-",$E1035),999),IFERROR(FIND("（",$E1035),999))-1))=AP$1,$F1035,""))</f>
        <v/>
      </c>
      <c r="AQ1035" s="418" t="str">
        <f t="shared" ref="AQ1035:AQ1098" si="1609">IF(OR($E1035="",AQ$1=""),"",IF(TRIM(LEFT($E1035,MIN(IFERROR(FIND("CDU",UPPER($E1035)),999),IFERROR(FIND("BULK",UPPER($E1035)),999),IFERROR(FIND("-",$E1035),999),IFERROR(FIND("（",$E1035),999))-1))=AQ$1,$F1035,""))</f>
        <v/>
      </c>
      <c r="AR1035" s="418" t="str">
        <f t="shared" ref="AR1035:AR1098" si="1610">IF(OR($E1035="",AR$1=""),"",IF(TRIM(LEFT($E1035,MIN(IFERROR(FIND("CDU",UPPER($E1035)),999),IFERROR(FIND("BULK",UPPER($E1035)),999),IFERROR(FIND("-",$E1035),999),IFERROR(FIND("（",$E1035),999))-1))=AR$1,$F1035,""))</f>
        <v/>
      </c>
      <c r="AS1035" s="418" t="str">
        <f t="shared" ref="AS1035:AS1098" si="1611">IF(OR($E1035="",AS$1=""),"",IF(TRIM(LEFT($E1035,MIN(IFERROR(FIND("CDU",UPPER($E1035)),999),IFERROR(FIND("BULK",UPPER($E1035)),999),IFERROR(FIND("-",$E1035),999),IFERROR(FIND("（",$E1035),999))-1))=AS$1,$F1035,""))</f>
        <v/>
      </c>
      <c r="AT1035" s="418" t="str">
        <f t="shared" ref="AT1035:AT1098" si="1612">IF(OR($E1035="",AT$1=""),"",IF(TRIM(LEFT($E1035,MIN(IFERROR(FIND("CDU",UPPER($E1035)),999),IFERROR(FIND("BULK",UPPER($E1035)),999),IFERROR(FIND("-",$E1035),999),IFERROR(FIND("（",$E1035),999))-1))=AT$1,$F1035,""))</f>
        <v/>
      </c>
      <c r="AU1035" s="418" t="str">
        <f t="shared" ref="AU1035:AU1098" si="1613">IF(OR($E1035="",AU$1=""),"",IF(TRIM(LEFT($E1035,MIN(IFERROR(FIND("CDU",UPPER($E1035)),999),IFERROR(FIND("BULK",UPPER($E1035)),999),IFERROR(FIND("-",$E1035),999),IFERROR(FIND("（",$E1035),999))-1))=AU$1,$F1035,""))</f>
        <v/>
      </c>
      <c r="AV1035" s="418" t="str">
        <f t="shared" ref="AV1035:AV1098" si="1614">IF(OR($E1035="",AV$1=""),"",IF(TRIM(LEFT($E1035,MIN(IFERROR(FIND("CDU",UPPER($E1035)),999),IFERROR(FIND("BULK",UPPER($E1035)),999),IFERROR(FIND("-",$E1035),999),IFERROR(FIND("（",$E1035),999))-1))=AV$1,$F1035,""))</f>
        <v/>
      </c>
      <c r="AW1035" s="418" t="str">
        <f t="shared" ref="AW1035:AW1098" si="1615">IF(OR($E1035="",AW$1=""),"",IF(TRIM(LEFT($E1035,MIN(IFERROR(FIND("CDU",UPPER($E1035)),999),IFERROR(FIND("BULK",UPPER($E1035)),999),IFERROR(FIND("-",$E1035),999),IFERROR(FIND("（",$E1035),999))-1))=AW$1,$F1035,""))</f>
        <v/>
      </c>
      <c r="AX1035" s="418" t="str">
        <f t="shared" ref="AX1035:AX1098" si="1616">IF(OR($E1035="",AX$1=""),"",IF(TRIM(LEFT($E1035,MIN(IFERROR(FIND("CDU",UPPER($E1035)),999),IFERROR(FIND("BULK",UPPER($E1035)),999),IFERROR(FIND("-",$E1035),999),IFERROR(FIND("（",$E1035),999))-1))=AX$1,$F1035,""))</f>
        <v/>
      </c>
      <c r="AY1035" s="418" t="str">
        <f t="shared" ref="AY1035:AY1098" si="1617">IF(OR($E1035="",AY$1=""),"",IF(TRIM(LEFT($E1035,MIN(IFERROR(FIND("CDU",UPPER($E1035)),999),IFERROR(FIND("BULK",UPPER($E1035)),999),IFERROR(FIND("-",$E1035),999),IFERROR(FIND("（",$E1035),999))-1))=AY$1,$F1035,""))</f>
        <v/>
      </c>
      <c r="AZ1035" s="418" t="str">
        <f t="shared" ref="AZ1035:AZ1098" si="1618">IF(OR($E1035="",AZ$1=""),"",IF(TRIM(LEFT($E1035,MIN(IFERROR(FIND("CDU",UPPER($E1035)),999),IFERROR(FIND("BULK",UPPER($E1035)),999),IFERROR(FIND("-",$E1035),999),IFERROR(FIND("（",$E1035),999))-1))=AZ$1,$F1035,""))</f>
        <v/>
      </c>
      <c r="BA1035" s="418" t="str">
        <f t="shared" ref="BA1035:BA1098" si="1619">IF(OR($E1035="",BA$1=""),"",IF(TRIM(LEFT($E1035,MIN(IFERROR(FIND("CDU",UPPER($E1035)),999),IFERROR(FIND("BULK",UPPER($E1035)),999),IFERROR(FIND("-",$E1035),999),IFERROR(FIND("（",$E1035),999))-1))=BA$1,$F1035,""))</f>
        <v/>
      </c>
      <c r="BB1035" s="418" t="str">
        <f t="shared" ref="BB1035:BB1098" si="1620">IF(OR($E1035="",BB$1=""),"",IF(TRIM(LEFT($E1035,MIN(IFERROR(FIND("CDU",UPPER($E1035)),999),IFERROR(FIND("BULK",UPPER($E1035)),999),IFERROR(FIND("-",$E1035),999),IFERROR(FIND("（",$E1035),999))-1))=BB$1,$F1035,""))</f>
        <v/>
      </c>
      <c r="BC1035" s="418" t="str">
        <f t="shared" ref="BC1035:BC1098" si="1621">IF(OR($E1035="",BC$1=""),"",IF(TRIM(LEFT($E1035,MIN(IFERROR(FIND("CDU",UPPER($E1035)),999),IFERROR(FIND("BULK",UPPER($E1035)),999),IFERROR(FIND("-",$E1035),999),IFERROR(FIND("（",$E1035),999))-1))=BC$1,$F1035,""))</f>
        <v/>
      </c>
      <c r="BD1035" s="418" t="str">
        <f t="shared" ref="BD1035:BD1098" si="1622">IF(OR($E1035="",BD$1=""),"",IF(TRIM(LEFT($E1035,MIN(IFERROR(FIND("CDU",UPPER($E1035)),999),IFERROR(FIND("BULK",UPPER($E1035)),999),IFERROR(FIND("-",$E1035),999),IFERROR(FIND("（",$E1035),999))-1))=BD$1,$F1035,""))</f>
        <v/>
      </c>
      <c r="BE1035" s="418" t="str">
        <f t="shared" ref="BE1035:BE1098" si="1623">IF(OR($E1035="",BE$1=""),"",IF(TRIM(LEFT($E1035,MIN(IFERROR(FIND("CDU",UPPER($E1035)),999),IFERROR(FIND("BULK",UPPER($E1035)),999),IFERROR(FIND("-",$E1035),999),IFERROR(FIND("（",$E1035),999))-1))=BE$1,$F1035,""))</f>
        <v/>
      </c>
      <c r="BF1035" s="418" t="str">
        <f t="shared" ref="BF1035:BF1098" si="1624">IF(OR($E1035="",BF$1=""),"",IF(TRIM(LEFT($E1035,MIN(IFERROR(FIND("CDU",UPPER($E1035)),999),IFERROR(FIND("BULK",UPPER($E1035)),999),IFERROR(FIND("-",$E1035),999),IFERROR(FIND("（",$E1035),999))-1))=BF$1,$F1035,""))</f>
        <v/>
      </c>
      <c r="BG1035" s="418" t="str">
        <f t="shared" ref="BG1035:BG1098" si="1625">IF(OR($E1035="",BG$1=""),"",IF(TRIM(LEFT($E1035,MIN(IFERROR(FIND("CDU",UPPER($E1035)),999),IFERROR(FIND("BULK",UPPER($E1035)),999),IFERROR(FIND("-",$E1035),999),IFERROR(FIND("（",$E1035),999))-1))=BG$1,$F1035,""))</f>
        <v/>
      </c>
      <c r="BH1035" s="418" t="str">
        <f t="shared" ref="BH1035:BH1098" si="1626">IF(OR($E1035="",BH$1=""),"",IF(TRIM(LEFT($E1035,MIN(IFERROR(FIND("CDU",UPPER($E1035)),999),IFERROR(FIND("BULK",UPPER($E1035)),999),IFERROR(FIND("-",$E1035),999),IFERROR(FIND("（",$E1035),999))-1))=BH$1,$F1035,""))</f>
        <v/>
      </c>
      <c r="BI1035" s="418" t="str">
        <f t="shared" ref="BI1035:BI1098" si="1627">IF(OR($E1035="",BI$1=""),"",IF(TRIM(LEFT($E1035,MIN(IFERROR(FIND("CDU",UPPER($E1035)),999),IFERROR(FIND("BULK",UPPER($E1035)),999),IFERROR(FIND("-",$E1035),999),IFERROR(FIND("（",$E1035),999))-1))=BI$1,$F1035,""))</f>
        <v/>
      </c>
      <c r="BJ1035" s="418" t="str">
        <f t="shared" ref="BJ1035:BJ1098" si="1628">IF(OR($E1035="",BJ$1=""),"",IF(TRIM(LEFT($E1035,MIN(IFERROR(FIND("CDU",UPPER($E1035)),999),IFERROR(FIND("BULK",UPPER($E1035)),999),IFERROR(FIND("-",$E1035),999),IFERROR(FIND("（",$E1035),999))-1))=BJ$1,$F1035,""))</f>
        <v/>
      </c>
      <c r="BK1035" s="418" t="str">
        <f t="shared" ref="BK1035:BK1098" si="1629">IF(OR($E1035="",BK$1=""),"",IF(TRIM(LEFT($E1035,MIN(IFERROR(FIND("CDU",UPPER($E1035)),999),IFERROR(FIND("BULK",UPPER($E1035)),999),IFERROR(FIND("-",$E1035),999),IFERROR(FIND("（",$E1035),999))-1))=BK$1,$F1035,""))</f>
        <v/>
      </c>
      <c r="BL1035" s="418" t="str">
        <f t="shared" ref="BL1035:BL1098" si="1630">IF(OR($E1035="",BL$1=""),"",IF(TRIM(LEFT($E1035,MIN(IFERROR(FIND("CDU",UPPER($E1035)),999),IFERROR(FIND("BULK",UPPER($E1035)),999),IFERROR(FIND("-",$E1035),999),IFERROR(FIND("（",$E1035),999))-1))=BL$1,$F1035,""))</f>
        <v/>
      </c>
      <c r="BM1035" s="418" t="str">
        <f t="shared" ref="BM1035:BM1098" si="1631">IF(OR($E1035="",BM$1=""),"",IF(TRIM(LEFT($E1035,MIN(IFERROR(FIND("CDU",UPPER($E1035)),999),IFERROR(FIND("BULK",UPPER($E1035)),999),IFERROR(FIND("-",$E1035),999),IFERROR(FIND("（",$E1035),999))-1))=BM$1,$F1035,""))</f>
        <v/>
      </c>
      <c r="BN1035" s="418" t="str">
        <f t="shared" ref="BN1035:BN1098" si="1632">IF(OR($E1035="",BN$1=""),"",IF(TRIM(LEFT($E1035,MIN(IFERROR(FIND("CDU",UPPER($E1035)),999),IFERROR(FIND("BULK",UPPER($E1035)),999),IFERROR(FIND("-",$E1035),999),IFERROR(FIND("（",$E1035),999))-1))=BN$1,$F1035,""))</f>
        <v/>
      </c>
      <c r="BO1035" s="418" t="str">
        <f t="shared" ref="BO1035:BO1098" si="1633">IF(OR($E1035="",BO$1=""),"",IF(TRIM(LEFT($E1035,MIN(IFERROR(FIND("CDU",UPPER($E1035)),999),IFERROR(FIND("BULK",UPPER($E1035)),999),IFERROR(FIND("-",$E1035),999),IFERROR(FIND("（",$E1035),999))-1))=BO$1,$F1035,""))</f>
        <v/>
      </c>
      <c r="BP1035" s="418" t="str">
        <f t="shared" ref="BP1035:BP1098" si="1634">IF(OR($E1035="",BP$1=""),"",IF(TRIM(LEFT($E1035,MIN(IFERROR(FIND("CDU",UPPER($E1035)),999),IFERROR(FIND("BULK",UPPER($E1035)),999),IFERROR(FIND("-",$E1035),999),IFERROR(FIND("（",$E1035),999))-1))=BP$1,$F1035,""))</f>
        <v/>
      </c>
      <c r="BQ1035" s="418" t="str">
        <f t="shared" si="1545"/>
        <v/>
      </c>
      <c r="BR1035" s="418" t="str">
        <f t="shared" si="1546"/>
        <v/>
      </c>
      <c r="BS1035" s="418" t="str">
        <f t="shared" si="1547"/>
        <v/>
      </c>
      <c r="BT1035" s="418" t="str">
        <f t="shared" ref="BT1035:BT1098" si="1635">IF(OR($E1035="",BT$1=""),"",IF(TRIM(LEFT($E1035,MIN(IFERROR(FIND("CDU",UPPER($E1035)),999),IFERROR(FIND("BULK",UPPER($E1035)),999),IFERROR(FIND("-",$E1035),999),IFERROR(FIND("（",$E1035),999))-1))=BT$1,$F1035,""))</f>
        <v/>
      </c>
      <c r="BU1035" s="418" t="str">
        <f t="shared" ref="BU1035:BU1098" si="1636">IF(OR($E1035="",BU$1=""),"",IF(TRIM(LEFT($E1035,MIN(IFERROR(FIND("CDU",UPPER($E1035)),999),IFERROR(FIND("BULK",UPPER($E1035)),999),IFERROR(FIND("-",$E1035),999),IFERROR(FIND("（",$E1035),999))-1))=BU$1,$F1035,""))</f>
        <v/>
      </c>
      <c r="BV1035" s="544">
        <v>2.04</v>
      </c>
      <c r="BW1035" s="723">
        <f t="shared" ref="BW1035:BW1090" si="1637">SUM(I1035:BU1035)*BV1035</f>
        <v>9180</v>
      </c>
      <c r="BX1035" s="724">
        <f t="shared" ref="BX1035:BX1090" si="1638">BW1035*7.75</f>
        <v>71145</v>
      </c>
      <c r="BY1035" s="725" t="str">
        <f t="shared" ref="BY1035:BY1090" si="1639">MID(E1035,1,2)</f>
        <v>SR</v>
      </c>
    </row>
    <row r="1036" s="697" customFormat="1" customHeight="1" spans="1:77">
      <c r="A1036" s="116">
        <v>46181</v>
      </c>
      <c r="B1036" s="140">
        <v>46239</v>
      </c>
      <c r="C1036" s="123" t="s">
        <v>921</v>
      </c>
      <c r="D1036" s="123" t="s">
        <v>922</v>
      </c>
      <c r="E1036" s="123" t="s">
        <v>85</v>
      </c>
      <c r="F1036" s="142">
        <v>6000</v>
      </c>
      <c r="G1036" s="123" t="s">
        <v>510</v>
      </c>
      <c r="H1036" s="118" t="str">
        <f>IFERROR(VLOOKUP(E1036,名称!A:E,4,0),"")</f>
        <v>三代</v>
      </c>
      <c r="I1036" s="418" t="str">
        <f t="shared" si="1575"/>
        <v/>
      </c>
      <c r="J1036" s="418" t="str">
        <f t="shared" si="1576"/>
        <v/>
      </c>
      <c r="K1036" s="418" t="str">
        <f t="shared" si="1577"/>
        <v/>
      </c>
      <c r="L1036" s="418" t="str">
        <f t="shared" si="1578"/>
        <v/>
      </c>
      <c r="M1036" s="418" t="str">
        <f t="shared" si="1579"/>
        <v/>
      </c>
      <c r="N1036" s="418" t="str">
        <f t="shared" si="1580"/>
        <v/>
      </c>
      <c r="O1036" s="418" t="str">
        <f t="shared" si="1581"/>
        <v/>
      </c>
      <c r="P1036" s="418" t="str">
        <f t="shared" si="1582"/>
        <v/>
      </c>
      <c r="Q1036" s="418" t="str">
        <f t="shared" si="1583"/>
        <v/>
      </c>
      <c r="R1036" s="418" t="str">
        <f t="shared" si="1584"/>
        <v/>
      </c>
      <c r="S1036" s="418" t="str">
        <f t="shared" si="1585"/>
        <v/>
      </c>
      <c r="T1036" s="418" t="str">
        <f t="shared" si="1586"/>
        <v/>
      </c>
      <c r="U1036" s="418" t="str">
        <f t="shared" si="1587"/>
        <v/>
      </c>
      <c r="V1036" s="418" t="str">
        <f t="shared" si="1588"/>
        <v/>
      </c>
      <c r="W1036" s="418" t="str">
        <f t="shared" si="1589"/>
        <v/>
      </c>
      <c r="X1036" s="418" t="str">
        <f t="shared" si="1590"/>
        <v/>
      </c>
      <c r="Y1036" s="418" t="str">
        <f t="shared" si="1591"/>
        <v/>
      </c>
      <c r="Z1036" s="418" t="str">
        <f t="shared" si="1592"/>
        <v/>
      </c>
      <c r="AA1036" s="418" t="str">
        <f t="shared" si="1593"/>
        <v/>
      </c>
      <c r="AB1036" s="418" t="str">
        <f t="shared" si="1594"/>
        <v/>
      </c>
      <c r="AC1036" s="418" t="str">
        <f t="shared" si="1595"/>
        <v/>
      </c>
      <c r="AD1036" s="418" t="str">
        <f t="shared" si="1596"/>
        <v/>
      </c>
      <c r="AE1036" s="418" t="str">
        <f t="shared" si="1597"/>
        <v/>
      </c>
      <c r="AF1036" s="418" t="str">
        <f t="shared" si="1598"/>
        <v/>
      </c>
      <c r="AG1036" s="418" t="str">
        <f t="shared" si="1599"/>
        <v/>
      </c>
      <c r="AH1036" s="418" t="str">
        <f t="shared" si="1600"/>
        <v/>
      </c>
      <c r="AI1036" s="418" t="str">
        <f t="shared" si="1601"/>
        <v/>
      </c>
      <c r="AJ1036" s="418" t="str">
        <f t="shared" si="1602"/>
        <v/>
      </c>
      <c r="AK1036" s="418" t="str">
        <f t="shared" si="1603"/>
        <v/>
      </c>
      <c r="AL1036" s="418" t="str">
        <f t="shared" si="1604"/>
        <v/>
      </c>
      <c r="AM1036" s="418" t="str">
        <f t="shared" si="1605"/>
        <v/>
      </c>
      <c r="AN1036" s="418">
        <f t="shared" si="1606"/>
        <v>6000</v>
      </c>
      <c r="AO1036" s="418" t="str">
        <f t="shared" si="1607"/>
        <v/>
      </c>
      <c r="AP1036" s="418" t="str">
        <f t="shared" si="1608"/>
        <v/>
      </c>
      <c r="AQ1036" s="418" t="str">
        <f t="shared" si="1609"/>
        <v/>
      </c>
      <c r="AR1036" s="418" t="str">
        <f t="shared" si="1610"/>
        <v/>
      </c>
      <c r="AS1036" s="418" t="str">
        <f t="shared" si="1611"/>
        <v/>
      </c>
      <c r="AT1036" s="418" t="str">
        <f t="shared" si="1612"/>
        <v/>
      </c>
      <c r="AU1036" s="418" t="str">
        <f t="shared" si="1613"/>
        <v/>
      </c>
      <c r="AV1036" s="418" t="str">
        <f t="shared" si="1614"/>
        <v/>
      </c>
      <c r="AW1036" s="418" t="str">
        <f t="shared" si="1615"/>
        <v/>
      </c>
      <c r="AX1036" s="418" t="str">
        <f t="shared" si="1616"/>
        <v/>
      </c>
      <c r="AY1036" s="418" t="str">
        <f t="shared" si="1617"/>
        <v/>
      </c>
      <c r="AZ1036" s="418" t="str">
        <f t="shared" si="1618"/>
        <v/>
      </c>
      <c r="BA1036" s="418" t="str">
        <f t="shared" si="1619"/>
        <v/>
      </c>
      <c r="BB1036" s="418" t="str">
        <f t="shared" si="1620"/>
        <v/>
      </c>
      <c r="BC1036" s="418" t="str">
        <f t="shared" si="1621"/>
        <v/>
      </c>
      <c r="BD1036" s="418" t="str">
        <f t="shared" si="1622"/>
        <v/>
      </c>
      <c r="BE1036" s="418" t="str">
        <f t="shared" si="1623"/>
        <v/>
      </c>
      <c r="BF1036" s="418" t="str">
        <f t="shared" si="1624"/>
        <v/>
      </c>
      <c r="BG1036" s="418" t="str">
        <f t="shared" si="1625"/>
        <v/>
      </c>
      <c r="BH1036" s="418" t="str">
        <f t="shared" si="1626"/>
        <v/>
      </c>
      <c r="BI1036" s="418" t="str">
        <f t="shared" si="1627"/>
        <v/>
      </c>
      <c r="BJ1036" s="418" t="str">
        <f t="shared" si="1628"/>
        <v/>
      </c>
      <c r="BK1036" s="418" t="str">
        <f t="shared" si="1629"/>
        <v/>
      </c>
      <c r="BL1036" s="418" t="str">
        <f t="shared" si="1630"/>
        <v/>
      </c>
      <c r="BM1036" s="418" t="str">
        <f t="shared" si="1631"/>
        <v/>
      </c>
      <c r="BN1036" s="418" t="str">
        <f t="shared" si="1632"/>
        <v/>
      </c>
      <c r="BO1036" s="418" t="str">
        <f t="shared" si="1633"/>
        <v/>
      </c>
      <c r="BP1036" s="418" t="str">
        <f t="shared" si="1634"/>
        <v/>
      </c>
      <c r="BQ1036" s="418" t="str">
        <f t="shared" si="1545"/>
        <v/>
      </c>
      <c r="BR1036" s="418" t="str">
        <f t="shared" si="1546"/>
        <v/>
      </c>
      <c r="BS1036" s="418" t="str">
        <f t="shared" si="1547"/>
        <v/>
      </c>
      <c r="BT1036" s="418" t="str">
        <f t="shared" si="1635"/>
        <v/>
      </c>
      <c r="BU1036" s="418" t="str">
        <f t="shared" si="1636"/>
        <v/>
      </c>
      <c r="BV1036" s="544">
        <v>0.83</v>
      </c>
      <c r="BW1036" s="723">
        <f t="shared" si="1637"/>
        <v>4980</v>
      </c>
      <c r="BX1036" s="724">
        <f t="shared" si="1638"/>
        <v>38595</v>
      </c>
      <c r="BY1036" s="725" t="str">
        <f t="shared" si="1639"/>
        <v>SR</v>
      </c>
    </row>
    <row r="1037" s="697" customFormat="1" customHeight="1" spans="1:77">
      <c r="A1037" s="116">
        <v>46181</v>
      </c>
      <c r="B1037" s="140">
        <v>46239</v>
      </c>
      <c r="C1037" s="123" t="s">
        <v>921</v>
      </c>
      <c r="D1037" s="123" t="s">
        <v>922</v>
      </c>
      <c r="E1037" s="123" t="s">
        <v>61</v>
      </c>
      <c r="F1037" s="142">
        <v>5016</v>
      </c>
      <c r="G1037" s="123" t="s">
        <v>510</v>
      </c>
      <c r="H1037" s="118" t="str">
        <f>IFERROR(VLOOKUP(E1037,名称!A:E,4,0),"")</f>
        <v>三代</v>
      </c>
      <c r="I1037" s="418" t="str">
        <f t="shared" si="1575"/>
        <v/>
      </c>
      <c r="J1037" s="418" t="str">
        <f t="shared" si="1576"/>
        <v/>
      </c>
      <c r="K1037" s="418" t="str">
        <f t="shared" si="1577"/>
        <v/>
      </c>
      <c r="L1037" s="418" t="str">
        <f t="shared" si="1578"/>
        <v/>
      </c>
      <c r="M1037" s="418" t="str">
        <f t="shared" si="1579"/>
        <v/>
      </c>
      <c r="N1037" s="418" t="str">
        <f t="shared" si="1580"/>
        <v/>
      </c>
      <c r="O1037" s="418" t="str">
        <f t="shared" si="1581"/>
        <v/>
      </c>
      <c r="P1037" s="418" t="str">
        <f t="shared" si="1582"/>
        <v/>
      </c>
      <c r="Q1037" s="418" t="str">
        <f t="shared" si="1583"/>
        <v/>
      </c>
      <c r="R1037" s="418" t="str">
        <f t="shared" si="1584"/>
        <v/>
      </c>
      <c r="S1037" s="418" t="str">
        <f t="shared" si="1585"/>
        <v/>
      </c>
      <c r="T1037" s="418" t="str">
        <f t="shared" si="1586"/>
        <v/>
      </c>
      <c r="U1037" s="418" t="str">
        <f t="shared" si="1587"/>
        <v/>
      </c>
      <c r="V1037" s="418" t="str">
        <f t="shared" si="1588"/>
        <v/>
      </c>
      <c r="W1037" s="418" t="str">
        <f t="shared" si="1589"/>
        <v/>
      </c>
      <c r="X1037" s="418" t="str">
        <f t="shared" si="1590"/>
        <v/>
      </c>
      <c r="Y1037" s="418" t="str">
        <f t="shared" si="1591"/>
        <v/>
      </c>
      <c r="Z1037" s="418" t="str">
        <f t="shared" si="1592"/>
        <v/>
      </c>
      <c r="AA1037" s="418" t="str">
        <f t="shared" si="1593"/>
        <v/>
      </c>
      <c r="AB1037" s="418" t="str">
        <f t="shared" si="1594"/>
        <v/>
      </c>
      <c r="AC1037" s="418" t="str">
        <f t="shared" si="1595"/>
        <v/>
      </c>
      <c r="AD1037" s="418" t="str">
        <f t="shared" si="1596"/>
        <v/>
      </c>
      <c r="AE1037" s="418">
        <f t="shared" si="1597"/>
        <v>5016</v>
      </c>
      <c r="AF1037" s="418" t="str">
        <f t="shared" si="1598"/>
        <v/>
      </c>
      <c r="AG1037" s="418" t="str">
        <f t="shared" si="1599"/>
        <v/>
      </c>
      <c r="AH1037" s="418" t="str">
        <f t="shared" si="1600"/>
        <v/>
      </c>
      <c r="AI1037" s="418" t="str">
        <f t="shared" si="1601"/>
        <v/>
      </c>
      <c r="AJ1037" s="418" t="str">
        <f t="shared" si="1602"/>
        <v/>
      </c>
      <c r="AK1037" s="418" t="str">
        <f t="shared" si="1603"/>
        <v/>
      </c>
      <c r="AL1037" s="418" t="str">
        <f t="shared" si="1604"/>
        <v/>
      </c>
      <c r="AM1037" s="418" t="str">
        <f t="shared" si="1605"/>
        <v/>
      </c>
      <c r="AN1037" s="418" t="str">
        <f t="shared" si="1606"/>
        <v/>
      </c>
      <c r="AO1037" s="418" t="str">
        <f t="shared" si="1607"/>
        <v/>
      </c>
      <c r="AP1037" s="418" t="str">
        <f t="shared" si="1608"/>
        <v/>
      </c>
      <c r="AQ1037" s="418" t="str">
        <f t="shared" si="1609"/>
        <v/>
      </c>
      <c r="AR1037" s="418" t="str">
        <f t="shared" si="1610"/>
        <v/>
      </c>
      <c r="AS1037" s="418" t="str">
        <f t="shared" si="1611"/>
        <v/>
      </c>
      <c r="AT1037" s="418" t="str">
        <f t="shared" si="1612"/>
        <v/>
      </c>
      <c r="AU1037" s="418" t="str">
        <f t="shared" si="1613"/>
        <v/>
      </c>
      <c r="AV1037" s="418" t="str">
        <f t="shared" si="1614"/>
        <v/>
      </c>
      <c r="AW1037" s="418" t="str">
        <f t="shared" si="1615"/>
        <v/>
      </c>
      <c r="AX1037" s="418" t="str">
        <f t="shared" si="1616"/>
        <v/>
      </c>
      <c r="AY1037" s="418" t="str">
        <f t="shared" si="1617"/>
        <v/>
      </c>
      <c r="AZ1037" s="418" t="str">
        <f t="shared" si="1618"/>
        <v/>
      </c>
      <c r="BA1037" s="418" t="str">
        <f t="shared" si="1619"/>
        <v/>
      </c>
      <c r="BB1037" s="418" t="str">
        <f t="shared" si="1620"/>
        <v/>
      </c>
      <c r="BC1037" s="418" t="str">
        <f t="shared" si="1621"/>
        <v/>
      </c>
      <c r="BD1037" s="418" t="str">
        <f t="shared" si="1622"/>
        <v/>
      </c>
      <c r="BE1037" s="418" t="str">
        <f t="shared" si="1623"/>
        <v/>
      </c>
      <c r="BF1037" s="418" t="str">
        <f t="shared" si="1624"/>
        <v/>
      </c>
      <c r="BG1037" s="418" t="str">
        <f t="shared" si="1625"/>
        <v/>
      </c>
      <c r="BH1037" s="418" t="str">
        <f t="shared" si="1626"/>
        <v/>
      </c>
      <c r="BI1037" s="418" t="str">
        <f t="shared" si="1627"/>
        <v/>
      </c>
      <c r="BJ1037" s="418" t="str">
        <f t="shared" si="1628"/>
        <v/>
      </c>
      <c r="BK1037" s="418" t="str">
        <f t="shared" si="1629"/>
        <v/>
      </c>
      <c r="BL1037" s="418" t="str">
        <f t="shared" si="1630"/>
        <v/>
      </c>
      <c r="BM1037" s="418" t="str">
        <f t="shared" si="1631"/>
        <v/>
      </c>
      <c r="BN1037" s="418" t="str">
        <f t="shared" si="1632"/>
        <v/>
      </c>
      <c r="BO1037" s="418" t="str">
        <f t="shared" si="1633"/>
        <v/>
      </c>
      <c r="BP1037" s="418" t="str">
        <f t="shared" si="1634"/>
        <v/>
      </c>
      <c r="BQ1037" s="418" t="str">
        <f t="shared" si="1545"/>
        <v/>
      </c>
      <c r="BR1037" s="418" t="str">
        <f t="shared" si="1546"/>
        <v/>
      </c>
      <c r="BS1037" s="418" t="str">
        <f t="shared" si="1547"/>
        <v/>
      </c>
      <c r="BT1037" s="418" t="str">
        <f t="shared" si="1635"/>
        <v/>
      </c>
      <c r="BU1037" s="418" t="str">
        <f t="shared" si="1636"/>
        <v/>
      </c>
      <c r="BV1037" s="544">
        <v>0.63</v>
      </c>
      <c r="BW1037" s="723">
        <f t="shared" si="1637"/>
        <v>3160.08</v>
      </c>
      <c r="BX1037" s="724">
        <f t="shared" si="1638"/>
        <v>24490.62</v>
      </c>
      <c r="BY1037" s="725" t="str">
        <f t="shared" si="1639"/>
        <v>SR</v>
      </c>
    </row>
    <row r="1038" s="697" customFormat="1" customHeight="1" spans="1:77">
      <c r="A1038" s="116">
        <v>46181</v>
      </c>
      <c r="B1038" s="179">
        <v>46295</v>
      </c>
      <c r="C1038" s="418" t="s">
        <v>923</v>
      </c>
      <c r="D1038" s="418" t="s">
        <v>924</v>
      </c>
      <c r="E1038" s="418" t="s">
        <v>94</v>
      </c>
      <c r="F1038" s="737">
        <v>52320</v>
      </c>
      <c r="G1038" s="123" t="s">
        <v>270</v>
      </c>
      <c r="H1038" s="118" t="str">
        <f>IFERROR(VLOOKUP(E1038,名称!A:E,4,0),"")</f>
        <v>三代</v>
      </c>
      <c r="I1038" s="418" t="str">
        <f t="shared" si="1575"/>
        <v/>
      </c>
      <c r="J1038" s="418" t="str">
        <f t="shared" si="1576"/>
        <v/>
      </c>
      <c r="K1038" s="418" t="str">
        <f t="shared" si="1577"/>
        <v/>
      </c>
      <c r="L1038" s="418" t="str">
        <f t="shared" si="1578"/>
        <v/>
      </c>
      <c r="M1038" s="418" t="str">
        <f t="shared" si="1579"/>
        <v/>
      </c>
      <c r="N1038" s="418" t="str">
        <f t="shared" si="1580"/>
        <v/>
      </c>
      <c r="O1038" s="418" t="str">
        <f t="shared" si="1581"/>
        <v/>
      </c>
      <c r="P1038" s="418" t="str">
        <f t="shared" si="1582"/>
        <v/>
      </c>
      <c r="Q1038" s="418" t="str">
        <f t="shared" si="1583"/>
        <v/>
      </c>
      <c r="R1038" s="418" t="str">
        <f t="shared" si="1584"/>
        <v/>
      </c>
      <c r="S1038" s="418" t="str">
        <f t="shared" si="1585"/>
        <v/>
      </c>
      <c r="T1038" s="418" t="str">
        <f t="shared" si="1586"/>
        <v/>
      </c>
      <c r="U1038" s="418" t="str">
        <f t="shared" si="1587"/>
        <v/>
      </c>
      <c r="V1038" s="418" t="str">
        <f t="shared" si="1588"/>
        <v/>
      </c>
      <c r="W1038" s="418" t="str">
        <f t="shared" si="1589"/>
        <v/>
      </c>
      <c r="X1038" s="418" t="str">
        <f t="shared" si="1590"/>
        <v/>
      </c>
      <c r="Y1038" s="418" t="str">
        <f t="shared" si="1591"/>
        <v/>
      </c>
      <c r="Z1038" s="418" t="str">
        <f t="shared" si="1592"/>
        <v/>
      </c>
      <c r="AA1038" s="418" t="str">
        <f t="shared" si="1593"/>
        <v/>
      </c>
      <c r="AB1038" s="418" t="str">
        <f t="shared" si="1594"/>
        <v/>
      </c>
      <c r="AC1038" s="418" t="str">
        <f t="shared" si="1595"/>
        <v/>
      </c>
      <c r="AD1038" s="418" t="str">
        <f t="shared" si="1596"/>
        <v/>
      </c>
      <c r="AE1038" s="418" t="str">
        <f t="shared" si="1597"/>
        <v/>
      </c>
      <c r="AF1038" s="418" t="str">
        <f t="shared" si="1598"/>
        <v/>
      </c>
      <c r="AG1038" s="418" t="str">
        <f t="shared" si="1599"/>
        <v/>
      </c>
      <c r="AH1038" s="418" t="str">
        <f t="shared" si="1600"/>
        <v/>
      </c>
      <c r="AI1038" s="418" t="str">
        <f t="shared" si="1601"/>
        <v/>
      </c>
      <c r="AJ1038" s="418" t="str">
        <f t="shared" si="1602"/>
        <v/>
      </c>
      <c r="AK1038" s="418" t="str">
        <f t="shared" si="1603"/>
        <v/>
      </c>
      <c r="AL1038" s="418" t="str">
        <f t="shared" si="1604"/>
        <v/>
      </c>
      <c r="AM1038" s="418" t="str">
        <f t="shared" si="1605"/>
        <v/>
      </c>
      <c r="AN1038" s="418" t="str">
        <f t="shared" si="1606"/>
        <v/>
      </c>
      <c r="AO1038" s="418" t="str">
        <f t="shared" si="1607"/>
        <v/>
      </c>
      <c r="AP1038" s="418" t="str">
        <f t="shared" si="1608"/>
        <v/>
      </c>
      <c r="AQ1038" s="418" t="str">
        <f t="shared" si="1609"/>
        <v/>
      </c>
      <c r="AR1038" s="418" t="str">
        <f t="shared" si="1610"/>
        <v/>
      </c>
      <c r="AS1038" s="418" t="str">
        <f t="shared" si="1611"/>
        <v/>
      </c>
      <c r="AT1038" s="418" t="str">
        <f t="shared" si="1612"/>
        <v/>
      </c>
      <c r="AU1038" s="418" t="str">
        <f t="shared" si="1613"/>
        <v/>
      </c>
      <c r="AV1038" s="418" t="str">
        <f t="shared" si="1614"/>
        <v/>
      </c>
      <c r="AW1038" s="418" t="str">
        <f t="shared" si="1615"/>
        <v/>
      </c>
      <c r="AX1038" s="418" t="str">
        <f t="shared" si="1616"/>
        <v/>
      </c>
      <c r="AY1038" s="418">
        <f t="shared" si="1617"/>
        <v>52320</v>
      </c>
      <c r="AZ1038" s="418" t="str">
        <f t="shared" si="1618"/>
        <v/>
      </c>
      <c r="BA1038" s="418" t="str">
        <f t="shared" si="1619"/>
        <v/>
      </c>
      <c r="BB1038" s="418" t="str">
        <f t="shared" si="1620"/>
        <v/>
      </c>
      <c r="BC1038" s="418" t="str">
        <f t="shared" si="1621"/>
        <v/>
      </c>
      <c r="BD1038" s="418" t="str">
        <f t="shared" si="1622"/>
        <v/>
      </c>
      <c r="BE1038" s="418" t="str">
        <f t="shared" si="1623"/>
        <v/>
      </c>
      <c r="BF1038" s="418" t="str">
        <f t="shared" si="1624"/>
        <v/>
      </c>
      <c r="BG1038" s="418" t="str">
        <f t="shared" si="1625"/>
        <v/>
      </c>
      <c r="BH1038" s="418" t="str">
        <f t="shared" si="1626"/>
        <v/>
      </c>
      <c r="BI1038" s="418" t="str">
        <f t="shared" si="1627"/>
        <v/>
      </c>
      <c r="BJ1038" s="418" t="str">
        <f t="shared" si="1628"/>
        <v/>
      </c>
      <c r="BK1038" s="418" t="str">
        <f t="shared" si="1629"/>
        <v/>
      </c>
      <c r="BL1038" s="418" t="str">
        <f t="shared" si="1630"/>
        <v/>
      </c>
      <c r="BM1038" s="418" t="str">
        <f t="shared" si="1631"/>
        <v/>
      </c>
      <c r="BN1038" s="418" t="str">
        <f t="shared" si="1632"/>
        <v/>
      </c>
      <c r="BO1038" s="418" t="str">
        <f t="shared" si="1633"/>
        <v/>
      </c>
      <c r="BP1038" s="418" t="str">
        <f t="shared" si="1634"/>
        <v/>
      </c>
      <c r="BQ1038" s="418" t="str">
        <f t="shared" si="1545"/>
        <v/>
      </c>
      <c r="BR1038" s="418" t="str">
        <f t="shared" si="1546"/>
        <v/>
      </c>
      <c r="BS1038" s="418" t="str">
        <f t="shared" si="1547"/>
        <v/>
      </c>
      <c r="BT1038" s="418" t="str">
        <f t="shared" si="1635"/>
        <v/>
      </c>
      <c r="BU1038" s="418" t="str">
        <f t="shared" si="1636"/>
        <v/>
      </c>
      <c r="BV1038" s="544">
        <v>0.61</v>
      </c>
      <c r="BW1038" s="723">
        <f t="shared" si="1637"/>
        <v>31915.2</v>
      </c>
      <c r="BX1038" s="724">
        <f t="shared" si="1638"/>
        <v>247342.8</v>
      </c>
      <c r="BY1038" s="725" t="str">
        <f t="shared" si="1639"/>
        <v>SR</v>
      </c>
    </row>
    <row r="1039" s="697" customFormat="1" customHeight="1" spans="1:77">
      <c r="A1039" s="116">
        <v>46181</v>
      </c>
      <c r="B1039" s="179">
        <v>46280</v>
      </c>
      <c r="C1039" s="418" t="s">
        <v>925</v>
      </c>
      <c r="D1039" s="418" t="s">
        <v>926</v>
      </c>
      <c r="E1039" s="418" t="s">
        <v>110</v>
      </c>
      <c r="F1039" s="737">
        <v>45600</v>
      </c>
      <c r="G1039" s="123" t="s">
        <v>270</v>
      </c>
      <c r="H1039" s="118" t="str">
        <f>IFERROR(VLOOKUP(E1039,名称!A:E,4,0),"")</f>
        <v>三代</v>
      </c>
      <c r="I1039" s="418" t="str">
        <f t="shared" si="1575"/>
        <v/>
      </c>
      <c r="J1039" s="418" t="str">
        <f t="shared" si="1576"/>
        <v/>
      </c>
      <c r="K1039" s="418" t="str">
        <f t="shared" si="1577"/>
        <v/>
      </c>
      <c r="L1039" s="418" t="str">
        <f t="shared" si="1578"/>
        <v/>
      </c>
      <c r="M1039" s="418" t="str">
        <f t="shared" si="1579"/>
        <v/>
      </c>
      <c r="N1039" s="418" t="str">
        <f t="shared" si="1580"/>
        <v/>
      </c>
      <c r="O1039" s="418" t="str">
        <f t="shared" si="1581"/>
        <v/>
      </c>
      <c r="P1039" s="418" t="str">
        <f t="shared" si="1582"/>
        <v/>
      </c>
      <c r="Q1039" s="418" t="str">
        <f t="shared" si="1583"/>
        <v/>
      </c>
      <c r="R1039" s="418" t="str">
        <f t="shared" si="1584"/>
        <v/>
      </c>
      <c r="S1039" s="418" t="str">
        <f t="shared" si="1585"/>
        <v/>
      </c>
      <c r="T1039" s="418" t="str">
        <f t="shared" si="1586"/>
        <v/>
      </c>
      <c r="U1039" s="418" t="str">
        <f t="shared" si="1587"/>
        <v/>
      </c>
      <c r="V1039" s="418" t="str">
        <f t="shared" si="1588"/>
        <v/>
      </c>
      <c r="W1039" s="418" t="str">
        <f t="shared" si="1589"/>
        <v/>
      </c>
      <c r="X1039" s="418" t="str">
        <f t="shared" si="1590"/>
        <v/>
      </c>
      <c r="Y1039" s="418" t="str">
        <f t="shared" si="1591"/>
        <v/>
      </c>
      <c r="Z1039" s="418" t="str">
        <f t="shared" si="1592"/>
        <v/>
      </c>
      <c r="AA1039" s="418" t="str">
        <f t="shared" si="1593"/>
        <v/>
      </c>
      <c r="AB1039" s="418" t="str">
        <f t="shared" si="1594"/>
        <v/>
      </c>
      <c r="AC1039" s="418" t="str">
        <f t="shared" si="1595"/>
        <v/>
      </c>
      <c r="AD1039" s="418" t="str">
        <f t="shared" si="1596"/>
        <v/>
      </c>
      <c r="AE1039" s="418" t="str">
        <f t="shared" si="1597"/>
        <v/>
      </c>
      <c r="AF1039" s="418" t="str">
        <f t="shared" si="1598"/>
        <v/>
      </c>
      <c r="AG1039" s="418" t="str">
        <f t="shared" si="1599"/>
        <v/>
      </c>
      <c r="AH1039" s="418" t="str">
        <f t="shared" si="1600"/>
        <v/>
      </c>
      <c r="AI1039" s="418" t="str">
        <f t="shared" si="1601"/>
        <v/>
      </c>
      <c r="AJ1039" s="418" t="str">
        <f t="shared" si="1602"/>
        <v/>
      </c>
      <c r="AK1039" s="418" t="str">
        <f t="shared" si="1603"/>
        <v/>
      </c>
      <c r="AL1039" s="418" t="str">
        <f t="shared" si="1604"/>
        <v/>
      </c>
      <c r="AM1039" s="418" t="str">
        <f t="shared" si="1605"/>
        <v/>
      </c>
      <c r="AN1039" s="418" t="str">
        <f t="shared" si="1606"/>
        <v/>
      </c>
      <c r="AO1039" s="418" t="str">
        <f t="shared" si="1607"/>
        <v/>
      </c>
      <c r="AP1039" s="418" t="str">
        <f t="shared" si="1608"/>
        <v/>
      </c>
      <c r="AQ1039" s="418" t="str">
        <f t="shared" si="1609"/>
        <v/>
      </c>
      <c r="AR1039" s="418" t="str">
        <f t="shared" si="1610"/>
        <v/>
      </c>
      <c r="AS1039" s="418" t="str">
        <f t="shared" si="1611"/>
        <v/>
      </c>
      <c r="AT1039" s="418" t="str">
        <f t="shared" si="1612"/>
        <v/>
      </c>
      <c r="AU1039" s="418" t="str">
        <f t="shared" si="1613"/>
        <v/>
      </c>
      <c r="AV1039" s="418" t="str">
        <f t="shared" si="1614"/>
        <v/>
      </c>
      <c r="AW1039" s="418" t="str">
        <f t="shared" si="1615"/>
        <v/>
      </c>
      <c r="AX1039" s="418" t="str">
        <f t="shared" si="1616"/>
        <v/>
      </c>
      <c r="AY1039" s="418" t="str">
        <f t="shared" si="1617"/>
        <v/>
      </c>
      <c r="AZ1039" s="418" t="str">
        <f t="shared" si="1618"/>
        <v/>
      </c>
      <c r="BA1039" s="418" t="str">
        <f t="shared" si="1619"/>
        <v/>
      </c>
      <c r="BB1039" s="418" t="str">
        <f t="shared" si="1620"/>
        <v/>
      </c>
      <c r="BC1039" s="418" t="str">
        <f t="shared" si="1621"/>
        <v/>
      </c>
      <c r="BD1039" s="418" t="str">
        <f t="shared" si="1622"/>
        <v/>
      </c>
      <c r="BE1039" s="418">
        <f t="shared" si="1623"/>
        <v>45600</v>
      </c>
      <c r="BF1039" s="418" t="str">
        <f t="shared" si="1624"/>
        <v/>
      </c>
      <c r="BG1039" s="418" t="str">
        <f t="shared" si="1625"/>
        <v/>
      </c>
      <c r="BH1039" s="418" t="str">
        <f t="shared" si="1626"/>
        <v/>
      </c>
      <c r="BI1039" s="418" t="str">
        <f t="shared" si="1627"/>
        <v/>
      </c>
      <c r="BJ1039" s="418" t="str">
        <f t="shared" si="1628"/>
        <v/>
      </c>
      <c r="BK1039" s="418" t="str">
        <f t="shared" si="1629"/>
        <v/>
      </c>
      <c r="BL1039" s="418" t="str">
        <f t="shared" si="1630"/>
        <v/>
      </c>
      <c r="BM1039" s="418" t="str">
        <f t="shared" si="1631"/>
        <v/>
      </c>
      <c r="BN1039" s="418" t="str">
        <f t="shared" si="1632"/>
        <v/>
      </c>
      <c r="BO1039" s="418" t="str">
        <f t="shared" si="1633"/>
        <v/>
      </c>
      <c r="BP1039" s="418" t="str">
        <f t="shared" si="1634"/>
        <v/>
      </c>
      <c r="BQ1039" s="418" t="str">
        <f t="shared" si="1545"/>
        <v/>
      </c>
      <c r="BR1039" s="418" t="str">
        <f t="shared" si="1546"/>
        <v/>
      </c>
      <c r="BS1039" s="418" t="str">
        <f t="shared" si="1547"/>
        <v/>
      </c>
      <c r="BT1039" s="418" t="str">
        <f t="shared" si="1635"/>
        <v/>
      </c>
      <c r="BU1039" s="418" t="str">
        <f t="shared" si="1636"/>
        <v/>
      </c>
      <c r="BV1039" s="544">
        <v>0.59</v>
      </c>
      <c r="BW1039" s="723">
        <f t="shared" si="1637"/>
        <v>26904</v>
      </c>
      <c r="BX1039" s="724">
        <f t="shared" si="1638"/>
        <v>208506</v>
      </c>
      <c r="BY1039" s="725" t="str">
        <f t="shared" si="1639"/>
        <v>JS</v>
      </c>
    </row>
    <row r="1040" s="697" customFormat="1" customHeight="1" spans="1:77">
      <c r="A1040" s="116">
        <v>46181</v>
      </c>
      <c r="B1040" s="179">
        <v>46280</v>
      </c>
      <c r="C1040" s="418" t="s">
        <v>927</v>
      </c>
      <c r="D1040" s="418" t="s">
        <v>928</v>
      </c>
      <c r="E1040" s="418" t="s">
        <v>109</v>
      </c>
      <c r="F1040" s="737">
        <v>45600</v>
      </c>
      <c r="G1040" s="123" t="s">
        <v>270</v>
      </c>
      <c r="H1040" s="118" t="str">
        <f>IFERROR(VLOOKUP(E1040,名称!A:E,4,0),"")</f>
        <v>三代</v>
      </c>
      <c r="I1040" s="418" t="str">
        <f t="shared" si="1575"/>
        <v/>
      </c>
      <c r="J1040" s="418" t="str">
        <f t="shared" si="1576"/>
        <v/>
      </c>
      <c r="K1040" s="418" t="str">
        <f t="shared" si="1577"/>
        <v/>
      </c>
      <c r="L1040" s="418" t="str">
        <f t="shared" si="1578"/>
        <v/>
      </c>
      <c r="M1040" s="418" t="str">
        <f t="shared" si="1579"/>
        <v/>
      </c>
      <c r="N1040" s="418" t="str">
        <f t="shared" si="1580"/>
        <v/>
      </c>
      <c r="O1040" s="418" t="str">
        <f t="shared" si="1581"/>
        <v/>
      </c>
      <c r="P1040" s="418" t="str">
        <f t="shared" si="1582"/>
        <v/>
      </c>
      <c r="Q1040" s="418" t="str">
        <f t="shared" si="1583"/>
        <v/>
      </c>
      <c r="R1040" s="418" t="str">
        <f t="shared" si="1584"/>
        <v/>
      </c>
      <c r="S1040" s="418" t="str">
        <f t="shared" si="1585"/>
        <v/>
      </c>
      <c r="T1040" s="418" t="str">
        <f t="shared" si="1586"/>
        <v/>
      </c>
      <c r="U1040" s="418" t="str">
        <f t="shared" si="1587"/>
        <v/>
      </c>
      <c r="V1040" s="418" t="str">
        <f t="shared" si="1588"/>
        <v/>
      </c>
      <c r="W1040" s="418" t="str">
        <f t="shared" si="1589"/>
        <v/>
      </c>
      <c r="X1040" s="418" t="str">
        <f t="shared" si="1590"/>
        <v/>
      </c>
      <c r="Y1040" s="418" t="str">
        <f t="shared" si="1591"/>
        <v/>
      </c>
      <c r="Z1040" s="418" t="str">
        <f t="shared" si="1592"/>
        <v/>
      </c>
      <c r="AA1040" s="418" t="str">
        <f t="shared" si="1593"/>
        <v/>
      </c>
      <c r="AB1040" s="418" t="str">
        <f t="shared" si="1594"/>
        <v/>
      </c>
      <c r="AC1040" s="418" t="str">
        <f t="shared" si="1595"/>
        <v/>
      </c>
      <c r="AD1040" s="418" t="str">
        <f t="shared" si="1596"/>
        <v/>
      </c>
      <c r="AE1040" s="418" t="str">
        <f t="shared" si="1597"/>
        <v/>
      </c>
      <c r="AF1040" s="418" t="str">
        <f t="shared" si="1598"/>
        <v/>
      </c>
      <c r="AG1040" s="418" t="str">
        <f t="shared" si="1599"/>
        <v/>
      </c>
      <c r="AH1040" s="418" t="str">
        <f t="shared" si="1600"/>
        <v/>
      </c>
      <c r="AI1040" s="418" t="str">
        <f t="shared" si="1601"/>
        <v/>
      </c>
      <c r="AJ1040" s="418" t="str">
        <f t="shared" si="1602"/>
        <v/>
      </c>
      <c r="AK1040" s="418" t="str">
        <f t="shared" si="1603"/>
        <v/>
      </c>
      <c r="AL1040" s="418" t="str">
        <f t="shared" si="1604"/>
        <v/>
      </c>
      <c r="AM1040" s="418" t="str">
        <f t="shared" si="1605"/>
        <v/>
      </c>
      <c r="AN1040" s="418" t="str">
        <f t="shared" si="1606"/>
        <v/>
      </c>
      <c r="AO1040" s="418" t="str">
        <f t="shared" si="1607"/>
        <v/>
      </c>
      <c r="AP1040" s="418" t="str">
        <f t="shared" si="1608"/>
        <v/>
      </c>
      <c r="AQ1040" s="418" t="str">
        <f t="shared" si="1609"/>
        <v/>
      </c>
      <c r="AR1040" s="418" t="str">
        <f t="shared" si="1610"/>
        <v/>
      </c>
      <c r="AS1040" s="418" t="str">
        <f t="shared" si="1611"/>
        <v/>
      </c>
      <c r="AT1040" s="418" t="str">
        <f t="shared" si="1612"/>
        <v/>
      </c>
      <c r="AU1040" s="418" t="str">
        <f t="shared" si="1613"/>
        <v/>
      </c>
      <c r="AV1040" s="418" t="str">
        <f t="shared" si="1614"/>
        <v/>
      </c>
      <c r="AW1040" s="418" t="str">
        <f t="shared" si="1615"/>
        <v/>
      </c>
      <c r="AX1040" s="418" t="str">
        <f t="shared" si="1616"/>
        <v/>
      </c>
      <c r="AY1040" s="418" t="str">
        <f t="shared" si="1617"/>
        <v/>
      </c>
      <c r="AZ1040" s="418" t="str">
        <f t="shared" si="1618"/>
        <v/>
      </c>
      <c r="BA1040" s="418" t="str">
        <f t="shared" si="1619"/>
        <v/>
      </c>
      <c r="BB1040" s="418" t="str">
        <f t="shared" si="1620"/>
        <v/>
      </c>
      <c r="BC1040" s="418">
        <f t="shared" si="1621"/>
        <v>45600</v>
      </c>
      <c r="BD1040" s="418" t="str">
        <f t="shared" si="1622"/>
        <v/>
      </c>
      <c r="BE1040" s="418" t="str">
        <f t="shared" si="1623"/>
        <v/>
      </c>
      <c r="BF1040" s="418" t="str">
        <f t="shared" si="1624"/>
        <v/>
      </c>
      <c r="BG1040" s="418" t="str">
        <f t="shared" si="1625"/>
        <v/>
      </c>
      <c r="BH1040" s="418" t="str">
        <f t="shared" si="1626"/>
        <v/>
      </c>
      <c r="BI1040" s="418" t="str">
        <f t="shared" si="1627"/>
        <v/>
      </c>
      <c r="BJ1040" s="418" t="str">
        <f t="shared" si="1628"/>
        <v/>
      </c>
      <c r="BK1040" s="418" t="str">
        <f t="shared" si="1629"/>
        <v/>
      </c>
      <c r="BL1040" s="418" t="str">
        <f t="shared" si="1630"/>
        <v/>
      </c>
      <c r="BM1040" s="418" t="str">
        <f t="shared" si="1631"/>
        <v/>
      </c>
      <c r="BN1040" s="418" t="str">
        <f t="shared" si="1632"/>
        <v/>
      </c>
      <c r="BO1040" s="418" t="str">
        <f t="shared" si="1633"/>
        <v/>
      </c>
      <c r="BP1040" s="418" t="str">
        <f t="shared" si="1634"/>
        <v/>
      </c>
      <c r="BQ1040" s="418" t="str">
        <f t="shared" si="1545"/>
        <v/>
      </c>
      <c r="BR1040" s="418" t="str">
        <f t="shared" si="1546"/>
        <v/>
      </c>
      <c r="BS1040" s="418" t="str">
        <f t="shared" si="1547"/>
        <v/>
      </c>
      <c r="BT1040" s="418" t="str">
        <f t="shared" si="1635"/>
        <v/>
      </c>
      <c r="BU1040" s="418" t="str">
        <f t="shared" si="1636"/>
        <v/>
      </c>
      <c r="BV1040" s="544">
        <v>0.6</v>
      </c>
      <c r="BW1040" s="723">
        <f t="shared" si="1637"/>
        <v>27360</v>
      </c>
      <c r="BX1040" s="724">
        <f t="shared" si="1638"/>
        <v>212040</v>
      </c>
      <c r="BY1040" s="725" t="str">
        <f t="shared" si="1639"/>
        <v>JS</v>
      </c>
    </row>
    <row r="1041" s="697" customFormat="1" customHeight="1" spans="1:77">
      <c r="A1041" s="116">
        <v>46181</v>
      </c>
      <c r="B1041" s="179">
        <v>46305</v>
      </c>
      <c r="C1041" s="418" t="s">
        <v>929</v>
      </c>
      <c r="D1041" s="418" t="s">
        <v>930</v>
      </c>
      <c r="E1041" s="619" t="s">
        <v>199</v>
      </c>
      <c r="F1041" s="737">
        <v>45600</v>
      </c>
      <c r="G1041" s="123" t="s">
        <v>270</v>
      </c>
      <c r="H1041" s="118" t="str">
        <f>IFERROR(VLOOKUP(E1041,名称!A:E,4,0),"")</f>
        <v>三代</v>
      </c>
      <c r="I1041" s="418" t="str">
        <f t="shared" si="1575"/>
        <v/>
      </c>
      <c r="J1041" s="418" t="str">
        <f t="shared" si="1576"/>
        <v/>
      </c>
      <c r="K1041" s="418" t="str">
        <f t="shared" si="1577"/>
        <v/>
      </c>
      <c r="L1041" s="418" t="str">
        <f t="shared" si="1578"/>
        <v/>
      </c>
      <c r="M1041" s="418" t="str">
        <f t="shared" si="1579"/>
        <v/>
      </c>
      <c r="N1041" s="418" t="str">
        <f t="shared" si="1580"/>
        <v/>
      </c>
      <c r="O1041" s="418" t="str">
        <f t="shared" si="1581"/>
        <v/>
      </c>
      <c r="P1041" s="418" t="str">
        <f t="shared" si="1582"/>
        <v/>
      </c>
      <c r="Q1041" s="418" t="str">
        <f t="shared" si="1583"/>
        <v/>
      </c>
      <c r="R1041" s="418" t="str">
        <f t="shared" si="1584"/>
        <v/>
      </c>
      <c r="S1041" s="418" t="str">
        <f t="shared" si="1585"/>
        <v/>
      </c>
      <c r="T1041" s="418" t="str">
        <f t="shared" si="1586"/>
        <v/>
      </c>
      <c r="U1041" s="418" t="str">
        <f t="shared" si="1587"/>
        <v/>
      </c>
      <c r="V1041" s="418" t="str">
        <f t="shared" si="1588"/>
        <v/>
      </c>
      <c r="W1041" s="418" t="str">
        <f t="shared" si="1589"/>
        <v/>
      </c>
      <c r="X1041" s="418" t="str">
        <f t="shared" si="1590"/>
        <v/>
      </c>
      <c r="Y1041" s="418" t="str">
        <f t="shared" si="1591"/>
        <v/>
      </c>
      <c r="Z1041" s="418" t="str">
        <f t="shared" si="1592"/>
        <v/>
      </c>
      <c r="AA1041" s="418" t="str">
        <f t="shared" si="1593"/>
        <v/>
      </c>
      <c r="AB1041" s="418" t="str">
        <f t="shared" si="1594"/>
        <v/>
      </c>
      <c r="AC1041" s="418" t="str">
        <f t="shared" si="1595"/>
        <v/>
      </c>
      <c r="AD1041" s="418" t="str">
        <f t="shared" si="1596"/>
        <v/>
      </c>
      <c r="AE1041" s="418" t="str">
        <f t="shared" si="1597"/>
        <v/>
      </c>
      <c r="AF1041" s="418" t="str">
        <f t="shared" si="1598"/>
        <v/>
      </c>
      <c r="AG1041" s="418" t="str">
        <f t="shared" si="1599"/>
        <v/>
      </c>
      <c r="AH1041" s="418" t="str">
        <f t="shared" si="1600"/>
        <v/>
      </c>
      <c r="AI1041" s="418" t="str">
        <f t="shared" si="1601"/>
        <v/>
      </c>
      <c r="AJ1041" s="418" t="str">
        <f t="shared" si="1602"/>
        <v/>
      </c>
      <c r="AK1041" s="418" t="str">
        <f t="shared" si="1603"/>
        <v/>
      </c>
      <c r="AL1041" s="418" t="str">
        <f t="shared" si="1604"/>
        <v/>
      </c>
      <c r="AM1041" s="418" t="str">
        <f t="shared" si="1605"/>
        <v/>
      </c>
      <c r="AN1041" s="418" t="str">
        <f t="shared" si="1606"/>
        <v/>
      </c>
      <c r="AO1041" s="418" t="str">
        <f t="shared" si="1607"/>
        <v/>
      </c>
      <c r="AP1041" s="418" t="str">
        <f t="shared" si="1608"/>
        <v/>
      </c>
      <c r="AQ1041" s="418" t="str">
        <f t="shared" si="1609"/>
        <v/>
      </c>
      <c r="AR1041" s="418" t="str">
        <f t="shared" si="1610"/>
        <v/>
      </c>
      <c r="AS1041" s="418" t="str">
        <f t="shared" si="1611"/>
        <v/>
      </c>
      <c r="AT1041" s="418" t="str">
        <f t="shared" si="1612"/>
        <v/>
      </c>
      <c r="AU1041" s="418" t="str">
        <f t="shared" si="1613"/>
        <v/>
      </c>
      <c r="AV1041" s="418" t="str">
        <f t="shared" si="1614"/>
        <v/>
      </c>
      <c r="AW1041" s="418" t="str">
        <f t="shared" si="1615"/>
        <v/>
      </c>
      <c r="AX1041" s="418" t="str">
        <f t="shared" si="1616"/>
        <v/>
      </c>
      <c r="AY1041" s="418" t="str">
        <f t="shared" si="1617"/>
        <v/>
      </c>
      <c r="AZ1041" s="418" t="str">
        <f t="shared" si="1618"/>
        <v/>
      </c>
      <c r="BA1041" s="418" t="str">
        <f t="shared" si="1619"/>
        <v/>
      </c>
      <c r="BB1041" s="418" t="str">
        <f t="shared" si="1620"/>
        <v/>
      </c>
      <c r="BC1041" s="418" t="str">
        <f t="shared" si="1621"/>
        <v/>
      </c>
      <c r="BD1041" s="418" t="str">
        <f t="shared" si="1622"/>
        <v/>
      </c>
      <c r="BE1041" s="418" t="str">
        <f t="shared" si="1623"/>
        <v/>
      </c>
      <c r="BF1041" s="418" t="str">
        <f t="shared" si="1624"/>
        <v/>
      </c>
      <c r="BG1041" s="418" t="str">
        <f t="shared" si="1625"/>
        <v/>
      </c>
      <c r="BH1041" s="418" t="str">
        <f t="shared" si="1626"/>
        <v/>
      </c>
      <c r="BI1041" s="418" t="str">
        <f t="shared" si="1627"/>
        <v/>
      </c>
      <c r="BJ1041" s="418" t="str">
        <f t="shared" si="1628"/>
        <v/>
      </c>
      <c r="BK1041" s="418" t="str">
        <f t="shared" si="1629"/>
        <v/>
      </c>
      <c r="BL1041" s="418" t="str">
        <f t="shared" si="1630"/>
        <v/>
      </c>
      <c r="BM1041" s="418" t="str">
        <f t="shared" si="1631"/>
        <v/>
      </c>
      <c r="BN1041" s="418" t="str">
        <f t="shared" si="1632"/>
        <v/>
      </c>
      <c r="BO1041" s="418" t="str">
        <f t="shared" si="1633"/>
        <v/>
      </c>
      <c r="BP1041" s="418">
        <f t="shared" si="1634"/>
        <v>45600</v>
      </c>
      <c r="BQ1041" s="418" t="str">
        <f t="shared" si="1545"/>
        <v/>
      </c>
      <c r="BR1041" s="418" t="str">
        <f t="shared" si="1546"/>
        <v/>
      </c>
      <c r="BS1041" s="418" t="str">
        <f t="shared" si="1547"/>
        <v/>
      </c>
      <c r="BT1041" s="418" t="str">
        <f t="shared" si="1635"/>
        <v/>
      </c>
      <c r="BU1041" s="418" t="str">
        <f t="shared" si="1636"/>
        <v/>
      </c>
      <c r="BV1041" s="544">
        <v>0.89</v>
      </c>
      <c r="BW1041" s="723">
        <f t="shared" si="1637"/>
        <v>40584</v>
      </c>
      <c r="BX1041" s="724">
        <f t="shared" si="1638"/>
        <v>314526</v>
      </c>
      <c r="BY1041" s="725" t="str">
        <f t="shared" si="1639"/>
        <v>SR</v>
      </c>
    </row>
    <row r="1042" s="697" customFormat="1" customHeight="1" spans="1:77">
      <c r="A1042" s="116">
        <v>46181</v>
      </c>
      <c r="B1042" s="179">
        <v>46295</v>
      </c>
      <c r="C1042" s="418" t="s">
        <v>931</v>
      </c>
      <c r="D1042" s="418" t="s">
        <v>932</v>
      </c>
      <c r="E1042" s="418" t="s">
        <v>59</v>
      </c>
      <c r="F1042" s="737">
        <v>76944</v>
      </c>
      <c r="G1042" s="123" t="s">
        <v>270</v>
      </c>
      <c r="H1042" s="118" t="str">
        <f>IFERROR(VLOOKUP(E1042,名称!A:E,4,0),"")</f>
        <v>三代</v>
      </c>
      <c r="I1042" s="418" t="str">
        <f t="shared" si="1575"/>
        <v/>
      </c>
      <c r="J1042" s="418" t="str">
        <f t="shared" si="1576"/>
        <v/>
      </c>
      <c r="K1042" s="418" t="str">
        <f t="shared" si="1577"/>
        <v/>
      </c>
      <c r="L1042" s="418" t="str">
        <f t="shared" si="1578"/>
        <v/>
      </c>
      <c r="M1042" s="418" t="str">
        <f t="shared" si="1579"/>
        <v/>
      </c>
      <c r="N1042" s="418" t="str">
        <f t="shared" si="1580"/>
        <v/>
      </c>
      <c r="O1042" s="418" t="str">
        <f t="shared" si="1581"/>
        <v/>
      </c>
      <c r="P1042" s="418" t="str">
        <f t="shared" si="1582"/>
        <v/>
      </c>
      <c r="Q1042" s="418" t="str">
        <f t="shared" si="1583"/>
        <v/>
      </c>
      <c r="R1042" s="418" t="str">
        <f t="shared" si="1584"/>
        <v/>
      </c>
      <c r="S1042" s="418" t="str">
        <f t="shared" si="1585"/>
        <v/>
      </c>
      <c r="T1042" s="418" t="str">
        <f t="shared" si="1586"/>
        <v/>
      </c>
      <c r="U1042" s="418" t="str">
        <f t="shared" si="1587"/>
        <v/>
      </c>
      <c r="V1042" s="418" t="str">
        <f t="shared" si="1588"/>
        <v/>
      </c>
      <c r="W1042" s="418" t="str">
        <f t="shared" si="1589"/>
        <v/>
      </c>
      <c r="X1042" s="418" t="str">
        <f t="shared" si="1590"/>
        <v/>
      </c>
      <c r="Y1042" s="418" t="str">
        <f t="shared" si="1591"/>
        <v/>
      </c>
      <c r="Z1042" s="418" t="str">
        <f t="shared" si="1592"/>
        <v/>
      </c>
      <c r="AA1042" s="418" t="str">
        <f t="shared" si="1593"/>
        <v/>
      </c>
      <c r="AB1042" s="418" t="str">
        <f t="shared" si="1594"/>
        <v/>
      </c>
      <c r="AC1042" s="418" t="str">
        <f t="shared" si="1595"/>
        <v/>
      </c>
      <c r="AD1042" s="418">
        <f t="shared" si="1596"/>
        <v>76944</v>
      </c>
      <c r="AE1042" s="418" t="str">
        <f t="shared" si="1597"/>
        <v/>
      </c>
      <c r="AF1042" s="418" t="str">
        <f t="shared" si="1598"/>
        <v/>
      </c>
      <c r="AG1042" s="418" t="str">
        <f t="shared" si="1599"/>
        <v/>
      </c>
      <c r="AH1042" s="418" t="str">
        <f t="shared" si="1600"/>
        <v/>
      </c>
      <c r="AI1042" s="418" t="str">
        <f t="shared" si="1601"/>
        <v/>
      </c>
      <c r="AJ1042" s="418" t="str">
        <f t="shared" si="1602"/>
        <v/>
      </c>
      <c r="AK1042" s="418" t="str">
        <f t="shared" si="1603"/>
        <v/>
      </c>
      <c r="AL1042" s="418" t="str">
        <f t="shared" si="1604"/>
        <v/>
      </c>
      <c r="AM1042" s="418" t="str">
        <f t="shared" si="1605"/>
        <v/>
      </c>
      <c r="AN1042" s="418" t="str">
        <f t="shared" si="1606"/>
        <v/>
      </c>
      <c r="AO1042" s="418" t="str">
        <f t="shared" si="1607"/>
        <v/>
      </c>
      <c r="AP1042" s="418" t="str">
        <f t="shared" si="1608"/>
        <v/>
      </c>
      <c r="AQ1042" s="418" t="str">
        <f t="shared" si="1609"/>
        <v/>
      </c>
      <c r="AR1042" s="418" t="str">
        <f t="shared" si="1610"/>
        <v/>
      </c>
      <c r="AS1042" s="418" t="str">
        <f t="shared" si="1611"/>
        <v/>
      </c>
      <c r="AT1042" s="418" t="str">
        <f t="shared" si="1612"/>
        <v/>
      </c>
      <c r="AU1042" s="418" t="str">
        <f t="shared" si="1613"/>
        <v/>
      </c>
      <c r="AV1042" s="418" t="str">
        <f t="shared" si="1614"/>
        <v/>
      </c>
      <c r="AW1042" s="418" t="str">
        <f t="shared" si="1615"/>
        <v/>
      </c>
      <c r="AX1042" s="418" t="str">
        <f t="shared" si="1616"/>
        <v/>
      </c>
      <c r="AY1042" s="418" t="str">
        <f t="shared" si="1617"/>
        <v/>
      </c>
      <c r="AZ1042" s="418" t="str">
        <f t="shared" si="1618"/>
        <v/>
      </c>
      <c r="BA1042" s="418" t="str">
        <f t="shared" si="1619"/>
        <v/>
      </c>
      <c r="BB1042" s="418" t="str">
        <f t="shared" si="1620"/>
        <v/>
      </c>
      <c r="BC1042" s="418" t="str">
        <f t="shared" si="1621"/>
        <v/>
      </c>
      <c r="BD1042" s="418" t="str">
        <f t="shared" si="1622"/>
        <v/>
      </c>
      <c r="BE1042" s="418" t="str">
        <f t="shared" si="1623"/>
        <v/>
      </c>
      <c r="BF1042" s="418" t="str">
        <f t="shared" si="1624"/>
        <v/>
      </c>
      <c r="BG1042" s="418" t="str">
        <f t="shared" si="1625"/>
        <v/>
      </c>
      <c r="BH1042" s="418" t="str">
        <f t="shared" si="1626"/>
        <v/>
      </c>
      <c r="BI1042" s="418" t="str">
        <f t="shared" si="1627"/>
        <v/>
      </c>
      <c r="BJ1042" s="418" t="str">
        <f t="shared" si="1628"/>
        <v/>
      </c>
      <c r="BK1042" s="418" t="str">
        <f t="shared" si="1629"/>
        <v/>
      </c>
      <c r="BL1042" s="418" t="str">
        <f t="shared" si="1630"/>
        <v/>
      </c>
      <c r="BM1042" s="418" t="str">
        <f t="shared" si="1631"/>
        <v/>
      </c>
      <c r="BN1042" s="418" t="str">
        <f t="shared" si="1632"/>
        <v/>
      </c>
      <c r="BO1042" s="418" t="str">
        <f t="shared" si="1633"/>
        <v/>
      </c>
      <c r="BP1042" s="418" t="str">
        <f t="shared" si="1634"/>
        <v/>
      </c>
      <c r="BQ1042" s="418" t="str">
        <f t="shared" si="1545"/>
        <v/>
      </c>
      <c r="BR1042" s="418" t="str">
        <f t="shared" si="1546"/>
        <v/>
      </c>
      <c r="BS1042" s="418" t="str">
        <f t="shared" si="1547"/>
        <v/>
      </c>
      <c r="BT1042" s="418" t="str">
        <f t="shared" si="1635"/>
        <v/>
      </c>
      <c r="BU1042" s="418" t="str">
        <f t="shared" si="1636"/>
        <v/>
      </c>
      <c r="BV1042" s="544">
        <v>0.61</v>
      </c>
      <c r="BW1042" s="723">
        <f t="shared" si="1637"/>
        <v>46935.84</v>
      </c>
      <c r="BX1042" s="724">
        <f t="shared" si="1638"/>
        <v>363752.76</v>
      </c>
      <c r="BY1042" s="725" t="str">
        <f t="shared" si="1639"/>
        <v>SR</v>
      </c>
    </row>
    <row r="1043" s="697" customFormat="1" customHeight="1" spans="1:77">
      <c r="A1043" s="116">
        <v>46181</v>
      </c>
      <c r="B1043" s="179">
        <v>46280</v>
      </c>
      <c r="C1043" s="418" t="s">
        <v>933</v>
      </c>
      <c r="D1043" s="418" t="s">
        <v>934</v>
      </c>
      <c r="E1043" s="418" t="s">
        <v>67</v>
      </c>
      <c r="F1043" s="737">
        <v>22800</v>
      </c>
      <c r="G1043" s="123" t="s">
        <v>270</v>
      </c>
      <c r="H1043" s="118" t="str">
        <f>IFERROR(VLOOKUP(E1043,名称!A:E,4,0),"")</f>
        <v>三代</v>
      </c>
      <c r="I1043" s="418" t="str">
        <f t="shared" si="1575"/>
        <v/>
      </c>
      <c r="J1043" s="418" t="str">
        <f t="shared" si="1576"/>
        <v/>
      </c>
      <c r="K1043" s="418" t="str">
        <f t="shared" si="1577"/>
        <v/>
      </c>
      <c r="L1043" s="418" t="str">
        <f t="shared" si="1578"/>
        <v/>
      </c>
      <c r="M1043" s="418" t="str">
        <f t="shared" si="1579"/>
        <v/>
      </c>
      <c r="N1043" s="418" t="str">
        <f t="shared" si="1580"/>
        <v/>
      </c>
      <c r="O1043" s="418" t="str">
        <f t="shared" si="1581"/>
        <v/>
      </c>
      <c r="P1043" s="418" t="str">
        <f t="shared" si="1582"/>
        <v/>
      </c>
      <c r="Q1043" s="418" t="str">
        <f t="shared" si="1583"/>
        <v/>
      </c>
      <c r="R1043" s="418" t="str">
        <f t="shared" si="1584"/>
        <v/>
      </c>
      <c r="S1043" s="418" t="str">
        <f t="shared" si="1585"/>
        <v/>
      </c>
      <c r="T1043" s="418" t="str">
        <f t="shared" si="1586"/>
        <v/>
      </c>
      <c r="U1043" s="418" t="str">
        <f t="shared" si="1587"/>
        <v/>
      </c>
      <c r="V1043" s="418" t="str">
        <f t="shared" si="1588"/>
        <v/>
      </c>
      <c r="W1043" s="418" t="str">
        <f t="shared" si="1589"/>
        <v/>
      </c>
      <c r="X1043" s="418" t="str">
        <f t="shared" si="1590"/>
        <v/>
      </c>
      <c r="Y1043" s="418" t="str">
        <f t="shared" si="1591"/>
        <v/>
      </c>
      <c r="Z1043" s="418" t="str">
        <f t="shared" si="1592"/>
        <v/>
      </c>
      <c r="AA1043" s="418" t="str">
        <f t="shared" si="1593"/>
        <v/>
      </c>
      <c r="AB1043" s="418" t="str">
        <f t="shared" si="1594"/>
        <v/>
      </c>
      <c r="AC1043" s="418" t="str">
        <f t="shared" si="1595"/>
        <v/>
      </c>
      <c r="AD1043" s="418" t="str">
        <f t="shared" si="1596"/>
        <v/>
      </c>
      <c r="AE1043" s="418" t="str">
        <f t="shared" si="1597"/>
        <v/>
      </c>
      <c r="AF1043" s="418" t="str">
        <f t="shared" si="1598"/>
        <v/>
      </c>
      <c r="AG1043" s="418">
        <f t="shared" si="1599"/>
        <v>22800</v>
      </c>
      <c r="AH1043" s="418" t="str">
        <f t="shared" si="1600"/>
        <v/>
      </c>
      <c r="AI1043" s="418" t="str">
        <f t="shared" si="1601"/>
        <v/>
      </c>
      <c r="AJ1043" s="418" t="str">
        <f t="shared" si="1602"/>
        <v/>
      </c>
      <c r="AK1043" s="418" t="str">
        <f t="shared" si="1603"/>
        <v/>
      </c>
      <c r="AL1043" s="418" t="str">
        <f t="shared" si="1604"/>
        <v/>
      </c>
      <c r="AM1043" s="418" t="str">
        <f t="shared" si="1605"/>
        <v/>
      </c>
      <c r="AN1043" s="418" t="str">
        <f t="shared" si="1606"/>
        <v/>
      </c>
      <c r="AO1043" s="418" t="str">
        <f t="shared" si="1607"/>
        <v/>
      </c>
      <c r="AP1043" s="418" t="str">
        <f t="shared" si="1608"/>
        <v/>
      </c>
      <c r="AQ1043" s="418" t="str">
        <f t="shared" si="1609"/>
        <v/>
      </c>
      <c r="AR1043" s="418" t="str">
        <f t="shared" si="1610"/>
        <v/>
      </c>
      <c r="AS1043" s="418" t="str">
        <f t="shared" si="1611"/>
        <v/>
      </c>
      <c r="AT1043" s="418" t="str">
        <f t="shared" si="1612"/>
        <v/>
      </c>
      <c r="AU1043" s="418" t="str">
        <f t="shared" si="1613"/>
        <v/>
      </c>
      <c r="AV1043" s="418" t="str">
        <f t="shared" si="1614"/>
        <v/>
      </c>
      <c r="AW1043" s="418" t="str">
        <f t="shared" si="1615"/>
        <v/>
      </c>
      <c r="AX1043" s="418" t="str">
        <f t="shared" si="1616"/>
        <v/>
      </c>
      <c r="AY1043" s="418" t="str">
        <f t="shared" si="1617"/>
        <v/>
      </c>
      <c r="AZ1043" s="418" t="str">
        <f t="shared" si="1618"/>
        <v/>
      </c>
      <c r="BA1043" s="418" t="str">
        <f t="shared" si="1619"/>
        <v/>
      </c>
      <c r="BB1043" s="418" t="str">
        <f t="shared" si="1620"/>
        <v/>
      </c>
      <c r="BC1043" s="418" t="str">
        <f t="shared" si="1621"/>
        <v/>
      </c>
      <c r="BD1043" s="418" t="str">
        <f t="shared" si="1622"/>
        <v/>
      </c>
      <c r="BE1043" s="418" t="str">
        <f t="shared" si="1623"/>
        <v/>
      </c>
      <c r="BF1043" s="418" t="str">
        <f t="shared" si="1624"/>
        <v/>
      </c>
      <c r="BG1043" s="418" t="str">
        <f t="shared" si="1625"/>
        <v/>
      </c>
      <c r="BH1043" s="418" t="str">
        <f t="shared" si="1626"/>
        <v/>
      </c>
      <c r="BI1043" s="418" t="str">
        <f t="shared" si="1627"/>
        <v/>
      </c>
      <c r="BJ1043" s="418" t="str">
        <f t="shared" si="1628"/>
        <v/>
      </c>
      <c r="BK1043" s="418" t="str">
        <f t="shared" si="1629"/>
        <v/>
      </c>
      <c r="BL1043" s="418" t="str">
        <f t="shared" si="1630"/>
        <v/>
      </c>
      <c r="BM1043" s="418" t="str">
        <f t="shared" si="1631"/>
        <v/>
      </c>
      <c r="BN1043" s="418" t="str">
        <f t="shared" si="1632"/>
        <v/>
      </c>
      <c r="BO1043" s="418" t="str">
        <f t="shared" si="1633"/>
        <v/>
      </c>
      <c r="BP1043" s="418" t="str">
        <f t="shared" si="1634"/>
        <v/>
      </c>
      <c r="BQ1043" s="418" t="str">
        <f t="shared" si="1545"/>
        <v/>
      </c>
      <c r="BR1043" s="418" t="str">
        <f t="shared" si="1546"/>
        <v/>
      </c>
      <c r="BS1043" s="418" t="str">
        <f t="shared" si="1547"/>
        <v/>
      </c>
      <c r="BT1043" s="418" t="str">
        <f t="shared" si="1635"/>
        <v/>
      </c>
      <c r="BU1043" s="418" t="str">
        <f t="shared" si="1636"/>
        <v/>
      </c>
      <c r="BV1043" s="619">
        <v>2.02</v>
      </c>
      <c r="BW1043" s="723">
        <f t="shared" si="1637"/>
        <v>46056</v>
      </c>
      <c r="BX1043" s="724">
        <f t="shared" si="1638"/>
        <v>356934</v>
      </c>
      <c r="BY1043" s="725" t="str">
        <f t="shared" si="1639"/>
        <v>SR</v>
      </c>
    </row>
    <row r="1044" s="697" customFormat="1" customHeight="1" spans="1:77">
      <c r="A1044" s="116">
        <v>46182</v>
      </c>
      <c r="B1044" s="140">
        <v>46246</v>
      </c>
      <c r="C1044" s="123" t="s">
        <v>935</v>
      </c>
      <c r="D1044" s="123" t="s">
        <v>936</v>
      </c>
      <c r="E1044" s="123" t="s">
        <v>112</v>
      </c>
      <c r="F1044" s="142">
        <v>3000</v>
      </c>
      <c r="G1044" s="118" t="s">
        <v>334</v>
      </c>
      <c r="H1044" s="118" t="str">
        <f>IFERROR(VLOOKUP(E1044,名称!A:E,4,0),"")</f>
        <v>三代</v>
      </c>
      <c r="I1044" s="418" t="str">
        <f t="shared" si="1575"/>
        <v/>
      </c>
      <c r="J1044" s="418" t="str">
        <f t="shared" si="1576"/>
        <v/>
      </c>
      <c r="K1044" s="418" t="str">
        <f t="shared" si="1577"/>
        <v/>
      </c>
      <c r="L1044" s="418" t="str">
        <f t="shared" si="1578"/>
        <v/>
      </c>
      <c r="M1044" s="418" t="str">
        <f t="shared" si="1579"/>
        <v/>
      </c>
      <c r="N1044" s="418" t="str">
        <f t="shared" si="1580"/>
        <v/>
      </c>
      <c r="O1044" s="418" t="str">
        <f t="shared" si="1581"/>
        <v/>
      </c>
      <c r="P1044" s="418" t="str">
        <f t="shared" si="1582"/>
        <v/>
      </c>
      <c r="Q1044" s="418" t="str">
        <f t="shared" si="1583"/>
        <v/>
      </c>
      <c r="R1044" s="418" t="str">
        <f t="shared" si="1584"/>
        <v/>
      </c>
      <c r="S1044" s="418" t="str">
        <f t="shared" si="1585"/>
        <v/>
      </c>
      <c r="T1044" s="418" t="str">
        <f t="shared" si="1586"/>
        <v/>
      </c>
      <c r="U1044" s="418" t="str">
        <f t="shared" si="1587"/>
        <v/>
      </c>
      <c r="V1044" s="418" t="str">
        <f t="shared" si="1588"/>
        <v/>
      </c>
      <c r="W1044" s="418" t="str">
        <f t="shared" si="1589"/>
        <v/>
      </c>
      <c r="X1044" s="418" t="str">
        <f t="shared" si="1590"/>
        <v/>
      </c>
      <c r="Y1044" s="418" t="str">
        <f t="shared" si="1591"/>
        <v/>
      </c>
      <c r="Z1044" s="418" t="str">
        <f t="shared" si="1592"/>
        <v/>
      </c>
      <c r="AA1044" s="418" t="str">
        <f t="shared" si="1593"/>
        <v/>
      </c>
      <c r="AB1044" s="418" t="str">
        <f t="shared" si="1594"/>
        <v/>
      </c>
      <c r="AC1044" s="418" t="str">
        <f t="shared" si="1595"/>
        <v/>
      </c>
      <c r="AD1044" s="418" t="str">
        <f t="shared" si="1596"/>
        <v/>
      </c>
      <c r="AE1044" s="418" t="str">
        <f t="shared" si="1597"/>
        <v/>
      </c>
      <c r="AF1044" s="418" t="str">
        <f t="shared" si="1598"/>
        <v/>
      </c>
      <c r="AG1044" s="418" t="str">
        <f t="shared" si="1599"/>
        <v/>
      </c>
      <c r="AH1044" s="418" t="str">
        <f t="shared" si="1600"/>
        <v/>
      </c>
      <c r="AI1044" s="418">
        <f t="shared" si="1601"/>
        <v>3000</v>
      </c>
      <c r="AJ1044" s="418" t="str">
        <f t="shared" si="1602"/>
        <v/>
      </c>
      <c r="AK1044" s="418" t="str">
        <f t="shared" si="1603"/>
        <v/>
      </c>
      <c r="AL1044" s="418" t="str">
        <f t="shared" si="1604"/>
        <v/>
      </c>
      <c r="AM1044" s="418" t="str">
        <f t="shared" si="1605"/>
        <v/>
      </c>
      <c r="AN1044" s="418" t="str">
        <f t="shared" si="1606"/>
        <v/>
      </c>
      <c r="AO1044" s="418" t="str">
        <f t="shared" si="1607"/>
        <v/>
      </c>
      <c r="AP1044" s="418" t="str">
        <f t="shared" si="1608"/>
        <v/>
      </c>
      <c r="AQ1044" s="418" t="str">
        <f t="shared" si="1609"/>
        <v/>
      </c>
      <c r="AR1044" s="418" t="str">
        <f t="shared" si="1610"/>
        <v/>
      </c>
      <c r="AS1044" s="418" t="str">
        <f t="shared" si="1611"/>
        <v/>
      </c>
      <c r="AT1044" s="418" t="str">
        <f t="shared" si="1612"/>
        <v/>
      </c>
      <c r="AU1044" s="418" t="str">
        <f t="shared" si="1613"/>
        <v/>
      </c>
      <c r="AV1044" s="418" t="str">
        <f t="shared" si="1614"/>
        <v/>
      </c>
      <c r="AW1044" s="418" t="str">
        <f t="shared" si="1615"/>
        <v/>
      </c>
      <c r="AX1044" s="418" t="str">
        <f t="shared" si="1616"/>
        <v/>
      </c>
      <c r="AY1044" s="418" t="str">
        <f t="shared" si="1617"/>
        <v/>
      </c>
      <c r="AZ1044" s="418" t="str">
        <f t="shared" si="1618"/>
        <v/>
      </c>
      <c r="BA1044" s="418" t="str">
        <f t="shared" si="1619"/>
        <v/>
      </c>
      <c r="BB1044" s="418" t="str">
        <f t="shared" si="1620"/>
        <v/>
      </c>
      <c r="BC1044" s="418" t="str">
        <f t="shared" si="1621"/>
        <v/>
      </c>
      <c r="BD1044" s="418" t="str">
        <f t="shared" si="1622"/>
        <v/>
      </c>
      <c r="BE1044" s="418" t="str">
        <f t="shared" si="1623"/>
        <v/>
      </c>
      <c r="BF1044" s="418" t="str">
        <f t="shared" si="1624"/>
        <v/>
      </c>
      <c r="BG1044" s="418" t="str">
        <f t="shared" si="1625"/>
        <v/>
      </c>
      <c r="BH1044" s="418" t="str">
        <f t="shared" si="1626"/>
        <v/>
      </c>
      <c r="BI1044" s="418" t="str">
        <f t="shared" si="1627"/>
        <v/>
      </c>
      <c r="BJ1044" s="418" t="str">
        <f t="shared" si="1628"/>
        <v/>
      </c>
      <c r="BK1044" s="418" t="str">
        <f t="shared" si="1629"/>
        <v/>
      </c>
      <c r="BL1044" s="418" t="str">
        <f t="shared" si="1630"/>
        <v/>
      </c>
      <c r="BM1044" s="418" t="str">
        <f t="shared" si="1631"/>
        <v/>
      </c>
      <c r="BN1044" s="418" t="str">
        <f t="shared" si="1632"/>
        <v/>
      </c>
      <c r="BO1044" s="418" t="str">
        <f t="shared" si="1633"/>
        <v/>
      </c>
      <c r="BP1044" s="418" t="str">
        <f t="shared" si="1634"/>
        <v/>
      </c>
      <c r="BQ1044" s="418" t="str">
        <f t="shared" si="1545"/>
        <v/>
      </c>
      <c r="BR1044" s="418" t="str">
        <f t="shared" si="1546"/>
        <v/>
      </c>
      <c r="BS1044" s="418" t="str">
        <f t="shared" si="1547"/>
        <v/>
      </c>
      <c r="BT1044" s="418" t="str">
        <f t="shared" si="1635"/>
        <v/>
      </c>
      <c r="BU1044" s="418" t="str">
        <f t="shared" si="1636"/>
        <v/>
      </c>
      <c r="BV1044" s="544">
        <v>9.15</v>
      </c>
      <c r="BW1044" s="723">
        <f t="shared" si="1637"/>
        <v>27450</v>
      </c>
      <c r="BX1044" s="724">
        <f t="shared" si="1638"/>
        <v>212737.5</v>
      </c>
      <c r="BY1044" s="725" t="str">
        <f t="shared" si="1639"/>
        <v>SR</v>
      </c>
    </row>
    <row r="1045" s="697" customFormat="1" customHeight="1" spans="1:77">
      <c r="A1045" s="116">
        <v>46182</v>
      </c>
      <c r="B1045" s="140">
        <v>46246</v>
      </c>
      <c r="C1045" s="123" t="s">
        <v>935</v>
      </c>
      <c r="D1045" s="123" t="s">
        <v>936</v>
      </c>
      <c r="E1045" s="123" t="s">
        <v>50</v>
      </c>
      <c r="F1045" s="142">
        <v>36000</v>
      </c>
      <c r="G1045" s="118" t="s">
        <v>334</v>
      </c>
      <c r="H1045" s="118" t="str">
        <f>IFERROR(VLOOKUP(E1045,名称!A:E,4,0),"")</f>
        <v>蛋糕</v>
      </c>
      <c r="I1045" s="418" t="str">
        <f t="shared" si="1575"/>
        <v/>
      </c>
      <c r="J1045" s="418" t="str">
        <f t="shared" si="1576"/>
        <v/>
      </c>
      <c r="K1045" s="418" t="str">
        <f t="shared" si="1577"/>
        <v/>
      </c>
      <c r="L1045" s="418" t="str">
        <f t="shared" si="1578"/>
        <v/>
      </c>
      <c r="M1045" s="418" t="str">
        <f t="shared" si="1579"/>
        <v/>
      </c>
      <c r="N1045" s="418" t="str">
        <f t="shared" si="1580"/>
        <v/>
      </c>
      <c r="O1045" s="418" t="str">
        <f t="shared" si="1581"/>
        <v/>
      </c>
      <c r="P1045" s="418" t="str">
        <f t="shared" si="1582"/>
        <v/>
      </c>
      <c r="Q1045" s="418" t="str">
        <f t="shared" si="1583"/>
        <v/>
      </c>
      <c r="R1045" s="418" t="str">
        <f t="shared" si="1584"/>
        <v/>
      </c>
      <c r="S1045" s="418" t="str">
        <f t="shared" si="1585"/>
        <v/>
      </c>
      <c r="T1045" s="418" t="str">
        <f t="shared" si="1586"/>
        <v/>
      </c>
      <c r="U1045" s="418" t="str">
        <f t="shared" si="1587"/>
        <v/>
      </c>
      <c r="V1045" s="418" t="str">
        <f t="shared" si="1588"/>
        <v/>
      </c>
      <c r="W1045" s="418" t="str">
        <f t="shared" si="1589"/>
        <v/>
      </c>
      <c r="X1045" s="418" t="str">
        <f t="shared" si="1590"/>
        <v/>
      </c>
      <c r="Y1045" s="418" t="str">
        <f t="shared" si="1591"/>
        <v/>
      </c>
      <c r="Z1045" s="418" t="str">
        <f t="shared" si="1592"/>
        <v/>
      </c>
      <c r="AA1045" s="418" t="str">
        <f t="shared" si="1593"/>
        <v/>
      </c>
      <c r="AB1045" s="418" t="str">
        <f t="shared" si="1594"/>
        <v/>
      </c>
      <c r="AC1045" s="418" t="str">
        <f t="shared" si="1595"/>
        <v/>
      </c>
      <c r="AD1045" s="418" t="str">
        <f t="shared" si="1596"/>
        <v/>
      </c>
      <c r="AE1045" s="418" t="str">
        <f t="shared" si="1597"/>
        <v/>
      </c>
      <c r="AF1045" s="418" t="str">
        <f t="shared" si="1598"/>
        <v/>
      </c>
      <c r="AG1045" s="418" t="str">
        <f t="shared" si="1599"/>
        <v/>
      </c>
      <c r="AH1045" s="418" t="str">
        <f t="shared" si="1600"/>
        <v/>
      </c>
      <c r="AI1045" s="418" t="str">
        <f t="shared" si="1601"/>
        <v/>
      </c>
      <c r="AJ1045" s="418" t="str">
        <f t="shared" si="1602"/>
        <v/>
      </c>
      <c r="AK1045" s="418" t="str">
        <f t="shared" si="1603"/>
        <v/>
      </c>
      <c r="AL1045" s="418" t="str">
        <f t="shared" si="1604"/>
        <v/>
      </c>
      <c r="AM1045" s="418" t="str">
        <f t="shared" si="1605"/>
        <v/>
      </c>
      <c r="AN1045" s="418" t="str">
        <f t="shared" si="1606"/>
        <v/>
      </c>
      <c r="AO1045" s="418" t="str">
        <f t="shared" si="1607"/>
        <v/>
      </c>
      <c r="AP1045" s="418" t="str">
        <f t="shared" si="1608"/>
        <v/>
      </c>
      <c r="AQ1045" s="418" t="str">
        <f t="shared" si="1609"/>
        <v/>
      </c>
      <c r="AR1045" s="418" t="str">
        <f t="shared" si="1610"/>
        <v/>
      </c>
      <c r="AS1045" s="418" t="str">
        <f t="shared" si="1611"/>
        <v/>
      </c>
      <c r="AT1045" s="418" t="str">
        <f t="shared" si="1612"/>
        <v/>
      </c>
      <c r="AU1045" s="418" t="str">
        <f t="shared" si="1613"/>
        <v/>
      </c>
      <c r="AV1045" s="418" t="str">
        <f t="shared" si="1614"/>
        <v/>
      </c>
      <c r="AW1045" s="418" t="str">
        <f t="shared" si="1615"/>
        <v/>
      </c>
      <c r="AX1045" s="418" t="str">
        <f t="shared" si="1616"/>
        <v/>
      </c>
      <c r="AY1045" s="418" t="str">
        <f t="shared" si="1617"/>
        <v/>
      </c>
      <c r="AZ1045" s="418" t="str">
        <f t="shared" si="1618"/>
        <v/>
      </c>
      <c r="BA1045" s="418" t="str">
        <f t="shared" si="1619"/>
        <v/>
      </c>
      <c r="BB1045" s="418" t="str">
        <f t="shared" si="1620"/>
        <v/>
      </c>
      <c r="BC1045" s="418" t="str">
        <f t="shared" si="1621"/>
        <v/>
      </c>
      <c r="BD1045" s="418" t="str">
        <f t="shared" si="1622"/>
        <v/>
      </c>
      <c r="BE1045" s="418" t="str">
        <f t="shared" si="1623"/>
        <v/>
      </c>
      <c r="BF1045" s="418" t="str">
        <f t="shared" si="1624"/>
        <v/>
      </c>
      <c r="BG1045" s="418">
        <f t="shared" si="1625"/>
        <v>36000</v>
      </c>
      <c r="BH1045" s="418" t="str">
        <f t="shared" si="1626"/>
        <v/>
      </c>
      <c r="BI1045" s="418" t="str">
        <f t="shared" si="1627"/>
        <v/>
      </c>
      <c r="BJ1045" s="418" t="str">
        <f t="shared" si="1628"/>
        <v/>
      </c>
      <c r="BK1045" s="418" t="str">
        <f t="shared" si="1629"/>
        <v/>
      </c>
      <c r="BL1045" s="418" t="str">
        <f t="shared" si="1630"/>
        <v/>
      </c>
      <c r="BM1045" s="418" t="str">
        <f t="shared" si="1631"/>
        <v/>
      </c>
      <c r="BN1045" s="418" t="str">
        <f t="shared" si="1632"/>
        <v/>
      </c>
      <c r="BO1045" s="418" t="str">
        <f t="shared" si="1633"/>
        <v/>
      </c>
      <c r="BP1045" s="418" t="str">
        <f t="shared" si="1634"/>
        <v/>
      </c>
      <c r="BQ1045" s="418" t="str">
        <f t="shared" si="1545"/>
        <v/>
      </c>
      <c r="BR1045" s="418" t="str">
        <f t="shared" si="1546"/>
        <v/>
      </c>
      <c r="BS1045" s="418" t="str">
        <f t="shared" si="1547"/>
        <v/>
      </c>
      <c r="BT1045" s="418" t="str">
        <f t="shared" si="1635"/>
        <v/>
      </c>
      <c r="BU1045" s="418" t="str">
        <f t="shared" si="1636"/>
        <v/>
      </c>
      <c r="BV1045" s="544">
        <v>1.03</v>
      </c>
      <c r="BW1045" s="723">
        <f t="shared" si="1637"/>
        <v>37080</v>
      </c>
      <c r="BX1045" s="724">
        <f t="shared" si="1638"/>
        <v>287370</v>
      </c>
      <c r="BY1045" s="725" t="str">
        <f t="shared" si="1639"/>
        <v>JC</v>
      </c>
    </row>
    <row r="1046" s="697" customFormat="1" customHeight="1" spans="1:77">
      <c r="A1046" s="116">
        <v>46182</v>
      </c>
      <c r="B1046" s="140">
        <v>46276</v>
      </c>
      <c r="C1046" s="123" t="s">
        <v>937</v>
      </c>
      <c r="D1046" s="123" t="s">
        <v>938</v>
      </c>
      <c r="E1046" s="123" t="s">
        <v>117</v>
      </c>
      <c r="F1046" s="142">
        <v>5400</v>
      </c>
      <c r="G1046" s="118" t="s">
        <v>334</v>
      </c>
      <c r="H1046" s="118" t="str">
        <f>IFERROR(VLOOKUP(E1046,名称!A:E,4,0),"")</f>
        <v>三代</v>
      </c>
      <c r="I1046" s="418" t="str">
        <f t="shared" si="1575"/>
        <v/>
      </c>
      <c r="J1046" s="418" t="str">
        <f t="shared" si="1576"/>
        <v/>
      </c>
      <c r="K1046" s="418" t="str">
        <f t="shared" si="1577"/>
        <v/>
      </c>
      <c r="L1046" s="418" t="str">
        <f t="shared" si="1578"/>
        <v/>
      </c>
      <c r="M1046" s="418" t="str">
        <f t="shared" si="1579"/>
        <v/>
      </c>
      <c r="N1046" s="418" t="str">
        <f t="shared" si="1580"/>
        <v/>
      </c>
      <c r="O1046" s="418" t="str">
        <f t="shared" si="1581"/>
        <v/>
      </c>
      <c r="P1046" s="418" t="str">
        <f t="shared" si="1582"/>
        <v/>
      </c>
      <c r="Q1046" s="418" t="str">
        <f t="shared" si="1583"/>
        <v/>
      </c>
      <c r="R1046" s="418" t="str">
        <f t="shared" si="1584"/>
        <v/>
      </c>
      <c r="S1046" s="418" t="str">
        <f t="shared" si="1585"/>
        <v/>
      </c>
      <c r="T1046" s="418" t="str">
        <f t="shared" si="1586"/>
        <v/>
      </c>
      <c r="U1046" s="418" t="str">
        <f t="shared" si="1587"/>
        <v/>
      </c>
      <c r="V1046" s="418" t="str">
        <f t="shared" si="1588"/>
        <v/>
      </c>
      <c r="W1046" s="418" t="str">
        <f t="shared" si="1589"/>
        <v/>
      </c>
      <c r="X1046" s="418" t="str">
        <f t="shared" si="1590"/>
        <v/>
      </c>
      <c r="Y1046" s="418" t="str">
        <f t="shared" si="1591"/>
        <v/>
      </c>
      <c r="Z1046" s="418" t="str">
        <f t="shared" si="1592"/>
        <v/>
      </c>
      <c r="AA1046" s="418" t="str">
        <f t="shared" si="1593"/>
        <v/>
      </c>
      <c r="AB1046" s="418" t="str">
        <f t="shared" si="1594"/>
        <v/>
      </c>
      <c r="AC1046" s="418" t="str">
        <f t="shared" si="1595"/>
        <v/>
      </c>
      <c r="AD1046" s="418" t="str">
        <f t="shared" si="1596"/>
        <v/>
      </c>
      <c r="AE1046" s="418" t="str">
        <f t="shared" si="1597"/>
        <v/>
      </c>
      <c r="AF1046" s="418" t="str">
        <f t="shared" si="1598"/>
        <v/>
      </c>
      <c r="AG1046" s="418" t="str">
        <f t="shared" si="1599"/>
        <v/>
      </c>
      <c r="AH1046" s="418" t="str">
        <f t="shared" si="1600"/>
        <v/>
      </c>
      <c r="AI1046" s="418" t="str">
        <f t="shared" si="1601"/>
        <v/>
      </c>
      <c r="AJ1046" s="418" t="str">
        <f t="shared" si="1602"/>
        <v/>
      </c>
      <c r="AK1046" s="418" t="str">
        <f t="shared" si="1603"/>
        <v/>
      </c>
      <c r="AL1046" s="418" t="str">
        <f t="shared" si="1604"/>
        <v/>
      </c>
      <c r="AM1046" s="418" t="str">
        <f t="shared" si="1605"/>
        <v/>
      </c>
      <c r="AN1046" s="418" t="str">
        <f t="shared" si="1606"/>
        <v/>
      </c>
      <c r="AO1046" s="418" t="str">
        <f t="shared" si="1607"/>
        <v/>
      </c>
      <c r="AP1046" s="418" t="str">
        <f t="shared" si="1608"/>
        <v/>
      </c>
      <c r="AQ1046" s="418">
        <f t="shared" si="1609"/>
        <v>5400</v>
      </c>
      <c r="AR1046" s="418" t="str">
        <f t="shared" si="1610"/>
        <v/>
      </c>
      <c r="AS1046" s="418" t="str">
        <f t="shared" si="1611"/>
        <v/>
      </c>
      <c r="AT1046" s="418" t="str">
        <f t="shared" si="1612"/>
        <v/>
      </c>
      <c r="AU1046" s="418" t="str">
        <f t="shared" si="1613"/>
        <v/>
      </c>
      <c r="AV1046" s="418" t="str">
        <f t="shared" si="1614"/>
        <v/>
      </c>
      <c r="AW1046" s="418" t="str">
        <f t="shared" si="1615"/>
        <v/>
      </c>
      <c r="AX1046" s="418" t="str">
        <f t="shared" si="1616"/>
        <v/>
      </c>
      <c r="AY1046" s="418" t="str">
        <f t="shared" si="1617"/>
        <v/>
      </c>
      <c r="AZ1046" s="418" t="str">
        <f t="shared" si="1618"/>
        <v/>
      </c>
      <c r="BA1046" s="418" t="str">
        <f t="shared" si="1619"/>
        <v/>
      </c>
      <c r="BB1046" s="418" t="str">
        <f t="shared" si="1620"/>
        <v/>
      </c>
      <c r="BC1046" s="418" t="str">
        <f t="shared" si="1621"/>
        <v/>
      </c>
      <c r="BD1046" s="418" t="str">
        <f t="shared" si="1622"/>
        <v/>
      </c>
      <c r="BE1046" s="418" t="str">
        <f t="shared" si="1623"/>
        <v/>
      </c>
      <c r="BF1046" s="418" t="str">
        <f t="shared" si="1624"/>
        <v/>
      </c>
      <c r="BG1046" s="418" t="str">
        <f t="shared" si="1625"/>
        <v/>
      </c>
      <c r="BH1046" s="418" t="str">
        <f t="shared" si="1626"/>
        <v/>
      </c>
      <c r="BI1046" s="418" t="str">
        <f t="shared" si="1627"/>
        <v/>
      </c>
      <c r="BJ1046" s="418" t="str">
        <f t="shared" si="1628"/>
        <v/>
      </c>
      <c r="BK1046" s="418" t="str">
        <f t="shared" si="1629"/>
        <v/>
      </c>
      <c r="BL1046" s="418" t="str">
        <f t="shared" si="1630"/>
        <v/>
      </c>
      <c r="BM1046" s="418" t="str">
        <f t="shared" si="1631"/>
        <v/>
      </c>
      <c r="BN1046" s="418" t="str">
        <f t="shared" si="1632"/>
        <v/>
      </c>
      <c r="BO1046" s="418" t="str">
        <f t="shared" si="1633"/>
        <v/>
      </c>
      <c r="BP1046" s="418" t="str">
        <f t="shared" si="1634"/>
        <v/>
      </c>
      <c r="BQ1046" s="418" t="str">
        <f t="shared" si="1545"/>
        <v/>
      </c>
      <c r="BR1046" s="418" t="str">
        <f t="shared" si="1546"/>
        <v/>
      </c>
      <c r="BS1046" s="418" t="str">
        <f t="shared" si="1547"/>
        <v/>
      </c>
      <c r="BT1046" s="418" t="str">
        <f t="shared" si="1635"/>
        <v/>
      </c>
      <c r="BU1046" s="418" t="str">
        <f t="shared" si="1636"/>
        <v/>
      </c>
      <c r="BV1046" s="544">
        <v>9.15</v>
      </c>
      <c r="BW1046" s="723">
        <f t="shared" si="1637"/>
        <v>49410</v>
      </c>
      <c r="BX1046" s="724">
        <f t="shared" si="1638"/>
        <v>382927.5</v>
      </c>
      <c r="BY1046" s="725" t="str">
        <f t="shared" si="1639"/>
        <v>SR</v>
      </c>
    </row>
    <row r="1047" s="697" customFormat="1" customHeight="1" spans="1:77">
      <c r="A1047" s="116">
        <v>46182</v>
      </c>
      <c r="B1047" s="140">
        <v>46239</v>
      </c>
      <c r="C1047" s="123" t="s">
        <v>939</v>
      </c>
      <c r="D1047" s="123" t="s">
        <v>940</v>
      </c>
      <c r="E1047" s="123" t="s">
        <v>88</v>
      </c>
      <c r="F1047" s="142">
        <v>2400</v>
      </c>
      <c r="G1047" s="123" t="s">
        <v>510</v>
      </c>
      <c r="H1047" s="118" t="str">
        <f>IFERROR(VLOOKUP(E1047,名称!A:E,4,0),"")</f>
        <v>三代</v>
      </c>
      <c r="I1047" s="418" t="str">
        <f t="shared" si="1575"/>
        <v/>
      </c>
      <c r="J1047" s="418" t="str">
        <f t="shared" si="1576"/>
        <v/>
      </c>
      <c r="K1047" s="418" t="str">
        <f t="shared" si="1577"/>
        <v/>
      </c>
      <c r="L1047" s="418" t="str">
        <f t="shared" si="1578"/>
        <v/>
      </c>
      <c r="M1047" s="418" t="str">
        <f t="shared" si="1579"/>
        <v/>
      </c>
      <c r="N1047" s="418" t="str">
        <f t="shared" si="1580"/>
        <v/>
      </c>
      <c r="O1047" s="418" t="str">
        <f t="shared" si="1581"/>
        <v/>
      </c>
      <c r="P1047" s="418" t="str">
        <f t="shared" si="1582"/>
        <v/>
      </c>
      <c r="Q1047" s="418" t="str">
        <f t="shared" si="1583"/>
        <v/>
      </c>
      <c r="R1047" s="418" t="str">
        <f t="shared" si="1584"/>
        <v/>
      </c>
      <c r="S1047" s="418" t="str">
        <f t="shared" si="1585"/>
        <v/>
      </c>
      <c r="T1047" s="418" t="str">
        <f t="shared" si="1586"/>
        <v/>
      </c>
      <c r="U1047" s="418" t="str">
        <f t="shared" si="1587"/>
        <v/>
      </c>
      <c r="V1047" s="418" t="str">
        <f t="shared" si="1588"/>
        <v/>
      </c>
      <c r="W1047" s="418" t="str">
        <f t="shared" si="1589"/>
        <v/>
      </c>
      <c r="X1047" s="418" t="str">
        <f t="shared" si="1590"/>
        <v/>
      </c>
      <c r="Y1047" s="418" t="str">
        <f t="shared" si="1591"/>
        <v/>
      </c>
      <c r="Z1047" s="418" t="str">
        <f t="shared" si="1592"/>
        <v/>
      </c>
      <c r="AA1047" s="418" t="str">
        <f t="shared" si="1593"/>
        <v/>
      </c>
      <c r="AB1047" s="418" t="str">
        <f t="shared" si="1594"/>
        <v/>
      </c>
      <c r="AC1047" s="418" t="str">
        <f t="shared" si="1595"/>
        <v/>
      </c>
      <c r="AD1047" s="418" t="str">
        <f t="shared" si="1596"/>
        <v/>
      </c>
      <c r="AE1047" s="418" t="str">
        <f t="shared" si="1597"/>
        <v/>
      </c>
      <c r="AF1047" s="418" t="str">
        <f t="shared" si="1598"/>
        <v/>
      </c>
      <c r="AG1047" s="418" t="str">
        <f t="shared" si="1599"/>
        <v/>
      </c>
      <c r="AH1047" s="418" t="str">
        <f t="shared" si="1600"/>
        <v/>
      </c>
      <c r="AI1047" s="418" t="str">
        <f t="shared" si="1601"/>
        <v/>
      </c>
      <c r="AJ1047" s="418" t="str">
        <f t="shared" si="1602"/>
        <v/>
      </c>
      <c r="AK1047" s="418" t="str">
        <f t="shared" si="1603"/>
        <v/>
      </c>
      <c r="AL1047" s="418" t="str">
        <f t="shared" si="1604"/>
        <v/>
      </c>
      <c r="AM1047" s="418" t="str">
        <f t="shared" si="1605"/>
        <v/>
      </c>
      <c r="AN1047" s="418" t="str">
        <f t="shared" si="1606"/>
        <v/>
      </c>
      <c r="AO1047" s="418" t="str">
        <f t="shared" si="1607"/>
        <v/>
      </c>
      <c r="AP1047" s="418" t="str">
        <f t="shared" si="1608"/>
        <v/>
      </c>
      <c r="AQ1047" s="418" t="str">
        <f t="shared" si="1609"/>
        <v/>
      </c>
      <c r="AR1047" s="418" t="str">
        <f t="shared" si="1610"/>
        <v/>
      </c>
      <c r="AS1047" s="418" t="str">
        <f t="shared" si="1611"/>
        <v/>
      </c>
      <c r="AT1047" s="418">
        <f t="shared" si="1612"/>
        <v>2400</v>
      </c>
      <c r="AU1047" s="418" t="str">
        <f t="shared" si="1613"/>
        <v/>
      </c>
      <c r="AV1047" s="418" t="str">
        <f t="shared" si="1614"/>
        <v/>
      </c>
      <c r="AW1047" s="418" t="str">
        <f t="shared" si="1615"/>
        <v/>
      </c>
      <c r="AX1047" s="418" t="str">
        <f t="shared" si="1616"/>
        <v/>
      </c>
      <c r="AY1047" s="418" t="str">
        <f t="shared" si="1617"/>
        <v/>
      </c>
      <c r="AZ1047" s="418" t="str">
        <f t="shared" si="1618"/>
        <v/>
      </c>
      <c r="BA1047" s="418" t="str">
        <f t="shared" si="1619"/>
        <v/>
      </c>
      <c r="BB1047" s="418" t="str">
        <f t="shared" si="1620"/>
        <v/>
      </c>
      <c r="BC1047" s="418" t="str">
        <f t="shared" si="1621"/>
        <v/>
      </c>
      <c r="BD1047" s="418" t="str">
        <f t="shared" si="1622"/>
        <v/>
      </c>
      <c r="BE1047" s="418" t="str">
        <f t="shared" si="1623"/>
        <v/>
      </c>
      <c r="BF1047" s="418" t="str">
        <f t="shared" si="1624"/>
        <v/>
      </c>
      <c r="BG1047" s="418" t="str">
        <f t="shared" si="1625"/>
        <v/>
      </c>
      <c r="BH1047" s="418" t="str">
        <f t="shared" si="1626"/>
        <v/>
      </c>
      <c r="BI1047" s="418" t="str">
        <f t="shared" si="1627"/>
        <v/>
      </c>
      <c r="BJ1047" s="418" t="str">
        <f t="shared" si="1628"/>
        <v/>
      </c>
      <c r="BK1047" s="418" t="str">
        <f t="shared" si="1629"/>
        <v/>
      </c>
      <c r="BL1047" s="418" t="str">
        <f t="shared" si="1630"/>
        <v/>
      </c>
      <c r="BM1047" s="418" t="str">
        <f t="shared" si="1631"/>
        <v/>
      </c>
      <c r="BN1047" s="418" t="str">
        <f t="shared" si="1632"/>
        <v/>
      </c>
      <c r="BO1047" s="418" t="str">
        <f t="shared" si="1633"/>
        <v/>
      </c>
      <c r="BP1047" s="418" t="str">
        <f t="shared" si="1634"/>
        <v/>
      </c>
      <c r="BQ1047" s="418" t="str">
        <f t="shared" si="1545"/>
        <v/>
      </c>
      <c r="BR1047" s="418" t="str">
        <f t="shared" si="1546"/>
        <v/>
      </c>
      <c r="BS1047" s="418" t="str">
        <f t="shared" si="1547"/>
        <v/>
      </c>
      <c r="BT1047" s="418" t="str">
        <f t="shared" si="1635"/>
        <v/>
      </c>
      <c r="BU1047" s="418" t="str">
        <f t="shared" si="1636"/>
        <v/>
      </c>
      <c r="BV1047" s="544">
        <v>0.6</v>
      </c>
      <c r="BW1047" s="723">
        <f t="shared" si="1637"/>
        <v>1440</v>
      </c>
      <c r="BX1047" s="724">
        <f t="shared" si="1638"/>
        <v>11160</v>
      </c>
      <c r="BY1047" s="725" t="str">
        <f t="shared" si="1639"/>
        <v>SR</v>
      </c>
    </row>
    <row r="1048" s="697" customFormat="1" customHeight="1" spans="1:77">
      <c r="A1048" s="116">
        <v>46182</v>
      </c>
      <c r="B1048" s="140">
        <v>46239</v>
      </c>
      <c r="C1048" s="123" t="s">
        <v>939</v>
      </c>
      <c r="D1048" s="123" t="s">
        <v>940</v>
      </c>
      <c r="E1048" s="123" t="s">
        <v>89</v>
      </c>
      <c r="F1048" s="142">
        <v>1002</v>
      </c>
      <c r="G1048" s="123" t="s">
        <v>510</v>
      </c>
      <c r="H1048" s="118" t="str">
        <f>IFERROR(VLOOKUP(E1048,名称!A:E,4,0),"")</f>
        <v>三代</v>
      </c>
      <c r="I1048" s="418" t="str">
        <f t="shared" si="1575"/>
        <v/>
      </c>
      <c r="J1048" s="418" t="str">
        <f t="shared" si="1576"/>
        <v/>
      </c>
      <c r="K1048" s="418" t="str">
        <f t="shared" si="1577"/>
        <v/>
      </c>
      <c r="L1048" s="418" t="str">
        <f t="shared" si="1578"/>
        <v/>
      </c>
      <c r="M1048" s="418" t="str">
        <f t="shared" si="1579"/>
        <v/>
      </c>
      <c r="N1048" s="418" t="str">
        <f t="shared" si="1580"/>
        <v/>
      </c>
      <c r="O1048" s="418" t="str">
        <f t="shared" si="1581"/>
        <v/>
      </c>
      <c r="P1048" s="418" t="str">
        <f t="shared" si="1582"/>
        <v/>
      </c>
      <c r="Q1048" s="418" t="str">
        <f t="shared" si="1583"/>
        <v/>
      </c>
      <c r="R1048" s="418" t="str">
        <f t="shared" si="1584"/>
        <v/>
      </c>
      <c r="S1048" s="418" t="str">
        <f t="shared" si="1585"/>
        <v/>
      </c>
      <c r="T1048" s="418" t="str">
        <f t="shared" si="1586"/>
        <v/>
      </c>
      <c r="U1048" s="418" t="str">
        <f t="shared" si="1587"/>
        <v/>
      </c>
      <c r="V1048" s="418" t="str">
        <f t="shared" si="1588"/>
        <v/>
      </c>
      <c r="W1048" s="418" t="str">
        <f t="shared" si="1589"/>
        <v/>
      </c>
      <c r="X1048" s="418" t="str">
        <f t="shared" si="1590"/>
        <v/>
      </c>
      <c r="Y1048" s="418" t="str">
        <f t="shared" si="1591"/>
        <v/>
      </c>
      <c r="Z1048" s="418" t="str">
        <f t="shared" si="1592"/>
        <v/>
      </c>
      <c r="AA1048" s="418" t="str">
        <f t="shared" si="1593"/>
        <v/>
      </c>
      <c r="AB1048" s="418" t="str">
        <f t="shared" si="1594"/>
        <v/>
      </c>
      <c r="AC1048" s="418" t="str">
        <f t="shared" si="1595"/>
        <v/>
      </c>
      <c r="AD1048" s="418" t="str">
        <f t="shared" si="1596"/>
        <v/>
      </c>
      <c r="AE1048" s="418" t="str">
        <f t="shared" si="1597"/>
        <v/>
      </c>
      <c r="AF1048" s="418" t="str">
        <f t="shared" si="1598"/>
        <v/>
      </c>
      <c r="AG1048" s="418" t="str">
        <f t="shared" si="1599"/>
        <v/>
      </c>
      <c r="AH1048" s="418" t="str">
        <f t="shared" si="1600"/>
        <v/>
      </c>
      <c r="AI1048" s="418" t="str">
        <f t="shared" si="1601"/>
        <v/>
      </c>
      <c r="AJ1048" s="418" t="str">
        <f t="shared" si="1602"/>
        <v/>
      </c>
      <c r="AK1048" s="418" t="str">
        <f t="shared" si="1603"/>
        <v/>
      </c>
      <c r="AL1048" s="418" t="str">
        <f t="shared" si="1604"/>
        <v/>
      </c>
      <c r="AM1048" s="418" t="str">
        <f t="shared" si="1605"/>
        <v/>
      </c>
      <c r="AN1048" s="418" t="str">
        <f t="shared" si="1606"/>
        <v/>
      </c>
      <c r="AO1048" s="418" t="str">
        <f t="shared" si="1607"/>
        <v/>
      </c>
      <c r="AP1048" s="418" t="str">
        <f t="shared" si="1608"/>
        <v/>
      </c>
      <c r="AQ1048" s="418" t="str">
        <f t="shared" si="1609"/>
        <v/>
      </c>
      <c r="AR1048" s="418" t="str">
        <f t="shared" si="1610"/>
        <v/>
      </c>
      <c r="AS1048" s="418" t="str">
        <f t="shared" si="1611"/>
        <v/>
      </c>
      <c r="AT1048" s="418" t="str">
        <f t="shared" si="1612"/>
        <v/>
      </c>
      <c r="AU1048" s="418">
        <f t="shared" si="1613"/>
        <v>1002</v>
      </c>
      <c r="AV1048" s="418" t="str">
        <f t="shared" si="1614"/>
        <v/>
      </c>
      <c r="AW1048" s="418" t="str">
        <f t="shared" si="1615"/>
        <v/>
      </c>
      <c r="AX1048" s="418" t="str">
        <f t="shared" si="1616"/>
        <v/>
      </c>
      <c r="AY1048" s="418" t="str">
        <f t="shared" si="1617"/>
        <v/>
      </c>
      <c r="AZ1048" s="418" t="str">
        <f t="shared" si="1618"/>
        <v/>
      </c>
      <c r="BA1048" s="418" t="str">
        <f t="shared" si="1619"/>
        <v/>
      </c>
      <c r="BB1048" s="418" t="str">
        <f t="shared" si="1620"/>
        <v/>
      </c>
      <c r="BC1048" s="418" t="str">
        <f t="shared" si="1621"/>
        <v/>
      </c>
      <c r="BD1048" s="418" t="str">
        <f t="shared" si="1622"/>
        <v/>
      </c>
      <c r="BE1048" s="418" t="str">
        <f t="shared" si="1623"/>
        <v/>
      </c>
      <c r="BF1048" s="418" t="str">
        <f t="shared" si="1624"/>
        <v/>
      </c>
      <c r="BG1048" s="418" t="str">
        <f t="shared" si="1625"/>
        <v/>
      </c>
      <c r="BH1048" s="418" t="str">
        <f t="shared" si="1626"/>
        <v/>
      </c>
      <c r="BI1048" s="418" t="str">
        <f t="shared" si="1627"/>
        <v/>
      </c>
      <c r="BJ1048" s="418" t="str">
        <f t="shared" si="1628"/>
        <v/>
      </c>
      <c r="BK1048" s="418" t="str">
        <f t="shared" si="1629"/>
        <v/>
      </c>
      <c r="BL1048" s="418" t="str">
        <f t="shared" si="1630"/>
        <v/>
      </c>
      <c r="BM1048" s="418" t="str">
        <f t="shared" si="1631"/>
        <v/>
      </c>
      <c r="BN1048" s="418" t="str">
        <f t="shared" si="1632"/>
        <v/>
      </c>
      <c r="BO1048" s="418" t="str">
        <f t="shared" si="1633"/>
        <v/>
      </c>
      <c r="BP1048" s="418" t="str">
        <f t="shared" si="1634"/>
        <v/>
      </c>
      <c r="BQ1048" s="418" t="str">
        <f t="shared" si="1545"/>
        <v/>
      </c>
      <c r="BR1048" s="418" t="str">
        <f t="shared" si="1546"/>
        <v/>
      </c>
      <c r="BS1048" s="418" t="str">
        <f t="shared" si="1547"/>
        <v/>
      </c>
      <c r="BT1048" s="418" t="str">
        <f t="shared" si="1635"/>
        <v/>
      </c>
      <c r="BU1048" s="418" t="str">
        <f t="shared" si="1636"/>
        <v/>
      </c>
      <c r="BV1048" s="544">
        <v>2.02</v>
      </c>
      <c r="BW1048" s="723">
        <f t="shared" si="1637"/>
        <v>2024.04</v>
      </c>
      <c r="BX1048" s="724">
        <f t="shared" si="1638"/>
        <v>15686.31</v>
      </c>
      <c r="BY1048" s="725" t="str">
        <f t="shared" si="1639"/>
        <v>SR</v>
      </c>
    </row>
    <row r="1049" s="697" customFormat="1" customHeight="1" spans="1:77">
      <c r="A1049" s="116">
        <v>46182</v>
      </c>
      <c r="B1049" s="140">
        <v>46239</v>
      </c>
      <c r="C1049" s="123" t="s">
        <v>939</v>
      </c>
      <c r="D1049" s="123" t="s">
        <v>940</v>
      </c>
      <c r="E1049" s="123" t="s">
        <v>85</v>
      </c>
      <c r="F1049" s="142">
        <v>2616</v>
      </c>
      <c r="G1049" s="123" t="s">
        <v>510</v>
      </c>
      <c r="H1049" s="118" t="str">
        <f>IFERROR(VLOOKUP(E1049,名称!A:E,4,0),"")</f>
        <v>三代</v>
      </c>
      <c r="I1049" s="418" t="str">
        <f t="shared" si="1575"/>
        <v/>
      </c>
      <c r="J1049" s="418" t="str">
        <f t="shared" si="1576"/>
        <v/>
      </c>
      <c r="K1049" s="418" t="str">
        <f t="shared" si="1577"/>
        <v/>
      </c>
      <c r="L1049" s="418" t="str">
        <f t="shared" si="1578"/>
        <v/>
      </c>
      <c r="M1049" s="418" t="str">
        <f t="shared" si="1579"/>
        <v/>
      </c>
      <c r="N1049" s="418" t="str">
        <f t="shared" si="1580"/>
        <v/>
      </c>
      <c r="O1049" s="418" t="str">
        <f t="shared" si="1581"/>
        <v/>
      </c>
      <c r="P1049" s="418" t="str">
        <f t="shared" si="1582"/>
        <v/>
      </c>
      <c r="Q1049" s="418" t="str">
        <f t="shared" si="1583"/>
        <v/>
      </c>
      <c r="R1049" s="418" t="str">
        <f t="shared" si="1584"/>
        <v/>
      </c>
      <c r="S1049" s="418" t="str">
        <f t="shared" si="1585"/>
        <v/>
      </c>
      <c r="T1049" s="418" t="str">
        <f t="shared" si="1586"/>
        <v/>
      </c>
      <c r="U1049" s="418" t="str">
        <f t="shared" si="1587"/>
        <v/>
      </c>
      <c r="V1049" s="418" t="str">
        <f t="shared" si="1588"/>
        <v/>
      </c>
      <c r="W1049" s="418" t="str">
        <f t="shared" si="1589"/>
        <v/>
      </c>
      <c r="X1049" s="418" t="str">
        <f t="shared" si="1590"/>
        <v/>
      </c>
      <c r="Y1049" s="418" t="str">
        <f t="shared" si="1591"/>
        <v/>
      </c>
      <c r="Z1049" s="418" t="str">
        <f t="shared" si="1592"/>
        <v/>
      </c>
      <c r="AA1049" s="418" t="str">
        <f t="shared" si="1593"/>
        <v/>
      </c>
      <c r="AB1049" s="418" t="str">
        <f t="shared" si="1594"/>
        <v/>
      </c>
      <c r="AC1049" s="418" t="str">
        <f t="shared" si="1595"/>
        <v/>
      </c>
      <c r="AD1049" s="418" t="str">
        <f t="shared" si="1596"/>
        <v/>
      </c>
      <c r="AE1049" s="418" t="str">
        <f t="shared" si="1597"/>
        <v/>
      </c>
      <c r="AF1049" s="418" t="str">
        <f t="shared" si="1598"/>
        <v/>
      </c>
      <c r="AG1049" s="418" t="str">
        <f t="shared" si="1599"/>
        <v/>
      </c>
      <c r="AH1049" s="418" t="str">
        <f t="shared" si="1600"/>
        <v/>
      </c>
      <c r="AI1049" s="418" t="str">
        <f t="shared" si="1601"/>
        <v/>
      </c>
      <c r="AJ1049" s="418" t="str">
        <f t="shared" si="1602"/>
        <v/>
      </c>
      <c r="AK1049" s="418" t="str">
        <f t="shared" si="1603"/>
        <v/>
      </c>
      <c r="AL1049" s="418" t="str">
        <f t="shared" si="1604"/>
        <v/>
      </c>
      <c r="AM1049" s="418" t="str">
        <f t="shared" si="1605"/>
        <v/>
      </c>
      <c r="AN1049" s="418">
        <f t="shared" si="1606"/>
        <v>2616</v>
      </c>
      <c r="AO1049" s="418" t="str">
        <f t="shared" si="1607"/>
        <v/>
      </c>
      <c r="AP1049" s="418" t="str">
        <f t="shared" si="1608"/>
        <v/>
      </c>
      <c r="AQ1049" s="418" t="str">
        <f t="shared" si="1609"/>
        <v/>
      </c>
      <c r="AR1049" s="418" t="str">
        <f t="shared" si="1610"/>
        <v/>
      </c>
      <c r="AS1049" s="418" t="str">
        <f t="shared" si="1611"/>
        <v/>
      </c>
      <c r="AT1049" s="418" t="str">
        <f t="shared" si="1612"/>
        <v/>
      </c>
      <c r="AU1049" s="418" t="str">
        <f t="shared" si="1613"/>
        <v/>
      </c>
      <c r="AV1049" s="418" t="str">
        <f t="shared" si="1614"/>
        <v/>
      </c>
      <c r="AW1049" s="418" t="str">
        <f t="shared" si="1615"/>
        <v/>
      </c>
      <c r="AX1049" s="418" t="str">
        <f t="shared" si="1616"/>
        <v/>
      </c>
      <c r="AY1049" s="418" t="str">
        <f t="shared" si="1617"/>
        <v/>
      </c>
      <c r="AZ1049" s="418" t="str">
        <f t="shared" si="1618"/>
        <v/>
      </c>
      <c r="BA1049" s="418" t="str">
        <f t="shared" si="1619"/>
        <v/>
      </c>
      <c r="BB1049" s="418" t="str">
        <f t="shared" si="1620"/>
        <v/>
      </c>
      <c r="BC1049" s="418" t="str">
        <f t="shared" si="1621"/>
        <v/>
      </c>
      <c r="BD1049" s="418" t="str">
        <f t="shared" si="1622"/>
        <v/>
      </c>
      <c r="BE1049" s="418" t="str">
        <f t="shared" si="1623"/>
        <v/>
      </c>
      <c r="BF1049" s="418" t="str">
        <f t="shared" si="1624"/>
        <v/>
      </c>
      <c r="BG1049" s="418" t="str">
        <f t="shared" si="1625"/>
        <v/>
      </c>
      <c r="BH1049" s="418" t="str">
        <f t="shared" si="1626"/>
        <v/>
      </c>
      <c r="BI1049" s="418" t="str">
        <f t="shared" si="1627"/>
        <v/>
      </c>
      <c r="BJ1049" s="418" t="str">
        <f t="shared" si="1628"/>
        <v/>
      </c>
      <c r="BK1049" s="418" t="str">
        <f t="shared" si="1629"/>
        <v/>
      </c>
      <c r="BL1049" s="418" t="str">
        <f t="shared" si="1630"/>
        <v/>
      </c>
      <c r="BM1049" s="418" t="str">
        <f t="shared" si="1631"/>
        <v/>
      </c>
      <c r="BN1049" s="418" t="str">
        <f t="shared" si="1632"/>
        <v/>
      </c>
      <c r="BO1049" s="418" t="str">
        <f t="shared" si="1633"/>
        <v/>
      </c>
      <c r="BP1049" s="418" t="str">
        <f t="shared" si="1634"/>
        <v/>
      </c>
      <c r="BQ1049" s="418" t="str">
        <f t="shared" si="1545"/>
        <v/>
      </c>
      <c r="BR1049" s="418" t="str">
        <f t="shared" si="1546"/>
        <v/>
      </c>
      <c r="BS1049" s="418" t="str">
        <f t="shared" si="1547"/>
        <v/>
      </c>
      <c r="BT1049" s="418" t="str">
        <f t="shared" si="1635"/>
        <v/>
      </c>
      <c r="BU1049" s="418" t="str">
        <f t="shared" si="1636"/>
        <v/>
      </c>
      <c r="BV1049" s="544">
        <v>0.83</v>
      </c>
      <c r="BW1049" s="723">
        <f t="shared" si="1637"/>
        <v>2171.28</v>
      </c>
      <c r="BX1049" s="724">
        <f t="shared" si="1638"/>
        <v>16827.42</v>
      </c>
      <c r="BY1049" s="725" t="str">
        <f t="shared" si="1639"/>
        <v>SR</v>
      </c>
    </row>
    <row r="1050" s="698" customFormat="1" customHeight="1" spans="1:77">
      <c r="A1050" s="208">
        <v>46182</v>
      </c>
      <c r="B1050" s="271">
        <v>46239</v>
      </c>
      <c r="C1050" s="220" t="s">
        <v>941</v>
      </c>
      <c r="D1050" s="220" t="s">
        <v>942</v>
      </c>
      <c r="E1050" s="220" t="s">
        <v>59</v>
      </c>
      <c r="F1050" s="744">
        <v>1200</v>
      </c>
      <c r="G1050" s="220" t="s">
        <v>510</v>
      </c>
      <c r="H1050" s="211" t="str">
        <f>IFERROR(VLOOKUP(E1050,名称!A:E,4,0),"")</f>
        <v>三代</v>
      </c>
      <c r="I1050" s="268" t="str">
        <f t="shared" si="1575"/>
        <v/>
      </c>
      <c r="J1050" s="268" t="str">
        <f t="shared" si="1576"/>
        <v/>
      </c>
      <c r="K1050" s="268" t="str">
        <f t="shared" si="1577"/>
        <v/>
      </c>
      <c r="L1050" s="268" t="str">
        <f t="shared" si="1578"/>
        <v/>
      </c>
      <c r="M1050" s="268" t="str">
        <f t="shared" si="1579"/>
        <v/>
      </c>
      <c r="N1050" s="268" t="str">
        <f t="shared" si="1580"/>
        <v/>
      </c>
      <c r="O1050" s="268" t="str">
        <f t="shared" si="1581"/>
        <v/>
      </c>
      <c r="P1050" s="268" t="str">
        <f t="shared" si="1582"/>
        <v/>
      </c>
      <c r="Q1050" s="268" t="str">
        <f t="shared" si="1583"/>
        <v/>
      </c>
      <c r="R1050" s="268" t="str">
        <f t="shared" si="1584"/>
        <v/>
      </c>
      <c r="S1050" s="268" t="str">
        <f t="shared" si="1585"/>
        <v/>
      </c>
      <c r="T1050" s="268" t="str">
        <f t="shared" si="1586"/>
        <v/>
      </c>
      <c r="U1050" s="268" t="str">
        <f t="shared" si="1587"/>
        <v/>
      </c>
      <c r="V1050" s="268" t="str">
        <f t="shared" si="1588"/>
        <v/>
      </c>
      <c r="W1050" s="268" t="str">
        <f t="shared" si="1589"/>
        <v/>
      </c>
      <c r="X1050" s="268" t="str">
        <f t="shared" si="1590"/>
        <v/>
      </c>
      <c r="Y1050" s="268" t="str">
        <f t="shared" si="1591"/>
        <v/>
      </c>
      <c r="Z1050" s="268" t="str">
        <f t="shared" si="1592"/>
        <v/>
      </c>
      <c r="AA1050" s="268" t="str">
        <f t="shared" si="1593"/>
        <v/>
      </c>
      <c r="AB1050" s="268" t="str">
        <f t="shared" si="1594"/>
        <v/>
      </c>
      <c r="AC1050" s="268" t="str">
        <f t="shared" si="1595"/>
        <v/>
      </c>
      <c r="AD1050" s="268">
        <f t="shared" si="1596"/>
        <v>1200</v>
      </c>
      <c r="AE1050" s="268" t="str">
        <f t="shared" si="1597"/>
        <v/>
      </c>
      <c r="AF1050" s="268" t="str">
        <f t="shared" si="1598"/>
        <v/>
      </c>
      <c r="AG1050" s="268" t="str">
        <f t="shared" si="1599"/>
        <v/>
      </c>
      <c r="AH1050" s="268" t="str">
        <f t="shared" si="1600"/>
        <v/>
      </c>
      <c r="AI1050" s="268" t="str">
        <f t="shared" si="1601"/>
        <v/>
      </c>
      <c r="AJ1050" s="268" t="str">
        <f t="shared" si="1602"/>
        <v/>
      </c>
      <c r="AK1050" s="268" t="str">
        <f t="shared" si="1603"/>
        <v/>
      </c>
      <c r="AL1050" s="268" t="str">
        <f t="shared" si="1604"/>
        <v/>
      </c>
      <c r="AM1050" s="268" t="str">
        <f t="shared" si="1605"/>
        <v/>
      </c>
      <c r="AN1050" s="268" t="str">
        <f t="shared" si="1606"/>
        <v/>
      </c>
      <c r="AO1050" s="268" t="str">
        <f t="shared" si="1607"/>
        <v/>
      </c>
      <c r="AP1050" s="268" t="str">
        <f t="shared" si="1608"/>
        <v/>
      </c>
      <c r="AQ1050" s="268" t="str">
        <f t="shared" si="1609"/>
        <v/>
      </c>
      <c r="AR1050" s="268" t="str">
        <f t="shared" si="1610"/>
        <v/>
      </c>
      <c r="AS1050" s="268" t="str">
        <f t="shared" si="1611"/>
        <v/>
      </c>
      <c r="AT1050" s="268" t="str">
        <f t="shared" si="1612"/>
        <v/>
      </c>
      <c r="AU1050" s="268" t="str">
        <f t="shared" si="1613"/>
        <v/>
      </c>
      <c r="AV1050" s="268" t="str">
        <f t="shared" si="1614"/>
        <v/>
      </c>
      <c r="AW1050" s="268" t="str">
        <f t="shared" si="1615"/>
        <v/>
      </c>
      <c r="AX1050" s="268" t="str">
        <f t="shared" si="1616"/>
        <v/>
      </c>
      <c r="AY1050" s="268" t="str">
        <f t="shared" si="1617"/>
        <v/>
      </c>
      <c r="AZ1050" s="268" t="str">
        <f t="shared" si="1618"/>
        <v/>
      </c>
      <c r="BA1050" s="268" t="str">
        <f t="shared" si="1619"/>
        <v/>
      </c>
      <c r="BB1050" s="268" t="str">
        <f t="shared" si="1620"/>
        <v/>
      </c>
      <c r="BC1050" s="268" t="str">
        <f t="shared" si="1621"/>
        <v/>
      </c>
      <c r="BD1050" s="268" t="str">
        <f t="shared" si="1622"/>
        <v/>
      </c>
      <c r="BE1050" s="268" t="str">
        <f t="shared" si="1623"/>
        <v/>
      </c>
      <c r="BF1050" s="268" t="str">
        <f t="shared" si="1624"/>
        <v/>
      </c>
      <c r="BG1050" s="268" t="str">
        <f t="shared" si="1625"/>
        <v/>
      </c>
      <c r="BH1050" s="268" t="str">
        <f t="shared" si="1626"/>
        <v/>
      </c>
      <c r="BI1050" s="268" t="str">
        <f t="shared" si="1627"/>
        <v/>
      </c>
      <c r="BJ1050" s="268" t="str">
        <f t="shared" si="1628"/>
        <v/>
      </c>
      <c r="BK1050" s="268" t="str">
        <f t="shared" si="1629"/>
        <v/>
      </c>
      <c r="BL1050" s="268" t="str">
        <f t="shared" si="1630"/>
        <v/>
      </c>
      <c r="BM1050" s="268" t="str">
        <f t="shared" si="1631"/>
        <v/>
      </c>
      <c r="BN1050" s="268" t="str">
        <f t="shared" si="1632"/>
        <v/>
      </c>
      <c r="BO1050" s="268" t="str">
        <f t="shared" si="1633"/>
        <v/>
      </c>
      <c r="BP1050" s="268" t="str">
        <f t="shared" si="1634"/>
        <v/>
      </c>
      <c r="BQ1050" s="268" t="str">
        <f t="shared" si="1545"/>
        <v/>
      </c>
      <c r="BR1050" s="268" t="str">
        <f t="shared" si="1546"/>
        <v/>
      </c>
      <c r="BS1050" s="268" t="str">
        <f t="shared" si="1547"/>
        <v/>
      </c>
      <c r="BT1050" s="268" t="str">
        <f t="shared" si="1635"/>
        <v/>
      </c>
      <c r="BU1050" s="268" t="str">
        <f t="shared" si="1636"/>
        <v/>
      </c>
      <c r="BV1050" s="247">
        <v>0.66</v>
      </c>
      <c r="BW1050" s="729">
        <f t="shared" si="1637"/>
        <v>792</v>
      </c>
      <c r="BX1050" s="730">
        <f t="shared" si="1638"/>
        <v>6138</v>
      </c>
      <c r="BY1050" s="731" t="str">
        <f t="shared" si="1639"/>
        <v>SR</v>
      </c>
    </row>
    <row r="1051" s="697" customFormat="1" customHeight="1" spans="1:77">
      <c r="A1051" s="116">
        <v>46182</v>
      </c>
      <c r="B1051" s="140">
        <v>46241</v>
      </c>
      <c r="C1051" s="123" t="s">
        <v>943</v>
      </c>
      <c r="D1051" s="123" t="s">
        <v>944</v>
      </c>
      <c r="E1051" s="123" t="s">
        <v>52</v>
      </c>
      <c r="F1051" s="142">
        <v>1600</v>
      </c>
      <c r="G1051" s="123" t="s">
        <v>510</v>
      </c>
      <c r="H1051" s="118" t="str">
        <f>IFERROR(VLOOKUP(E1051,名称!A:E,4,0),"")</f>
        <v>蛋糕</v>
      </c>
      <c r="I1051" s="418" t="str">
        <f t="shared" si="1575"/>
        <v/>
      </c>
      <c r="J1051" s="418" t="str">
        <f t="shared" si="1576"/>
        <v/>
      </c>
      <c r="K1051" s="418" t="str">
        <f t="shared" si="1577"/>
        <v/>
      </c>
      <c r="L1051" s="418" t="str">
        <f t="shared" si="1578"/>
        <v/>
      </c>
      <c r="M1051" s="418" t="str">
        <f t="shared" si="1579"/>
        <v/>
      </c>
      <c r="N1051" s="418" t="str">
        <f t="shared" si="1580"/>
        <v/>
      </c>
      <c r="O1051" s="418" t="str">
        <f t="shared" si="1581"/>
        <v/>
      </c>
      <c r="P1051" s="418" t="str">
        <f t="shared" si="1582"/>
        <v/>
      </c>
      <c r="Q1051" s="418" t="str">
        <f t="shared" si="1583"/>
        <v/>
      </c>
      <c r="R1051" s="418" t="str">
        <f t="shared" si="1584"/>
        <v/>
      </c>
      <c r="S1051" s="418" t="str">
        <f t="shared" si="1585"/>
        <v/>
      </c>
      <c r="T1051" s="418" t="str">
        <f t="shared" si="1586"/>
        <v/>
      </c>
      <c r="U1051" s="418" t="str">
        <f t="shared" si="1587"/>
        <v/>
      </c>
      <c r="V1051" s="418" t="str">
        <f t="shared" si="1588"/>
        <v/>
      </c>
      <c r="W1051" s="418" t="str">
        <f t="shared" si="1589"/>
        <v/>
      </c>
      <c r="X1051" s="418" t="str">
        <f t="shared" si="1590"/>
        <v/>
      </c>
      <c r="Y1051" s="418" t="str">
        <f t="shared" si="1591"/>
        <v/>
      </c>
      <c r="Z1051" s="418" t="str">
        <f t="shared" si="1592"/>
        <v/>
      </c>
      <c r="AA1051" s="418" t="str">
        <f t="shared" si="1593"/>
        <v/>
      </c>
      <c r="AB1051" s="418" t="str">
        <f t="shared" si="1594"/>
        <v/>
      </c>
      <c r="AC1051" s="418" t="str">
        <f t="shared" si="1595"/>
        <v/>
      </c>
      <c r="AD1051" s="418" t="str">
        <f t="shared" si="1596"/>
        <v/>
      </c>
      <c r="AE1051" s="418" t="str">
        <f t="shared" si="1597"/>
        <v/>
      </c>
      <c r="AF1051" s="418" t="str">
        <f t="shared" si="1598"/>
        <v/>
      </c>
      <c r="AG1051" s="418" t="str">
        <f t="shared" si="1599"/>
        <v/>
      </c>
      <c r="AH1051" s="418" t="str">
        <f t="shared" si="1600"/>
        <v/>
      </c>
      <c r="AI1051" s="418" t="str">
        <f t="shared" si="1601"/>
        <v/>
      </c>
      <c r="AJ1051" s="418" t="str">
        <f t="shared" si="1602"/>
        <v/>
      </c>
      <c r="AK1051" s="418" t="str">
        <f t="shared" si="1603"/>
        <v/>
      </c>
      <c r="AL1051" s="418" t="str">
        <f t="shared" si="1604"/>
        <v/>
      </c>
      <c r="AM1051" s="418" t="str">
        <f t="shared" si="1605"/>
        <v/>
      </c>
      <c r="AN1051" s="418" t="str">
        <f t="shared" si="1606"/>
        <v/>
      </c>
      <c r="AO1051" s="418" t="str">
        <f t="shared" si="1607"/>
        <v/>
      </c>
      <c r="AP1051" s="418" t="str">
        <f t="shared" si="1608"/>
        <v/>
      </c>
      <c r="AQ1051" s="418" t="str">
        <f t="shared" si="1609"/>
        <v/>
      </c>
      <c r="AR1051" s="418" t="str">
        <f t="shared" si="1610"/>
        <v/>
      </c>
      <c r="AS1051" s="418" t="str">
        <f t="shared" si="1611"/>
        <v/>
      </c>
      <c r="AT1051" s="418" t="str">
        <f t="shared" si="1612"/>
        <v/>
      </c>
      <c r="AU1051" s="418" t="str">
        <f t="shared" si="1613"/>
        <v/>
      </c>
      <c r="AV1051" s="418" t="str">
        <f t="shared" si="1614"/>
        <v/>
      </c>
      <c r="AW1051" s="418" t="str">
        <f t="shared" si="1615"/>
        <v/>
      </c>
      <c r="AX1051" s="418" t="str">
        <f t="shared" si="1616"/>
        <v/>
      </c>
      <c r="AY1051" s="418" t="str">
        <f t="shared" si="1617"/>
        <v/>
      </c>
      <c r="AZ1051" s="418" t="str">
        <f t="shared" si="1618"/>
        <v/>
      </c>
      <c r="BA1051" s="418" t="str">
        <f t="shared" si="1619"/>
        <v/>
      </c>
      <c r="BB1051" s="418" t="str">
        <f t="shared" si="1620"/>
        <v/>
      </c>
      <c r="BC1051" s="418" t="str">
        <f t="shared" si="1621"/>
        <v/>
      </c>
      <c r="BD1051" s="418" t="str">
        <f t="shared" si="1622"/>
        <v/>
      </c>
      <c r="BE1051" s="418" t="str">
        <f t="shared" si="1623"/>
        <v/>
      </c>
      <c r="BF1051" s="418" t="str">
        <f t="shared" si="1624"/>
        <v/>
      </c>
      <c r="BG1051" s="418" t="str">
        <f t="shared" si="1625"/>
        <v/>
      </c>
      <c r="BH1051" s="418">
        <f t="shared" si="1626"/>
        <v>1600</v>
      </c>
      <c r="BI1051" s="418" t="str">
        <f t="shared" si="1627"/>
        <v/>
      </c>
      <c r="BJ1051" s="418" t="str">
        <f t="shared" si="1628"/>
        <v/>
      </c>
      <c r="BK1051" s="418" t="str">
        <f t="shared" si="1629"/>
        <v/>
      </c>
      <c r="BL1051" s="418" t="str">
        <f t="shared" si="1630"/>
        <v/>
      </c>
      <c r="BM1051" s="418" t="str">
        <f t="shared" si="1631"/>
        <v/>
      </c>
      <c r="BN1051" s="418" t="str">
        <f t="shared" si="1632"/>
        <v/>
      </c>
      <c r="BO1051" s="418" t="str">
        <f t="shared" si="1633"/>
        <v/>
      </c>
      <c r="BP1051" s="418" t="str">
        <f t="shared" si="1634"/>
        <v/>
      </c>
      <c r="BQ1051" s="418" t="str">
        <f t="shared" si="1545"/>
        <v/>
      </c>
      <c r="BR1051" s="418" t="str">
        <f t="shared" si="1546"/>
        <v/>
      </c>
      <c r="BS1051" s="418" t="str">
        <f t="shared" si="1547"/>
        <v/>
      </c>
      <c r="BT1051" s="418" t="str">
        <f t="shared" si="1635"/>
        <v/>
      </c>
      <c r="BU1051" s="418" t="str">
        <f t="shared" si="1636"/>
        <v/>
      </c>
      <c r="BV1051" s="544">
        <v>3.76</v>
      </c>
      <c r="BW1051" s="723">
        <f t="shared" si="1637"/>
        <v>6016</v>
      </c>
      <c r="BX1051" s="724">
        <f t="shared" si="1638"/>
        <v>46624</v>
      </c>
      <c r="BY1051" s="725" t="str">
        <f t="shared" si="1639"/>
        <v>JC</v>
      </c>
    </row>
    <row r="1052" s="697" customFormat="1" customHeight="1" spans="1:77">
      <c r="A1052" s="116">
        <v>46182</v>
      </c>
      <c r="B1052" s="140">
        <v>46241</v>
      </c>
      <c r="C1052" s="123" t="s">
        <v>943</v>
      </c>
      <c r="D1052" s="123" t="s">
        <v>944</v>
      </c>
      <c r="E1052" s="123" t="s">
        <v>50</v>
      </c>
      <c r="F1052" s="142">
        <v>7200</v>
      </c>
      <c r="G1052" s="123" t="s">
        <v>510</v>
      </c>
      <c r="H1052" s="118" t="str">
        <f>IFERROR(VLOOKUP(E1052,名称!A:E,4,0),"")</f>
        <v>蛋糕</v>
      </c>
      <c r="I1052" s="418" t="str">
        <f t="shared" si="1575"/>
        <v/>
      </c>
      <c r="J1052" s="418" t="str">
        <f t="shared" si="1576"/>
        <v/>
      </c>
      <c r="K1052" s="418" t="str">
        <f t="shared" si="1577"/>
        <v/>
      </c>
      <c r="L1052" s="418" t="str">
        <f t="shared" si="1578"/>
        <v/>
      </c>
      <c r="M1052" s="418" t="str">
        <f t="shared" si="1579"/>
        <v/>
      </c>
      <c r="N1052" s="418" t="str">
        <f t="shared" si="1580"/>
        <v/>
      </c>
      <c r="O1052" s="418" t="str">
        <f t="shared" si="1581"/>
        <v/>
      </c>
      <c r="P1052" s="418" t="str">
        <f t="shared" si="1582"/>
        <v/>
      </c>
      <c r="Q1052" s="418" t="str">
        <f t="shared" si="1583"/>
        <v/>
      </c>
      <c r="R1052" s="418" t="str">
        <f t="shared" si="1584"/>
        <v/>
      </c>
      <c r="S1052" s="418" t="str">
        <f t="shared" si="1585"/>
        <v/>
      </c>
      <c r="T1052" s="418" t="str">
        <f t="shared" si="1586"/>
        <v/>
      </c>
      <c r="U1052" s="418" t="str">
        <f t="shared" si="1587"/>
        <v/>
      </c>
      <c r="V1052" s="418" t="str">
        <f t="shared" si="1588"/>
        <v/>
      </c>
      <c r="W1052" s="418" t="str">
        <f t="shared" si="1589"/>
        <v/>
      </c>
      <c r="X1052" s="418" t="str">
        <f t="shared" si="1590"/>
        <v/>
      </c>
      <c r="Y1052" s="418" t="str">
        <f t="shared" si="1591"/>
        <v/>
      </c>
      <c r="Z1052" s="418" t="str">
        <f t="shared" si="1592"/>
        <v/>
      </c>
      <c r="AA1052" s="418" t="str">
        <f t="shared" si="1593"/>
        <v/>
      </c>
      <c r="AB1052" s="418" t="str">
        <f t="shared" si="1594"/>
        <v/>
      </c>
      <c r="AC1052" s="418" t="str">
        <f t="shared" si="1595"/>
        <v/>
      </c>
      <c r="AD1052" s="418" t="str">
        <f t="shared" si="1596"/>
        <v/>
      </c>
      <c r="AE1052" s="418" t="str">
        <f t="shared" si="1597"/>
        <v/>
      </c>
      <c r="AF1052" s="418" t="str">
        <f t="shared" si="1598"/>
        <v/>
      </c>
      <c r="AG1052" s="418" t="str">
        <f t="shared" si="1599"/>
        <v/>
      </c>
      <c r="AH1052" s="418" t="str">
        <f t="shared" si="1600"/>
        <v/>
      </c>
      <c r="AI1052" s="418" t="str">
        <f t="shared" si="1601"/>
        <v/>
      </c>
      <c r="AJ1052" s="418" t="str">
        <f t="shared" si="1602"/>
        <v/>
      </c>
      <c r="AK1052" s="418" t="str">
        <f t="shared" si="1603"/>
        <v/>
      </c>
      <c r="AL1052" s="418" t="str">
        <f t="shared" si="1604"/>
        <v/>
      </c>
      <c r="AM1052" s="418" t="str">
        <f t="shared" si="1605"/>
        <v/>
      </c>
      <c r="AN1052" s="418" t="str">
        <f t="shared" si="1606"/>
        <v/>
      </c>
      <c r="AO1052" s="418" t="str">
        <f t="shared" si="1607"/>
        <v/>
      </c>
      <c r="AP1052" s="418" t="str">
        <f t="shared" si="1608"/>
        <v/>
      </c>
      <c r="AQ1052" s="418" t="str">
        <f t="shared" si="1609"/>
        <v/>
      </c>
      <c r="AR1052" s="418" t="str">
        <f t="shared" si="1610"/>
        <v/>
      </c>
      <c r="AS1052" s="418" t="str">
        <f t="shared" si="1611"/>
        <v/>
      </c>
      <c r="AT1052" s="418" t="str">
        <f t="shared" si="1612"/>
        <v/>
      </c>
      <c r="AU1052" s="418" t="str">
        <f t="shared" si="1613"/>
        <v/>
      </c>
      <c r="AV1052" s="418" t="str">
        <f t="shared" si="1614"/>
        <v/>
      </c>
      <c r="AW1052" s="418" t="str">
        <f t="shared" si="1615"/>
        <v/>
      </c>
      <c r="AX1052" s="418" t="str">
        <f t="shared" si="1616"/>
        <v/>
      </c>
      <c r="AY1052" s="418" t="str">
        <f t="shared" si="1617"/>
        <v/>
      </c>
      <c r="AZ1052" s="418" t="str">
        <f t="shared" si="1618"/>
        <v/>
      </c>
      <c r="BA1052" s="418" t="str">
        <f t="shared" si="1619"/>
        <v/>
      </c>
      <c r="BB1052" s="418" t="str">
        <f t="shared" si="1620"/>
        <v/>
      </c>
      <c r="BC1052" s="418" t="str">
        <f t="shared" si="1621"/>
        <v/>
      </c>
      <c r="BD1052" s="418" t="str">
        <f t="shared" si="1622"/>
        <v/>
      </c>
      <c r="BE1052" s="418" t="str">
        <f t="shared" si="1623"/>
        <v/>
      </c>
      <c r="BF1052" s="418" t="str">
        <f t="shared" si="1624"/>
        <v/>
      </c>
      <c r="BG1052" s="418">
        <f t="shared" si="1625"/>
        <v>7200</v>
      </c>
      <c r="BH1052" s="418" t="str">
        <f t="shared" si="1626"/>
        <v/>
      </c>
      <c r="BI1052" s="418" t="str">
        <f t="shared" si="1627"/>
        <v/>
      </c>
      <c r="BJ1052" s="418" t="str">
        <f t="shared" si="1628"/>
        <v/>
      </c>
      <c r="BK1052" s="418" t="str">
        <f t="shared" si="1629"/>
        <v/>
      </c>
      <c r="BL1052" s="418" t="str">
        <f t="shared" si="1630"/>
        <v/>
      </c>
      <c r="BM1052" s="418" t="str">
        <f t="shared" si="1631"/>
        <v/>
      </c>
      <c r="BN1052" s="418" t="str">
        <f t="shared" si="1632"/>
        <v/>
      </c>
      <c r="BO1052" s="418" t="str">
        <f t="shared" si="1633"/>
        <v/>
      </c>
      <c r="BP1052" s="418" t="str">
        <f t="shared" si="1634"/>
        <v/>
      </c>
      <c r="BQ1052" s="418" t="str">
        <f t="shared" ref="BQ1052:BQ1083" si="1640">IF(OR($E1052="",BQ$1=""),"",IF(TRIM(LEFT($E1052,MIN(IFERROR(FIND("CDU",UPPER($E1052)),999),IFERROR(FIND("BULK",UPPER($E1052)),999),IFERROR(FIND("-",$E1052),999),IFERROR(FIND("（",$E1052),999))-1))=BQ$1,$F1052,""))</f>
        <v/>
      </c>
      <c r="BR1052" s="418" t="str">
        <f t="shared" ref="BR1052:BR1083" si="1641">IF(OR($E1052="",BR$1=""),"",IF(TRIM(LEFT($E1052,MIN(IFERROR(FIND("CDU",UPPER($E1052)),999),IFERROR(FIND("BULK",UPPER($E1052)),999),IFERROR(FIND("-",$E1052),999),IFERROR(FIND("（",$E1052),999))-1))=BR$1,$F1052,""))</f>
        <v/>
      </c>
      <c r="BS1052" s="418" t="str">
        <f t="shared" ref="BS1052:BS1083" si="1642">IF(OR($E1052="",BS$1=""),"",IF(TRIM(LEFT($E1052,MIN(IFERROR(FIND("CDU",UPPER($E1052)),999),IFERROR(FIND("BULK",UPPER($E1052)),999),IFERROR(FIND("-",$E1052),999),IFERROR(FIND("（",$E1052),999))-1))=BS$1,$F1052,""))</f>
        <v/>
      </c>
      <c r="BT1052" s="418" t="str">
        <f t="shared" si="1635"/>
        <v/>
      </c>
      <c r="BU1052" s="418" t="str">
        <f t="shared" si="1636"/>
        <v/>
      </c>
      <c r="BV1052" s="544">
        <v>1.09</v>
      </c>
      <c r="BW1052" s="723">
        <f t="shared" si="1637"/>
        <v>7848</v>
      </c>
      <c r="BX1052" s="724">
        <f t="shared" si="1638"/>
        <v>60822</v>
      </c>
      <c r="BY1052" s="725" t="str">
        <f t="shared" si="1639"/>
        <v>JC</v>
      </c>
    </row>
    <row r="1053" s="697" customFormat="1" customHeight="1" spans="1:77">
      <c r="A1053" s="116">
        <v>46182</v>
      </c>
      <c r="B1053" s="140">
        <v>46241</v>
      </c>
      <c r="C1053" s="123" t="s">
        <v>943</v>
      </c>
      <c r="D1053" s="123" t="s">
        <v>944</v>
      </c>
      <c r="E1053" s="123" t="s">
        <v>123</v>
      </c>
      <c r="F1053" s="142">
        <v>9600</v>
      </c>
      <c r="G1053" s="123" t="s">
        <v>510</v>
      </c>
      <c r="H1053" s="118" t="str">
        <f>IFERROR(VLOOKUP(E1053,名称!A:E,4,0),"")</f>
        <v>蛋糕</v>
      </c>
      <c r="I1053" s="418" t="str">
        <f t="shared" si="1575"/>
        <v/>
      </c>
      <c r="J1053" s="418" t="str">
        <f t="shared" si="1576"/>
        <v/>
      </c>
      <c r="K1053" s="418" t="str">
        <f t="shared" si="1577"/>
        <v/>
      </c>
      <c r="L1053" s="418" t="str">
        <f t="shared" si="1578"/>
        <v/>
      </c>
      <c r="M1053" s="418" t="str">
        <f t="shared" si="1579"/>
        <v/>
      </c>
      <c r="N1053" s="418" t="str">
        <f t="shared" si="1580"/>
        <v/>
      </c>
      <c r="O1053" s="418" t="str">
        <f t="shared" si="1581"/>
        <v/>
      </c>
      <c r="P1053" s="418" t="str">
        <f t="shared" si="1582"/>
        <v/>
      </c>
      <c r="Q1053" s="418" t="str">
        <f t="shared" si="1583"/>
        <v/>
      </c>
      <c r="R1053" s="418" t="str">
        <f t="shared" si="1584"/>
        <v/>
      </c>
      <c r="S1053" s="418" t="str">
        <f t="shared" si="1585"/>
        <v/>
      </c>
      <c r="T1053" s="418" t="str">
        <f t="shared" si="1586"/>
        <v/>
      </c>
      <c r="U1053" s="418" t="str">
        <f t="shared" si="1587"/>
        <v/>
      </c>
      <c r="V1053" s="418" t="str">
        <f t="shared" si="1588"/>
        <v/>
      </c>
      <c r="W1053" s="418" t="str">
        <f t="shared" si="1589"/>
        <v/>
      </c>
      <c r="X1053" s="418" t="str">
        <f t="shared" si="1590"/>
        <v/>
      </c>
      <c r="Y1053" s="418" t="str">
        <f t="shared" si="1591"/>
        <v/>
      </c>
      <c r="Z1053" s="418" t="str">
        <f t="shared" si="1592"/>
        <v/>
      </c>
      <c r="AA1053" s="418" t="str">
        <f t="shared" si="1593"/>
        <v/>
      </c>
      <c r="AB1053" s="418" t="str">
        <f t="shared" si="1594"/>
        <v/>
      </c>
      <c r="AC1053" s="418" t="str">
        <f t="shared" si="1595"/>
        <v/>
      </c>
      <c r="AD1053" s="418" t="str">
        <f t="shared" si="1596"/>
        <v/>
      </c>
      <c r="AE1053" s="418" t="str">
        <f t="shared" si="1597"/>
        <v/>
      </c>
      <c r="AF1053" s="418" t="str">
        <f t="shared" si="1598"/>
        <v/>
      </c>
      <c r="AG1053" s="418" t="str">
        <f t="shared" si="1599"/>
        <v/>
      </c>
      <c r="AH1053" s="418" t="str">
        <f t="shared" si="1600"/>
        <v/>
      </c>
      <c r="AI1053" s="418" t="str">
        <f t="shared" si="1601"/>
        <v/>
      </c>
      <c r="AJ1053" s="418" t="str">
        <f t="shared" si="1602"/>
        <v/>
      </c>
      <c r="AK1053" s="418" t="str">
        <f t="shared" si="1603"/>
        <v/>
      </c>
      <c r="AL1053" s="418" t="str">
        <f t="shared" si="1604"/>
        <v/>
      </c>
      <c r="AM1053" s="418" t="str">
        <f t="shared" si="1605"/>
        <v/>
      </c>
      <c r="AN1053" s="418" t="str">
        <f t="shared" si="1606"/>
        <v/>
      </c>
      <c r="AO1053" s="418" t="str">
        <f t="shared" si="1607"/>
        <v/>
      </c>
      <c r="AP1053" s="418" t="str">
        <f t="shared" si="1608"/>
        <v/>
      </c>
      <c r="AQ1053" s="418" t="str">
        <f t="shared" si="1609"/>
        <v/>
      </c>
      <c r="AR1053" s="418" t="str">
        <f t="shared" si="1610"/>
        <v/>
      </c>
      <c r="AS1053" s="418" t="str">
        <f t="shared" si="1611"/>
        <v/>
      </c>
      <c r="AT1053" s="418" t="str">
        <f t="shared" si="1612"/>
        <v/>
      </c>
      <c r="AU1053" s="418" t="str">
        <f t="shared" si="1613"/>
        <v/>
      </c>
      <c r="AV1053" s="418" t="str">
        <f t="shared" si="1614"/>
        <v/>
      </c>
      <c r="AW1053" s="418" t="str">
        <f t="shared" si="1615"/>
        <v/>
      </c>
      <c r="AX1053" s="418" t="str">
        <f t="shared" si="1616"/>
        <v/>
      </c>
      <c r="AY1053" s="418" t="str">
        <f t="shared" si="1617"/>
        <v/>
      </c>
      <c r="AZ1053" s="418" t="str">
        <f t="shared" si="1618"/>
        <v/>
      </c>
      <c r="BA1053" s="418" t="str">
        <f t="shared" si="1619"/>
        <v/>
      </c>
      <c r="BB1053" s="418" t="str">
        <f t="shared" si="1620"/>
        <v/>
      </c>
      <c r="BC1053" s="418" t="str">
        <f t="shared" si="1621"/>
        <v/>
      </c>
      <c r="BD1053" s="418" t="str">
        <f t="shared" si="1622"/>
        <v/>
      </c>
      <c r="BE1053" s="418" t="str">
        <f t="shared" si="1623"/>
        <v/>
      </c>
      <c r="BF1053" s="418">
        <f t="shared" si="1624"/>
        <v>9600</v>
      </c>
      <c r="BG1053" s="418" t="str">
        <f t="shared" si="1625"/>
        <v/>
      </c>
      <c r="BH1053" s="418" t="str">
        <f t="shared" si="1626"/>
        <v/>
      </c>
      <c r="BI1053" s="418" t="str">
        <f t="shared" si="1627"/>
        <v/>
      </c>
      <c r="BJ1053" s="418" t="str">
        <f t="shared" si="1628"/>
        <v/>
      </c>
      <c r="BK1053" s="418" t="str">
        <f t="shared" si="1629"/>
        <v/>
      </c>
      <c r="BL1053" s="418" t="str">
        <f t="shared" si="1630"/>
        <v/>
      </c>
      <c r="BM1053" s="418" t="str">
        <f t="shared" si="1631"/>
        <v/>
      </c>
      <c r="BN1053" s="418" t="str">
        <f t="shared" si="1632"/>
        <v/>
      </c>
      <c r="BO1053" s="418" t="str">
        <f t="shared" si="1633"/>
        <v/>
      </c>
      <c r="BP1053" s="418" t="str">
        <f t="shared" si="1634"/>
        <v/>
      </c>
      <c r="BQ1053" s="418" t="str">
        <f t="shared" si="1640"/>
        <v/>
      </c>
      <c r="BR1053" s="418" t="str">
        <f t="shared" si="1641"/>
        <v/>
      </c>
      <c r="BS1053" s="418" t="str">
        <f t="shared" si="1642"/>
        <v/>
      </c>
      <c r="BT1053" s="418" t="str">
        <f t="shared" si="1635"/>
        <v/>
      </c>
      <c r="BU1053" s="418" t="str">
        <f t="shared" si="1636"/>
        <v/>
      </c>
      <c r="BV1053" s="544">
        <v>0.81</v>
      </c>
      <c r="BW1053" s="723">
        <f t="shared" si="1637"/>
        <v>7776</v>
      </c>
      <c r="BX1053" s="724">
        <f t="shared" si="1638"/>
        <v>60264</v>
      </c>
      <c r="BY1053" s="725" t="str">
        <f t="shared" si="1639"/>
        <v>JC</v>
      </c>
    </row>
    <row r="1054" s="697" customFormat="1" customHeight="1" spans="1:77">
      <c r="A1054" s="116">
        <v>46182</v>
      </c>
      <c r="B1054" s="140">
        <v>46242</v>
      </c>
      <c r="C1054" s="123" t="s">
        <v>945</v>
      </c>
      <c r="D1054" s="123" t="s">
        <v>946</v>
      </c>
      <c r="E1054" s="123" t="s">
        <v>121</v>
      </c>
      <c r="F1054" s="142">
        <v>3840</v>
      </c>
      <c r="G1054" s="123" t="s">
        <v>510</v>
      </c>
      <c r="H1054" s="118" t="str">
        <f>IFERROR(VLOOKUP(E1054,名称!A:E,4,0),"")</f>
        <v>三代</v>
      </c>
      <c r="I1054" s="418" t="str">
        <f t="shared" si="1575"/>
        <v/>
      </c>
      <c r="J1054" s="418" t="str">
        <f t="shared" si="1576"/>
        <v/>
      </c>
      <c r="K1054" s="418" t="str">
        <f t="shared" si="1577"/>
        <v/>
      </c>
      <c r="L1054" s="418" t="str">
        <f t="shared" si="1578"/>
        <v/>
      </c>
      <c r="M1054" s="418" t="str">
        <f t="shared" si="1579"/>
        <v/>
      </c>
      <c r="N1054" s="418" t="str">
        <f t="shared" si="1580"/>
        <v/>
      </c>
      <c r="O1054" s="418" t="str">
        <f t="shared" si="1581"/>
        <v/>
      </c>
      <c r="P1054" s="418" t="str">
        <f t="shared" si="1582"/>
        <v/>
      </c>
      <c r="Q1054" s="418" t="str">
        <f t="shared" si="1583"/>
        <v/>
      </c>
      <c r="R1054" s="418" t="str">
        <f t="shared" si="1584"/>
        <v/>
      </c>
      <c r="S1054" s="418" t="str">
        <f t="shared" si="1585"/>
        <v/>
      </c>
      <c r="T1054" s="418" t="str">
        <f t="shared" si="1586"/>
        <v/>
      </c>
      <c r="U1054" s="418" t="str">
        <f t="shared" si="1587"/>
        <v/>
      </c>
      <c r="V1054" s="418" t="str">
        <f t="shared" si="1588"/>
        <v/>
      </c>
      <c r="W1054" s="418" t="str">
        <f t="shared" si="1589"/>
        <v/>
      </c>
      <c r="X1054" s="418" t="str">
        <f t="shared" si="1590"/>
        <v/>
      </c>
      <c r="Y1054" s="418" t="str">
        <f t="shared" si="1591"/>
        <v/>
      </c>
      <c r="Z1054" s="418" t="str">
        <f t="shared" si="1592"/>
        <v/>
      </c>
      <c r="AA1054" s="418" t="str">
        <f t="shared" si="1593"/>
        <v/>
      </c>
      <c r="AB1054" s="418" t="str">
        <f t="shared" si="1594"/>
        <v/>
      </c>
      <c r="AC1054" s="418">
        <f t="shared" si="1595"/>
        <v>3840</v>
      </c>
      <c r="AD1054" s="418" t="str">
        <f t="shared" si="1596"/>
        <v/>
      </c>
      <c r="AE1054" s="418" t="str">
        <f t="shared" si="1597"/>
        <v/>
      </c>
      <c r="AF1054" s="418" t="str">
        <f t="shared" si="1598"/>
        <v/>
      </c>
      <c r="AG1054" s="418" t="str">
        <f t="shared" si="1599"/>
        <v/>
      </c>
      <c r="AH1054" s="418" t="str">
        <f t="shared" si="1600"/>
        <v/>
      </c>
      <c r="AI1054" s="418" t="str">
        <f t="shared" si="1601"/>
        <v/>
      </c>
      <c r="AJ1054" s="418" t="str">
        <f t="shared" si="1602"/>
        <v/>
      </c>
      <c r="AK1054" s="418" t="str">
        <f t="shared" si="1603"/>
        <v/>
      </c>
      <c r="AL1054" s="418" t="str">
        <f t="shared" si="1604"/>
        <v/>
      </c>
      <c r="AM1054" s="418" t="str">
        <f t="shared" si="1605"/>
        <v/>
      </c>
      <c r="AN1054" s="418" t="str">
        <f t="shared" si="1606"/>
        <v/>
      </c>
      <c r="AO1054" s="418" t="str">
        <f t="shared" si="1607"/>
        <v/>
      </c>
      <c r="AP1054" s="418" t="str">
        <f t="shared" si="1608"/>
        <v/>
      </c>
      <c r="AQ1054" s="418" t="str">
        <f t="shared" si="1609"/>
        <v/>
      </c>
      <c r="AR1054" s="418" t="str">
        <f t="shared" si="1610"/>
        <v/>
      </c>
      <c r="AS1054" s="418" t="str">
        <f t="shared" si="1611"/>
        <v/>
      </c>
      <c r="AT1054" s="418" t="str">
        <f t="shared" si="1612"/>
        <v/>
      </c>
      <c r="AU1054" s="418" t="str">
        <f t="shared" si="1613"/>
        <v/>
      </c>
      <c r="AV1054" s="418" t="str">
        <f t="shared" si="1614"/>
        <v/>
      </c>
      <c r="AW1054" s="418" t="str">
        <f t="shared" si="1615"/>
        <v/>
      </c>
      <c r="AX1054" s="418" t="str">
        <f t="shared" si="1616"/>
        <v/>
      </c>
      <c r="AY1054" s="418" t="str">
        <f t="shared" si="1617"/>
        <v/>
      </c>
      <c r="AZ1054" s="418" t="str">
        <f t="shared" si="1618"/>
        <v/>
      </c>
      <c r="BA1054" s="418" t="str">
        <f t="shared" si="1619"/>
        <v/>
      </c>
      <c r="BB1054" s="418" t="str">
        <f t="shared" si="1620"/>
        <v/>
      </c>
      <c r="BC1054" s="418" t="str">
        <f t="shared" si="1621"/>
        <v/>
      </c>
      <c r="BD1054" s="418" t="str">
        <f t="shared" si="1622"/>
        <v/>
      </c>
      <c r="BE1054" s="418" t="str">
        <f t="shared" si="1623"/>
        <v/>
      </c>
      <c r="BF1054" s="418" t="str">
        <f t="shared" si="1624"/>
        <v/>
      </c>
      <c r="BG1054" s="418" t="str">
        <f t="shared" si="1625"/>
        <v/>
      </c>
      <c r="BH1054" s="418" t="str">
        <f t="shared" si="1626"/>
        <v/>
      </c>
      <c r="BI1054" s="418" t="str">
        <f t="shared" si="1627"/>
        <v/>
      </c>
      <c r="BJ1054" s="418" t="str">
        <f t="shared" si="1628"/>
        <v/>
      </c>
      <c r="BK1054" s="418" t="str">
        <f t="shared" si="1629"/>
        <v/>
      </c>
      <c r="BL1054" s="418" t="str">
        <f t="shared" si="1630"/>
        <v/>
      </c>
      <c r="BM1054" s="418" t="str">
        <f t="shared" si="1631"/>
        <v/>
      </c>
      <c r="BN1054" s="418" t="str">
        <f t="shared" si="1632"/>
        <v/>
      </c>
      <c r="BO1054" s="418" t="str">
        <f t="shared" si="1633"/>
        <v/>
      </c>
      <c r="BP1054" s="418" t="str">
        <f t="shared" si="1634"/>
        <v/>
      </c>
      <c r="BQ1054" s="418" t="str">
        <f t="shared" si="1640"/>
        <v/>
      </c>
      <c r="BR1054" s="418" t="str">
        <f t="shared" si="1641"/>
        <v/>
      </c>
      <c r="BS1054" s="418" t="str">
        <f t="shared" si="1642"/>
        <v/>
      </c>
      <c r="BT1054" s="418" t="str">
        <f t="shared" si="1635"/>
        <v/>
      </c>
      <c r="BU1054" s="418" t="str">
        <f t="shared" si="1636"/>
        <v/>
      </c>
      <c r="BV1054" s="544">
        <v>0.79</v>
      </c>
      <c r="BW1054" s="723">
        <f t="shared" si="1637"/>
        <v>3033.6</v>
      </c>
      <c r="BX1054" s="724">
        <f t="shared" si="1638"/>
        <v>23510.4</v>
      </c>
      <c r="BY1054" s="725" t="str">
        <f t="shared" si="1639"/>
        <v>SR</v>
      </c>
    </row>
    <row r="1055" s="697" customFormat="1" customHeight="1" spans="1:77">
      <c r="A1055" s="116">
        <v>46182</v>
      </c>
      <c r="B1055" s="140">
        <v>46242</v>
      </c>
      <c r="C1055" s="123" t="s">
        <v>945</v>
      </c>
      <c r="D1055" s="123" t="s">
        <v>946</v>
      </c>
      <c r="E1055" s="123" t="s">
        <v>99</v>
      </c>
      <c r="F1055" s="142">
        <v>1440</v>
      </c>
      <c r="G1055" s="123" t="s">
        <v>510</v>
      </c>
      <c r="H1055" s="118" t="str">
        <f>IFERROR(VLOOKUP(E1055,名称!A:E,4,0),"")</f>
        <v>三代</v>
      </c>
      <c r="I1055" s="418" t="str">
        <f t="shared" si="1575"/>
        <v/>
      </c>
      <c r="J1055" s="418" t="str">
        <f t="shared" si="1576"/>
        <v/>
      </c>
      <c r="K1055" s="418" t="str">
        <f t="shared" si="1577"/>
        <v/>
      </c>
      <c r="L1055" s="418" t="str">
        <f t="shared" si="1578"/>
        <v/>
      </c>
      <c r="M1055" s="418" t="str">
        <f t="shared" si="1579"/>
        <v/>
      </c>
      <c r="N1055" s="418" t="str">
        <f t="shared" si="1580"/>
        <v/>
      </c>
      <c r="O1055" s="418" t="str">
        <f t="shared" si="1581"/>
        <v/>
      </c>
      <c r="P1055" s="418" t="str">
        <f t="shared" si="1582"/>
        <v/>
      </c>
      <c r="Q1055" s="418" t="str">
        <f t="shared" si="1583"/>
        <v/>
      </c>
      <c r="R1055" s="418" t="str">
        <f t="shared" si="1584"/>
        <v/>
      </c>
      <c r="S1055" s="418" t="str">
        <f t="shared" si="1585"/>
        <v/>
      </c>
      <c r="T1055" s="418" t="str">
        <f t="shared" si="1586"/>
        <v/>
      </c>
      <c r="U1055" s="418" t="str">
        <f t="shared" si="1587"/>
        <v/>
      </c>
      <c r="V1055" s="418" t="str">
        <f t="shared" si="1588"/>
        <v/>
      </c>
      <c r="W1055" s="418" t="str">
        <f t="shared" si="1589"/>
        <v/>
      </c>
      <c r="X1055" s="418" t="str">
        <f t="shared" si="1590"/>
        <v/>
      </c>
      <c r="Y1055" s="418" t="str">
        <f t="shared" si="1591"/>
        <v/>
      </c>
      <c r="Z1055" s="418" t="str">
        <f t="shared" si="1592"/>
        <v/>
      </c>
      <c r="AA1055" s="418" t="str">
        <f t="shared" si="1593"/>
        <v/>
      </c>
      <c r="AB1055" s="418" t="str">
        <f t="shared" si="1594"/>
        <v/>
      </c>
      <c r="AC1055" s="418">
        <f t="shared" si="1595"/>
        <v>1440</v>
      </c>
      <c r="AD1055" s="418" t="str">
        <f t="shared" si="1596"/>
        <v/>
      </c>
      <c r="AE1055" s="418" t="str">
        <f t="shared" si="1597"/>
        <v/>
      </c>
      <c r="AF1055" s="418" t="str">
        <f t="shared" si="1598"/>
        <v/>
      </c>
      <c r="AG1055" s="418" t="str">
        <f t="shared" si="1599"/>
        <v/>
      </c>
      <c r="AH1055" s="418" t="str">
        <f t="shared" si="1600"/>
        <v/>
      </c>
      <c r="AI1055" s="418" t="str">
        <f t="shared" si="1601"/>
        <v/>
      </c>
      <c r="AJ1055" s="418" t="str">
        <f t="shared" si="1602"/>
        <v/>
      </c>
      <c r="AK1055" s="418" t="str">
        <f t="shared" si="1603"/>
        <v/>
      </c>
      <c r="AL1055" s="418" t="str">
        <f t="shared" si="1604"/>
        <v/>
      </c>
      <c r="AM1055" s="418" t="str">
        <f t="shared" si="1605"/>
        <v/>
      </c>
      <c r="AN1055" s="418" t="str">
        <f t="shared" si="1606"/>
        <v/>
      </c>
      <c r="AO1055" s="418" t="str">
        <f t="shared" si="1607"/>
        <v/>
      </c>
      <c r="AP1055" s="418" t="str">
        <f t="shared" si="1608"/>
        <v/>
      </c>
      <c r="AQ1055" s="418" t="str">
        <f t="shared" si="1609"/>
        <v/>
      </c>
      <c r="AR1055" s="418" t="str">
        <f t="shared" si="1610"/>
        <v/>
      </c>
      <c r="AS1055" s="418" t="str">
        <f t="shared" si="1611"/>
        <v/>
      </c>
      <c r="AT1055" s="418" t="str">
        <f t="shared" si="1612"/>
        <v/>
      </c>
      <c r="AU1055" s="418" t="str">
        <f t="shared" si="1613"/>
        <v/>
      </c>
      <c r="AV1055" s="418" t="str">
        <f t="shared" si="1614"/>
        <v/>
      </c>
      <c r="AW1055" s="418" t="str">
        <f t="shared" si="1615"/>
        <v/>
      </c>
      <c r="AX1055" s="418" t="str">
        <f t="shared" si="1616"/>
        <v/>
      </c>
      <c r="AY1055" s="418" t="str">
        <f t="shared" si="1617"/>
        <v/>
      </c>
      <c r="AZ1055" s="418" t="str">
        <f t="shared" si="1618"/>
        <v/>
      </c>
      <c r="BA1055" s="418" t="str">
        <f t="shared" si="1619"/>
        <v/>
      </c>
      <c r="BB1055" s="418" t="str">
        <f t="shared" si="1620"/>
        <v/>
      </c>
      <c r="BC1055" s="418" t="str">
        <f t="shared" si="1621"/>
        <v/>
      </c>
      <c r="BD1055" s="418" t="str">
        <f t="shared" si="1622"/>
        <v/>
      </c>
      <c r="BE1055" s="418" t="str">
        <f t="shared" si="1623"/>
        <v/>
      </c>
      <c r="BF1055" s="418" t="str">
        <f t="shared" si="1624"/>
        <v/>
      </c>
      <c r="BG1055" s="418" t="str">
        <f t="shared" si="1625"/>
        <v/>
      </c>
      <c r="BH1055" s="418" t="str">
        <f t="shared" si="1626"/>
        <v/>
      </c>
      <c r="BI1055" s="418" t="str">
        <f t="shared" si="1627"/>
        <v/>
      </c>
      <c r="BJ1055" s="418" t="str">
        <f t="shared" si="1628"/>
        <v/>
      </c>
      <c r="BK1055" s="418" t="str">
        <f t="shared" si="1629"/>
        <v/>
      </c>
      <c r="BL1055" s="418" t="str">
        <f t="shared" si="1630"/>
        <v/>
      </c>
      <c r="BM1055" s="418" t="str">
        <f t="shared" si="1631"/>
        <v/>
      </c>
      <c r="BN1055" s="418" t="str">
        <f t="shared" si="1632"/>
        <v/>
      </c>
      <c r="BO1055" s="418" t="str">
        <f t="shared" si="1633"/>
        <v/>
      </c>
      <c r="BP1055" s="418" t="str">
        <f t="shared" si="1634"/>
        <v/>
      </c>
      <c r="BQ1055" s="418" t="str">
        <f t="shared" si="1640"/>
        <v/>
      </c>
      <c r="BR1055" s="418" t="str">
        <f t="shared" si="1641"/>
        <v/>
      </c>
      <c r="BS1055" s="418" t="str">
        <f t="shared" si="1642"/>
        <v/>
      </c>
      <c r="BT1055" s="418" t="str">
        <f t="shared" si="1635"/>
        <v/>
      </c>
      <c r="BU1055" s="418" t="str">
        <f t="shared" si="1636"/>
        <v/>
      </c>
      <c r="BV1055" s="544">
        <v>0.9</v>
      </c>
      <c r="BW1055" s="723">
        <f t="shared" si="1637"/>
        <v>1296</v>
      </c>
      <c r="BX1055" s="724">
        <f t="shared" si="1638"/>
        <v>10044</v>
      </c>
      <c r="BY1055" s="725" t="str">
        <f t="shared" si="1639"/>
        <v>SR</v>
      </c>
    </row>
    <row r="1056" s="697" customFormat="1" customHeight="1" spans="1:77">
      <c r="A1056" s="116">
        <v>46182</v>
      </c>
      <c r="B1056" s="140">
        <v>46242</v>
      </c>
      <c r="C1056" s="123" t="s">
        <v>945</v>
      </c>
      <c r="D1056" s="123" t="s">
        <v>946</v>
      </c>
      <c r="E1056" s="123" t="s">
        <v>59</v>
      </c>
      <c r="F1056" s="142">
        <v>4800</v>
      </c>
      <c r="G1056" s="123" t="s">
        <v>510</v>
      </c>
      <c r="H1056" s="118" t="str">
        <f>IFERROR(VLOOKUP(E1056,名称!A:E,4,0),"")</f>
        <v>三代</v>
      </c>
      <c r="I1056" s="418" t="str">
        <f t="shared" si="1575"/>
        <v/>
      </c>
      <c r="J1056" s="418" t="str">
        <f t="shared" si="1576"/>
        <v/>
      </c>
      <c r="K1056" s="418" t="str">
        <f t="shared" si="1577"/>
        <v/>
      </c>
      <c r="L1056" s="418" t="str">
        <f t="shared" si="1578"/>
        <v/>
      </c>
      <c r="M1056" s="418" t="str">
        <f t="shared" si="1579"/>
        <v/>
      </c>
      <c r="N1056" s="418" t="str">
        <f t="shared" si="1580"/>
        <v/>
      </c>
      <c r="O1056" s="418" t="str">
        <f t="shared" si="1581"/>
        <v/>
      </c>
      <c r="P1056" s="418" t="str">
        <f t="shared" si="1582"/>
        <v/>
      </c>
      <c r="Q1056" s="418" t="str">
        <f t="shared" si="1583"/>
        <v/>
      </c>
      <c r="R1056" s="418" t="str">
        <f t="shared" si="1584"/>
        <v/>
      </c>
      <c r="S1056" s="418" t="str">
        <f t="shared" si="1585"/>
        <v/>
      </c>
      <c r="T1056" s="418" t="str">
        <f t="shared" si="1586"/>
        <v/>
      </c>
      <c r="U1056" s="418" t="str">
        <f t="shared" si="1587"/>
        <v/>
      </c>
      <c r="V1056" s="418" t="str">
        <f t="shared" si="1588"/>
        <v/>
      </c>
      <c r="W1056" s="418" t="str">
        <f t="shared" si="1589"/>
        <v/>
      </c>
      <c r="X1056" s="418" t="str">
        <f t="shared" si="1590"/>
        <v/>
      </c>
      <c r="Y1056" s="418" t="str">
        <f t="shared" si="1591"/>
        <v/>
      </c>
      <c r="Z1056" s="418" t="str">
        <f t="shared" si="1592"/>
        <v/>
      </c>
      <c r="AA1056" s="418" t="str">
        <f t="shared" si="1593"/>
        <v/>
      </c>
      <c r="AB1056" s="418" t="str">
        <f t="shared" si="1594"/>
        <v/>
      </c>
      <c r="AC1056" s="418" t="str">
        <f t="shared" si="1595"/>
        <v/>
      </c>
      <c r="AD1056" s="418">
        <f t="shared" si="1596"/>
        <v>4800</v>
      </c>
      <c r="AE1056" s="418" t="str">
        <f t="shared" si="1597"/>
        <v/>
      </c>
      <c r="AF1056" s="418" t="str">
        <f t="shared" si="1598"/>
        <v/>
      </c>
      <c r="AG1056" s="418" t="str">
        <f t="shared" si="1599"/>
        <v/>
      </c>
      <c r="AH1056" s="418" t="str">
        <f t="shared" si="1600"/>
        <v/>
      </c>
      <c r="AI1056" s="418" t="str">
        <f t="shared" si="1601"/>
        <v/>
      </c>
      <c r="AJ1056" s="418" t="str">
        <f t="shared" si="1602"/>
        <v/>
      </c>
      <c r="AK1056" s="418" t="str">
        <f t="shared" si="1603"/>
        <v/>
      </c>
      <c r="AL1056" s="418" t="str">
        <f t="shared" si="1604"/>
        <v/>
      </c>
      <c r="AM1056" s="418" t="str">
        <f t="shared" si="1605"/>
        <v/>
      </c>
      <c r="AN1056" s="418" t="str">
        <f t="shared" si="1606"/>
        <v/>
      </c>
      <c r="AO1056" s="418" t="str">
        <f t="shared" si="1607"/>
        <v/>
      </c>
      <c r="AP1056" s="418" t="str">
        <f t="shared" si="1608"/>
        <v/>
      </c>
      <c r="AQ1056" s="418" t="str">
        <f t="shared" si="1609"/>
        <v/>
      </c>
      <c r="AR1056" s="418" t="str">
        <f t="shared" si="1610"/>
        <v/>
      </c>
      <c r="AS1056" s="418" t="str">
        <f t="shared" si="1611"/>
        <v/>
      </c>
      <c r="AT1056" s="418" t="str">
        <f t="shared" si="1612"/>
        <v/>
      </c>
      <c r="AU1056" s="418" t="str">
        <f t="shared" si="1613"/>
        <v/>
      </c>
      <c r="AV1056" s="418" t="str">
        <f t="shared" si="1614"/>
        <v/>
      </c>
      <c r="AW1056" s="418" t="str">
        <f t="shared" si="1615"/>
        <v/>
      </c>
      <c r="AX1056" s="418" t="str">
        <f t="shared" si="1616"/>
        <v/>
      </c>
      <c r="AY1056" s="418" t="str">
        <f t="shared" si="1617"/>
        <v/>
      </c>
      <c r="AZ1056" s="418" t="str">
        <f t="shared" si="1618"/>
        <v/>
      </c>
      <c r="BA1056" s="418" t="str">
        <f t="shared" si="1619"/>
        <v/>
      </c>
      <c r="BB1056" s="418" t="str">
        <f t="shared" si="1620"/>
        <v/>
      </c>
      <c r="BC1056" s="418" t="str">
        <f t="shared" si="1621"/>
        <v/>
      </c>
      <c r="BD1056" s="418" t="str">
        <f t="shared" si="1622"/>
        <v/>
      </c>
      <c r="BE1056" s="418" t="str">
        <f t="shared" si="1623"/>
        <v/>
      </c>
      <c r="BF1056" s="418" t="str">
        <f t="shared" si="1624"/>
        <v/>
      </c>
      <c r="BG1056" s="418" t="str">
        <f t="shared" si="1625"/>
        <v/>
      </c>
      <c r="BH1056" s="418" t="str">
        <f t="shared" si="1626"/>
        <v/>
      </c>
      <c r="BI1056" s="418" t="str">
        <f t="shared" si="1627"/>
        <v/>
      </c>
      <c r="BJ1056" s="418" t="str">
        <f t="shared" si="1628"/>
        <v/>
      </c>
      <c r="BK1056" s="418" t="str">
        <f t="shared" si="1629"/>
        <v/>
      </c>
      <c r="BL1056" s="418" t="str">
        <f t="shared" si="1630"/>
        <v/>
      </c>
      <c r="BM1056" s="418" t="str">
        <f t="shared" si="1631"/>
        <v/>
      </c>
      <c r="BN1056" s="418" t="str">
        <f t="shared" si="1632"/>
        <v/>
      </c>
      <c r="BO1056" s="418" t="str">
        <f t="shared" si="1633"/>
        <v/>
      </c>
      <c r="BP1056" s="418" t="str">
        <f t="shared" si="1634"/>
        <v/>
      </c>
      <c r="BQ1056" s="418" t="str">
        <f t="shared" si="1640"/>
        <v/>
      </c>
      <c r="BR1056" s="418" t="str">
        <f t="shared" si="1641"/>
        <v/>
      </c>
      <c r="BS1056" s="418" t="str">
        <f t="shared" si="1642"/>
        <v/>
      </c>
      <c r="BT1056" s="418" t="str">
        <f t="shared" si="1635"/>
        <v/>
      </c>
      <c r="BU1056" s="418" t="str">
        <f t="shared" si="1636"/>
        <v/>
      </c>
      <c r="BV1056" s="544">
        <v>0.65</v>
      </c>
      <c r="BW1056" s="723">
        <f t="shared" si="1637"/>
        <v>3120</v>
      </c>
      <c r="BX1056" s="724">
        <f t="shared" si="1638"/>
        <v>24180</v>
      </c>
      <c r="BY1056" s="725" t="str">
        <f t="shared" si="1639"/>
        <v>SR</v>
      </c>
    </row>
    <row r="1057" s="697" customFormat="1" customHeight="1" spans="1:77">
      <c r="A1057" s="116">
        <v>46182</v>
      </c>
      <c r="B1057" s="140">
        <v>46242</v>
      </c>
      <c r="C1057" s="123" t="s">
        <v>945</v>
      </c>
      <c r="D1057" s="123" t="s">
        <v>946</v>
      </c>
      <c r="E1057" s="123" t="s">
        <v>66</v>
      </c>
      <c r="F1057" s="142">
        <v>1920</v>
      </c>
      <c r="G1057" s="123" t="s">
        <v>510</v>
      </c>
      <c r="H1057" s="118" t="str">
        <f>IFERROR(VLOOKUP(E1057,名称!A:E,4,0),"")</f>
        <v>三代</v>
      </c>
      <c r="I1057" s="418" t="str">
        <f t="shared" si="1575"/>
        <v/>
      </c>
      <c r="J1057" s="418" t="str">
        <f t="shared" si="1576"/>
        <v/>
      </c>
      <c r="K1057" s="418" t="str">
        <f t="shared" si="1577"/>
        <v/>
      </c>
      <c r="L1057" s="418" t="str">
        <f t="shared" si="1578"/>
        <v/>
      </c>
      <c r="M1057" s="418" t="str">
        <f t="shared" si="1579"/>
        <v/>
      </c>
      <c r="N1057" s="418" t="str">
        <f t="shared" si="1580"/>
        <v/>
      </c>
      <c r="O1057" s="418" t="str">
        <f t="shared" si="1581"/>
        <v/>
      </c>
      <c r="P1057" s="418" t="str">
        <f t="shared" si="1582"/>
        <v/>
      </c>
      <c r="Q1057" s="418" t="str">
        <f t="shared" si="1583"/>
        <v/>
      </c>
      <c r="R1057" s="418" t="str">
        <f t="shared" si="1584"/>
        <v/>
      </c>
      <c r="S1057" s="418" t="str">
        <f t="shared" si="1585"/>
        <v/>
      </c>
      <c r="T1057" s="418" t="str">
        <f t="shared" si="1586"/>
        <v/>
      </c>
      <c r="U1057" s="418" t="str">
        <f t="shared" si="1587"/>
        <v/>
      </c>
      <c r="V1057" s="418" t="str">
        <f t="shared" si="1588"/>
        <v/>
      </c>
      <c r="W1057" s="418" t="str">
        <f t="shared" si="1589"/>
        <v/>
      </c>
      <c r="X1057" s="418" t="str">
        <f t="shared" si="1590"/>
        <v/>
      </c>
      <c r="Y1057" s="418" t="str">
        <f t="shared" si="1591"/>
        <v/>
      </c>
      <c r="Z1057" s="418" t="str">
        <f t="shared" si="1592"/>
        <v/>
      </c>
      <c r="AA1057" s="418" t="str">
        <f t="shared" si="1593"/>
        <v/>
      </c>
      <c r="AB1057" s="418" t="str">
        <f t="shared" si="1594"/>
        <v/>
      </c>
      <c r="AC1057" s="418" t="str">
        <f t="shared" si="1595"/>
        <v/>
      </c>
      <c r="AD1057" s="418" t="str">
        <f t="shared" si="1596"/>
        <v/>
      </c>
      <c r="AE1057" s="418" t="str">
        <f t="shared" si="1597"/>
        <v/>
      </c>
      <c r="AF1057" s="418" t="str">
        <f t="shared" si="1598"/>
        <v/>
      </c>
      <c r="AG1057" s="418">
        <f t="shared" si="1599"/>
        <v>1920</v>
      </c>
      <c r="AH1057" s="418" t="str">
        <f t="shared" si="1600"/>
        <v/>
      </c>
      <c r="AI1057" s="418" t="str">
        <f t="shared" si="1601"/>
        <v/>
      </c>
      <c r="AJ1057" s="418" t="str">
        <f t="shared" si="1602"/>
        <v/>
      </c>
      <c r="AK1057" s="418" t="str">
        <f t="shared" si="1603"/>
        <v/>
      </c>
      <c r="AL1057" s="418" t="str">
        <f t="shared" si="1604"/>
        <v/>
      </c>
      <c r="AM1057" s="418" t="str">
        <f t="shared" si="1605"/>
        <v/>
      </c>
      <c r="AN1057" s="418" t="str">
        <f t="shared" si="1606"/>
        <v/>
      </c>
      <c r="AO1057" s="418" t="str">
        <f t="shared" si="1607"/>
        <v/>
      </c>
      <c r="AP1057" s="418" t="str">
        <f t="shared" si="1608"/>
        <v/>
      </c>
      <c r="AQ1057" s="418" t="str">
        <f t="shared" si="1609"/>
        <v/>
      </c>
      <c r="AR1057" s="418" t="str">
        <f t="shared" si="1610"/>
        <v/>
      </c>
      <c r="AS1057" s="418" t="str">
        <f t="shared" si="1611"/>
        <v/>
      </c>
      <c r="AT1057" s="418" t="str">
        <f t="shared" si="1612"/>
        <v/>
      </c>
      <c r="AU1057" s="418" t="str">
        <f t="shared" si="1613"/>
        <v/>
      </c>
      <c r="AV1057" s="418" t="str">
        <f t="shared" si="1614"/>
        <v/>
      </c>
      <c r="AW1057" s="418" t="str">
        <f t="shared" si="1615"/>
        <v/>
      </c>
      <c r="AX1057" s="418" t="str">
        <f t="shared" si="1616"/>
        <v/>
      </c>
      <c r="AY1057" s="418" t="str">
        <f t="shared" si="1617"/>
        <v/>
      </c>
      <c r="AZ1057" s="418" t="str">
        <f t="shared" si="1618"/>
        <v/>
      </c>
      <c r="BA1057" s="418" t="str">
        <f t="shared" si="1619"/>
        <v/>
      </c>
      <c r="BB1057" s="418" t="str">
        <f t="shared" si="1620"/>
        <v/>
      </c>
      <c r="BC1057" s="418" t="str">
        <f t="shared" si="1621"/>
        <v/>
      </c>
      <c r="BD1057" s="418" t="str">
        <f t="shared" si="1622"/>
        <v/>
      </c>
      <c r="BE1057" s="418" t="str">
        <f t="shared" si="1623"/>
        <v/>
      </c>
      <c r="BF1057" s="418" t="str">
        <f t="shared" si="1624"/>
        <v/>
      </c>
      <c r="BG1057" s="418" t="str">
        <f t="shared" si="1625"/>
        <v/>
      </c>
      <c r="BH1057" s="418" t="str">
        <f t="shared" si="1626"/>
        <v/>
      </c>
      <c r="BI1057" s="418" t="str">
        <f t="shared" si="1627"/>
        <v/>
      </c>
      <c r="BJ1057" s="418" t="str">
        <f t="shared" si="1628"/>
        <v/>
      </c>
      <c r="BK1057" s="418" t="str">
        <f t="shared" si="1629"/>
        <v/>
      </c>
      <c r="BL1057" s="418" t="str">
        <f t="shared" si="1630"/>
        <v/>
      </c>
      <c r="BM1057" s="418" t="str">
        <f t="shared" si="1631"/>
        <v/>
      </c>
      <c r="BN1057" s="418" t="str">
        <f t="shared" si="1632"/>
        <v/>
      </c>
      <c r="BO1057" s="418" t="str">
        <f t="shared" si="1633"/>
        <v/>
      </c>
      <c r="BP1057" s="418" t="str">
        <f t="shared" si="1634"/>
        <v/>
      </c>
      <c r="BQ1057" s="418" t="str">
        <f t="shared" si="1640"/>
        <v/>
      </c>
      <c r="BR1057" s="418" t="str">
        <f t="shared" si="1641"/>
        <v/>
      </c>
      <c r="BS1057" s="418" t="str">
        <f t="shared" si="1642"/>
        <v/>
      </c>
      <c r="BT1057" s="418" t="str">
        <f t="shared" si="1635"/>
        <v/>
      </c>
      <c r="BU1057" s="418" t="str">
        <f t="shared" si="1636"/>
        <v/>
      </c>
      <c r="BV1057" s="544">
        <v>2.09</v>
      </c>
      <c r="BW1057" s="723">
        <f t="shared" si="1637"/>
        <v>4012.8</v>
      </c>
      <c r="BX1057" s="724">
        <f t="shared" si="1638"/>
        <v>31099.2</v>
      </c>
      <c r="BY1057" s="725" t="str">
        <f t="shared" si="1639"/>
        <v>SR</v>
      </c>
    </row>
    <row r="1058" s="697" customFormat="1" customHeight="1" spans="1:77">
      <c r="A1058" s="116">
        <v>46182</v>
      </c>
      <c r="B1058" s="140">
        <v>46242</v>
      </c>
      <c r="C1058" s="123" t="s">
        <v>945</v>
      </c>
      <c r="D1058" s="123" t="s">
        <v>946</v>
      </c>
      <c r="E1058" s="123" t="s">
        <v>68</v>
      </c>
      <c r="F1058" s="142">
        <v>1440</v>
      </c>
      <c r="G1058" s="123" t="s">
        <v>510</v>
      </c>
      <c r="H1058" s="118" t="str">
        <f>IFERROR(VLOOKUP(E1058,名称!A:E,4,0),"")</f>
        <v>三代</v>
      </c>
      <c r="I1058" s="418" t="str">
        <f t="shared" si="1575"/>
        <v/>
      </c>
      <c r="J1058" s="418" t="str">
        <f t="shared" si="1576"/>
        <v/>
      </c>
      <c r="K1058" s="418" t="str">
        <f t="shared" si="1577"/>
        <v/>
      </c>
      <c r="L1058" s="418" t="str">
        <f t="shared" si="1578"/>
        <v/>
      </c>
      <c r="M1058" s="418" t="str">
        <f t="shared" si="1579"/>
        <v/>
      </c>
      <c r="N1058" s="418" t="str">
        <f t="shared" si="1580"/>
        <v/>
      </c>
      <c r="O1058" s="418" t="str">
        <f t="shared" si="1581"/>
        <v/>
      </c>
      <c r="P1058" s="418" t="str">
        <f t="shared" si="1582"/>
        <v/>
      </c>
      <c r="Q1058" s="418" t="str">
        <f t="shared" si="1583"/>
        <v/>
      </c>
      <c r="R1058" s="418" t="str">
        <f t="shared" si="1584"/>
        <v/>
      </c>
      <c r="S1058" s="418" t="str">
        <f t="shared" si="1585"/>
        <v/>
      </c>
      <c r="T1058" s="418" t="str">
        <f t="shared" si="1586"/>
        <v/>
      </c>
      <c r="U1058" s="418" t="str">
        <f t="shared" si="1587"/>
        <v/>
      </c>
      <c r="V1058" s="418" t="str">
        <f t="shared" si="1588"/>
        <v/>
      </c>
      <c r="W1058" s="418" t="str">
        <f t="shared" si="1589"/>
        <v/>
      </c>
      <c r="X1058" s="418" t="str">
        <f t="shared" si="1590"/>
        <v/>
      </c>
      <c r="Y1058" s="418" t="str">
        <f t="shared" si="1591"/>
        <v/>
      </c>
      <c r="Z1058" s="418" t="str">
        <f t="shared" si="1592"/>
        <v/>
      </c>
      <c r="AA1058" s="418" t="str">
        <f t="shared" si="1593"/>
        <v/>
      </c>
      <c r="AB1058" s="418" t="str">
        <f t="shared" si="1594"/>
        <v/>
      </c>
      <c r="AC1058" s="418" t="str">
        <f t="shared" si="1595"/>
        <v/>
      </c>
      <c r="AD1058" s="418" t="str">
        <f t="shared" si="1596"/>
        <v/>
      </c>
      <c r="AE1058" s="418" t="str">
        <f t="shared" si="1597"/>
        <v/>
      </c>
      <c r="AF1058" s="418" t="str">
        <f t="shared" si="1598"/>
        <v/>
      </c>
      <c r="AG1058" s="418" t="str">
        <f t="shared" si="1599"/>
        <v/>
      </c>
      <c r="AH1058" s="418">
        <f t="shared" si="1600"/>
        <v>1440</v>
      </c>
      <c r="AI1058" s="418" t="str">
        <f t="shared" si="1601"/>
        <v/>
      </c>
      <c r="AJ1058" s="418" t="str">
        <f t="shared" si="1602"/>
        <v/>
      </c>
      <c r="AK1058" s="418" t="str">
        <f t="shared" si="1603"/>
        <v/>
      </c>
      <c r="AL1058" s="418" t="str">
        <f t="shared" si="1604"/>
        <v/>
      </c>
      <c r="AM1058" s="418" t="str">
        <f t="shared" si="1605"/>
        <v/>
      </c>
      <c r="AN1058" s="418" t="str">
        <f t="shared" si="1606"/>
        <v/>
      </c>
      <c r="AO1058" s="418" t="str">
        <f t="shared" si="1607"/>
        <v/>
      </c>
      <c r="AP1058" s="418" t="str">
        <f t="shared" si="1608"/>
        <v/>
      </c>
      <c r="AQ1058" s="418" t="str">
        <f t="shared" si="1609"/>
        <v/>
      </c>
      <c r="AR1058" s="418" t="str">
        <f t="shared" si="1610"/>
        <v/>
      </c>
      <c r="AS1058" s="418" t="str">
        <f t="shared" si="1611"/>
        <v/>
      </c>
      <c r="AT1058" s="418" t="str">
        <f t="shared" si="1612"/>
        <v/>
      </c>
      <c r="AU1058" s="418" t="str">
        <f t="shared" si="1613"/>
        <v/>
      </c>
      <c r="AV1058" s="418" t="str">
        <f t="shared" si="1614"/>
        <v/>
      </c>
      <c r="AW1058" s="418" t="str">
        <f t="shared" si="1615"/>
        <v/>
      </c>
      <c r="AX1058" s="418" t="str">
        <f t="shared" si="1616"/>
        <v/>
      </c>
      <c r="AY1058" s="418" t="str">
        <f t="shared" si="1617"/>
        <v/>
      </c>
      <c r="AZ1058" s="418" t="str">
        <f t="shared" si="1618"/>
        <v/>
      </c>
      <c r="BA1058" s="418" t="str">
        <f t="shared" si="1619"/>
        <v/>
      </c>
      <c r="BB1058" s="418" t="str">
        <f t="shared" si="1620"/>
        <v/>
      </c>
      <c r="BC1058" s="418" t="str">
        <f t="shared" si="1621"/>
        <v/>
      </c>
      <c r="BD1058" s="418" t="str">
        <f t="shared" si="1622"/>
        <v/>
      </c>
      <c r="BE1058" s="418" t="str">
        <f t="shared" si="1623"/>
        <v/>
      </c>
      <c r="BF1058" s="418" t="str">
        <f t="shared" si="1624"/>
        <v/>
      </c>
      <c r="BG1058" s="418" t="str">
        <f t="shared" si="1625"/>
        <v/>
      </c>
      <c r="BH1058" s="418" t="str">
        <f t="shared" si="1626"/>
        <v/>
      </c>
      <c r="BI1058" s="418" t="str">
        <f t="shared" si="1627"/>
        <v/>
      </c>
      <c r="BJ1058" s="418" t="str">
        <f t="shared" si="1628"/>
        <v/>
      </c>
      <c r="BK1058" s="418" t="str">
        <f t="shared" si="1629"/>
        <v/>
      </c>
      <c r="BL1058" s="418" t="str">
        <f t="shared" si="1630"/>
        <v/>
      </c>
      <c r="BM1058" s="418" t="str">
        <f t="shared" si="1631"/>
        <v/>
      </c>
      <c r="BN1058" s="418" t="str">
        <f t="shared" si="1632"/>
        <v/>
      </c>
      <c r="BO1058" s="418" t="str">
        <f t="shared" si="1633"/>
        <v/>
      </c>
      <c r="BP1058" s="418" t="str">
        <f t="shared" si="1634"/>
        <v/>
      </c>
      <c r="BQ1058" s="418" t="str">
        <f t="shared" si="1640"/>
        <v/>
      </c>
      <c r="BR1058" s="418" t="str">
        <f t="shared" si="1641"/>
        <v/>
      </c>
      <c r="BS1058" s="418" t="str">
        <f t="shared" si="1642"/>
        <v/>
      </c>
      <c r="BT1058" s="418" t="str">
        <f t="shared" si="1635"/>
        <v/>
      </c>
      <c r="BU1058" s="418" t="str">
        <f t="shared" si="1636"/>
        <v/>
      </c>
      <c r="BV1058" s="544">
        <v>3.23</v>
      </c>
      <c r="BW1058" s="723">
        <f t="shared" si="1637"/>
        <v>4651.2</v>
      </c>
      <c r="BX1058" s="724">
        <f t="shared" si="1638"/>
        <v>36046.8</v>
      </c>
      <c r="BY1058" s="725" t="str">
        <f t="shared" si="1639"/>
        <v>SR</v>
      </c>
    </row>
    <row r="1059" s="697" customFormat="1" customHeight="1" spans="1:77">
      <c r="A1059" s="116">
        <v>46182</v>
      </c>
      <c r="B1059" s="140">
        <v>46242</v>
      </c>
      <c r="C1059" s="123" t="s">
        <v>945</v>
      </c>
      <c r="D1059" s="123" t="s">
        <v>946</v>
      </c>
      <c r="E1059" s="123" t="s">
        <v>72</v>
      </c>
      <c r="F1059" s="142">
        <v>2400</v>
      </c>
      <c r="G1059" s="123" t="s">
        <v>510</v>
      </c>
      <c r="H1059" s="118" t="str">
        <f>IFERROR(VLOOKUP(E1059,名称!A:E,4,0),"")</f>
        <v>三代</v>
      </c>
      <c r="I1059" s="418" t="str">
        <f t="shared" si="1575"/>
        <v/>
      </c>
      <c r="J1059" s="418" t="str">
        <f t="shared" si="1576"/>
        <v/>
      </c>
      <c r="K1059" s="418" t="str">
        <f t="shared" si="1577"/>
        <v/>
      </c>
      <c r="L1059" s="418" t="str">
        <f t="shared" si="1578"/>
        <v/>
      </c>
      <c r="M1059" s="418" t="str">
        <f t="shared" si="1579"/>
        <v/>
      </c>
      <c r="N1059" s="418" t="str">
        <f t="shared" si="1580"/>
        <v/>
      </c>
      <c r="O1059" s="418" t="str">
        <f t="shared" si="1581"/>
        <v/>
      </c>
      <c r="P1059" s="418" t="str">
        <f t="shared" si="1582"/>
        <v/>
      </c>
      <c r="Q1059" s="418" t="str">
        <f t="shared" si="1583"/>
        <v/>
      </c>
      <c r="R1059" s="418" t="str">
        <f t="shared" si="1584"/>
        <v/>
      </c>
      <c r="S1059" s="418" t="str">
        <f t="shared" si="1585"/>
        <v/>
      </c>
      <c r="T1059" s="418" t="str">
        <f t="shared" si="1586"/>
        <v/>
      </c>
      <c r="U1059" s="418" t="str">
        <f t="shared" si="1587"/>
        <v/>
      </c>
      <c r="V1059" s="418" t="str">
        <f t="shared" si="1588"/>
        <v/>
      </c>
      <c r="W1059" s="418" t="str">
        <f t="shared" si="1589"/>
        <v/>
      </c>
      <c r="X1059" s="418" t="str">
        <f t="shared" si="1590"/>
        <v/>
      </c>
      <c r="Y1059" s="418" t="str">
        <f t="shared" si="1591"/>
        <v/>
      </c>
      <c r="Z1059" s="418" t="str">
        <f t="shared" si="1592"/>
        <v/>
      </c>
      <c r="AA1059" s="418" t="str">
        <f t="shared" si="1593"/>
        <v/>
      </c>
      <c r="AB1059" s="418" t="str">
        <f t="shared" si="1594"/>
        <v/>
      </c>
      <c r="AC1059" s="418" t="str">
        <f t="shared" si="1595"/>
        <v/>
      </c>
      <c r="AD1059" s="418" t="str">
        <f t="shared" si="1596"/>
        <v/>
      </c>
      <c r="AE1059" s="418" t="str">
        <f t="shared" si="1597"/>
        <v/>
      </c>
      <c r="AF1059" s="418" t="str">
        <f t="shared" si="1598"/>
        <v/>
      </c>
      <c r="AG1059" s="418" t="str">
        <f t="shared" si="1599"/>
        <v/>
      </c>
      <c r="AH1059" s="418" t="str">
        <f t="shared" si="1600"/>
        <v/>
      </c>
      <c r="AI1059" s="418" t="str">
        <f t="shared" si="1601"/>
        <v/>
      </c>
      <c r="AJ1059" s="418" t="str">
        <f t="shared" si="1602"/>
        <v/>
      </c>
      <c r="AK1059" s="418" t="str">
        <f t="shared" si="1603"/>
        <v/>
      </c>
      <c r="AL1059" s="418">
        <f t="shared" si="1604"/>
        <v>2400</v>
      </c>
      <c r="AM1059" s="418" t="str">
        <f t="shared" si="1605"/>
        <v/>
      </c>
      <c r="AN1059" s="418" t="str">
        <f t="shared" si="1606"/>
        <v/>
      </c>
      <c r="AO1059" s="418" t="str">
        <f t="shared" si="1607"/>
        <v/>
      </c>
      <c r="AP1059" s="418" t="str">
        <f t="shared" si="1608"/>
        <v/>
      </c>
      <c r="AQ1059" s="418" t="str">
        <f t="shared" si="1609"/>
        <v/>
      </c>
      <c r="AR1059" s="418" t="str">
        <f t="shared" si="1610"/>
        <v/>
      </c>
      <c r="AS1059" s="418" t="str">
        <f t="shared" si="1611"/>
        <v/>
      </c>
      <c r="AT1059" s="418" t="str">
        <f t="shared" si="1612"/>
        <v/>
      </c>
      <c r="AU1059" s="418" t="str">
        <f t="shared" si="1613"/>
        <v/>
      </c>
      <c r="AV1059" s="418" t="str">
        <f t="shared" si="1614"/>
        <v/>
      </c>
      <c r="AW1059" s="418" t="str">
        <f t="shared" si="1615"/>
        <v/>
      </c>
      <c r="AX1059" s="418" t="str">
        <f t="shared" si="1616"/>
        <v/>
      </c>
      <c r="AY1059" s="418" t="str">
        <f t="shared" si="1617"/>
        <v/>
      </c>
      <c r="AZ1059" s="418" t="str">
        <f t="shared" si="1618"/>
        <v/>
      </c>
      <c r="BA1059" s="418" t="str">
        <f t="shared" si="1619"/>
        <v/>
      </c>
      <c r="BB1059" s="418" t="str">
        <f t="shared" si="1620"/>
        <v/>
      </c>
      <c r="BC1059" s="418" t="str">
        <f t="shared" si="1621"/>
        <v/>
      </c>
      <c r="BD1059" s="418" t="str">
        <f t="shared" si="1622"/>
        <v/>
      </c>
      <c r="BE1059" s="418" t="str">
        <f t="shared" si="1623"/>
        <v/>
      </c>
      <c r="BF1059" s="418" t="str">
        <f t="shared" si="1624"/>
        <v/>
      </c>
      <c r="BG1059" s="418" t="str">
        <f t="shared" si="1625"/>
        <v/>
      </c>
      <c r="BH1059" s="418" t="str">
        <f t="shared" si="1626"/>
        <v/>
      </c>
      <c r="BI1059" s="418" t="str">
        <f t="shared" si="1627"/>
        <v/>
      </c>
      <c r="BJ1059" s="418" t="str">
        <f t="shared" si="1628"/>
        <v/>
      </c>
      <c r="BK1059" s="418" t="str">
        <f t="shared" si="1629"/>
        <v/>
      </c>
      <c r="BL1059" s="418" t="str">
        <f t="shared" si="1630"/>
        <v/>
      </c>
      <c r="BM1059" s="418" t="str">
        <f t="shared" si="1631"/>
        <v/>
      </c>
      <c r="BN1059" s="418" t="str">
        <f t="shared" si="1632"/>
        <v/>
      </c>
      <c r="BO1059" s="418" t="str">
        <f t="shared" si="1633"/>
        <v/>
      </c>
      <c r="BP1059" s="418" t="str">
        <f t="shared" si="1634"/>
        <v/>
      </c>
      <c r="BQ1059" s="418" t="str">
        <f t="shared" si="1640"/>
        <v/>
      </c>
      <c r="BR1059" s="418" t="str">
        <f t="shared" si="1641"/>
        <v/>
      </c>
      <c r="BS1059" s="418" t="str">
        <f t="shared" si="1642"/>
        <v/>
      </c>
      <c r="BT1059" s="418" t="str">
        <f t="shared" si="1635"/>
        <v/>
      </c>
      <c r="BU1059" s="418" t="str">
        <f t="shared" si="1636"/>
        <v/>
      </c>
      <c r="BV1059" s="544">
        <v>1.65</v>
      </c>
      <c r="BW1059" s="723">
        <f t="shared" si="1637"/>
        <v>3960</v>
      </c>
      <c r="BX1059" s="724">
        <f t="shared" si="1638"/>
        <v>30690</v>
      </c>
      <c r="BY1059" s="725" t="str">
        <f t="shared" si="1639"/>
        <v>SR</v>
      </c>
    </row>
    <row r="1060" s="697" customFormat="1" customHeight="1" spans="1:77">
      <c r="A1060" s="116">
        <v>46182</v>
      </c>
      <c r="B1060" s="140">
        <v>46242</v>
      </c>
      <c r="C1060" s="123" t="s">
        <v>945</v>
      </c>
      <c r="D1060" s="123" t="s">
        <v>946</v>
      </c>
      <c r="E1060" s="123" t="s">
        <v>109</v>
      </c>
      <c r="F1060" s="142">
        <v>4800</v>
      </c>
      <c r="G1060" s="123" t="s">
        <v>510</v>
      </c>
      <c r="H1060" s="118" t="str">
        <f>IFERROR(VLOOKUP(E1060,名称!A:E,4,0),"")</f>
        <v>三代</v>
      </c>
      <c r="I1060" s="418" t="str">
        <f t="shared" si="1575"/>
        <v/>
      </c>
      <c r="J1060" s="418" t="str">
        <f t="shared" si="1576"/>
        <v/>
      </c>
      <c r="K1060" s="418" t="str">
        <f t="shared" si="1577"/>
        <v/>
      </c>
      <c r="L1060" s="418" t="str">
        <f t="shared" si="1578"/>
        <v/>
      </c>
      <c r="M1060" s="418" t="str">
        <f t="shared" si="1579"/>
        <v/>
      </c>
      <c r="N1060" s="418" t="str">
        <f t="shared" si="1580"/>
        <v/>
      </c>
      <c r="O1060" s="418" t="str">
        <f t="shared" si="1581"/>
        <v/>
      </c>
      <c r="P1060" s="418" t="str">
        <f t="shared" si="1582"/>
        <v/>
      </c>
      <c r="Q1060" s="418" t="str">
        <f t="shared" si="1583"/>
        <v/>
      </c>
      <c r="R1060" s="418" t="str">
        <f t="shared" si="1584"/>
        <v/>
      </c>
      <c r="S1060" s="418" t="str">
        <f t="shared" si="1585"/>
        <v/>
      </c>
      <c r="T1060" s="418" t="str">
        <f t="shared" si="1586"/>
        <v/>
      </c>
      <c r="U1060" s="418" t="str">
        <f t="shared" si="1587"/>
        <v/>
      </c>
      <c r="V1060" s="418" t="str">
        <f t="shared" si="1588"/>
        <v/>
      </c>
      <c r="W1060" s="418" t="str">
        <f t="shared" si="1589"/>
        <v/>
      </c>
      <c r="X1060" s="418" t="str">
        <f t="shared" si="1590"/>
        <v/>
      </c>
      <c r="Y1060" s="418" t="str">
        <f t="shared" si="1591"/>
        <v/>
      </c>
      <c r="Z1060" s="418" t="str">
        <f t="shared" si="1592"/>
        <v/>
      </c>
      <c r="AA1060" s="418" t="str">
        <f t="shared" si="1593"/>
        <v/>
      </c>
      <c r="AB1060" s="418" t="str">
        <f t="shared" si="1594"/>
        <v/>
      </c>
      <c r="AC1060" s="418" t="str">
        <f t="shared" si="1595"/>
        <v/>
      </c>
      <c r="AD1060" s="418" t="str">
        <f t="shared" si="1596"/>
        <v/>
      </c>
      <c r="AE1060" s="418" t="str">
        <f t="shared" si="1597"/>
        <v/>
      </c>
      <c r="AF1060" s="418" t="str">
        <f t="shared" si="1598"/>
        <v/>
      </c>
      <c r="AG1060" s="418" t="str">
        <f t="shared" si="1599"/>
        <v/>
      </c>
      <c r="AH1060" s="418" t="str">
        <f t="shared" si="1600"/>
        <v/>
      </c>
      <c r="AI1060" s="418" t="str">
        <f t="shared" si="1601"/>
        <v/>
      </c>
      <c r="AJ1060" s="418" t="str">
        <f t="shared" si="1602"/>
        <v/>
      </c>
      <c r="AK1060" s="418" t="str">
        <f t="shared" si="1603"/>
        <v/>
      </c>
      <c r="AL1060" s="418" t="str">
        <f t="shared" si="1604"/>
        <v/>
      </c>
      <c r="AM1060" s="418" t="str">
        <f t="shared" si="1605"/>
        <v/>
      </c>
      <c r="AN1060" s="418" t="str">
        <f t="shared" si="1606"/>
        <v/>
      </c>
      <c r="AO1060" s="418" t="str">
        <f t="shared" si="1607"/>
        <v/>
      </c>
      <c r="AP1060" s="418" t="str">
        <f t="shared" si="1608"/>
        <v/>
      </c>
      <c r="AQ1060" s="418" t="str">
        <f t="shared" si="1609"/>
        <v/>
      </c>
      <c r="AR1060" s="418" t="str">
        <f t="shared" si="1610"/>
        <v/>
      </c>
      <c r="AS1060" s="418" t="str">
        <f t="shared" si="1611"/>
        <v/>
      </c>
      <c r="AT1060" s="418" t="str">
        <f t="shared" si="1612"/>
        <v/>
      </c>
      <c r="AU1060" s="418" t="str">
        <f t="shared" si="1613"/>
        <v/>
      </c>
      <c r="AV1060" s="418" t="str">
        <f t="shared" si="1614"/>
        <v/>
      </c>
      <c r="AW1060" s="418" t="str">
        <f t="shared" si="1615"/>
        <v/>
      </c>
      <c r="AX1060" s="418" t="str">
        <f t="shared" si="1616"/>
        <v/>
      </c>
      <c r="AY1060" s="418" t="str">
        <f t="shared" si="1617"/>
        <v/>
      </c>
      <c r="AZ1060" s="418" t="str">
        <f t="shared" si="1618"/>
        <v/>
      </c>
      <c r="BA1060" s="418" t="str">
        <f t="shared" si="1619"/>
        <v/>
      </c>
      <c r="BB1060" s="418" t="str">
        <f t="shared" si="1620"/>
        <v/>
      </c>
      <c r="BC1060" s="418">
        <f t="shared" si="1621"/>
        <v>4800</v>
      </c>
      <c r="BD1060" s="418" t="str">
        <f t="shared" si="1622"/>
        <v/>
      </c>
      <c r="BE1060" s="418" t="str">
        <f t="shared" si="1623"/>
        <v/>
      </c>
      <c r="BF1060" s="418" t="str">
        <f t="shared" si="1624"/>
        <v/>
      </c>
      <c r="BG1060" s="418" t="str">
        <f t="shared" si="1625"/>
        <v/>
      </c>
      <c r="BH1060" s="418" t="str">
        <f t="shared" si="1626"/>
        <v/>
      </c>
      <c r="BI1060" s="418" t="str">
        <f t="shared" si="1627"/>
        <v/>
      </c>
      <c r="BJ1060" s="418" t="str">
        <f t="shared" si="1628"/>
        <v/>
      </c>
      <c r="BK1060" s="418" t="str">
        <f t="shared" si="1629"/>
        <v/>
      </c>
      <c r="BL1060" s="418" t="str">
        <f t="shared" si="1630"/>
        <v/>
      </c>
      <c r="BM1060" s="418" t="str">
        <f t="shared" si="1631"/>
        <v/>
      </c>
      <c r="BN1060" s="418" t="str">
        <f t="shared" si="1632"/>
        <v/>
      </c>
      <c r="BO1060" s="418" t="str">
        <f t="shared" si="1633"/>
        <v/>
      </c>
      <c r="BP1060" s="418" t="str">
        <f t="shared" si="1634"/>
        <v/>
      </c>
      <c r="BQ1060" s="418" t="str">
        <f t="shared" si="1640"/>
        <v/>
      </c>
      <c r="BR1060" s="418" t="str">
        <f t="shared" si="1641"/>
        <v/>
      </c>
      <c r="BS1060" s="418" t="str">
        <f t="shared" si="1642"/>
        <v/>
      </c>
      <c r="BT1060" s="418" t="str">
        <f t="shared" si="1635"/>
        <v/>
      </c>
      <c r="BU1060" s="418" t="str">
        <f t="shared" si="1636"/>
        <v/>
      </c>
      <c r="BV1060" s="544">
        <v>0.64</v>
      </c>
      <c r="BW1060" s="723">
        <f t="shared" si="1637"/>
        <v>3072</v>
      </c>
      <c r="BX1060" s="724">
        <f t="shared" si="1638"/>
        <v>23808</v>
      </c>
      <c r="BY1060" s="725" t="str">
        <f t="shared" si="1639"/>
        <v>JS</v>
      </c>
    </row>
    <row r="1061" s="697" customFormat="1" customHeight="1" spans="1:77">
      <c r="A1061" s="116">
        <v>46182</v>
      </c>
      <c r="B1061" s="140">
        <v>46242</v>
      </c>
      <c r="C1061" s="123" t="s">
        <v>945</v>
      </c>
      <c r="D1061" s="123" t="s">
        <v>946</v>
      </c>
      <c r="E1061" s="123" t="s">
        <v>100</v>
      </c>
      <c r="F1061" s="142">
        <v>1440</v>
      </c>
      <c r="G1061" s="123" t="s">
        <v>510</v>
      </c>
      <c r="H1061" s="118" t="str">
        <f>IFERROR(VLOOKUP(E1061,名称!A:E,4,0),"")</f>
        <v>三代</v>
      </c>
      <c r="I1061" s="418" t="str">
        <f t="shared" si="1575"/>
        <v/>
      </c>
      <c r="J1061" s="418" t="str">
        <f t="shared" si="1576"/>
        <v/>
      </c>
      <c r="K1061" s="418" t="str">
        <f t="shared" si="1577"/>
        <v/>
      </c>
      <c r="L1061" s="418" t="str">
        <f t="shared" si="1578"/>
        <v/>
      </c>
      <c r="M1061" s="418" t="str">
        <f t="shared" si="1579"/>
        <v/>
      </c>
      <c r="N1061" s="418" t="str">
        <f t="shared" si="1580"/>
        <v/>
      </c>
      <c r="O1061" s="418" t="str">
        <f t="shared" si="1581"/>
        <v/>
      </c>
      <c r="P1061" s="418" t="str">
        <f t="shared" si="1582"/>
        <v/>
      </c>
      <c r="Q1061" s="418" t="str">
        <f t="shared" si="1583"/>
        <v/>
      </c>
      <c r="R1061" s="418" t="str">
        <f t="shared" si="1584"/>
        <v/>
      </c>
      <c r="S1061" s="418" t="str">
        <f t="shared" si="1585"/>
        <v/>
      </c>
      <c r="T1061" s="418" t="str">
        <f t="shared" si="1586"/>
        <v/>
      </c>
      <c r="U1061" s="418" t="str">
        <f t="shared" si="1587"/>
        <v/>
      </c>
      <c r="V1061" s="418" t="str">
        <f t="shared" si="1588"/>
        <v/>
      </c>
      <c r="W1061" s="418" t="str">
        <f t="shared" si="1589"/>
        <v/>
      </c>
      <c r="X1061" s="418" t="str">
        <f t="shared" si="1590"/>
        <v/>
      </c>
      <c r="Y1061" s="418" t="str">
        <f t="shared" si="1591"/>
        <v/>
      </c>
      <c r="Z1061" s="418" t="str">
        <f t="shared" si="1592"/>
        <v/>
      </c>
      <c r="AA1061" s="418" t="str">
        <f t="shared" si="1593"/>
        <v/>
      </c>
      <c r="AB1061" s="418" t="str">
        <f t="shared" si="1594"/>
        <v/>
      </c>
      <c r="AC1061" s="418" t="str">
        <f t="shared" si="1595"/>
        <v/>
      </c>
      <c r="AD1061" s="418" t="str">
        <f t="shared" si="1596"/>
        <v/>
      </c>
      <c r="AE1061" s="418" t="str">
        <f t="shared" si="1597"/>
        <v/>
      </c>
      <c r="AF1061" s="418" t="str">
        <f t="shared" si="1598"/>
        <v/>
      </c>
      <c r="AG1061" s="418" t="str">
        <f t="shared" si="1599"/>
        <v/>
      </c>
      <c r="AH1061" s="418" t="str">
        <f t="shared" si="1600"/>
        <v/>
      </c>
      <c r="AI1061" s="418" t="str">
        <f t="shared" si="1601"/>
        <v/>
      </c>
      <c r="AJ1061" s="418" t="str">
        <f t="shared" si="1602"/>
        <v/>
      </c>
      <c r="AK1061" s="418" t="str">
        <f t="shared" si="1603"/>
        <v/>
      </c>
      <c r="AL1061" s="418" t="str">
        <f t="shared" si="1604"/>
        <v/>
      </c>
      <c r="AM1061" s="418" t="str">
        <f t="shared" si="1605"/>
        <v/>
      </c>
      <c r="AN1061" s="418" t="str">
        <f t="shared" si="1606"/>
        <v/>
      </c>
      <c r="AO1061" s="418" t="str">
        <f t="shared" si="1607"/>
        <v/>
      </c>
      <c r="AP1061" s="418" t="str">
        <f t="shared" si="1608"/>
        <v/>
      </c>
      <c r="AQ1061" s="418" t="str">
        <f t="shared" si="1609"/>
        <v/>
      </c>
      <c r="AR1061" s="418" t="str">
        <f t="shared" si="1610"/>
        <v/>
      </c>
      <c r="AS1061" s="418" t="str">
        <f t="shared" si="1611"/>
        <v/>
      </c>
      <c r="AT1061" s="418" t="str">
        <f t="shared" si="1612"/>
        <v/>
      </c>
      <c r="AU1061" s="418" t="str">
        <f t="shared" si="1613"/>
        <v/>
      </c>
      <c r="AV1061" s="418" t="str">
        <f t="shared" si="1614"/>
        <v/>
      </c>
      <c r="AW1061" s="418" t="str">
        <f t="shared" si="1615"/>
        <v/>
      </c>
      <c r="AX1061" s="418" t="str">
        <f t="shared" si="1616"/>
        <v/>
      </c>
      <c r="AY1061" s="418" t="str">
        <f t="shared" si="1617"/>
        <v/>
      </c>
      <c r="AZ1061" s="418" t="str">
        <f t="shared" si="1618"/>
        <v/>
      </c>
      <c r="BA1061" s="418" t="str">
        <f t="shared" si="1619"/>
        <v/>
      </c>
      <c r="BB1061" s="418" t="str">
        <f t="shared" si="1620"/>
        <v/>
      </c>
      <c r="BC1061" s="418" t="str">
        <f t="shared" si="1621"/>
        <v/>
      </c>
      <c r="BD1061" s="418">
        <f t="shared" si="1622"/>
        <v>1440</v>
      </c>
      <c r="BE1061" s="418" t="str">
        <f t="shared" si="1623"/>
        <v/>
      </c>
      <c r="BF1061" s="418" t="str">
        <f t="shared" si="1624"/>
        <v/>
      </c>
      <c r="BG1061" s="418" t="str">
        <f t="shared" si="1625"/>
        <v/>
      </c>
      <c r="BH1061" s="418" t="str">
        <f t="shared" si="1626"/>
        <v/>
      </c>
      <c r="BI1061" s="418" t="str">
        <f t="shared" si="1627"/>
        <v/>
      </c>
      <c r="BJ1061" s="418" t="str">
        <f t="shared" si="1628"/>
        <v/>
      </c>
      <c r="BK1061" s="418" t="str">
        <f t="shared" si="1629"/>
        <v/>
      </c>
      <c r="BL1061" s="418" t="str">
        <f t="shared" si="1630"/>
        <v/>
      </c>
      <c r="BM1061" s="418" t="str">
        <f t="shared" si="1631"/>
        <v/>
      </c>
      <c r="BN1061" s="418" t="str">
        <f t="shared" si="1632"/>
        <v/>
      </c>
      <c r="BO1061" s="418" t="str">
        <f t="shared" si="1633"/>
        <v/>
      </c>
      <c r="BP1061" s="418" t="str">
        <f t="shared" si="1634"/>
        <v/>
      </c>
      <c r="BQ1061" s="418" t="str">
        <f t="shared" si="1640"/>
        <v/>
      </c>
      <c r="BR1061" s="418" t="str">
        <f t="shared" si="1641"/>
        <v/>
      </c>
      <c r="BS1061" s="418" t="str">
        <f t="shared" si="1642"/>
        <v/>
      </c>
      <c r="BT1061" s="418" t="str">
        <f t="shared" si="1635"/>
        <v/>
      </c>
      <c r="BU1061" s="418" t="str">
        <f t="shared" si="1636"/>
        <v/>
      </c>
      <c r="BV1061" s="544">
        <v>1.35</v>
      </c>
      <c r="BW1061" s="723">
        <f t="shared" si="1637"/>
        <v>1944</v>
      </c>
      <c r="BX1061" s="724">
        <f t="shared" si="1638"/>
        <v>15066</v>
      </c>
      <c r="BY1061" s="725" t="str">
        <f t="shared" si="1639"/>
        <v>JS</v>
      </c>
    </row>
    <row r="1062" s="697" customFormat="1" customHeight="1" spans="1:77">
      <c r="A1062" s="116">
        <v>46182</v>
      </c>
      <c r="B1062" s="140">
        <v>46242</v>
      </c>
      <c r="C1062" s="123" t="s">
        <v>947</v>
      </c>
      <c r="D1062" s="123" t="s">
        <v>948</v>
      </c>
      <c r="E1062" s="123" t="s">
        <v>121</v>
      </c>
      <c r="F1062" s="142">
        <v>600</v>
      </c>
      <c r="G1062" s="123" t="s">
        <v>510</v>
      </c>
      <c r="H1062" s="118" t="str">
        <f>IFERROR(VLOOKUP(E1062,名称!A:E,4,0),"")</f>
        <v>三代</v>
      </c>
      <c r="I1062" s="418" t="str">
        <f t="shared" si="1575"/>
        <v/>
      </c>
      <c r="J1062" s="418" t="str">
        <f t="shared" si="1576"/>
        <v/>
      </c>
      <c r="K1062" s="418" t="str">
        <f t="shared" si="1577"/>
        <v/>
      </c>
      <c r="L1062" s="418" t="str">
        <f t="shared" si="1578"/>
        <v/>
      </c>
      <c r="M1062" s="418" t="str">
        <f t="shared" si="1579"/>
        <v/>
      </c>
      <c r="N1062" s="418" t="str">
        <f t="shared" si="1580"/>
        <v/>
      </c>
      <c r="O1062" s="418" t="str">
        <f t="shared" si="1581"/>
        <v/>
      </c>
      <c r="P1062" s="418" t="str">
        <f t="shared" si="1582"/>
        <v/>
      </c>
      <c r="Q1062" s="418" t="str">
        <f t="shared" si="1583"/>
        <v/>
      </c>
      <c r="R1062" s="418" t="str">
        <f t="shared" si="1584"/>
        <v/>
      </c>
      <c r="S1062" s="418" t="str">
        <f t="shared" si="1585"/>
        <v/>
      </c>
      <c r="T1062" s="418" t="str">
        <f t="shared" si="1586"/>
        <v/>
      </c>
      <c r="U1062" s="418" t="str">
        <f t="shared" si="1587"/>
        <v/>
      </c>
      <c r="V1062" s="418" t="str">
        <f t="shared" si="1588"/>
        <v/>
      </c>
      <c r="W1062" s="418" t="str">
        <f t="shared" si="1589"/>
        <v/>
      </c>
      <c r="X1062" s="418" t="str">
        <f t="shared" si="1590"/>
        <v/>
      </c>
      <c r="Y1062" s="418" t="str">
        <f t="shared" si="1591"/>
        <v/>
      </c>
      <c r="Z1062" s="418" t="str">
        <f t="shared" si="1592"/>
        <v/>
      </c>
      <c r="AA1062" s="418" t="str">
        <f t="shared" si="1593"/>
        <v/>
      </c>
      <c r="AB1062" s="418" t="str">
        <f t="shared" si="1594"/>
        <v/>
      </c>
      <c r="AC1062" s="418">
        <f t="shared" si="1595"/>
        <v>600</v>
      </c>
      <c r="AD1062" s="418" t="str">
        <f t="shared" si="1596"/>
        <v/>
      </c>
      <c r="AE1062" s="418" t="str">
        <f t="shared" si="1597"/>
        <v/>
      </c>
      <c r="AF1062" s="418" t="str">
        <f t="shared" si="1598"/>
        <v/>
      </c>
      <c r="AG1062" s="418" t="str">
        <f t="shared" si="1599"/>
        <v/>
      </c>
      <c r="AH1062" s="418" t="str">
        <f t="shared" si="1600"/>
        <v/>
      </c>
      <c r="AI1062" s="418" t="str">
        <f t="shared" si="1601"/>
        <v/>
      </c>
      <c r="AJ1062" s="418" t="str">
        <f t="shared" si="1602"/>
        <v/>
      </c>
      <c r="AK1062" s="418" t="str">
        <f t="shared" si="1603"/>
        <v/>
      </c>
      <c r="AL1062" s="418" t="str">
        <f t="shared" si="1604"/>
        <v/>
      </c>
      <c r="AM1062" s="418" t="str">
        <f t="shared" si="1605"/>
        <v/>
      </c>
      <c r="AN1062" s="418" t="str">
        <f t="shared" si="1606"/>
        <v/>
      </c>
      <c r="AO1062" s="418" t="str">
        <f t="shared" si="1607"/>
        <v/>
      </c>
      <c r="AP1062" s="418" t="str">
        <f t="shared" si="1608"/>
        <v/>
      </c>
      <c r="AQ1062" s="418" t="str">
        <f t="shared" si="1609"/>
        <v/>
      </c>
      <c r="AR1062" s="418" t="str">
        <f t="shared" si="1610"/>
        <v/>
      </c>
      <c r="AS1062" s="418" t="str">
        <f t="shared" si="1611"/>
        <v/>
      </c>
      <c r="AT1062" s="418" t="str">
        <f t="shared" si="1612"/>
        <v/>
      </c>
      <c r="AU1062" s="418" t="str">
        <f t="shared" si="1613"/>
        <v/>
      </c>
      <c r="AV1062" s="418" t="str">
        <f t="shared" si="1614"/>
        <v/>
      </c>
      <c r="AW1062" s="418" t="str">
        <f t="shared" si="1615"/>
        <v/>
      </c>
      <c r="AX1062" s="418" t="str">
        <f t="shared" si="1616"/>
        <v/>
      </c>
      <c r="AY1062" s="418" t="str">
        <f t="shared" si="1617"/>
        <v/>
      </c>
      <c r="AZ1062" s="418" t="str">
        <f t="shared" si="1618"/>
        <v/>
      </c>
      <c r="BA1062" s="418" t="str">
        <f t="shared" si="1619"/>
        <v/>
      </c>
      <c r="BB1062" s="418" t="str">
        <f t="shared" si="1620"/>
        <v/>
      </c>
      <c r="BC1062" s="418" t="str">
        <f t="shared" si="1621"/>
        <v/>
      </c>
      <c r="BD1062" s="418" t="str">
        <f t="shared" si="1622"/>
        <v/>
      </c>
      <c r="BE1062" s="418" t="str">
        <f t="shared" si="1623"/>
        <v/>
      </c>
      <c r="BF1062" s="418" t="str">
        <f t="shared" si="1624"/>
        <v/>
      </c>
      <c r="BG1062" s="418" t="str">
        <f t="shared" si="1625"/>
        <v/>
      </c>
      <c r="BH1062" s="418" t="str">
        <f t="shared" si="1626"/>
        <v/>
      </c>
      <c r="BI1062" s="418" t="str">
        <f t="shared" si="1627"/>
        <v/>
      </c>
      <c r="BJ1062" s="418" t="str">
        <f t="shared" si="1628"/>
        <v/>
      </c>
      <c r="BK1062" s="418" t="str">
        <f t="shared" si="1629"/>
        <v/>
      </c>
      <c r="BL1062" s="418" t="str">
        <f t="shared" si="1630"/>
        <v/>
      </c>
      <c r="BM1062" s="418" t="str">
        <f t="shared" si="1631"/>
        <v/>
      </c>
      <c r="BN1062" s="418" t="str">
        <f t="shared" si="1632"/>
        <v/>
      </c>
      <c r="BO1062" s="418" t="str">
        <f t="shared" si="1633"/>
        <v/>
      </c>
      <c r="BP1062" s="418" t="str">
        <f t="shared" si="1634"/>
        <v/>
      </c>
      <c r="BQ1062" s="418" t="str">
        <f t="shared" si="1640"/>
        <v/>
      </c>
      <c r="BR1062" s="418" t="str">
        <f t="shared" si="1641"/>
        <v/>
      </c>
      <c r="BS1062" s="418" t="str">
        <f t="shared" si="1642"/>
        <v/>
      </c>
      <c r="BT1062" s="418" t="str">
        <f t="shared" si="1635"/>
        <v/>
      </c>
      <c r="BU1062" s="418" t="str">
        <f t="shared" si="1636"/>
        <v/>
      </c>
      <c r="BV1062" s="544">
        <v>0.79</v>
      </c>
      <c r="BW1062" s="723">
        <f t="shared" si="1637"/>
        <v>474</v>
      </c>
      <c r="BX1062" s="724">
        <f t="shared" si="1638"/>
        <v>3673.5</v>
      </c>
      <c r="BY1062" s="725" t="str">
        <f t="shared" si="1639"/>
        <v>SR</v>
      </c>
    </row>
    <row r="1063" s="697" customFormat="1" customHeight="1" spans="1:77">
      <c r="A1063" s="116">
        <v>46182</v>
      </c>
      <c r="B1063" s="140">
        <v>46242</v>
      </c>
      <c r="C1063" s="123" t="s">
        <v>947</v>
      </c>
      <c r="D1063" s="123" t="s">
        <v>948</v>
      </c>
      <c r="E1063" s="123" t="s">
        <v>99</v>
      </c>
      <c r="F1063" s="142">
        <v>240</v>
      </c>
      <c r="G1063" s="123" t="s">
        <v>510</v>
      </c>
      <c r="H1063" s="118" t="str">
        <f>IFERROR(VLOOKUP(E1063,名称!A:E,4,0),"")</f>
        <v>三代</v>
      </c>
      <c r="I1063" s="418" t="str">
        <f t="shared" si="1575"/>
        <v/>
      </c>
      <c r="J1063" s="418" t="str">
        <f t="shared" si="1576"/>
        <v/>
      </c>
      <c r="K1063" s="418" t="str">
        <f t="shared" si="1577"/>
        <v/>
      </c>
      <c r="L1063" s="418" t="str">
        <f t="shared" si="1578"/>
        <v/>
      </c>
      <c r="M1063" s="418" t="str">
        <f t="shared" si="1579"/>
        <v/>
      </c>
      <c r="N1063" s="418" t="str">
        <f t="shared" si="1580"/>
        <v/>
      </c>
      <c r="O1063" s="418" t="str">
        <f t="shared" si="1581"/>
        <v/>
      </c>
      <c r="P1063" s="418" t="str">
        <f t="shared" si="1582"/>
        <v/>
      </c>
      <c r="Q1063" s="418" t="str">
        <f t="shared" si="1583"/>
        <v/>
      </c>
      <c r="R1063" s="418" t="str">
        <f t="shared" si="1584"/>
        <v/>
      </c>
      <c r="S1063" s="418" t="str">
        <f t="shared" si="1585"/>
        <v/>
      </c>
      <c r="T1063" s="418" t="str">
        <f t="shared" si="1586"/>
        <v/>
      </c>
      <c r="U1063" s="418" t="str">
        <f t="shared" si="1587"/>
        <v/>
      </c>
      <c r="V1063" s="418" t="str">
        <f t="shared" si="1588"/>
        <v/>
      </c>
      <c r="W1063" s="418" t="str">
        <f t="shared" si="1589"/>
        <v/>
      </c>
      <c r="X1063" s="418" t="str">
        <f t="shared" si="1590"/>
        <v/>
      </c>
      <c r="Y1063" s="418" t="str">
        <f t="shared" si="1591"/>
        <v/>
      </c>
      <c r="Z1063" s="418" t="str">
        <f t="shared" si="1592"/>
        <v/>
      </c>
      <c r="AA1063" s="418" t="str">
        <f t="shared" si="1593"/>
        <v/>
      </c>
      <c r="AB1063" s="418" t="str">
        <f t="shared" si="1594"/>
        <v/>
      </c>
      <c r="AC1063" s="418">
        <f t="shared" si="1595"/>
        <v>240</v>
      </c>
      <c r="AD1063" s="418" t="str">
        <f t="shared" si="1596"/>
        <v/>
      </c>
      <c r="AE1063" s="418" t="str">
        <f t="shared" si="1597"/>
        <v/>
      </c>
      <c r="AF1063" s="418" t="str">
        <f t="shared" si="1598"/>
        <v/>
      </c>
      <c r="AG1063" s="418" t="str">
        <f t="shared" si="1599"/>
        <v/>
      </c>
      <c r="AH1063" s="418" t="str">
        <f t="shared" si="1600"/>
        <v/>
      </c>
      <c r="AI1063" s="418" t="str">
        <f t="shared" si="1601"/>
        <v/>
      </c>
      <c r="AJ1063" s="418" t="str">
        <f t="shared" si="1602"/>
        <v/>
      </c>
      <c r="AK1063" s="418" t="str">
        <f t="shared" si="1603"/>
        <v/>
      </c>
      <c r="AL1063" s="418" t="str">
        <f t="shared" si="1604"/>
        <v/>
      </c>
      <c r="AM1063" s="418" t="str">
        <f t="shared" si="1605"/>
        <v/>
      </c>
      <c r="AN1063" s="418" t="str">
        <f t="shared" si="1606"/>
        <v/>
      </c>
      <c r="AO1063" s="418" t="str">
        <f t="shared" si="1607"/>
        <v/>
      </c>
      <c r="AP1063" s="418" t="str">
        <f t="shared" si="1608"/>
        <v/>
      </c>
      <c r="AQ1063" s="418" t="str">
        <f t="shared" si="1609"/>
        <v/>
      </c>
      <c r="AR1063" s="418" t="str">
        <f t="shared" si="1610"/>
        <v/>
      </c>
      <c r="AS1063" s="418" t="str">
        <f t="shared" si="1611"/>
        <v/>
      </c>
      <c r="AT1063" s="418" t="str">
        <f t="shared" si="1612"/>
        <v/>
      </c>
      <c r="AU1063" s="418" t="str">
        <f t="shared" si="1613"/>
        <v/>
      </c>
      <c r="AV1063" s="418" t="str">
        <f t="shared" si="1614"/>
        <v/>
      </c>
      <c r="AW1063" s="418" t="str">
        <f t="shared" si="1615"/>
        <v/>
      </c>
      <c r="AX1063" s="418" t="str">
        <f t="shared" si="1616"/>
        <v/>
      </c>
      <c r="AY1063" s="418" t="str">
        <f t="shared" si="1617"/>
        <v/>
      </c>
      <c r="AZ1063" s="418" t="str">
        <f t="shared" si="1618"/>
        <v/>
      </c>
      <c r="BA1063" s="418" t="str">
        <f t="shared" si="1619"/>
        <v/>
      </c>
      <c r="BB1063" s="418" t="str">
        <f t="shared" si="1620"/>
        <v/>
      </c>
      <c r="BC1063" s="418" t="str">
        <f t="shared" si="1621"/>
        <v/>
      </c>
      <c r="BD1063" s="418" t="str">
        <f t="shared" si="1622"/>
        <v/>
      </c>
      <c r="BE1063" s="418" t="str">
        <f t="shared" si="1623"/>
        <v/>
      </c>
      <c r="BF1063" s="418" t="str">
        <f t="shared" si="1624"/>
        <v/>
      </c>
      <c r="BG1063" s="418" t="str">
        <f t="shared" si="1625"/>
        <v/>
      </c>
      <c r="BH1063" s="418" t="str">
        <f t="shared" si="1626"/>
        <v/>
      </c>
      <c r="BI1063" s="418" t="str">
        <f t="shared" si="1627"/>
        <v/>
      </c>
      <c r="BJ1063" s="418" t="str">
        <f t="shared" si="1628"/>
        <v/>
      </c>
      <c r="BK1063" s="418" t="str">
        <f t="shared" si="1629"/>
        <v/>
      </c>
      <c r="BL1063" s="418" t="str">
        <f t="shared" si="1630"/>
        <v/>
      </c>
      <c r="BM1063" s="418" t="str">
        <f t="shared" si="1631"/>
        <v/>
      </c>
      <c r="BN1063" s="418" t="str">
        <f t="shared" si="1632"/>
        <v/>
      </c>
      <c r="BO1063" s="418" t="str">
        <f t="shared" si="1633"/>
        <v/>
      </c>
      <c r="BP1063" s="418" t="str">
        <f t="shared" si="1634"/>
        <v/>
      </c>
      <c r="BQ1063" s="418" t="str">
        <f t="shared" si="1640"/>
        <v/>
      </c>
      <c r="BR1063" s="418" t="str">
        <f t="shared" si="1641"/>
        <v/>
      </c>
      <c r="BS1063" s="418" t="str">
        <f t="shared" si="1642"/>
        <v/>
      </c>
      <c r="BT1063" s="418" t="str">
        <f t="shared" si="1635"/>
        <v/>
      </c>
      <c r="BU1063" s="418" t="str">
        <f t="shared" si="1636"/>
        <v/>
      </c>
      <c r="BV1063" s="544">
        <v>0.9</v>
      </c>
      <c r="BW1063" s="723">
        <f t="shared" si="1637"/>
        <v>216</v>
      </c>
      <c r="BX1063" s="724">
        <f t="shared" si="1638"/>
        <v>1674</v>
      </c>
      <c r="BY1063" s="725" t="str">
        <f t="shared" si="1639"/>
        <v>SR</v>
      </c>
    </row>
    <row r="1064" s="697" customFormat="1" customHeight="1" spans="1:77">
      <c r="A1064" s="116">
        <v>46182</v>
      </c>
      <c r="B1064" s="140">
        <v>46242</v>
      </c>
      <c r="C1064" s="123" t="s">
        <v>947</v>
      </c>
      <c r="D1064" s="123" t="s">
        <v>948</v>
      </c>
      <c r="E1064" s="123" t="s">
        <v>59</v>
      </c>
      <c r="F1064" s="142">
        <v>648</v>
      </c>
      <c r="G1064" s="123" t="s">
        <v>510</v>
      </c>
      <c r="H1064" s="118" t="str">
        <f>IFERROR(VLOOKUP(E1064,名称!A:E,4,0),"")</f>
        <v>三代</v>
      </c>
      <c r="I1064" s="418" t="str">
        <f t="shared" si="1575"/>
        <v/>
      </c>
      <c r="J1064" s="418" t="str">
        <f t="shared" si="1576"/>
        <v/>
      </c>
      <c r="K1064" s="418" t="str">
        <f t="shared" si="1577"/>
        <v/>
      </c>
      <c r="L1064" s="418" t="str">
        <f t="shared" si="1578"/>
        <v/>
      </c>
      <c r="M1064" s="418" t="str">
        <f t="shared" si="1579"/>
        <v/>
      </c>
      <c r="N1064" s="418" t="str">
        <f t="shared" si="1580"/>
        <v/>
      </c>
      <c r="O1064" s="418" t="str">
        <f t="shared" si="1581"/>
        <v/>
      </c>
      <c r="P1064" s="418" t="str">
        <f t="shared" si="1582"/>
        <v/>
      </c>
      <c r="Q1064" s="418" t="str">
        <f t="shared" si="1583"/>
        <v/>
      </c>
      <c r="R1064" s="418" t="str">
        <f t="shared" si="1584"/>
        <v/>
      </c>
      <c r="S1064" s="418" t="str">
        <f t="shared" si="1585"/>
        <v/>
      </c>
      <c r="T1064" s="418" t="str">
        <f t="shared" si="1586"/>
        <v/>
      </c>
      <c r="U1064" s="418" t="str">
        <f t="shared" si="1587"/>
        <v/>
      </c>
      <c r="V1064" s="418" t="str">
        <f t="shared" si="1588"/>
        <v/>
      </c>
      <c r="W1064" s="418" t="str">
        <f t="shared" si="1589"/>
        <v/>
      </c>
      <c r="X1064" s="418" t="str">
        <f t="shared" si="1590"/>
        <v/>
      </c>
      <c r="Y1064" s="418" t="str">
        <f t="shared" si="1591"/>
        <v/>
      </c>
      <c r="Z1064" s="418" t="str">
        <f t="shared" si="1592"/>
        <v/>
      </c>
      <c r="AA1064" s="418" t="str">
        <f t="shared" si="1593"/>
        <v/>
      </c>
      <c r="AB1064" s="418" t="str">
        <f t="shared" si="1594"/>
        <v/>
      </c>
      <c r="AC1064" s="418" t="str">
        <f t="shared" si="1595"/>
        <v/>
      </c>
      <c r="AD1064" s="418">
        <f t="shared" si="1596"/>
        <v>648</v>
      </c>
      <c r="AE1064" s="418" t="str">
        <f t="shared" si="1597"/>
        <v/>
      </c>
      <c r="AF1064" s="418" t="str">
        <f t="shared" si="1598"/>
        <v/>
      </c>
      <c r="AG1064" s="418" t="str">
        <f t="shared" si="1599"/>
        <v/>
      </c>
      <c r="AH1064" s="418" t="str">
        <f t="shared" si="1600"/>
        <v/>
      </c>
      <c r="AI1064" s="418" t="str">
        <f t="shared" si="1601"/>
        <v/>
      </c>
      <c r="AJ1064" s="418" t="str">
        <f t="shared" si="1602"/>
        <v/>
      </c>
      <c r="AK1064" s="418" t="str">
        <f t="shared" si="1603"/>
        <v/>
      </c>
      <c r="AL1064" s="418" t="str">
        <f t="shared" si="1604"/>
        <v/>
      </c>
      <c r="AM1064" s="418" t="str">
        <f t="shared" si="1605"/>
        <v/>
      </c>
      <c r="AN1064" s="418" t="str">
        <f t="shared" si="1606"/>
        <v/>
      </c>
      <c r="AO1064" s="418" t="str">
        <f t="shared" si="1607"/>
        <v/>
      </c>
      <c r="AP1064" s="418" t="str">
        <f t="shared" si="1608"/>
        <v/>
      </c>
      <c r="AQ1064" s="418" t="str">
        <f t="shared" si="1609"/>
        <v/>
      </c>
      <c r="AR1064" s="418" t="str">
        <f t="shared" si="1610"/>
        <v/>
      </c>
      <c r="AS1064" s="418" t="str">
        <f t="shared" si="1611"/>
        <v/>
      </c>
      <c r="AT1064" s="418" t="str">
        <f t="shared" si="1612"/>
        <v/>
      </c>
      <c r="AU1064" s="418" t="str">
        <f t="shared" si="1613"/>
        <v/>
      </c>
      <c r="AV1064" s="418" t="str">
        <f t="shared" si="1614"/>
        <v/>
      </c>
      <c r="AW1064" s="418" t="str">
        <f t="shared" si="1615"/>
        <v/>
      </c>
      <c r="AX1064" s="418" t="str">
        <f t="shared" si="1616"/>
        <v/>
      </c>
      <c r="AY1064" s="418" t="str">
        <f t="shared" si="1617"/>
        <v/>
      </c>
      <c r="AZ1064" s="418" t="str">
        <f t="shared" si="1618"/>
        <v/>
      </c>
      <c r="BA1064" s="418" t="str">
        <f t="shared" si="1619"/>
        <v/>
      </c>
      <c r="BB1064" s="418" t="str">
        <f t="shared" si="1620"/>
        <v/>
      </c>
      <c r="BC1064" s="418" t="str">
        <f t="shared" si="1621"/>
        <v/>
      </c>
      <c r="BD1064" s="418" t="str">
        <f t="shared" si="1622"/>
        <v/>
      </c>
      <c r="BE1064" s="418" t="str">
        <f t="shared" si="1623"/>
        <v/>
      </c>
      <c r="BF1064" s="418" t="str">
        <f t="shared" si="1624"/>
        <v/>
      </c>
      <c r="BG1064" s="418" t="str">
        <f t="shared" si="1625"/>
        <v/>
      </c>
      <c r="BH1064" s="418" t="str">
        <f t="shared" si="1626"/>
        <v/>
      </c>
      <c r="BI1064" s="418" t="str">
        <f t="shared" si="1627"/>
        <v/>
      </c>
      <c r="BJ1064" s="418" t="str">
        <f t="shared" si="1628"/>
        <v/>
      </c>
      <c r="BK1064" s="418" t="str">
        <f t="shared" si="1629"/>
        <v/>
      </c>
      <c r="BL1064" s="418" t="str">
        <f t="shared" si="1630"/>
        <v/>
      </c>
      <c r="BM1064" s="418" t="str">
        <f t="shared" si="1631"/>
        <v/>
      </c>
      <c r="BN1064" s="418" t="str">
        <f t="shared" si="1632"/>
        <v/>
      </c>
      <c r="BO1064" s="418" t="str">
        <f t="shared" si="1633"/>
        <v/>
      </c>
      <c r="BP1064" s="418" t="str">
        <f t="shared" si="1634"/>
        <v/>
      </c>
      <c r="BQ1064" s="418" t="str">
        <f t="shared" si="1640"/>
        <v/>
      </c>
      <c r="BR1064" s="418" t="str">
        <f t="shared" si="1641"/>
        <v/>
      </c>
      <c r="BS1064" s="418" t="str">
        <f t="shared" si="1642"/>
        <v/>
      </c>
      <c r="BT1064" s="418" t="str">
        <f t="shared" si="1635"/>
        <v/>
      </c>
      <c r="BU1064" s="418" t="str">
        <f t="shared" si="1636"/>
        <v/>
      </c>
      <c r="BV1064" s="544">
        <v>0.65</v>
      </c>
      <c r="BW1064" s="723">
        <f t="shared" si="1637"/>
        <v>421.2</v>
      </c>
      <c r="BX1064" s="724">
        <f t="shared" si="1638"/>
        <v>3264.3</v>
      </c>
      <c r="BY1064" s="725" t="str">
        <f t="shared" si="1639"/>
        <v>SR</v>
      </c>
    </row>
    <row r="1065" s="697" customFormat="1" customHeight="1" spans="1:77">
      <c r="A1065" s="116">
        <v>46182</v>
      </c>
      <c r="B1065" s="140">
        <v>46242</v>
      </c>
      <c r="C1065" s="123" t="s">
        <v>947</v>
      </c>
      <c r="D1065" s="123" t="s">
        <v>948</v>
      </c>
      <c r="E1065" s="123" t="s">
        <v>66</v>
      </c>
      <c r="F1065" s="142">
        <v>324</v>
      </c>
      <c r="G1065" s="123" t="s">
        <v>510</v>
      </c>
      <c r="H1065" s="118" t="str">
        <f>IFERROR(VLOOKUP(E1065,名称!A:E,4,0),"")</f>
        <v>三代</v>
      </c>
      <c r="I1065" s="418" t="str">
        <f t="shared" si="1575"/>
        <v/>
      </c>
      <c r="J1065" s="418" t="str">
        <f t="shared" si="1576"/>
        <v/>
      </c>
      <c r="K1065" s="418" t="str">
        <f t="shared" si="1577"/>
        <v/>
      </c>
      <c r="L1065" s="418" t="str">
        <f t="shared" si="1578"/>
        <v/>
      </c>
      <c r="M1065" s="418" t="str">
        <f t="shared" si="1579"/>
        <v/>
      </c>
      <c r="N1065" s="418" t="str">
        <f t="shared" si="1580"/>
        <v/>
      </c>
      <c r="O1065" s="418" t="str">
        <f t="shared" si="1581"/>
        <v/>
      </c>
      <c r="P1065" s="418" t="str">
        <f t="shared" si="1582"/>
        <v/>
      </c>
      <c r="Q1065" s="418" t="str">
        <f t="shared" si="1583"/>
        <v/>
      </c>
      <c r="R1065" s="418" t="str">
        <f t="shared" si="1584"/>
        <v/>
      </c>
      <c r="S1065" s="418" t="str">
        <f t="shared" si="1585"/>
        <v/>
      </c>
      <c r="T1065" s="418" t="str">
        <f t="shared" si="1586"/>
        <v/>
      </c>
      <c r="U1065" s="418" t="str">
        <f t="shared" si="1587"/>
        <v/>
      </c>
      <c r="V1065" s="418" t="str">
        <f t="shared" si="1588"/>
        <v/>
      </c>
      <c r="W1065" s="418" t="str">
        <f t="shared" si="1589"/>
        <v/>
      </c>
      <c r="X1065" s="418" t="str">
        <f t="shared" si="1590"/>
        <v/>
      </c>
      <c r="Y1065" s="418" t="str">
        <f t="shared" si="1591"/>
        <v/>
      </c>
      <c r="Z1065" s="418" t="str">
        <f t="shared" si="1592"/>
        <v/>
      </c>
      <c r="AA1065" s="418" t="str">
        <f t="shared" si="1593"/>
        <v/>
      </c>
      <c r="AB1065" s="418" t="str">
        <f t="shared" si="1594"/>
        <v/>
      </c>
      <c r="AC1065" s="418" t="str">
        <f t="shared" si="1595"/>
        <v/>
      </c>
      <c r="AD1065" s="418" t="str">
        <f t="shared" si="1596"/>
        <v/>
      </c>
      <c r="AE1065" s="418" t="str">
        <f t="shared" si="1597"/>
        <v/>
      </c>
      <c r="AF1065" s="418" t="str">
        <f t="shared" si="1598"/>
        <v/>
      </c>
      <c r="AG1065" s="418">
        <f t="shared" si="1599"/>
        <v>324</v>
      </c>
      <c r="AH1065" s="418" t="str">
        <f t="shared" si="1600"/>
        <v/>
      </c>
      <c r="AI1065" s="418" t="str">
        <f t="shared" si="1601"/>
        <v/>
      </c>
      <c r="AJ1065" s="418" t="str">
        <f t="shared" si="1602"/>
        <v/>
      </c>
      <c r="AK1065" s="418" t="str">
        <f t="shared" si="1603"/>
        <v/>
      </c>
      <c r="AL1065" s="418" t="str">
        <f t="shared" si="1604"/>
        <v/>
      </c>
      <c r="AM1065" s="418" t="str">
        <f t="shared" si="1605"/>
        <v/>
      </c>
      <c r="AN1065" s="418" t="str">
        <f t="shared" si="1606"/>
        <v/>
      </c>
      <c r="AO1065" s="418" t="str">
        <f t="shared" si="1607"/>
        <v/>
      </c>
      <c r="AP1065" s="418" t="str">
        <f t="shared" si="1608"/>
        <v/>
      </c>
      <c r="AQ1065" s="418" t="str">
        <f t="shared" si="1609"/>
        <v/>
      </c>
      <c r="AR1065" s="418" t="str">
        <f t="shared" si="1610"/>
        <v/>
      </c>
      <c r="AS1065" s="418" t="str">
        <f t="shared" si="1611"/>
        <v/>
      </c>
      <c r="AT1065" s="418" t="str">
        <f t="shared" si="1612"/>
        <v/>
      </c>
      <c r="AU1065" s="418" t="str">
        <f t="shared" si="1613"/>
        <v/>
      </c>
      <c r="AV1065" s="418" t="str">
        <f t="shared" si="1614"/>
        <v/>
      </c>
      <c r="AW1065" s="418" t="str">
        <f t="shared" si="1615"/>
        <v/>
      </c>
      <c r="AX1065" s="418" t="str">
        <f t="shared" si="1616"/>
        <v/>
      </c>
      <c r="AY1065" s="418" t="str">
        <f t="shared" si="1617"/>
        <v/>
      </c>
      <c r="AZ1065" s="418" t="str">
        <f t="shared" si="1618"/>
        <v/>
      </c>
      <c r="BA1065" s="418" t="str">
        <f t="shared" si="1619"/>
        <v/>
      </c>
      <c r="BB1065" s="418" t="str">
        <f t="shared" si="1620"/>
        <v/>
      </c>
      <c r="BC1065" s="418" t="str">
        <f t="shared" si="1621"/>
        <v/>
      </c>
      <c r="BD1065" s="418" t="str">
        <f t="shared" si="1622"/>
        <v/>
      </c>
      <c r="BE1065" s="418" t="str">
        <f t="shared" si="1623"/>
        <v/>
      </c>
      <c r="BF1065" s="418" t="str">
        <f t="shared" si="1624"/>
        <v/>
      </c>
      <c r="BG1065" s="418" t="str">
        <f t="shared" si="1625"/>
        <v/>
      </c>
      <c r="BH1065" s="418" t="str">
        <f t="shared" si="1626"/>
        <v/>
      </c>
      <c r="BI1065" s="418" t="str">
        <f t="shared" si="1627"/>
        <v/>
      </c>
      <c r="BJ1065" s="418" t="str">
        <f t="shared" si="1628"/>
        <v/>
      </c>
      <c r="BK1065" s="418" t="str">
        <f t="shared" si="1629"/>
        <v/>
      </c>
      <c r="BL1065" s="418" t="str">
        <f t="shared" si="1630"/>
        <v/>
      </c>
      <c r="BM1065" s="418" t="str">
        <f t="shared" si="1631"/>
        <v/>
      </c>
      <c r="BN1065" s="418" t="str">
        <f t="shared" si="1632"/>
        <v/>
      </c>
      <c r="BO1065" s="418" t="str">
        <f t="shared" si="1633"/>
        <v/>
      </c>
      <c r="BP1065" s="418" t="str">
        <f t="shared" si="1634"/>
        <v/>
      </c>
      <c r="BQ1065" s="418" t="str">
        <f t="shared" si="1640"/>
        <v/>
      </c>
      <c r="BR1065" s="418" t="str">
        <f t="shared" si="1641"/>
        <v/>
      </c>
      <c r="BS1065" s="418" t="str">
        <f t="shared" si="1642"/>
        <v/>
      </c>
      <c r="BT1065" s="418" t="str">
        <f t="shared" si="1635"/>
        <v/>
      </c>
      <c r="BU1065" s="418" t="str">
        <f t="shared" si="1636"/>
        <v/>
      </c>
      <c r="BV1065" s="544">
        <v>2.09</v>
      </c>
      <c r="BW1065" s="723">
        <f t="shared" si="1637"/>
        <v>677.16</v>
      </c>
      <c r="BX1065" s="724">
        <f t="shared" si="1638"/>
        <v>5247.99</v>
      </c>
      <c r="BY1065" s="725" t="str">
        <f t="shared" si="1639"/>
        <v>SR</v>
      </c>
    </row>
    <row r="1066" s="697" customFormat="1" customHeight="1" spans="1:77">
      <c r="A1066" s="116">
        <v>46182</v>
      </c>
      <c r="B1066" s="140">
        <v>46242</v>
      </c>
      <c r="C1066" s="123" t="s">
        <v>947</v>
      </c>
      <c r="D1066" s="123" t="s">
        <v>948</v>
      </c>
      <c r="E1066" s="123" t="s">
        <v>68</v>
      </c>
      <c r="F1066" s="142">
        <v>264</v>
      </c>
      <c r="G1066" s="123" t="s">
        <v>510</v>
      </c>
      <c r="H1066" s="118" t="str">
        <f>IFERROR(VLOOKUP(E1066,名称!A:E,4,0),"")</f>
        <v>三代</v>
      </c>
      <c r="I1066" s="418" t="str">
        <f t="shared" si="1575"/>
        <v/>
      </c>
      <c r="J1066" s="418" t="str">
        <f t="shared" si="1576"/>
        <v/>
      </c>
      <c r="K1066" s="418" t="str">
        <f t="shared" si="1577"/>
        <v/>
      </c>
      <c r="L1066" s="418" t="str">
        <f t="shared" si="1578"/>
        <v/>
      </c>
      <c r="M1066" s="418" t="str">
        <f t="shared" si="1579"/>
        <v/>
      </c>
      <c r="N1066" s="418" t="str">
        <f t="shared" si="1580"/>
        <v/>
      </c>
      <c r="O1066" s="418" t="str">
        <f t="shared" si="1581"/>
        <v/>
      </c>
      <c r="P1066" s="418" t="str">
        <f t="shared" si="1582"/>
        <v/>
      </c>
      <c r="Q1066" s="418" t="str">
        <f t="shared" si="1583"/>
        <v/>
      </c>
      <c r="R1066" s="418" t="str">
        <f t="shared" si="1584"/>
        <v/>
      </c>
      <c r="S1066" s="418" t="str">
        <f t="shared" si="1585"/>
        <v/>
      </c>
      <c r="T1066" s="418" t="str">
        <f t="shared" si="1586"/>
        <v/>
      </c>
      <c r="U1066" s="418" t="str">
        <f t="shared" si="1587"/>
        <v/>
      </c>
      <c r="V1066" s="418" t="str">
        <f t="shared" si="1588"/>
        <v/>
      </c>
      <c r="W1066" s="418" t="str">
        <f t="shared" si="1589"/>
        <v/>
      </c>
      <c r="X1066" s="418" t="str">
        <f t="shared" si="1590"/>
        <v/>
      </c>
      <c r="Y1066" s="418" t="str">
        <f t="shared" si="1591"/>
        <v/>
      </c>
      <c r="Z1066" s="418" t="str">
        <f t="shared" si="1592"/>
        <v/>
      </c>
      <c r="AA1066" s="418" t="str">
        <f t="shared" si="1593"/>
        <v/>
      </c>
      <c r="AB1066" s="418" t="str">
        <f t="shared" si="1594"/>
        <v/>
      </c>
      <c r="AC1066" s="418" t="str">
        <f t="shared" si="1595"/>
        <v/>
      </c>
      <c r="AD1066" s="418" t="str">
        <f t="shared" si="1596"/>
        <v/>
      </c>
      <c r="AE1066" s="418" t="str">
        <f t="shared" si="1597"/>
        <v/>
      </c>
      <c r="AF1066" s="418" t="str">
        <f t="shared" si="1598"/>
        <v/>
      </c>
      <c r="AG1066" s="418" t="str">
        <f t="shared" si="1599"/>
        <v/>
      </c>
      <c r="AH1066" s="418">
        <f t="shared" si="1600"/>
        <v>264</v>
      </c>
      <c r="AI1066" s="418" t="str">
        <f t="shared" si="1601"/>
        <v/>
      </c>
      <c r="AJ1066" s="418" t="str">
        <f t="shared" si="1602"/>
        <v/>
      </c>
      <c r="AK1066" s="418" t="str">
        <f t="shared" si="1603"/>
        <v/>
      </c>
      <c r="AL1066" s="418" t="str">
        <f t="shared" si="1604"/>
        <v/>
      </c>
      <c r="AM1066" s="418" t="str">
        <f t="shared" si="1605"/>
        <v/>
      </c>
      <c r="AN1066" s="418" t="str">
        <f t="shared" si="1606"/>
        <v/>
      </c>
      <c r="AO1066" s="418" t="str">
        <f t="shared" si="1607"/>
        <v/>
      </c>
      <c r="AP1066" s="418" t="str">
        <f t="shared" si="1608"/>
        <v/>
      </c>
      <c r="AQ1066" s="418" t="str">
        <f t="shared" si="1609"/>
        <v/>
      </c>
      <c r="AR1066" s="418" t="str">
        <f t="shared" si="1610"/>
        <v/>
      </c>
      <c r="AS1066" s="418" t="str">
        <f t="shared" si="1611"/>
        <v/>
      </c>
      <c r="AT1066" s="418" t="str">
        <f t="shared" si="1612"/>
        <v/>
      </c>
      <c r="AU1066" s="418" t="str">
        <f t="shared" si="1613"/>
        <v/>
      </c>
      <c r="AV1066" s="418" t="str">
        <f t="shared" si="1614"/>
        <v/>
      </c>
      <c r="AW1066" s="418" t="str">
        <f t="shared" si="1615"/>
        <v/>
      </c>
      <c r="AX1066" s="418" t="str">
        <f t="shared" si="1616"/>
        <v/>
      </c>
      <c r="AY1066" s="418" t="str">
        <f t="shared" si="1617"/>
        <v/>
      </c>
      <c r="AZ1066" s="418" t="str">
        <f t="shared" si="1618"/>
        <v/>
      </c>
      <c r="BA1066" s="418" t="str">
        <f t="shared" si="1619"/>
        <v/>
      </c>
      <c r="BB1066" s="418" t="str">
        <f t="shared" si="1620"/>
        <v/>
      </c>
      <c r="BC1066" s="418" t="str">
        <f t="shared" si="1621"/>
        <v/>
      </c>
      <c r="BD1066" s="418" t="str">
        <f t="shared" si="1622"/>
        <v/>
      </c>
      <c r="BE1066" s="418" t="str">
        <f t="shared" si="1623"/>
        <v/>
      </c>
      <c r="BF1066" s="418" t="str">
        <f t="shared" si="1624"/>
        <v/>
      </c>
      <c r="BG1066" s="418" t="str">
        <f t="shared" si="1625"/>
        <v/>
      </c>
      <c r="BH1066" s="418" t="str">
        <f t="shared" si="1626"/>
        <v/>
      </c>
      <c r="BI1066" s="418" t="str">
        <f t="shared" si="1627"/>
        <v/>
      </c>
      <c r="BJ1066" s="418" t="str">
        <f t="shared" si="1628"/>
        <v/>
      </c>
      <c r="BK1066" s="418" t="str">
        <f t="shared" si="1629"/>
        <v/>
      </c>
      <c r="BL1066" s="418" t="str">
        <f t="shared" si="1630"/>
        <v/>
      </c>
      <c r="BM1066" s="418" t="str">
        <f t="shared" si="1631"/>
        <v/>
      </c>
      <c r="BN1066" s="418" t="str">
        <f t="shared" si="1632"/>
        <v/>
      </c>
      <c r="BO1066" s="418" t="str">
        <f t="shared" si="1633"/>
        <v/>
      </c>
      <c r="BP1066" s="418" t="str">
        <f t="shared" si="1634"/>
        <v/>
      </c>
      <c r="BQ1066" s="418" t="str">
        <f t="shared" si="1640"/>
        <v/>
      </c>
      <c r="BR1066" s="418" t="str">
        <f t="shared" si="1641"/>
        <v/>
      </c>
      <c r="BS1066" s="418" t="str">
        <f t="shared" si="1642"/>
        <v/>
      </c>
      <c r="BT1066" s="418" t="str">
        <f t="shared" si="1635"/>
        <v/>
      </c>
      <c r="BU1066" s="418" t="str">
        <f t="shared" si="1636"/>
        <v/>
      </c>
      <c r="BV1066" s="544">
        <v>3.23</v>
      </c>
      <c r="BW1066" s="723">
        <f t="shared" si="1637"/>
        <v>852.72</v>
      </c>
      <c r="BX1066" s="724">
        <f t="shared" si="1638"/>
        <v>6608.58</v>
      </c>
      <c r="BY1066" s="725" t="str">
        <f t="shared" si="1639"/>
        <v>SR</v>
      </c>
    </row>
    <row r="1067" s="697" customFormat="1" customHeight="1" spans="1:77">
      <c r="A1067" s="116">
        <v>46182</v>
      </c>
      <c r="B1067" s="140">
        <v>46242</v>
      </c>
      <c r="C1067" s="123" t="s">
        <v>947</v>
      </c>
      <c r="D1067" s="123" t="s">
        <v>948</v>
      </c>
      <c r="E1067" s="123" t="s">
        <v>72</v>
      </c>
      <c r="F1067" s="142">
        <v>420</v>
      </c>
      <c r="G1067" s="123" t="s">
        <v>510</v>
      </c>
      <c r="H1067" s="118" t="str">
        <f>IFERROR(VLOOKUP(E1067,名称!A:E,4,0),"")</f>
        <v>三代</v>
      </c>
      <c r="I1067" s="418" t="str">
        <f t="shared" si="1575"/>
        <v/>
      </c>
      <c r="J1067" s="418" t="str">
        <f t="shared" si="1576"/>
        <v/>
      </c>
      <c r="K1067" s="418" t="str">
        <f t="shared" si="1577"/>
        <v/>
      </c>
      <c r="L1067" s="418" t="str">
        <f t="shared" si="1578"/>
        <v/>
      </c>
      <c r="M1067" s="418" t="str">
        <f t="shared" si="1579"/>
        <v/>
      </c>
      <c r="N1067" s="418" t="str">
        <f t="shared" si="1580"/>
        <v/>
      </c>
      <c r="O1067" s="418" t="str">
        <f t="shared" si="1581"/>
        <v/>
      </c>
      <c r="P1067" s="418" t="str">
        <f t="shared" si="1582"/>
        <v/>
      </c>
      <c r="Q1067" s="418" t="str">
        <f t="shared" si="1583"/>
        <v/>
      </c>
      <c r="R1067" s="418" t="str">
        <f t="shared" si="1584"/>
        <v/>
      </c>
      <c r="S1067" s="418" t="str">
        <f t="shared" si="1585"/>
        <v/>
      </c>
      <c r="T1067" s="418" t="str">
        <f t="shared" si="1586"/>
        <v/>
      </c>
      <c r="U1067" s="418" t="str">
        <f t="shared" si="1587"/>
        <v/>
      </c>
      <c r="V1067" s="418" t="str">
        <f t="shared" si="1588"/>
        <v/>
      </c>
      <c r="W1067" s="418" t="str">
        <f t="shared" si="1589"/>
        <v/>
      </c>
      <c r="X1067" s="418" t="str">
        <f t="shared" si="1590"/>
        <v/>
      </c>
      <c r="Y1067" s="418" t="str">
        <f t="shared" si="1591"/>
        <v/>
      </c>
      <c r="Z1067" s="418" t="str">
        <f t="shared" si="1592"/>
        <v/>
      </c>
      <c r="AA1067" s="418" t="str">
        <f t="shared" si="1593"/>
        <v/>
      </c>
      <c r="AB1067" s="418" t="str">
        <f t="shared" si="1594"/>
        <v/>
      </c>
      <c r="AC1067" s="418" t="str">
        <f t="shared" si="1595"/>
        <v/>
      </c>
      <c r="AD1067" s="418" t="str">
        <f t="shared" si="1596"/>
        <v/>
      </c>
      <c r="AE1067" s="418" t="str">
        <f t="shared" si="1597"/>
        <v/>
      </c>
      <c r="AF1067" s="418" t="str">
        <f t="shared" si="1598"/>
        <v/>
      </c>
      <c r="AG1067" s="418" t="str">
        <f t="shared" si="1599"/>
        <v/>
      </c>
      <c r="AH1067" s="418" t="str">
        <f t="shared" si="1600"/>
        <v/>
      </c>
      <c r="AI1067" s="418" t="str">
        <f t="shared" si="1601"/>
        <v/>
      </c>
      <c r="AJ1067" s="418" t="str">
        <f t="shared" si="1602"/>
        <v/>
      </c>
      <c r="AK1067" s="418" t="str">
        <f t="shared" si="1603"/>
        <v/>
      </c>
      <c r="AL1067" s="418">
        <f t="shared" si="1604"/>
        <v>420</v>
      </c>
      <c r="AM1067" s="418" t="str">
        <f t="shared" si="1605"/>
        <v/>
      </c>
      <c r="AN1067" s="418" t="str">
        <f t="shared" si="1606"/>
        <v/>
      </c>
      <c r="AO1067" s="418" t="str">
        <f t="shared" si="1607"/>
        <v/>
      </c>
      <c r="AP1067" s="418" t="str">
        <f t="shared" si="1608"/>
        <v/>
      </c>
      <c r="AQ1067" s="418" t="str">
        <f t="shared" si="1609"/>
        <v/>
      </c>
      <c r="AR1067" s="418" t="str">
        <f t="shared" si="1610"/>
        <v/>
      </c>
      <c r="AS1067" s="418" t="str">
        <f t="shared" si="1611"/>
        <v/>
      </c>
      <c r="AT1067" s="418" t="str">
        <f t="shared" si="1612"/>
        <v/>
      </c>
      <c r="AU1067" s="418" t="str">
        <f t="shared" si="1613"/>
        <v/>
      </c>
      <c r="AV1067" s="418" t="str">
        <f t="shared" si="1614"/>
        <v/>
      </c>
      <c r="AW1067" s="418" t="str">
        <f t="shared" si="1615"/>
        <v/>
      </c>
      <c r="AX1067" s="418" t="str">
        <f t="shared" si="1616"/>
        <v/>
      </c>
      <c r="AY1067" s="418" t="str">
        <f t="shared" si="1617"/>
        <v/>
      </c>
      <c r="AZ1067" s="418" t="str">
        <f t="shared" si="1618"/>
        <v/>
      </c>
      <c r="BA1067" s="418" t="str">
        <f t="shared" si="1619"/>
        <v/>
      </c>
      <c r="BB1067" s="418" t="str">
        <f t="shared" si="1620"/>
        <v/>
      </c>
      <c r="BC1067" s="418" t="str">
        <f t="shared" si="1621"/>
        <v/>
      </c>
      <c r="BD1067" s="418" t="str">
        <f t="shared" si="1622"/>
        <v/>
      </c>
      <c r="BE1067" s="418" t="str">
        <f t="shared" si="1623"/>
        <v/>
      </c>
      <c r="BF1067" s="418" t="str">
        <f t="shared" si="1624"/>
        <v/>
      </c>
      <c r="BG1067" s="418" t="str">
        <f t="shared" si="1625"/>
        <v/>
      </c>
      <c r="BH1067" s="418" t="str">
        <f t="shared" si="1626"/>
        <v/>
      </c>
      <c r="BI1067" s="418" t="str">
        <f t="shared" si="1627"/>
        <v/>
      </c>
      <c r="BJ1067" s="418" t="str">
        <f t="shared" si="1628"/>
        <v/>
      </c>
      <c r="BK1067" s="418" t="str">
        <f t="shared" si="1629"/>
        <v/>
      </c>
      <c r="BL1067" s="418" t="str">
        <f t="shared" si="1630"/>
        <v/>
      </c>
      <c r="BM1067" s="418" t="str">
        <f t="shared" si="1631"/>
        <v/>
      </c>
      <c r="BN1067" s="418" t="str">
        <f t="shared" si="1632"/>
        <v/>
      </c>
      <c r="BO1067" s="418" t="str">
        <f t="shared" si="1633"/>
        <v/>
      </c>
      <c r="BP1067" s="418" t="str">
        <f t="shared" si="1634"/>
        <v/>
      </c>
      <c r="BQ1067" s="418" t="str">
        <f t="shared" si="1640"/>
        <v/>
      </c>
      <c r="BR1067" s="418" t="str">
        <f t="shared" si="1641"/>
        <v/>
      </c>
      <c r="BS1067" s="418" t="str">
        <f t="shared" si="1642"/>
        <v/>
      </c>
      <c r="BT1067" s="418" t="str">
        <f t="shared" si="1635"/>
        <v/>
      </c>
      <c r="BU1067" s="418" t="str">
        <f t="shared" si="1636"/>
        <v/>
      </c>
      <c r="BV1067" s="544">
        <v>1.65</v>
      </c>
      <c r="BW1067" s="723">
        <f t="shared" si="1637"/>
        <v>693</v>
      </c>
      <c r="BX1067" s="724">
        <f t="shared" si="1638"/>
        <v>5370.75</v>
      </c>
      <c r="BY1067" s="725" t="str">
        <f t="shared" si="1639"/>
        <v>SR</v>
      </c>
    </row>
    <row r="1068" s="697" customFormat="1" customHeight="1" spans="1:77">
      <c r="A1068" s="116">
        <v>46182</v>
      </c>
      <c r="B1068" s="140">
        <v>46242</v>
      </c>
      <c r="C1068" s="123" t="s">
        <v>947</v>
      </c>
      <c r="D1068" s="123" t="s">
        <v>948</v>
      </c>
      <c r="E1068" s="123" t="s">
        <v>109</v>
      </c>
      <c r="F1068" s="142">
        <v>720</v>
      </c>
      <c r="G1068" s="123" t="s">
        <v>510</v>
      </c>
      <c r="H1068" s="118" t="str">
        <f>IFERROR(VLOOKUP(E1068,名称!A:E,4,0),"")</f>
        <v>三代</v>
      </c>
      <c r="I1068" s="418" t="str">
        <f t="shared" si="1575"/>
        <v/>
      </c>
      <c r="J1068" s="418" t="str">
        <f t="shared" si="1576"/>
        <v/>
      </c>
      <c r="K1068" s="418" t="str">
        <f t="shared" si="1577"/>
        <v/>
      </c>
      <c r="L1068" s="418" t="str">
        <f t="shared" si="1578"/>
        <v/>
      </c>
      <c r="M1068" s="418" t="str">
        <f t="shared" si="1579"/>
        <v/>
      </c>
      <c r="N1068" s="418" t="str">
        <f t="shared" si="1580"/>
        <v/>
      </c>
      <c r="O1068" s="418" t="str">
        <f t="shared" si="1581"/>
        <v/>
      </c>
      <c r="P1068" s="418" t="str">
        <f t="shared" si="1582"/>
        <v/>
      </c>
      <c r="Q1068" s="418" t="str">
        <f t="shared" si="1583"/>
        <v/>
      </c>
      <c r="R1068" s="418" t="str">
        <f t="shared" si="1584"/>
        <v/>
      </c>
      <c r="S1068" s="418" t="str">
        <f t="shared" si="1585"/>
        <v/>
      </c>
      <c r="T1068" s="418" t="str">
        <f t="shared" si="1586"/>
        <v/>
      </c>
      <c r="U1068" s="418" t="str">
        <f t="shared" si="1587"/>
        <v/>
      </c>
      <c r="V1068" s="418" t="str">
        <f t="shared" si="1588"/>
        <v/>
      </c>
      <c r="W1068" s="418" t="str">
        <f t="shared" si="1589"/>
        <v/>
      </c>
      <c r="X1068" s="418" t="str">
        <f t="shared" si="1590"/>
        <v/>
      </c>
      <c r="Y1068" s="418" t="str">
        <f t="shared" si="1591"/>
        <v/>
      </c>
      <c r="Z1068" s="418" t="str">
        <f t="shared" si="1592"/>
        <v/>
      </c>
      <c r="AA1068" s="418" t="str">
        <f t="shared" si="1593"/>
        <v/>
      </c>
      <c r="AB1068" s="418" t="str">
        <f t="shared" si="1594"/>
        <v/>
      </c>
      <c r="AC1068" s="418" t="str">
        <f t="shared" si="1595"/>
        <v/>
      </c>
      <c r="AD1068" s="418" t="str">
        <f t="shared" si="1596"/>
        <v/>
      </c>
      <c r="AE1068" s="418" t="str">
        <f t="shared" si="1597"/>
        <v/>
      </c>
      <c r="AF1068" s="418" t="str">
        <f t="shared" si="1598"/>
        <v/>
      </c>
      <c r="AG1068" s="418" t="str">
        <f t="shared" si="1599"/>
        <v/>
      </c>
      <c r="AH1068" s="418" t="str">
        <f t="shared" si="1600"/>
        <v/>
      </c>
      <c r="AI1068" s="418" t="str">
        <f t="shared" si="1601"/>
        <v/>
      </c>
      <c r="AJ1068" s="418" t="str">
        <f t="shared" si="1602"/>
        <v/>
      </c>
      <c r="AK1068" s="418" t="str">
        <f t="shared" si="1603"/>
        <v/>
      </c>
      <c r="AL1068" s="418" t="str">
        <f t="shared" si="1604"/>
        <v/>
      </c>
      <c r="AM1068" s="418" t="str">
        <f t="shared" si="1605"/>
        <v/>
      </c>
      <c r="AN1068" s="418" t="str">
        <f t="shared" si="1606"/>
        <v/>
      </c>
      <c r="AO1068" s="418" t="str">
        <f t="shared" si="1607"/>
        <v/>
      </c>
      <c r="AP1068" s="418" t="str">
        <f t="shared" si="1608"/>
        <v/>
      </c>
      <c r="AQ1068" s="418" t="str">
        <f t="shared" si="1609"/>
        <v/>
      </c>
      <c r="AR1068" s="418" t="str">
        <f t="shared" si="1610"/>
        <v/>
      </c>
      <c r="AS1068" s="418" t="str">
        <f t="shared" si="1611"/>
        <v/>
      </c>
      <c r="AT1068" s="418" t="str">
        <f t="shared" si="1612"/>
        <v/>
      </c>
      <c r="AU1068" s="418" t="str">
        <f t="shared" si="1613"/>
        <v/>
      </c>
      <c r="AV1068" s="418" t="str">
        <f t="shared" si="1614"/>
        <v/>
      </c>
      <c r="AW1068" s="418" t="str">
        <f t="shared" si="1615"/>
        <v/>
      </c>
      <c r="AX1068" s="418" t="str">
        <f t="shared" si="1616"/>
        <v/>
      </c>
      <c r="AY1068" s="418" t="str">
        <f t="shared" si="1617"/>
        <v/>
      </c>
      <c r="AZ1068" s="418" t="str">
        <f t="shared" si="1618"/>
        <v/>
      </c>
      <c r="BA1068" s="418" t="str">
        <f t="shared" si="1619"/>
        <v/>
      </c>
      <c r="BB1068" s="418" t="str">
        <f t="shared" si="1620"/>
        <v/>
      </c>
      <c r="BC1068" s="418">
        <f t="shared" si="1621"/>
        <v>720</v>
      </c>
      <c r="BD1068" s="418" t="str">
        <f t="shared" si="1622"/>
        <v/>
      </c>
      <c r="BE1068" s="418" t="str">
        <f t="shared" si="1623"/>
        <v/>
      </c>
      <c r="BF1068" s="418" t="str">
        <f t="shared" si="1624"/>
        <v/>
      </c>
      <c r="BG1068" s="418" t="str">
        <f t="shared" si="1625"/>
        <v/>
      </c>
      <c r="BH1068" s="418" t="str">
        <f t="shared" si="1626"/>
        <v/>
      </c>
      <c r="BI1068" s="418" t="str">
        <f t="shared" si="1627"/>
        <v/>
      </c>
      <c r="BJ1068" s="418" t="str">
        <f t="shared" si="1628"/>
        <v/>
      </c>
      <c r="BK1068" s="418" t="str">
        <f t="shared" si="1629"/>
        <v/>
      </c>
      <c r="BL1068" s="418" t="str">
        <f t="shared" si="1630"/>
        <v/>
      </c>
      <c r="BM1068" s="418" t="str">
        <f t="shared" si="1631"/>
        <v/>
      </c>
      <c r="BN1068" s="418" t="str">
        <f t="shared" si="1632"/>
        <v/>
      </c>
      <c r="BO1068" s="418" t="str">
        <f t="shared" si="1633"/>
        <v/>
      </c>
      <c r="BP1068" s="418" t="str">
        <f t="shared" si="1634"/>
        <v/>
      </c>
      <c r="BQ1068" s="418" t="str">
        <f t="shared" si="1640"/>
        <v/>
      </c>
      <c r="BR1068" s="418" t="str">
        <f t="shared" si="1641"/>
        <v/>
      </c>
      <c r="BS1068" s="418" t="str">
        <f t="shared" si="1642"/>
        <v/>
      </c>
      <c r="BT1068" s="418" t="str">
        <f t="shared" si="1635"/>
        <v/>
      </c>
      <c r="BU1068" s="418" t="str">
        <f t="shared" si="1636"/>
        <v/>
      </c>
      <c r="BV1068" s="544">
        <v>0.64</v>
      </c>
      <c r="BW1068" s="723">
        <f t="shared" si="1637"/>
        <v>460.8</v>
      </c>
      <c r="BX1068" s="724">
        <f t="shared" si="1638"/>
        <v>3571.2</v>
      </c>
      <c r="BY1068" s="725" t="str">
        <f t="shared" si="1639"/>
        <v>JS</v>
      </c>
    </row>
    <row r="1069" s="697" customFormat="1" customHeight="1" spans="1:77">
      <c r="A1069" s="116">
        <v>46182</v>
      </c>
      <c r="B1069" s="140">
        <v>46242</v>
      </c>
      <c r="C1069" s="123" t="s">
        <v>947</v>
      </c>
      <c r="D1069" s="123" t="s">
        <v>948</v>
      </c>
      <c r="E1069" s="123" t="s">
        <v>100</v>
      </c>
      <c r="F1069" s="142">
        <v>240</v>
      </c>
      <c r="G1069" s="123" t="s">
        <v>510</v>
      </c>
      <c r="H1069" s="118" t="str">
        <f>IFERROR(VLOOKUP(E1069,名称!A:E,4,0),"")</f>
        <v>三代</v>
      </c>
      <c r="I1069" s="418" t="str">
        <f t="shared" si="1575"/>
        <v/>
      </c>
      <c r="J1069" s="418" t="str">
        <f t="shared" si="1576"/>
        <v/>
      </c>
      <c r="K1069" s="418" t="str">
        <f t="shared" si="1577"/>
        <v/>
      </c>
      <c r="L1069" s="418" t="str">
        <f t="shared" si="1578"/>
        <v/>
      </c>
      <c r="M1069" s="418" t="str">
        <f t="shared" si="1579"/>
        <v/>
      </c>
      <c r="N1069" s="418" t="str">
        <f t="shared" si="1580"/>
        <v/>
      </c>
      <c r="O1069" s="418" t="str">
        <f t="shared" si="1581"/>
        <v/>
      </c>
      <c r="P1069" s="418" t="str">
        <f t="shared" si="1582"/>
        <v/>
      </c>
      <c r="Q1069" s="418" t="str">
        <f t="shared" si="1583"/>
        <v/>
      </c>
      <c r="R1069" s="418" t="str">
        <f t="shared" si="1584"/>
        <v/>
      </c>
      <c r="S1069" s="418" t="str">
        <f t="shared" si="1585"/>
        <v/>
      </c>
      <c r="T1069" s="418" t="str">
        <f t="shared" si="1586"/>
        <v/>
      </c>
      <c r="U1069" s="418" t="str">
        <f t="shared" si="1587"/>
        <v/>
      </c>
      <c r="V1069" s="418" t="str">
        <f t="shared" si="1588"/>
        <v/>
      </c>
      <c r="W1069" s="418" t="str">
        <f t="shared" si="1589"/>
        <v/>
      </c>
      <c r="X1069" s="418" t="str">
        <f t="shared" si="1590"/>
        <v/>
      </c>
      <c r="Y1069" s="418" t="str">
        <f t="shared" si="1591"/>
        <v/>
      </c>
      <c r="Z1069" s="418" t="str">
        <f t="shared" si="1592"/>
        <v/>
      </c>
      <c r="AA1069" s="418" t="str">
        <f t="shared" si="1593"/>
        <v/>
      </c>
      <c r="AB1069" s="418" t="str">
        <f t="shared" si="1594"/>
        <v/>
      </c>
      <c r="AC1069" s="418" t="str">
        <f t="shared" si="1595"/>
        <v/>
      </c>
      <c r="AD1069" s="418" t="str">
        <f t="shared" si="1596"/>
        <v/>
      </c>
      <c r="AE1069" s="418" t="str">
        <f t="shared" si="1597"/>
        <v/>
      </c>
      <c r="AF1069" s="418" t="str">
        <f t="shared" si="1598"/>
        <v/>
      </c>
      <c r="AG1069" s="418" t="str">
        <f t="shared" si="1599"/>
        <v/>
      </c>
      <c r="AH1069" s="418" t="str">
        <f t="shared" si="1600"/>
        <v/>
      </c>
      <c r="AI1069" s="418" t="str">
        <f t="shared" si="1601"/>
        <v/>
      </c>
      <c r="AJ1069" s="418" t="str">
        <f t="shared" si="1602"/>
        <v/>
      </c>
      <c r="AK1069" s="418" t="str">
        <f t="shared" si="1603"/>
        <v/>
      </c>
      <c r="AL1069" s="418" t="str">
        <f t="shared" si="1604"/>
        <v/>
      </c>
      <c r="AM1069" s="418" t="str">
        <f t="shared" si="1605"/>
        <v/>
      </c>
      <c r="AN1069" s="418" t="str">
        <f t="shared" si="1606"/>
        <v/>
      </c>
      <c r="AO1069" s="418" t="str">
        <f t="shared" si="1607"/>
        <v/>
      </c>
      <c r="AP1069" s="418" t="str">
        <f t="shared" si="1608"/>
        <v/>
      </c>
      <c r="AQ1069" s="418" t="str">
        <f t="shared" si="1609"/>
        <v/>
      </c>
      <c r="AR1069" s="418" t="str">
        <f t="shared" si="1610"/>
        <v/>
      </c>
      <c r="AS1069" s="418" t="str">
        <f t="shared" si="1611"/>
        <v/>
      </c>
      <c r="AT1069" s="418" t="str">
        <f t="shared" si="1612"/>
        <v/>
      </c>
      <c r="AU1069" s="418" t="str">
        <f t="shared" si="1613"/>
        <v/>
      </c>
      <c r="AV1069" s="418" t="str">
        <f t="shared" si="1614"/>
        <v/>
      </c>
      <c r="AW1069" s="418" t="str">
        <f t="shared" si="1615"/>
        <v/>
      </c>
      <c r="AX1069" s="418" t="str">
        <f t="shared" si="1616"/>
        <v/>
      </c>
      <c r="AY1069" s="418" t="str">
        <f t="shared" si="1617"/>
        <v/>
      </c>
      <c r="AZ1069" s="418" t="str">
        <f t="shared" si="1618"/>
        <v/>
      </c>
      <c r="BA1069" s="418" t="str">
        <f t="shared" si="1619"/>
        <v/>
      </c>
      <c r="BB1069" s="418" t="str">
        <f t="shared" si="1620"/>
        <v/>
      </c>
      <c r="BC1069" s="418" t="str">
        <f t="shared" si="1621"/>
        <v/>
      </c>
      <c r="BD1069" s="418">
        <f t="shared" si="1622"/>
        <v>240</v>
      </c>
      <c r="BE1069" s="418" t="str">
        <f t="shared" si="1623"/>
        <v/>
      </c>
      <c r="BF1069" s="418" t="str">
        <f t="shared" si="1624"/>
        <v/>
      </c>
      <c r="BG1069" s="418" t="str">
        <f t="shared" si="1625"/>
        <v/>
      </c>
      <c r="BH1069" s="418" t="str">
        <f t="shared" si="1626"/>
        <v/>
      </c>
      <c r="BI1069" s="418" t="str">
        <f t="shared" si="1627"/>
        <v/>
      </c>
      <c r="BJ1069" s="418" t="str">
        <f t="shared" si="1628"/>
        <v/>
      </c>
      <c r="BK1069" s="418" t="str">
        <f t="shared" si="1629"/>
        <v/>
      </c>
      <c r="BL1069" s="418" t="str">
        <f t="shared" si="1630"/>
        <v/>
      </c>
      <c r="BM1069" s="418" t="str">
        <f t="shared" si="1631"/>
        <v/>
      </c>
      <c r="BN1069" s="418" t="str">
        <f t="shared" si="1632"/>
        <v/>
      </c>
      <c r="BO1069" s="418" t="str">
        <f t="shared" si="1633"/>
        <v/>
      </c>
      <c r="BP1069" s="418" t="str">
        <f t="shared" si="1634"/>
        <v/>
      </c>
      <c r="BQ1069" s="418" t="str">
        <f t="shared" si="1640"/>
        <v/>
      </c>
      <c r="BR1069" s="418" t="str">
        <f t="shared" si="1641"/>
        <v/>
      </c>
      <c r="BS1069" s="418" t="str">
        <f t="shared" si="1642"/>
        <v/>
      </c>
      <c r="BT1069" s="418" t="str">
        <f t="shared" si="1635"/>
        <v/>
      </c>
      <c r="BU1069" s="418" t="str">
        <f t="shared" si="1636"/>
        <v/>
      </c>
      <c r="BV1069" s="544">
        <v>1.35</v>
      </c>
      <c r="BW1069" s="723">
        <f t="shared" si="1637"/>
        <v>324</v>
      </c>
      <c r="BX1069" s="724">
        <f t="shared" si="1638"/>
        <v>2511</v>
      </c>
      <c r="BY1069" s="725" t="str">
        <f t="shared" si="1639"/>
        <v>JS</v>
      </c>
    </row>
    <row r="1070" s="697" customFormat="1" customHeight="1" spans="1:77">
      <c r="A1070" s="116">
        <v>46182</v>
      </c>
      <c r="B1070" s="140">
        <v>46242</v>
      </c>
      <c r="C1070" s="123" t="s">
        <v>949</v>
      </c>
      <c r="D1070" s="123" t="s">
        <v>950</v>
      </c>
      <c r="E1070" s="123" t="s">
        <v>121</v>
      </c>
      <c r="F1070" s="142">
        <v>300</v>
      </c>
      <c r="G1070" s="123" t="s">
        <v>510</v>
      </c>
      <c r="H1070" s="118" t="str">
        <f>IFERROR(VLOOKUP(E1070,名称!A:E,4,0),"")</f>
        <v>三代</v>
      </c>
      <c r="I1070" s="418" t="str">
        <f t="shared" si="1575"/>
        <v/>
      </c>
      <c r="J1070" s="418" t="str">
        <f t="shared" si="1576"/>
        <v/>
      </c>
      <c r="K1070" s="418" t="str">
        <f t="shared" si="1577"/>
        <v/>
      </c>
      <c r="L1070" s="418" t="str">
        <f t="shared" si="1578"/>
        <v/>
      </c>
      <c r="M1070" s="418" t="str">
        <f t="shared" si="1579"/>
        <v/>
      </c>
      <c r="N1070" s="418" t="str">
        <f t="shared" si="1580"/>
        <v/>
      </c>
      <c r="O1070" s="418" t="str">
        <f t="shared" si="1581"/>
        <v/>
      </c>
      <c r="P1070" s="418" t="str">
        <f t="shared" si="1582"/>
        <v/>
      </c>
      <c r="Q1070" s="418" t="str">
        <f t="shared" si="1583"/>
        <v/>
      </c>
      <c r="R1070" s="418" t="str">
        <f t="shared" si="1584"/>
        <v/>
      </c>
      <c r="S1070" s="418" t="str">
        <f t="shared" si="1585"/>
        <v/>
      </c>
      <c r="T1070" s="418" t="str">
        <f t="shared" si="1586"/>
        <v/>
      </c>
      <c r="U1070" s="418" t="str">
        <f t="shared" si="1587"/>
        <v/>
      </c>
      <c r="V1070" s="418" t="str">
        <f t="shared" si="1588"/>
        <v/>
      </c>
      <c r="W1070" s="418" t="str">
        <f t="shared" si="1589"/>
        <v/>
      </c>
      <c r="X1070" s="418" t="str">
        <f t="shared" si="1590"/>
        <v/>
      </c>
      <c r="Y1070" s="418" t="str">
        <f t="shared" si="1591"/>
        <v/>
      </c>
      <c r="Z1070" s="418" t="str">
        <f t="shared" si="1592"/>
        <v/>
      </c>
      <c r="AA1070" s="418" t="str">
        <f t="shared" si="1593"/>
        <v/>
      </c>
      <c r="AB1070" s="418" t="str">
        <f t="shared" si="1594"/>
        <v/>
      </c>
      <c r="AC1070" s="418">
        <f t="shared" si="1595"/>
        <v>300</v>
      </c>
      <c r="AD1070" s="418" t="str">
        <f t="shared" si="1596"/>
        <v/>
      </c>
      <c r="AE1070" s="418" t="str">
        <f t="shared" si="1597"/>
        <v/>
      </c>
      <c r="AF1070" s="418" t="str">
        <f t="shared" si="1598"/>
        <v/>
      </c>
      <c r="AG1070" s="418" t="str">
        <f t="shared" si="1599"/>
        <v/>
      </c>
      <c r="AH1070" s="418" t="str">
        <f t="shared" si="1600"/>
        <v/>
      </c>
      <c r="AI1070" s="418" t="str">
        <f t="shared" si="1601"/>
        <v/>
      </c>
      <c r="AJ1070" s="418" t="str">
        <f t="shared" si="1602"/>
        <v/>
      </c>
      <c r="AK1070" s="418" t="str">
        <f t="shared" si="1603"/>
        <v/>
      </c>
      <c r="AL1070" s="418" t="str">
        <f t="shared" si="1604"/>
        <v/>
      </c>
      <c r="AM1070" s="418" t="str">
        <f t="shared" si="1605"/>
        <v/>
      </c>
      <c r="AN1070" s="418" t="str">
        <f t="shared" si="1606"/>
        <v/>
      </c>
      <c r="AO1070" s="418" t="str">
        <f t="shared" si="1607"/>
        <v/>
      </c>
      <c r="AP1070" s="418" t="str">
        <f t="shared" si="1608"/>
        <v/>
      </c>
      <c r="AQ1070" s="418" t="str">
        <f t="shared" si="1609"/>
        <v/>
      </c>
      <c r="AR1070" s="418" t="str">
        <f t="shared" si="1610"/>
        <v/>
      </c>
      <c r="AS1070" s="418" t="str">
        <f t="shared" si="1611"/>
        <v/>
      </c>
      <c r="AT1070" s="418" t="str">
        <f t="shared" si="1612"/>
        <v/>
      </c>
      <c r="AU1070" s="418" t="str">
        <f t="shared" si="1613"/>
        <v/>
      </c>
      <c r="AV1070" s="418" t="str">
        <f t="shared" si="1614"/>
        <v/>
      </c>
      <c r="AW1070" s="418" t="str">
        <f t="shared" si="1615"/>
        <v/>
      </c>
      <c r="AX1070" s="418" t="str">
        <f t="shared" si="1616"/>
        <v/>
      </c>
      <c r="AY1070" s="418" t="str">
        <f t="shared" si="1617"/>
        <v/>
      </c>
      <c r="AZ1070" s="418" t="str">
        <f t="shared" si="1618"/>
        <v/>
      </c>
      <c r="BA1070" s="418" t="str">
        <f t="shared" si="1619"/>
        <v/>
      </c>
      <c r="BB1070" s="418" t="str">
        <f t="shared" si="1620"/>
        <v/>
      </c>
      <c r="BC1070" s="418" t="str">
        <f t="shared" si="1621"/>
        <v/>
      </c>
      <c r="BD1070" s="418" t="str">
        <f t="shared" si="1622"/>
        <v/>
      </c>
      <c r="BE1070" s="418" t="str">
        <f t="shared" si="1623"/>
        <v/>
      </c>
      <c r="BF1070" s="418" t="str">
        <f t="shared" si="1624"/>
        <v/>
      </c>
      <c r="BG1070" s="418" t="str">
        <f t="shared" si="1625"/>
        <v/>
      </c>
      <c r="BH1070" s="418" t="str">
        <f t="shared" si="1626"/>
        <v/>
      </c>
      <c r="BI1070" s="418" t="str">
        <f t="shared" si="1627"/>
        <v/>
      </c>
      <c r="BJ1070" s="418" t="str">
        <f t="shared" si="1628"/>
        <v/>
      </c>
      <c r="BK1070" s="418" t="str">
        <f t="shared" si="1629"/>
        <v/>
      </c>
      <c r="BL1070" s="418" t="str">
        <f t="shared" si="1630"/>
        <v/>
      </c>
      <c r="BM1070" s="418" t="str">
        <f t="shared" si="1631"/>
        <v/>
      </c>
      <c r="BN1070" s="418" t="str">
        <f t="shared" si="1632"/>
        <v/>
      </c>
      <c r="BO1070" s="418" t="str">
        <f t="shared" si="1633"/>
        <v/>
      </c>
      <c r="BP1070" s="418" t="str">
        <f t="shared" si="1634"/>
        <v/>
      </c>
      <c r="BQ1070" s="418" t="str">
        <f t="shared" si="1640"/>
        <v/>
      </c>
      <c r="BR1070" s="418" t="str">
        <f t="shared" si="1641"/>
        <v/>
      </c>
      <c r="BS1070" s="418" t="str">
        <f t="shared" si="1642"/>
        <v/>
      </c>
      <c r="BT1070" s="418" t="str">
        <f t="shared" si="1635"/>
        <v/>
      </c>
      <c r="BU1070" s="418" t="str">
        <f t="shared" si="1636"/>
        <v/>
      </c>
      <c r="BV1070" s="544">
        <v>0.79</v>
      </c>
      <c r="BW1070" s="723">
        <f t="shared" si="1637"/>
        <v>237</v>
      </c>
      <c r="BX1070" s="724">
        <f t="shared" si="1638"/>
        <v>1836.75</v>
      </c>
      <c r="BY1070" s="725" t="str">
        <f t="shared" si="1639"/>
        <v>SR</v>
      </c>
    </row>
    <row r="1071" s="697" customFormat="1" customHeight="1" spans="1:77">
      <c r="A1071" s="116">
        <v>46182</v>
      </c>
      <c r="B1071" s="140">
        <v>46242</v>
      </c>
      <c r="C1071" s="123" t="s">
        <v>949</v>
      </c>
      <c r="D1071" s="123" t="s">
        <v>950</v>
      </c>
      <c r="E1071" s="123" t="s">
        <v>99</v>
      </c>
      <c r="F1071" s="142">
        <v>120</v>
      </c>
      <c r="G1071" s="123" t="s">
        <v>510</v>
      </c>
      <c r="H1071" s="118" t="str">
        <f>IFERROR(VLOOKUP(E1071,名称!A:E,4,0),"")</f>
        <v>三代</v>
      </c>
      <c r="I1071" s="418" t="str">
        <f t="shared" si="1575"/>
        <v/>
      </c>
      <c r="J1071" s="418" t="str">
        <f t="shared" si="1576"/>
        <v/>
      </c>
      <c r="K1071" s="418" t="str">
        <f t="shared" si="1577"/>
        <v/>
      </c>
      <c r="L1071" s="418" t="str">
        <f t="shared" si="1578"/>
        <v/>
      </c>
      <c r="M1071" s="418" t="str">
        <f t="shared" si="1579"/>
        <v/>
      </c>
      <c r="N1071" s="418" t="str">
        <f t="shared" si="1580"/>
        <v/>
      </c>
      <c r="O1071" s="418" t="str">
        <f t="shared" si="1581"/>
        <v/>
      </c>
      <c r="P1071" s="418" t="str">
        <f t="shared" si="1582"/>
        <v/>
      </c>
      <c r="Q1071" s="418" t="str">
        <f t="shared" si="1583"/>
        <v/>
      </c>
      <c r="R1071" s="418" t="str">
        <f t="shared" si="1584"/>
        <v/>
      </c>
      <c r="S1071" s="418" t="str">
        <f t="shared" si="1585"/>
        <v/>
      </c>
      <c r="T1071" s="418" t="str">
        <f t="shared" si="1586"/>
        <v/>
      </c>
      <c r="U1071" s="418" t="str">
        <f t="shared" si="1587"/>
        <v/>
      </c>
      <c r="V1071" s="418" t="str">
        <f t="shared" si="1588"/>
        <v/>
      </c>
      <c r="W1071" s="418" t="str">
        <f t="shared" si="1589"/>
        <v/>
      </c>
      <c r="X1071" s="418" t="str">
        <f t="shared" si="1590"/>
        <v/>
      </c>
      <c r="Y1071" s="418" t="str">
        <f t="shared" si="1591"/>
        <v/>
      </c>
      <c r="Z1071" s="418" t="str">
        <f t="shared" si="1592"/>
        <v/>
      </c>
      <c r="AA1071" s="418" t="str">
        <f t="shared" si="1593"/>
        <v/>
      </c>
      <c r="AB1071" s="418" t="str">
        <f t="shared" si="1594"/>
        <v/>
      </c>
      <c r="AC1071" s="418">
        <f t="shared" si="1595"/>
        <v>120</v>
      </c>
      <c r="AD1071" s="418" t="str">
        <f t="shared" si="1596"/>
        <v/>
      </c>
      <c r="AE1071" s="418" t="str">
        <f t="shared" si="1597"/>
        <v/>
      </c>
      <c r="AF1071" s="418" t="str">
        <f t="shared" si="1598"/>
        <v/>
      </c>
      <c r="AG1071" s="418" t="str">
        <f t="shared" si="1599"/>
        <v/>
      </c>
      <c r="AH1071" s="418" t="str">
        <f t="shared" si="1600"/>
        <v/>
      </c>
      <c r="AI1071" s="418" t="str">
        <f t="shared" si="1601"/>
        <v/>
      </c>
      <c r="AJ1071" s="418" t="str">
        <f t="shared" si="1602"/>
        <v/>
      </c>
      <c r="AK1071" s="418" t="str">
        <f t="shared" si="1603"/>
        <v/>
      </c>
      <c r="AL1071" s="418" t="str">
        <f t="shared" si="1604"/>
        <v/>
      </c>
      <c r="AM1071" s="418" t="str">
        <f t="shared" si="1605"/>
        <v/>
      </c>
      <c r="AN1071" s="418" t="str">
        <f t="shared" si="1606"/>
        <v/>
      </c>
      <c r="AO1071" s="418" t="str">
        <f t="shared" si="1607"/>
        <v/>
      </c>
      <c r="AP1071" s="418" t="str">
        <f t="shared" si="1608"/>
        <v/>
      </c>
      <c r="AQ1071" s="418" t="str">
        <f t="shared" si="1609"/>
        <v/>
      </c>
      <c r="AR1071" s="418" t="str">
        <f t="shared" si="1610"/>
        <v/>
      </c>
      <c r="AS1071" s="418" t="str">
        <f t="shared" si="1611"/>
        <v/>
      </c>
      <c r="AT1071" s="418" t="str">
        <f t="shared" si="1612"/>
        <v/>
      </c>
      <c r="AU1071" s="418" t="str">
        <f t="shared" si="1613"/>
        <v/>
      </c>
      <c r="AV1071" s="418" t="str">
        <f t="shared" si="1614"/>
        <v/>
      </c>
      <c r="AW1071" s="418" t="str">
        <f t="shared" si="1615"/>
        <v/>
      </c>
      <c r="AX1071" s="418" t="str">
        <f t="shared" si="1616"/>
        <v/>
      </c>
      <c r="AY1071" s="418" t="str">
        <f t="shared" si="1617"/>
        <v/>
      </c>
      <c r="AZ1071" s="418" t="str">
        <f t="shared" si="1618"/>
        <v/>
      </c>
      <c r="BA1071" s="418" t="str">
        <f t="shared" si="1619"/>
        <v/>
      </c>
      <c r="BB1071" s="418" t="str">
        <f t="shared" si="1620"/>
        <v/>
      </c>
      <c r="BC1071" s="418" t="str">
        <f t="shared" si="1621"/>
        <v/>
      </c>
      <c r="BD1071" s="418" t="str">
        <f t="shared" si="1622"/>
        <v/>
      </c>
      <c r="BE1071" s="418" t="str">
        <f t="shared" si="1623"/>
        <v/>
      </c>
      <c r="BF1071" s="418" t="str">
        <f t="shared" si="1624"/>
        <v/>
      </c>
      <c r="BG1071" s="418" t="str">
        <f t="shared" si="1625"/>
        <v/>
      </c>
      <c r="BH1071" s="418" t="str">
        <f t="shared" si="1626"/>
        <v/>
      </c>
      <c r="BI1071" s="418" t="str">
        <f t="shared" si="1627"/>
        <v/>
      </c>
      <c r="BJ1071" s="418" t="str">
        <f t="shared" si="1628"/>
        <v/>
      </c>
      <c r="BK1071" s="418" t="str">
        <f t="shared" si="1629"/>
        <v/>
      </c>
      <c r="BL1071" s="418" t="str">
        <f t="shared" si="1630"/>
        <v/>
      </c>
      <c r="BM1071" s="418" t="str">
        <f t="shared" si="1631"/>
        <v/>
      </c>
      <c r="BN1071" s="418" t="str">
        <f t="shared" si="1632"/>
        <v/>
      </c>
      <c r="BO1071" s="418" t="str">
        <f t="shared" si="1633"/>
        <v/>
      </c>
      <c r="BP1071" s="418" t="str">
        <f t="shared" si="1634"/>
        <v/>
      </c>
      <c r="BQ1071" s="418" t="str">
        <f t="shared" si="1640"/>
        <v/>
      </c>
      <c r="BR1071" s="418" t="str">
        <f t="shared" si="1641"/>
        <v/>
      </c>
      <c r="BS1071" s="418" t="str">
        <f t="shared" si="1642"/>
        <v/>
      </c>
      <c r="BT1071" s="418" t="str">
        <f t="shared" si="1635"/>
        <v/>
      </c>
      <c r="BU1071" s="418" t="str">
        <f t="shared" si="1636"/>
        <v/>
      </c>
      <c r="BV1071" s="544">
        <v>0.9</v>
      </c>
      <c r="BW1071" s="723">
        <f t="shared" si="1637"/>
        <v>108</v>
      </c>
      <c r="BX1071" s="724">
        <f t="shared" si="1638"/>
        <v>837</v>
      </c>
      <c r="BY1071" s="725" t="str">
        <f t="shared" si="1639"/>
        <v>SR</v>
      </c>
    </row>
    <row r="1072" s="697" customFormat="1" customHeight="1" spans="1:77">
      <c r="A1072" s="116">
        <v>46182</v>
      </c>
      <c r="B1072" s="140">
        <v>46242</v>
      </c>
      <c r="C1072" s="123" t="s">
        <v>949</v>
      </c>
      <c r="D1072" s="123" t="s">
        <v>950</v>
      </c>
      <c r="E1072" s="123" t="s">
        <v>59</v>
      </c>
      <c r="F1072" s="142">
        <v>384</v>
      </c>
      <c r="G1072" s="123" t="s">
        <v>510</v>
      </c>
      <c r="H1072" s="118" t="str">
        <f>IFERROR(VLOOKUP(E1072,名称!A:E,4,0),"")</f>
        <v>三代</v>
      </c>
      <c r="I1072" s="418" t="str">
        <f t="shared" si="1575"/>
        <v/>
      </c>
      <c r="J1072" s="418" t="str">
        <f t="shared" si="1576"/>
        <v/>
      </c>
      <c r="K1072" s="418" t="str">
        <f t="shared" si="1577"/>
        <v/>
      </c>
      <c r="L1072" s="418" t="str">
        <f t="shared" si="1578"/>
        <v/>
      </c>
      <c r="M1072" s="418" t="str">
        <f t="shared" si="1579"/>
        <v/>
      </c>
      <c r="N1072" s="418" t="str">
        <f t="shared" si="1580"/>
        <v/>
      </c>
      <c r="O1072" s="418" t="str">
        <f t="shared" si="1581"/>
        <v/>
      </c>
      <c r="P1072" s="418" t="str">
        <f t="shared" si="1582"/>
        <v/>
      </c>
      <c r="Q1072" s="418" t="str">
        <f t="shared" si="1583"/>
        <v/>
      </c>
      <c r="R1072" s="418" t="str">
        <f t="shared" si="1584"/>
        <v/>
      </c>
      <c r="S1072" s="418" t="str">
        <f t="shared" si="1585"/>
        <v/>
      </c>
      <c r="T1072" s="418" t="str">
        <f t="shared" si="1586"/>
        <v/>
      </c>
      <c r="U1072" s="418" t="str">
        <f t="shared" si="1587"/>
        <v/>
      </c>
      <c r="V1072" s="418" t="str">
        <f t="shared" si="1588"/>
        <v/>
      </c>
      <c r="W1072" s="418" t="str">
        <f t="shared" si="1589"/>
        <v/>
      </c>
      <c r="X1072" s="418" t="str">
        <f t="shared" si="1590"/>
        <v/>
      </c>
      <c r="Y1072" s="418" t="str">
        <f t="shared" si="1591"/>
        <v/>
      </c>
      <c r="Z1072" s="418" t="str">
        <f t="shared" si="1592"/>
        <v/>
      </c>
      <c r="AA1072" s="418" t="str">
        <f t="shared" si="1593"/>
        <v/>
      </c>
      <c r="AB1072" s="418" t="str">
        <f t="shared" si="1594"/>
        <v/>
      </c>
      <c r="AC1072" s="418" t="str">
        <f t="shared" si="1595"/>
        <v/>
      </c>
      <c r="AD1072" s="418">
        <f t="shared" si="1596"/>
        <v>384</v>
      </c>
      <c r="AE1072" s="418" t="str">
        <f t="shared" si="1597"/>
        <v/>
      </c>
      <c r="AF1072" s="418" t="str">
        <f t="shared" si="1598"/>
        <v/>
      </c>
      <c r="AG1072" s="418" t="str">
        <f t="shared" si="1599"/>
        <v/>
      </c>
      <c r="AH1072" s="418" t="str">
        <f t="shared" si="1600"/>
        <v/>
      </c>
      <c r="AI1072" s="418" t="str">
        <f t="shared" si="1601"/>
        <v/>
      </c>
      <c r="AJ1072" s="418" t="str">
        <f t="shared" si="1602"/>
        <v/>
      </c>
      <c r="AK1072" s="418" t="str">
        <f t="shared" si="1603"/>
        <v/>
      </c>
      <c r="AL1072" s="418" t="str">
        <f t="shared" si="1604"/>
        <v/>
      </c>
      <c r="AM1072" s="418" t="str">
        <f t="shared" si="1605"/>
        <v/>
      </c>
      <c r="AN1072" s="418" t="str">
        <f t="shared" si="1606"/>
        <v/>
      </c>
      <c r="AO1072" s="418" t="str">
        <f t="shared" si="1607"/>
        <v/>
      </c>
      <c r="AP1072" s="418" t="str">
        <f t="shared" si="1608"/>
        <v/>
      </c>
      <c r="AQ1072" s="418" t="str">
        <f t="shared" si="1609"/>
        <v/>
      </c>
      <c r="AR1072" s="418" t="str">
        <f t="shared" si="1610"/>
        <v/>
      </c>
      <c r="AS1072" s="418" t="str">
        <f t="shared" si="1611"/>
        <v/>
      </c>
      <c r="AT1072" s="418" t="str">
        <f t="shared" si="1612"/>
        <v/>
      </c>
      <c r="AU1072" s="418" t="str">
        <f t="shared" si="1613"/>
        <v/>
      </c>
      <c r="AV1072" s="418" t="str">
        <f t="shared" si="1614"/>
        <v/>
      </c>
      <c r="AW1072" s="418" t="str">
        <f t="shared" si="1615"/>
        <v/>
      </c>
      <c r="AX1072" s="418" t="str">
        <f t="shared" si="1616"/>
        <v/>
      </c>
      <c r="AY1072" s="418" t="str">
        <f t="shared" si="1617"/>
        <v/>
      </c>
      <c r="AZ1072" s="418" t="str">
        <f t="shared" si="1618"/>
        <v/>
      </c>
      <c r="BA1072" s="418" t="str">
        <f t="shared" si="1619"/>
        <v/>
      </c>
      <c r="BB1072" s="418" t="str">
        <f t="shared" si="1620"/>
        <v/>
      </c>
      <c r="BC1072" s="418" t="str">
        <f t="shared" si="1621"/>
        <v/>
      </c>
      <c r="BD1072" s="418" t="str">
        <f t="shared" si="1622"/>
        <v/>
      </c>
      <c r="BE1072" s="418" t="str">
        <f t="shared" si="1623"/>
        <v/>
      </c>
      <c r="BF1072" s="418" t="str">
        <f t="shared" si="1624"/>
        <v/>
      </c>
      <c r="BG1072" s="418" t="str">
        <f t="shared" si="1625"/>
        <v/>
      </c>
      <c r="BH1072" s="418" t="str">
        <f t="shared" si="1626"/>
        <v/>
      </c>
      <c r="BI1072" s="418" t="str">
        <f t="shared" si="1627"/>
        <v/>
      </c>
      <c r="BJ1072" s="418" t="str">
        <f t="shared" si="1628"/>
        <v/>
      </c>
      <c r="BK1072" s="418" t="str">
        <f t="shared" si="1629"/>
        <v/>
      </c>
      <c r="BL1072" s="418" t="str">
        <f t="shared" si="1630"/>
        <v/>
      </c>
      <c r="BM1072" s="418" t="str">
        <f t="shared" si="1631"/>
        <v/>
      </c>
      <c r="BN1072" s="418" t="str">
        <f t="shared" si="1632"/>
        <v/>
      </c>
      <c r="BO1072" s="418" t="str">
        <f t="shared" si="1633"/>
        <v/>
      </c>
      <c r="BP1072" s="418" t="str">
        <f t="shared" si="1634"/>
        <v/>
      </c>
      <c r="BQ1072" s="418" t="str">
        <f t="shared" si="1640"/>
        <v/>
      </c>
      <c r="BR1072" s="418" t="str">
        <f t="shared" si="1641"/>
        <v/>
      </c>
      <c r="BS1072" s="418" t="str">
        <f t="shared" si="1642"/>
        <v/>
      </c>
      <c r="BT1072" s="418" t="str">
        <f t="shared" si="1635"/>
        <v/>
      </c>
      <c r="BU1072" s="418" t="str">
        <f t="shared" si="1636"/>
        <v/>
      </c>
      <c r="BV1072" s="544">
        <v>0.65</v>
      </c>
      <c r="BW1072" s="723">
        <f t="shared" si="1637"/>
        <v>249.6</v>
      </c>
      <c r="BX1072" s="724">
        <f t="shared" si="1638"/>
        <v>1934.4</v>
      </c>
      <c r="BY1072" s="725" t="str">
        <f t="shared" si="1639"/>
        <v>SR</v>
      </c>
    </row>
    <row r="1073" s="697" customFormat="1" customHeight="1" spans="1:77">
      <c r="A1073" s="116">
        <v>46182</v>
      </c>
      <c r="B1073" s="140">
        <v>46242</v>
      </c>
      <c r="C1073" s="123" t="s">
        <v>949</v>
      </c>
      <c r="D1073" s="123" t="s">
        <v>950</v>
      </c>
      <c r="E1073" s="123" t="s">
        <v>66</v>
      </c>
      <c r="F1073" s="142">
        <v>144</v>
      </c>
      <c r="G1073" s="123" t="s">
        <v>510</v>
      </c>
      <c r="H1073" s="118" t="str">
        <f>IFERROR(VLOOKUP(E1073,名称!A:E,4,0),"")</f>
        <v>三代</v>
      </c>
      <c r="I1073" s="418" t="str">
        <f t="shared" si="1575"/>
        <v/>
      </c>
      <c r="J1073" s="418" t="str">
        <f t="shared" si="1576"/>
        <v/>
      </c>
      <c r="K1073" s="418" t="str">
        <f t="shared" si="1577"/>
        <v/>
      </c>
      <c r="L1073" s="418" t="str">
        <f t="shared" si="1578"/>
        <v/>
      </c>
      <c r="M1073" s="418" t="str">
        <f t="shared" si="1579"/>
        <v/>
      </c>
      <c r="N1073" s="418" t="str">
        <f t="shared" si="1580"/>
        <v/>
      </c>
      <c r="O1073" s="418" t="str">
        <f t="shared" si="1581"/>
        <v/>
      </c>
      <c r="P1073" s="418" t="str">
        <f t="shared" si="1582"/>
        <v/>
      </c>
      <c r="Q1073" s="418" t="str">
        <f t="shared" si="1583"/>
        <v/>
      </c>
      <c r="R1073" s="418" t="str">
        <f t="shared" si="1584"/>
        <v/>
      </c>
      <c r="S1073" s="418" t="str">
        <f t="shared" si="1585"/>
        <v/>
      </c>
      <c r="T1073" s="418" t="str">
        <f t="shared" si="1586"/>
        <v/>
      </c>
      <c r="U1073" s="418" t="str">
        <f t="shared" si="1587"/>
        <v/>
      </c>
      <c r="V1073" s="418" t="str">
        <f t="shared" si="1588"/>
        <v/>
      </c>
      <c r="W1073" s="418" t="str">
        <f t="shared" si="1589"/>
        <v/>
      </c>
      <c r="X1073" s="418" t="str">
        <f t="shared" si="1590"/>
        <v/>
      </c>
      <c r="Y1073" s="418" t="str">
        <f t="shared" si="1591"/>
        <v/>
      </c>
      <c r="Z1073" s="418" t="str">
        <f t="shared" si="1592"/>
        <v/>
      </c>
      <c r="AA1073" s="418" t="str">
        <f t="shared" si="1593"/>
        <v/>
      </c>
      <c r="AB1073" s="418" t="str">
        <f t="shared" si="1594"/>
        <v/>
      </c>
      <c r="AC1073" s="418" t="str">
        <f t="shared" si="1595"/>
        <v/>
      </c>
      <c r="AD1073" s="418" t="str">
        <f t="shared" si="1596"/>
        <v/>
      </c>
      <c r="AE1073" s="418" t="str">
        <f t="shared" si="1597"/>
        <v/>
      </c>
      <c r="AF1073" s="418" t="str">
        <f t="shared" si="1598"/>
        <v/>
      </c>
      <c r="AG1073" s="418">
        <f t="shared" si="1599"/>
        <v>144</v>
      </c>
      <c r="AH1073" s="418" t="str">
        <f t="shared" si="1600"/>
        <v/>
      </c>
      <c r="AI1073" s="418" t="str">
        <f t="shared" si="1601"/>
        <v/>
      </c>
      <c r="AJ1073" s="418" t="str">
        <f t="shared" si="1602"/>
        <v/>
      </c>
      <c r="AK1073" s="418" t="str">
        <f t="shared" si="1603"/>
        <v/>
      </c>
      <c r="AL1073" s="418" t="str">
        <f t="shared" si="1604"/>
        <v/>
      </c>
      <c r="AM1073" s="418" t="str">
        <f t="shared" si="1605"/>
        <v/>
      </c>
      <c r="AN1073" s="418" t="str">
        <f t="shared" si="1606"/>
        <v/>
      </c>
      <c r="AO1073" s="418" t="str">
        <f t="shared" si="1607"/>
        <v/>
      </c>
      <c r="AP1073" s="418" t="str">
        <f t="shared" si="1608"/>
        <v/>
      </c>
      <c r="AQ1073" s="418" t="str">
        <f t="shared" si="1609"/>
        <v/>
      </c>
      <c r="AR1073" s="418" t="str">
        <f t="shared" si="1610"/>
        <v/>
      </c>
      <c r="AS1073" s="418" t="str">
        <f t="shared" si="1611"/>
        <v/>
      </c>
      <c r="AT1073" s="418" t="str">
        <f t="shared" si="1612"/>
        <v/>
      </c>
      <c r="AU1073" s="418" t="str">
        <f t="shared" si="1613"/>
        <v/>
      </c>
      <c r="AV1073" s="418" t="str">
        <f t="shared" si="1614"/>
        <v/>
      </c>
      <c r="AW1073" s="418" t="str">
        <f t="shared" si="1615"/>
        <v/>
      </c>
      <c r="AX1073" s="418" t="str">
        <f t="shared" si="1616"/>
        <v/>
      </c>
      <c r="AY1073" s="418" t="str">
        <f t="shared" si="1617"/>
        <v/>
      </c>
      <c r="AZ1073" s="418" t="str">
        <f t="shared" si="1618"/>
        <v/>
      </c>
      <c r="BA1073" s="418" t="str">
        <f t="shared" si="1619"/>
        <v/>
      </c>
      <c r="BB1073" s="418" t="str">
        <f t="shared" si="1620"/>
        <v/>
      </c>
      <c r="BC1073" s="418" t="str">
        <f t="shared" si="1621"/>
        <v/>
      </c>
      <c r="BD1073" s="418" t="str">
        <f t="shared" si="1622"/>
        <v/>
      </c>
      <c r="BE1073" s="418" t="str">
        <f t="shared" si="1623"/>
        <v/>
      </c>
      <c r="BF1073" s="418" t="str">
        <f t="shared" si="1624"/>
        <v/>
      </c>
      <c r="BG1073" s="418" t="str">
        <f t="shared" si="1625"/>
        <v/>
      </c>
      <c r="BH1073" s="418" t="str">
        <f t="shared" si="1626"/>
        <v/>
      </c>
      <c r="BI1073" s="418" t="str">
        <f t="shared" si="1627"/>
        <v/>
      </c>
      <c r="BJ1073" s="418" t="str">
        <f t="shared" si="1628"/>
        <v/>
      </c>
      <c r="BK1073" s="418" t="str">
        <f t="shared" si="1629"/>
        <v/>
      </c>
      <c r="BL1073" s="418" t="str">
        <f t="shared" si="1630"/>
        <v/>
      </c>
      <c r="BM1073" s="418" t="str">
        <f t="shared" si="1631"/>
        <v/>
      </c>
      <c r="BN1073" s="418" t="str">
        <f t="shared" si="1632"/>
        <v/>
      </c>
      <c r="BO1073" s="418" t="str">
        <f t="shared" si="1633"/>
        <v/>
      </c>
      <c r="BP1073" s="418" t="str">
        <f t="shared" si="1634"/>
        <v/>
      </c>
      <c r="BQ1073" s="418" t="str">
        <f t="shared" si="1640"/>
        <v/>
      </c>
      <c r="BR1073" s="418" t="str">
        <f t="shared" si="1641"/>
        <v/>
      </c>
      <c r="BS1073" s="418" t="str">
        <f t="shared" si="1642"/>
        <v/>
      </c>
      <c r="BT1073" s="418" t="str">
        <f t="shared" si="1635"/>
        <v/>
      </c>
      <c r="BU1073" s="418" t="str">
        <f t="shared" si="1636"/>
        <v/>
      </c>
      <c r="BV1073" s="544">
        <v>2.09</v>
      </c>
      <c r="BW1073" s="723">
        <f t="shared" si="1637"/>
        <v>300.96</v>
      </c>
      <c r="BX1073" s="724">
        <f t="shared" si="1638"/>
        <v>2332.44</v>
      </c>
      <c r="BY1073" s="725" t="str">
        <f t="shared" si="1639"/>
        <v>SR</v>
      </c>
    </row>
    <row r="1074" s="697" customFormat="1" customHeight="1" spans="1:77">
      <c r="A1074" s="116">
        <v>46182</v>
      </c>
      <c r="B1074" s="140">
        <v>46242</v>
      </c>
      <c r="C1074" s="123" t="s">
        <v>949</v>
      </c>
      <c r="D1074" s="123" t="s">
        <v>950</v>
      </c>
      <c r="E1074" s="123" t="s">
        <v>68</v>
      </c>
      <c r="F1074" s="142">
        <v>132</v>
      </c>
      <c r="G1074" s="123" t="s">
        <v>510</v>
      </c>
      <c r="H1074" s="118" t="str">
        <f>IFERROR(VLOOKUP(E1074,名称!A:E,4,0),"")</f>
        <v>三代</v>
      </c>
      <c r="I1074" s="418" t="str">
        <f t="shared" si="1575"/>
        <v/>
      </c>
      <c r="J1074" s="418" t="str">
        <f t="shared" si="1576"/>
        <v/>
      </c>
      <c r="K1074" s="418" t="str">
        <f t="shared" si="1577"/>
        <v/>
      </c>
      <c r="L1074" s="418" t="str">
        <f t="shared" si="1578"/>
        <v/>
      </c>
      <c r="M1074" s="418" t="str">
        <f t="shared" si="1579"/>
        <v/>
      </c>
      <c r="N1074" s="418" t="str">
        <f t="shared" si="1580"/>
        <v/>
      </c>
      <c r="O1074" s="418" t="str">
        <f t="shared" si="1581"/>
        <v/>
      </c>
      <c r="P1074" s="418" t="str">
        <f t="shared" si="1582"/>
        <v/>
      </c>
      <c r="Q1074" s="418" t="str">
        <f t="shared" si="1583"/>
        <v/>
      </c>
      <c r="R1074" s="418" t="str">
        <f t="shared" si="1584"/>
        <v/>
      </c>
      <c r="S1074" s="418" t="str">
        <f t="shared" si="1585"/>
        <v/>
      </c>
      <c r="T1074" s="418" t="str">
        <f t="shared" si="1586"/>
        <v/>
      </c>
      <c r="U1074" s="418" t="str">
        <f t="shared" si="1587"/>
        <v/>
      </c>
      <c r="V1074" s="418" t="str">
        <f t="shared" si="1588"/>
        <v/>
      </c>
      <c r="W1074" s="418" t="str">
        <f t="shared" si="1589"/>
        <v/>
      </c>
      <c r="X1074" s="418" t="str">
        <f t="shared" si="1590"/>
        <v/>
      </c>
      <c r="Y1074" s="418" t="str">
        <f t="shared" si="1591"/>
        <v/>
      </c>
      <c r="Z1074" s="418" t="str">
        <f t="shared" si="1592"/>
        <v/>
      </c>
      <c r="AA1074" s="418" t="str">
        <f t="shared" si="1593"/>
        <v/>
      </c>
      <c r="AB1074" s="418" t="str">
        <f t="shared" si="1594"/>
        <v/>
      </c>
      <c r="AC1074" s="418" t="str">
        <f t="shared" si="1595"/>
        <v/>
      </c>
      <c r="AD1074" s="418" t="str">
        <f t="shared" si="1596"/>
        <v/>
      </c>
      <c r="AE1074" s="418" t="str">
        <f t="shared" si="1597"/>
        <v/>
      </c>
      <c r="AF1074" s="418" t="str">
        <f t="shared" si="1598"/>
        <v/>
      </c>
      <c r="AG1074" s="418" t="str">
        <f t="shared" si="1599"/>
        <v/>
      </c>
      <c r="AH1074" s="418">
        <f t="shared" si="1600"/>
        <v>132</v>
      </c>
      <c r="AI1074" s="418" t="str">
        <f t="shared" si="1601"/>
        <v/>
      </c>
      <c r="AJ1074" s="418" t="str">
        <f t="shared" si="1602"/>
        <v/>
      </c>
      <c r="AK1074" s="418" t="str">
        <f t="shared" si="1603"/>
        <v/>
      </c>
      <c r="AL1074" s="418" t="str">
        <f t="shared" si="1604"/>
        <v/>
      </c>
      <c r="AM1074" s="418" t="str">
        <f t="shared" si="1605"/>
        <v/>
      </c>
      <c r="AN1074" s="418" t="str">
        <f t="shared" si="1606"/>
        <v/>
      </c>
      <c r="AO1074" s="418" t="str">
        <f t="shared" si="1607"/>
        <v/>
      </c>
      <c r="AP1074" s="418" t="str">
        <f t="shared" si="1608"/>
        <v/>
      </c>
      <c r="AQ1074" s="418" t="str">
        <f t="shared" si="1609"/>
        <v/>
      </c>
      <c r="AR1074" s="418" t="str">
        <f t="shared" si="1610"/>
        <v/>
      </c>
      <c r="AS1074" s="418" t="str">
        <f t="shared" si="1611"/>
        <v/>
      </c>
      <c r="AT1074" s="418" t="str">
        <f t="shared" si="1612"/>
        <v/>
      </c>
      <c r="AU1074" s="418" t="str">
        <f t="shared" si="1613"/>
        <v/>
      </c>
      <c r="AV1074" s="418" t="str">
        <f t="shared" si="1614"/>
        <v/>
      </c>
      <c r="AW1074" s="418" t="str">
        <f t="shared" si="1615"/>
        <v/>
      </c>
      <c r="AX1074" s="418" t="str">
        <f t="shared" si="1616"/>
        <v/>
      </c>
      <c r="AY1074" s="418" t="str">
        <f t="shared" si="1617"/>
        <v/>
      </c>
      <c r="AZ1074" s="418" t="str">
        <f t="shared" si="1618"/>
        <v/>
      </c>
      <c r="BA1074" s="418" t="str">
        <f t="shared" si="1619"/>
        <v/>
      </c>
      <c r="BB1074" s="418" t="str">
        <f t="shared" si="1620"/>
        <v/>
      </c>
      <c r="BC1074" s="418" t="str">
        <f t="shared" si="1621"/>
        <v/>
      </c>
      <c r="BD1074" s="418" t="str">
        <f t="shared" si="1622"/>
        <v/>
      </c>
      <c r="BE1074" s="418" t="str">
        <f t="shared" si="1623"/>
        <v/>
      </c>
      <c r="BF1074" s="418" t="str">
        <f t="shared" si="1624"/>
        <v/>
      </c>
      <c r="BG1074" s="418" t="str">
        <f t="shared" si="1625"/>
        <v/>
      </c>
      <c r="BH1074" s="418" t="str">
        <f t="shared" si="1626"/>
        <v/>
      </c>
      <c r="BI1074" s="418" t="str">
        <f t="shared" si="1627"/>
        <v/>
      </c>
      <c r="BJ1074" s="418" t="str">
        <f t="shared" si="1628"/>
        <v/>
      </c>
      <c r="BK1074" s="418" t="str">
        <f t="shared" si="1629"/>
        <v/>
      </c>
      <c r="BL1074" s="418" t="str">
        <f t="shared" si="1630"/>
        <v/>
      </c>
      <c r="BM1074" s="418" t="str">
        <f t="shared" si="1631"/>
        <v/>
      </c>
      <c r="BN1074" s="418" t="str">
        <f t="shared" si="1632"/>
        <v/>
      </c>
      <c r="BO1074" s="418" t="str">
        <f t="shared" si="1633"/>
        <v/>
      </c>
      <c r="BP1074" s="418" t="str">
        <f t="shared" si="1634"/>
        <v/>
      </c>
      <c r="BQ1074" s="418" t="str">
        <f t="shared" si="1640"/>
        <v/>
      </c>
      <c r="BR1074" s="418" t="str">
        <f t="shared" si="1641"/>
        <v/>
      </c>
      <c r="BS1074" s="418" t="str">
        <f t="shared" si="1642"/>
        <v/>
      </c>
      <c r="BT1074" s="418" t="str">
        <f t="shared" si="1635"/>
        <v/>
      </c>
      <c r="BU1074" s="418" t="str">
        <f t="shared" si="1636"/>
        <v/>
      </c>
      <c r="BV1074" s="544">
        <v>3.23</v>
      </c>
      <c r="BW1074" s="723">
        <f t="shared" si="1637"/>
        <v>426.36</v>
      </c>
      <c r="BX1074" s="724">
        <f t="shared" si="1638"/>
        <v>3304.29</v>
      </c>
      <c r="BY1074" s="725" t="str">
        <f t="shared" si="1639"/>
        <v>SR</v>
      </c>
    </row>
    <row r="1075" s="697" customFormat="1" customHeight="1" spans="1:77">
      <c r="A1075" s="116">
        <v>46182</v>
      </c>
      <c r="B1075" s="140">
        <v>46242</v>
      </c>
      <c r="C1075" s="123" t="s">
        <v>949</v>
      </c>
      <c r="D1075" s="123" t="s">
        <v>950</v>
      </c>
      <c r="E1075" s="123" t="s">
        <v>72</v>
      </c>
      <c r="F1075" s="142">
        <v>216</v>
      </c>
      <c r="G1075" s="123" t="s">
        <v>510</v>
      </c>
      <c r="H1075" s="118" t="str">
        <f>IFERROR(VLOOKUP(E1075,名称!A:E,4,0),"")</f>
        <v>三代</v>
      </c>
      <c r="I1075" s="418" t="str">
        <f t="shared" si="1575"/>
        <v/>
      </c>
      <c r="J1075" s="418" t="str">
        <f t="shared" si="1576"/>
        <v/>
      </c>
      <c r="K1075" s="418" t="str">
        <f t="shared" si="1577"/>
        <v/>
      </c>
      <c r="L1075" s="418" t="str">
        <f t="shared" si="1578"/>
        <v/>
      </c>
      <c r="M1075" s="418" t="str">
        <f t="shared" si="1579"/>
        <v/>
      </c>
      <c r="N1075" s="418" t="str">
        <f t="shared" si="1580"/>
        <v/>
      </c>
      <c r="O1075" s="418" t="str">
        <f t="shared" si="1581"/>
        <v/>
      </c>
      <c r="P1075" s="418" t="str">
        <f t="shared" si="1582"/>
        <v/>
      </c>
      <c r="Q1075" s="418" t="str">
        <f t="shared" si="1583"/>
        <v/>
      </c>
      <c r="R1075" s="418" t="str">
        <f t="shared" si="1584"/>
        <v/>
      </c>
      <c r="S1075" s="418" t="str">
        <f t="shared" si="1585"/>
        <v/>
      </c>
      <c r="T1075" s="418" t="str">
        <f t="shared" si="1586"/>
        <v/>
      </c>
      <c r="U1075" s="418" t="str">
        <f t="shared" si="1587"/>
        <v/>
      </c>
      <c r="V1075" s="418" t="str">
        <f t="shared" si="1588"/>
        <v/>
      </c>
      <c r="W1075" s="418" t="str">
        <f t="shared" si="1589"/>
        <v/>
      </c>
      <c r="X1075" s="418" t="str">
        <f t="shared" si="1590"/>
        <v/>
      </c>
      <c r="Y1075" s="418" t="str">
        <f t="shared" si="1591"/>
        <v/>
      </c>
      <c r="Z1075" s="418" t="str">
        <f t="shared" si="1592"/>
        <v/>
      </c>
      <c r="AA1075" s="418" t="str">
        <f t="shared" si="1593"/>
        <v/>
      </c>
      <c r="AB1075" s="418" t="str">
        <f t="shared" si="1594"/>
        <v/>
      </c>
      <c r="AC1075" s="418" t="str">
        <f t="shared" si="1595"/>
        <v/>
      </c>
      <c r="AD1075" s="418" t="str">
        <f t="shared" si="1596"/>
        <v/>
      </c>
      <c r="AE1075" s="418" t="str">
        <f t="shared" si="1597"/>
        <v/>
      </c>
      <c r="AF1075" s="418" t="str">
        <f t="shared" si="1598"/>
        <v/>
      </c>
      <c r="AG1075" s="418" t="str">
        <f t="shared" si="1599"/>
        <v/>
      </c>
      <c r="AH1075" s="418" t="str">
        <f t="shared" si="1600"/>
        <v/>
      </c>
      <c r="AI1075" s="418" t="str">
        <f t="shared" si="1601"/>
        <v/>
      </c>
      <c r="AJ1075" s="418" t="str">
        <f t="shared" si="1602"/>
        <v/>
      </c>
      <c r="AK1075" s="418" t="str">
        <f t="shared" si="1603"/>
        <v/>
      </c>
      <c r="AL1075" s="418">
        <f t="shared" si="1604"/>
        <v>216</v>
      </c>
      <c r="AM1075" s="418" t="str">
        <f t="shared" si="1605"/>
        <v/>
      </c>
      <c r="AN1075" s="418" t="str">
        <f t="shared" si="1606"/>
        <v/>
      </c>
      <c r="AO1075" s="418" t="str">
        <f t="shared" si="1607"/>
        <v/>
      </c>
      <c r="AP1075" s="418" t="str">
        <f t="shared" si="1608"/>
        <v/>
      </c>
      <c r="AQ1075" s="418" t="str">
        <f t="shared" si="1609"/>
        <v/>
      </c>
      <c r="AR1075" s="418" t="str">
        <f t="shared" si="1610"/>
        <v/>
      </c>
      <c r="AS1075" s="418" t="str">
        <f t="shared" si="1611"/>
        <v/>
      </c>
      <c r="AT1075" s="418" t="str">
        <f t="shared" si="1612"/>
        <v/>
      </c>
      <c r="AU1075" s="418" t="str">
        <f t="shared" si="1613"/>
        <v/>
      </c>
      <c r="AV1075" s="418" t="str">
        <f t="shared" si="1614"/>
        <v/>
      </c>
      <c r="AW1075" s="418" t="str">
        <f t="shared" si="1615"/>
        <v/>
      </c>
      <c r="AX1075" s="418" t="str">
        <f t="shared" si="1616"/>
        <v/>
      </c>
      <c r="AY1075" s="418" t="str">
        <f t="shared" si="1617"/>
        <v/>
      </c>
      <c r="AZ1075" s="418" t="str">
        <f t="shared" si="1618"/>
        <v/>
      </c>
      <c r="BA1075" s="418" t="str">
        <f t="shared" si="1619"/>
        <v/>
      </c>
      <c r="BB1075" s="418" t="str">
        <f t="shared" si="1620"/>
        <v/>
      </c>
      <c r="BC1075" s="418" t="str">
        <f t="shared" si="1621"/>
        <v/>
      </c>
      <c r="BD1075" s="418" t="str">
        <f t="shared" si="1622"/>
        <v/>
      </c>
      <c r="BE1075" s="418" t="str">
        <f t="shared" si="1623"/>
        <v/>
      </c>
      <c r="BF1075" s="418" t="str">
        <f t="shared" si="1624"/>
        <v/>
      </c>
      <c r="BG1075" s="418" t="str">
        <f t="shared" si="1625"/>
        <v/>
      </c>
      <c r="BH1075" s="418" t="str">
        <f t="shared" si="1626"/>
        <v/>
      </c>
      <c r="BI1075" s="418" t="str">
        <f t="shared" si="1627"/>
        <v/>
      </c>
      <c r="BJ1075" s="418" t="str">
        <f t="shared" si="1628"/>
        <v/>
      </c>
      <c r="BK1075" s="418" t="str">
        <f t="shared" si="1629"/>
        <v/>
      </c>
      <c r="BL1075" s="418" t="str">
        <f t="shared" si="1630"/>
        <v/>
      </c>
      <c r="BM1075" s="418" t="str">
        <f t="shared" si="1631"/>
        <v/>
      </c>
      <c r="BN1075" s="418" t="str">
        <f t="shared" si="1632"/>
        <v/>
      </c>
      <c r="BO1075" s="418" t="str">
        <f t="shared" si="1633"/>
        <v/>
      </c>
      <c r="BP1075" s="418" t="str">
        <f t="shared" si="1634"/>
        <v/>
      </c>
      <c r="BQ1075" s="418" t="str">
        <f t="shared" si="1640"/>
        <v/>
      </c>
      <c r="BR1075" s="418" t="str">
        <f t="shared" si="1641"/>
        <v/>
      </c>
      <c r="BS1075" s="418" t="str">
        <f t="shared" si="1642"/>
        <v/>
      </c>
      <c r="BT1075" s="418" t="str">
        <f t="shared" si="1635"/>
        <v/>
      </c>
      <c r="BU1075" s="418" t="str">
        <f t="shared" si="1636"/>
        <v/>
      </c>
      <c r="BV1075" s="544">
        <v>1.65</v>
      </c>
      <c r="BW1075" s="723">
        <f t="shared" si="1637"/>
        <v>356.4</v>
      </c>
      <c r="BX1075" s="724">
        <f t="shared" si="1638"/>
        <v>2762.1</v>
      </c>
      <c r="BY1075" s="725" t="str">
        <f t="shared" si="1639"/>
        <v>SR</v>
      </c>
    </row>
    <row r="1076" s="697" customFormat="1" customHeight="1" spans="1:77">
      <c r="A1076" s="116">
        <v>46182</v>
      </c>
      <c r="B1076" s="140">
        <v>46242</v>
      </c>
      <c r="C1076" s="123" t="s">
        <v>949</v>
      </c>
      <c r="D1076" s="123" t="s">
        <v>950</v>
      </c>
      <c r="E1076" s="123" t="s">
        <v>109</v>
      </c>
      <c r="F1076" s="142">
        <v>384</v>
      </c>
      <c r="G1076" s="123" t="s">
        <v>510</v>
      </c>
      <c r="H1076" s="118" t="str">
        <f>IFERROR(VLOOKUP(E1076,名称!A:E,4,0),"")</f>
        <v>三代</v>
      </c>
      <c r="I1076" s="418" t="str">
        <f t="shared" si="1575"/>
        <v/>
      </c>
      <c r="J1076" s="418" t="str">
        <f t="shared" si="1576"/>
        <v/>
      </c>
      <c r="K1076" s="418" t="str">
        <f t="shared" si="1577"/>
        <v/>
      </c>
      <c r="L1076" s="418" t="str">
        <f t="shared" si="1578"/>
        <v/>
      </c>
      <c r="M1076" s="418" t="str">
        <f t="shared" si="1579"/>
        <v/>
      </c>
      <c r="N1076" s="418" t="str">
        <f t="shared" si="1580"/>
        <v/>
      </c>
      <c r="O1076" s="418" t="str">
        <f t="shared" si="1581"/>
        <v/>
      </c>
      <c r="P1076" s="418" t="str">
        <f t="shared" si="1582"/>
        <v/>
      </c>
      <c r="Q1076" s="418" t="str">
        <f t="shared" si="1583"/>
        <v/>
      </c>
      <c r="R1076" s="418" t="str">
        <f t="shared" si="1584"/>
        <v/>
      </c>
      <c r="S1076" s="418" t="str">
        <f t="shared" si="1585"/>
        <v/>
      </c>
      <c r="T1076" s="418" t="str">
        <f t="shared" si="1586"/>
        <v/>
      </c>
      <c r="U1076" s="418" t="str">
        <f t="shared" si="1587"/>
        <v/>
      </c>
      <c r="V1076" s="418" t="str">
        <f t="shared" si="1588"/>
        <v/>
      </c>
      <c r="W1076" s="418" t="str">
        <f t="shared" si="1589"/>
        <v/>
      </c>
      <c r="X1076" s="418" t="str">
        <f t="shared" si="1590"/>
        <v/>
      </c>
      <c r="Y1076" s="418" t="str">
        <f t="shared" si="1591"/>
        <v/>
      </c>
      <c r="Z1076" s="418" t="str">
        <f t="shared" si="1592"/>
        <v/>
      </c>
      <c r="AA1076" s="418" t="str">
        <f t="shared" si="1593"/>
        <v/>
      </c>
      <c r="AB1076" s="418" t="str">
        <f t="shared" si="1594"/>
        <v/>
      </c>
      <c r="AC1076" s="418" t="str">
        <f t="shared" si="1595"/>
        <v/>
      </c>
      <c r="AD1076" s="418" t="str">
        <f t="shared" si="1596"/>
        <v/>
      </c>
      <c r="AE1076" s="418" t="str">
        <f t="shared" si="1597"/>
        <v/>
      </c>
      <c r="AF1076" s="418" t="str">
        <f t="shared" si="1598"/>
        <v/>
      </c>
      <c r="AG1076" s="418" t="str">
        <f t="shared" si="1599"/>
        <v/>
      </c>
      <c r="AH1076" s="418" t="str">
        <f t="shared" si="1600"/>
        <v/>
      </c>
      <c r="AI1076" s="418" t="str">
        <f t="shared" si="1601"/>
        <v/>
      </c>
      <c r="AJ1076" s="418" t="str">
        <f t="shared" si="1602"/>
        <v/>
      </c>
      <c r="AK1076" s="418" t="str">
        <f t="shared" si="1603"/>
        <v/>
      </c>
      <c r="AL1076" s="418" t="str">
        <f t="shared" si="1604"/>
        <v/>
      </c>
      <c r="AM1076" s="418" t="str">
        <f t="shared" si="1605"/>
        <v/>
      </c>
      <c r="AN1076" s="418" t="str">
        <f t="shared" si="1606"/>
        <v/>
      </c>
      <c r="AO1076" s="418" t="str">
        <f t="shared" si="1607"/>
        <v/>
      </c>
      <c r="AP1076" s="418" t="str">
        <f t="shared" si="1608"/>
        <v/>
      </c>
      <c r="AQ1076" s="418" t="str">
        <f t="shared" si="1609"/>
        <v/>
      </c>
      <c r="AR1076" s="418" t="str">
        <f t="shared" si="1610"/>
        <v/>
      </c>
      <c r="AS1076" s="418" t="str">
        <f t="shared" si="1611"/>
        <v/>
      </c>
      <c r="AT1076" s="418" t="str">
        <f t="shared" si="1612"/>
        <v/>
      </c>
      <c r="AU1076" s="418" t="str">
        <f t="shared" si="1613"/>
        <v/>
      </c>
      <c r="AV1076" s="418" t="str">
        <f t="shared" si="1614"/>
        <v/>
      </c>
      <c r="AW1076" s="418" t="str">
        <f t="shared" si="1615"/>
        <v/>
      </c>
      <c r="AX1076" s="418" t="str">
        <f t="shared" si="1616"/>
        <v/>
      </c>
      <c r="AY1076" s="418" t="str">
        <f t="shared" si="1617"/>
        <v/>
      </c>
      <c r="AZ1076" s="418" t="str">
        <f t="shared" si="1618"/>
        <v/>
      </c>
      <c r="BA1076" s="418" t="str">
        <f t="shared" si="1619"/>
        <v/>
      </c>
      <c r="BB1076" s="418" t="str">
        <f t="shared" si="1620"/>
        <v/>
      </c>
      <c r="BC1076" s="418">
        <f t="shared" si="1621"/>
        <v>384</v>
      </c>
      <c r="BD1076" s="418" t="str">
        <f t="shared" si="1622"/>
        <v/>
      </c>
      <c r="BE1076" s="418" t="str">
        <f t="shared" si="1623"/>
        <v/>
      </c>
      <c r="BF1076" s="418" t="str">
        <f t="shared" si="1624"/>
        <v/>
      </c>
      <c r="BG1076" s="418" t="str">
        <f t="shared" si="1625"/>
        <v/>
      </c>
      <c r="BH1076" s="418" t="str">
        <f t="shared" si="1626"/>
        <v/>
      </c>
      <c r="BI1076" s="418" t="str">
        <f t="shared" si="1627"/>
        <v/>
      </c>
      <c r="BJ1076" s="418" t="str">
        <f t="shared" si="1628"/>
        <v/>
      </c>
      <c r="BK1076" s="418" t="str">
        <f t="shared" si="1629"/>
        <v/>
      </c>
      <c r="BL1076" s="418" t="str">
        <f t="shared" si="1630"/>
        <v/>
      </c>
      <c r="BM1076" s="418" t="str">
        <f t="shared" si="1631"/>
        <v/>
      </c>
      <c r="BN1076" s="418" t="str">
        <f t="shared" si="1632"/>
        <v/>
      </c>
      <c r="BO1076" s="418" t="str">
        <f t="shared" si="1633"/>
        <v/>
      </c>
      <c r="BP1076" s="418" t="str">
        <f t="shared" si="1634"/>
        <v/>
      </c>
      <c r="BQ1076" s="418" t="str">
        <f t="shared" si="1640"/>
        <v/>
      </c>
      <c r="BR1076" s="418" t="str">
        <f t="shared" si="1641"/>
        <v/>
      </c>
      <c r="BS1076" s="418" t="str">
        <f t="shared" si="1642"/>
        <v/>
      </c>
      <c r="BT1076" s="418" t="str">
        <f t="shared" si="1635"/>
        <v/>
      </c>
      <c r="BU1076" s="418" t="str">
        <f t="shared" si="1636"/>
        <v/>
      </c>
      <c r="BV1076" s="544">
        <v>0.64</v>
      </c>
      <c r="BW1076" s="723">
        <f t="shared" si="1637"/>
        <v>245.76</v>
      </c>
      <c r="BX1076" s="724">
        <f t="shared" si="1638"/>
        <v>1904.64</v>
      </c>
      <c r="BY1076" s="725" t="str">
        <f t="shared" si="1639"/>
        <v>JS</v>
      </c>
    </row>
    <row r="1077" s="697" customFormat="1" customHeight="1" spans="1:77">
      <c r="A1077" s="116">
        <v>46182</v>
      </c>
      <c r="B1077" s="140">
        <v>46242</v>
      </c>
      <c r="C1077" s="123" t="s">
        <v>949</v>
      </c>
      <c r="D1077" s="123" t="s">
        <v>950</v>
      </c>
      <c r="E1077" s="123" t="s">
        <v>100</v>
      </c>
      <c r="F1077" s="142">
        <v>120</v>
      </c>
      <c r="G1077" s="123" t="s">
        <v>510</v>
      </c>
      <c r="H1077" s="118" t="str">
        <f>IFERROR(VLOOKUP(E1077,名称!A:E,4,0),"")</f>
        <v>三代</v>
      </c>
      <c r="I1077" s="418" t="str">
        <f t="shared" si="1575"/>
        <v/>
      </c>
      <c r="J1077" s="418" t="str">
        <f t="shared" si="1576"/>
        <v/>
      </c>
      <c r="K1077" s="418" t="str">
        <f t="shared" si="1577"/>
        <v/>
      </c>
      <c r="L1077" s="418" t="str">
        <f t="shared" si="1578"/>
        <v/>
      </c>
      <c r="M1077" s="418" t="str">
        <f t="shared" si="1579"/>
        <v/>
      </c>
      <c r="N1077" s="418" t="str">
        <f t="shared" si="1580"/>
        <v/>
      </c>
      <c r="O1077" s="418" t="str">
        <f t="shared" si="1581"/>
        <v/>
      </c>
      <c r="P1077" s="418" t="str">
        <f t="shared" si="1582"/>
        <v/>
      </c>
      <c r="Q1077" s="418" t="str">
        <f t="shared" si="1583"/>
        <v/>
      </c>
      <c r="R1077" s="418" t="str">
        <f t="shared" si="1584"/>
        <v/>
      </c>
      <c r="S1077" s="418" t="str">
        <f t="shared" si="1585"/>
        <v/>
      </c>
      <c r="T1077" s="418" t="str">
        <f t="shared" si="1586"/>
        <v/>
      </c>
      <c r="U1077" s="418" t="str">
        <f t="shared" si="1587"/>
        <v/>
      </c>
      <c r="V1077" s="418" t="str">
        <f t="shared" si="1588"/>
        <v/>
      </c>
      <c r="W1077" s="418" t="str">
        <f t="shared" si="1589"/>
        <v/>
      </c>
      <c r="X1077" s="418" t="str">
        <f t="shared" si="1590"/>
        <v/>
      </c>
      <c r="Y1077" s="418" t="str">
        <f t="shared" si="1591"/>
        <v/>
      </c>
      <c r="Z1077" s="418" t="str">
        <f t="shared" si="1592"/>
        <v/>
      </c>
      <c r="AA1077" s="418" t="str">
        <f t="shared" si="1593"/>
        <v/>
      </c>
      <c r="AB1077" s="418" t="str">
        <f t="shared" si="1594"/>
        <v/>
      </c>
      <c r="AC1077" s="418" t="str">
        <f t="shared" si="1595"/>
        <v/>
      </c>
      <c r="AD1077" s="418" t="str">
        <f t="shared" si="1596"/>
        <v/>
      </c>
      <c r="AE1077" s="418" t="str">
        <f t="shared" si="1597"/>
        <v/>
      </c>
      <c r="AF1077" s="418" t="str">
        <f t="shared" si="1598"/>
        <v/>
      </c>
      <c r="AG1077" s="418" t="str">
        <f t="shared" si="1599"/>
        <v/>
      </c>
      <c r="AH1077" s="418" t="str">
        <f t="shared" si="1600"/>
        <v/>
      </c>
      <c r="AI1077" s="418" t="str">
        <f t="shared" si="1601"/>
        <v/>
      </c>
      <c r="AJ1077" s="418" t="str">
        <f t="shared" si="1602"/>
        <v/>
      </c>
      <c r="AK1077" s="418" t="str">
        <f t="shared" si="1603"/>
        <v/>
      </c>
      <c r="AL1077" s="418" t="str">
        <f t="shared" si="1604"/>
        <v/>
      </c>
      <c r="AM1077" s="418" t="str">
        <f t="shared" si="1605"/>
        <v/>
      </c>
      <c r="AN1077" s="418" t="str">
        <f t="shared" si="1606"/>
        <v/>
      </c>
      <c r="AO1077" s="418" t="str">
        <f t="shared" si="1607"/>
        <v/>
      </c>
      <c r="AP1077" s="418" t="str">
        <f t="shared" si="1608"/>
        <v/>
      </c>
      <c r="AQ1077" s="418" t="str">
        <f t="shared" si="1609"/>
        <v/>
      </c>
      <c r="AR1077" s="418" t="str">
        <f t="shared" si="1610"/>
        <v/>
      </c>
      <c r="AS1077" s="418" t="str">
        <f t="shared" si="1611"/>
        <v/>
      </c>
      <c r="AT1077" s="418" t="str">
        <f t="shared" si="1612"/>
        <v/>
      </c>
      <c r="AU1077" s="418" t="str">
        <f t="shared" si="1613"/>
        <v/>
      </c>
      <c r="AV1077" s="418" t="str">
        <f t="shared" si="1614"/>
        <v/>
      </c>
      <c r="AW1077" s="418" t="str">
        <f t="shared" si="1615"/>
        <v/>
      </c>
      <c r="AX1077" s="418" t="str">
        <f t="shared" si="1616"/>
        <v/>
      </c>
      <c r="AY1077" s="418" t="str">
        <f t="shared" si="1617"/>
        <v/>
      </c>
      <c r="AZ1077" s="418" t="str">
        <f t="shared" si="1618"/>
        <v/>
      </c>
      <c r="BA1077" s="418" t="str">
        <f t="shared" si="1619"/>
        <v/>
      </c>
      <c r="BB1077" s="418" t="str">
        <f t="shared" si="1620"/>
        <v/>
      </c>
      <c r="BC1077" s="418" t="str">
        <f t="shared" si="1621"/>
        <v/>
      </c>
      <c r="BD1077" s="418">
        <f t="shared" si="1622"/>
        <v>120</v>
      </c>
      <c r="BE1077" s="418" t="str">
        <f t="shared" si="1623"/>
        <v/>
      </c>
      <c r="BF1077" s="418" t="str">
        <f t="shared" si="1624"/>
        <v/>
      </c>
      <c r="BG1077" s="418" t="str">
        <f t="shared" si="1625"/>
        <v/>
      </c>
      <c r="BH1077" s="418" t="str">
        <f t="shared" si="1626"/>
        <v/>
      </c>
      <c r="BI1077" s="418" t="str">
        <f t="shared" si="1627"/>
        <v/>
      </c>
      <c r="BJ1077" s="418" t="str">
        <f t="shared" si="1628"/>
        <v/>
      </c>
      <c r="BK1077" s="418" t="str">
        <f t="shared" si="1629"/>
        <v/>
      </c>
      <c r="BL1077" s="418" t="str">
        <f t="shared" si="1630"/>
        <v/>
      </c>
      <c r="BM1077" s="418" t="str">
        <f t="shared" si="1631"/>
        <v/>
      </c>
      <c r="BN1077" s="418" t="str">
        <f t="shared" si="1632"/>
        <v/>
      </c>
      <c r="BO1077" s="418" t="str">
        <f t="shared" si="1633"/>
        <v/>
      </c>
      <c r="BP1077" s="418" t="str">
        <f t="shared" si="1634"/>
        <v/>
      </c>
      <c r="BQ1077" s="418" t="str">
        <f t="shared" si="1640"/>
        <v/>
      </c>
      <c r="BR1077" s="418" t="str">
        <f t="shared" si="1641"/>
        <v/>
      </c>
      <c r="BS1077" s="418" t="str">
        <f t="shared" si="1642"/>
        <v/>
      </c>
      <c r="BT1077" s="418" t="str">
        <f t="shared" si="1635"/>
        <v/>
      </c>
      <c r="BU1077" s="418" t="str">
        <f t="shared" si="1636"/>
        <v/>
      </c>
      <c r="BV1077" s="544">
        <v>1.35</v>
      </c>
      <c r="BW1077" s="723">
        <f t="shared" si="1637"/>
        <v>162</v>
      </c>
      <c r="BX1077" s="724">
        <f t="shared" si="1638"/>
        <v>1255.5</v>
      </c>
      <c r="BY1077" s="725" t="str">
        <f t="shared" si="1639"/>
        <v>JS</v>
      </c>
    </row>
    <row r="1078" s="697" customFormat="1" customHeight="1" spans="1:77">
      <c r="A1078" s="116">
        <v>46183</v>
      </c>
      <c r="B1078" s="140">
        <v>46238</v>
      </c>
      <c r="C1078" s="123" t="s">
        <v>951</v>
      </c>
      <c r="D1078" s="123" t="s">
        <v>952</v>
      </c>
      <c r="E1078" s="123" t="s">
        <v>59</v>
      </c>
      <c r="F1078" s="142">
        <v>6000</v>
      </c>
      <c r="G1078" s="123" t="s">
        <v>270</v>
      </c>
      <c r="H1078" s="118" t="str">
        <f>IFERROR(VLOOKUP(E1078,名称!A:E,4,0),"")</f>
        <v>三代</v>
      </c>
      <c r="I1078" s="418" t="str">
        <f t="shared" si="1575"/>
        <v/>
      </c>
      <c r="J1078" s="418" t="str">
        <f t="shared" si="1576"/>
        <v/>
      </c>
      <c r="K1078" s="418" t="str">
        <f t="shared" si="1577"/>
        <v/>
      </c>
      <c r="L1078" s="418" t="str">
        <f t="shared" si="1578"/>
        <v/>
      </c>
      <c r="M1078" s="418" t="str">
        <f t="shared" si="1579"/>
        <v/>
      </c>
      <c r="N1078" s="418" t="str">
        <f t="shared" si="1580"/>
        <v/>
      </c>
      <c r="O1078" s="418" t="str">
        <f t="shared" si="1581"/>
        <v/>
      </c>
      <c r="P1078" s="418" t="str">
        <f t="shared" si="1582"/>
        <v/>
      </c>
      <c r="Q1078" s="418" t="str">
        <f t="shared" si="1583"/>
        <v/>
      </c>
      <c r="R1078" s="418" t="str">
        <f t="shared" si="1584"/>
        <v/>
      </c>
      <c r="S1078" s="418" t="str">
        <f t="shared" si="1585"/>
        <v/>
      </c>
      <c r="T1078" s="418" t="str">
        <f t="shared" si="1586"/>
        <v/>
      </c>
      <c r="U1078" s="418" t="str">
        <f t="shared" si="1587"/>
        <v/>
      </c>
      <c r="V1078" s="418" t="str">
        <f t="shared" si="1588"/>
        <v/>
      </c>
      <c r="W1078" s="418" t="str">
        <f t="shared" si="1589"/>
        <v/>
      </c>
      <c r="X1078" s="418" t="str">
        <f t="shared" si="1590"/>
        <v/>
      </c>
      <c r="Y1078" s="418" t="str">
        <f t="shared" si="1591"/>
        <v/>
      </c>
      <c r="Z1078" s="418" t="str">
        <f t="shared" si="1592"/>
        <v/>
      </c>
      <c r="AA1078" s="418" t="str">
        <f t="shared" si="1593"/>
        <v/>
      </c>
      <c r="AB1078" s="418" t="str">
        <f t="shared" si="1594"/>
        <v/>
      </c>
      <c r="AC1078" s="418" t="str">
        <f t="shared" si="1595"/>
        <v/>
      </c>
      <c r="AD1078" s="418">
        <f t="shared" si="1596"/>
        <v>6000</v>
      </c>
      <c r="AE1078" s="418" t="str">
        <f t="shared" si="1597"/>
        <v/>
      </c>
      <c r="AF1078" s="418" t="str">
        <f t="shared" si="1598"/>
        <v/>
      </c>
      <c r="AG1078" s="418" t="str">
        <f t="shared" si="1599"/>
        <v/>
      </c>
      <c r="AH1078" s="418" t="str">
        <f t="shared" si="1600"/>
        <v/>
      </c>
      <c r="AI1078" s="418" t="str">
        <f t="shared" si="1601"/>
        <v/>
      </c>
      <c r="AJ1078" s="418" t="str">
        <f t="shared" si="1602"/>
        <v/>
      </c>
      <c r="AK1078" s="418" t="str">
        <f t="shared" si="1603"/>
        <v/>
      </c>
      <c r="AL1078" s="418" t="str">
        <f t="shared" si="1604"/>
        <v/>
      </c>
      <c r="AM1078" s="418" t="str">
        <f t="shared" si="1605"/>
        <v/>
      </c>
      <c r="AN1078" s="418" t="str">
        <f t="shared" si="1606"/>
        <v/>
      </c>
      <c r="AO1078" s="418" t="str">
        <f t="shared" si="1607"/>
        <v/>
      </c>
      <c r="AP1078" s="418" t="str">
        <f t="shared" si="1608"/>
        <v/>
      </c>
      <c r="AQ1078" s="418" t="str">
        <f t="shared" si="1609"/>
        <v/>
      </c>
      <c r="AR1078" s="418" t="str">
        <f t="shared" si="1610"/>
        <v/>
      </c>
      <c r="AS1078" s="418" t="str">
        <f t="shared" si="1611"/>
        <v/>
      </c>
      <c r="AT1078" s="418" t="str">
        <f t="shared" si="1612"/>
        <v/>
      </c>
      <c r="AU1078" s="418" t="str">
        <f t="shared" si="1613"/>
        <v/>
      </c>
      <c r="AV1078" s="418" t="str">
        <f t="shared" si="1614"/>
        <v/>
      </c>
      <c r="AW1078" s="418" t="str">
        <f t="shared" si="1615"/>
        <v/>
      </c>
      <c r="AX1078" s="418" t="str">
        <f t="shared" si="1616"/>
        <v/>
      </c>
      <c r="AY1078" s="418" t="str">
        <f t="shared" si="1617"/>
        <v/>
      </c>
      <c r="AZ1078" s="418" t="str">
        <f t="shared" si="1618"/>
        <v/>
      </c>
      <c r="BA1078" s="418" t="str">
        <f t="shared" si="1619"/>
        <v/>
      </c>
      <c r="BB1078" s="418" t="str">
        <f t="shared" si="1620"/>
        <v/>
      </c>
      <c r="BC1078" s="418" t="str">
        <f t="shared" si="1621"/>
        <v/>
      </c>
      <c r="BD1078" s="418" t="str">
        <f t="shared" si="1622"/>
        <v/>
      </c>
      <c r="BE1078" s="418" t="str">
        <f t="shared" si="1623"/>
        <v/>
      </c>
      <c r="BF1078" s="418" t="str">
        <f t="shared" si="1624"/>
        <v/>
      </c>
      <c r="BG1078" s="418" t="str">
        <f t="shared" si="1625"/>
        <v/>
      </c>
      <c r="BH1078" s="418" t="str">
        <f t="shared" si="1626"/>
        <v/>
      </c>
      <c r="BI1078" s="418" t="str">
        <f t="shared" si="1627"/>
        <v/>
      </c>
      <c r="BJ1078" s="418" t="str">
        <f t="shared" si="1628"/>
        <v/>
      </c>
      <c r="BK1078" s="418" t="str">
        <f t="shared" si="1629"/>
        <v/>
      </c>
      <c r="BL1078" s="418" t="str">
        <f t="shared" si="1630"/>
        <v/>
      </c>
      <c r="BM1078" s="418" t="str">
        <f t="shared" si="1631"/>
        <v/>
      </c>
      <c r="BN1078" s="418" t="str">
        <f t="shared" si="1632"/>
        <v/>
      </c>
      <c r="BO1078" s="418" t="str">
        <f t="shared" si="1633"/>
        <v/>
      </c>
      <c r="BP1078" s="418" t="str">
        <f t="shared" si="1634"/>
        <v/>
      </c>
      <c r="BQ1078" s="418" t="str">
        <f t="shared" si="1640"/>
        <v/>
      </c>
      <c r="BR1078" s="418" t="str">
        <f t="shared" si="1641"/>
        <v/>
      </c>
      <c r="BS1078" s="418" t="str">
        <f t="shared" si="1642"/>
        <v/>
      </c>
      <c r="BT1078" s="418" t="str">
        <f t="shared" si="1635"/>
        <v/>
      </c>
      <c r="BU1078" s="418" t="str">
        <f t="shared" si="1636"/>
        <v/>
      </c>
      <c r="BV1078" s="544">
        <v>0.65</v>
      </c>
      <c r="BW1078" s="723">
        <f t="shared" si="1637"/>
        <v>3900</v>
      </c>
      <c r="BX1078" s="724">
        <f t="shared" si="1638"/>
        <v>30225</v>
      </c>
      <c r="BY1078" s="725" t="str">
        <f t="shared" si="1639"/>
        <v>SR</v>
      </c>
    </row>
    <row r="1079" s="697" customFormat="1" customHeight="1" spans="1:77">
      <c r="A1079" s="116">
        <v>46183</v>
      </c>
      <c r="B1079" s="140">
        <v>46238</v>
      </c>
      <c r="C1079" s="123" t="s">
        <v>953</v>
      </c>
      <c r="D1079" s="123" t="s">
        <v>954</v>
      </c>
      <c r="E1079" s="123" t="s">
        <v>67</v>
      </c>
      <c r="F1079" s="142">
        <v>3000</v>
      </c>
      <c r="G1079" s="123" t="s">
        <v>270</v>
      </c>
      <c r="H1079" s="118" t="str">
        <f>IFERROR(VLOOKUP(E1079,名称!A:E,4,0),"")</f>
        <v>三代</v>
      </c>
      <c r="I1079" s="418" t="str">
        <f t="shared" si="1575"/>
        <v/>
      </c>
      <c r="J1079" s="418" t="str">
        <f t="shared" si="1576"/>
        <v/>
      </c>
      <c r="K1079" s="418" t="str">
        <f t="shared" si="1577"/>
        <v/>
      </c>
      <c r="L1079" s="418" t="str">
        <f t="shared" si="1578"/>
        <v/>
      </c>
      <c r="M1079" s="418" t="str">
        <f t="shared" si="1579"/>
        <v/>
      </c>
      <c r="N1079" s="418" t="str">
        <f t="shared" si="1580"/>
        <v/>
      </c>
      <c r="O1079" s="418" t="str">
        <f t="shared" si="1581"/>
        <v/>
      </c>
      <c r="P1079" s="418" t="str">
        <f t="shared" si="1582"/>
        <v/>
      </c>
      <c r="Q1079" s="418" t="str">
        <f t="shared" si="1583"/>
        <v/>
      </c>
      <c r="R1079" s="418" t="str">
        <f t="shared" si="1584"/>
        <v/>
      </c>
      <c r="S1079" s="418" t="str">
        <f t="shared" si="1585"/>
        <v/>
      </c>
      <c r="T1079" s="418" t="str">
        <f t="shared" si="1586"/>
        <v/>
      </c>
      <c r="U1079" s="418" t="str">
        <f t="shared" si="1587"/>
        <v/>
      </c>
      <c r="V1079" s="418" t="str">
        <f t="shared" si="1588"/>
        <v/>
      </c>
      <c r="W1079" s="418" t="str">
        <f t="shared" si="1589"/>
        <v/>
      </c>
      <c r="X1079" s="418" t="str">
        <f t="shared" si="1590"/>
        <v/>
      </c>
      <c r="Y1079" s="418" t="str">
        <f t="shared" si="1591"/>
        <v/>
      </c>
      <c r="Z1079" s="418" t="str">
        <f t="shared" si="1592"/>
        <v/>
      </c>
      <c r="AA1079" s="418" t="str">
        <f t="shared" si="1593"/>
        <v/>
      </c>
      <c r="AB1079" s="418" t="str">
        <f t="shared" si="1594"/>
        <v/>
      </c>
      <c r="AC1079" s="418" t="str">
        <f t="shared" si="1595"/>
        <v/>
      </c>
      <c r="AD1079" s="418" t="str">
        <f t="shared" si="1596"/>
        <v/>
      </c>
      <c r="AE1079" s="418" t="str">
        <f t="shared" si="1597"/>
        <v/>
      </c>
      <c r="AF1079" s="418" t="str">
        <f t="shared" si="1598"/>
        <v/>
      </c>
      <c r="AG1079" s="418">
        <f t="shared" si="1599"/>
        <v>3000</v>
      </c>
      <c r="AH1079" s="418" t="str">
        <f t="shared" si="1600"/>
        <v/>
      </c>
      <c r="AI1079" s="418" t="str">
        <f t="shared" si="1601"/>
        <v/>
      </c>
      <c r="AJ1079" s="418" t="str">
        <f t="shared" si="1602"/>
        <v/>
      </c>
      <c r="AK1079" s="418" t="str">
        <f t="shared" si="1603"/>
        <v/>
      </c>
      <c r="AL1079" s="418" t="str">
        <f t="shared" si="1604"/>
        <v/>
      </c>
      <c r="AM1079" s="418" t="str">
        <f t="shared" si="1605"/>
        <v/>
      </c>
      <c r="AN1079" s="418" t="str">
        <f t="shared" si="1606"/>
        <v/>
      </c>
      <c r="AO1079" s="418" t="str">
        <f t="shared" si="1607"/>
        <v/>
      </c>
      <c r="AP1079" s="418" t="str">
        <f t="shared" si="1608"/>
        <v/>
      </c>
      <c r="AQ1079" s="418" t="str">
        <f t="shared" si="1609"/>
        <v/>
      </c>
      <c r="AR1079" s="418" t="str">
        <f t="shared" si="1610"/>
        <v/>
      </c>
      <c r="AS1079" s="418" t="str">
        <f t="shared" si="1611"/>
        <v/>
      </c>
      <c r="AT1079" s="418" t="str">
        <f t="shared" si="1612"/>
        <v/>
      </c>
      <c r="AU1079" s="418" t="str">
        <f t="shared" si="1613"/>
        <v/>
      </c>
      <c r="AV1079" s="418" t="str">
        <f t="shared" si="1614"/>
        <v/>
      </c>
      <c r="AW1079" s="418" t="str">
        <f t="shared" si="1615"/>
        <v/>
      </c>
      <c r="AX1079" s="418" t="str">
        <f t="shared" si="1616"/>
        <v/>
      </c>
      <c r="AY1079" s="418" t="str">
        <f t="shared" si="1617"/>
        <v/>
      </c>
      <c r="AZ1079" s="418" t="str">
        <f t="shared" si="1618"/>
        <v/>
      </c>
      <c r="BA1079" s="418" t="str">
        <f t="shared" si="1619"/>
        <v/>
      </c>
      <c r="BB1079" s="418" t="str">
        <f t="shared" si="1620"/>
        <v/>
      </c>
      <c r="BC1079" s="418" t="str">
        <f t="shared" si="1621"/>
        <v/>
      </c>
      <c r="BD1079" s="418" t="str">
        <f t="shared" si="1622"/>
        <v/>
      </c>
      <c r="BE1079" s="418" t="str">
        <f t="shared" si="1623"/>
        <v/>
      </c>
      <c r="BF1079" s="418" t="str">
        <f t="shared" si="1624"/>
        <v/>
      </c>
      <c r="BG1079" s="418" t="str">
        <f t="shared" si="1625"/>
        <v/>
      </c>
      <c r="BH1079" s="418" t="str">
        <f t="shared" si="1626"/>
        <v/>
      </c>
      <c r="BI1079" s="418" t="str">
        <f t="shared" si="1627"/>
        <v/>
      </c>
      <c r="BJ1079" s="418" t="str">
        <f t="shared" si="1628"/>
        <v/>
      </c>
      <c r="BK1079" s="418" t="str">
        <f t="shared" si="1629"/>
        <v/>
      </c>
      <c r="BL1079" s="418" t="str">
        <f t="shared" si="1630"/>
        <v/>
      </c>
      <c r="BM1079" s="418" t="str">
        <f t="shared" si="1631"/>
        <v/>
      </c>
      <c r="BN1079" s="418" t="str">
        <f t="shared" si="1632"/>
        <v/>
      </c>
      <c r="BO1079" s="418" t="str">
        <f t="shared" si="1633"/>
        <v/>
      </c>
      <c r="BP1079" s="418" t="str">
        <f t="shared" si="1634"/>
        <v/>
      </c>
      <c r="BQ1079" s="418" t="str">
        <f t="shared" si="1640"/>
        <v/>
      </c>
      <c r="BR1079" s="418" t="str">
        <f t="shared" si="1641"/>
        <v/>
      </c>
      <c r="BS1079" s="418" t="str">
        <f t="shared" si="1642"/>
        <v/>
      </c>
      <c r="BT1079" s="418" t="str">
        <f t="shared" si="1635"/>
        <v/>
      </c>
      <c r="BU1079" s="418" t="str">
        <f t="shared" si="1636"/>
        <v/>
      </c>
      <c r="BV1079" s="544">
        <v>2.02</v>
      </c>
      <c r="BW1079" s="723">
        <f t="shared" si="1637"/>
        <v>6060</v>
      </c>
      <c r="BX1079" s="724">
        <f t="shared" si="1638"/>
        <v>46965</v>
      </c>
      <c r="BY1079" s="725" t="str">
        <f t="shared" si="1639"/>
        <v>SR</v>
      </c>
    </row>
    <row r="1080" s="697" customFormat="1" customHeight="1" spans="1:77">
      <c r="A1080" s="116">
        <v>46183</v>
      </c>
      <c r="B1080" s="140">
        <v>46238</v>
      </c>
      <c r="C1080" s="123" t="s">
        <v>955</v>
      </c>
      <c r="D1080" s="123" t="s">
        <v>956</v>
      </c>
      <c r="E1080" s="123" t="s">
        <v>67</v>
      </c>
      <c r="F1080" s="142">
        <v>3000</v>
      </c>
      <c r="G1080" s="123" t="s">
        <v>270</v>
      </c>
      <c r="H1080" s="118" t="str">
        <f>IFERROR(VLOOKUP(E1080,名称!A:E,4,0),"")</f>
        <v>三代</v>
      </c>
      <c r="I1080" s="418" t="str">
        <f t="shared" si="1575"/>
        <v/>
      </c>
      <c r="J1080" s="418" t="str">
        <f t="shared" si="1576"/>
        <v/>
      </c>
      <c r="K1080" s="418" t="str">
        <f t="shared" si="1577"/>
        <v/>
      </c>
      <c r="L1080" s="418" t="str">
        <f t="shared" si="1578"/>
        <v/>
      </c>
      <c r="M1080" s="418" t="str">
        <f t="shared" si="1579"/>
        <v/>
      </c>
      <c r="N1080" s="418" t="str">
        <f t="shared" si="1580"/>
        <v/>
      </c>
      <c r="O1080" s="418" t="str">
        <f t="shared" si="1581"/>
        <v/>
      </c>
      <c r="P1080" s="418" t="str">
        <f t="shared" si="1582"/>
        <v/>
      </c>
      <c r="Q1080" s="418" t="str">
        <f t="shared" si="1583"/>
        <v/>
      </c>
      <c r="R1080" s="418" t="str">
        <f t="shared" si="1584"/>
        <v/>
      </c>
      <c r="S1080" s="418" t="str">
        <f t="shared" si="1585"/>
        <v/>
      </c>
      <c r="T1080" s="418" t="str">
        <f t="shared" si="1586"/>
        <v/>
      </c>
      <c r="U1080" s="418" t="str">
        <f t="shared" si="1587"/>
        <v/>
      </c>
      <c r="V1080" s="418" t="str">
        <f t="shared" si="1588"/>
        <v/>
      </c>
      <c r="W1080" s="418" t="str">
        <f t="shared" si="1589"/>
        <v/>
      </c>
      <c r="X1080" s="418" t="str">
        <f t="shared" si="1590"/>
        <v/>
      </c>
      <c r="Y1080" s="418" t="str">
        <f t="shared" si="1591"/>
        <v/>
      </c>
      <c r="Z1080" s="418" t="str">
        <f t="shared" si="1592"/>
        <v/>
      </c>
      <c r="AA1080" s="418" t="str">
        <f t="shared" si="1593"/>
        <v/>
      </c>
      <c r="AB1080" s="418" t="str">
        <f t="shared" si="1594"/>
        <v/>
      </c>
      <c r="AC1080" s="418" t="str">
        <f t="shared" si="1595"/>
        <v/>
      </c>
      <c r="AD1080" s="418" t="str">
        <f t="shared" si="1596"/>
        <v/>
      </c>
      <c r="AE1080" s="418" t="str">
        <f t="shared" si="1597"/>
        <v/>
      </c>
      <c r="AF1080" s="418" t="str">
        <f t="shared" si="1598"/>
        <v/>
      </c>
      <c r="AG1080" s="418">
        <f t="shared" si="1599"/>
        <v>3000</v>
      </c>
      <c r="AH1080" s="418" t="str">
        <f t="shared" si="1600"/>
        <v/>
      </c>
      <c r="AI1080" s="418" t="str">
        <f t="shared" si="1601"/>
        <v/>
      </c>
      <c r="AJ1080" s="418" t="str">
        <f t="shared" si="1602"/>
        <v/>
      </c>
      <c r="AK1080" s="418" t="str">
        <f t="shared" si="1603"/>
        <v/>
      </c>
      <c r="AL1080" s="418" t="str">
        <f t="shared" si="1604"/>
        <v/>
      </c>
      <c r="AM1080" s="418" t="str">
        <f t="shared" si="1605"/>
        <v/>
      </c>
      <c r="AN1080" s="418" t="str">
        <f t="shared" si="1606"/>
        <v/>
      </c>
      <c r="AO1080" s="418" t="str">
        <f t="shared" si="1607"/>
        <v/>
      </c>
      <c r="AP1080" s="418" t="str">
        <f t="shared" si="1608"/>
        <v/>
      </c>
      <c r="AQ1080" s="418" t="str">
        <f t="shared" si="1609"/>
        <v/>
      </c>
      <c r="AR1080" s="418" t="str">
        <f t="shared" si="1610"/>
        <v/>
      </c>
      <c r="AS1080" s="418" t="str">
        <f t="shared" si="1611"/>
        <v/>
      </c>
      <c r="AT1080" s="418" t="str">
        <f t="shared" si="1612"/>
        <v/>
      </c>
      <c r="AU1080" s="418" t="str">
        <f t="shared" si="1613"/>
        <v/>
      </c>
      <c r="AV1080" s="418" t="str">
        <f t="shared" si="1614"/>
        <v/>
      </c>
      <c r="AW1080" s="418" t="str">
        <f t="shared" si="1615"/>
        <v/>
      </c>
      <c r="AX1080" s="418" t="str">
        <f t="shared" si="1616"/>
        <v/>
      </c>
      <c r="AY1080" s="418" t="str">
        <f t="shared" si="1617"/>
        <v/>
      </c>
      <c r="AZ1080" s="418" t="str">
        <f t="shared" si="1618"/>
        <v/>
      </c>
      <c r="BA1080" s="418" t="str">
        <f t="shared" si="1619"/>
        <v/>
      </c>
      <c r="BB1080" s="418" t="str">
        <f t="shared" si="1620"/>
        <v/>
      </c>
      <c r="BC1080" s="418" t="str">
        <f t="shared" si="1621"/>
        <v/>
      </c>
      <c r="BD1080" s="418" t="str">
        <f t="shared" si="1622"/>
        <v/>
      </c>
      <c r="BE1080" s="418" t="str">
        <f t="shared" si="1623"/>
        <v/>
      </c>
      <c r="BF1080" s="418" t="str">
        <f t="shared" si="1624"/>
        <v/>
      </c>
      <c r="BG1080" s="418" t="str">
        <f t="shared" si="1625"/>
        <v/>
      </c>
      <c r="BH1080" s="418" t="str">
        <f t="shared" si="1626"/>
        <v/>
      </c>
      <c r="BI1080" s="418" t="str">
        <f t="shared" si="1627"/>
        <v/>
      </c>
      <c r="BJ1080" s="418" t="str">
        <f t="shared" si="1628"/>
        <v/>
      </c>
      <c r="BK1080" s="418" t="str">
        <f t="shared" si="1629"/>
        <v/>
      </c>
      <c r="BL1080" s="418" t="str">
        <f t="shared" si="1630"/>
        <v/>
      </c>
      <c r="BM1080" s="418" t="str">
        <f t="shared" si="1631"/>
        <v/>
      </c>
      <c r="BN1080" s="418" t="str">
        <f t="shared" si="1632"/>
        <v/>
      </c>
      <c r="BO1080" s="418" t="str">
        <f t="shared" si="1633"/>
        <v/>
      </c>
      <c r="BP1080" s="418" t="str">
        <f t="shared" si="1634"/>
        <v/>
      </c>
      <c r="BQ1080" s="418" t="str">
        <f t="shared" si="1640"/>
        <v/>
      </c>
      <c r="BR1080" s="418" t="str">
        <f t="shared" si="1641"/>
        <v/>
      </c>
      <c r="BS1080" s="418" t="str">
        <f t="shared" si="1642"/>
        <v/>
      </c>
      <c r="BT1080" s="418" t="str">
        <f t="shared" si="1635"/>
        <v/>
      </c>
      <c r="BU1080" s="418" t="str">
        <f t="shared" si="1636"/>
        <v/>
      </c>
      <c r="BV1080" s="544">
        <v>2.02</v>
      </c>
      <c r="BW1080" s="723">
        <f t="shared" si="1637"/>
        <v>6060</v>
      </c>
      <c r="BX1080" s="724">
        <f t="shared" si="1638"/>
        <v>46965</v>
      </c>
      <c r="BY1080" s="725" t="str">
        <f t="shared" si="1639"/>
        <v>SR</v>
      </c>
    </row>
    <row r="1081" s="697" customFormat="1" customHeight="1" spans="1:77">
      <c r="A1081" s="116">
        <v>46183</v>
      </c>
      <c r="B1081" s="140">
        <v>46284</v>
      </c>
      <c r="C1081" s="123" t="s">
        <v>957</v>
      </c>
      <c r="D1081" s="123" t="s">
        <v>958</v>
      </c>
      <c r="E1081" s="123" t="s">
        <v>102</v>
      </c>
      <c r="F1081" s="121">
        <f>204204-5000-74212</f>
        <v>124992</v>
      </c>
      <c r="G1081" s="123" t="s">
        <v>270</v>
      </c>
      <c r="H1081" s="118" t="str">
        <f>IFERROR(VLOOKUP(E1081,名称!A:E,4,0),"")</f>
        <v>三代</v>
      </c>
      <c r="I1081" s="418" t="str">
        <f t="shared" si="1575"/>
        <v/>
      </c>
      <c r="J1081" s="418" t="str">
        <f t="shared" si="1576"/>
        <v/>
      </c>
      <c r="K1081" s="418" t="str">
        <f t="shared" si="1577"/>
        <v/>
      </c>
      <c r="L1081" s="418" t="str">
        <f t="shared" si="1578"/>
        <v/>
      </c>
      <c r="M1081" s="418" t="str">
        <f t="shared" si="1579"/>
        <v/>
      </c>
      <c r="N1081" s="418" t="str">
        <f t="shared" si="1580"/>
        <v/>
      </c>
      <c r="O1081" s="418" t="str">
        <f t="shared" si="1581"/>
        <v/>
      </c>
      <c r="P1081" s="418" t="str">
        <f t="shared" si="1582"/>
        <v/>
      </c>
      <c r="Q1081" s="418" t="str">
        <f t="shared" si="1583"/>
        <v/>
      </c>
      <c r="R1081" s="418" t="str">
        <f t="shared" si="1584"/>
        <v/>
      </c>
      <c r="S1081" s="418" t="str">
        <f t="shared" si="1585"/>
        <v/>
      </c>
      <c r="T1081" s="418" t="str">
        <f t="shared" si="1586"/>
        <v/>
      </c>
      <c r="U1081" s="418" t="str">
        <f t="shared" si="1587"/>
        <v/>
      </c>
      <c r="V1081" s="418" t="str">
        <f t="shared" si="1588"/>
        <v/>
      </c>
      <c r="W1081" s="418" t="str">
        <f t="shared" si="1589"/>
        <v/>
      </c>
      <c r="X1081" s="418" t="str">
        <f t="shared" si="1590"/>
        <v/>
      </c>
      <c r="Y1081" s="418" t="str">
        <f t="shared" si="1591"/>
        <v/>
      </c>
      <c r="Z1081" s="418" t="str">
        <f t="shared" si="1592"/>
        <v/>
      </c>
      <c r="AA1081" s="418" t="str">
        <f t="shared" si="1593"/>
        <v/>
      </c>
      <c r="AB1081" s="418" t="str">
        <f t="shared" si="1594"/>
        <v/>
      </c>
      <c r="AC1081" s="418" t="str">
        <f t="shared" si="1595"/>
        <v/>
      </c>
      <c r="AD1081" s="418">
        <f t="shared" si="1596"/>
        <v>124992</v>
      </c>
      <c r="AE1081" s="418" t="str">
        <f t="shared" si="1597"/>
        <v/>
      </c>
      <c r="AF1081" s="418" t="str">
        <f t="shared" si="1598"/>
        <v/>
      </c>
      <c r="AG1081" s="418" t="str">
        <f t="shared" si="1599"/>
        <v/>
      </c>
      <c r="AH1081" s="418" t="str">
        <f t="shared" si="1600"/>
        <v/>
      </c>
      <c r="AI1081" s="418" t="str">
        <f t="shared" si="1601"/>
        <v/>
      </c>
      <c r="AJ1081" s="418" t="str">
        <f t="shared" si="1602"/>
        <v/>
      </c>
      <c r="AK1081" s="418" t="str">
        <f t="shared" si="1603"/>
        <v/>
      </c>
      <c r="AL1081" s="418" t="str">
        <f t="shared" si="1604"/>
        <v/>
      </c>
      <c r="AM1081" s="418" t="str">
        <f t="shared" si="1605"/>
        <v/>
      </c>
      <c r="AN1081" s="418" t="str">
        <f t="shared" si="1606"/>
        <v/>
      </c>
      <c r="AO1081" s="418" t="str">
        <f t="shared" si="1607"/>
        <v/>
      </c>
      <c r="AP1081" s="418" t="str">
        <f t="shared" si="1608"/>
        <v/>
      </c>
      <c r="AQ1081" s="418" t="str">
        <f t="shared" si="1609"/>
        <v/>
      </c>
      <c r="AR1081" s="418" t="str">
        <f t="shared" si="1610"/>
        <v/>
      </c>
      <c r="AS1081" s="418" t="str">
        <f t="shared" si="1611"/>
        <v/>
      </c>
      <c r="AT1081" s="418" t="str">
        <f t="shared" si="1612"/>
        <v/>
      </c>
      <c r="AU1081" s="418" t="str">
        <f t="shared" si="1613"/>
        <v/>
      </c>
      <c r="AV1081" s="418" t="str">
        <f t="shared" si="1614"/>
        <v/>
      </c>
      <c r="AW1081" s="418" t="str">
        <f t="shared" si="1615"/>
        <v/>
      </c>
      <c r="AX1081" s="418" t="str">
        <f t="shared" si="1616"/>
        <v/>
      </c>
      <c r="AY1081" s="418" t="str">
        <f t="shared" si="1617"/>
        <v/>
      </c>
      <c r="AZ1081" s="418" t="str">
        <f t="shared" si="1618"/>
        <v/>
      </c>
      <c r="BA1081" s="418" t="str">
        <f t="shared" si="1619"/>
        <v/>
      </c>
      <c r="BB1081" s="418" t="str">
        <f t="shared" si="1620"/>
        <v/>
      </c>
      <c r="BC1081" s="418" t="str">
        <f t="shared" si="1621"/>
        <v/>
      </c>
      <c r="BD1081" s="418" t="str">
        <f t="shared" si="1622"/>
        <v/>
      </c>
      <c r="BE1081" s="418" t="str">
        <f t="shared" si="1623"/>
        <v/>
      </c>
      <c r="BF1081" s="418" t="str">
        <f t="shared" si="1624"/>
        <v/>
      </c>
      <c r="BG1081" s="418" t="str">
        <f t="shared" si="1625"/>
        <v/>
      </c>
      <c r="BH1081" s="418" t="str">
        <f t="shared" si="1626"/>
        <v/>
      </c>
      <c r="BI1081" s="418" t="str">
        <f t="shared" si="1627"/>
        <v/>
      </c>
      <c r="BJ1081" s="418" t="str">
        <f t="shared" si="1628"/>
        <v/>
      </c>
      <c r="BK1081" s="418" t="str">
        <f t="shared" si="1629"/>
        <v/>
      </c>
      <c r="BL1081" s="418" t="str">
        <f t="shared" si="1630"/>
        <v/>
      </c>
      <c r="BM1081" s="418" t="str">
        <f t="shared" si="1631"/>
        <v/>
      </c>
      <c r="BN1081" s="418" t="str">
        <f t="shared" si="1632"/>
        <v/>
      </c>
      <c r="BO1081" s="418" t="str">
        <f t="shared" si="1633"/>
        <v/>
      </c>
      <c r="BP1081" s="418" t="str">
        <f t="shared" si="1634"/>
        <v/>
      </c>
      <c r="BQ1081" s="418" t="str">
        <f t="shared" si="1640"/>
        <v/>
      </c>
      <c r="BR1081" s="418" t="str">
        <f t="shared" si="1641"/>
        <v/>
      </c>
      <c r="BS1081" s="418" t="str">
        <f t="shared" si="1642"/>
        <v/>
      </c>
      <c r="BT1081" s="418" t="str">
        <f t="shared" si="1635"/>
        <v/>
      </c>
      <c r="BU1081" s="418" t="str">
        <f t="shared" si="1636"/>
        <v/>
      </c>
      <c r="BV1081" s="544">
        <v>0.63</v>
      </c>
      <c r="BW1081" s="723">
        <f t="shared" si="1637"/>
        <v>78744.96</v>
      </c>
      <c r="BX1081" s="724">
        <f t="shared" si="1638"/>
        <v>610273.44</v>
      </c>
      <c r="BY1081" s="725" t="str">
        <f t="shared" si="1639"/>
        <v>SR</v>
      </c>
    </row>
    <row r="1082" s="697" customFormat="1" customHeight="1" spans="1:77">
      <c r="A1082" s="116">
        <v>46183</v>
      </c>
      <c r="B1082" s="140">
        <v>46284</v>
      </c>
      <c r="C1082" s="123" t="s">
        <v>957</v>
      </c>
      <c r="D1082" s="123" t="s">
        <v>958</v>
      </c>
      <c r="E1082" s="422" t="s">
        <v>59</v>
      </c>
      <c r="F1082" s="623">
        <f>74212+8+12</f>
        <v>74232</v>
      </c>
      <c r="G1082" s="123" t="s">
        <v>270</v>
      </c>
      <c r="H1082" s="118" t="str">
        <f>IFERROR(VLOOKUP(E1082,名称!A:E,4,0),"")</f>
        <v>三代</v>
      </c>
      <c r="I1082" s="418" t="str">
        <f t="shared" si="1575"/>
        <v/>
      </c>
      <c r="J1082" s="418" t="str">
        <f t="shared" si="1576"/>
        <v/>
      </c>
      <c r="K1082" s="418" t="str">
        <f t="shared" si="1577"/>
        <v/>
      </c>
      <c r="L1082" s="418" t="str">
        <f t="shared" si="1578"/>
        <v/>
      </c>
      <c r="M1082" s="418" t="str">
        <f t="shared" si="1579"/>
        <v/>
      </c>
      <c r="N1082" s="418" t="str">
        <f t="shared" si="1580"/>
        <v/>
      </c>
      <c r="O1082" s="418" t="str">
        <f t="shared" si="1581"/>
        <v/>
      </c>
      <c r="P1082" s="418" t="str">
        <f t="shared" si="1582"/>
        <v/>
      </c>
      <c r="Q1082" s="418" t="str">
        <f t="shared" si="1583"/>
        <v/>
      </c>
      <c r="R1082" s="418" t="str">
        <f t="shared" si="1584"/>
        <v/>
      </c>
      <c r="S1082" s="418" t="str">
        <f t="shared" si="1585"/>
        <v/>
      </c>
      <c r="T1082" s="418" t="str">
        <f t="shared" si="1586"/>
        <v/>
      </c>
      <c r="U1082" s="418" t="str">
        <f t="shared" si="1587"/>
        <v/>
      </c>
      <c r="V1082" s="418" t="str">
        <f t="shared" si="1588"/>
        <v/>
      </c>
      <c r="W1082" s="418" t="str">
        <f t="shared" si="1589"/>
        <v/>
      </c>
      <c r="X1082" s="418" t="str">
        <f t="shared" si="1590"/>
        <v/>
      </c>
      <c r="Y1082" s="418" t="str">
        <f t="shared" si="1591"/>
        <v/>
      </c>
      <c r="Z1082" s="418" t="str">
        <f t="shared" si="1592"/>
        <v/>
      </c>
      <c r="AA1082" s="418" t="str">
        <f t="shared" si="1593"/>
        <v/>
      </c>
      <c r="AB1082" s="418" t="str">
        <f t="shared" si="1594"/>
        <v/>
      </c>
      <c r="AC1082" s="418" t="str">
        <f t="shared" si="1595"/>
        <v/>
      </c>
      <c r="AD1082" s="418">
        <f t="shared" si="1596"/>
        <v>74232</v>
      </c>
      <c r="AE1082" s="418" t="str">
        <f t="shared" si="1597"/>
        <v/>
      </c>
      <c r="AF1082" s="418" t="str">
        <f t="shared" si="1598"/>
        <v/>
      </c>
      <c r="AG1082" s="418" t="str">
        <f t="shared" si="1599"/>
        <v/>
      </c>
      <c r="AH1082" s="418" t="str">
        <f t="shared" si="1600"/>
        <v/>
      </c>
      <c r="AI1082" s="418" t="str">
        <f t="shared" si="1601"/>
        <v/>
      </c>
      <c r="AJ1082" s="418" t="str">
        <f t="shared" si="1602"/>
        <v/>
      </c>
      <c r="AK1082" s="418" t="str">
        <f t="shared" si="1603"/>
        <v/>
      </c>
      <c r="AL1082" s="418" t="str">
        <f t="shared" si="1604"/>
        <v/>
      </c>
      <c r="AM1082" s="418" t="str">
        <f t="shared" si="1605"/>
        <v/>
      </c>
      <c r="AN1082" s="418" t="str">
        <f t="shared" si="1606"/>
        <v/>
      </c>
      <c r="AO1082" s="418" t="str">
        <f t="shared" si="1607"/>
        <v/>
      </c>
      <c r="AP1082" s="418" t="str">
        <f t="shared" si="1608"/>
        <v/>
      </c>
      <c r="AQ1082" s="418" t="str">
        <f t="shared" si="1609"/>
        <v/>
      </c>
      <c r="AR1082" s="418" t="str">
        <f t="shared" si="1610"/>
        <v/>
      </c>
      <c r="AS1082" s="418" t="str">
        <f t="shared" si="1611"/>
        <v/>
      </c>
      <c r="AT1082" s="418" t="str">
        <f t="shared" si="1612"/>
        <v/>
      </c>
      <c r="AU1082" s="418" t="str">
        <f t="shared" si="1613"/>
        <v/>
      </c>
      <c r="AV1082" s="418" t="str">
        <f t="shared" si="1614"/>
        <v/>
      </c>
      <c r="AW1082" s="418" t="str">
        <f t="shared" si="1615"/>
        <v/>
      </c>
      <c r="AX1082" s="418" t="str">
        <f t="shared" si="1616"/>
        <v/>
      </c>
      <c r="AY1082" s="418" t="str">
        <f t="shared" si="1617"/>
        <v/>
      </c>
      <c r="AZ1082" s="418" t="str">
        <f t="shared" si="1618"/>
        <v/>
      </c>
      <c r="BA1082" s="418" t="str">
        <f t="shared" si="1619"/>
        <v/>
      </c>
      <c r="BB1082" s="418" t="str">
        <f t="shared" si="1620"/>
        <v/>
      </c>
      <c r="BC1082" s="418" t="str">
        <f t="shared" si="1621"/>
        <v/>
      </c>
      <c r="BD1082" s="418" t="str">
        <f t="shared" si="1622"/>
        <v/>
      </c>
      <c r="BE1082" s="418" t="str">
        <f t="shared" si="1623"/>
        <v/>
      </c>
      <c r="BF1082" s="418" t="str">
        <f t="shared" si="1624"/>
        <v/>
      </c>
      <c r="BG1082" s="418" t="str">
        <f t="shared" si="1625"/>
        <v/>
      </c>
      <c r="BH1082" s="418" t="str">
        <f t="shared" si="1626"/>
        <v/>
      </c>
      <c r="BI1082" s="418" t="str">
        <f t="shared" si="1627"/>
        <v/>
      </c>
      <c r="BJ1082" s="418" t="str">
        <f t="shared" si="1628"/>
        <v/>
      </c>
      <c r="BK1082" s="418" t="str">
        <f t="shared" si="1629"/>
        <v/>
      </c>
      <c r="BL1082" s="418" t="str">
        <f t="shared" si="1630"/>
        <v/>
      </c>
      <c r="BM1082" s="418" t="str">
        <f t="shared" si="1631"/>
        <v/>
      </c>
      <c r="BN1082" s="418" t="str">
        <f t="shared" si="1632"/>
        <v/>
      </c>
      <c r="BO1082" s="418" t="str">
        <f t="shared" si="1633"/>
        <v/>
      </c>
      <c r="BP1082" s="418" t="str">
        <f t="shared" si="1634"/>
        <v/>
      </c>
      <c r="BQ1082" s="418" t="str">
        <f t="shared" si="1640"/>
        <v/>
      </c>
      <c r="BR1082" s="418" t="str">
        <f t="shared" si="1641"/>
        <v/>
      </c>
      <c r="BS1082" s="418" t="str">
        <f t="shared" si="1642"/>
        <v/>
      </c>
      <c r="BT1082" s="418" t="str">
        <f t="shared" si="1635"/>
        <v/>
      </c>
      <c r="BU1082" s="418" t="str">
        <f t="shared" si="1636"/>
        <v/>
      </c>
      <c r="BV1082" s="544">
        <v>0.63</v>
      </c>
      <c r="BW1082" s="723">
        <f t="shared" si="1637"/>
        <v>46766.16</v>
      </c>
      <c r="BX1082" s="724">
        <f t="shared" si="1638"/>
        <v>362437.74</v>
      </c>
      <c r="BY1082" s="725" t="str">
        <f t="shared" si="1639"/>
        <v>SR</v>
      </c>
    </row>
    <row r="1083" s="697" customFormat="1" customHeight="1" spans="1:77">
      <c r="A1083" s="116">
        <v>46185</v>
      </c>
      <c r="B1083" s="140">
        <v>46191</v>
      </c>
      <c r="C1083" s="123" t="s">
        <v>839</v>
      </c>
      <c r="D1083" s="123" t="s">
        <v>959</v>
      </c>
      <c r="E1083" s="123" t="s">
        <v>242</v>
      </c>
      <c r="F1083" s="142">
        <v>200</v>
      </c>
      <c r="G1083" s="123"/>
      <c r="H1083" s="118" t="str">
        <f>IFERROR(VLOOKUP(E1083,名称!A:E,4,0),"")</f>
        <v/>
      </c>
      <c r="I1083" s="418" t="str">
        <f t="shared" si="1575"/>
        <v/>
      </c>
      <c r="J1083" s="418" t="str">
        <f t="shared" si="1576"/>
        <v/>
      </c>
      <c r="K1083" s="418" t="str">
        <f t="shared" si="1577"/>
        <v/>
      </c>
      <c r="L1083" s="418" t="str">
        <f t="shared" si="1578"/>
        <v/>
      </c>
      <c r="M1083" s="418" t="str">
        <f t="shared" si="1579"/>
        <v/>
      </c>
      <c r="N1083" s="418" t="str">
        <f t="shared" si="1580"/>
        <v/>
      </c>
      <c r="O1083" s="418" t="str">
        <f t="shared" si="1581"/>
        <v/>
      </c>
      <c r="P1083" s="418" t="str">
        <f t="shared" si="1582"/>
        <v/>
      </c>
      <c r="Q1083" s="418" t="str">
        <f t="shared" si="1583"/>
        <v/>
      </c>
      <c r="R1083" s="418" t="str">
        <f t="shared" si="1584"/>
        <v/>
      </c>
      <c r="S1083" s="418" t="str">
        <f t="shared" si="1585"/>
        <v/>
      </c>
      <c r="T1083" s="418" t="str">
        <f t="shared" si="1586"/>
        <v/>
      </c>
      <c r="U1083" s="418" t="str">
        <f t="shared" si="1587"/>
        <v/>
      </c>
      <c r="V1083" s="418" t="str">
        <f t="shared" si="1588"/>
        <v/>
      </c>
      <c r="W1083" s="418" t="str">
        <f t="shared" si="1589"/>
        <v/>
      </c>
      <c r="X1083" s="418" t="str">
        <f t="shared" si="1590"/>
        <v/>
      </c>
      <c r="Y1083" s="418" t="str">
        <f t="shared" si="1591"/>
        <v/>
      </c>
      <c r="Z1083" s="418" t="str">
        <f t="shared" si="1592"/>
        <v/>
      </c>
      <c r="AA1083" s="418" t="str">
        <f t="shared" si="1593"/>
        <v/>
      </c>
      <c r="AB1083" s="418" t="str">
        <f t="shared" si="1594"/>
        <v/>
      </c>
      <c r="AC1083" s="418" t="str">
        <f t="shared" si="1595"/>
        <v/>
      </c>
      <c r="AD1083" s="418" t="str">
        <f t="shared" si="1596"/>
        <v/>
      </c>
      <c r="AE1083" s="418" t="str">
        <f t="shared" si="1597"/>
        <v/>
      </c>
      <c r="AF1083" s="418" t="str">
        <f t="shared" si="1598"/>
        <v/>
      </c>
      <c r="AG1083" s="418" t="str">
        <f t="shared" si="1599"/>
        <v/>
      </c>
      <c r="AH1083" s="418" t="str">
        <f t="shared" si="1600"/>
        <v/>
      </c>
      <c r="AI1083" s="418" t="str">
        <f t="shared" si="1601"/>
        <v/>
      </c>
      <c r="AJ1083" s="418" t="str">
        <f t="shared" si="1602"/>
        <v/>
      </c>
      <c r="AK1083" s="418" t="str">
        <f t="shared" si="1603"/>
        <v/>
      </c>
      <c r="AL1083" s="418" t="str">
        <f t="shared" si="1604"/>
        <v/>
      </c>
      <c r="AM1083" s="418" t="str">
        <f t="shared" si="1605"/>
        <v/>
      </c>
      <c r="AN1083" s="418" t="str">
        <f t="shared" si="1606"/>
        <v/>
      </c>
      <c r="AO1083" s="418" t="str">
        <f t="shared" si="1607"/>
        <v/>
      </c>
      <c r="AP1083" s="418" t="str">
        <f t="shared" si="1608"/>
        <v/>
      </c>
      <c r="AQ1083" s="418" t="str">
        <f t="shared" si="1609"/>
        <v/>
      </c>
      <c r="AR1083" s="418" t="str">
        <f t="shared" si="1610"/>
        <v/>
      </c>
      <c r="AS1083" s="418" t="str">
        <f t="shared" si="1611"/>
        <v/>
      </c>
      <c r="AT1083" s="418" t="str">
        <f t="shared" si="1612"/>
        <v/>
      </c>
      <c r="AU1083" s="418" t="str">
        <f t="shared" si="1613"/>
        <v/>
      </c>
      <c r="AV1083" s="418" t="str">
        <f t="shared" si="1614"/>
        <v/>
      </c>
      <c r="AW1083" s="418" t="str">
        <f t="shared" si="1615"/>
        <v/>
      </c>
      <c r="AX1083" s="418" t="str">
        <f t="shared" si="1616"/>
        <v/>
      </c>
      <c r="AY1083" s="418" t="str">
        <f t="shared" si="1617"/>
        <v/>
      </c>
      <c r="AZ1083" s="418" t="str">
        <f t="shared" si="1618"/>
        <v/>
      </c>
      <c r="BA1083" s="418" t="str">
        <f t="shared" si="1619"/>
        <v/>
      </c>
      <c r="BB1083" s="418" t="str">
        <f t="shared" si="1620"/>
        <v/>
      </c>
      <c r="BC1083" s="418" t="str">
        <f t="shared" si="1621"/>
        <v/>
      </c>
      <c r="BD1083" s="418" t="str">
        <f t="shared" si="1622"/>
        <v/>
      </c>
      <c r="BE1083" s="418" t="str">
        <f t="shared" si="1623"/>
        <v/>
      </c>
      <c r="BF1083" s="418" t="str">
        <f t="shared" si="1624"/>
        <v/>
      </c>
      <c r="BG1083" s="418" t="str">
        <f t="shared" si="1625"/>
        <v/>
      </c>
      <c r="BH1083" s="418" t="str">
        <f t="shared" si="1626"/>
        <v/>
      </c>
      <c r="BI1083" s="418" t="str">
        <f t="shared" si="1627"/>
        <v/>
      </c>
      <c r="BJ1083" s="418" t="str">
        <f t="shared" si="1628"/>
        <v/>
      </c>
      <c r="BK1083" s="418" t="str">
        <f t="shared" si="1629"/>
        <v/>
      </c>
      <c r="BL1083" s="418" t="str">
        <f t="shared" si="1630"/>
        <v/>
      </c>
      <c r="BM1083" s="418" t="str">
        <f t="shared" si="1631"/>
        <v/>
      </c>
      <c r="BN1083" s="418" t="str">
        <f t="shared" si="1632"/>
        <v/>
      </c>
      <c r="BO1083" s="418" t="str">
        <f t="shared" si="1633"/>
        <v/>
      </c>
      <c r="BP1083" s="418" t="str">
        <f t="shared" si="1634"/>
        <v/>
      </c>
      <c r="BQ1083" s="418" t="str">
        <f t="shared" ref="BQ1083:BQ1123" si="1643">IF(OR($E1083="",BQ$1=""),"",IF(TRIM(LEFT($E1083,MIN(IFERROR(FIND("CDU",UPPER($E1083)),999),IFERROR(FIND("BULK",UPPER($E1083)),999),IFERROR(FIND("-",$E1083),999),IFERROR(FIND("（",$E1083),999))-1))=BQ$1,$F1083,""))</f>
        <v/>
      </c>
      <c r="BR1083" s="418" t="str">
        <f t="shared" ref="BR1083:BR1123" si="1644">IF(OR($E1083="",BR$1=""),"",IF(TRIM(LEFT($E1083,MIN(IFERROR(FIND("CDU",UPPER($E1083)),999),IFERROR(FIND("BULK",UPPER($E1083)),999),IFERROR(FIND("-",$E1083),999),IFERROR(FIND("（",$E1083),999))-1))=BR$1,$F1083,""))</f>
        <v/>
      </c>
      <c r="BS1083" s="418" t="str">
        <f t="shared" ref="BS1083:BS1123" si="1645">IF(OR($E1083="",BS$1=""),"",IF(TRIM(LEFT($E1083,MIN(IFERROR(FIND("CDU",UPPER($E1083)),999),IFERROR(FIND("BULK",UPPER($E1083)),999),IFERROR(FIND("-",$E1083),999),IFERROR(FIND("（",$E1083),999))-1))=BS$1,$F1083,""))</f>
        <v/>
      </c>
      <c r="BT1083" s="418" t="str">
        <f t="shared" si="1635"/>
        <v/>
      </c>
      <c r="BU1083" s="418">
        <f t="shared" si="1636"/>
        <v>200</v>
      </c>
      <c r="BV1083" s="544"/>
      <c r="BW1083" s="723">
        <f t="shared" si="1637"/>
        <v>0</v>
      </c>
      <c r="BX1083" s="724">
        <f t="shared" si="1638"/>
        <v>0</v>
      </c>
      <c r="BY1083" s="725" t="str">
        <f t="shared" si="1639"/>
        <v>散装</v>
      </c>
    </row>
    <row r="1084" s="697" customFormat="1" customHeight="1" spans="1:77">
      <c r="A1084" s="116">
        <v>46185</v>
      </c>
      <c r="B1084" s="140">
        <v>46233</v>
      </c>
      <c r="C1084" s="123" t="s">
        <v>839</v>
      </c>
      <c r="D1084" s="123" t="s">
        <v>960</v>
      </c>
      <c r="E1084" s="123" t="s">
        <v>242</v>
      </c>
      <c r="F1084" s="592">
        <f>10008+10008</f>
        <v>20016</v>
      </c>
      <c r="G1084" s="123" t="s">
        <v>961</v>
      </c>
      <c r="H1084" s="118" t="str">
        <f>IFERROR(VLOOKUP(E1084,名称!A:E,4,0),"")</f>
        <v/>
      </c>
      <c r="I1084" s="418" t="str">
        <f t="shared" si="1575"/>
        <v/>
      </c>
      <c r="J1084" s="418" t="str">
        <f t="shared" si="1576"/>
        <v/>
      </c>
      <c r="K1084" s="418" t="str">
        <f t="shared" si="1577"/>
        <v/>
      </c>
      <c r="L1084" s="418" t="str">
        <f t="shared" si="1578"/>
        <v/>
      </c>
      <c r="M1084" s="418" t="str">
        <f t="shared" si="1579"/>
        <v/>
      </c>
      <c r="N1084" s="418" t="str">
        <f t="shared" si="1580"/>
        <v/>
      </c>
      <c r="O1084" s="418" t="str">
        <f t="shared" si="1581"/>
        <v/>
      </c>
      <c r="P1084" s="418" t="str">
        <f t="shared" si="1582"/>
        <v/>
      </c>
      <c r="Q1084" s="418" t="str">
        <f t="shared" si="1583"/>
        <v/>
      </c>
      <c r="R1084" s="418" t="str">
        <f t="shared" si="1584"/>
        <v/>
      </c>
      <c r="S1084" s="418" t="str">
        <f t="shared" si="1585"/>
        <v/>
      </c>
      <c r="T1084" s="418" t="str">
        <f t="shared" si="1586"/>
        <v/>
      </c>
      <c r="U1084" s="418" t="str">
        <f t="shared" si="1587"/>
        <v/>
      </c>
      <c r="V1084" s="418" t="str">
        <f t="shared" si="1588"/>
        <v/>
      </c>
      <c r="W1084" s="418" t="str">
        <f t="shared" si="1589"/>
        <v/>
      </c>
      <c r="X1084" s="418" t="str">
        <f t="shared" si="1590"/>
        <v/>
      </c>
      <c r="Y1084" s="418" t="str">
        <f t="shared" si="1591"/>
        <v/>
      </c>
      <c r="Z1084" s="418" t="str">
        <f t="shared" si="1592"/>
        <v/>
      </c>
      <c r="AA1084" s="418" t="str">
        <f t="shared" si="1593"/>
        <v/>
      </c>
      <c r="AB1084" s="418" t="str">
        <f t="shared" si="1594"/>
        <v/>
      </c>
      <c r="AC1084" s="418" t="str">
        <f t="shared" si="1595"/>
        <v/>
      </c>
      <c r="AD1084" s="418" t="str">
        <f t="shared" si="1596"/>
        <v/>
      </c>
      <c r="AE1084" s="418" t="str">
        <f t="shared" si="1597"/>
        <v/>
      </c>
      <c r="AF1084" s="418" t="str">
        <f t="shared" si="1598"/>
        <v/>
      </c>
      <c r="AG1084" s="418" t="str">
        <f t="shared" si="1599"/>
        <v/>
      </c>
      <c r="AH1084" s="418" t="str">
        <f t="shared" si="1600"/>
        <v/>
      </c>
      <c r="AI1084" s="418" t="str">
        <f t="shared" si="1601"/>
        <v/>
      </c>
      <c r="AJ1084" s="418" t="str">
        <f t="shared" si="1602"/>
        <v/>
      </c>
      <c r="AK1084" s="418" t="str">
        <f t="shared" si="1603"/>
        <v/>
      </c>
      <c r="AL1084" s="418" t="str">
        <f t="shared" si="1604"/>
        <v/>
      </c>
      <c r="AM1084" s="418" t="str">
        <f t="shared" si="1605"/>
        <v/>
      </c>
      <c r="AN1084" s="418" t="str">
        <f t="shared" si="1606"/>
        <v/>
      </c>
      <c r="AO1084" s="418" t="str">
        <f t="shared" si="1607"/>
        <v/>
      </c>
      <c r="AP1084" s="418" t="str">
        <f t="shared" si="1608"/>
        <v/>
      </c>
      <c r="AQ1084" s="418" t="str">
        <f t="shared" si="1609"/>
        <v/>
      </c>
      <c r="AR1084" s="418" t="str">
        <f t="shared" si="1610"/>
        <v/>
      </c>
      <c r="AS1084" s="418" t="str">
        <f t="shared" si="1611"/>
        <v/>
      </c>
      <c r="AT1084" s="418" t="str">
        <f t="shared" si="1612"/>
        <v/>
      </c>
      <c r="AU1084" s="418" t="str">
        <f t="shared" si="1613"/>
        <v/>
      </c>
      <c r="AV1084" s="418" t="str">
        <f t="shared" si="1614"/>
        <v/>
      </c>
      <c r="AW1084" s="418" t="str">
        <f t="shared" si="1615"/>
        <v/>
      </c>
      <c r="AX1084" s="418" t="str">
        <f t="shared" si="1616"/>
        <v/>
      </c>
      <c r="AY1084" s="418" t="str">
        <f t="shared" si="1617"/>
        <v/>
      </c>
      <c r="AZ1084" s="418" t="str">
        <f t="shared" si="1618"/>
        <v/>
      </c>
      <c r="BA1084" s="418" t="str">
        <f t="shared" si="1619"/>
        <v/>
      </c>
      <c r="BB1084" s="418" t="str">
        <f t="shared" si="1620"/>
        <v/>
      </c>
      <c r="BC1084" s="418" t="str">
        <f t="shared" si="1621"/>
        <v/>
      </c>
      <c r="BD1084" s="418" t="str">
        <f t="shared" si="1622"/>
        <v/>
      </c>
      <c r="BE1084" s="418" t="str">
        <f t="shared" si="1623"/>
        <v/>
      </c>
      <c r="BF1084" s="418" t="str">
        <f t="shared" si="1624"/>
        <v/>
      </c>
      <c r="BG1084" s="418" t="str">
        <f t="shared" si="1625"/>
        <v/>
      </c>
      <c r="BH1084" s="418" t="str">
        <f t="shared" si="1626"/>
        <v/>
      </c>
      <c r="BI1084" s="418" t="str">
        <f t="shared" si="1627"/>
        <v/>
      </c>
      <c r="BJ1084" s="418" t="str">
        <f t="shared" si="1628"/>
        <v/>
      </c>
      <c r="BK1084" s="418" t="str">
        <f t="shared" si="1629"/>
        <v/>
      </c>
      <c r="BL1084" s="418" t="str">
        <f t="shared" si="1630"/>
        <v/>
      </c>
      <c r="BM1084" s="418" t="str">
        <f t="shared" si="1631"/>
        <v/>
      </c>
      <c r="BN1084" s="418" t="str">
        <f t="shared" si="1632"/>
        <v/>
      </c>
      <c r="BO1084" s="418" t="str">
        <f t="shared" si="1633"/>
        <v/>
      </c>
      <c r="BP1084" s="418" t="str">
        <f t="shared" si="1634"/>
        <v/>
      </c>
      <c r="BQ1084" s="418" t="str">
        <f t="shared" si="1643"/>
        <v/>
      </c>
      <c r="BR1084" s="418" t="str">
        <f t="shared" si="1644"/>
        <v/>
      </c>
      <c r="BS1084" s="418" t="str">
        <f t="shared" si="1645"/>
        <v/>
      </c>
      <c r="BT1084" s="418" t="str">
        <f t="shared" si="1635"/>
        <v/>
      </c>
      <c r="BU1084" s="418">
        <f t="shared" si="1636"/>
        <v>20016</v>
      </c>
      <c r="BV1084" s="544"/>
      <c r="BW1084" s="723">
        <f t="shared" si="1637"/>
        <v>0</v>
      </c>
      <c r="BX1084" s="724">
        <f t="shared" si="1638"/>
        <v>0</v>
      </c>
      <c r="BY1084" s="725" t="str">
        <f t="shared" si="1639"/>
        <v>散装</v>
      </c>
    </row>
    <row r="1085" s="697" customFormat="1" customHeight="1" spans="1:77">
      <c r="A1085" s="116">
        <v>46185</v>
      </c>
      <c r="B1085" s="140">
        <v>46233</v>
      </c>
      <c r="C1085" s="123" t="s">
        <v>839</v>
      </c>
      <c r="D1085" s="123" t="s">
        <v>962</v>
      </c>
      <c r="E1085" s="123" t="s">
        <v>242</v>
      </c>
      <c r="F1085" s="142">
        <v>10010</v>
      </c>
      <c r="G1085" s="123" t="s">
        <v>961</v>
      </c>
      <c r="H1085" s="118" t="str">
        <f>IFERROR(VLOOKUP(E1085,名称!A:E,4,0),"")</f>
        <v/>
      </c>
      <c r="I1085" s="418" t="str">
        <f t="shared" si="1575"/>
        <v/>
      </c>
      <c r="J1085" s="418" t="str">
        <f t="shared" si="1576"/>
        <v/>
      </c>
      <c r="K1085" s="418" t="str">
        <f t="shared" si="1577"/>
        <v/>
      </c>
      <c r="L1085" s="418" t="str">
        <f t="shared" si="1578"/>
        <v/>
      </c>
      <c r="M1085" s="418" t="str">
        <f t="shared" si="1579"/>
        <v/>
      </c>
      <c r="N1085" s="418" t="str">
        <f t="shared" si="1580"/>
        <v/>
      </c>
      <c r="O1085" s="418" t="str">
        <f t="shared" si="1581"/>
        <v/>
      </c>
      <c r="P1085" s="418" t="str">
        <f t="shared" si="1582"/>
        <v/>
      </c>
      <c r="Q1085" s="418" t="str">
        <f t="shared" si="1583"/>
        <v/>
      </c>
      <c r="R1085" s="418" t="str">
        <f t="shared" si="1584"/>
        <v/>
      </c>
      <c r="S1085" s="418" t="str">
        <f t="shared" si="1585"/>
        <v/>
      </c>
      <c r="T1085" s="418" t="str">
        <f t="shared" si="1586"/>
        <v/>
      </c>
      <c r="U1085" s="418" t="str">
        <f t="shared" si="1587"/>
        <v/>
      </c>
      <c r="V1085" s="418" t="str">
        <f t="shared" si="1588"/>
        <v/>
      </c>
      <c r="W1085" s="418" t="str">
        <f t="shared" si="1589"/>
        <v/>
      </c>
      <c r="X1085" s="418" t="str">
        <f t="shared" si="1590"/>
        <v/>
      </c>
      <c r="Y1085" s="418" t="str">
        <f t="shared" si="1591"/>
        <v/>
      </c>
      <c r="Z1085" s="418" t="str">
        <f t="shared" si="1592"/>
        <v/>
      </c>
      <c r="AA1085" s="418" t="str">
        <f t="shared" si="1593"/>
        <v/>
      </c>
      <c r="AB1085" s="418" t="str">
        <f t="shared" si="1594"/>
        <v/>
      </c>
      <c r="AC1085" s="418" t="str">
        <f t="shared" si="1595"/>
        <v/>
      </c>
      <c r="AD1085" s="418" t="str">
        <f t="shared" si="1596"/>
        <v/>
      </c>
      <c r="AE1085" s="418" t="str">
        <f t="shared" si="1597"/>
        <v/>
      </c>
      <c r="AF1085" s="418" t="str">
        <f t="shared" si="1598"/>
        <v/>
      </c>
      <c r="AG1085" s="418" t="str">
        <f t="shared" si="1599"/>
        <v/>
      </c>
      <c r="AH1085" s="418" t="str">
        <f t="shared" si="1600"/>
        <v/>
      </c>
      <c r="AI1085" s="418" t="str">
        <f t="shared" si="1601"/>
        <v/>
      </c>
      <c r="AJ1085" s="418" t="str">
        <f t="shared" si="1602"/>
        <v/>
      </c>
      <c r="AK1085" s="418" t="str">
        <f t="shared" si="1603"/>
        <v/>
      </c>
      <c r="AL1085" s="418" t="str">
        <f t="shared" si="1604"/>
        <v/>
      </c>
      <c r="AM1085" s="418" t="str">
        <f t="shared" si="1605"/>
        <v/>
      </c>
      <c r="AN1085" s="418" t="str">
        <f t="shared" si="1606"/>
        <v/>
      </c>
      <c r="AO1085" s="418" t="str">
        <f t="shared" si="1607"/>
        <v/>
      </c>
      <c r="AP1085" s="418" t="str">
        <f t="shared" si="1608"/>
        <v/>
      </c>
      <c r="AQ1085" s="418" t="str">
        <f t="shared" si="1609"/>
        <v/>
      </c>
      <c r="AR1085" s="418" t="str">
        <f t="shared" si="1610"/>
        <v/>
      </c>
      <c r="AS1085" s="418" t="str">
        <f t="shared" si="1611"/>
        <v/>
      </c>
      <c r="AT1085" s="418" t="str">
        <f t="shared" si="1612"/>
        <v/>
      </c>
      <c r="AU1085" s="418" t="str">
        <f t="shared" si="1613"/>
        <v/>
      </c>
      <c r="AV1085" s="418" t="str">
        <f t="shared" si="1614"/>
        <v/>
      </c>
      <c r="AW1085" s="418" t="str">
        <f t="shared" si="1615"/>
        <v/>
      </c>
      <c r="AX1085" s="418" t="str">
        <f t="shared" si="1616"/>
        <v/>
      </c>
      <c r="AY1085" s="418" t="str">
        <f t="shared" si="1617"/>
        <v/>
      </c>
      <c r="AZ1085" s="418" t="str">
        <f t="shared" si="1618"/>
        <v/>
      </c>
      <c r="BA1085" s="418" t="str">
        <f t="shared" si="1619"/>
        <v/>
      </c>
      <c r="BB1085" s="418" t="str">
        <f t="shared" si="1620"/>
        <v/>
      </c>
      <c r="BC1085" s="418" t="str">
        <f t="shared" si="1621"/>
        <v/>
      </c>
      <c r="BD1085" s="418" t="str">
        <f t="shared" si="1622"/>
        <v/>
      </c>
      <c r="BE1085" s="418" t="str">
        <f t="shared" si="1623"/>
        <v/>
      </c>
      <c r="BF1085" s="418" t="str">
        <f t="shared" si="1624"/>
        <v/>
      </c>
      <c r="BG1085" s="418" t="str">
        <f t="shared" si="1625"/>
        <v/>
      </c>
      <c r="BH1085" s="418" t="str">
        <f t="shared" si="1626"/>
        <v/>
      </c>
      <c r="BI1085" s="418" t="str">
        <f t="shared" si="1627"/>
        <v/>
      </c>
      <c r="BJ1085" s="418" t="str">
        <f t="shared" si="1628"/>
        <v/>
      </c>
      <c r="BK1085" s="418" t="str">
        <f t="shared" si="1629"/>
        <v/>
      </c>
      <c r="BL1085" s="418" t="str">
        <f t="shared" si="1630"/>
        <v/>
      </c>
      <c r="BM1085" s="418" t="str">
        <f t="shared" si="1631"/>
        <v/>
      </c>
      <c r="BN1085" s="418" t="str">
        <f t="shared" si="1632"/>
        <v/>
      </c>
      <c r="BO1085" s="418" t="str">
        <f t="shared" si="1633"/>
        <v/>
      </c>
      <c r="BP1085" s="418" t="str">
        <f t="shared" si="1634"/>
        <v/>
      </c>
      <c r="BQ1085" s="418" t="str">
        <f t="shared" si="1643"/>
        <v/>
      </c>
      <c r="BR1085" s="418" t="str">
        <f t="shared" si="1644"/>
        <v/>
      </c>
      <c r="BS1085" s="418" t="str">
        <f t="shared" si="1645"/>
        <v/>
      </c>
      <c r="BT1085" s="418" t="str">
        <f t="shared" si="1635"/>
        <v/>
      </c>
      <c r="BU1085" s="418">
        <f t="shared" si="1636"/>
        <v>10010</v>
      </c>
      <c r="BV1085" s="544"/>
      <c r="BW1085" s="723">
        <f t="shared" si="1637"/>
        <v>0</v>
      </c>
      <c r="BX1085" s="724">
        <f t="shared" si="1638"/>
        <v>0</v>
      </c>
      <c r="BY1085" s="725" t="str">
        <f t="shared" si="1639"/>
        <v>散装</v>
      </c>
    </row>
    <row r="1086" s="697" customFormat="1" customHeight="1" spans="1:77">
      <c r="A1086" s="116">
        <v>46185</v>
      </c>
      <c r="B1086" s="140">
        <v>46203</v>
      </c>
      <c r="C1086" s="123" t="s">
        <v>839</v>
      </c>
      <c r="D1086" s="123" t="s">
        <v>963</v>
      </c>
      <c r="E1086" s="123" t="s">
        <v>242</v>
      </c>
      <c r="F1086" s="142">
        <v>10000</v>
      </c>
      <c r="G1086" s="123" t="s">
        <v>961</v>
      </c>
      <c r="H1086" s="118" t="str">
        <f>IFERROR(VLOOKUP(E1086,名称!A:E,4,0),"")</f>
        <v/>
      </c>
      <c r="I1086" s="418" t="str">
        <f t="shared" si="1575"/>
        <v/>
      </c>
      <c r="J1086" s="418" t="str">
        <f t="shared" si="1576"/>
        <v/>
      </c>
      <c r="K1086" s="418" t="str">
        <f t="shared" si="1577"/>
        <v/>
      </c>
      <c r="L1086" s="418" t="str">
        <f t="shared" si="1578"/>
        <v/>
      </c>
      <c r="M1086" s="418" t="str">
        <f t="shared" si="1579"/>
        <v/>
      </c>
      <c r="N1086" s="418" t="str">
        <f t="shared" si="1580"/>
        <v/>
      </c>
      <c r="O1086" s="418" t="str">
        <f t="shared" si="1581"/>
        <v/>
      </c>
      <c r="P1086" s="418" t="str">
        <f t="shared" si="1582"/>
        <v/>
      </c>
      <c r="Q1086" s="418" t="str">
        <f t="shared" si="1583"/>
        <v/>
      </c>
      <c r="R1086" s="418" t="str">
        <f t="shared" si="1584"/>
        <v/>
      </c>
      <c r="S1086" s="418" t="str">
        <f t="shared" si="1585"/>
        <v/>
      </c>
      <c r="T1086" s="418" t="str">
        <f t="shared" si="1586"/>
        <v/>
      </c>
      <c r="U1086" s="418" t="str">
        <f t="shared" si="1587"/>
        <v/>
      </c>
      <c r="V1086" s="418" t="str">
        <f t="shared" si="1588"/>
        <v/>
      </c>
      <c r="W1086" s="418" t="str">
        <f t="shared" si="1589"/>
        <v/>
      </c>
      <c r="X1086" s="418" t="str">
        <f t="shared" si="1590"/>
        <v/>
      </c>
      <c r="Y1086" s="418" t="str">
        <f t="shared" si="1591"/>
        <v/>
      </c>
      <c r="Z1086" s="418" t="str">
        <f t="shared" si="1592"/>
        <v/>
      </c>
      <c r="AA1086" s="418" t="str">
        <f t="shared" si="1593"/>
        <v/>
      </c>
      <c r="AB1086" s="418" t="str">
        <f t="shared" si="1594"/>
        <v/>
      </c>
      <c r="AC1086" s="418" t="str">
        <f t="shared" si="1595"/>
        <v/>
      </c>
      <c r="AD1086" s="418" t="str">
        <f t="shared" si="1596"/>
        <v/>
      </c>
      <c r="AE1086" s="418" t="str">
        <f t="shared" si="1597"/>
        <v/>
      </c>
      <c r="AF1086" s="418" t="str">
        <f t="shared" si="1598"/>
        <v/>
      </c>
      <c r="AG1086" s="418" t="str">
        <f t="shared" si="1599"/>
        <v/>
      </c>
      <c r="AH1086" s="418" t="str">
        <f t="shared" si="1600"/>
        <v/>
      </c>
      <c r="AI1086" s="418" t="str">
        <f t="shared" si="1601"/>
        <v/>
      </c>
      <c r="AJ1086" s="418" t="str">
        <f t="shared" si="1602"/>
        <v/>
      </c>
      <c r="AK1086" s="418" t="str">
        <f t="shared" si="1603"/>
        <v/>
      </c>
      <c r="AL1086" s="418" t="str">
        <f t="shared" si="1604"/>
        <v/>
      </c>
      <c r="AM1086" s="418" t="str">
        <f t="shared" si="1605"/>
        <v/>
      </c>
      <c r="AN1086" s="418" t="str">
        <f t="shared" si="1606"/>
        <v/>
      </c>
      <c r="AO1086" s="418" t="str">
        <f t="shared" si="1607"/>
        <v/>
      </c>
      <c r="AP1086" s="418" t="str">
        <f t="shared" si="1608"/>
        <v/>
      </c>
      <c r="AQ1086" s="418" t="str">
        <f t="shared" si="1609"/>
        <v/>
      </c>
      <c r="AR1086" s="418" t="str">
        <f t="shared" si="1610"/>
        <v/>
      </c>
      <c r="AS1086" s="418" t="str">
        <f t="shared" si="1611"/>
        <v/>
      </c>
      <c r="AT1086" s="418" t="str">
        <f t="shared" si="1612"/>
        <v/>
      </c>
      <c r="AU1086" s="418" t="str">
        <f t="shared" si="1613"/>
        <v/>
      </c>
      <c r="AV1086" s="418" t="str">
        <f t="shared" si="1614"/>
        <v/>
      </c>
      <c r="AW1086" s="418" t="str">
        <f t="shared" si="1615"/>
        <v/>
      </c>
      <c r="AX1086" s="418" t="str">
        <f t="shared" si="1616"/>
        <v/>
      </c>
      <c r="AY1086" s="418" t="str">
        <f t="shared" si="1617"/>
        <v/>
      </c>
      <c r="AZ1086" s="418" t="str">
        <f t="shared" si="1618"/>
        <v/>
      </c>
      <c r="BA1086" s="418" t="str">
        <f t="shared" si="1619"/>
        <v/>
      </c>
      <c r="BB1086" s="418" t="str">
        <f t="shared" si="1620"/>
        <v/>
      </c>
      <c r="BC1086" s="418" t="str">
        <f t="shared" si="1621"/>
        <v/>
      </c>
      <c r="BD1086" s="418" t="str">
        <f t="shared" si="1622"/>
        <v/>
      </c>
      <c r="BE1086" s="418" t="str">
        <f t="shared" si="1623"/>
        <v/>
      </c>
      <c r="BF1086" s="418" t="str">
        <f t="shared" si="1624"/>
        <v/>
      </c>
      <c r="BG1086" s="418" t="str">
        <f t="shared" si="1625"/>
        <v/>
      </c>
      <c r="BH1086" s="418" t="str">
        <f t="shared" si="1626"/>
        <v/>
      </c>
      <c r="BI1086" s="418" t="str">
        <f t="shared" si="1627"/>
        <v/>
      </c>
      <c r="BJ1086" s="418" t="str">
        <f t="shared" si="1628"/>
        <v/>
      </c>
      <c r="BK1086" s="418" t="str">
        <f t="shared" si="1629"/>
        <v/>
      </c>
      <c r="BL1086" s="418" t="str">
        <f t="shared" si="1630"/>
        <v/>
      </c>
      <c r="BM1086" s="418" t="str">
        <f t="shared" si="1631"/>
        <v/>
      </c>
      <c r="BN1086" s="418" t="str">
        <f t="shared" si="1632"/>
        <v/>
      </c>
      <c r="BO1086" s="418" t="str">
        <f t="shared" si="1633"/>
        <v/>
      </c>
      <c r="BP1086" s="418" t="str">
        <f t="shared" si="1634"/>
        <v/>
      </c>
      <c r="BQ1086" s="418" t="str">
        <f t="shared" si="1643"/>
        <v/>
      </c>
      <c r="BR1086" s="418" t="str">
        <f t="shared" si="1644"/>
        <v/>
      </c>
      <c r="BS1086" s="418" t="str">
        <f t="shared" si="1645"/>
        <v/>
      </c>
      <c r="BT1086" s="418" t="str">
        <f t="shared" si="1635"/>
        <v/>
      </c>
      <c r="BU1086" s="418">
        <f t="shared" si="1636"/>
        <v>10000</v>
      </c>
      <c r="BV1086" s="544"/>
      <c r="BW1086" s="723">
        <f t="shared" si="1637"/>
        <v>0</v>
      </c>
      <c r="BX1086" s="724">
        <f t="shared" si="1638"/>
        <v>0</v>
      </c>
      <c r="BY1086" s="725" t="str">
        <f t="shared" si="1639"/>
        <v>散装</v>
      </c>
    </row>
    <row r="1087" s="697" customFormat="1" customHeight="1" spans="1:77">
      <c r="A1087" s="116">
        <v>46185</v>
      </c>
      <c r="B1087" s="179">
        <v>46280</v>
      </c>
      <c r="C1087" s="418" t="s">
        <v>964</v>
      </c>
      <c r="D1087" s="418" t="s">
        <v>965</v>
      </c>
      <c r="E1087" s="418" t="s">
        <v>97</v>
      </c>
      <c r="F1087" s="737">
        <v>45600</v>
      </c>
      <c r="G1087" s="123" t="s">
        <v>270</v>
      </c>
      <c r="H1087" s="118" t="str">
        <f>IFERROR(VLOOKUP(E1087,名称!A:E,4,0),"")</f>
        <v>三代</v>
      </c>
      <c r="I1087" s="418" t="str">
        <f t="shared" si="1575"/>
        <v/>
      </c>
      <c r="J1087" s="418" t="str">
        <f t="shared" si="1576"/>
        <v/>
      </c>
      <c r="K1087" s="418" t="str">
        <f t="shared" si="1577"/>
        <v/>
      </c>
      <c r="L1087" s="418" t="str">
        <f t="shared" si="1578"/>
        <v/>
      </c>
      <c r="M1087" s="418" t="str">
        <f t="shared" si="1579"/>
        <v/>
      </c>
      <c r="N1087" s="418" t="str">
        <f t="shared" si="1580"/>
        <v/>
      </c>
      <c r="O1087" s="418" t="str">
        <f t="shared" si="1581"/>
        <v/>
      </c>
      <c r="P1087" s="418" t="str">
        <f t="shared" si="1582"/>
        <v/>
      </c>
      <c r="Q1087" s="418" t="str">
        <f t="shared" si="1583"/>
        <v/>
      </c>
      <c r="R1087" s="418" t="str">
        <f t="shared" si="1584"/>
        <v/>
      </c>
      <c r="S1087" s="418" t="str">
        <f t="shared" si="1585"/>
        <v/>
      </c>
      <c r="T1087" s="418" t="str">
        <f t="shared" si="1586"/>
        <v/>
      </c>
      <c r="U1087" s="418" t="str">
        <f t="shared" si="1587"/>
        <v/>
      </c>
      <c r="V1087" s="418" t="str">
        <f t="shared" si="1588"/>
        <v/>
      </c>
      <c r="W1087" s="418" t="str">
        <f t="shared" si="1589"/>
        <v/>
      </c>
      <c r="X1087" s="418" t="str">
        <f t="shared" si="1590"/>
        <v/>
      </c>
      <c r="Y1087" s="418" t="str">
        <f t="shared" si="1591"/>
        <v/>
      </c>
      <c r="Z1087" s="418" t="str">
        <f t="shared" si="1592"/>
        <v/>
      </c>
      <c r="AA1087" s="418" t="str">
        <f t="shared" si="1593"/>
        <v/>
      </c>
      <c r="AB1087" s="418" t="str">
        <f t="shared" si="1594"/>
        <v/>
      </c>
      <c r="AC1087" s="418" t="str">
        <f t="shared" si="1595"/>
        <v/>
      </c>
      <c r="AD1087" s="418" t="str">
        <f t="shared" si="1596"/>
        <v/>
      </c>
      <c r="AE1087" s="418" t="str">
        <f t="shared" si="1597"/>
        <v/>
      </c>
      <c r="AF1087" s="418" t="str">
        <f t="shared" si="1598"/>
        <v/>
      </c>
      <c r="AG1087" s="418" t="str">
        <f t="shared" si="1599"/>
        <v/>
      </c>
      <c r="AH1087" s="418" t="str">
        <f t="shared" si="1600"/>
        <v/>
      </c>
      <c r="AI1087" s="418" t="str">
        <f t="shared" si="1601"/>
        <v/>
      </c>
      <c r="AJ1087" s="418" t="str">
        <f t="shared" si="1602"/>
        <v/>
      </c>
      <c r="AK1087" s="418" t="str">
        <f t="shared" si="1603"/>
        <v/>
      </c>
      <c r="AL1087" s="418" t="str">
        <f t="shared" si="1604"/>
        <v/>
      </c>
      <c r="AM1087" s="418" t="str">
        <f t="shared" si="1605"/>
        <v/>
      </c>
      <c r="AN1087" s="418" t="str">
        <f t="shared" si="1606"/>
        <v/>
      </c>
      <c r="AO1087" s="418" t="str">
        <f t="shared" si="1607"/>
        <v/>
      </c>
      <c r="AP1087" s="418" t="str">
        <f t="shared" si="1608"/>
        <v/>
      </c>
      <c r="AQ1087" s="418" t="str">
        <f t="shared" si="1609"/>
        <v/>
      </c>
      <c r="AR1087" s="418" t="str">
        <f t="shared" si="1610"/>
        <v/>
      </c>
      <c r="AS1087" s="418" t="str">
        <f t="shared" si="1611"/>
        <v/>
      </c>
      <c r="AT1087" s="418" t="str">
        <f t="shared" si="1612"/>
        <v/>
      </c>
      <c r="AU1087" s="418" t="str">
        <f t="shared" si="1613"/>
        <v/>
      </c>
      <c r="AV1087" s="418" t="str">
        <f t="shared" si="1614"/>
        <v/>
      </c>
      <c r="AW1087" s="418" t="str">
        <f t="shared" si="1615"/>
        <v/>
      </c>
      <c r="AX1087" s="418" t="str">
        <f t="shared" si="1616"/>
        <v/>
      </c>
      <c r="AY1087" s="418" t="str">
        <f t="shared" si="1617"/>
        <v/>
      </c>
      <c r="AZ1087" s="418" t="str">
        <f t="shared" si="1618"/>
        <v/>
      </c>
      <c r="BA1087" s="418">
        <f t="shared" si="1619"/>
        <v>45600</v>
      </c>
      <c r="BB1087" s="418" t="str">
        <f t="shared" si="1620"/>
        <v/>
      </c>
      <c r="BC1087" s="418" t="str">
        <f t="shared" si="1621"/>
        <v/>
      </c>
      <c r="BD1087" s="418" t="str">
        <f t="shared" si="1622"/>
        <v/>
      </c>
      <c r="BE1087" s="418" t="str">
        <f t="shared" si="1623"/>
        <v/>
      </c>
      <c r="BF1087" s="418" t="str">
        <f t="shared" si="1624"/>
        <v/>
      </c>
      <c r="BG1087" s="418" t="str">
        <f t="shared" si="1625"/>
        <v/>
      </c>
      <c r="BH1087" s="418" t="str">
        <f t="shared" si="1626"/>
        <v/>
      </c>
      <c r="BI1087" s="418" t="str">
        <f t="shared" si="1627"/>
        <v/>
      </c>
      <c r="BJ1087" s="418" t="str">
        <f t="shared" si="1628"/>
        <v/>
      </c>
      <c r="BK1087" s="418" t="str">
        <f t="shared" si="1629"/>
        <v/>
      </c>
      <c r="BL1087" s="418" t="str">
        <f t="shared" si="1630"/>
        <v/>
      </c>
      <c r="BM1087" s="418" t="str">
        <f t="shared" si="1631"/>
        <v/>
      </c>
      <c r="BN1087" s="418" t="str">
        <f t="shared" si="1632"/>
        <v/>
      </c>
      <c r="BO1087" s="418" t="str">
        <f t="shared" si="1633"/>
        <v/>
      </c>
      <c r="BP1087" s="418" t="str">
        <f t="shared" si="1634"/>
        <v/>
      </c>
      <c r="BQ1087" s="418" t="str">
        <f t="shared" si="1643"/>
        <v/>
      </c>
      <c r="BR1087" s="418" t="str">
        <f t="shared" si="1644"/>
        <v/>
      </c>
      <c r="BS1087" s="418" t="str">
        <f t="shared" si="1645"/>
        <v/>
      </c>
      <c r="BT1087" s="418" t="str">
        <f t="shared" si="1635"/>
        <v/>
      </c>
      <c r="BU1087" s="418" t="str">
        <f t="shared" si="1636"/>
        <v/>
      </c>
      <c r="BV1087" s="544">
        <v>0.61</v>
      </c>
      <c r="BW1087" s="723">
        <f t="shared" si="1637"/>
        <v>27816</v>
      </c>
      <c r="BX1087" s="724">
        <f t="shared" si="1638"/>
        <v>215574</v>
      </c>
      <c r="BY1087" s="725" t="str">
        <f t="shared" si="1639"/>
        <v>SR</v>
      </c>
    </row>
    <row r="1088" s="697" customFormat="1" customHeight="1" spans="1:77">
      <c r="A1088" s="116">
        <v>46185</v>
      </c>
      <c r="B1088" s="179">
        <v>46280</v>
      </c>
      <c r="C1088" s="418" t="s">
        <v>966</v>
      </c>
      <c r="D1088" s="418" t="s">
        <v>967</v>
      </c>
      <c r="E1088" s="418" t="s">
        <v>119</v>
      </c>
      <c r="F1088" s="737">
        <v>45600</v>
      </c>
      <c r="G1088" s="123" t="s">
        <v>270</v>
      </c>
      <c r="H1088" s="118" t="str">
        <f>IFERROR(VLOOKUP(E1088,名称!A:E,4,0),"")</f>
        <v>三代</v>
      </c>
      <c r="I1088" s="418" t="str">
        <f t="shared" si="1575"/>
        <v/>
      </c>
      <c r="J1088" s="418" t="str">
        <f t="shared" si="1576"/>
        <v/>
      </c>
      <c r="K1088" s="418" t="str">
        <f t="shared" si="1577"/>
        <v/>
      </c>
      <c r="L1088" s="418" t="str">
        <f t="shared" si="1578"/>
        <v/>
      </c>
      <c r="M1088" s="418" t="str">
        <f t="shared" si="1579"/>
        <v/>
      </c>
      <c r="N1088" s="418" t="str">
        <f t="shared" si="1580"/>
        <v/>
      </c>
      <c r="O1088" s="418" t="str">
        <f t="shared" si="1581"/>
        <v/>
      </c>
      <c r="P1088" s="418" t="str">
        <f t="shared" si="1582"/>
        <v/>
      </c>
      <c r="Q1088" s="418" t="str">
        <f t="shared" si="1583"/>
        <v/>
      </c>
      <c r="R1088" s="418" t="str">
        <f t="shared" si="1584"/>
        <v/>
      </c>
      <c r="S1088" s="418" t="str">
        <f t="shared" si="1585"/>
        <v/>
      </c>
      <c r="T1088" s="418" t="str">
        <f t="shared" si="1586"/>
        <v/>
      </c>
      <c r="U1088" s="418" t="str">
        <f t="shared" si="1587"/>
        <v/>
      </c>
      <c r="V1088" s="418" t="str">
        <f t="shared" si="1588"/>
        <v/>
      </c>
      <c r="W1088" s="418" t="str">
        <f t="shared" si="1589"/>
        <v/>
      </c>
      <c r="X1088" s="418" t="str">
        <f t="shared" si="1590"/>
        <v/>
      </c>
      <c r="Y1088" s="418" t="str">
        <f t="shared" si="1591"/>
        <v/>
      </c>
      <c r="Z1088" s="418" t="str">
        <f t="shared" si="1592"/>
        <v/>
      </c>
      <c r="AA1088" s="418" t="str">
        <f t="shared" si="1593"/>
        <v/>
      </c>
      <c r="AB1088" s="418" t="str">
        <f t="shared" si="1594"/>
        <v/>
      </c>
      <c r="AC1088" s="418" t="str">
        <f t="shared" si="1595"/>
        <v/>
      </c>
      <c r="AD1088" s="418" t="str">
        <f t="shared" si="1596"/>
        <v/>
      </c>
      <c r="AE1088" s="418" t="str">
        <f t="shared" si="1597"/>
        <v/>
      </c>
      <c r="AF1088" s="418" t="str">
        <f t="shared" si="1598"/>
        <v/>
      </c>
      <c r="AG1088" s="418" t="str">
        <f t="shared" si="1599"/>
        <v/>
      </c>
      <c r="AH1088" s="418" t="str">
        <f t="shared" si="1600"/>
        <v/>
      </c>
      <c r="AI1088" s="418" t="str">
        <f t="shared" si="1601"/>
        <v/>
      </c>
      <c r="AJ1088" s="418" t="str">
        <f t="shared" si="1602"/>
        <v/>
      </c>
      <c r="AK1088" s="418" t="str">
        <f t="shared" si="1603"/>
        <v/>
      </c>
      <c r="AL1088" s="418" t="str">
        <f t="shared" si="1604"/>
        <v/>
      </c>
      <c r="AM1088" s="418" t="str">
        <f t="shared" si="1605"/>
        <v/>
      </c>
      <c r="AN1088" s="418" t="str">
        <f t="shared" si="1606"/>
        <v/>
      </c>
      <c r="AO1088" s="418" t="str">
        <f t="shared" si="1607"/>
        <v/>
      </c>
      <c r="AP1088" s="418">
        <f t="shared" si="1608"/>
        <v>45600</v>
      </c>
      <c r="AQ1088" s="418" t="str">
        <f t="shared" si="1609"/>
        <v/>
      </c>
      <c r="AR1088" s="418" t="str">
        <f t="shared" si="1610"/>
        <v/>
      </c>
      <c r="AS1088" s="418" t="str">
        <f t="shared" si="1611"/>
        <v/>
      </c>
      <c r="AT1088" s="418" t="str">
        <f t="shared" si="1612"/>
        <v/>
      </c>
      <c r="AU1088" s="418" t="str">
        <f t="shared" si="1613"/>
        <v/>
      </c>
      <c r="AV1088" s="418" t="str">
        <f t="shared" si="1614"/>
        <v/>
      </c>
      <c r="AW1088" s="418" t="str">
        <f t="shared" si="1615"/>
        <v/>
      </c>
      <c r="AX1088" s="418" t="str">
        <f t="shared" si="1616"/>
        <v/>
      </c>
      <c r="AY1088" s="418" t="str">
        <f t="shared" si="1617"/>
        <v/>
      </c>
      <c r="AZ1088" s="418" t="str">
        <f t="shared" si="1618"/>
        <v/>
      </c>
      <c r="BA1088" s="418" t="str">
        <f t="shared" si="1619"/>
        <v/>
      </c>
      <c r="BB1088" s="418" t="str">
        <f t="shared" si="1620"/>
        <v/>
      </c>
      <c r="BC1088" s="418" t="str">
        <f t="shared" si="1621"/>
        <v/>
      </c>
      <c r="BD1088" s="418" t="str">
        <f t="shared" si="1622"/>
        <v/>
      </c>
      <c r="BE1088" s="418" t="str">
        <f t="shared" si="1623"/>
        <v/>
      </c>
      <c r="BF1088" s="418" t="str">
        <f t="shared" si="1624"/>
        <v/>
      </c>
      <c r="BG1088" s="418" t="str">
        <f t="shared" si="1625"/>
        <v/>
      </c>
      <c r="BH1088" s="418" t="str">
        <f t="shared" si="1626"/>
        <v/>
      </c>
      <c r="BI1088" s="418" t="str">
        <f t="shared" si="1627"/>
        <v/>
      </c>
      <c r="BJ1088" s="418" t="str">
        <f t="shared" si="1628"/>
        <v/>
      </c>
      <c r="BK1088" s="418" t="str">
        <f t="shared" si="1629"/>
        <v/>
      </c>
      <c r="BL1088" s="418" t="str">
        <f t="shared" si="1630"/>
        <v/>
      </c>
      <c r="BM1088" s="418" t="str">
        <f t="shared" si="1631"/>
        <v/>
      </c>
      <c r="BN1088" s="418" t="str">
        <f t="shared" si="1632"/>
        <v/>
      </c>
      <c r="BO1088" s="418" t="str">
        <f t="shared" si="1633"/>
        <v/>
      </c>
      <c r="BP1088" s="418" t="str">
        <f t="shared" si="1634"/>
        <v/>
      </c>
      <c r="BQ1088" s="418" t="str">
        <f t="shared" si="1643"/>
        <v/>
      </c>
      <c r="BR1088" s="418" t="str">
        <f t="shared" si="1644"/>
        <v/>
      </c>
      <c r="BS1088" s="418" t="str">
        <f t="shared" si="1645"/>
        <v/>
      </c>
      <c r="BT1088" s="418" t="str">
        <f t="shared" si="1635"/>
        <v/>
      </c>
      <c r="BU1088" s="418" t="str">
        <f t="shared" si="1636"/>
        <v/>
      </c>
      <c r="BV1088" s="544">
        <v>0.61</v>
      </c>
      <c r="BW1088" s="723">
        <f t="shared" si="1637"/>
        <v>27816</v>
      </c>
      <c r="BX1088" s="724">
        <f t="shared" si="1638"/>
        <v>215574</v>
      </c>
      <c r="BY1088" s="725" t="str">
        <f t="shared" si="1639"/>
        <v>SR</v>
      </c>
    </row>
    <row r="1089" s="697" customFormat="1" customHeight="1" spans="1:77">
      <c r="A1089" s="116">
        <v>46185</v>
      </c>
      <c r="B1089" s="179">
        <v>46290</v>
      </c>
      <c r="C1089" s="418" t="s">
        <v>968</v>
      </c>
      <c r="D1089" s="418" t="s">
        <v>969</v>
      </c>
      <c r="E1089" s="418" t="s">
        <v>61</v>
      </c>
      <c r="F1089" s="737">
        <v>46176</v>
      </c>
      <c r="G1089" s="123" t="s">
        <v>270</v>
      </c>
      <c r="H1089" s="118" t="str">
        <f>IFERROR(VLOOKUP(E1089,名称!A:E,4,0),"")</f>
        <v>三代</v>
      </c>
      <c r="I1089" s="418" t="str">
        <f t="shared" si="1575"/>
        <v/>
      </c>
      <c r="J1089" s="418" t="str">
        <f t="shared" si="1576"/>
        <v/>
      </c>
      <c r="K1089" s="418" t="str">
        <f t="shared" si="1577"/>
        <v/>
      </c>
      <c r="L1089" s="418" t="str">
        <f t="shared" si="1578"/>
        <v/>
      </c>
      <c r="M1089" s="418" t="str">
        <f t="shared" si="1579"/>
        <v/>
      </c>
      <c r="N1089" s="418" t="str">
        <f t="shared" si="1580"/>
        <v/>
      </c>
      <c r="O1089" s="418" t="str">
        <f t="shared" si="1581"/>
        <v/>
      </c>
      <c r="P1089" s="418" t="str">
        <f t="shared" si="1582"/>
        <v/>
      </c>
      <c r="Q1089" s="418" t="str">
        <f t="shared" si="1583"/>
        <v/>
      </c>
      <c r="R1089" s="418" t="str">
        <f t="shared" si="1584"/>
        <v/>
      </c>
      <c r="S1089" s="418" t="str">
        <f t="shared" si="1585"/>
        <v/>
      </c>
      <c r="T1089" s="418" t="str">
        <f t="shared" si="1586"/>
        <v/>
      </c>
      <c r="U1089" s="418" t="str">
        <f t="shared" si="1587"/>
        <v/>
      </c>
      <c r="V1089" s="418" t="str">
        <f t="shared" si="1588"/>
        <v/>
      </c>
      <c r="W1089" s="418" t="str">
        <f t="shared" si="1589"/>
        <v/>
      </c>
      <c r="X1089" s="418" t="str">
        <f t="shared" si="1590"/>
        <v/>
      </c>
      <c r="Y1089" s="418" t="str">
        <f t="shared" si="1591"/>
        <v/>
      </c>
      <c r="Z1089" s="418" t="str">
        <f t="shared" si="1592"/>
        <v/>
      </c>
      <c r="AA1089" s="418" t="str">
        <f t="shared" si="1593"/>
        <v/>
      </c>
      <c r="AB1089" s="418" t="str">
        <f t="shared" si="1594"/>
        <v/>
      </c>
      <c r="AC1089" s="418" t="str">
        <f t="shared" si="1595"/>
        <v/>
      </c>
      <c r="AD1089" s="418" t="str">
        <f t="shared" si="1596"/>
        <v/>
      </c>
      <c r="AE1089" s="418">
        <f t="shared" si="1597"/>
        <v>46176</v>
      </c>
      <c r="AF1089" s="418" t="str">
        <f t="shared" si="1598"/>
        <v/>
      </c>
      <c r="AG1089" s="418" t="str">
        <f t="shared" si="1599"/>
        <v/>
      </c>
      <c r="AH1089" s="418" t="str">
        <f t="shared" si="1600"/>
        <v/>
      </c>
      <c r="AI1089" s="418" t="str">
        <f t="shared" si="1601"/>
        <v/>
      </c>
      <c r="AJ1089" s="418" t="str">
        <f t="shared" si="1602"/>
        <v/>
      </c>
      <c r="AK1089" s="418" t="str">
        <f t="shared" si="1603"/>
        <v/>
      </c>
      <c r="AL1089" s="418" t="str">
        <f t="shared" si="1604"/>
        <v/>
      </c>
      <c r="AM1089" s="418" t="str">
        <f t="shared" si="1605"/>
        <v/>
      </c>
      <c r="AN1089" s="418" t="str">
        <f t="shared" si="1606"/>
        <v/>
      </c>
      <c r="AO1089" s="418" t="str">
        <f t="shared" si="1607"/>
        <v/>
      </c>
      <c r="AP1089" s="418" t="str">
        <f t="shared" si="1608"/>
        <v/>
      </c>
      <c r="AQ1089" s="418" t="str">
        <f t="shared" si="1609"/>
        <v/>
      </c>
      <c r="AR1089" s="418" t="str">
        <f t="shared" si="1610"/>
        <v/>
      </c>
      <c r="AS1089" s="418" t="str">
        <f t="shared" si="1611"/>
        <v/>
      </c>
      <c r="AT1089" s="418" t="str">
        <f t="shared" si="1612"/>
        <v/>
      </c>
      <c r="AU1089" s="418" t="str">
        <f t="shared" si="1613"/>
        <v/>
      </c>
      <c r="AV1089" s="418" t="str">
        <f t="shared" si="1614"/>
        <v/>
      </c>
      <c r="AW1089" s="418" t="str">
        <f t="shared" si="1615"/>
        <v/>
      </c>
      <c r="AX1089" s="418" t="str">
        <f t="shared" si="1616"/>
        <v/>
      </c>
      <c r="AY1089" s="418" t="str">
        <f t="shared" si="1617"/>
        <v/>
      </c>
      <c r="AZ1089" s="418" t="str">
        <f t="shared" si="1618"/>
        <v/>
      </c>
      <c r="BA1089" s="418" t="str">
        <f t="shared" si="1619"/>
        <v/>
      </c>
      <c r="BB1089" s="418" t="str">
        <f t="shared" si="1620"/>
        <v/>
      </c>
      <c r="BC1089" s="418" t="str">
        <f t="shared" si="1621"/>
        <v/>
      </c>
      <c r="BD1089" s="418" t="str">
        <f t="shared" si="1622"/>
        <v/>
      </c>
      <c r="BE1089" s="418" t="str">
        <f t="shared" si="1623"/>
        <v/>
      </c>
      <c r="BF1089" s="418" t="str">
        <f t="shared" si="1624"/>
        <v/>
      </c>
      <c r="BG1089" s="418" t="str">
        <f t="shared" si="1625"/>
        <v/>
      </c>
      <c r="BH1089" s="418" t="str">
        <f t="shared" si="1626"/>
        <v/>
      </c>
      <c r="BI1089" s="418" t="str">
        <f t="shared" si="1627"/>
        <v/>
      </c>
      <c r="BJ1089" s="418" t="str">
        <f t="shared" si="1628"/>
        <v/>
      </c>
      <c r="BK1089" s="418" t="str">
        <f t="shared" si="1629"/>
        <v/>
      </c>
      <c r="BL1089" s="418" t="str">
        <f t="shared" si="1630"/>
        <v/>
      </c>
      <c r="BM1089" s="418" t="str">
        <f t="shared" si="1631"/>
        <v/>
      </c>
      <c r="BN1089" s="418" t="str">
        <f t="shared" si="1632"/>
        <v/>
      </c>
      <c r="BO1089" s="418" t="str">
        <f t="shared" si="1633"/>
        <v/>
      </c>
      <c r="BP1089" s="418" t="str">
        <f t="shared" si="1634"/>
        <v/>
      </c>
      <c r="BQ1089" s="418" t="str">
        <f t="shared" si="1643"/>
        <v/>
      </c>
      <c r="BR1089" s="418" t="str">
        <f t="shared" si="1644"/>
        <v/>
      </c>
      <c r="BS1089" s="418" t="str">
        <f t="shared" si="1645"/>
        <v/>
      </c>
      <c r="BT1089" s="418" t="str">
        <f t="shared" si="1635"/>
        <v/>
      </c>
      <c r="BU1089" s="418" t="str">
        <f t="shared" si="1636"/>
        <v/>
      </c>
      <c r="BV1089" s="544">
        <v>0.61</v>
      </c>
      <c r="BW1089" s="723">
        <f t="shared" si="1637"/>
        <v>28167.36</v>
      </c>
      <c r="BX1089" s="724">
        <f t="shared" si="1638"/>
        <v>218297.04</v>
      </c>
      <c r="BY1089" s="725" t="str">
        <f t="shared" si="1639"/>
        <v>SR</v>
      </c>
    </row>
    <row r="1090" s="697" customFormat="1" customHeight="1" spans="1:77">
      <c r="A1090" s="116">
        <v>46185</v>
      </c>
      <c r="B1090" s="179">
        <v>46290</v>
      </c>
      <c r="C1090" s="418" t="s">
        <v>970</v>
      </c>
      <c r="D1090" s="418" t="s">
        <v>971</v>
      </c>
      <c r="E1090" s="418" t="s">
        <v>85</v>
      </c>
      <c r="F1090" s="419">
        <f>52320-3000-4008-5004</f>
        <v>40308</v>
      </c>
      <c r="G1090" s="123" t="s">
        <v>270</v>
      </c>
      <c r="H1090" s="118" t="str">
        <f>IFERROR(VLOOKUP(E1090,名称!A:E,4,0),"")</f>
        <v>三代</v>
      </c>
      <c r="I1090" s="418" t="str">
        <f t="shared" si="1575"/>
        <v/>
      </c>
      <c r="J1090" s="418" t="str">
        <f t="shared" si="1576"/>
        <v/>
      </c>
      <c r="K1090" s="418" t="str">
        <f t="shared" si="1577"/>
        <v/>
      </c>
      <c r="L1090" s="418" t="str">
        <f t="shared" si="1578"/>
        <v/>
      </c>
      <c r="M1090" s="418" t="str">
        <f t="shared" si="1579"/>
        <v/>
      </c>
      <c r="N1090" s="418" t="str">
        <f t="shared" si="1580"/>
        <v/>
      </c>
      <c r="O1090" s="418" t="str">
        <f t="shared" si="1581"/>
        <v/>
      </c>
      <c r="P1090" s="418" t="str">
        <f t="shared" si="1582"/>
        <v/>
      </c>
      <c r="Q1090" s="418" t="str">
        <f t="shared" si="1583"/>
        <v/>
      </c>
      <c r="R1090" s="418" t="str">
        <f t="shared" si="1584"/>
        <v/>
      </c>
      <c r="S1090" s="418" t="str">
        <f t="shared" si="1585"/>
        <v/>
      </c>
      <c r="T1090" s="418" t="str">
        <f t="shared" si="1586"/>
        <v/>
      </c>
      <c r="U1090" s="418" t="str">
        <f t="shared" si="1587"/>
        <v/>
      </c>
      <c r="V1090" s="418" t="str">
        <f t="shared" si="1588"/>
        <v/>
      </c>
      <c r="W1090" s="418" t="str">
        <f t="shared" si="1589"/>
        <v/>
      </c>
      <c r="X1090" s="418" t="str">
        <f t="shared" si="1590"/>
        <v/>
      </c>
      <c r="Y1090" s="418" t="str">
        <f t="shared" si="1591"/>
        <v/>
      </c>
      <c r="Z1090" s="418" t="str">
        <f t="shared" si="1592"/>
        <v/>
      </c>
      <c r="AA1090" s="418" t="str">
        <f t="shared" si="1593"/>
        <v/>
      </c>
      <c r="AB1090" s="418" t="str">
        <f t="shared" si="1594"/>
        <v/>
      </c>
      <c r="AC1090" s="418" t="str">
        <f t="shared" si="1595"/>
        <v/>
      </c>
      <c r="AD1090" s="418" t="str">
        <f t="shared" si="1596"/>
        <v/>
      </c>
      <c r="AE1090" s="418" t="str">
        <f t="shared" si="1597"/>
        <v/>
      </c>
      <c r="AF1090" s="418" t="str">
        <f t="shared" si="1598"/>
        <v/>
      </c>
      <c r="AG1090" s="418" t="str">
        <f t="shared" si="1599"/>
        <v/>
      </c>
      <c r="AH1090" s="418" t="str">
        <f t="shared" si="1600"/>
        <v/>
      </c>
      <c r="AI1090" s="418" t="str">
        <f t="shared" si="1601"/>
        <v/>
      </c>
      <c r="AJ1090" s="418" t="str">
        <f t="shared" si="1602"/>
        <v/>
      </c>
      <c r="AK1090" s="418" t="str">
        <f t="shared" si="1603"/>
        <v/>
      </c>
      <c r="AL1090" s="418" t="str">
        <f t="shared" si="1604"/>
        <v/>
      </c>
      <c r="AM1090" s="418" t="str">
        <f t="shared" si="1605"/>
        <v/>
      </c>
      <c r="AN1090" s="418">
        <f t="shared" si="1606"/>
        <v>40308</v>
      </c>
      <c r="AO1090" s="418" t="str">
        <f t="shared" si="1607"/>
        <v/>
      </c>
      <c r="AP1090" s="418" t="str">
        <f t="shared" si="1608"/>
        <v/>
      </c>
      <c r="AQ1090" s="418" t="str">
        <f t="shared" si="1609"/>
        <v/>
      </c>
      <c r="AR1090" s="418" t="str">
        <f t="shared" si="1610"/>
        <v/>
      </c>
      <c r="AS1090" s="418" t="str">
        <f t="shared" si="1611"/>
        <v/>
      </c>
      <c r="AT1090" s="418" t="str">
        <f t="shared" si="1612"/>
        <v/>
      </c>
      <c r="AU1090" s="418" t="str">
        <f t="shared" si="1613"/>
        <v/>
      </c>
      <c r="AV1090" s="418" t="str">
        <f t="shared" si="1614"/>
        <v/>
      </c>
      <c r="AW1090" s="418" t="str">
        <f t="shared" si="1615"/>
        <v/>
      </c>
      <c r="AX1090" s="418" t="str">
        <f t="shared" si="1616"/>
        <v/>
      </c>
      <c r="AY1090" s="418" t="str">
        <f t="shared" si="1617"/>
        <v/>
      </c>
      <c r="AZ1090" s="418" t="str">
        <f t="shared" si="1618"/>
        <v/>
      </c>
      <c r="BA1090" s="418" t="str">
        <f t="shared" si="1619"/>
        <v/>
      </c>
      <c r="BB1090" s="418" t="str">
        <f t="shared" si="1620"/>
        <v/>
      </c>
      <c r="BC1090" s="418" t="str">
        <f t="shared" si="1621"/>
        <v/>
      </c>
      <c r="BD1090" s="418" t="str">
        <f t="shared" si="1622"/>
        <v/>
      </c>
      <c r="BE1090" s="418" t="str">
        <f t="shared" si="1623"/>
        <v/>
      </c>
      <c r="BF1090" s="418" t="str">
        <f t="shared" si="1624"/>
        <v/>
      </c>
      <c r="BG1090" s="418" t="str">
        <f t="shared" si="1625"/>
        <v/>
      </c>
      <c r="BH1090" s="418" t="str">
        <f t="shared" si="1626"/>
        <v/>
      </c>
      <c r="BI1090" s="418" t="str">
        <f t="shared" si="1627"/>
        <v/>
      </c>
      <c r="BJ1090" s="418" t="str">
        <f t="shared" si="1628"/>
        <v/>
      </c>
      <c r="BK1090" s="418" t="str">
        <f t="shared" si="1629"/>
        <v/>
      </c>
      <c r="BL1090" s="418" t="str">
        <f t="shared" si="1630"/>
        <v/>
      </c>
      <c r="BM1090" s="418" t="str">
        <f t="shared" si="1631"/>
        <v/>
      </c>
      <c r="BN1090" s="418" t="str">
        <f t="shared" si="1632"/>
        <v/>
      </c>
      <c r="BO1090" s="418" t="str">
        <f t="shared" si="1633"/>
        <v/>
      </c>
      <c r="BP1090" s="418" t="str">
        <f t="shared" si="1634"/>
        <v/>
      </c>
      <c r="BQ1090" s="418" t="str">
        <f t="shared" si="1643"/>
        <v/>
      </c>
      <c r="BR1090" s="418" t="str">
        <f t="shared" si="1644"/>
        <v/>
      </c>
      <c r="BS1090" s="418" t="str">
        <f t="shared" si="1645"/>
        <v/>
      </c>
      <c r="BT1090" s="418" t="str">
        <f t="shared" si="1635"/>
        <v/>
      </c>
      <c r="BU1090" s="418" t="str">
        <f t="shared" si="1636"/>
        <v/>
      </c>
      <c r="BV1090" s="544">
        <v>0.83</v>
      </c>
      <c r="BW1090" s="723">
        <f t="shared" ref="BW1090:BW1104" si="1646">SUM(I1090:BU1090)*BV1090</f>
        <v>33455.64</v>
      </c>
      <c r="BX1090" s="724">
        <f t="shared" ref="BX1090:BX1104" si="1647">BW1090*7.75</f>
        <v>259281.21</v>
      </c>
      <c r="BY1090" s="725" t="str">
        <f t="shared" ref="BY1090:BY1104" si="1648">MID(E1090,1,2)</f>
        <v>SR</v>
      </c>
    </row>
    <row r="1091" s="697" customFormat="1" customHeight="1" spans="1:77">
      <c r="A1091" s="116">
        <v>46185</v>
      </c>
      <c r="B1091" s="179">
        <v>46295</v>
      </c>
      <c r="C1091" s="418" t="s">
        <v>972</v>
      </c>
      <c r="D1091" s="418" t="s">
        <v>973</v>
      </c>
      <c r="E1091" s="418" t="s">
        <v>109</v>
      </c>
      <c r="F1091" s="737">
        <v>45000</v>
      </c>
      <c r="G1091" s="123" t="s">
        <v>270</v>
      </c>
      <c r="H1091" s="118" t="str">
        <f>IFERROR(VLOOKUP(E1091,名称!A:E,4,0),"")</f>
        <v>三代</v>
      </c>
      <c r="I1091" s="418" t="str">
        <f t="shared" si="1575"/>
        <v/>
      </c>
      <c r="J1091" s="418" t="str">
        <f t="shared" si="1576"/>
        <v/>
      </c>
      <c r="K1091" s="418" t="str">
        <f t="shared" si="1577"/>
        <v/>
      </c>
      <c r="L1091" s="418" t="str">
        <f t="shared" si="1578"/>
        <v/>
      </c>
      <c r="M1091" s="418" t="str">
        <f t="shared" si="1579"/>
        <v/>
      </c>
      <c r="N1091" s="418" t="str">
        <f t="shared" si="1580"/>
        <v/>
      </c>
      <c r="O1091" s="418" t="str">
        <f t="shared" si="1581"/>
        <v/>
      </c>
      <c r="P1091" s="418" t="str">
        <f t="shared" si="1582"/>
        <v/>
      </c>
      <c r="Q1091" s="418" t="str">
        <f t="shared" si="1583"/>
        <v/>
      </c>
      <c r="R1091" s="418" t="str">
        <f t="shared" si="1584"/>
        <v/>
      </c>
      <c r="S1091" s="418" t="str">
        <f t="shared" si="1585"/>
        <v/>
      </c>
      <c r="T1091" s="418" t="str">
        <f t="shared" si="1586"/>
        <v/>
      </c>
      <c r="U1091" s="418" t="str">
        <f t="shared" si="1587"/>
        <v/>
      </c>
      <c r="V1091" s="418" t="str">
        <f t="shared" si="1588"/>
        <v/>
      </c>
      <c r="W1091" s="418" t="str">
        <f t="shared" si="1589"/>
        <v/>
      </c>
      <c r="X1091" s="418" t="str">
        <f t="shared" si="1590"/>
        <v/>
      </c>
      <c r="Y1091" s="418" t="str">
        <f t="shared" si="1591"/>
        <v/>
      </c>
      <c r="Z1091" s="418" t="str">
        <f t="shared" si="1592"/>
        <v/>
      </c>
      <c r="AA1091" s="418" t="str">
        <f t="shared" si="1593"/>
        <v/>
      </c>
      <c r="AB1091" s="418" t="str">
        <f t="shared" si="1594"/>
        <v/>
      </c>
      <c r="AC1091" s="418" t="str">
        <f t="shared" si="1595"/>
        <v/>
      </c>
      <c r="AD1091" s="418" t="str">
        <f t="shared" si="1596"/>
        <v/>
      </c>
      <c r="AE1091" s="418" t="str">
        <f t="shared" si="1597"/>
        <v/>
      </c>
      <c r="AF1091" s="418" t="str">
        <f t="shared" si="1598"/>
        <v/>
      </c>
      <c r="AG1091" s="418" t="str">
        <f t="shared" si="1599"/>
        <v/>
      </c>
      <c r="AH1091" s="418" t="str">
        <f t="shared" si="1600"/>
        <v/>
      </c>
      <c r="AI1091" s="418" t="str">
        <f t="shared" si="1601"/>
        <v/>
      </c>
      <c r="AJ1091" s="418" t="str">
        <f t="shared" si="1602"/>
        <v/>
      </c>
      <c r="AK1091" s="418" t="str">
        <f t="shared" si="1603"/>
        <v/>
      </c>
      <c r="AL1091" s="418" t="str">
        <f t="shared" si="1604"/>
        <v/>
      </c>
      <c r="AM1091" s="418" t="str">
        <f t="shared" si="1605"/>
        <v/>
      </c>
      <c r="AN1091" s="418" t="str">
        <f t="shared" si="1606"/>
        <v/>
      </c>
      <c r="AO1091" s="418" t="str">
        <f t="shared" si="1607"/>
        <v/>
      </c>
      <c r="AP1091" s="418" t="str">
        <f t="shared" si="1608"/>
        <v/>
      </c>
      <c r="AQ1091" s="418" t="str">
        <f t="shared" si="1609"/>
        <v/>
      </c>
      <c r="AR1091" s="418" t="str">
        <f t="shared" si="1610"/>
        <v/>
      </c>
      <c r="AS1091" s="418" t="str">
        <f t="shared" si="1611"/>
        <v/>
      </c>
      <c r="AT1091" s="418" t="str">
        <f t="shared" si="1612"/>
        <v/>
      </c>
      <c r="AU1091" s="418" t="str">
        <f t="shared" si="1613"/>
        <v/>
      </c>
      <c r="AV1091" s="418" t="str">
        <f t="shared" si="1614"/>
        <v/>
      </c>
      <c r="AW1091" s="418" t="str">
        <f t="shared" si="1615"/>
        <v/>
      </c>
      <c r="AX1091" s="418" t="str">
        <f t="shared" si="1616"/>
        <v/>
      </c>
      <c r="AY1091" s="418" t="str">
        <f t="shared" si="1617"/>
        <v/>
      </c>
      <c r="AZ1091" s="418" t="str">
        <f t="shared" si="1618"/>
        <v/>
      </c>
      <c r="BA1091" s="418" t="str">
        <f t="shared" si="1619"/>
        <v/>
      </c>
      <c r="BB1091" s="418" t="str">
        <f t="shared" si="1620"/>
        <v/>
      </c>
      <c r="BC1091" s="418">
        <f t="shared" si="1621"/>
        <v>45000</v>
      </c>
      <c r="BD1091" s="418" t="str">
        <f t="shared" si="1622"/>
        <v/>
      </c>
      <c r="BE1091" s="418" t="str">
        <f t="shared" si="1623"/>
        <v/>
      </c>
      <c r="BF1091" s="418" t="str">
        <f t="shared" si="1624"/>
        <v/>
      </c>
      <c r="BG1091" s="418" t="str">
        <f t="shared" si="1625"/>
        <v/>
      </c>
      <c r="BH1091" s="418" t="str">
        <f t="shared" si="1626"/>
        <v/>
      </c>
      <c r="BI1091" s="418" t="str">
        <f t="shared" si="1627"/>
        <v/>
      </c>
      <c r="BJ1091" s="418" t="str">
        <f t="shared" si="1628"/>
        <v/>
      </c>
      <c r="BK1091" s="418" t="str">
        <f t="shared" si="1629"/>
        <v/>
      </c>
      <c r="BL1091" s="418" t="str">
        <f t="shared" si="1630"/>
        <v/>
      </c>
      <c r="BM1091" s="418" t="str">
        <f t="shared" si="1631"/>
        <v/>
      </c>
      <c r="BN1091" s="418" t="str">
        <f t="shared" si="1632"/>
        <v/>
      </c>
      <c r="BO1091" s="418" t="str">
        <f t="shared" si="1633"/>
        <v/>
      </c>
      <c r="BP1091" s="418" t="str">
        <f t="shared" si="1634"/>
        <v/>
      </c>
      <c r="BQ1091" s="418" t="str">
        <f t="shared" si="1643"/>
        <v/>
      </c>
      <c r="BR1091" s="418" t="str">
        <f t="shared" si="1644"/>
        <v/>
      </c>
      <c r="BS1091" s="418" t="str">
        <f t="shared" si="1645"/>
        <v/>
      </c>
      <c r="BT1091" s="418" t="str">
        <f t="shared" si="1635"/>
        <v/>
      </c>
      <c r="BU1091" s="418" t="str">
        <f t="shared" si="1636"/>
        <v/>
      </c>
      <c r="BV1091" s="544">
        <v>0.64</v>
      </c>
      <c r="BW1091" s="723">
        <f t="shared" si="1646"/>
        <v>28800</v>
      </c>
      <c r="BX1091" s="724">
        <f t="shared" si="1647"/>
        <v>223200</v>
      </c>
      <c r="BY1091" s="725" t="str">
        <f t="shared" si="1648"/>
        <v>JS</v>
      </c>
    </row>
    <row r="1092" s="697" customFormat="1" customHeight="1" spans="1:77">
      <c r="A1092" s="116">
        <v>46185</v>
      </c>
      <c r="B1092" s="179">
        <v>46295</v>
      </c>
      <c r="C1092" s="418" t="s">
        <v>974</v>
      </c>
      <c r="D1092" s="418" t="s">
        <v>975</v>
      </c>
      <c r="E1092" s="418" t="s">
        <v>67</v>
      </c>
      <c r="F1092" s="737">
        <v>30000</v>
      </c>
      <c r="G1092" s="123" t="s">
        <v>270</v>
      </c>
      <c r="H1092" s="118" t="str">
        <f>IFERROR(VLOOKUP(E1092,名称!A:E,4,0),"")</f>
        <v>三代</v>
      </c>
      <c r="I1092" s="418" t="str">
        <f t="shared" si="1575"/>
        <v/>
      </c>
      <c r="J1092" s="418" t="str">
        <f t="shared" si="1576"/>
        <v/>
      </c>
      <c r="K1092" s="418" t="str">
        <f t="shared" si="1577"/>
        <v/>
      </c>
      <c r="L1092" s="418" t="str">
        <f t="shared" si="1578"/>
        <v/>
      </c>
      <c r="M1092" s="418" t="str">
        <f t="shared" si="1579"/>
        <v/>
      </c>
      <c r="N1092" s="418" t="str">
        <f t="shared" si="1580"/>
        <v/>
      </c>
      <c r="O1092" s="418" t="str">
        <f t="shared" si="1581"/>
        <v/>
      </c>
      <c r="P1092" s="418" t="str">
        <f t="shared" si="1582"/>
        <v/>
      </c>
      <c r="Q1092" s="418" t="str">
        <f t="shared" si="1583"/>
        <v/>
      </c>
      <c r="R1092" s="418" t="str">
        <f t="shared" si="1584"/>
        <v/>
      </c>
      <c r="S1092" s="418" t="str">
        <f t="shared" si="1585"/>
        <v/>
      </c>
      <c r="T1092" s="418" t="str">
        <f t="shared" si="1586"/>
        <v/>
      </c>
      <c r="U1092" s="418" t="str">
        <f t="shared" si="1587"/>
        <v/>
      </c>
      <c r="V1092" s="418" t="str">
        <f t="shared" si="1588"/>
        <v/>
      </c>
      <c r="W1092" s="418" t="str">
        <f t="shared" si="1589"/>
        <v/>
      </c>
      <c r="X1092" s="418" t="str">
        <f t="shared" si="1590"/>
        <v/>
      </c>
      <c r="Y1092" s="418" t="str">
        <f t="shared" si="1591"/>
        <v/>
      </c>
      <c r="Z1092" s="418" t="str">
        <f t="shared" si="1592"/>
        <v/>
      </c>
      <c r="AA1092" s="418" t="str">
        <f t="shared" si="1593"/>
        <v/>
      </c>
      <c r="AB1092" s="418" t="str">
        <f t="shared" si="1594"/>
        <v/>
      </c>
      <c r="AC1092" s="418" t="str">
        <f t="shared" si="1595"/>
        <v/>
      </c>
      <c r="AD1092" s="418" t="str">
        <f t="shared" si="1596"/>
        <v/>
      </c>
      <c r="AE1092" s="418" t="str">
        <f t="shared" si="1597"/>
        <v/>
      </c>
      <c r="AF1092" s="418" t="str">
        <f t="shared" si="1598"/>
        <v/>
      </c>
      <c r="AG1092" s="418">
        <f t="shared" si="1599"/>
        <v>30000</v>
      </c>
      <c r="AH1092" s="418" t="str">
        <f t="shared" si="1600"/>
        <v/>
      </c>
      <c r="AI1092" s="418" t="str">
        <f t="shared" si="1601"/>
        <v/>
      </c>
      <c r="AJ1092" s="418" t="str">
        <f t="shared" si="1602"/>
        <v/>
      </c>
      <c r="AK1092" s="418" t="str">
        <f t="shared" si="1603"/>
        <v/>
      </c>
      <c r="AL1092" s="418" t="str">
        <f t="shared" si="1604"/>
        <v/>
      </c>
      <c r="AM1092" s="418" t="str">
        <f t="shared" si="1605"/>
        <v/>
      </c>
      <c r="AN1092" s="418" t="str">
        <f t="shared" si="1606"/>
        <v/>
      </c>
      <c r="AO1092" s="418" t="str">
        <f t="shared" si="1607"/>
        <v/>
      </c>
      <c r="AP1092" s="418" t="str">
        <f t="shared" si="1608"/>
        <v/>
      </c>
      <c r="AQ1092" s="418" t="str">
        <f t="shared" si="1609"/>
        <v/>
      </c>
      <c r="AR1092" s="418" t="str">
        <f t="shared" si="1610"/>
        <v/>
      </c>
      <c r="AS1092" s="418" t="str">
        <f t="shared" si="1611"/>
        <v/>
      </c>
      <c r="AT1092" s="418" t="str">
        <f t="shared" si="1612"/>
        <v/>
      </c>
      <c r="AU1092" s="418" t="str">
        <f t="shared" si="1613"/>
        <v/>
      </c>
      <c r="AV1092" s="418" t="str">
        <f t="shared" si="1614"/>
        <v/>
      </c>
      <c r="AW1092" s="418" t="str">
        <f t="shared" si="1615"/>
        <v/>
      </c>
      <c r="AX1092" s="418" t="str">
        <f t="shared" si="1616"/>
        <v/>
      </c>
      <c r="AY1092" s="418" t="str">
        <f t="shared" si="1617"/>
        <v/>
      </c>
      <c r="AZ1092" s="418" t="str">
        <f t="shared" si="1618"/>
        <v/>
      </c>
      <c r="BA1092" s="418" t="str">
        <f t="shared" si="1619"/>
        <v/>
      </c>
      <c r="BB1092" s="418" t="str">
        <f t="shared" si="1620"/>
        <v/>
      </c>
      <c r="BC1092" s="418" t="str">
        <f t="shared" si="1621"/>
        <v/>
      </c>
      <c r="BD1092" s="418" t="str">
        <f t="shared" si="1622"/>
        <v/>
      </c>
      <c r="BE1092" s="418" t="str">
        <f t="shared" si="1623"/>
        <v/>
      </c>
      <c r="BF1092" s="418" t="str">
        <f t="shared" si="1624"/>
        <v/>
      </c>
      <c r="BG1092" s="418" t="str">
        <f t="shared" si="1625"/>
        <v/>
      </c>
      <c r="BH1092" s="418" t="str">
        <f t="shared" si="1626"/>
        <v/>
      </c>
      <c r="BI1092" s="418" t="str">
        <f t="shared" si="1627"/>
        <v/>
      </c>
      <c r="BJ1092" s="418" t="str">
        <f t="shared" si="1628"/>
        <v/>
      </c>
      <c r="BK1092" s="418" t="str">
        <f t="shared" si="1629"/>
        <v/>
      </c>
      <c r="BL1092" s="418" t="str">
        <f t="shared" si="1630"/>
        <v/>
      </c>
      <c r="BM1092" s="418" t="str">
        <f t="shared" si="1631"/>
        <v/>
      </c>
      <c r="BN1092" s="418" t="str">
        <f t="shared" si="1632"/>
        <v/>
      </c>
      <c r="BO1092" s="418" t="str">
        <f t="shared" si="1633"/>
        <v/>
      </c>
      <c r="BP1092" s="418" t="str">
        <f t="shared" si="1634"/>
        <v/>
      </c>
      <c r="BQ1092" s="418" t="str">
        <f t="shared" si="1643"/>
        <v/>
      </c>
      <c r="BR1092" s="418" t="str">
        <f t="shared" si="1644"/>
        <v/>
      </c>
      <c r="BS1092" s="418" t="str">
        <f t="shared" si="1645"/>
        <v/>
      </c>
      <c r="BT1092" s="418" t="str">
        <f t="shared" si="1635"/>
        <v/>
      </c>
      <c r="BU1092" s="418" t="str">
        <f t="shared" si="1636"/>
        <v/>
      </c>
      <c r="BV1092" s="544">
        <v>2.02</v>
      </c>
      <c r="BW1092" s="723">
        <f t="shared" si="1646"/>
        <v>60600</v>
      </c>
      <c r="BX1092" s="724">
        <f t="shared" si="1647"/>
        <v>469650</v>
      </c>
      <c r="BY1092" s="725" t="str">
        <f t="shared" si="1648"/>
        <v>SR</v>
      </c>
    </row>
    <row r="1093" s="697" customFormat="1" customHeight="1" spans="1:77">
      <c r="A1093" s="116">
        <v>46185</v>
      </c>
      <c r="B1093" s="179">
        <v>46295</v>
      </c>
      <c r="C1093" s="418" t="s">
        <v>976</v>
      </c>
      <c r="D1093" s="418" t="s">
        <v>977</v>
      </c>
      <c r="E1093" s="418" t="s">
        <v>119</v>
      </c>
      <c r="F1093" s="737">
        <v>45000</v>
      </c>
      <c r="G1093" s="123" t="s">
        <v>270</v>
      </c>
      <c r="H1093" s="118" t="str">
        <f>IFERROR(VLOOKUP(E1093,名称!A:E,4,0),"")</f>
        <v>三代</v>
      </c>
      <c r="I1093" s="418" t="str">
        <f t="shared" si="1575"/>
        <v/>
      </c>
      <c r="J1093" s="418" t="str">
        <f t="shared" si="1576"/>
        <v/>
      </c>
      <c r="K1093" s="418" t="str">
        <f t="shared" si="1577"/>
        <v/>
      </c>
      <c r="L1093" s="418" t="str">
        <f t="shared" si="1578"/>
        <v/>
      </c>
      <c r="M1093" s="418" t="str">
        <f t="shared" si="1579"/>
        <v/>
      </c>
      <c r="N1093" s="418" t="str">
        <f t="shared" si="1580"/>
        <v/>
      </c>
      <c r="O1093" s="418" t="str">
        <f t="shared" si="1581"/>
        <v/>
      </c>
      <c r="P1093" s="418" t="str">
        <f t="shared" si="1582"/>
        <v/>
      </c>
      <c r="Q1093" s="418" t="str">
        <f t="shared" si="1583"/>
        <v/>
      </c>
      <c r="R1093" s="418" t="str">
        <f t="shared" si="1584"/>
        <v/>
      </c>
      <c r="S1093" s="418" t="str">
        <f t="shared" si="1585"/>
        <v/>
      </c>
      <c r="T1093" s="418" t="str">
        <f t="shared" si="1586"/>
        <v/>
      </c>
      <c r="U1093" s="418" t="str">
        <f t="shared" si="1587"/>
        <v/>
      </c>
      <c r="V1093" s="418" t="str">
        <f t="shared" si="1588"/>
        <v/>
      </c>
      <c r="W1093" s="418" t="str">
        <f t="shared" si="1589"/>
        <v/>
      </c>
      <c r="X1093" s="418" t="str">
        <f t="shared" si="1590"/>
        <v/>
      </c>
      <c r="Y1093" s="418" t="str">
        <f t="shared" si="1591"/>
        <v/>
      </c>
      <c r="Z1093" s="418" t="str">
        <f t="shared" si="1592"/>
        <v/>
      </c>
      <c r="AA1093" s="418" t="str">
        <f t="shared" si="1593"/>
        <v/>
      </c>
      <c r="AB1093" s="418" t="str">
        <f t="shared" si="1594"/>
        <v/>
      </c>
      <c r="AC1093" s="418" t="str">
        <f t="shared" si="1595"/>
        <v/>
      </c>
      <c r="AD1093" s="418" t="str">
        <f t="shared" si="1596"/>
        <v/>
      </c>
      <c r="AE1093" s="418" t="str">
        <f t="shared" si="1597"/>
        <v/>
      </c>
      <c r="AF1093" s="418" t="str">
        <f t="shared" si="1598"/>
        <v/>
      </c>
      <c r="AG1093" s="418" t="str">
        <f t="shared" si="1599"/>
        <v/>
      </c>
      <c r="AH1093" s="418" t="str">
        <f t="shared" si="1600"/>
        <v/>
      </c>
      <c r="AI1093" s="418" t="str">
        <f t="shared" si="1601"/>
        <v/>
      </c>
      <c r="AJ1093" s="418" t="str">
        <f t="shared" si="1602"/>
        <v/>
      </c>
      <c r="AK1093" s="418" t="str">
        <f t="shared" si="1603"/>
        <v/>
      </c>
      <c r="AL1093" s="418" t="str">
        <f t="shared" si="1604"/>
        <v/>
      </c>
      <c r="AM1093" s="418" t="str">
        <f t="shared" si="1605"/>
        <v/>
      </c>
      <c r="AN1093" s="418" t="str">
        <f t="shared" si="1606"/>
        <v/>
      </c>
      <c r="AO1093" s="418" t="str">
        <f t="shared" si="1607"/>
        <v/>
      </c>
      <c r="AP1093" s="418">
        <f t="shared" si="1608"/>
        <v>45000</v>
      </c>
      <c r="AQ1093" s="418" t="str">
        <f t="shared" si="1609"/>
        <v/>
      </c>
      <c r="AR1093" s="418" t="str">
        <f t="shared" si="1610"/>
        <v/>
      </c>
      <c r="AS1093" s="418" t="str">
        <f t="shared" si="1611"/>
        <v/>
      </c>
      <c r="AT1093" s="418" t="str">
        <f t="shared" si="1612"/>
        <v/>
      </c>
      <c r="AU1093" s="418" t="str">
        <f t="shared" si="1613"/>
        <v/>
      </c>
      <c r="AV1093" s="418" t="str">
        <f t="shared" si="1614"/>
        <v/>
      </c>
      <c r="AW1093" s="418" t="str">
        <f t="shared" si="1615"/>
        <v/>
      </c>
      <c r="AX1093" s="418" t="str">
        <f t="shared" si="1616"/>
        <v/>
      </c>
      <c r="AY1093" s="418" t="str">
        <f t="shared" si="1617"/>
        <v/>
      </c>
      <c r="AZ1093" s="418" t="str">
        <f t="shared" si="1618"/>
        <v/>
      </c>
      <c r="BA1093" s="418" t="str">
        <f t="shared" si="1619"/>
        <v/>
      </c>
      <c r="BB1093" s="418" t="str">
        <f t="shared" si="1620"/>
        <v/>
      </c>
      <c r="BC1093" s="418" t="str">
        <f t="shared" si="1621"/>
        <v/>
      </c>
      <c r="BD1093" s="418" t="str">
        <f t="shared" si="1622"/>
        <v/>
      </c>
      <c r="BE1093" s="418" t="str">
        <f t="shared" si="1623"/>
        <v/>
      </c>
      <c r="BF1093" s="418" t="str">
        <f t="shared" si="1624"/>
        <v/>
      </c>
      <c r="BG1093" s="418" t="str">
        <f t="shared" si="1625"/>
        <v/>
      </c>
      <c r="BH1093" s="418" t="str">
        <f t="shared" si="1626"/>
        <v/>
      </c>
      <c r="BI1093" s="418" t="str">
        <f t="shared" si="1627"/>
        <v/>
      </c>
      <c r="BJ1093" s="418" t="str">
        <f t="shared" si="1628"/>
        <v/>
      </c>
      <c r="BK1093" s="418" t="str">
        <f t="shared" si="1629"/>
        <v/>
      </c>
      <c r="BL1093" s="418" t="str">
        <f t="shared" si="1630"/>
        <v/>
      </c>
      <c r="BM1093" s="418" t="str">
        <f t="shared" si="1631"/>
        <v/>
      </c>
      <c r="BN1093" s="418" t="str">
        <f t="shared" si="1632"/>
        <v/>
      </c>
      <c r="BO1093" s="418" t="str">
        <f t="shared" si="1633"/>
        <v/>
      </c>
      <c r="BP1093" s="418" t="str">
        <f t="shared" si="1634"/>
        <v/>
      </c>
      <c r="BQ1093" s="418" t="str">
        <f t="shared" si="1643"/>
        <v/>
      </c>
      <c r="BR1093" s="418" t="str">
        <f t="shared" si="1644"/>
        <v/>
      </c>
      <c r="BS1093" s="418" t="str">
        <f t="shared" si="1645"/>
        <v/>
      </c>
      <c r="BT1093" s="418" t="str">
        <f t="shared" si="1635"/>
        <v/>
      </c>
      <c r="BU1093" s="418" t="str">
        <f t="shared" si="1636"/>
        <v/>
      </c>
      <c r="BV1093" s="544">
        <v>0.61</v>
      </c>
      <c r="BW1093" s="723">
        <f t="shared" si="1646"/>
        <v>27450</v>
      </c>
      <c r="BX1093" s="724">
        <f t="shared" si="1647"/>
        <v>212737.5</v>
      </c>
      <c r="BY1093" s="725" t="str">
        <f t="shared" si="1648"/>
        <v>SR</v>
      </c>
    </row>
    <row r="1094" s="697" customFormat="1" customHeight="1" spans="1:77">
      <c r="A1094" s="116">
        <v>46185</v>
      </c>
      <c r="B1094" s="179">
        <v>46309</v>
      </c>
      <c r="C1094" s="418" t="s">
        <v>978</v>
      </c>
      <c r="D1094" s="418" t="s">
        <v>979</v>
      </c>
      <c r="E1094" s="418" t="s">
        <v>199</v>
      </c>
      <c r="F1094" s="737">
        <v>20016</v>
      </c>
      <c r="G1094" s="123" t="s">
        <v>270</v>
      </c>
      <c r="H1094" s="118" t="str">
        <f>IFERROR(VLOOKUP(E1094,名称!A:E,4,0),"")</f>
        <v>三代</v>
      </c>
      <c r="I1094" s="418" t="str">
        <f t="shared" si="1575"/>
        <v/>
      </c>
      <c r="J1094" s="418" t="str">
        <f t="shared" si="1576"/>
        <v/>
      </c>
      <c r="K1094" s="418" t="str">
        <f t="shared" si="1577"/>
        <v/>
      </c>
      <c r="L1094" s="418" t="str">
        <f t="shared" si="1578"/>
        <v/>
      </c>
      <c r="M1094" s="418" t="str">
        <f t="shared" si="1579"/>
        <v/>
      </c>
      <c r="N1094" s="418" t="str">
        <f t="shared" si="1580"/>
        <v/>
      </c>
      <c r="O1094" s="418" t="str">
        <f t="shared" si="1581"/>
        <v/>
      </c>
      <c r="P1094" s="418" t="str">
        <f t="shared" si="1582"/>
        <v/>
      </c>
      <c r="Q1094" s="418" t="str">
        <f t="shared" si="1583"/>
        <v/>
      </c>
      <c r="R1094" s="418" t="str">
        <f t="shared" si="1584"/>
        <v/>
      </c>
      <c r="S1094" s="418" t="str">
        <f t="shared" si="1585"/>
        <v/>
      </c>
      <c r="T1094" s="418" t="str">
        <f t="shared" si="1586"/>
        <v/>
      </c>
      <c r="U1094" s="418" t="str">
        <f t="shared" si="1587"/>
        <v/>
      </c>
      <c r="V1094" s="418" t="str">
        <f t="shared" si="1588"/>
        <v/>
      </c>
      <c r="W1094" s="418" t="str">
        <f t="shared" si="1589"/>
        <v/>
      </c>
      <c r="X1094" s="418" t="str">
        <f t="shared" si="1590"/>
        <v/>
      </c>
      <c r="Y1094" s="418" t="str">
        <f t="shared" si="1591"/>
        <v/>
      </c>
      <c r="Z1094" s="418" t="str">
        <f t="shared" si="1592"/>
        <v/>
      </c>
      <c r="AA1094" s="418" t="str">
        <f t="shared" si="1593"/>
        <v/>
      </c>
      <c r="AB1094" s="418" t="str">
        <f t="shared" si="1594"/>
        <v/>
      </c>
      <c r="AC1094" s="418" t="str">
        <f t="shared" si="1595"/>
        <v/>
      </c>
      <c r="AD1094" s="418" t="str">
        <f t="shared" si="1596"/>
        <v/>
      </c>
      <c r="AE1094" s="418" t="str">
        <f t="shared" si="1597"/>
        <v/>
      </c>
      <c r="AF1094" s="418" t="str">
        <f t="shared" si="1598"/>
        <v/>
      </c>
      <c r="AG1094" s="418" t="str">
        <f t="shared" si="1599"/>
        <v/>
      </c>
      <c r="AH1094" s="418" t="str">
        <f t="shared" si="1600"/>
        <v/>
      </c>
      <c r="AI1094" s="418" t="str">
        <f t="shared" si="1601"/>
        <v/>
      </c>
      <c r="AJ1094" s="418" t="str">
        <f t="shared" si="1602"/>
        <v/>
      </c>
      <c r="AK1094" s="418" t="str">
        <f t="shared" si="1603"/>
        <v/>
      </c>
      <c r="AL1094" s="418" t="str">
        <f t="shared" si="1604"/>
        <v/>
      </c>
      <c r="AM1094" s="418" t="str">
        <f t="shared" si="1605"/>
        <v/>
      </c>
      <c r="AN1094" s="418" t="str">
        <f t="shared" si="1606"/>
        <v/>
      </c>
      <c r="AO1094" s="418" t="str">
        <f t="shared" si="1607"/>
        <v/>
      </c>
      <c r="AP1094" s="418" t="str">
        <f t="shared" si="1608"/>
        <v/>
      </c>
      <c r="AQ1094" s="418" t="str">
        <f t="shared" si="1609"/>
        <v/>
      </c>
      <c r="AR1094" s="418" t="str">
        <f t="shared" si="1610"/>
        <v/>
      </c>
      <c r="AS1094" s="418" t="str">
        <f t="shared" si="1611"/>
        <v/>
      </c>
      <c r="AT1094" s="418" t="str">
        <f t="shared" si="1612"/>
        <v/>
      </c>
      <c r="AU1094" s="418" t="str">
        <f t="shared" si="1613"/>
        <v/>
      </c>
      <c r="AV1094" s="418" t="str">
        <f t="shared" si="1614"/>
        <v/>
      </c>
      <c r="AW1094" s="418" t="str">
        <f t="shared" si="1615"/>
        <v/>
      </c>
      <c r="AX1094" s="418" t="str">
        <f t="shared" si="1616"/>
        <v/>
      </c>
      <c r="AY1094" s="418" t="str">
        <f t="shared" si="1617"/>
        <v/>
      </c>
      <c r="AZ1094" s="418" t="str">
        <f t="shared" si="1618"/>
        <v/>
      </c>
      <c r="BA1094" s="418" t="str">
        <f t="shared" si="1619"/>
        <v/>
      </c>
      <c r="BB1094" s="418" t="str">
        <f t="shared" si="1620"/>
        <v/>
      </c>
      <c r="BC1094" s="418" t="str">
        <f t="shared" si="1621"/>
        <v/>
      </c>
      <c r="BD1094" s="418" t="str">
        <f t="shared" si="1622"/>
        <v/>
      </c>
      <c r="BE1094" s="418" t="str">
        <f t="shared" si="1623"/>
        <v/>
      </c>
      <c r="BF1094" s="418" t="str">
        <f t="shared" si="1624"/>
        <v/>
      </c>
      <c r="BG1094" s="418" t="str">
        <f t="shared" si="1625"/>
        <v/>
      </c>
      <c r="BH1094" s="418" t="str">
        <f t="shared" si="1626"/>
        <v/>
      </c>
      <c r="BI1094" s="418" t="str">
        <f t="shared" si="1627"/>
        <v/>
      </c>
      <c r="BJ1094" s="418" t="str">
        <f t="shared" si="1628"/>
        <v/>
      </c>
      <c r="BK1094" s="418" t="str">
        <f t="shared" si="1629"/>
        <v/>
      </c>
      <c r="BL1094" s="418" t="str">
        <f t="shared" si="1630"/>
        <v/>
      </c>
      <c r="BM1094" s="418" t="str">
        <f t="shared" si="1631"/>
        <v/>
      </c>
      <c r="BN1094" s="418" t="str">
        <f t="shared" si="1632"/>
        <v/>
      </c>
      <c r="BO1094" s="418" t="str">
        <f t="shared" si="1633"/>
        <v/>
      </c>
      <c r="BP1094" s="418">
        <f t="shared" si="1634"/>
        <v>20016</v>
      </c>
      <c r="BQ1094" s="418" t="str">
        <f t="shared" si="1643"/>
        <v/>
      </c>
      <c r="BR1094" s="418" t="str">
        <f t="shared" si="1644"/>
        <v/>
      </c>
      <c r="BS1094" s="418" t="str">
        <f t="shared" si="1645"/>
        <v/>
      </c>
      <c r="BT1094" s="418" t="str">
        <f t="shared" si="1635"/>
        <v/>
      </c>
      <c r="BU1094" s="418" t="str">
        <f t="shared" si="1636"/>
        <v/>
      </c>
      <c r="BV1094" s="544">
        <v>0.89</v>
      </c>
      <c r="BW1094" s="723">
        <f t="shared" si="1646"/>
        <v>17814.24</v>
      </c>
      <c r="BX1094" s="724">
        <f t="shared" si="1647"/>
        <v>138060.36</v>
      </c>
      <c r="BY1094" s="725" t="str">
        <f t="shared" si="1648"/>
        <v>SR</v>
      </c>
    </row>
    <row r="1095" s="697" customFormat="1" customHeight="1" spans="1:77">
      <c r="A1095" s="116">
        <v>46185</v>
      </c>
      <c r="B1095" s="140">
        <v>46244</v>
      </c>
      <c r="C1095" s="123"/>
      <c r="D1095" s="123" t="s">
        <v>980</v>
      </c>
      <c r="E1095" s="123" t="s">
        <v>52</v>
      </c>
      <c r="F1095" s="142">
        <v>824</v>
      </c>
      <c r="G1095" s="123" t="s">
        <v>510</v>
      </c>
      <c r="H1095" s="118" t="str">
        <f>IFERROR(VLOOKUP(E1095,名称!A:E,4,0),"")</f>
        <v>蛋糕</v>
      </c>
      <c r="I1095" s="418" t="str">
        <f t="shared" si="1575"/>
        <v/>
      </c>
      <c r="J1095" s="418" t="str">
        <f t="shared" si="1576"/>
        <v/>
      </c>
      <c r="K1095" s="418" t="str">
        <f t="shared" si="1577"/>
        <v/>
      </c>
      <c r="L1095" s="418" t="str">
        <f t="shared" si="1578"/>
        <v/>
      </c>
      <c r="M1095" s="418" t="str">
        <f t="shared" si="1579"/>
        <v/>
      </c>
      <c r="N1095" s="418" t="str">
        <f t="shared" si="1580"/>
        <v/>
      </c>
      <c r="O1095" s="418" t="str">
        <f t="shared" si="1581"/>
        <v/>
      </c>
      <c r="P1095" s="418" t="str">
        <f t="shared" si="1582"/>
        <v/>
      </c>
      <c r="Q1095" s="418" t="str">
        <f t="shared" si="1583"/>
        <v/>
      </c>
      <c r="R1095" s="418" t="str">
        <f t="shared" si="1584"/>
        <v/>
      </c>
      <c r="S1095" s="418" t="str">
        <f t="shared" si="1585"/>
        <v/>
      </c>
      <c r="T1095" s="418" t="str">
        <f t="shared" si="1586"/>
        <v/>
      </c>
      <c r="U1095" s="418" t="str">
        <f t="shared" si="1587"/>
        <v/>
      </c>
      <c r="V1095" s="418" t="str">
        <f t="shared" si="1588"/>
        <v/>
      </c>
      <c r="W1095" s="418" t="str">
        <f t="shared" si="1589"/>
        <v/>
      </c>
      <c r="X1095" s="418" t="str">
        <f t="shared" si="1590"/>
        <v/>
      </c>
      <c r="Y1095" s="418" t="str">
        <f t="shared" si="1591"/>
        <v/>
      </c>
      <c r="Z1095" s="418" t="str">
        <f t="shared" si="1592"/>
        <v/>
      </c>
      <c r="AA1095" s="418" t="str">
        <f t="shared" si="1593"/>
        <v/>
      </c>
      <c r="AB1095" s="418" t="str">
        <f t="shared" si="1594"/>
        <v/>
      </c>
      <c r="AC1095" s="418" t="str">
        <f t="shared" si="1595"/>
        <v/>
      </c>
      <c r="AD1095" s="418" t="str">
        <f t="shared" si="1596"/>
        <v/>
      </c>
      <c r="AE1095" s="418" t="str">
        <f t="shared" si="1597"/>
        <v/>
      </c>
      <c r="AF1095" s="418" t="str">
        <f t="shared" si="1598"/>
        <v/>
      </c>
      <c r="AG1095" s="418" t="str">
        <f t="shared" si="1599"/>
        <v/>
      </c>
      <c r="AH1095" s="418" t="str">
        <f t="shared" si="1600"/>
        <v/>
      </c>
      <c r="AI1095" s="418" t="str">
        <f t="shared" si="1601"/>
        <v/>
      </c>
      <c r="AJ1095" s="418" t="str">
        <f t="shared" si="1602"/>
        <v/>
      </c>
      <c r="AK1095" s="418" t="str">
        <f t="shared" si="1603"/>
        <v/>
      </c>
      <c r="AL1095" s="418" t="str">
        <f t="shared" si="1604"/>
        <v/>
      </c>
      <c r="AM1095" s="418" t="str">
        <f t="shared" si="1605"/>
        <v/>
      </c>
      <c r="AN1095" s="418" t="str">
        <f t="shared" si="1606"/>
        <v/>
      </c>
      <c r="AO1095" s="418" t="str">
        <f t="shared" si="1607"/>
        <v/>
      </c>
      <c r="AP1095" s="418" t="str">
        <f t="shared" si="1608"/>
        <v/>
      </c>
      <c r="AQ1095" s="418" t="str">
        <f t="shared" si="1609"/>
        <v/>
      </c>
      <c r="AR1095" s="418" t="str">
        <f t="shared" si="1610"/>
        <v/>
      </c>
      <c r="AS1095" s="418" t="str">
        <f t="shared" si="1611"/>
        <v/>
      </c>
      <c r="AT1095" s="418" t="str">
        <f t="shared" si="1612"/>
        <v/>
      </c>
      <c r="AU1095" s="418" t="str">
        <f t="shared" si="1613"/>
        <v/>
      </c>
      <c r="AV1095" s="418" t="str">
        <f t="shared" si="1614"/>
        <v/>
      </c>
      <c r="AW1095" s="418" t="str">
        <f t="shared" si="1615"/>
        <v/>
      </c>
      <c r="AX1095" s="418" t="str">
        <f t="shared" si="1616"/>
        <v/>
      </c>
      <c r="AY1095" s="418" t="str">
        <f t="shared" si="1617"/>
        <v/>
      </c>
      <c r="AZ1095" s="418" t="str">
        <f t="shared" si="1618"/>
        <v/>
      </c>
      <c r="BA1095" s="418" t="str">
        <f t="shared" si="1619"/>
        <v/>
      </c>
      <c r="BB1095" s="418" t="str">
        <f t="shared" si="1620"/>
        <v/>
      </c>
      <c r="BC1095" s="418" t="str">
        <f t="shared" si="1621"/>
        <v/>
      </c>
      <c r="BD1095" s="418" t="str">
        <f t="shared" si="1622"/>
        <v/>
      </c>
      <c r="BE1095" s="418" t="str">
        <f t="shared" si="1623"/>
        <v/>
      </c>
      <c r="BF1095" s="418" t="str">
        <f t="shared" si="1624"/>
        <v/>
      </c>
      <c r="BG1095" s="418" t="str">
        <f t="shared" si="1625"/>
        <v/>
      </c>
      <c r="BH1095" s="418">
        <f t="shared" si="1626"/>
        <v>824</v>
      </c>
      <c r="BI1095" s="418" t="str">
        <f t="shared" si="1627"/>
        <v/>
      </c>
      <c r="BJ1095" s="418" t="str">
        <f t="shared" si="1628"/>
        <v/>
      </c>
      <c r="BK1095" s="418" t="str">
        <f t="shared" si="1629"/>
        <v/>
      </c>
      <c r="BL1095" s="418" t="str">
        <f t="shared" si="1630"/>
        <v/>
      </c>
      <c r="BM1095" s="418" t="str">
        <f t="shared" si="1631"/>
        <v/>
      </c>
      <c r="BN1095" s="418" t="str">
        <f t="shared" si="1632"/>
        <v/>
      </c>
      <c r="BO1095" s="418" t="str">
        <f t="shared" si="1633"/>
        <v/>
      </c>
      <c r="BP1095" s="418" t="str">
        <f t="shared" si="1634"/>
        <v/>
      </c>
      <c r="BQ1095" s="418" t="str">
        <f t="shared" si="1643"/>
        <v/>
      </c>
      <c r="BR1095" s="418" t="str">
        <f t="shared" si="1644"/>
        <v/>
      </c>
      <c r="BS1095" s="418" t="str">
        <f t="shared" si="1645"/>
        <v/>
      </c>
      <c r="BT1095" s="418" t="str">
        <f t="shared" si="1635"/>
        <v/>
      </c>
      <c r="BU1095" s="418" t="str">
        <f t="shared" si="1636"/>
        <v/>
      </c>
      <c r="BV1095" s="544">
        <v>3.76</v>
      </c>
      <c r="BW1095" s="723">
        <f t="shared" si="1646"/>
        <v>3098.24</v>
      </c>
      <c r="BX1095" s="724">
        <f t="shared" si="1647"/>
        <v>24011.36</v>
      </c>
      <c r="BY1095" s="725" t="str">
        <f t="shared" si="1648"/>
        <v>JC</v>
      </c>
    </row>
    <row r="1096" s="697" customFormat="1" customHeight="1" spans="1:77">
      <c r="A1096" s="116">
        <v>46185</v>
      </c>
      <c r="B1096" s="140">
        <v>46244</v>
      </c>
      <c r="C1096" s="123"/>
      <c r="D1096" s="123" t="s">
        <v>980</v>
      </c>
      <c r="E1096" s="123" t="s">
        <v>50</v>
      </c>
      <c r="F1096" s="142">
        <v>4212</v>
      </c>
      <c r="G1096" s="123" t="s">
        <v>510</v>
      </c>
      <c r="H1096" s="118" t="str">
        <f>IFERROR(VLOOKUP(E1096,名称!A:E,4,0),"")</f>
        <v>蛋糕</v>
      </c>
      <c r="I1096" s="418" t="str">
        <f t="shared" si="1575"/>
        <v/>
      </c>
      <c r="J1096" s="418" t="str">
        <f t="shared" si="1576"/>
        <v/>
      </c>
      <c r="K1096" s="418" t="str">
        <f t="shared" si="1577"/>
        <v/>
      </c>
      <c r="L1096" s="418" t="str">
        <f t="shared" si="1578"/>
        <v/>
      </c>
      <c r="M1096" s="418" t="str">
        <f t="shared" si="1579"/>
        <v/>
      </c>
      <c r="N1096" s="418" t="str">
        <f t="shared" si="1580"/>
        <v/>
      </c>
      <c r="O1096" s="418" t="str">
        <f t="shared" si="1581"/>
        <v/>
      </c>
      <c r="P1096" s="418" t="str">
        <f t="shared" si="1582"/>
        <v/>
      </c>
      <c r="Q1096" s="418" t="str">
        <f t="shared" si="1583"/>
        <v/>
      </c>
      <c r="R1096" s="418" t="str">
        <f t="shared" si="1584"/>
        <v/>
      </c>
      <c r="S1096" s="418" t="str">
        <f t="shared" si="1585"/>
        <v/>
      </c>
      <c r="T1096" s="418" t="str">
        <f t="shared" si="1586"/>
        <v/>
      </c>
      <c r="U1096" s="418" t="str">
        <f t="shared" si="1587"/>
        <v/>
      </c>
      <c r="V1096" s="418" t="str">
        <f t="shared" si="1588"/>
        <v/>
      </c>
      <c r="W1096" s="418" t="str">
        <f t="shared" si="1589"/>
        <v/>
      </c>
      <c r="X1096" s="418" t="str">
        <f t="shared" si="1590"/>
        <v/>
      </c>
      <c r="Y1096" s="418" t="str">
        <f t="shared" si="1591"/>
        <v/>
      </c>
      <c r="Z1096" s="418" t="str">
        <f t="shared" si="1592"/>
        <v/>
      </c>
      <c r="AA1096" s="418" t="str">
        <f t="shared" si="1593"/>
        <v/>
      </c>
      <c r="AB1096" s="418" t="str">
        <f t="shared" si="1594"/>
        <v/>
      </c>
      <c r="AC1096" s="418" t="str">
        <f t="shared" si="1595"/>
        <v/>
      </c>
      <c r="AD1096" s="418" t="str">
        <f t="shared" si="1596"/>
        <v/>
      </c>
      <c r="AE1096" s="418" t="str">
        <f t="shared" si="1597"/>
        <v/>
      </c>
      <c r="AF1096" s="418" t="str">
        <f t="shared" si="1598"/>
        <v/>
      </c>
      <c r="AG1096" s="418" t="str">
        <f t="shared" si="1599"/>
        <v/>
      </c>
      <c r="AH1096" s="418" t="str">
        <f t="shared" si="1600"/>
        <v/>
      </c>
      <c r="AI1096" s="418" t="str">
        <f t="shared" si="1601"/>
        <v/>
      </c>
      <c r="AJ1096" s="418" t="str">
        <f t="shared" si="1602"/>
        <v/>
      </c>
      <c r="AK1096" s="418" t="str">
        <f t="shared" si="1603"/>
        <v/>
      </c>
      <c r="AL1096" s="418" t="str">
        <f t="shared" si="1604"/>
        <v/>
      </c>
      <c r="AM1096" s="418" t="str">
        <f t="shared" si="1605"/>
        <v/>
      </c>
      <c r="AN1096" s="418" t="str">
        <f t="shared" si="1606"/>
        <v/>
      </c>
      <c r="AO1096" s="418" t="str">
        <f t="shared" si="1607"/>
        <v/>
      </c>
      <c r="AP1096" s="418" t="str">
        <f t="shared" si="1608"/>
        <v/>
      </c>
      <c r="AQ1096" s="418" t="str">
        <f t="shared" si="1609"/>
        <v/>
      </c>
      <c r="AR1096" s="418" t="str">
        <f t="shared" si="1610"/>
        <v/>
      </c>
      <c r="AS1096" s="418" t="str">
        <f t="shared" si="1611"/>
        <v/>
      </c>
      <c r="AT1096" s="418" t="str">
        <f t="shared" si="1612"/>
        <v/>
      </c>
      <c r="AU1096" s="418" t="str">
        <f t="shared" si="1613"/>
        <v/>
      </c>
      <c r="AV1096" s="418" t="str">
        <f t="shared" si="1614"/>
        <v/>
      </c>
      <c r="AW1096" s="418" t="str">
        <f t="shared" si="1615"/>
        <v/>
      </c>
      <c r="AX1096" s="418" t="str">
        <f t="shared" si="1616"/>
        <v/>
      </c>
      <c r="AY1096" s="418" t="str">
        <f t="shared" si="1617"/>
        <v/>
      </c>
      <c r="AZ1096" s="418" t="str">
        <f t="shared" si="1618"/>
        <v/>
      </c>
      <c r="BA1096" s="418" t="str">
        <f t="shared" si="1619"/>
        <v/>
      </c>
      <c r="BB1096" s="418" t="str">
        <f t="shared" si="1620"/>
        <v/>
      </c>
      <c r="BC1096" s="418" t="str">
        <f t="shared" si="1621"/>
        <v/>
      </c>
      <c r="BD1096" s="418" t="str">
        <f t="shared" si="1622"/>
        <v/>
      </c>
      <c r="BE1096" s="418" t="str">
        <f t="shared" si="1623"/>
        <v/>
      </c>
      <c r="BF1096" s="418" t="str">
        <f t="shared" si="1624"/>
        <v/>
      </c>
      <c r="BG1096" s="418">
        <f t="shared" si="1625"/>
        <v>4212</v>
      </c>
      <c r="BH1096" s="418" t="str">
        <f t="shared" si="1626"/>
        <v/>
      </c>
      <c r="BI1096" s="418" t="str">
        <f t="shared" si="1627"/>
        <v/>
      </c>
      <c r="BJ1096" s="418" t="str">
        <f t="shared" si="1628"/>
        <v/>
      </c>
      <c r="BK1096" s="418" t="str">
        <f t="shared" si="1629"/>
        <v/>
      </c>
      <c r="BL1096" s="418" t="str">
        <f t="shared" si="1630"/>
        <v/>
      </c>
      <c r="BM1096" s="418" t="str">
        <f t="shared" si="1631"/>
        <v/>
      </c>
      <c r="BN1096" s="418" t="str">
        <f t="shared" si="1632"/>
        <v/>
      </c>
      <c r="BO1096" s="418" t="str">
        <f t="shared" si="1633"/>
        <v/>
      </c>
      <c r="BP1096" s="418" t="str">
        <f t="shared" si="1634"/>
        <v/>
      </c>
      <c r="BQ1096" s="418" t="str">
        <f t="shared" si="1643"/>
        <v/>
      </c>
      <c r="BR1096" s="418" t="str">
        <f t="shared" si="1644"/>
        <v/>
      </c>
      <c r="BS1096" s="418" t="str">
        <f t="shared" si="1645"/>
        <v/>
      </c>
      <c r="BT1096" s="418" t="str">
        <f t="shared" si="1635"/>
        <v/>
      </c>
      <c r="BU1096" s="418" t="str">
        <f t="shared" si="1636"/>
        <v/>
      </c>
      <c r="BV1096" s="544">
        <v>1.09</v>
      </c>
      <c r="BW1096" s="723">
        <f t="shared" si="1646"/>
        <v>4591.08</v>
      </c>
      <c r="BX1096" s="724">
        <f t="shared" si="1647"/>
        <v>35580.87</v>
      </c>
      <c r="BY1096" s="725" t="str">
        <f t="shared" si="1648"/>
        <v>JC</v>
      </c>
    </row>
    <row r="1097" s="697" customFormat="1" customHeight="1" spans="1:77">
      <c r="A1097" s="116">
        <v>46185</v>
      </c>
      <c r="B1097" s="140">
        <v>46244</v>
      </c>
      <c r="C1097" s="123"/>
      <c r="D1097" s="123" t="s">
        <v>980</v>
      </c>
      <c r="E1097" s="123" t="s">
        <v>123</v>
      </c>
      <c r="F1097" s="142">
        <v>2304</v>
      </c>
      <c r="G1097" s="123" t="s">
        <v>510</v>
      </c>
      <c r="H1097" s="118" t="str">
        <f>IFERROR(VLOOKUP(E1097,名称!A:E,4,0),"")</f>
        <v>蛋糕</v>
      </c>
      <c r="I1097" s="418" t="str">
        <f t="shared" si="1575"/>
        <v/>
      </c>
      <c r="J1097" s="418" t="str">
        <f t="shared" si="1576"/>
        <v/>
      </c>
      <c r="K1097" s="418" t="str">
        <f t="shared" si="1577"/>
        <v/>
      </c>
      <c r="L1097" s="418" t="str">
        <f t="shared" si="1578"/>
        <v/>
      </c>
      <c r="M1097" s="418" t="str">
        <f t="shared" si="1579"/>
        <v/>
      </c>
      <c r="N1097" s="418" t="str">
        <f t="shared" si="1580"/>
        <v/>
      </c>
      <c r="O1097" s="418" t="str">
        <f t="shared" si="1581"/>
        <v/>
      </c>
      <c r="P1097" s="418" t="str">
        <f t="shared" si="1582"/>
        <v/>
      </c>
      <c r="Q1097" s="418" t="str">
        <f t="shared" si="1583"/>
        <v/>
      </c>
      <c r="R1097" s="418" t="str">
        <f t="shared" si="1584"/>
        <v/>
      </c>
      <c r="S1097" s="418" t="str">
        <f t="shared" si="1585"/>
        <v/>
      </c>
      <c r="T1097" s="418" t="str">
        <f t="shared" si="1586"/>
        <v/>
      </c>
      <c r="U1097" s="418" t="str">
        <f t="shared" si="1587"/>
        <v/>
      </c>
      <c r="V1097" s="418" t="str">
        <f t="shared" si="1588"/>
        <v/>
      </c>
      <c r="W1097" s="418" t="str">
        <f t="shared" si="1589"/>
        <v/>
      </c>
      <c r="X1097" s="418" t="str">
        <f t="shared" si="1590"/>
        <v/>
      </c>
      <c r="Y1097" s="418" t="str">
        <f t="shared" si="1591"/>
        <v/>
      </c>
      <c r="Z1097" s="418" t="str">
        <f t="shared" si="1592"/>
        <v/>
      </c>
      <c r="AA1097" s="418" t="str">
        <f t="shared" si="1593"/>
        <v/>
      </c>
      <c r="AB1097" s="418" t="str">
        <f t="shared" si="1594"/>
        <v/>
      </c>
      <c r="AC1097" s="418" t="str">
        <f t="shared" si="1595"/>
        <v/>
      </c>
      <c r="AD1097" s="418" t="str">
        <f t="shared" si="1596"/>
        <v/>
      </c>
      <c r="AE1097" s="418" t="str">
        <f t="shared" si="1597"/>
        <v/>
      </c>
      <c r="AF1097" s="418" t="str">
        <f t="shared" si="1598"/>
        <v/>
      </c>
      <c r="AG1097" s="418" t="str">
        <f t="shared" si="1599"/>
        <v/>
      </c>
      <c r="AH1097" s="418" t="str">
        <f t="shared" si="1600"/>
        <v/>
      </c>
      <c r="AI1097" s="418" t="str">
        <f t="shared" si="1601"/>
        <v/>
      </c>
      <c r="AJ1097" s="418" t="str">
        <f t="shared" si="1602"/>
        <v/>
      </c>
      <c r="AK1097" s="418" t="str">
        <f t="shared" si="1603"/>
        <v/>
      </c>
      <c r="AL1097" s="418" t="str">
        <f t="shared" si="1604"/>
        <v/>
      </c>
      <c r="AM1097" s="418" t="str">
        <f t="shared" si="1605"/>
        <v/>
      </c>
      <c r="AN1097" s="418" t="str">
        <f t="shared" si="1606"/>
        <v/>
      </c>
      <c r="AO1097" s="418" t="str">
        <f t="shared" si="1607"/>
        <v/>
      </c>
      <c r="AP1097" s="418" t="str">
        <f t="shared" si="1608"/>
        <v/>
      </c>
      <c r="AQ1097" s="418" t="str">
        <f t="shared" si="1609"/>
        <v/>
      </c>
      <c r="AR1097" s="418" t="str">
        <f t="shared" si="1610"/>
        <v/>
      </c>
      <c r="AS1097" s="418" t="str">
        <f t="shared" si="1611"/>
        <v/>
      </c>
      <c r="AT1097" s="418" t="str">
        <f t="shared" si="1612"/>
        <v/>
      </c>
      <c r="AU1097" s="418" t="str">
        <f t="shared" si="1613"/>
        <v/>
      </c>
      <c r="AV1097" s="418" t="str">
        <f t="shared" si="1614"/>
        <v/>
      </c>
      <c r="AW1097" s="418" t="str">
        <f t="shared" si="1615"/>
        <v/>
      </c>
      <c r="AX1097" s="418" t="str">
        <f t="shared" si="1616"/>
        <v/>
      </c>
      <c r="AY1097" s="418" t="str">
        <f t="shared" si="1617"/>
        <v/>
      </c>
      <c r="AZ1097" s="418" t="str">
        <f t="shared" si="1618"/>
        <v/>
      </c>
      <c r="BA1097" s="418" t="str">
        <f t="shared" si="1619"/>
        <v/>
      </c>
      <c r="BB1097" s="418" t="str">
        <f t="shared" si="1620"/>
        <v/>
      </c>
      <c r="BC1097" s="418" t="str">
        <f t="shared" si="1621"/>
        <v/>
      </c>
      <c r="BD1097" s="418" t="str">
        <f t="shared" si="1622"/>
        <v/>
      </c>
      <c r="BE1097" s="418" t="str">
        <f t="shared" si="1623"/>
        <v/>
      </c>
      <c r="BF1097" s="418">
        <f t="shared" si="1624"/>
        <v>2304</v>
      </c>
      <c r="BG1097" s="418" t="str">
        <f t="shared" si="1625"/>
        <v/>
      </c>
      <c r="BH1097" s="418" t="str">
        <f t="shared" si="1626"/>
        <v/>
      </c>
      <c r="BI1097" s="418" t="str">
        <f t="shared" si="1627"/>
        <v/>
      </c>
      <c r="BJ1097" s="418" t="str">
        <f t="shared" si="1628"/>
        <v/>
      </c>
      <c r="BK1097" s="418" t="str">
        <f t="shared" si="1629"/>
        <v/>
      </c>
      <c r="BL1097" s="418" t="str">
        <f t="shared" si="1630"/>
        <v/>
      </c>
      <c r="BM1097" s="418" t="str">
        <f t="shared" si="1631"/>
        <v/>
      </c>
      <c r="BN1097" s="418" t="str">
        <f t="shared" si="1632"/>
        <v/>
      </c>
      <c r="BO1097" s="418" t="str">
        <f t="shared" si="1633"/>
        <v/>
      </c>
      <c r="BP1097" s="418" t="str">
        <f t="shared" si="1634"/>
        <v/>
      </c>
      <c r="BQ1097" s="418" t="str">
        <f t="shared" si="1643"/>
        <v/>
      </c>
      <c r="BR1097" s="418" t="str">
        <f t="shared" si="1644"/>
        <v/>
      </c>
      <c r="BS1097" s="418" t="str">
        <f t="shared" si="1645"/>
        <v/>
      </c>
      <c r="BT1097" s="418" t="str">
        <f t="shared" si="1635"/>
        <v/>
      </c>
      <c r="BU1097" s="418" t="str">
        <f t="shared" si="1636"/>
        <v/>
      </c>
      <c r="BV1097" s="544">
        <v>0.81</v>
      </c>
      <c r="BW1097" s="723">
        <f t="shared" si="1646"/>
        <v>1866.24</v>
      </c>
      <c r="BX1097" s="724">
        <f t="shared" si="1647"/>
        <v>14463.36</v>
      </c>
      <c r="BY1097" s="725" t="str">
        <f t="shared" si="1648"/>
        <v>JC</v>
      </c>
    </row>
    <row r="1098" s="697" customFormat="1" customHeight="1" spans="1:77">
      <c r="A1098" s="116">
        <v>46189</v>
      </c>
      <c r="B1098" s="362">
        <v>46286</v>
      </c>
      <c r="C1098" s="619" t="s">
        <v>981</v>
      </c>
      <c r="D1098" s="619" t="s">
        <v>982</v>
      </c>
      <c r="E1098" s="619" t="s">
        <v>118</v>
      </c>
      <c r="F1098" s="142">
        <v>800</v>
      </c>
      <c r="G1098" s="123" t="s">
        <v>510</v>
      </c>
      <c r="H1098" s="118" t="str">
        <f>IFERROR(VLOOKUP(E1098,名称!A:E,4,0),"")</f>
        <v>三代</v>
      </c>
      <c r="I1098" s="418" t="str">
        <f t="shared" ref="I1098:BP1098" si="1649">IF(OR($E1098="",I$1=""),"",IF(TRIM(LEFT($E1098,MIN(IFERROR(FIND("CDU",UPPER($E1098)),999),IFERROR(FIND("BULK",UPPER($E1098)),999),IFERROR(FIND("-",$E1098),999),IFERROR(FIND("（",$E1098),999))-1))=I$1,$F1098,""))</f>
        <v/>
      </c>
      <c r="J1098" s="418" t="str">
        <f t="shared" si="1649"/>
        <v/>
      </c>
      <c r="K1098" s="418" t="str">
        <f t="shared" si="1649"/>
        <v/>
      </c>
      <c r="L1098" s="418" t="str">
        <f t="shared" si="1649"/>
        <v/>
      </c>
      <c r="M1098" s="418" t="str">
        <f t="shared" si="1649"/>
        <v/>
      </c>
      <c r="N1098" s="418" t="str">
        <f t="shared" si="1649"/>
        <v/>
      </c>
      <c r="O1098" s="418" t="str">
        <f t="shared" si="1649"/>
        <v/>
      </c>
      <c r="P1098" s="418" t="str">
        <f t="shared" si="1649"/>
        <v/>
      </c>
      <c r="Q1098" s="418" t="str">
        <f t="shared" si="1649"/>
        <v/>
      </c>
      <c r="R1098" s="418" t="str">
        <f t="shared" si="1649"/>
        <v/>
      </c>
      <c r="S1098" s="418" t="str">
        <f t="shared" si="1649"/>
        <v/>
      </c>
      <c r="T1098" s="418" t="str">
        <f t="shared" si="1649"/>
        <v/>
      </c>
      <c r="U1098" s="418" t="str">
        <f t="shared" si="1649"/>
        <v/>
      </c>
      <c r="V1098" s="418" t="str">
        <f t="shared" si="1649"/>
        <v/>
      </c>
      <c r="W1098" s="418" t="str">
        <f t="shared" si="1649"/>
        <v/>
      </c>
      <c r="X1098" s="418" t="str">
        <f t="shared" si="1649"/>
        <v/>
      </c>
      <c r="Y1098" s="418" t="str">
        <f t="shared" si="1649"/>
        <v/>
      </c>
      <c r="Z1098" s="418" t="str">
        <f t="shared" si="1649"/>
        <v/>
      </c>
      <c r="AA1098" s="418" t="str">
        <f t="shared" si="1649"/>
        <v/>
      </c>
      <c r="AB1098" s="418" t="str">
        <f t="shared" si="1649"/>
        <v/>
      </c>
      <c r="AC1098" s="418" t="str">
        <f t="shared" si="1649"/>
        <v/>
      </c>
      <c r="AD1098" s="418" t="str">
        <f t="shared" si="1649"/>
        <v/>
      </c>
      <c r="AE1098" s="418" t="str">
        <f t="shared" si="1649"/>
        <v/>
      </c>
      <c r="AF1098" s="418" t="str">
        <f t="shared" si="1649"/>
        <v/>
      </c>
      <c r="AG1098" s="418" t="str">
        <f t="shared" si="1649"/>
        <v/>
      </c>
      <c r="AH1098" s="418" t="str">
        <f t="shared" si="1649"/>
        <v/>
      </c>
      <c r="AI1098" s="418" t="str">
        <f t="shared" si="1649"/>
        <v/>
      </c>
      <c r="AJ1098" s="418" t="str">
        <f t="shared" si="1649"/>
        <v/>
      </c>
      <c r="AK1098" s="418" t="str">
        <f t="shared" si="1649"/>
        <v/>
      </c>
      <c r="AL1098" s="418" t="str">
        <f t="shared" si="1649"/>
        <v/>
      </c>
      <c r="AM1098" s="418" t="str">
        <f t="shared" si="1649"/>
        <v/>
      </c>
      <c r="AN1098" s="418" t="str">
        <f t="shared" si="1649"/>
        <v/>
      </c>
      <c r="AO1098" s="418" t="str">
        <f t="shared" si="1649"/>
        <v/>
      </c>
      <c r="AP1098" s="418" t="str">
        <f t="shared" si="1649"/>
        <v/>
      </c>
      <c r="AQ1098" s="418" t="str">
        <f t="shared" si="1649"/>
        <v/>
      </c>
      <c r="AR1098" s="418" t="str">
        <f t="shared" si="1649"/>
        <v/>
      </c>
      <c r="AS1098" s="418" t="str">
        <f t="shared" si="1649"/>
        <v/>
      </c>
      <c r="AT1098" s="418" t="str">
        <f t="shared" si="1649"/>
        <v/>
      </c>
      <c r="AU1098" s="418" t="str">
        <f t="shared" si="1649"/>
        <v/>
      </c>
      <c r="AV1098" s="418">
        <f t="shared" si="1649"/>
        <v>800</v>
      </c>
      <c r="AW1098" s="418" t="str">
        <f t="shared" si="1649"/>
        <v/>
      </c>
      <c r="AX1098" s="418" t="str">
        <f t="shared" si="1649"/>
        <v/>
      </c>
      <c r="AY1098" s="418" t="str">
        <f t="shared" si="1649"/>
        <v/>
      </c>
      <c r="AZ1098" s="418" t="str">
        <f t="shared" si="1649"/>
        <v/>
      </c>
      <c r="BA1098" s="418" t="str">
        <f t="shared" si="1649"/>
        <v/>
      </c>
      <c r="BB1098" s="418" t="str">
        <f t="shared" si="1649"/>
        <v/>
      </c>
      <c r="BC1098" s="418" t="str">
        <f t="shared" si="1649"/>
        <v/>
      </c>
      <c r="BD1098" s="418" t="str">
        <f t="shared" si="1649"/>
        <v/>
      </c>
      <c r="BE1098" s="418" t="str">
        <f t="shared" si="1649"/>
        <v/>
      </c>
      <c r="BF1098" s="418" t="str">
        <f t="shared" si="1649"/>
        <v/>
      </c>
      <c r="BG1098" s="418" t="str">
        <f t="shared" si="1649"/>
        <v/>
      </c>
      <c r="BH1098" s="418" t="str">
        <f t="shared" si="1649"/>
        <v/>
      </c>
      <c r="BI1098" s="418" t="str">
        <f t="shared" si="1649"/>
        <v/>
      </c>
      <c r="BJ1098" s="418" t="str">
        <f t="shared" si="1649"/>
        <v/>
      </c>
      <c r="BK1098" s="418" t="str">
        <f t="shared" si="1649"/>
        <v/>
      </c>
      <c r="BL1098" s="418" t="str">
        <f t="shared" si="1649"/>
        <v/>
      </c>
      <c r="BM1098" s="418" t="str">
        <f t="shared" si="1649"/>
        <v/>
      </c>
      <c r="BN1098" s="418" t="str">
        <f t="shared" si="1649"/>
        <v/>
      </c>
      <c r="BO1098" s="418" t="str">
        <f t="shared" si="1649"/>
        <v/>
      </c>
      <c r="BP1098" s="418" t="str">
        <f t="shared" si="1649"/>
        <v/>
      </c>
      <c r="BQ1098" s="418" t="str">
        <f t="shared" si="1643"/>
        <v/>
      </c>
      <c r="BR1098" s="418" t="str">
        <f t="shared" si="1644"/>
        <v/>
      </c>
      <c r="BS1098" s="418" t="str">
        <f t="shared" si="1645"/>
        <v/>
      </c>
      <c r="BT1098" s="418" t="str">
        <f t="shared" ref="BT1098:BT1104" si="1650">IF(OR($E1098="",BT$1=""),"",IF(TRIM(LEFT($E1098,MIN(IFERROR(FIND("CDU",UPPER($E1098)),999),IFERROR(FIND("BULK",UPPER($E1098)),999),IFERROR(FIND("-",$E1098),999),IFERROR(FIND("（",$E1098),999))-1))=BT$1,$F1098,""))</f>
        <v/>
      </c>
      <c r="BU1098" s="418" t="str">
        <f t="shared" ref="BU1098:BU1104" si="1651">IF(OR($E1098="",BU$1=""),"",IF(TRIM(LEFT($E1098,MIN(IFERROR(FIND("CDU",UPPER($E1098)),999),IFERROR(FIND("BULK",UPPER($E1098)),999),IFERROR(FIND("-",$E1098),999),IFERROR(FIND("（",$E1098),999))-1))=BU$1,$F1098,""))</f>
        <v/>
      </c>
      <c r="BV1098" s="544">
        <v>0</v>
      </c>
      <c r="BW1098" s="723">
        <f t="shared" si="1646"/>
        <v>0</v>
      </c>
      <c r="BX1098" s="724">
        <f t="shared" si="1647"/>
        <v>0</v>
      </c>
      <c r="BY1098" s="725" t="str">
        <f t="shared" si="1648"/>
        <v>SR</v>
      </c>
    </row>
    <row r="1099" s="697" customFormat="1" customHeight="1" spans="1:77">
      <c r="A1099" s="116">
        <v>46190</v>
      </c>
      <c r="B1099" s="362">
        <v>46251</v>
      </c>
      <c r="C1099" s="619" t="s">
        <v>983</v>
      </c>
      <c r="D1099" s="619" t="s">
        <v>984</v>
      </c>
      <c r="E1099" s="619" t="s">
        <v>89</v>
      </c>
      <c r="F1099" s="142">
        <v>12000</v>
      </c>
      <c r="G1099" s="619" t="s">
        <v>334</v>
      </c>
      <c r="H1099" s="118" t="str">
        <f>IFERROR(VLOOKUP(E1099,名称!A:E,4,0),"")</f>
        <v>三代</v>
      </c>
      <c r="I1099" s="418" t="str">
        <f t="shared" ref="I1099:BP1099" si="1652">IF(OR($E1099="",I$1=""),"",IF(TRIM(LEFT($E1099,MIN(IFERROR(FIND("CDU",UPPER($E1099)),999),IFERROR(FIND("BULK",UPPER($E1099)),999),IFERROR(FIND("-",$E1099),999),IFERROR(FIND("（",$E1099),999))-1))=I$1,$F1099,""))</f>
        <v/>
      </c>
      <c r="J1099" s="418" t="str">
        <f t="shared" si="1652"/>
        <v/>
      </c>
      <c r="K1099" s="418" t="str">
        <f t="shared" si="1652"/>
        <v/>
      </c>
      <c r="L1099" s="418" t="str">
        <f t="shared" si="1652"/>
        <v/>
      </c>
      <c r="M1099" s="418" t="str">
        <f t="shared" si="1652"/>
        <v/>
      </c>
      <c r="N1099" s="418" t="str">
        <f t="shared" si="1652"/>
        <v/>
      </c>
      <c r="O1099" s="418" t="str">
        <f t="shared" si="1652"/>
        <v/>
      </c>
      <c r="P1099" s="418" t="str">
        <f t="shared" si="1652"/>
        <v/>
      </c>
      <c r="Q1099" s="418" t="str">
        <f t="shared" si="1652"/>
        <v/>
      </c>
      <c r="R1099" s="418" t="str">
        <f t="shared" si="1652"/>
        <v/>
      </c>
      <c r="S1099" s="418" t="str">
        <f t="shared" si="1652"/>
        <v/>
      </c>
      <c r="T1099" s="418" t="str">
        <f t="shared" si="1652"/>
        <v/>
      </c>
      <c r="U1099" s="418" t="str">
        <f t="shared" si="1652"/>
        <v/>
      </c>
      <c r="V1099" s="418" t="str">
        <f t="shared" si="1652"/>
        <v/>
      </c>
      <c r="W1099" s="418" t="str">
        <f t="shared" si="1652"/>
        <v/>
      </c>
      <c r="X1099" s="418" t="str">
        <f t="shared" si="1652"/>
        <v/>
      </c>
      <c r="Y1099" s="418" t="str">
        <f t="shared" si="1652"/>
        <v/>
      </c>
      <c r="Z1099" s="418" t="str">
        <f t="shared" si="1652"/>
        <v/>
      </c>
      <c r="AA1099" s="418" t="str">
        <f t="shared" si="1652"/>
        <v/>
      </c>
      <c r="AB1099" s="418" t="str">
        <f t="shared" si="1652"/>
        <v/>
      </c>
      <c r="AC1099" s="418" t="str">
        <f t="shared" si="1652"/>
        <v/>
      </c>
      <c r="AD1099" s="418" t="str">
        <f t="shared" si="1652"/>
        <v/>
      </c>
      <c r="AE1099" s="418" t="str">
        <f t="shared" si="1652"/>
        <v/>
      </c>
      <c r="AF1099" s="418" t="str">
        <f t="shared" si="1652"/>
        <v/>
      </c>
      <c r="AG1099" s="418" t="str">
        <f t="shared" si="1652"/>
        <v/>
      </c>
      <c r="AH1099" s="418" t="str">
        <f t="shared" si="1652"/>
        <v/>
      </c>
      <c r="AI1099" s="418" t="str">
        <f t="shared" si="1652"/>
        <v/>
      </c>
      <c r="AJ1099" s="418" t="str">
        <f t="shared" si="1652"/>
        <v/>
      </c>
      <c r="AK1099" s="418" t="str">
        <f t="shared" si="1652"/>
        <v/>
      </c>
      <c r="AL1099" s="418" t="str">
        <f t="shared" si="1652"/>
        <v/>
      </c>
      <c r="AM1099" s="418" t="str">
        <f t="shared" si="1652"/>
        <v/>
      </c>
      <c r="AN1099" s="418" t="str">
        <f t="shared" si="1652"/>
        <v/>
      </c>
      <c r="AO1099" s="418" t="str">
        <f t="shared" si="1652"/>
        <v/>
      </c>
      <c r="AP1099" s="418" t="str">
        <f t="shared" si="1652"/>
        <v/>
      </c>
      <c r="AQ1099" s="418" t="str">
        <f t="shared" si="1652"/>
        <v/>
      </c>
      <c r="AR1099" s="418" t="str">
        <f t="shared" si="1652"/>
        <v/>
      </c>
      <c r="AS1099" s="418" t="str">
        <f t="shared" si="1652"/>
        <v/>
      </c>
      <c r="AT1099" s="418" t="str">
        <f t="shared" si="1652"/>
        <v/>
      </c>
      <c r="AU1099" s="418">
        <f t="shared" si="1652"/>
        <v>12000</v>
      </c>
      <c r="AV1099" s="418" t="str">
        <f t="shared" si="1652"/>
        <v/>
      </c>
      <c r="AW1099" s="418" t="str">
        <f t="shared" si="1652"/>
        <v/>
      </c>
      <c r="AX1099" s="418" t="str">
        <f t="shared" si="1652"/>
        <v/>
      </c>
      <c r="AY1099" s="418" t="str">
        <f t="shared" si="1652"/>
        <v/>
      </c>
      <c r="AZ1099" s="418" t="str">
        <f t="shared" si="1652"/>
        <v/>
      </c>
      <c r="BA1099" s="418" t="str">
        <f t="shared" si="1652"/>
        <v/>
      </c>
      <c r="BB1099" s="418" t="str">
        <f t="shared" si="1652"/>
        <v/>
      </c>
      <c r="BC1099" s="418" t="str">
        <f t="shared" si="1652"/>
        <v/>
      </c>
      <c r="BD1099" s="418" t="str">
        <f t="shared" si="1652"/>
        <v/>
      </c>
      <c r="BE1099" s="418" t="str">
        <f t="shared" si="1652"/>
        <v/>
      </c>
      <c r="BF1099" s="418" t="str">
        <f t="shared" si="1652"/>
        <v/>
      </c>
      <c r="BG1099" s="418" t="str">
        <f t="shared" si="1652"/>
        <v/>
      </c>
      <c r="BH1099" s="418" t="str">
        <f t="shared" si="1652"/>
        <v/>
      </c>
      <c r="BI1099" s="418" t="str">
        <f t="shared" si="1652"/>
        <v/>
      </c>
      <c r="BJ1099" s="418" t="str">
        <f t="shared" si="1652"/>
        <v/>
      </c>
      <c r="BK1099" s="418" t="str">
        <f t="shared" si="1652"/>
        <v/>
      </c>
      <c r="BL1099" s="418" t="str">
        <f t="shared" si="1652"/>
        <v/>
      </c>
      <c r="BM1099" s="418" t="str">
        <f t="shared" si="1652"/>
        <v/>
      </c>
      <c r="BN1099" s="418" t="str">
        <f t="shared" si="1652"/>
        <v/>
      </c>
      <c r="BO1099" s="418" t="str">
        <f t="shared" si="1652"/>
        <v/>
      </c>
      <c r="BP1099" s="418" t="str">
        <f t="shared" si="1652"/>
        <v/>
      </c>
      <c r="BQ1099" s="418" t="str">
        <f t="shared" si="1643"/>
        <v/>
      </c>
      <c r="BR1099" s="418" t="str">
        <f t="shared" si="1644"/>
        <v/>
      </c>
      <c r="BS1099" s="418" t="str">
        <f t="shared" si="1645"/>
        <v/>
      </c>
      <c r="BT1099" s="418" t="str">
        <f t="shared" si="1650"/>
        <v/>
      </c>
      <c r="BU1099" s="418" t="str">
        <f t="shared" si="1651"/>
        <v/>
      </c>
      <c r="BV1099" s="544">
        <v>1.83</v>
      </c>
      <c r="BW1099" s="723">
        <f t="shared" si="1646"/>
        <v>21960</v>
      </c>
      <c r="BX1099" s="724">
        <f t="shared" si="1647"/>
        <v>170190</v>
      </c>
      <c r="BY1099" s="725" t="str">
        <f t="shared" si="1648"/>
        <v>SR</v>
      </c>
    </row>
    <row r="1100" s="697" customFormat="1" customHeight="1" spans="1:77">
      <c r="A1100" s="362">
        <v>46190</v>
      </c>
      <c r="B1100" s="362">
        <v>46251</v>
      </c>
      <c r="C1100" s="431" t="s">
        <v>983</v>
      </c>
      <c r="D1100" s="431" t="s">
        <v>984</v>
      </c>
      <c r="E1100" s="619" t="s">
        <v>66</v>
      </c>
      <c r="F1100" s="142">
        <v>12000</v>
      </c>
      <c r="G1100" s="619" t="s">
        <v>334</v>
      </c>
      <c r="H1100" s="118" t="str">
        <f>IFERROR(VLOOKUP(E1100,名称!A:E,4,0),"")</f>
        <v>三代</v>
      </c>
      <c r="I1100" s="418" t="str">
        <f t="shared" ref="I1100:BR1100" si="1653">IF(OR($E1100="",I$1=""),"",IF(TRIM(LEFT($E1100,MIN(IFERROR(FIND("CDU",UPPER($E1100)),999),IFERROR(FIND("BULK",UPPER($E1100)),999),IFERROR(FIND("-",$E1100),999),IFERROR(FIND("（",$E1100),999))-1))=I$1,$F1100,""))</f>
        <v/>
      </c>
      <c r="J1100" s="418" t="str">
        <f t="shared" si="1653"/>
        <v/>
      </c>
      <c r="K1100" s="418" t="str">
        <f t="shared" si="1653"/>
        <v/>
      </c>
      <c r="L1100" s="418" t="str">
        <f t="shared" si="1653"/>
        <v/>
      </c>
      <c r="M1100" s="418" t="str">
        <f t="shared" si="1653"/>
        <v/>
      </c>
      <c r="N1100" s="418" t="str">
        <f t="shared" si="1653"/>
        <v/>
      </c>
      <c r="O1100" s="418" t="str">
        <f t="shared" si="1653"/>
        <v/>
      </c>
      <c r="P1100" s="418" t="str">
        <f t="shared" si="1653"/>
        <v/>
      </c>
      <c r="Q1100" s="418" t="str">
        <f t="shared" si="1653"/>
        <v/>
      </c>
      <c r="R1100" s="418" t="str">
        <f t="shared" si="1653"/>
        <v/>
      </c>
      <c r="S1100" s="418" t="str">
        <f t="shared" si="1653"/>
        <v/>
      </c>
      <c r="T1100" s="418" t="str">
        <f t="shared" si="1653"/>
        <v/>
      </c>
      <c r="U1100" s="418" t="str">
        <f t="shared" si="1653"/>
        <v/>
      </c>
      <c r="V1100" s="418" t="str">
        <f t="shared" si="1653"/>
        <v/>
      </c>
      <c r="W1100" s="418" t="str">
        <f t="shared" si="1653"/>
        <v/>
      </c>
      <c r="X1100" s="418" t="str">
        <f t="shared" si="1653"/>
        <v/>
      </c>
      <c r="Y1100" s="418" t="str">
        <f t="shared" si="1653"/>
        <v/>
      </c>
      <c r="Z1100" s="418" t="str">
        <f t="shared" si="1653"/>
        <v/>
      </c>
      <c r="AA1100" s="418" t="str">
        <f t="shared" si="1653"/>
        <v/>
      </c>
      <c r="AB1100" s="418" t="str">
        <f t="shared" si="1653"/>
        <v/>
      </c>
      <c r="AC1100" s="418" t="str">
        <f t="shared" si="1653"/>
        <v/>
      </c>
      <c r="AD1100" s="418" t="str">
        <f t="shared" si="1653"/>
        <v/>
      </c>
      <c r="AE1100" s="418" t="str">
        <f t="shared" si="1653"/>
        <v/>
      </c>
      <c r="AF1100" s="418" t="str">
        <f t="shared" si="1653"/>
        <v/>
      </c>
      <c r="AG1100" s="418">
        <f t="shared" si="1653"/>
        <v>12000</v>
      </c>
      <c r="AH1100" s="418" t="str">
        <f t="shared" si="1653"/>
        <v/>
      </c>
      <c r="AI1100" s="418" t="str">
        <f t="shared" si="1653"/>
        <v/>
      </c>
      <c r="AJ1100" s="418" t="str">
        <f t="shared" si="1653"/>
        <v/>
      </c>
      <c r="AK1100" s="418" t="str">
        <f t="shared" si="1653"/>
        <v/>
      </c>
      <c r="AL1100" s="418" t="str">
        <f t="shared" si="1653"/>
        <v/>
      </c>
      <c r="AM1100" s="418" t="str">
        <f t="shared" si="1653"/>
        <v/>
      </c>
      <c r="AN1100" s="418" t="str">
        <f t="shared" si="1653"/>
        <v/>
      </c>
      <c r="AO1100" s="418" t="str">
        <f t="shared" si="1653"/>
        <v/>
      </c>
      <c r="AP1100" s="418" t="str">
        <f t="shared" si="1653"/>
        <v/>
      </c>
      <c r="AQ1100" s="418" t="str">
        <f t="shared" si="1653"/>
        <v/>
      </c>
      <c r="AR1100" s="418" t="str">
        <f t="shared" si="1653"/>
        <v/>
      </c>
      <c r="AS1100" s="418" t="str">
        <f t="shared" si="1653"/>
        <v/>
      </c>
      <c r="AT1100" s="418" t="str">
        <f t="shared" si="1653"/>
        <v/>
      </c>
      <c r="AU1100" s="418" t="str">
        <f t="shared" si="1653"/>
        <v/>
      </c>
      <c r="AV1100" s="418" t="str">
        <f t="shared" si="1653"/>
        <v/>
      </c>
      <c r="AW1100" s="418" t="str">
        <f t="shared" si="1653"/>
        <v/>
      </c>
      <c r="AX1100" s="418" t="str">
        <f t="shared" si="1653"/>
        <v/>
      </c>
      <c r="AY1100" s="418" t="str">
        <f t="shared" si="1653"/>
        <v/>
      </c>
      <c r="AZ1100" s="418" t="str">
        <f t="shared" si="1653"/>
        <v/>
      </c>
      <c r="BA1100" s="418" t="str">
        <f t="shared" si="1653"/>
        <v/>
      </c>
      <c r="BB1100" s="418" t="str">
        <f t="shared" si="1653"/>
        <v/>
      </c>
      <c r="BC1100" s="418" t="str">
        <f t="shared" si="1653"/>
        <v/>
      </c>
      <c r="BD1100" s="418" t="str">
        <f t="shared" si="1653"/>
        <v/>
      </c>
      <c r="BE1100" s="418" t="str">
        <f t="shared" si="1653"/>
        <v/>
      </c>
      <c r="BF1100" s="418" t="str">
        <f t="shared" si="1653"/>
        <v/>
      </c>
      <c r="BG1100" s="418" t="str">
        <f t="shared" si="1653"/>
        <v/>
      </c>
      <c r="BH1100" s="418" t="str">
        <f t="shared" si="1653"/>
        <v/>
      </c>
      <c r="BI1100" s="418" t="str">
        <f t="shared" si="1653"/>
        <v/>
      </c>
      <c r="BJ1100" s="418" t="str">
        <f t="shared" si="1653"/>
        <v/>
      </c>
      <c r="BK1100" s="418" t="str">
        <f t="shared" si="1653"/>
        <v/>
      </c>
      <c r="BL1100" s="418" t="str">
        <f t="shared" si="1653"/>
        <v/>
      </c>
      <c r="BM1100" s="418" t="str">
        <f t="shared" si="1653"/>
        <v/>
      </c>
      <c r="BN1100" s="418" t="str">
        <f t="shared" si="1653"/>
        <v/>
      </c>
      <c r="BO1100" s="418" t="str">
        <f t="shared" si="1653"/>
        <v/>
      </c>
      <c r="BP1100" s="418" t="str">
        <f t="shared" si="1653"/>
        <v/>
      </c>
      <c r="BQ1100" s="418" t="str">
        <f t="shared" si="1643"/>
        <v/>
      </c>
      <c r="BR1100" s="418" t="str">
        <f t="shared" si="1644"/>
        <v/>
      </c>
      <c r="BS1100" s="418" t="str">
        <f t="shared" si="1645"/>
        <v/>
      </c>
      <c r="BT1100" s="418" t="str">
        <f t="shared" si="1650"/>
        <v/>
      </c>
      <c r="BU1100" s="418" t="str">
        <f t="shared" si="1651"/>
        <v/>
      </c>
      <c r="BV1100" s="544">
        <v>2.02</v>
      </c>
      <c r="BW1100" s="723">
        <f t="shared" si="1646"/>
        <v>24240</v>
      </c>
      <c r="BX1100" s="724">
        <f t="shared" si="1647"/>
        <v>187860</v>
      </c>
      <c r="BY1100" s="725" t="str">
        <f t="shared" si="1648"/>
        <v>SR</v>
      </c>
    </row>
    <row r="1101" s="697" customFormat="1" customHeight="1" spans="1:77">
      <c r="A1101" s="362">
        <v>46190</v>
      </c>
      <c r="B1101" s="362">
        <v>46251</v>
      </c>
      <c r="C1101" s="431" t="s">
        <v>983</v>
      </c>
      <c r="D1101" s="431" t="s">
        <v>984</v>
      </c>
      <c r="E1101" s="619" t="s">
        <v>68</v>
      </c>
      <c r="F1101" s="142">
        <v>10080</v>
      </c>
      <c r="G1101" s="619" t="s">
        <v>334</v>
      </c>
      <c r="H1101" s="118" t="str">
        <f>IFERROR(VLOOKUP(E1101,名称!A:E,4,0),"")</f>
        <v>三代</v>
      </c>
      <c r="I1101" s="418" t="str">
        <f t="shared" ref="I1101:BR1101" si="1654">IF(OR($E1101="",I$1=""),"",IF(TRIM(LEFT($E1101,MIN(IFERROR(FIND("CDU",UPPER($E1101)),999),IFERROR(FIND("BULK",UPPER($E1101)),999),IFERROR(FIND("-",$E1101),999),IFERROR(FIND("（",$E1101),999))-1))=I$1,$F1101,""))</f>
        <v/>
      </c>
      <c r="J1101" s="418" t="str">
        <f t="shared" si="1654"/>
        <v/>
      </c>
      <c r="K1101" s="418" t="str">
        <f t="shared" si="1654"/>
        <v/>
      </c>
      <c r="L1101" s="418" t="str">
        <f t="shared" si="1654"/>
        <v/>
      </c>
      <c r="M1101" s="418" t="str">
        <f t="shared" si="1654"/>
        <v/>
      </c>
      <c r="N1101" s="418" t="str">
        <f t="shared" si="1654"/>
        <v/>
      </c>
      <c r="O1101" s="418" t="str">
        <f t="shared" si="1654"/>
        <v/>
      </c>
      <c r="P1101" s="418" t="str">
        <f t="shared" si="1654"/>
        <v/>
      </c>
      <c r="Q1101" s="418" t="str">
        <f t="shared" si="1654"/>
        <v/>
      </c>
      <c r="R1101" s="418" t="str">
        <f t="shared" si="1654"/>
        <v/>
      </c>
      <c r="S1101" s="418" t="str">
        <f t="shared" si="1654"/>
        <v/>
      </c>
      <c r="T1101" s="418" t="str">
        <f t="shared" si="1654"/>
        <v/>
      </c>
      <c r="U1101" s="418" t="str">
        <f t="shared" si="1654"/>
        <v/>
      </c>
      <c r="V1101" s="418" t="str">
        <f t="shared" si="1654"/>
        <v/>
      </c>
      <c r="W1101" s="418" t="str">
        <f t="shared" si="1654"/>
        <v/>
      </c>
      <c r="X1101" s="418" t="str">
        <f t="shared" si="1654"/>
        <v/>
      </c>
      <c r="Y1101" s="418" t="str">
        <f t="shared" si="1654"/>
        <v/>
      </c>
      <c r="Z1101" s="418" t="str">
        <f t="shared" si="1654"/>
        <v/>
      </c>
      <c r="AA1101" s="418" t="str">
        <f t="shared" si="1654"/>
        <v/>
      </c>
      <c r="AB1101" s="418" t="str">
        <f t="shared" si="1654"/>
        <v/>
      </c>
      <c r="AC1101" s="418" t="str">
        <f t="shared" si="1654"/>
        <v/>
      </c>
      <c r="AD1101" s="418" t="str">
        <f t="shared" si="1654"/>
        <v/>
      </c>
      <c r="AE1101" s="418" t="str">
        <f t="shared" si="1654"/>
        <v/>
      </c>
      <c r="AF1101" s="418" t="str">
        <f t="shared" si="1654"/>
        <v/>
      </c>
      <c r="AG1101" s="418" t="str">
        <f t="shared" si="1654"/>
        <v/>
      </c>
      <c r="AH1101" s="418">
        <f t="shared" si="1654"/>
        <v>10080</v>
      </c>
      <c r="AI1101" s="418" t="str">
        <f t="shared" si="1654"/>
        <v/>
      </c>
      <c r="AJ1101" s="418" t="str">
        <f t="shared" si="1654"/>
        <v/>
      </c>
      <c r="AK1101" s="418" t="str">
        <f t="shared" si="1654"/>
        <v/>
      </c>
      <c r="AL1101" s="418" t="str">
        <f t="shared" si="1654"/>
        <v/>
      </c>
      <c r="AM1101" s="418" t="str">
        <f t="shared" si="1654"/>
        <v/>
      </c>
      <c r="AN1101" s="418" t="str">
        <f t="shared" si="1654"/>
        <v/>
      </c>
      <c r="AO1101" s="418" t="str">
        <f t="shared" si="1654"/>
        <v/>
      </c>
      <c r="AP1101" s="418" t="str">
        <f t="shared" si="1654"/>
        <v/>
      </c>
      <c r="AQ1101" s="418" t="str">
        <f t="shared" si="1654"/>
        <v/>
      </c>
      <c r="AR1101" s="418" t="str">
        <f t="shared" si="1654"/>
        <v/>
      </c>
      <c r="AS1101" s="418" t="str">
        <f t="shared" si="1654"/>
        <v/>
      </c>
      <c r="AT1101" s="418" t="str">
        <f t="shared" si="1654"/>
        <v/>
      </c>
      <c r="AU1101" s="418" t="str">
        <f t="shared" si="1654"/>
        <v/>
      </c>
      <c r="AV1101" s="418" t="str">
        <f t="shared" si="1654"/>
        <v/>
      </c>
      <c r="AW1101" s="418" t="str">
        <f t="shared" si="1654"/>
        <v/>
      </c>
      <c r="AX1101" s="418" t="str">
        <f t="shared" si="1654"/>
        <v/>
      </c>
      <c r="AY1101" s="418" t="str">
        <f t="shared" si="1654"/>
        <v/>
      </c>
      <c r="AZ1101" s="418" t="str">
        <f t="shared" si="1654"/>
        <v/>
      </c>
      <c r="BA1101" s="418" t="str">
        <f t="shared" si="1654"/>
        <v/>
      </c>
      <c r="BB1101" s="418" t="str">
        <f t="shared" si="1654"/>
        <v/>
      </c>
      <c r="BC1101" s="418" t="str">
        <f t="shared" si="1654"/>
        <v/>
      </c>
      <c r="BD1101" s="418" t="str">
        <f t="shared" si="1654"/>
        <v/>
      </c>
      <c r="BE1101" s="418" t="str">
        <f t="shared" si="1654"/>
        <v/>
      </c>
      <c r="BF1101" s="418" t="str">
        <f t="shared" si="1654"/>
        <v/>
      </c>
      <c r="BG1101" s="418" t="str">
        <f t="shared" si="1654"/>
        <v/>
      </c>
      <c r="BH1101" s="418" t="str">
        <f t="shared" si="1654"/>
        <v/>
      </c>
      <c r="BI1101" s="418" t="str">
        <f t="shared" si="1654"/>
        <v/>
      </c>
      <c r="BJ1101" s="418" t="str">
        <f t="shared" si="1654"/>
        <v/>
      </c>
      <c r="BK1101" s="418" t="str">
        <f t="shared" si="1654"/>
        <v/>
      </c>
      <c r="BL1101" s="418" t="str">
        <f t="shared" si="1654"/>
        <v/>
      </c>
      <c r="BM1101" s="418" t="str">
        <f t="shared" si="1654"/>
        <v/>
      </c>
      <c r="BN1101" s="418" t="str">
        <f t="shared" si="1654"/>
        <v/>
      </c>
      <c r="BO1101" s="418" t="str">
        <f t="shared" si="1654"/>
        <v/>
      </c>
      <c r="BP1101" s="418" t="str">
        <f t="shared" si="1654"/>
        <v/>
      </c>
      <c r="BQ1101" s="418" t="str">
        <f t="shared" si="1643"/>
        <v/>
      </c>
      <c r="BR1101" s="418" t="str">
        <f t="shared" si="1644"/>
        <v/>
      </c>
      <c r="BS1101" s="418" t="str">
        <f t="shared" si="1645"/>
        <v/>
      </c>
      <c r="BT1101" s="418" t="str">
        <f t="shared" si="1650"/>
        <v/>
      </c>
      <c r="BU1101" s="418" t="str">
        <f t="shared" si="1651"/>
        <v/>
      </c>
      <c r="BV1101" s="544">
        <v>3.09</v>
      </c>
      <c r="BW1101" s="723">
        <f t="shared" si="1646"/>
        <v>31147.2</v>
      </c>
      <c r="BX1101" s="724">
        <f t="shared" si="1647"/>
        <v>241390.8</v>
      </c>
      <c r="BY1101" s="725" t="str">
        <f t="shared" si="1648"/>
        <v>SR</v>
      </c>
    </row>
    <row r="1102" s="697" customFormat="1" customHeight="1" spans="1:77">
      <c r="A1102" s="362">
        <v>46190</v>
      </c>
      <c r="B1102" s="362">
        <v>46251</v>
      </c>
      <c r="C1102" s="431" t="s">
        <v>983</v>
      </c>
      <c r="D1102" s="431" t="s">
        <v>984</v>
      </c>
      <c r="E1102" s="619" t="s">
        <v>113</v>
      </c>
      <c r="F1102" s="142">
        <v>6048</v>
      </c>
      <c r="G1102" s="619" t="s">
        <v>334</v>
      </c>
      <c r="H1102" s="118" t="str">
        <f>IFERROR(VLOOKUP(E1102,名称!A:E,4,0),"")</f>
        <v>三代</v>
      </c>
      <c r="I1102" s="418" t="str">
        <f t="shared" ref="I1102:BR1102" si="1655">IF(OR($E1102="",I$1=""),"",IF(TRIM(LEFT($E1102,MIN(IFERROR(FIND("CDU",UPPER($E1102)),999),IFERROR(FIND("BULK",UPPER($E1102)),999),IFERROR(FIND("-",$E1102),999),IFERROR(FIND("（",$E1102),999))-1))=I$1,$F1102,""))</f>
        <v/>
      </c>
      <c r="J1102" s="418" t="str">
        <f t="shared" si="1655"/>
        <v/>
      </c>
      <c r="K1102" s="418" t="str">
        <f t="shared" si="1655"/>
        <v/>
      </c>
      <c r="L1102" s="418" t="str">
        <f t="shared" si="1655"/>
        <v/>
      </c>
      <c r="M1102" s="418" t="str">
        <f t="shared" si="1655"/>
        <v/>
      </c>
      <c r="N1102" s="418" t="str">
        <f t="shared" si="1655"/>
        <v/>
      </c>
      <c r="O1102" s="418" t="str">
        <f t="shared" si="1655"/>
        <v/>
      </c>
      <c r="P1102" s="418" t="str">
        <f t="shared" si="1655"/>
        <v/>
      </c>
      <c r="Q1102" s="418" t="str">
        <f t="shared" si="1655"/>
        <v/>
      </c>
      <c r="R1102" s="418" t="str">
        <f t="shared" si="1655"/>
        <v/>
      </c>
      <c r="S1102" s="418" t="str">
        <f t="shared" si="1655"/>
        <v/>
      </c>
      <c r="T1102" s="418" t="str">
        <f t="shared" si="1655"/>
        <v/>
      </c>
      <c r="U1102" s="418" t="str">
        <f t="shared" si="1655"/>
        <v/>
      </c>
      <c r="V1102" s="418" t="str">
        <f t="shared" si="1655"/>
        <v/>
      </c>
      <c r="W1102" s="418" t="str">
        <f t="shared" si="1655"/>
        <v/>
      </c>
      <c r="X1102" s="418" t="str">
        <f t="shared" si="1655"/>
        <v/>
      </c>
      <c r="Y1102" s="418" t="str">
        <f t="shared" si="1655"/>
        <v/>
      </c>
      <c r="Z1102" s="418" t="str">
        <f t="shared" si="1655"/>
        <v/>
      </c>
      <c r="AA1102" s="418" t="str">
        <f t="shared" si="1655"/>
        <v/>
      </c>
      <c r="AB1102" s="418" t="str">
        <f t="shared" si="1655"/>
        <v/>
      </c>
      <c r="AC1102" s="418" t="str">
        <f t="shared" si="1655"/>
        <v/>
      </c>
      <c r="AD1102" s="418" t="str">
        <f t="shared" si="1655"/>
        <v/>
      </c>
      <c r="AE1102" s="418" t="str">
        <f t="shared" si="1655"/>
        <v/>
      </c>
      <c r="AF1102" s="418" t="str">
        <f t="shared" si="1655"/>
        <v/>
      </c>
      <c r="AG1102" s="418" t="str">
        <f t="shared" si="1655"/>
        <v/>
      </c>
      <c r="AH1102" s="418" t="str">
        <f t="shared" si="1655"/>
        <v/>
      </c>
      <c r="AI1102" s="418" t="str">
        <f t="shared" si="1655"/>
        <v/>
      </c>
      <c r="AJ1102" s="418" t="str">
        <f t="shared" si="1655"/>
        <v/>
      </c>
      <c r="AK1102" s="418" t="str">
        <f t="shared" si="1655"/>
        <v/>
      </c>
      <c r="AL1102" s="418" t="str">
        <f t="shared" si="1655"/>
        <v/>
      </c>
      <c r="AM1102" s="418">
        <f t="shared" si="1655"/>
        <v>6048</v>
      </c>
      <c r="AN1102" s="418" t="str">
        <f t="shared" si="1655"/>
        <v/>
      </c>
      <c r="AO1102" s="418" t="str">
        <f t="shared" si="1655"/>
        <v/>
      </c>
      <c r="AP1102" s="418" t="str">
        <f t="shared" si="1655"/>
        <v/>
      </c>
      <c r="AQ1102" s="418" t="str">
        <f t="shared" si="1655"/>
        <v/>
      </c>
      <c r="AR1102" s="418" t="str">
        <f t="shared" si="1655"/>
        <v/>
      </c>
      <c r="AS1102" s="418" t="str">
        <f t="shared" si="1655"/>
        <v/>
      </c>
      <c r="AT1102" s="418" t="str">
        <f t="shared" si="1655"/>
        <v/>
      </c>
      <c r="AU1102" s="418" t="str">
        <f t="shared" si="1655"/>
        <v/>
      </c>
      <c r="AV1102" s="418" t="str">
        <f t="shared" si="1655"/>
        <v/>
      </c>
      <c r="AW1102" s="418" t="str">
        <f t="shared" si="1655"/>
        <v/>
      </c>
      <c r="AX1102" s="418" t="str">
        <f t="shared" si="1655"/>
        <v/>
      </c>
      <c r="AY1102" s="418" t="str">
        <f t="shared" si="1655"/>
        <v/>
      </c>
      <c r="AZ1102" s="418" t="str">
        <f t="shared" si="1655"/>
        <v/>
      </c>
      <c r="BA1102" s="418" t="str">
        <f t="shared" si="1655"/>
        <v/>
      </c>
      <c r="BB1102" s="418" t="str">
        <f t="shared" si="1655"/>
        <v/>
      </c>
      <c r="BC1102" s="418" t="str">
        <f t="shared" si="1655"/>
        <v/>
      </c>
      <c r="BD1102" s="418" t="str">
        <f t="shared" si="1655"/>
        <v/>
      </c>
      <c r="BE1102" s="418" t="str">
        <f t="shared" si="1655"/>
        <v/>
      </c>
      <c r="BF1102" s="418" t="str">
        <f t="shared" si="1655"/>
        <v/>
      </c>
      <c r="BG1102" s="418" t="str">
        <f t="shared" si="1655"/>
        <v/>
      </c>
      <c r="BH1102" s="418" t="str">
        <f t="shared" si="1655"/>
        <v/>
      </c>
      <c r="BI1102" s="418" t="str">
        <f t="shared" si="1655"/>
        <v/>
      </c>
      <c r="BJ1102" s="418" t="str">
        <f t="shared" si="1655"/>
        <v/>
      </c>
      <c r="BK1102" s="418" t="str">
        <f t="shared" si="1655"/>
        <v/>
      </c>
      <c r="BL1102" s="418" t="str">
        <f t="shared" si="1655"/>
        <v/>
      </c>
      <c r="BM1102" s="418" t="str">
        <f t="shared" si="1655"/>
        <v/>
      </c>
      <c r="BN1102" s="418" t="str">
        <f t="shared" si="1655"/>
        <v/>
      </c>
      <c r="BO1102" s="418" t="str">
        <f t="shared" si="1655"/>
        <v/>
      </c>
      <c r="BP1102" s="418" t="str">
        <f t="shared" si="1655"/>
        <v/>
      </c>
      <c r="BQ1102" s="418" t="str">
        <f t="shared" si="1643"/>
        <v/>
      </c>
      <c r="BR1102" s="418" t="str">
        <f t="shared" si="1644"/>
        <v/>
      </c>
      <c r="BS1102" s="418" t="str">
        <f t="shared" si="1645"/>
        <v/>
      </c>
      <c r="BT1102" s="418" t="str">
        <f t="shared" si="1650"/>
        <v/>
      </c>
      <c r="BU1102" s="418" t="str">
        <f t="shared" si="1651"/>
        <v/>
      </c>
      <c r="BV1102" s="544">
        <v>1.52</v>
      </c>
      <c r="BW1102" s="723">
        <f t="shared" si="1646"/>
        <v>9192.96</v>
      </c>
      <c r="BX1102" s="724">
        <f t="shared" si="1647"/>
        <v>71245.44</v>
      </c>
      <c r="BY1102" s="725" t="str">
        <f t="shared" si="1648"/>
        <v>SR</v>
      </c>
    </row>
    <row r="1103" s="697" customFormat="1" customHeight="1" spans="1:77">
      <c r="A1103" s="362">
        <v>46190</v>
      </c>
      <c r="B1103" s="362">
        <v>46251</v>
      </c>
      <c r="C1103" s="431" t="s">
        <v>983</v>
      </c>
      <c r="D1103" s="431" t="s">
        <v>984</v>
      </c>
      <c r="E1103" s="619" t="s">
        <v>104</v>
      </c>
      <c r="F1103" s="142">
        <v>6048</v>
      </c>
      <c r="G1103" s="619" t="s">
        <v>334</v>
      </c>
      <c r="H1103" s="118" t="str">
        <f>IFERROR(VLOOKUP(E1103,名称!A:E,4,0),"")</f>
        <v>三代</v>
      </c>
      <c r="I1103" s="418" t="str">
        <f t="shared" ref="I1103:BR1103" si="1656">IF(OR($E1103="",I$1=""),"",IF(TRIM(LEFT($E1103,MIN(IFERROR(FIND("CDU",UPPER($E1103)),999),IFERROR(FIND("BULK",UPPER($E1103)),999),IFERROR(FIND("-",$E1103),999),IFERROR(FIND("（",$E1103),999))-1))=I$1,$F1103,""))</f>
        <v/>
      </c>
      <c r="J1103" s="418" t="str">
        <f t="shared" si="1656"/>
        <v/>
      </c>
      <c r="K1103" s="418" t="str">
        <f t="shared" si="1656"/>
        <v/>
      </c>
      <c r="L1103" s="418" t="str">
        <f t="shared" si="1656"/>
        <v/>
      </c>
      <c r="M1103" s="418" t="str">
        <f t="shared" si="1656"/>
        <v/>
      </c>
      <c r="N1103" s="418" t="str">
        <f t="shared" si="1656"/>
        <v/>
      </c>
      <c r="O1103" s="418" t="str">
        <f t="shared" si="1656"/>
        <v/>
      </c>
      <c r="P1103" s="418" t="str">
        <f t="shared" si="1656"/>
        <v/>
      </c>
      <c r="Q1103" s="418" t="str">
        <f t="shared" si="1656"/>
        <v/>
      </c>
      <c r="R1103" s="418" t="str">
        <f t="shared" si="1656"/>
        <v/>
      </c>
      <c r="S1103" s="418" t="str">
        <f t="shared" si="1656"/>
        <v/>
      </c>
      <c r="T1103" s="418" t="str">
        <f t="shared" si="1656"/>
        <v/>
      </c>
      <c r="U1103" s="418" t="str">
        <f t="shared" si="1656"/>
        <v/>
      </c>
      <c r="V1103" s="418" t="str">
        <f t="shared" si="1656"/>
        <v/>
      </c>
      <c r="W1103" s="418" t="str">
        <f t="shared" si="1656"/>
        <v/>
      </c>
      <c r="X1103" s="418" t="str">
        <f t="shared" si="1656"/>
        <v/>
      </c>
      <c r="Y1103" s="418" t="str">
        <f t="shared" si="1656"/>
        <v/>
      </c>
      <c r="Z1103" s="418" t="str">
        <f t="shared" si="1656"/>
        <v/>
      </c>
      <c r="AA1103" s="418" t="str">
        <f t="shared" si="1656"/>
        <v/>
      </c>
      <c r="AB1103" s="418" t="str">
        <f t="shared" si="1656"/>
        <v/>
      </c>
      <c r="AC1103" s="418" t="str">
        <f t="shared" si="1656"/>
        <v/>
      </c>
      <c r="AD1103" s="418" t="str">
        <f t="shared" si="1656"/>
        <v/>
      </c>
      <c r="AE1103" s="418" t="str">
        <f t="shared" si="1656"/>
        <v/>
      </c>
      <c r="AF1103" s="418" t="str">
        <f t="shared" si="1656"/>
        <v/>
      </c>
      <c r="AG1103" s="418" t="str">
        <f t="shared" si="1656"/>
        <v/>
      </c>
      <c r="AH1103" s="418" t="str">
        <f t="shared" si="1656"/>
        <v/>
      </c>
      <c r="AI1103" s="418" t="str">
        <f t="shared" si="1656"/>
        <v/>
      </c>
      <c r="AJ1103" s="418" t="str">
        <f t="shared" si="1656"/>
        <v/>
      </c>
      <c r="AK1103" s="418" t="str">
        <f t="shared" si="1656"/>
        <v/>
      </c>
      <c r="AL1103" s="418" t="str">
        <f t="shared" si="1656"/>
        <v/>
      </c>
      <c r="AM1103" s="418" t="str">
        <f t="shared" si="1656"/>
        <v/>
      </c>
      <c r="AN1103" s="418" t="str">
        <f t="shared" si="1656"/>
        <v/>
      </c>
      <c r="AO1103" s="418" t="str">
        <f t="shared" si="1656"/>
        <v/>
      </c>
      <c r="AP1103" s="418" t="str">
        <f t="shared" si="1656"/>
        <v/>
      </c>
      <c r="AQ1103" s="418" t="str">
        <f t="shared" si="1656"/>
        <v/>
      </c>
      <c r="AR1103" s="418">
        <f t="shared" si="1656"/>
        <v>6048</v>
      </c>
      <c r="AS1103" s="418" t="str">
        <f t="shared" si="1656"/>
        <v/>
      </c>
      <c r="AT1103" s="418" t="str">
        <f t="shared" si="1656"/>
        <v/>
      </c>
      <c r="AU1103" s="418" t="str">
        <f t="shared" si="1656"/>
        <v/>
      </c>
      <c r="AV1103" s="418" t="str">
        <f t="shared" si="1656"/>
        <v/>
      </c>
      <c r="AW1103" s="418" t="str">
        <f t="shared" si="1656"/>
        <v/>
      </c>
      <c r="AX1103" s="418" t="str">
        <f t="shared" si="1656"/>
        <v/>
      </c>
      <c r="AY1103" s="418" t="str">
        <f t="shared" si="1656"/>
        <v/>
      </c>
      <c r="AZ1103" s="418" t="str">
        <f t="shared" si="1656"/>
        <v/>
      </c>
      <c r="BA1103" s="418" t="str">
        <f t="shared" si="1656"/>
        <v/>
      </c>
      <c r="BB1103" s="418" t="str">
        <f t="shared" si="1656"/>
        <v/>
      </c>
      <c r="BC1103" s="418" t="str">
        <f t="shared" si="1656"/>
        <v/>
      </c>
      <c r="BD1103" s="418" t="str">
        <f t="shared" si="1656"/>
        <v/>
      </c>
      <c r="BE1103" s="418" t="str">
        <f t="shared" si="1656"/>
        <v/>
      </c>
      <c r="BF1103" s="418" t="str">
        <f t="shared" si="1656"/>
        <v/>
      </c>
      <c r="BG1103" s="418" t="str">
        <f t="shared" si="1656"/>
        <v/>
      </c>
      <c r="BH1103" s="418" t="str">
        <f t="shared" si="1656"/>
        <v/>
      </c>
      <c r="BI1103" s="418" t="str">
        <f t="shared" si="1656"/>
        <v/>
      </c>
      <c r="BJ1103" s="418" t="str">
        <f t="shared" si="1656"/>
        <v/>
      </c>
      <c r="BK1103" s="418" t="str">
        <f t="shared" si="1656"/>
        <v/>
      </c>
      <c r="BL1103" s="418" t="str">
        <f t="shared" si="1656"/>
        <v/>
      </c>
      <c r="BM1103" s="418" t="str">
        <f t="shared" si="1656"/>
        <v/>
      </c>
      <c r="BN1103" s="418" t="str">
        <f t="shared" si="1656"/>
        <v/>
      </c>
      <c r="BO1103" s="418" t="str">
        <f t="shared" si="1656"/>
        <v/>
      </c>
      <c r="BP1103" s="418" t="str">
        <f t="shared" si="1656"/>
        <v/>
      </c>
      <c r="BQ1103" s="418" t="str">
        <f t="shared" si="1643"/>
        <v/>
      </c>
      <c r="BR1103" s="418" t="str">
        <f t="shared" si="1644"/>
        <v/>
      </c>
      <c r="BS1103" s="418" t="str">
        <f t="shared" si="1645"/>
        <v/>
      </c>
      <c r="BT1103" s="418" t="str">
        <f t="shared" si="1650"/>
        <v/>
      </c>
      <c r="BU1103" s="418" t="str">
        <f t="shared" si="1651"/>
        <v/>
      </c>
      <c r="BV1103" s="544">
        <v>1.52</v>
      </c>
      <c r="BW1103" s="723">
        <f t="shared" si="1646"/>
        <v>9192.96</v>
      </c>
      <c r="BX1103" s="724">
        <f t="shared" si="1647"/>
        <v>71245.44</v>
      </c>
      <c r="BY1103" s="725" t="str">
        <f t="shared" si="1648"/>
        <v>SR</v>
      </c>
    </row>
    <row r="1104" s="697" customFormat="1" customHeight="1" spans="1:77">
      <c r="A1104" s="362">
        <v>46190</v>
      </c>
      <c r="B1104" s="362">
        <v>46251</v>
      </c>
      <c r="C1104" s="431" t="s">
        <v>983</v>
      </c>
      <c r="D1104" s="431" t="s">
        <v>984</v>
      </c>
      <c r="E1104" s="619" t="s">
        <v>82</v>
      </c>
      <c r="F1104" s="142">
        <v>6048</v>
      </c>
      <c r="G1104" s="619" t="s">
        <v>334</v>
      </c>
      <c r="H1104" s="118" t="str">
        <f>IFERROR(VLOOKUP(E1104,名称!A:E,4,0),"")</f>
        <v>二代</v>
      </c>
      <c r="I1104" s="418" t="str">
        <f t="shared" ref="I1104:BR1104" si="1657">IF(OR($E1104="",I$1=""),"",IF(TRIM(LEFT($E1104,MIN(IFERROR(FIND("CDU",UPPER($E1104)),999),IFERROR(FIND("BULK",UPPER($E1104)),999),IFERROR(FIND("-",$E1104),999),IFERROR(FIND("（",$E1104),999))-1))=I$1,$F1104,""))</f>
        <v/>
      </c>
      <c r="J1104" s="418" t="str">
        <f t="shared" si="1657"/>
        <v/>
      </c>
      <c r="K1104" s="418" t="str">
        <f t="shared" si="1657"/>
        <v/>
      </c>
      <c r="L1104" s="418" t="str">
        <f t="shared" si="1657"/>
        <v/>
      </c>
      <c r="M1104" s="418" t="str">
        <f t="shared" si="1657"/>
        <v/>
      </c>
      <c r="N1104" s="418" t="str">
        <f t="shared" si="1657"/>
        <v/>
      </c>
      <c r="O1104" s="418" t="str">
        <f t="shared" si="1657"/>
        <v/>
      </c>
      <c r="P1104" s="418" t="str">
        <f t="shared" si="1657"/>
        <v/>
      </c>
      <c r="Q1104" s="418" t="str">
        <f t="shared" si="1657"/>
        <v/>
      </c>
      <c r="R1104" s="418" t="str">
        <f t="shared" si="1657"/>
        <v/>
      </c>
      <c r="S1104" s="418" t="str">
        <f t="shared" si="1657"/>
        <v/>
      </c>
      <c r="T1104" s="418" t="str">
        <f t="shared" si="1657"/>
        <v/>
      </c>
      <c r="U1104" s="418" t="str">
        <f t="shared" si="1657"/>
        <v/>
      </c>
      <c r="V1104" s="418" t="str">
        <f t="shared" si="1657"/>
        <v/>
      </c>
      <c r="W1104" s="418" t="str">
        <f t="shared" si="1657"/>
        <v/>
      </c>
      <c r="X1104" s="418" t="str">
        <f t="shared" si="1657"/>
        <v/>
      </c>
      <c r="Y1104" s="418" t="str">
        <f t="shared" si="1657"/>
        <v/>
      </c>
      <c r="Z1104" s="418">
        <f t="shared" si="1657"/>
        <v>6048</v>
      </c>
      <c r="AA1104" s="418" t="str">
        <f t="shared" si="1657"/>
        <v/>
      </c>
      <c r="AB1104" s="418" t="str">
        <f t="shared" si="1657"/>
        <v/>
      </c>
      <c r="AC1104" s="418" t="str">
        <f t="shared" si="1657"/>
        <v/>
      </c>
      <c r="AD1104" s="418" t="str">
        <f t="shared" si="1657"/>
        <v/>
      </c>
      <c r="AE1104" s="418" t="str">
        <f t="shared" si="1657"/>
        <v/>
      </c>
      <c r="AF1104" s="418" t="str">
        <f t="shared" si="1657"/>
        <v/>
      </c>
      <c r="AG1104" s="418" t="str">
        <f t="shared" si="1657"/>
        <v/>
      </c>
      <c r="AH1104" s="418" t="str">
        <f t="shared" si="1657"/>
        <v/>
      </c>
      <c r="AI1104" s="418" t="str">
        <f t="shared" si="1657"/>
        <v/>
      </c>
      <c r="AJ1104" s="418" t="str">
        <f t="shared" si="1657"/>
        <v/>
      </c>
      <c r="AK1104" s="418" t="str">
        <f t="shared" si="1657"/>
        <v/>
      </c>
      <c r="AL1104" s="418" t="str">
        <f t="shared" si="1657"/>
        <v/>
      </c>
      <c r="AM1104" s="418" t="str">
        <f t="shared" si="1657"/>
        <v/>
      </c>
      <c r="AN1104" s="418" t="str">
        <f t="shared" si="1657"/>
        <v/>
      </c>
      <c r="AO1104" s="418" t="str">
        <f t="shared" si="1657"/>
        <v/>
      </c>
      <c r="AP1104" s="418" t="str">
        <f t="shared" si="1657"/>
        <v/>
      </c>
      <c r="AQ1104" s="418" t="str">
        <f t="shared" si="1657"/>
        <v/>
      </c>
      <c r="AR1104" s="418" t="str">
        <f t="shared" si="1657"/>
        <v/>
      </c>
      <c r="AS1104" s="418" t="str">
        <f t="shared" si="1657"/>
        <v/>
      </c>
      <c r="AT1104" s="418" t="str">
        <f t="shared" si="1657"/>
        <v/>
      </c>
      <c r="AU1104" s="418" t="str">
        <f t="shared" si="1657"/>
        <v/>
      </c>
      <c r="AV1104" s="418" t="str">
        <f t="shared" si="1657"/>
        <v/>
      </c>
      <c r="AW1104" s="418" t="str">
        <f t="shared" si="1657"/>
        <v/>
      </c>
      <c r="AX1104" s="418" t="str">
        <f t="shared" si="1657"/>
        <v/>
      </c>
      <c r="AY1104" s="418" t="str">
        <f t="shared" si="1657"/>
        <v/>
      </c>
      <c r="AZ1104" s="418" t="str">
        <f t="shared" si="1657"/>
        <v/>
      </c>
      <c r="BA1104" s="418" t="str">
        <f t="shared" si="1657"/>
        <v/>
      </c>
      <c r="BB1104" s="418" t="str">
        <f t="shared" si="1657"/>
        <v/>
      </c>
      <c r="BC1104" s="418" t="str">
        <f t="shared" si="1657"/>
        <v/>
      </c>
      <c r="BD1104" s="418" t="str">
        <f t="shared" si="1657"/>
        <v/>
      </c>
      <c r="BE1104" s="418" t="str">
        <f t="shared" si="1657"/>
        <v/>
      </c>
      <c r="BF1104" s="418" t="str">
        <f t="shared" si="1657"/>
        <v/>
      </c>
      <c r="BG1104" s="418" t="str">
        <f t="shared" si="1657"/>
        <v/>
      </c>
      <c r="BH1104" s="418" t="str">
        <f t="shared" si="1657"/>
        <v/>
      </c>
      <c r="BI1104" s="418" t="str">
        <f t="shared" si="1657"/>
        <v/>
      </c>
      <c r="BJ1104" s="418" t="str">
        <f t="shared" si="1657"/>
        <v/>
      </c>
      <c r="BK1104" s="418" t="str">
        <f t="shared" si="1657"/>
        <v/>
      </c>
      <c r="BL1104" s="418" t="str">
        <f t="shared" si="1657"/>
        <v/>
      </c>
      <c r="BM1104" s="418" t="str">
        <f t="shared" si="1657"/>
        <v/>
      </c>
      <c r="BN1104" s="418" t="str">
        <f t="shared" si="1657"/>
        <v/>
      </c>
      <c r="BO1104" s="418" t="str">
        <f t="shared" si="1657"/>
        <v/>
      </c>
      <c r="BP1104" s="418" t="str">
        <f t="shared" si="1657"/>
        <v/>
      </c>
      <c r="BQ1104" s="418" t="str">
        <f t="shared" si="1643"/>
        <v/>
      </c>
      <c r="BR1104" s="418" t="str">
        <f t="shared" si="1644"/>
        <v/>
      </c>
      <c r="BS1104" s="418" t="str">
        <f t="shared" si="1645"/>
        <v/>
      </c>
      <c r="BT1104" s="418" t="str">
        <f t="shared" si="1650"/>
        <v/>
      </c>
      <c r="BU1104" s="418" t="str">
        <f t="shared" si="1651"/>
        <v/>
      </c>
      <c r="BV1104" s="544">
        <v>1.49</v>
      </c>
      <c r="BW1104" s="723">
        <f t="shared" si="1646"/>
        <v>9011.52</v>
      </c>
      <c r="BX1104" s="724">
        <f t="shared" si="1647"/>
        <v>69839.28</v>
      </c>
      <c r="BY1104" s="725" t="str">
        <f t="shared" si="1648"/>
        <v>SR</v>
      </c>
    </row>
    <row r="1105" s="697" customFormat="1" customHeight="1" spans="1:77">
      <c r="A1105" s="362">
        <v>46195</v>
      </c>
      <c r="B1105" s="140">
        <v>46254</v>
      </c>
      <c r="C1105" s="619" t="s">
        <v>985</v>
      </c>
      <c r="D1105" s="619" t="s">
        <v>986</v>
      </c>
      <c r="E1105" s="619" t="s">
        <v>96</v>
      </c>
      <c r="F1105" s="121">
        <v>3000</v>
      </c>
      <c r="G1105" s="123" t="s">
        <v>270</v>
      </c>
      <c r="H1105" s="118" t="str">
        <f>IFERROR(VLOOKUP(E1105,名称!A:E,4,0),"")</f>
        <v>三代</v>
      </c>
      <c r="I1105" s="418" t="str">
        <f t="shared" ref="I1105:BR1105" si="1658">IF(OR($E1105="",I$1=""),"",IF(TRIM(LEFT($E1105,MIN(IFERROR(FIND("CDU",UPPER($E1105)),999),IFERROR(FIND("BULK",UPPER($E1105)),999),IFERROR(FIND("-",$E1105),999),IFERROR(FIND("（",$E1105),999))-1))=I$1,$F1105,""))</f>
        <v/>
      </c>
      <c r="J1105" s="418" t="str">
        <f t="shared" si="1658"/>
        <v/>
      </c>
      <c r="K1105" s="418" t="str">
        <f t="shared" si="1658"/>
        <v/>
      </c>
      <c r="L1105" s="418" t="str">
        <f t="shared" si="1658"/>
        <v/>
      </c>
      <c r="M1105" s="418" t="str">
        <f t="shared" si="1658"/>
        <v/>
      </c>
      <c r="N1105" s="418" t="str">
        <f t="shared" si="1658"/>
        <v/>
      </c>
      <c r="O1105" s="418" t="str">
        <f t="shared" si="1658"/>
        <v/>
      </c>
      <c r="P1105" s="418" t="str">
        <f t="shared" si="1658"/>
        <v/>
      </c>
      <c r="Q1105" s="418" t="str">
        <f t="shared" si="1658"/>
        <v/>
      </c>
      <c r="R1105" s="418" t="str">
        <f t="shared" si="1658"/>
        <v/>
      </c>
      <c r="S1105" s="418" t="str">
        <f t="shared" si="1658"/>
        <v/>
      </c>
      <c r="T1105" s="418" t="str">
        <f t="shared" si="1658"/>
        <v/>
      </c>
      <c r="U1105" s="418" t="str">
        <f t="shared" si="1658"/>
        <v/>
      </c>
      <c r="V1105" s="418" t="str">
        <f t="shared" si="1658"/>
        <v/>
      </c>
      <c r="W1105" s="418" t="str">
        <f t="shared" si="1658"/>
        <v/>
      </c>
      <c r="X1105" s="418" t="str">
        <f t="shared" si="1658"/>
        <v/>
      </c>
      <c r="Y1105" s="418" t="str">
        <f t="shared" si="1658"/>
        <v/>
      </c>
      <c r="Z1105" s="418" t="str">
        <f t="shared" si="1658"/>
        <v/>
      </c>
      <c r="AA1105" s="418" t="str">
        <f t="shared" si="1658"/>
        <v/>
      </c>
      <c r="AB1105" s="418" t="str">
        <f t="shared" si="1658"/>
        <v/>
      </c>
      <c r="AC1105" s="418" t="str">
        <f t="shared" si="1658"/>
        <v/>
      </c>
      <c r="AD1105" s="418" t="str">
        <f t="shared" si="1658"/>
        <v/>
      </c>
      <c r="AE1105" s="418" t="str">
        <f t="shared" si="1658"/>
        <v/>
      </c>
      <c r="AF1105" s="418" t="str">
        <f t="shared" si="1658"/>
        <v/>
      </c>
      <c r="AG1105" s="418" t="str">
        <f t="shared" si="1658"/>
        <v/>
      </c>
      <c r="AH1105" s="418" t="str">
        <f t="shared" si="1658"/>
        <v/>
      </c>
      <c r="AI1105" s="418" t="str">
        <f t="shared" si="1658"/>
        <v/>
      </c>
      <c r="AJ1105" s="418" t="str">
        <f t="shared" si="1658"/>
        <v/>
      </c>
      <c r="AK1105" s="418" t="str">
        <f t="shared" si="1658"/>
        <v/>
      </c>
      <c r="AL1105" s="418" t="str">
        <f t="shared" si="1658"/>
        <v/>
      </c>
      <c r="AM1105" s="418" t="str">
        <f t="shared" si="1658"/>
        <v/>
      </c>
      <c r="AN1105" s="418" t="str">
        <f t="shared" si="1658"/>
        <v/>
      </c>
      <c r="AO1105" s="418" t="str">
        <f t="shared" si="1658"/>
        <v/>
      </c>
      <c r="AP1105" s="418" t="str">
        <f t="shared" si="1658"/>
        <v/>
      </c>
      <c r="AQ1105" s="418" t="str">
        <f t="shared" si="1658"/>
        <v/>
      </c>
      <c r="AR1105" s="418" t="str">
        <f t="shared" si="1658"/>
        <v/>
      </c>
      <c r="AS1105" s="418" t="str">
        <f t="shared" si="1658"/>
        <v/>
      </c>
      <c r="AT1105" s="418" t="str">
        <f t="shared" si="1658"/>
        <v/>
      </c>
      <c r="AU1105" s="418" t="str">
        <f t="shared" si="1658"/>
        <v/>
      </c>
      <c r="AV1105" s="418" t="str">
        <f t="shared" si="1658"/>
        <v/>
      </c>
      <c r="AW1105" s="418" t="str">
        <f t="shared" si="1658"/>
        <v/>
      </c>
      <c r="AX1105" s="418" t="str">
        <f t="shared" si="1658"/>
        <v/>
      </c>
      <c r="AY1105" s="418" t="str">
        <f t="shared" si="1658"/>
        <v/>
      </c>
      <c r="AZ1105" s="418" t="str">
        <f t="shared" si="1658"/>
        <v/>
      </c>
      <c r="BA1105" s="418">
        <f t="shared" si="1658"/>
        <v>3000</v>
      </c>
      <c r="BB1105" s="418" t="str">
        <f t="shared" si="1658"/>
        <v/>
      </c>
      <c r="BC1105" s="418" t="str">
        <f t="shared" si="1658"/>
        <v/>
      </c>
      <c r="BD1105" s="418" t="str">
        <f t="shared" si="1658"/>
        <v/>
      </c>
      <c r="BE1105" s="418" t="str">
        <f t="shared" si="1658"/>
        <v/>
      </c>
      <c r="BF1105" s="418" t="str">
        <f t="shared" si="1658"/>
        <v/>
      </c>
      <c r="BG1105" s="418" t="str">
        <f t="shared" si="1658"/>
        <v/>
      </c>
      <c r="BH1105" s="418" t="str">
        <f t="shared" si="1658"/>
        <v/>
      </c>
      <c r="BI1105" s="418" t="str">
        <f t="shared" si="1658"/>
        <v/>
      </c>
      <c r="BJ1105" s="418" t="str">
        <f t="shared" si="1658"/>
        <v/>
      </c>
      <c r="BK1105" s="418" t="str">
        <f t="shared" si="1658"/>
        <v/>
      </c>
      <c r="BL1105" s="418" t="str">
        <f t="shared" si="1658"/>
        <v/>
      </c>
      <c r="BM1105" s="418" t="str">
        <f t="shared" si="1658"/>
        <v/>
      </c>
      <c r="BN1105" s="418" t="str">
        <f t="shared" si="1658"/>
        <v/>
      </c>
      <c r="BO1105" s="418" t="str">
        <f t="shared" si="1658"/>
        <v/>
      </c>
      <c r="BP1105" s="418" t="str">
        <f t="shared" si="1658"/>
        <v/>
      </c>
      <c r="BQ1105" s="418" t="str">
        <f t="shared" si="1643"/>
        <v/>
      </c>
      <c r="BR1105" s="418" t="str">
        <f t="shared" si="1644"/>
        <v/>
      </c>
      <c r="BS1105" s="418" t="str">
        <f t="shared" si="1645"/>
        <v/>
      </c>
      <c r="BT1105" s="418" t="str">
        <f t="shared" ref="BT1105:BT1111" si="1659">IF(OR($E1105="",BT$1=""),"",IF(TRIM(LEFT($E1105,MIN(IFERROR(FIND("CDU",UPPER($E1105)),999),IFERROR(FIND("BULK",UPPER($E1105)),999),IFERROR(FIND("-",$E1105),999),IFERROR(FIND("（",$E1105),999))-1))=BT$1,$F1105,""))</f>
        <v/>
      </c>
      <c r="BU1105" s="418" t="str">
        <f t="shared" ref="BU1105:BU1111" si="1660">IF(OR($E1105="",BU$1=""),"",IF(TRIM(LEFT($E1105,MIN(IFERROR(FIND("CDU",UPPER($E1105)),999),IFERROR(FIND("BULK",UPPER($E1105)),999),IFERROR(FIND("-",$E1105),999),IFERROR(FIND("（",$E1105),999))-1))=BU$1,$F1105,""))</f>
        <v/>
      </c>
      <c r="BV1105" s="544">
        <v>0.59</v>
      </c>
      <c r="BW1105" s="723">
        <f t="shared" ref="BW1105:BW1111" si="1661">SUM(I1105:BU1105)*BV1105</f>
        <v>1770</v>
      </c>
      <c r="BX1105" s="724">
        <f t="shared" ref="BX1105:BX1111" si="1662">BW1105*7.75</f>
        <v>13717.5</v>
      </c>
      <c r="BY1105" s="725" t="str">
        <f t="shared" ref="BY1105:BY1111" si="1663">MID(E1105,1,2)</f>
        <v>SR</v>
      </c>
    </row>
    <row r="1106" s="697" customFormat="1" customHeight="1" spans="1:77">
      <c r="A1106" s="116">
        <v>46196</v>
      </c>
      <c r="B1106" s="140">
        <v>46260</v>
      </c>
      <c r="C1106" s="619" t="s">
        <v>987</v>
      </c>
      <c r="D1106" s="619" t="s">
        <v>988</v>
      </c>
      <c r="E1106" s="123" t="s">
        <v>191</v>
      </c>
      <c r="F1106" s="121">
        <v>2940</v>
      </c>
      <c r="G1106" s="123" t="s">
        <v>510</v>
      </c>
      <c r="H1106" s="118" t="str">
        <f>IFERROR(VLOOKUP(E1106,名称!A:E,4,0),"")</f>
        <v>三代</v>
      </c>
      <c r="I1106" s="418" t="str">
        <f t="shared" ref="I1106:BR1106" si="1664">IF(OR($E1106="",I$1=""),"",IF(TRIM(LEFT($E1106,MIN(IFERROR(FIND("CDU",UPPER($E1106)),999),IFERROR(FIND("BULK",UPPER($E1106)),999),IFERROR(FIND("-",$E1106),999),IFERROR(FIND("（",$E1106),999))-1))=I$1,$F1106,""))</f>
        <v/>
      </c>
      <c r="J1106" s="418" t="str">
        <f t="shared" si="1664"/>
        <v/>
      </c>
      <c r="K1106" s="418" t="str">
        <f t="shared" si="1664"/>
        <v/>
      </c>
      <c r="L1106" s="418" t="str">
        <f t="shared" si="1664"/>
        <v/>
      </c>
      <c r="M1106" s="418" t="str">
        <f t="shared" si="1664"/>
        <v/>
      </c>
      <c r="N1106" s="418" t="str">
        <f t="shared" si="1664"/>
        <v/>
      </c>
      <c r="O1106" s="418" t="str">
        <f t="shared" si="1664"/>
        <v/>
      </c>
      <c r="P1106" s="418" t="str">
        <f t="shared" si="1664"/>
        <v/>
      </c>
      <c r="Q1106" s="418" t="str">
        <f t="shared" si="1664"/>
        <v/>
      </c>
      <c r="R1106" s="418" t="str">
        <f t="shared" si="1664"/>
        <v/>
      </c>
      <c r="S1106" s="418" t="str">
        <f t="shared" si="1664"/>
        <v/>
      </c>
      <c r="T1106" s="418" t="str">
        <f t="shared" si="1664"/>
        <v/>
      </c>
      <c r="U1106" s="418" t="str">
        <f t="shared" si="1664"/>
        <v/>
      </c>
      <c r="V1106" s="418" t="str">
        <f t="shared" si="1664"/>
        <v/>
      </c>
      <c r="W1106" s="418" t="str">
        <f t="shared" si="1664"/>
        <v/>
      </c>
      <c r="X1106" s="418" t="str">
        <f t="shared" si="1664"/>
        <v/>
      </c>
      <c r="Y1106" s="418" t="str">
        <f t="shared" si="1664"/>
        <v/>
      </c>
      <c r="Z1106" s="418" t="str">
        <f t="shared" si="1664"/>
        <v/>
      </c>
      <c r="AA1106" s="418" t="str">
        <f t="shared" si="1664"/>
        <v/>
      </c>
      <c r="AB1106" s="418" t="str">
        <f t="shared" si="1664"/>
        <v/>
      </c>
      <c r="AC1106" s="418">
        <f t="shared" si="1664"/>
        <v>2940</v>
      </c>
      <c r="AD1106" s="418" t="str">
        <f t="shared" si="1664"/>
        <v/>
      </c>
      <c r="AE1106" s="418" t="str">
        <f t="shared" si="1664"/>
        <v/>
      </c>
      <c r="AF1106" s="418" t="str">
        <f t="shared" si="1664"/>
        <v/>
      </c>
      <c r="AG1106" s="418" t="str">
        <f t="shared" si="1664"/>
        <v/>
      </c>
      <c r="AH1106" s="418" t="str">
        <f t="shared" si="1664"/>
        <v/>
      </c>
      <c r="AI1106" s="418" t="str">
        <f t="shared" si="1664"/>
        <v/>
      </c>
      <c r="AJ1106" s="418" t="str">
        <f t="shared" si="1664"/>
        <v/>
      </c>
      <c r="AK1106" s="418" t="str">
        <f t="shared" si="1664"/>
        <v/>
      </c>
      <c r="AL1106" s="418" t="str">
        <f t="shared" si="1664"/>
        <v/>
      </c>
      <c r="AM1106" s="418" t="str">
        <f t="shared" si="1664"/>
        <v/>
      </c>
      <c r="AN1106" s="418" t="str">
        <f t="shared" si="1664"/>
        <v/>
      </c>
      <c r="AO1106" s="418" t="str">
        <f t="shared" si="1664"/>
        <v/>
      </c>
      <c r="AP1106" s="418" t="str">
        <f t="shared" si="1664"/>
        <v/>
      </c>
      <c r="AQ1106" s="418" t="str">
        <f t="shared" si="1664"/>
        <v/>
      </c>
      <c r="AR1106" s="418" t="str">
        <f t="shared" si="1664"/>
        <v/>
      </c>
      <c r="AS1106" s="418" t="str">
        <f t="shared" si="1664"/>
        <v/>
      </c>
      <c r="AT1106" s="418" t="str">
        <f t="shared" si="1664"/>
        <v/>
      </c>
      <c r="AU1106" s="418" t="str">
        <f t="shared" si="1664"/>
        <v/>
      </c>
      <c r="AV1106" s="418" t="str">
        <f t="shared" si="1664"/>
        <v/>
      </c>
      <c r="AW1106" s="418" t="str">
        <f t="shared" si="1664"/>
        <v/>
      </c>
      <c r="AX1106" s="418" t="str">
        <f t="shared" si="1664"/>
        <v/>
      </c>
      <c r="AY1106" s="418" t="str">
        <f t="shared" si="1664"/>
        <v/>
      </c>
      <c r="AZ1106" s="418" t="str">
        <f t="shared" si="1664"/>
        <v/>
      </c>
      <c r="BA1106" s="418" t="str">
        <f t="shared" si="1664"/>
        <v/>
      </c>
      <c r="BB1106" s="418" t="str">
        <f t="shared" si="1664"/>
        <v/>
      </c>
      <c r="BC1106" s="418" t="str">
        <f t="shared" si="1664"/>
        <v/>
      </c>
      <c r="BD1106" s="418" t="str">
        <f t="shared" si="1664"/>
        <v/>
      </c>
      <c r="BE1106" s="418" t="str">
        <f t="shared" si="1664"/>
        <v/>
      </c>
      <c r="BF1106" s="418" t="str">
        <f t="shared" si="1664"/>
        <v/>
      </c>
      <c r="BG1106" s="418" t="str">
        <f t="shared" si="1664"/>
        <v/>
      </c>
      <c r="BH1106" s="418" t="str">
        <f t="shared" si="1664"/>
        <v/>
      </c>
      <c r="BI1106" s="418" t="str">
        <f t="shared" si="1664"/>
        <v/>
      </c>
      <c r="BJ1106" s="418" t="str">
        <f t="shared" si="1664"/>
        <v/>
      </c>
      <c r="BK1106" s="418" t="str">
        <f t="shared" si="1664"/>
        <v/>
      </c>
      <c r="BL1106" s="418" t="str">
        <f t="shared" si="1664"/>
        <v/>
      </c>
      <c r="BM1106" s="418" t="str">
        <f t="shared" si="1664"/>
        <v/>
      </c>
      <c r="BN1106" s="418" t="str">
        <f t="shared" si="1664"/>
        <v/>
      </c>
      <c r="BO1106" s="418" t="str">
        <f t="shared" si="1664"/>
        <v/>
      </c>
      <c r="BP1106" s="418" t="str">
        <f t="shared" si="1664"/>
        <v/>
      </c>
      <c r="BQ1106" s="418" t="str">
        <f t="shared" si="1643"/>
        <v/>
      </c>
      <c r="BR1106" s="418" t="str">
        <f t="shared" si="1644"/>
        <v/>
      </c>
      <c r="BS1106" s="418" t="str">
        <f t="shared" si="1645"/>
        <v/>
      </c>
      <c r="BT1106" s="418" t="str">
        <f t="shared" si="1659"/>
        <v/>
      </c>
      <c r="BU1106" s="418" t="str">
        <f t="shared" si="1660"/>
        <v/>
      </c>
      <c r="BV1106" s="544">
        <v>0.77</v>
      </c>
      <c r="BW1106" s="723">
        <f t="shared" si="1661"/>
        <v>2263.8</v>
      </c>
      <c r="BX1106" s="724">
        <f t="shared" si="1662"/>
        <v>17544.45</v>
      </c>
      <c r="BY1106" s="725" t="str">
        <f t="shared" si="1663"/>
        <v>SR</v>
      </c>
    </row>
    <row r="1107" s="697" customFormat="1" customHeight="1" spans="1:77">
      <c r="A1107" s="362">
        <v>46196</v>
      </c>
      <c r="B1107" s="362">
        <v>46260</v>
      </c>
      <c r="C1107" s="431" t="s">
        <v>987</v>
      </c>
      <c r="D1107" s="431" t="s">
        <v>988</v>
      </c>
      <c r="E1107" s="129" t="s">
        <v>192</v>
      </c>
      <c r="F1107" s="96">
        <v>1032</v>
      </c>
      <c r="G1107" s="129" t="s">
        <v>510</v>
      </c>
      <c r="H1107" s="118" t="str">
        <f>IFERROR(VLOOKUP(E1107,名称!A:E,4,0),"")</f>
        <v>三代</v>
      </c>
      <c r="I1107" s="418" t="str">
        <f t="shared" ref="I1107:BR1107" si="1665">IF(OR($E1107="",I$1=""),"",IF(TRIM(LEFT($E1107,MIN(IFERROR(FIND("CDU",UPPER($E1107)),999),IFERROR(FIND("BULK",UPPER($E1107)),999),IFERROR(FIND("-",$E1107),999),IFERROR(FIND("（",$E1107),999))-1))=I$1,$F1107,""))</f>
        <v/>
      </c>
      <c r="J1107" s="418" t="str">
        <f t="shared" si="1665"/>
        <v/>
      </c>
      <c r="K1107" s="418" t="str">
        <f t="shared" si="1665"/>
        <v/>
      </c>
      <c r="L1107" s="418" t="str">
        <f t="shared" si="1665"/>
        <v/>
      </c>
      <c r="M1107" s="418" t="str">
        <f t="shared" si="1665"/>
        <v/>
      </c>
      <c r="N1107" s="418" t="str">
        <f t="shared" si="1665"/>
        <v/>
      </c>
      <c r="O1107" s="418" t="str">
        <f t="shared" si="1665"/>
        <v/>
      </c>
      <c r="P1107" s="418" t="str">
        <f t="shared" si="1665"/>
        <v/>
      </c>
      <c r="Q1107" s="418" t="str">
        <f t="shared" si="1665"/>
        <v/>
      </c>
      <c r="R1107" s="418" t="str">
        <f t="shared" si="1665"/>
        <v/>
      </c>
      <c r="S1107" s="418" t="str">
        <f t="shared" si="1665"/>
        <v/>
      </c>
      <c r="T1107" s="418" t="str">
        <f t="shared" si="1665"/>
        <v/>
      </c>
      <c r="U1107" s="418" t="str">
        <f t="shared" si="1665"/>
        <v/>
      </c>
      <c r="V1107" s="418" t="str">
        <f t="shared" si="1665"/>
        <v/>
      </c>
      <c r="W1107" s="418" t="str">
        <f t="shared" si="1665"/>
        <v/>
      </c>
      <c r="X1107" s="418" t="str">
        <f t="shared" si="1665"/>
        <v/>
      </c>
      <c r="Y1107" s="418" t="str">
        <f t="shared" si="1665"/>
        <v/>
      </c>
      <c r="Z1107" s="418" t="str">
        <f t="shared" si="1665"/>
        <v/>
      </c>
      <c r="AA1107" s="418" t="str">
        <f t="shared" si="1665"/>
        <v/>
      </c>
      <c r="AB1107" s="418" t="str">
        <f t="shared" si="1665"/>
        <v/>
      </c>
      <c r="AC1107" s="418">
        <f t="shared" si="1665"/>
        <v>1032</v>
      </c>
      <c r="AD1107" s="418" t="str">
        <f t="shared" si="1665"/>
        <v/>
      </c>
      <c r="AE1107" s="418" t="str">
        <f t="shared" si="1665"/>
        <v/>
      </c>
      <c r="AF1107" s="418" t="str">
        <f t="shared" si="1665"/>
        <v/>
      </c>
      <c r="AG1107" s="418" t="str">
        <f t="shared" si="1665"/>
        <v/>
      </c>
      <c r="AH1107" s="418" t="str">
        <f t="shared" si="1665"/>
        <v/>
      </c>
      <c r="AI1107" s="418" t="str">
        <f t="shared" si="1665"/>
        <v/>
      </c>
      <c r="AJ1107" s="418" t="str">
        <f t="shared" si="1665"/>
        <v/>
      </c>
      <c r="AK1107" s="418" t="str">
        <f t="shared" si="1665"/>
        <v/>
      </c>
      <c r="AL1107" s="418" t="str">
        <f t="shared" si="1665"/>
        <v/>
      </c>
      <c r="AM1107" s="418" t="str">
        <f t="shared" si="1665"/>
        <v/>
      </c>
      <c r="AN1107" s="418" t="str">
        <f t="shared" si="1665"/>
        <v/>
      </c>
      <c r="AO1107" s="418" t="str">
        <f t="shared" si="1665"/>
        <v/>
      </c>
      <c r="AP1107" s="418" t="str">
        <f t="shared" si="1665"/>
        <v/>
      </c>
      <c r="AQ1107" s="418" t="str">
        <f t="shared" si="1665"/>
        <v/>
      </c>
      <c r="AR1107" s="418" t="str">
        <f t="shared" si="1665"/>
        <v/>
      </c>
      <c r="AS1107" s="418" t="str">
        <f t="shared" si="1665"/>
        <v/>
      </c>
      <c r="AT1107" s="418" t="str">
        <f t="shared" si="1665"/>
        <v/>
      </c>
      <c r="AU1107" s="418" t="str">
        <f t="shared" si="1665"/>
        <v/>
      </c>
      <c r="AV1107" s="418" t="str">
        <f t="shared" si="1665"/>
        <v/>
      </c>
      <c r="AW1107" s="418" t="str">
        <f t="shared" si="1665"/>
        <v/>
      </c>
      <c r="AX1107" s="418" t="str">
        <f t="shared" si="1665"/>
        <v/>
      </c>
      <c r="AY1107" s="418" t="str">
        <f t="shared" si="1665"/>
        <v/>
      </c>
      <c r="AZ1107" s="418" t="str">
        <f t="shared" si="1665"/>
        <v/>
      </c>
      <c r="BA1107" s="418" t="str">
        <f t="shared" si="1665"/>
        <v/>
      </c>
      <c r="BB1107" s="418" t="str">
        <f t="shared" si="1665"/>
        <v/>
      </c>
      <c r="BC1107" s="418" t="str">
        <f t="shared" si="1665"/>
        <v/>
      </c>
      <c r="BD1107" s="418" t="str">
        <f t="shared" si="1665"/>
        <v/>
      </c>
      <c r="BE1107" s="418" t="str">
        <f t="shared" si="1665"/>
        <v/>
      </c>
      <c r="BF1107" s="418" t="str">
        <f t="shared" si="1665"/>
        <v/>
      </c>
      <c r="BG1107" s="418" t="str">
        <f t="shared" si="1665"/>
        <v/>
      </c>
      <c r="BH1107" s="418" t="str">
        <f t="shared" si="1665"/>
        <v/>
      </c>
      <c r="BI1107" s="418" t="str">
        <f t="shared" si="1665"/>
        <v/>
      </c>
      <c r="BJ1107" s="418" t="str">
        <f t="shared" si="1665"/>
        <v/>
      </c>
      <c r="BK1107" s="418" t="str">
        <f t="shared" si="1665"/>
        <v/>
      </c>
      <c r="BL1107" s="418" t="str">
        <f t="shared" si="1665"/>
        <v/>
      </c>
      <c r="BM1107" s="418" t="str">
        <f t="shared" si="1665"/>
        <v/>
      </c>
      <c r="BN1107" s="418" t="str">
        <f t="shared" si="1665"/>
        <v/>
      </c>
      <c r="BO1107" s="418" t="str">
        <f t="shared" si="1665"/>
        <v/>
      </c>
      <c r="BP1107" s="418" t="str">
        <f t="shared" si="1665"/>
        <v/>
      </c>
      <c r="BQ1107" s="418" t="str">
        <f t="shared" si="1643"/>
        <v/>
      </c>
      <c r="BR1107" s="418" t="str">
        <f t="shared" si="1644"/>
        <v/>
      </c>
      <c r="BS1107" s="418" t="str">
        <f t="shared" si="1645"/>
        <v/>
      </c>
      <c r="BT1107" s="418" t="str">
        <f t="shared" si="1659"/>
        <v/>
      </c>
      <c r="BU1107" s="418" t="str">
        <f t="shared" si="1660"/>
        <v/>
      </c>
      <c r="BV1107" s="624">
        <v>0.77</v>
      </c>
      <c r="BW1107" s="723">
        <f t="shared" si="1661"/>
        <v>794.64</v>
      </c>
      <c r="BX1107" s="724">
        <f t="shared" si="1662"/>
        <v>6158.46</v>
      </c>
      <c r="BY1107" s="725" t="str">
        <f t="shared" si="1663"/>
        <v>SR</v>
      </c>
    </row>
    <row r="1108" s="697" customFormat="1" customHeight="1" spans="1:77">
      <c r="A1108" s="362">
        <v>46196</v>
      </c>
      <c r="B1108" s="362">
        <v>46260</v>
      </c>
      <c r="C1108" s="431" t="s">
        <v>987</v>
      </c>
      <c r="D1108" s="431" t="s">
        <v>988</v>
      </c>
      <c r="E1108" s="129" t="s">
        <v>193</v>
      </c>
      <c r="F1108" s="96">
        <v>3000</v>
      </c>
      <c r="G1108" s="129" t="s">
        <v>510</v>
      </c>
      <c r="H1108" s="118" t="str">
        <f>IFERROR(VLOOKUP(E1108,名称!A:E,4,0),"")</f>
        <v>三代</v>
      </c>
      <c r="I1108" s="418" t="str">
        <f t="shared" ref="I1108:BR1108" si="1666">IF(OR($E1108="",I$1=""),"",IF(TRIM(LEFT($E1108,MIN(IFERROR(FIND("CDU",UPPER($E1108)),999),IFERROR(FIND("BULK",UPPER($E1108)),999),IFERROR(FIND("-",$E1108),999),IFERROR(FIND("（",$E1108),999))-1))=I$1,$F1108,""))</f>
        <v/>
      </c>
      <c r="J1108" s="418" t="str">
        <f t="shared" si="1666"/>
        <v/>
      </c>
      <c r="K1108" s="418" t="str">
        <f t="shared" si="1666"/>
        <v/>
      </c>
      <c r="L1108" s="418" t="str">
        <f t="shared" si="1666"/>
        <v/>
      </c>
      <c r="M1108" s="418" t="str">
        <f t="shared" si="1666"/>
        <v/>
      </c>
      <c r="N1108" s="418" t="str">
        <f t="shared" si="1666"/>
        <v/>
      </c>
      <c r="O1108" s="418" t="str">
        <f t="shared" si="1666"/>
        <v/>
      </c>
      <c r="P1108" s="418" t="str">
        <f t="shared" si="1666"/>
        <v/>
      </c>
      <c r="Q1108" s="418" t="str">
        <f t="shared" si="1666"/>
        <v/>
      </c>
      <c r="R1108" s="418" t="str">
        <f t="shared" si="1666"/>
        <v/>
      </c>
      <c r="S1108" s="418" t="str">
        <f t="shared" si="1666"/>
        <v/>
      </c>
      <c r="T1108" s="418" t="str">
        <f t="shared" si="1666"/>
        <v/>
      </c>
      <c r="U1108" s="418" t="str">
        <f t="shared" si="1666"/>
        <v/>
      </c>
      <c r="V1108" s="418" t="str">
        <f t="shared" si="1666"/>
        <v/>
      </c>
      <c r="W1108" s="418" t="str">
        <f t="shared" si="1666"/>
        <v/>
      </c>
      <c r="X1108" s="418" t="str">
        <f t="shared" si="1666"/>
        <v/>
      </c>
      <c r="Y1108" s="418" t="str">
        <f t="shared" si="1666"/>
        <v/>
      </c>
      <c r="Z1108" s="418" t="str">
        <f t="shared" si="1666"/>
        <v/>
      </c>
      <c r="AA1108" s="418" t="str">
        <f t="shared" si="1666"/>
        <v/>
      </c>
      <c r="AB1108" s="418" t="str">
        <f t="shared" si="1666"/>
        <v/>
      </c>
      <c r="AC1108" s="418">
        <f t="shared" si="1666"/>
        <v>3000</v>
      </c>
      <c r="AD1108" s="418" t="str">
        <f t="shared" si="1666"/>
        <v/>
      </c>
      <c r="AE1108" s="418" t="str">
        <f t="shared" si="1666"/>
        <v/>
      </c>
      <c r="AF1108" s="418" t="str">
        <f t="shared" si="1666"/>
        <v/>
      </c>
      <c r="AG1108" s="418" t="str">
        <f t="shared" si="1666"/>
        <v/>
      </c>
      <c r="AH1108" s="418" t="str">
        <f t="shared" si="1666"/>
        <v/>
      </c>
      <c r="AI1108" s="418" t="str">
        <f t="shared" si="1666"/>
        <v/>
      </c>
      <c r="AJ1108" s="418" t="str">
        <f t="shared" si="1666"/>
        <v/>
      </c>
      <c r="AK1108" s="418" t="str">
        <f t="shared" si="1666"/>
        <v/>
      </c>
      <c r="AL1108" s="418" t="str">
        <f t="shared" si="1666"/>
        <v/>
      </c>
      <c r="AM1108" s="418" t="str">
        <f t="shared" si="1666"/>
        <v/>
      </c>
      <c r="AN1108" s="418" t="str">
        <f t="shared" si="1666"/>
        <v/>
      </c>
      <c r="AO1108" s="418" t="str">
        <f t="shared" si="1666"/>
        <v/>
      </c>
      <c r="AP1108" s="418" t="str">
        <f t="shared" si="1666"/>
        <v/>
      </c>
      <c r="AQ1108" s="418" t="str">
        <f t="shared" si="1666"/>
        <v/>
      </c>
      <c r="AR1108" s="418" t="str">
        <f t="shared" si="1666"/>
        <v/>
      </c>
      <c r="AS1108" s="418" t="str">
        <f t="shared" si="1666"/>
        <v/>
      </c>
      <c r="AT1108" s="418" t="str">
        <f t="shared" si="1666"/>
        <v/>
      </c>
      <c r="AU1108" s="418" t="str">
        <f t="shared" si="1666"/>
        <v/>
      </c>
      <c r="AV1108" s="418" t="str">
        <f t="shared" si="1666"/>
        <v/>
      </c>
      <c r="AW1108" s="418" t="str">
        <f t="shared" si="1666"/>
        <v/>
      </c>
      <c r="AX1108" s="418" t="str">
        <f t="shared" si="1666"/>
        <v/>
      </c>
      <c r="AY1108" s="418" t="str">
        <f t="shared" si="1666"/>
        <v/>
      </c>
      <c r="AZ1108" s="418" t="str">
        <f t="shared" si="1666"/>
        <v/>
      </c>
      <c r="BA1108" s="418" t="str">
        <f t="shared" si="1666"/>
        <v/>
      </c>
      <c r="BB1108" s="418" t="str">
        <f t="shared" si="1666"/>
        <v/>
      </c>
      <c r="BC1108" s="418" t="str">
        <f t="shared" si="1666"/>
        <v/>
      </c>
      <c r="BD1108" s="418" t="str">
        <f t="shared" si="1666"/>
        <v/>
      </c>
      <c r="BE1108" s="418" t="str">
        <f t="shared" si="1666"/>
        <v/>
      </c>
      <c r="BF1108" s="418" t="str">
        <f t="shared" si="1666"/>
        <v/>
      </c>
      <c r="BG1108" s="418" t="str">
        <f t="shared" si="1666"/>
        <v/>
      </c>
      <c r="BH1108" s="418" t="str">
        <f t="shared" si="1666"/>
        <v/>
      </c>
      <c r="BI1108" s="418" t="str">
        <f t="shared" si="1666"/>
        <v/>
      </c>
      <c r="BJ1108" s="418" t="str">
        <f t="shared" si="1666"/>
        <v/>
      </c>
      <c r="BK1108" s="418" t="str">
        <f t="shared" si="1666"/>
        <v/>
      </c>
      <c r="BL1108" s="418" t="str">
        <f t="shared" si="1666"/>
        <v/>
      </c>
      <c r="BM1108" s="418" t="str">
        <f t="shared" si="1666"/>
        <v/>
      </c>
      <c r="BN1108" s="418" t="str">
        <f t="shared" si="1666"/>
        <v/>
      </c>
      <c r="BO1108" s="418" t="str">
        <f t="shared" si="1666"/>
        <v/>
      </c>
      <c r="BP1108" s="418" t="str">
        <f t="shared" si="1666"/>
        <v/>
      </c>
      <c r="BQ1108" s="418" t="str">
        <f t="shared" si="1643"/>
        <v/>
      </c>
      <c r="BR1108" s="418" t="str">
        <f t="shared" si="1644"/>
        <v/>
      </c>
      <c r="BS1108" s="418" t="str">
        <f t="shared" si="1645"/>
        <v/>
      </c>
      <c r="BT1108" s="418" t="str">
        <f t="shared" si="1659"/>
        <v/>
      </c>
      <c r="BU1108" s="418" t="str">
        <f t="shared" si="1660"/>
        <v/>
      </c>
      <c r="BV1108" s="624">
        <v>0.77</v>
      </c>
      <c r="BW1108" s="723">
        <f t="shared" si="1661"/>
        <v>2310</v>
      </c>
      <c r="BX1108" s="724">
        <f t="shared" si="1662"/>
        <v>17902.5</v>
      </c>
      <c r="BY1108" s="725" t="str">
        <f t="shared" si="1663"/>
        <v>SR</v>
      </c>
    </row>
    <row r="1109" s="697" customFormat="1" customHeight="1" spans="1:77">
      <c r="A1109" s="362">
        <v>46196</v>
      </c>
      <c r="B1109" s="362">
        <v>46260</v>
      </c>
      <c r="C1109" s="431" t="s">
        <v>987</v>
      </c>
      <c r="D1109" s="431" t="s">
        <v>988</v>
      </c>
      <c r="E1109" s="129" t="s">
        <v>194</v>
      </c>
      <c r="F1109" s="96">
        <v>1380</v>
      </c>
      <c r="G1109" s="129" t="s">
        <v>510</v>
      </c>
      <c r="H1109" s="118" t="str">
        <f>IFERROR(VLOOKUP(E1109,名称!A:E,4,0),"")</f>
        <v>三代</v>
      </c>
      <c r="I1109" s="418" t="str">
        <f t="shared" ref="I1109:BR1109" si="1667">IF(OR($E1109="",I$1=""),"",IF(TRIM(LEFT($E1109,MIN(IFERROR(FIND("CDU",UPPER($E1109)),999),IFERROR(FIND("BULK",UPPER($E1109)),999),IFERROR(FIND("-",$E1109),999),IFERROR(FIND("（",$E1109),999))-1))=I$1,$F1109,""))</f>
        <v/>
      </c>
      <c r="J1109" s="418" t="str">
        <f t="shared" si="1667"/>
        <v/>
      </c>
      <c r="K1109" s="418" t="str">
        <f t="shared" si="1667"/>
        <v/>
      </c>
      <c r="L1109" s="418" t="str">
        <f t="shared" si="1667"/>
        <v/>
      </c>
      <c r="M1109" s="418" t="str">
        <f t="shared" si="1667"/>
        <v/>
      </c>
      <c r="N1109" s="418" t="str">
        <f t="shared" si="1667"/>
        <v/>
      </c>
      <c r="O1109" s="418" t="str">
        <f t="shared" si="1667"/>
        <v/>
      </c>
      <c r="P1109" s="418" t="str">
        <f t="shared" si="1667"/>
        <v/>
      </c>
      <c r="Q1109" s="418" t="str">
        <f t="shared" si="1667"/>
        <v/>
      </c>
      <c r="R1109" s="418" t="str">
        <f t="shared" si="1667"/>
        <v/>
      </c>
      <c r="S1109" s="418" t="str">
        <f t="shared" si="1667"/>
        <v/>
      </c>
      <c r="T1109" s="418" t="str">
        <f t="shared" si="1667"/>
        <v/>
      </c>
      <c r="U1109" s="418" t="str">
        <f t="shared" si="1667"/>
        <v/>
      </c>
      <c r="V1109" s="418" t="str">
        <f t="shared" si="1667"/>
        <v/>
      </c>
      <c r="W1109" s="418" t="str">
        <f t="shared" si="1667"/>
        <v/>
      </c>
      <c r="X1109" s="418" t="str">
        <f t="shared" si="1667"/>
        <v/>
      </c>
      <c r="Y1109" s="418" t="str">
        <f t="shared" si="1667"/>
        <v/>
      </c>
      <c r="Z1109" s="418" t="str">
        <f t="shared" si="1667"/>
        <v/>
      </c>
      <c r="AA1109" s="418" t="str">
        <f t="shared" si="1667"/>
        <v/>
      </c>
      <c r="AB1109" s="418" t="str">
        <f t="shared" si="1667"/>
        <v/>
      </c>
      <c r="AC1109" s="418">
        <f t="shared" si="1667"/>
        <v>1380</v>
      </c>
      <c r="AD1109" s="418" t="str">
        <f t="shared" si="1667"/>
        <v/>
      </c>
      <c r="AE1109" s="418" t="str">
        <f t="shared" si="1667"/>
        <v/>
      </c>
      <c r="AF1109" s="418" t="str">
        <f t="shared" si="1667"/>
        <v/>
      </c>
      <c r="AG1109" s="418" t="str">
        <f t="shared" si="1667"/>
        <v/>
      </c>
      <c r="AH1109" s="418" t="str">
        <f t="shared" si="1667"/>
        <v/>
      </c>
      <c r="AI1109" s="418" t="str">
        <f t="shared" si="1667"/>
        <v/>
      </c>
      <c r="AJ1109" s="418" t="str">
        <f t="shared" si="1667"/>
        <v/>
      </c>
      <c r="AK1109" s="418" t="str">
        <f t="shared" si="1667"/>
        <v/>
      </c>
      <c r="AL1109" s="418" t="str">
        <f t="shared" si="1667"/>
        <v/>
      </c>
      <c r="AM1109" s="418" t="str">
        <f t="shared" si="1667"/>
        <v/>
      </c>
      <c r="AN1109" s="418" t="str">
        <f t="shared" si="1667"/>
        <v/>
      </c>
      <c r="AO1109" s="418" t="str">
        <f t="shared" si="1667"/>
        <v/>
      </c>
      <c r="AP1109" s="418" t="str">
        <f t="shared" si="1667"/>
        <v/>
      </c>
      <c r="AQ1109" s="418" t="str">
        <f t="shared" si="1667"/>
        <v/>
      </c>
      <c r="AR1109" s="418" t="str">
        <f t="shared" si="1667"/>
        <v/>
      </c>
      <c r="AS1109" s="418" t="str">
        <f t="shared" si="1667"/>
        <v/>
      </c>
      <c r="AT1109" s="418" t="str">
        <f t="shared" si="1667"/>
        <v/>
      </c>
      <c r="AU1109" s="418" t="str">
        <f t="shared" si="1667"/>
        <v/>
      </c>
      <c r="AV1109" s="418" t="str">
        <f t="shared" si="1667"/>
        <v/>
      </c>
      <c r="AW1109" s="418" t="str">
        <f t="shared" si="1667"/>
        <v/>
      </c>
      <c r="AX1109" s="418" t="str">
        <f t="shared" si="1667"/>
        <v/>
      </c>
      <c r="AY1109" s="418" t="str">
        <f t="shared" si="1667"/>
        <v/>
      </c>
      <c r="AZ1109" s="418" t="str">
        <f t="shared" si="1667"/>
        <v/>
      </c>
      <c r="BA1109" s="418" t="str">
        <f t="shared" si="1667"/>
        <v/>
      </c>
      <c r="BB1109" s="418" t="str">
        <f t="shared" si="1667"/>
        <v/>
      </c>
      <c r="BC1109" s="418" t="str">
        <f t="shared" si="1667"/>
        <v/>
      </c>
      <c r="BD1109" s="418" t="str">
        <f t="shared" si="1667"/>
        <v/>
      </c>
      <c r="BE1109" s="418" t="str">
        <f t="shared" si="1667"/>
        <v/>
      </c>
      <c r="BF1109" s="418" t="str">
        <f t="shared" si="1667"/>
        <v/>
      </c>
      <c r="BG1109" s="418" t="str">
        <f t="shared" si="1667"/>
        <v/>
      </c>
      <c r="BH1109" s="418" t="str">
        <f t="shared" si="1667"/>
        <v/>
      </c>
      <c r="BI1109" s="418" t="str">
        <f t="shared" si="1667"/>
        <v/>
      </c>
      <c r="BJ1109" s="418" t="str">
        <f t="shared" si="1667"/>
        <v/>
      </c>
      <c r="BK1109" s="418" t="str">
        <f t="shared" si="1667"/>
        <v/>
      </c>
      <c r="BL1109" s="418" t="str">
        <f t="shared" si="1667"/>
        <v/>
      </c>
      <c r="BM1109" s="418" t="str">
        <f t="shared" si="1667"/>
        <v/>
      </c>
      <c r="BN1109" s="418" t="str">
        <f t="shared" si="1667"/>
        <v/>
      </c>
      <c r="BO1109" s="418" t="str">
        <f t="shared" si="1667"/>
        <v/>
      </c>
      <c r="BP1109" s="418" t="str">
        <f t="shared" si="1667"/>
        <v/>
      </c>
      <c r="BQ1109" s="418" t="str">
        <f t="shared" si="1643"/>
        <v/>
      </c>
      <c r="BR1109" s="418" t="str">
        <f t="shared" si="1644"/>
        <v/>
      </c>
      <c r="BS1109" s="418" t="str">
        <f t="shared" si="1645"/>
        <v/>
      </c>
      <c r="BT1109" s="418" t="str">
        <f t="shared" si="1659"/>
        <v/>
      </c>
      <c r="BU1109" s="418" t="str">
        <f t="shared" si="1660"/>
        <v/>
      </c>
      <c r="BV1109" s="624">
        <v>0.77</v>
      </c>
      <c r="BW1109" s="723">
        <f t="shared" si="1661"/>
        <v>1062.6</v>
      </c>
      <c r="BX1109" s="724">
        <f t="shared" si="1662"/>
        <v>8235.15</v>
      </c>
      <c r="BY1109" s="725" t="str">
        <f t="shared" si="1663"/>
        <v>SR</v>
      </c>
    </row>
    <row r="1110" s="697" customFormat="1" customHeight="1" spans="1:77">
      <c r="A1110" s="362">
        <v>46196</v>
      </c>
      <c r="B1110" s="362">
        <v>46260</v>
      </c>
      <c r="C1110" s="431" t="s">
        <v>987</v>
      </c>
      <c r="D1110" s="431" t="s">
        <v>988</v>
      </c>
      <c r="E1110" s="129" t="s">
        <v>195</v>
      </c>
      <c r="F1110" s="96">
        <v>3060</v>
      </c>
      <c r="G1110" s="129" t="s">
        <v>510</v>
      </c>
      <c r="H1110" s="118" t="str">
        <f>IFERROR(VLOOKUP(E1110,名称!A:E,4,0),"")</f>
        <v>三代</v>
      </c>
      <c r="I1110" s="418" t="str">
        <f t="shared" ref="I1110:BR1110" si="1668">IF(OR($E1110="",I$1=""),"",IF(TRIM(LEFT($E1110,MIN(IFERROR(FIND("CDU",UPPER($E1110)),999),IFERROR(FIND("BULK",UPPER($E1110)),999),IFERROR(FIND("-",$E1110),999),IFERROR(FIND("（",$E1110),999))-1))=I$1,$F1110,""))</f>
        <v/>
      </c>
      <c r="J1110" s="418" t="str">
        <f t="shared" si="1668"/>
        <v/>
      </c>
      <c r="K1110" s="418" t="str">
        <f t="shared" si="1668"/>
        <v/>
      </c>
      <c r="L1110" s="418" t="str">
        <f t="shared" si="1668"/>
        <v/>
      </c>
      <c r="M1110" s="418" t="str">
        <f t="shared" si="1668"/>
        <v/>
      </c>
      <c r="N1110" s="418" t="str">
        <f t="shared" si="1668"/>
        <v/>
      </c>
      <c r="O1110" s="418" t="str">
        <f t="shared" si="1668"/>
        <v/>
      </c>
      <c r="P1110" s="418" t="str">
        <f t="shared" si="1668"/>
        <v/>
      </c>
      <c r="Q1110" s="418" t="str">
        <f t="shared" si="1668"/>
        <v/>
      </c>
      <c r="R1110" s="418" t="str">
        <f t="shared" si="1668"/>
        <v/>
      </c>
      <c r="S1110" s="418" t="str">
        <f t="shared" si="1668"/>
        <v/>
      </c>
      <c r="T1110" s="418" t="str">
        <f t="shared" si="1668"/>
        <v/>
      </c>
      <c r="U1110" s="418" t="str">
        <f t="shared" si="1668"/>
        <v/>
      </c>
      <c r="V1110" s="418" t="str">
        <f t="shared" si="1668"/>
        <v/>
      </c>
      <c r="W1110" s="418" t="str">
        <f t="shared" si="1668"/>
        <v/>
      </c>
      <c r="X1110" s="418" t="str">
        <f t="shared" si="1668"/>
        <v/>
      </c>
      <c r="Y1110" s="418" t="str">
        <f t="shared" si="1668"/>
        <v/>
      </c>
      <c r="Z1110" s="418" t="str">
        <f t="shared" si="1668"/>
        <v/>
      </c>
      <c r="AA1110" s="418" t="str">
        <f t="shared" si="1668"/>
        <v/>
      </c>
      <c r="AB1110" s="418" t="str">
        <f t="shared" si="1668"/>
        <v/>
      </c>
      <c r="AC1110" s="418">
        <f t="shared" si="1668"/>
        <v>3060</v>
      </c>
      <c r="AD1110" s="418" t="str">
        <f t="shared" si="1668"/>
        <v/>
      </c>
      <c r="AE1110" s="418" t="str">
        <f t="shared" si="1668"/>
        <v/>
      </c>
      <c r="AF1110" s="418" t="str">
        <f t="shared" si="1668"/>
        <v/>
      </c>
      <c r="AG1110" s="418" t="str">
        <f t="shared" si="1668"/>
        <v/>
      </c>
      <c r="AH1110" s="418" t="str">
        <f t="shared" si="1668"/>
        <v/>
      </c>
      <c r="AI1110" s="418" t="str">
        <f t="shared" si="1668"/>
        <v/>
      </c>
      <c r="AJ1110" s="418" t="str">
        <f t="shared" si="1668"/>
        <v/>
      </c>
      <c r="AK1110" s="418" t="str">
        <f t="shared" si="1668"/>
        <v/>
      </c>
      <c r="AL1110" s="418" t="str">
        <f t="shared" si="1668"/>
        <v/>
      </c>
      <c r="AM1110" s="418" t="str">
        <f t="shared" si="1668"/>
        <v/>
      </c>
      <c r="AN1110" s="418" t="str">
        <f t="shared" si="1668"/>
        <v/>
      </c>
      <c r="AO1110" s="418" t="str">
        <f t="shared" si="1668"/>
        <v/>
      </c>
      <c r="AP1110" s="418" t="str">
        <f t="shared" si="1668"/>
        <v/>
      </c>
      <c r="AQ1110" s="418" t="str">
        <f t="shared" si="1668"/>
        <v/>
      </c>
      <c r="AR1110" s="418" t="str">
        <f t="shared" si="1668"/>
        <v/>
      </c>
      <c r="AS1110" s="418" t="str">
        <f t="shared" si="1668"/>
        <v/>
      </c>
      <c r="AT1110" s="418" t="str">
        <f t="shared" si="1668"/>
        <v/>
      </c>
      <c r="AU1110" s="418" t="str">
        <f t="shared" si="1668"/>
        <v/>
      </c>
      <c r="AV1110" s="418" t="str">
        <f t="shared" si="1668"/>
        <v/>
      </c>
      <c r="AW1110" s="418" t="str">
        <f t="shared" si="1668"/>
        <v/>
      </c>
      <c r="AX1110" s="418" t="str">
        <f t="shared" si="1668"/>
        <v/>
      </c>
      <c r="AY1110" s="418" t="str">
        <f t="shared" si="1668"/>
        <v/>
      </c>
      <c r="AZ1110" s="418" t="str">
        <f t="shared" si="1668"/>
        <v/>
      </c>
      <c r="BA1110" s="418" t="str">
        <f t="shared" si="1668"/>
        <v/>
      </c>
      <c r="BB1110" s="418" t="str">
        <f t="shared" si="1668"/>
        <v/>
      </c>
      <c r="BC1110" s="418" t="str">
        <f t="shared" si="1668"/>
        <v/>
      </c>
      <c r="BD1110" s="418" t="str">
        <f t="shared" si="1668"/>
        <v/>
      </c>
      <c r="BE1110" s="418" t="str">
        <f t="shared" si="1668"/>
        <v/>
      </c>
      <c r="BF1110" s="418" t="str">
        <f t="shared" si="1668"/>
        <v/>
      </c>
      <c r="BG1110" s="418" t="str">
        <f t="shared" si="1668"/>
        <v/>
      </c>
      <c r="BH1110" s="418" t="str">
        <f t="shared" si="1668"/>
        <v/>
      </c>
      <c r="BI1110" s="418" t="str">
        <f t="shared" si="1668"/>
        <v/>
      </c>
      <c r="BJ1110" s="418" t="str">
        <f t="shared" si="1668"/>
        <v/>
      </c>
      <c r="BK1110" s="418" t="str">
        <f t="shared" si="1668"/>
        <v/>
      </c>
      <c r="BL1110" s="418" t="str">
        <f t="shared" si="1668"/>
        <v/>
      </c>
      <c r="BM1110" s="418" t="str">
        <f t="shared" si="1668"/>
        <v/>
      </c>
      <c r="BN1110" s="418" t="str">
        <f t="shared" si="1668"/>
        <v/>
      </c>
      <c r="BO1110" s="418" t="str">
        <f t="shared" si="1668"/>
        <v/>
      </c>
      <c r="BP1110" s="418" t="str">
        <f t="shared" si="1668"/>
        <v/>
      </c>
      <c r="BQ1110" s="418" t="str">
        <f t="shared" si="1643"/>
        <v/>
      </c>
      <c r="BR1110" s="418" t="str">
        <f t="shared" si="1644"/>
        <v/>
      </c>
      <c r="BS1110" s="418" t="str">
        <f t="shared" si="1645"/>
        <v/>
      </c>
      <c r="BT1110" s="418" t="str">
        <f t="shared" si="1659"/>
        <v/>
      </c>
      <c r="BU1110" s="418" t="str">
        <f t="shared" si="1660"/>
        <v/>
      </c>
      <c r="BV1110" s="624">
        <v>0.77</v>
      </c>
      <c r="BW1110" s="723">
        <f t="shared" si="1661"/>
        <v>2356.2</v>
      </c>
      <c r="BX1110" s="724">
        <f t="shared" si="1662"/>
        <v>18260.55</v>
      </c>
      <c r="BY1110" s="725" t="str">
        <f t="shared" si="1663"/>
        <v>SR</v>
      </c>
    </row>
    <row r="1111" s="697" customFormat="1" customHeight="1" spans="1:77">
      <c r="A1111" s="362">
        <v>46196</v>
      </c>
      <c r="B1111" s="362">
        <v>46260</v>
      </c>
      <c r="C1111" s="431" t="s">
        <v>987</v>
      </c>
      <c r="D1111" s="431" t="s">
        <v>988</v>
      </c>
      <c r="E1111" s="129" t="s">
        <v>196</v>
      </c>
      <c r="F1111" s="96">
        <v>2904</v>
      </c>
      <c r="G1111" s="129" t="s">
        <v>510</v>
      </c>
      <c r="H1111" s="118" t="str">
        <f>IFERROR(VLOOKUP(E1111,名称!A:E,4,0),"")</f>
        <v>三代</v>
      </c>
      <c r="I1111" s="418" t="str">
        <f t="shared" ref="I1111:BR1111" si="1669">IF(OR($E1111="",I$1=""),"",IF(TRIM(LEFT($E1111,MIN(IFERROR(FIND("CDU",UPPER($E1111)),999),IFERROR(FIND("BULK",UPPER($E1111)),999),IFERROR(FIND("-",$E1111),999),IFERROR(FIND("（",$E1111),999))-1))=I$1,$F1111,""))</f>
        <v/>
      </c>
      <c r="J1111" s="418" t="str">
        <f t="shared" si="1669"/>
        <v/>
      </c>
      <c r="K1111" s="418" t="str">
        <f t="shared" si="1669"/>
        <v/>
      </c>
      <c r="L1111" s="418" t="str">
        <f t="shared" si="1669"/>
        <v/>
      </c>
      <c r="M1111" s="418" t="str">
        <f t="shared" si="1669"/>
        <v/>
      </c>
      <c r="N1111" s="418" t="str">
        <f t="shared" si="1669"/>
        <v/>
      </c>
      <c r="O1111" s="418" t="str">
        <f t="shared" si="1669"/>
        <v/>
      </c>
      <c r="P1111" s="418" t="str">
        <f t="shared" si="1669"/>
        <v/>
      </c>
      <c r="Q1111" s="418" t="str">
        <f t="shared" si="1669"/>
        <v/>
      </c>
      <c r="R1111" s="418" t="str">
        <f t="shared" si="1669"/>
        <v/>
      </c>
      <c r="S1111" s="418" t="str">
        <f t="shared" si="1669"/>
        <v/>
      </c>
      <c r="T1111" s="418" t="str">
        <f t="shared" si="1669"/>
        <v/>
      </c>
      <c r="U1111" s="418" t="str">
        <f t="shared" si="1669"/>
        <v/>
      </c>
      <c r="V1111" s="418" t="str">
        <f t="shared" si="1669"/>
        <v/>
      </c>
      <c r="W1111" s="418" t="str">
        <f t="shared" si="1669"/>
        <v/>
      </c>
      <c r="X1111" s="418" t="str">
        <f t="shared" si="1669"/>
        <v/>
      </c>
      <c r="Y1111" s="418" t="str">
        <f t="shared" si="1669"/>
        <v/>
      </c>
      <c r="Z1111" s="418" t="str">
        <f t="shared" si="1669"/>
        <v/>
      </c>
      <c r="AA1111" s="418" t="str">
        <f t="shared" si="1669"/>
        <v/>
      </c>
      <c r="AB1111" s="418" t="str">
        <f t="shared" si="1669"/>
        <v/>
      </c>
      <c r="AC1111" s="418">
        <f t="shared" si="1669"/>
        <v>2904</v>
      </c>
      <c r="AD1111" s="418" t="str">
        <f t="shared" si="1669"/>
        <v/>
      </c>
      <c r="AE1111" s="418" t="str">
        <f t="shared" si="1669"/>
        <v/>
      </c>
      <c r="AF1111" s="418" t="str">
        <f t="shared" si="1669"/>
        <v/>
      </c>
      <c r="AG1111" s="418" t="str">
        <f t="shared" si="1669"/>
        <v/>
      </c>
      <c r="AH1111" s="418" t="str">
        <f t="shared" si="1669"/>
        <v/>
      </c>
      <c r="AI1111" s="418" t="str">
        <f t="shared" si="1669"/>
        <v/>
      </c>
      <c r="AJ1111" s="418" t="str">
        <f t="shared" si="1669"/>
        <v/>
      </c>
      <c r="AK1111" s="418" t="str">
        <f t="shared" si="1669"/>
        <v/>
      </c>
      <c r="AL1111" s="418" t="str">
        <f t="shared" si="1669"/>
        <v/>
      </c>
      <c r="AM1111" s="418" t="str">
        <f t="shared" si="1669"/>
        <v/>
      </c>
      <c r="AN1111" s="418" t="str">
        <f t="shared" si="1669"/>
        <v/>
      </c>
      <c r="AO1111" s="418" t="str">
        <f t="shared" si="1669"/>
        <v/>
      </c>
      <c r="AP1111" s="418" t="str">
        <f t="shared" si="1669"/>
        <v/>
      </c>
      <c r="AQ1111" s="418" t="str">
        <f t="shared" si="1669"/>
        <v/>
      </c>
      <c r="AR1111" s="418" t="str">
        <f t="shared" si="1669"/>
        <v/>
      </c>
      <c r="AS1111" s="418" t="str">
        <f t="shared" si="1669"/>
        <v/>
      </c>
      <c r="AT1111" s="418" t="str">
        <f t="shared" si="1669"/>
        <v/>
      </c>
      <c r="AU1111" s="418" t="str">
        <f t="shared" si="1669"/>
        <v/>
      </c>
      <c r="AV1111" s="418" t="str">
        <f t="shared" si="1669"/>
        <v/>
      </c>
      <c r="AW1111" s="418" t="str">
        <f t="shared" si="1669"/>
        <v/>
      </c>
      <c r="AX1111" s="418" t="str">
        <f t="shared" si="1669"/>
        <v/>
      </c>
      <c r="AY1111" s="418" t="str">
        <f t="shared" si="1669"/>
        <v/>
      </c>
      <c r="AZ1111" s="418" t="str">
        <f t="shared" si="1669"/>
        <v/>
      </c>
      <c r="BA1111" s="418" t="str">
        <f t="shared" si="1669"/>
        <v/>
      </c>
      <c r="BB1111" s="418" t="str">
        <f t="shared" si="1669"/>
        <v/>
      </c>
      <c r="BC1111" s="418" t="str">
        <f t="shared" si="1669"/>
        <v/>
      </c>
      <c r="BD1111" s="418" t="str">
        <f t="shared" si="1669"/>
        <v/>
      </c>
      <c r="BE1111" s="418" t="str">
        <f t="shared" si="1669"/>
        <v/>
      </c>
      <c r="BF1111" s="418" t="str">
        <f t="shared" si="1669"/>
        <v/>
      </c>
      <c r="BG1111" s="418" t="str">
        <f t="shared" si="1669"/>
        <v/>
      </c>
      <c r="BH1111" s="418" t="str">
        <f t="shared" si="1669"/>
        <v/>
      </c>
      <c r="BI1111" s="418" t="str">
        <f t="shared" si="1669"/>
        <v/>
      </c>
      <c r="BJ1111" s="418" t="str">
        <f t="shared" si="1669"/>
        <v/>
      </c>
      <c r="BK1111" s="418" t="str">
        <f t="shared" si="1669"/>
        <v/>
      </c>
      <c r="BL1111" s="418" t="str">
        <f t="shared" si="1669"/>
        <v/>
      </c>
      <c r="BM1111" s="418" t="str">
        <f t="shared" si="1669"/>
        <v/>
      </c>
      <c r="BN1111" s="418" t="str">
        <f t="shared" si="1669"/>
        <v/>
      </c>
      <c r="BO1111" s="418" t="str">
        <f t="shared" si="1669"/>
        <v/>
      </c>
      <c r="BP1111" s="418" t="str">
        <f t="shared" si="1669"/>
        <v/>
      </c>
      <c r="BQ1111" s="418" t="str">
        <f t="shared" si="1643"/>
        <v/>
      </c>
      <c r="BR1111" s="418" t="str">
        <f t="shared" si="1644"/>
        <v/>
      </c>
      <c r="BS1111" s="418" t="str">
        <f t="shared" si="1645"/>
        <v/>
      </c>
      <c r="BT1111" s="418" t="str">
        <f t="shared" si="1659"/>
        <v/>
      </c>
      <c r="BU1111" s="418" t="str">
        <f t="shared" si="1660"/>
        <v/>
      </c>
      <c r="BV1111" s="624">
        <v>0.77</v>
      </c>
      <c r="BW1111" s="723">
        <f t="shared" si="1661"/>
        <v>2236.08</v>
      </c>
      <c r="BX1111" s="724">
        <f t="shared" si="1662"/>
        <v>17329.62</v>
      </c>
      <c r="BY1111" s="725" t="str">
        <f t="shared" si="1663"/>
        <v>SR</v>
      </c>
    </row>
    <row r="1112" s="697" customFormat="1" customHeight="1" spans="1:77">
      <c r="A1112" s="362">
        <v>46196</v>
      </c>
      <c r="B1112" s="362">
        <v>46260</v>
      </c>
      <c r="C1112" s="431" t="s">
        <v>987</v>
      </c>
      <c r="D1112" s="431" t="s">
        <v>988</v>
      </c>
      <c r="E1112" s="129" t="s">
        <v>185</v>
      </c>
      <c r="F1112" s="96">
        <v>804</v>
      </c>
      <c r="G1112" s="129" t="s">
        <v>510</v>
      </c>
      <c r="H1112" s="118" t="str">
        <f>IFERROR(VLOOKUP(E1112,名称!A:E,4,0),"")</f>
        <v>三代</v>
      </c>
      <c r="I1112" s="418" t="str">
        <f t="shared" ref="I1112:I1126" si="1670">IF(OR($E1112="",I$1=""),"",IF(TRIM(LEFT($E1112,MIN(IFERROR(FIND("CDU",UPPER($E1112)),999),IFERROR(FIND("BULK",UPPER($E1112)),999),IFERROR(FIND("-",$E1112),999),IFERROR(FIND("（",$E1112),999))-1))=I$1,$F1112,""))</f>
        <v/>
      </c>
      <c r="J1112" s="418" t="str">
        <f t="shared" ref="J1112:J1126" si="1671">IF(OR($E1112="",J$1=""),"",IF(TRIM(LEFT($E1112,MIN(IFERROR(FIND("CDU",UPPER($E1112)),999),IFERROR(FIND("BULK",UPPER($E1112)),999),IFERROR(FIND("-",$E1112),999),IFERROR(FIND("（",$E1112),999))-1))=J$1,$F1112,""))</f>
        <v/>
      </c>
      <c r="K1112" s="418" t="str">
        <f t="shared" ref="K1112:K1126" si="1672">IF(OR($E1112="",K$1=""),"",IF(TRIM(LEFT($E1112,MIN(IFERROR(FIND("CDU",UPPER($E1112)),999),IFERROR(FIND("BULK",UPPER($E1112)),999),IFERROR(FIND("-",$E1112),999),IFERROR(FIND("（",$E1112),999))-1))=K$1,$F1112,""))</f>
        <v/>
      </c>
      <c r="L1112" s="418" t="str">
        <f t="shared" ref="L1112:L1126" si="1673">IF(OR($E1112="",L$1=""),"",IF(TRIM(LEFT($E1112,MIN(IFERROR(FIND("CDU",UPPER($E1112)),999),IFERROR(FIND("BULK",UPPER($E1112)),999),IFERROR(FIND("-",$E1112),999),IFERROR(FIND("（",$E1112),999))-1))=L$1,$F1112,""))</f>
        <v/>
      </c>
      <c r="M1112" s="418" t="str">
        <f t="shared" ref="M1112:M1126" si="1674">IF(OR($E1112="",M$1=""),"",IF(TRIM(LEFT($E1112,MIN(IFERROR(FIND("CDU",UPPER($E1112)),999),IFERROR(FIND("BULK",UPPER($E1112)),999),IFERROR(FIND("-",$E1112),999),IFERROR(FIND("（",$E1112),999))-1))=M$1,$F1112,""))</f>
        <v/>
      </c>
      <c r="N1112" s="418" t="str">
        <f t="shared" ref="N1112:N1126" si="1675">IF(OR($E1112="",N$1=""),"",IF(TRIM(LEFT($E1112,MIN(IFERROR(FIND("CDU",UPPER($E1112)),999),IFERROR(FIND("BULK",UPPER($E1112)),999),IFERROR(FIND("-",$E1112),999),IFERROR(FIND("（",$E1112),999))-1))=N$1,$F1112,""))</f>
        <v/>
      </c>
      <c r="O1112" s="418" t="str">
        <f t="shared" ref="O1112:O1126" si="1676">IF(OR($E1112="",O$1=""),"",IF(TRIM(LEFT($E1112,MIN(IFERROR(FIND("CDU",UPPER($E1112)),999),IFERROR(FIND("BULK",UPPER($E1112)),999),IFERROR(FIND("-",$E1112),999),IFERROR(FIND("（",$E1112),999))-1))=O$1,$F1112,""))</f>
        <v/>
      </c>
      <c r="P1112" s="418" t="str">
        <f t="shared" ref="P1112:P1126" si="1677">IF(OR($E1112="",P$1=""),"",IF(TRIM(LEFT($E1112,MIN(IFERROR(FIND("CDU",UPPER($E1112)),999),IFERROR(FIND("BULK",UPPER($E1112)),999),IFERROR(FIND("-",$E1112),999),IFERROR(FIND("（",$E1112),999))-1))=P$1,$F1112,""))</f>
        <v/>
      </c>
      <c r="Q1112" s="418" t="str">
        <f t="shared" ref="Q1112:Q1126" si="1678">IF(OR($E1112="",Q$1=""),"",IF(TRIM(LEFT($E1112,MIN(IFERROR(FIND("CDU",UPPER($E1112)),999),IFERROR(FIND("BULK",UPPER($E1112)),999),IFERROR(FIND("-",$E1112),999),IFERROR(FIND("（",$E1112),999))-1))=Q$1,$F1112,""))</f>
        <v/>
      </c>
      <c r="R1112" s="418" t="str">
        <f t="shared" ref="R1112:R1126" si="1679">IF(OR($E1112="",R$1=""),"",IF(TRIM(LEFT($E1112,MIN(IFERROR(FIND("CDU",UPPER($E1112)),999),IFERROR(FIND("BULK",UPPER($E1112)),999),IFERROR(FIND("-",$E1112),999),IFERROR(FIND("（",$E1112),999))-1))=R$1,$F1112,""))</f>
        <v/>
      </c>
      <c r="S1112" s="418" t="str">
        <f t="shared" ref="S1112:S1126" si="1680">IF(OR($E1112="",S$1=""),"",IF(TRIM(LEFT($E1112,MIN(IFERROR(FIND("CDU",UPPER($E1112)),999),IFERROR(FIND("BULK",UPPER($E1112)),999),IFERROR(FIND("-",$E1112),999),IFERROR(FIND("（",$E1112),999))-1))=S$1,$F1112,""))</f>
        <v/>
      </c>
      <c r="T1112" s="418" t="str">
        <f t="shared" ref="T1112:T1126" si="1681">IF(OR($E1112="",T$1=""),"",IF(TRIM(LEFT($E1112,MIN(IFERROR(FIND("CDU",UPPER($E1112)),999),IFERROR(FIND("BULK",UPPER($E1112)),999),IFERROR(FIND("-",$E1112),999),IFERROR(FIND("（",$E1112),999))-1))=T$1,$F1112,""))</f>
        <v/>
      </c>
      <c r="U1112" s="418" t="str">
        <f t="shared" ref="U1112:U1126" si="1682">IF(OR($E1112="",U$1=""),"",IF(TRIM(LEFT($E1112,MIN(IFERROR(FIND("CDU",UPPER($E1112)),999),IFERROR(FIND("BULK",UPPER($E1112)),999),IFERROR(FIND("-",$E1112),999),IFERROR(FIND("（",$E1112),999))-1))=U$1,$F1112,""))</f>
        <v/>
      </c>
      <c r="V1112" s="418" t="str">
        <f t="shared" ref="V1112:V1126" si="1683">IF(OR($E1112="",V$1=""),"",IF(TRIM(LEFT($E1112,MIN(IFERROR(FIND("CDU",UPPER($E1112)),999),IFERROR(FIND("BULK",UPPER($E1112)),999),IFERROR(FIND("-",$E1112),999),IFERROR(FIND("（",$E1112),999))-1))=V$1,$F1112,""))</f>
        <v/>
      </c>
      <c r="W1112" s="418" t="str">
        <f t="shared" ref="W1112:W1126" si="1684">IF(OR($E1112="",W$1=""),"",IF(TRIM(LEFT($E1112,MIN(IFERROR(FIND("CDU",UPPER($E1112)),999),IFERROR(FIND("BULK",UPPER($E1112)),999),IFERROR(FIND("-",$E1112),999),IFERROR(FIND("（",$E1112),999))-1))=W$1,$F1112,""))</f>
        <v/>
      </c>
      <c r="X1112" s="418" t="str">
        <f t="shared" ref="X1112:X1126" si="1685">IF(OR($E1112="",X$1=""),"",IF(TRIM(LEFT($E1112,MIN(IFERROR(FIND("CDU",UPPER($E1112)),999),IFERROR(FIND("BULK",UPPER($E1112)),999),IFERROR(FIND("-",$E1112),999),IFERROR(FIND("（",$E1112),999))-1))=X$1,$F1112,""))</f>
        <v/>
      </c>
      <c r="Y1112" s="418" t="str">
        <f t="shared" ref="Y1112:Y1126" si="1686">IF(OR($E1112="",Y$1=""),"",IF(TRIM(LEFT($E1112,MIN(IFERROR(FIND("CDU",UPPER($E1112)),999),IFERROR(FIND("BULK",UPPER($E1112)),999),IFERROR(FIND("-",$E1112),999),IFERROR(FIND("（",$E1112),999))-1))=Y$1,$F1112,""))</f>
        <v/>
      </c>
      <c r="Z1112" s="418" t="str">
        <f t="shared" ref="Z1112:Z1126" si="1687">IF(OR($E1112="",Z$1=""),"",IF(TRIM(LEFT($E1112,MIN(IFERROR(FIND("CDU",UPPER($E1112)),999),IFERROR(FIND("BULK",UPPER($E1112)),999),IFERROR(FIND("-",$E1112),999),IFERROR(FIND("（",$E1112),999))-1))=Z$1,$F1112,""))</f>
        <v/>
      </c>
      <c r="AA1112" s="418" t="str">
        <f t="shared" ref="AA1112:AA1126" si="1688">IF(OR($E1112="",AA$1=""),"",IF(TRIM(LEFT($E1112,MIN(IFERROR(FIND("CDU",UPPER($E1112)),999),IFERROR(FIND("BULK",UPPER($E1112)),999),IFERROR(FIND("-",$E1112),999),IFERROR(FIND("（",$E1112),999))-1))=AA$1,$F1112,""))</f>
        <v/>
      </c>
      <c r="AB1112" s="418" t="str">
        <f t="shared" ref="AB1112:AB1126" si="1689">IF(OR($E1112="",AB$1=""),"",IF(TRIM(LEFT($E1112,MIN(IFERROR(FIND("CDU",UPPER($E1112)),999),IFERROR(FIND("BULK",UPPER($E1112)),999),IFERROR(FIND("-",$E1112),999),IFERROR(FIND("（",$E1112),999))-1))=AB$1,$F1112,""))</f>
        <v/>
      </c>
      <c r="AC1112" s="418" t="str">
        <f t="shared" ref="AC1112:AC1126" si="1690">IF(OR($E1112="",AC$1=""),"",IF(TRIM(LEFT($E1112,MIN(IFERROR(FIND("CDU",UPPER($E1112)),999),IFERROR(FIND("BULK",UPPER($E1112)),999),IFERROR(FIND("-",$E1112),999),IFERROR(FIND("（",$E1112),999))-1))=AC$1,$F1112,""))</f>
        <v/>
      </c>
      <c r="AD1112" s="418" t="str">
        <f t="shared" ref="AD1112:AD1126" si="1691">IF(OR($E1112="",AD$1=""),"",IF(TRIM(LEFT($E1112,MIN(IFERROR(FIND("CDU",UPPER($E1112)),999),IFERROR(FIND("BULK",UPPER($E1112)),999),IFERROR(FIND("-",$E1112),999),IFERROR(FIND("（",$E1112),999))-1))=AD$1,$F1112,""))</f>
        <v/>
      </c>
      <c r="AE1112" s="418" t="str">
        <f t="shared" ref="AE1112:AE1126" si="1692">IF(OR($E1112="",AE$1=""),"",IF(TRIM(LEFT($E1112,MIN(IFERROR(FIND("CDU",UPPER($E1112)),999),IFERROR(FIND("BULK",UPPER($E1112)),999),IFERROR(FIND("-",$E1112),999),IFERROR(FIND("（",$E1112),999))-1))=AE$1,$F1112,""))</f>
        <v/>
      </c>
      <c r="AF1112" s="418" t="str">
        <f t="shared" ref="AF1112:AF1126" si="1693">IF(OR($E1112="",AF$1=""),"",IF(TRIM(LEFT($E1112,MIN(IFERROR(FIND("CDU",UPPER($E1112)),999),IFERROR(FIND("BULK",UPPER($E1112)),999),IFERROR(FIND("-",$E1112),999),IFERROR(FIND("（",$E1112),999))-1))=AF$1,$F1112,""))</f>
        <v/>
      </c>
      <c r="AG1112" s="418" t="str">
        <f t="shared" ref="AG1112:AG1126" si="1694">IF(OR($E1112="",AG$1=""),"",IF(TRIM(LEFT($E1112,MIN(IFERROR(FIND("CDU",UPPER($E1112)),999),IFERROR(FIND("BULK",UPPER($E1112)),999),IFERROR(FIND("-",$E1112),999),IFERROR(FIND("（",$E1112),999))-1))=AG$1,$F1112,""))</f>
        <v/>
      </c>
      <c r="AH1112" s="418" t="str">
        <f t="shared" ref="AH1112:AH1126" si="1695">IF(OR($E1112="",AH$1=""),"",IF(TRIM(LEFT($E1112,MIN(IFERROR(FIND("CDU",UPPER($E1112)),999),IFERROR(FIND("BULK",UPPER($E1112)),999),IFERROR(FIND("-",$E1112),999),IFERROR(FIND("（",$E1112),999))-1))=AH$1,$F1112,""))</f>
        <v/>
      </c>
      <c r="AI1112" s="418" t="str">
        <f t="shared" ref="AI1112:AI1126" si="1696">IF(OR($E1112="",AI$1=""),"",IF(TRIM(LEFT($E1112,MIN(IFERROR(FIND("CDU",UPPER($E1112)),999),IFERROR(FIND("BULK",UPPER($E1112)),999),IFERROR(FIND("-",$E1112),999),IFERROR(FIND("（",$E1112),999))-1))=AI$1,$F1112,""))</f>
        <v/>
      </c>
      <c r="AJ1112" s="418" t="str">
        <f t="shared" ref="AJ1112:AJ1126" si="1697">IF(OR($E1112="",AJ$1=""),"",IF(TRIM(LEFT($E1112,MIN(IFERROR(FIND("CDU",UPPER($E1112)),999),IFERROR(FIND("BULK",UPPER($E1112)),999),IFERROR(FIND("-",$E1112),999),IFERROR(FIND("（",$E1112),999))-1))=AJ$1,$F1112,""))</f>
        <v/>
      </c>
      <c r="AK1112" s="418" t="str">
        <f t="shared" ref="AK1112:AK1126" si="1698">IF(OR($E1112="",AK$1=""),"",IF(TRIM(LEFT($E1112,MIN(IFERROR(FIND("CDU",UPPER($E1112)),999),IFERROR(FIND("BULK",UPPER($E1112)),999),IFERROR(FIND("-",$E1112),999),IFERROR(FIND("（",$E1112),999))-1))=AK$1,$F1112,""))</f>
        <v/>
      </c>
      <c r="AL1112" s="418">
        <f t="shared" ref="AL1112:AL1126" si="1699">IF(OR($E1112="",AL$1=""),"",IF(TRIM(LEFT($E1112,MIN(IFERROR(FIND("CDU",UPPER($E1112)),999),IFERROR(FIND("BULK",UPPER($E1112)),999),IFERROR(FIND("-",$E1112),999),IFERROR(FIND("（",$E1112),999))-1))=AL$1,$F1112,""))</f>
        <v>804</v>
      </c>
      <c r="AM1112" s="418" t="str">
        <f t="shared" ref="AM1112:AM1126" si="1700">IF(OR($E1112="",AM$1=""),"",IF(TRIM(LEFT($E1112,MIN(IFERROR(FIND("CDU",UPPER($E1112)),999),IFERROR(FIND("BULK",UPPER($E1112)),999),IFERROR(FIND("-",$E1112),999),IFERROR(FIND("（",$E1112),999))-1))=AM$1,$F1112,""))</f>
        <v/>
      </c>
      <c r="AN1112" s="418" t="str">
        <f t="shared" ref="AN1112:AN1126" si="1701">IF(OR($E1112="",AN$1=""),"",IF(TRIM(LEFT($E1112,MIN(IFERROR(FIND("CDU",UPPER($E1112)),999),IFERROR(FIND("BULK",UPPER($E1112)),999),IFERROR(FIND("-",$E1112),999),IFERROR(FIND("（",$E1112),999))-1))=AN$1,$F1112,""))</f>
        <v/>
      </c>
      <c r="AO1112" s="418" t="str">
        <f t="shared" ref="AO1112:AO1126" si="1702">IF(OR($E1112="",AO$1=""),"",IF(TRIM(LEFT($E1112,MIN(IFERROR(FIND("CDU",UPPER($E1112)),999),IFERROR(FIND("BULK",UPPER($E1112)),999),IFERROR(FIND("-",$E1112),999),IFERROR(FIND("（",$E1112),999))-1))=AO$1,$F1112,""))</f>
        <v/>
      </c>
      <c r="AP1112" s="418" t="str">
        <f t="shared" ref="AP1112:AP1126" si="1703">IF(OR($E1112="",AP$1=""),"",IF(TRIM(LEFT($E1112,MIN(IFERROR(FIND("CDU",UPPER($E1112)),999),IFERROR(FIND("BULK",UPPER($E1112)),999),IFERROR(FIND("-",$E1112),999),IFERROR(FIND("（",$E1112),999))-1))=AP$1,$F1112,""))</f>
        <v/>
      </c>
      <c r="AQ1112" s="418" t="str">
        <f t="shared" ref="AQ1112:AQ1126" si="1704">IF(OR($E1112="",AQ$1=""),"",IF(TRIM(LEFT($E1112,MIN(IFERROR(FIND("CDU",UPPER($E1112)),999),IFERROR(FIND("BULK",UPPER($E1112)),999),IFERROR(FIND("-",$E1112),999),IFERROR(FIND("（",$E1112),999))-1))=AQ$1,$F1112,""))</f>
        <v/>
      </c>
      <c r="AR1112" s="418" t="str">
        <f t="shared" ref="AR1112:AR1126" si="1705">IF(OR($E1112="",AR$1=""),"",IF(TRIM(LEFT($E1112,MIN(IFERROR(FIND("CDU",UPPER($E1112)),999),IFERROR(FIND("BULK",UPPER($E1112)),999),IFERROR(FIND("-",$E1112),999),IFERROR(FIND("（",$E1112),999))-1))=AR$1,$F1112,""))</f>
        <v/>
      </c>
      <c r="AS1112" s="418" t="str">
        <f t="shared" ref="AS1112:AS1126" si="1706">IF(OR($E1112="",AS$1=""),"",IF(TRIM(LEFT($E1112,MIN(IFERROR(FIND("CDU",UPPER($E1112)),999),IFERROR(FIND("BULK",UPPER($E1112)),999),IFERROR(FIND("-",$E1112),999),IFERROR(FIND("（",$E1112),999))-1))=AS$1,$F1112,""))</f>
        <v/>
      </c>
      <c r="AT1112" s="418" t="str">
        <f t="shared" ref="AT1112:AT1126" si="1707">IF(OR($E1112="",AT$1=""),"",IF(TRIM(LEFT($E1112,MIN(IFERROR(FIND("CDU",UPPER($E1112)),999),IFERROR(FIND("BULK",UPPER($E1112)),999),IFERROR(FIND("-",$E1112),999),IFERROR(FIND("（",$E1112),999))-1))=AT$1,$F1112,""))</f>
        <v/>
      </c>
      <c r="AU1112" s="418" t="str">
        <f t="shared" ref="AU1112:AU1126" si="1708">IF(OR($E1112="",AU$1=""),"",IF(TRIM(LEFT($E1112,MIN(IFERROR(FIND("CDU",UPPER($E1112)),999),IFERROR(FIND("BULK",UPPER($E1112)),999),IFERROR(FIND("-",$E1112),999),IFERROR(FIND("（",$E1112),999))-1))=AU$1,$F1112,""))</f>
        <v/>
      </c>
      <c r="AV1112" s="418" t="str">
        <f t="shared" ref="AV1112:AV1126" si="1709">IF(OR($E1112="",AV$1=""),"",IF(TRIM(LEFT($E1112,MIN(IFERROR(FIND("CDU",UPPER($E1112)),999),IFERROR(FIND("BULK",UPPER($E1112)),999),IFERROR(FIND("-",$E1112),999),IFERROR(FIND("（",$E1112),999))-1))=AV$1,$F1112,""))</f>
        <v/>
      </c>
      <c r="AW1112" s="418" t="str">
        <f t="shared" ref="AW1112:AW1126" si="1710">IF(OR($E1112="",AW$1=""),"",IF(TRIM(LEFT($E1112,MIN(IFERROR(FIND("CDU",UPPER($E1112)),999),IFERROR(FIND("BULK",UPPER($E1112)),999),IFERROR(FIND("-",$E1112),999),IFERROR(FIND("（",$E1112),999))-1))=AW$1,$F1112,""))</f>
        <v/>
      </c>
      <c r="AX1112" s="418" t="str">
        <f t="shared" ref="AX1112:AX1126" si="1711">IF(OR($E1112="",AX$1=""),"",IF(TRIM(LEFT($E1112,MIN(IFERROR(FIND("CDU",UPPER($E1112)),999),IFERROR(FIND("BULK",UPPER($E1112)),999),IFERROR(FIND("-",$E1112),999),IFERROR(FIND("（",$E1112),999))-1))=AX$1,$F1112,""))</f>
        <v/>
      </c>
      <c r="AY1112" s="418" t="str">
        <f t="shared" ref="AY1112:AY1126" si="1712">IF(OR($E1112="",AY$1=""),"",IF(TRIM(LEFT($E1112,MIN(IFERROR(FIND("CDU",UPPER($E1112)),999),IFERROR(FIND("BULK",UPPER($E1112)),999),IFERROR(FIND("-",$E1112),999),IFERROR(FIND("（",$E1112),999))-1))=AY$1,$F1112,""))</f>
        <v/>
      </c>
      <c r="AZ1112" s="418" t="str">
        <f t="shared" ref="AZ1112:AZ1126" si="1713">IF(OR($E1112="",AZ$1=""),"",IF(TRIM(LEFT($E1112,MIN(IFERROR(FIND("CDU",UPPER($E1112)),999),IFERROR(FIND("BULK",UPPER($E1112)),999),IFERROR(FIND("-",$E1112),999),IFERROR(FIND("（",$E1112),999))-1))=AZ$1,$F1112,""))</f>
        <v/>
      </c>
      <c r="BA1112" s="418" t="str">
        <f t="shared" ref="BA1112:BA1126" si="1714">IF(OR($E1112="",BA$1=""),"",IF(TRIM(LEFT($E1112,MIN(IFERROR(FIND("CDU",UPPER($E1112)),999),IFERROR(FIND("BULK",UPPER($E1112)),999),IFERROR(FIND("-",$E1112),999),IFERROR(FIND("（",$E1112),999))-1))=BA$1,$F1112,""))</f>
        <v/>
      </c>
      <c r="BB1112" s="418" t="str">
        <f t="shared" ref="BB1112:BB1126" si="1715">IF(OR($E1112="",BB$1=""),"",IF(TRIM(LEFT($E1112,MIN(IFERROR(FIND("CDU",UPPER($E1112)),999),IFERROR(FIND("BULK",UPPER($E1112)),999),IFERROR(FIND("-",$E1112),999),IFERROR(FIND("（",$E1112),999))-1))=BB$1,$F1112,""))</f>
        <v/>
      </c>
      <c r="BC1112" s="418" t="str">
        <f t="shared" ref="BC1112:BC1126" si="1716">IF(OR($E1112="",BC$1=""),"",IF(TRIM(LEFT($E1112,MIN(IFERROR(FIND("CDU",UPPER($E1112)),999),IFERROR(FIND("BULK",UPPER($E1112)),999),IFERROR(FIND("-",$E1112),999),IFERROR(FIND("（",$E1112),999))-1))=BC$1,$F1112,""))</f>
        <v/>
      </c>
      <c r="BD1112" s="418" t="str">
        <f t="shared" ref="BD1112:BD1126" si="1717">IF(OR($E1112="",BD$1=""),"",IF(TRIM(LEFT($E1112,MIN(IFERROR(FIND("CDU",UPPER($E1112)),999),IFERROR(FIND("BULK",UPPER($E1112)),999),IFERROR(FIND("-",$E1112),999),IFERROR(FIND("（",$E1112),999))-1))=BD$1,$F1112,""))</f>
        <v/>
      </c>
      <c r="BE1112" s="418" t="str">
        <f t="shared" ref="BE1112:BE1126" si="1718">IF(OR($E1112="",BE$1=""),"",IF(TRIM(LEFT($E1112,MIN(IFERROR(FIND("CDU",UPPER($E1112)),999),IFERROR(FIND("BULK",UPPER($E1112)),999),IFERROR(FIND("-",$E1112),999),IFERROR(FIND("（",$E1112),999))-1))=BE$1,$F1112,""))</f>
        <v/>
      </c>
      <c r="BF1112" s="418" t="str">
        <f t="shared" ref="BF1112:BF1126" si="1719">IF(OR($E1112="",BF$1=""),"",IF(TRIM(LEFT($E1112,MIN(IFERROR(FIND("CDU",UPPER($E1112)),999),IFERROR(FIND("BULK",UPPER($E1112)),999),IFERROR(FIND("-",$E1112),999),IFERROR(FIND("（",$E1112),999))-1))=BF$1,$F1112,""))</f>
        <v/>
      </c>
      <c r="BG1112" s="418" t="str">
        <f t="shared" ref="BG1112:BG1126" si="1720">IF(OR($E1112="",BG$1=""),"",IF(TRIM(LEFT($E1112,MIN(IFERROR(FIND("CDU",UPPER($E1112)),999),IFERROR(FIND("BULK",UPPER($E1112)),999),IFERROR(FIND("-",$E1112),999),IFERROR(FIND("（",$E1112),999))-1))=BG$1,$F1112,""))</f>
        <v/>
      </c>
      <c r="BH1112" s="418" t="str">
        <f t="shared" ref="BH1112:BH1126" si="1721">IF(OR($E1112="",BH$1=""),"",IF(TRIM(LEFT($E1112,MIN(IFERROR(FIND("CDU",UPPER($E1112)),999),IFERROR(FIND("BULK",UPPER($E1112)),999),IFERROR(FIND("-",$E1112),999),IFERROR(FIND("（",$E1112),999))-1))=BH$1,$F1112,""))</f>
        <v/>
      </c>
      <c r="BI1112" s="418" t="str">
        <f t="shared" ref="BI1112:BI1126" si="1722">IF(OR($E1112="",BI$1=""),"",IF(TRIM(LEFT($E1112,MIN(IFERROR(FIND("CDU",UPPER($E1112)),999),IFERROR(FIND("BULK",UPPER($E1112)),999),IFERROR(FIND("-",$E1112),999),IFERROR(FIND("（",$E1112),999))-1))=BI$1,$F1112,""))</f>
        <v/>
      </c>
      <c r="BJ1112" s="418" t="str">
        <f t="shared" ref="BJ1112:BJ1126" si="1723">IF(OR($E1112="",BJ$1=""),"",IF(TRIM(LEFT($E1112,MIN(IFERROR(FIND("CDU",UPPER($E1112)),999),IFERROR(FIND("BULK",UPPER($E1112)),999),IFERROR(FIND("-",$E1112),999),IFERROR(FIND("（",$E1112),999))-1))=BJ$1,$F1112,""))</f>
        <v/>
      </c>
      <c r="BK1112" s="418" t="str">
        <f t="shared" ref="BK1112:BK1126" si="1724">IF(OR($E1112="",BK$1=""),"",IF(TRIM(LEFT($E1112,MIN(IFERROR(FIND("CDU",UPPER($E1112)),999),IFERROR(FIND("BULK",UPPER($E1112)),999),IFERROR(FIND("-",$E1112),999),IFERROR(FIND("（",$E1112),999))-1))=BK$1,$F1112,""))</f>
        <v/>
      </c>
      <c r="BL1112" s="418" t="str">
        <f t="shared" ref="BL1112:BL1126" si="1725">IF(OR($E1112="",BL$1=""),"",IF(TRIM(LEFT($E1112,MIN(IFERROR(FIND("CDU",UPPER($E1112)),999),IFERROR(FIND("BULK",UPPER($E1112)),999),IFERROR(FIND("-",$E1112),999),IFERROR(FIND("（",$E1112),999))-1))=BL$1,$F1112,""))</f>
        <v/>
      </c>
      <c r="BM1112" s="418" t="str">
        <f t="shared" ref="BM1112:BM1126" si="1726">IF(OR($E1112="",BM$1=""),"",IF(TRIM(LEFT($E1112,MIN(IFERROR(FIND("CDU",UPPER($E1112)),999),IFERROR(FIND("BULK",UPPER($E1112)),999),IFERROR(FIND("-",$E1112),999),IFERROR(FIND("（",$E1112),999))-1))=BM$1,$F1112,""))</f>
        <v/>
      </c>
      <c r="BN1112" s="418" t="str">
        <f t="shared" ref="BN1112:BN1126" si="1727">IF(OR($E1112="",BN$1=""),"",IF(TRIM(LEFT($E1112,MIN(IFERROR(FIND("CDU",UPPER($E1112)),999),IFERROR(FIND("BULK",UPPER($E1112)),999),IFERROR(FIND("-",$E1112),999),IFERROR(FIND("（",$E1112),999))-1))=BN$1,$F1112,""))</f>
        <v/>
      </c>
      <c r="BO1112" s="418" t="str">
        <f t="shared" ref="BO1112:BO1126" si="1728">IF(OR($E1112="",BO$1=""),"",IF(TRIM(LEFT($E1112,MIN(IFERROR(FIND("CDU",UPPER($E1112)),999),IFERROR(FIND("BULK",UPPER($E1112)),999),IFERROR(FIND("-",$E1112),999),IFERROR(FIND("（",$E1112),999))-1))=BO$1,$F1112,""))</f>
        <v/>
      </c>
      <c r="BP1112" s="418" t="str">
        <f t="shared" ref="BP1112:BP1126" si="1729">IF(OR($E1112="",BP$1=""),"",IF(TRIM(LEFT($E1112,MIN(IFERROR(FIND("CDU",UPPER($E1112)),999),IFERROR(FIND("BULK",UPPER($E1112)),999),IFERROR(FIND("-",$E1112),999),IFERROR(FIND("（",$E1112),999))-1))=BP$1,$F1112,""))</f>
        <v/>
      </c>
      <c r="BQ1112" s="418" t="str">
        <f t="shared" si="1643"/>
        <v/>
      </c>
      <c r="BR1112" s="418" t="str">
        <f t="shared" si="1644"/>
        <v/>
      </c>
      <c r="BS1112" s="418" t="str">
        <f t="shared" si="1645"/>
        <v/>
      </c>
      <c r="BT1112" s="418" t="str">
        <f t="shared" ref="BT1112:BT1126" si="1730">IF(OR($E1112="",BT$1=""),"",IF(TRIM(LEFT($E1112,MIN(IFERROR(FIND("CDU",UPPER($E1112)),999),IFERROR(FIND("BULK",UPPER($E1112)),999),IFERROR(FIND("-",$E1112),999),IFERROR(FIND("（",$E1112),999))-1))=BT$1,$F1112,""))</f>
        <v/>
      </c>
      <c r="BU1112" s="418" t="str">
        <f t="shared" ref="BU1112:BU1126" si="1731">IF(OR($E1112="",BU$1=""),"",IF(TRIM(LEFT($E1112,MIN(IFERROR(FIND("CDU",UPPER($E1112)),999),IFERROR(FIND("BULK",UPPER($E1112)),999),IFERROR(FIND("-",$E1112),999),IFERROR(FIND("（",$E1112),999))-1))=BU$1,$F1112,""))</f>
        <v/>
      </c>
      <c r="BV1112" s="624">
        <v>1.45</v>
      </c>
      <c r="BW1112" s="723">
        <f t="shared" ref="BW1112:BW1126" si="1732">SUM(I1112:BU1112)*BV1112</f>
        <v>1165.8</v>
      </c>
      <c r="BX1112" s="724">
        <f t="shared" ref="BX1112:BX1126" si="1733">BW1112*7.75</f>
        <v>9034.95</v>
      </c>
      <c r="BY1112" s="725" t="str">
        <f t="shared" ref="BY1112:BY1126" si="1734">MID(E1112,1,2)</f>
        <v>SR</v>
      </c>
    </row>
    <row r="1113" s="697" customFormat="1" customHeight="1" spans="1:77">
      <c r="A1113" s="362">
        <v>46196</v>
      </c>
      <c r="B1113" s="362">
        <v>46260</v>
      </c>
      <c r="C1113" s="431" t="s">
        <v>987</v>
      </c>
      <c r="D1113" s="431" t="s">
        <v>988</v>
      </c>
      <c r="E1113" s="129" t="s">
        <v>186</v>
      </c>
      <c r="F1113" s="96">
        <v>1350</v>
      </c>
      <c r="G1113" s="129" t="s">
        <v>510</v>
      </c>
      <c r="H1113" s="118" t="str">
        <f>IFERROR(VLOOKUP(E1113,名称!A:E,4,0),"")</f>
        <v>三代</v>
      </c>
      <c r="I1113" s="418" t="str">
        <f t="shared" si="1670"/>
        <v/>
      </c>
      <c r="J1113" s="418" t="str">
        <f t="shared" si="1671"/>
        <v/>
      </c>
      <c r="K1113" s="418" t="str">
        <f t="shared" si="1672"/>
        <v/>
      </c>
      <c r="L1113" s="418" t="str">
        <f t="shared" si="1673"/>
        <v/>
      </c>
      <c r="M1113" s="418" t="str">
        <f t="shared" si="1674"/>
        <v/>
      </c>
      <c r="N1113" s="418" t="str">
        <f t="shared" si="1675"/>
        <v/>
      </c>
      <c r="O1113" s="418" t="str">
        <f t="shared" si="1676"/>
        <v/>
      </c>
      <c r="P1113" s="418" t="str">
        <f t="shared" si="1677"/>
        <v/>
      </c>
      <c r="Q1113" s="418" t="str">
        <f t="shared" si="1678"/>
        <v/>
      </c>
      <c r="R1113" s="418" t="str">
        <f t="shared" si="1679"/>
        <v/>
      </c>
      <c r="S1113" s="418" t="str">
        <f t="shared" si="1680"/>
        <v/>
      </c>
      <c r="T1113" s="418" t="str">
        <f t="shared" si="1681"/>
        <v/>
      </c>
      <c r="U1113" s="418" t="str">
        <f t="shared" si="1682"/>
        <v/>
      </c>
      <c r="V1113" s="418" t="str">
        <f t="shared" si="1683"/>
        <v/>
      </c>
      <c r="W1113" s="418" t="str">
        <f t="shared" si="1684"/>
        <v/>
      </c>
      <c r="X1113" s="418" t="str">
        <f t="shared" si="1685"/>
        <v/>
      </c>
      <c r="Y1113" s="418" t="str">
        <f t="shared" si="1686"/>
        <v/>
      </c>
      <c r="Z1113" s="418" t="str">
        <f t="shared" si="1687"/>
        <v/>
      </c>
      <c r="AA1113" s="418" t="str">
        <f t="shared" si="1688"/>
        <v/>
      </c>
      <c r="AB1113" s="418" t="str">
        <f t="shared" si="1689"/>
        <v/>
      </c>
      <c r="AC1113" s="418" t="str">
        <f t="shared" si="1690"/>
        <v/>
      </c>
      <c r="AD1113" s="418" t="str">
        <f t="shared" si="1691"/>
        <v/>
      </c>
      <c r="AE1113" s="418" t="str">
        <f t="shared" si="1692"/>
        <v/>
      </c>
      <c r="AF1113" s="418" t="str">
        <f t="shared" si="1693"/>
        <v/>
      </c>
      <c r="AG1113" s="418" t="str">
        <f t="shared" si="1694"/>
        <v/>
      </c>
      <c r="AH1113" s="418" t="str">
        <f t="shared" si="1695"/>
        <v/>
      </c>
      <c r="AI1113" s="418" t="str">
        <f t="shared" si="1696"/>
        <v/>
      </c>
      <c r="AJ1113" s="418" t="str">
        <f t="shared" si="1697"/>
        <v/>
      </c>
      <c r="AK1113" s="418" t="str">
        <f t="shared" si="1698"/>
        <v/>
      </c>
      <c r="AL1113" s="418">
        <f t="shared" si="1699"/>
        <v>1350</v>
      </c>
      <c r="AM1113" s="418" t="str">
        <f t="shared" si="1700"/>
        <v/>
      </c>
      <c r="AN1113" s="418" t="str">
        <f t="shared" si="1701"/>
        <v/>
      </c>
      <c r="AO1113" s="418" t="str">
        <f t="shared" si="1702"/>
        <v/>
      </c>
      <c r="AP1113" s="418" t="str">
        <f t="shared" si="1703"/>
        <v/>
      </c>
      <c r="AQ1113" s="418" t="str">
        <f t="shared" si="1704"/>
        <v/>
      </c>
      <c r="AR1113" s="418" t="str">
        <f t="shared" si="1705"/>
        <v/>
      </c>
      <c r="AS1113" s="418" t="str">
        <f t="shared" si="1706"/>
        <v/>
      </c>
      <c r="AT1113" s="418" t="str">
        <f t="shared" si="1707"/>
        <v/>
      </c>
      <c r="AU1113" s="418" t="str">
        <f t="shared" si="1708"/>
        <v/>
      </c>
      <c r="AV1113" s="418" t="str">
        <f t="shared" si="1709"/>
        <v/>
      </c>
      <c r="AW1113" s="418" t="str">
        <f t="shared" si="1710"/>
        <v/>
      </c>
      <c r="AX1113" s="418" t="str">
        <f t="shared" si="1711"/>
        <v/>
      </c>
      <c r="AY1113" s="418" t="str">
        <f t="shared" si="1712"/>
        <v/>
      </c>
      <c r="AZ1113" s="418" t="str">
        <f t="shared" si="1713"/>
        <v/>
      </c>
      <c r="BA1113" s="418" t="str">
        <f t="shared" si="1714"/>
        <v/>
      </c>
      <c r="BB1113" s="418" t="str">
        <f t="shared" si="1715"/>
        <v/>
      </c>
      <c r="BC1113" s="418" t="str">
        <f t="shared" si="1716"/>
        <v/>
      </c>
      <c r="BD1113" s="418" t="str">
        <f t="shared" si="1717"/>
        <v/>
      </c>
      <c r="BE1113" s="418" t="str">
        <f t="shared" si="1718"/>
        <v/>
      </c>
      <c r="BF1113" s="418" t="str">
        <f t="shared" si="1719"/>
        <v/>
      </c>
      <c r="BG1113" s="418" t="str">
        <f t="shared" si="1720"/>
        <v/>
      </c>
      <c r="BH1113" s="418" t="str">
        <f t="shared" si="1721"/>
        <v/>
      </c>
      <c r="BI1113" s="418" t="str">
        <f t="shared" si="1722"/>
        <v/>
      </c>
      <c r="BJ1113" s="418" t="str">
        <f t="shared" si="1723"/>
        <v/>
      </c>
      <c r="BK1113" s="418" t="str">
        <f t="shared" si="1724"/>
        <v/>
      </c>
      <c r="BL1113" s="418" t="str">
        <f t="shared" si="1725"/>
        <v/>
      </c>
      <c r="BM1113" s="418" t="str">
        <f t="shared" si="1726"/>
        <v/>
      </c>
      <c r="BN1113" s="418" t="str">
        <f t="shared" si="1727"/>
        <v/>
      </c>
      <c r="BO1113" s="418" t="str">
        <f t="shared" si="1728"/>
        <v/>
      </c>
      <c r="BP1113" s="418" t="str">
        <f t="shared" si="1729"/>
        <v/>
      </c>
      <c r="BQ1113" s="418" t="str">
        <f t="shared" si="1643"/>
        <v/>
      </c>
      <c r="BR1113" s="418" t="str">
        <f t="shared" si="1644"/>
        <v/>
      </c>
      <c r="BS1113" s="418" t="str">
        <f t="shared" si="1645"/>
        <v/>
      </c>
      <c r="BT1113" s="418" t="str">
        <f t="shared" si="1730"/>
        <v/>
      </c>
      <c r="BU1113" s="418" t="str">
        <f t="shared" si="1731"/>
        <v/>
      </c>
      <c r="BV1113" s="624">
        <v>1.45</v>
      </c>
      <c r="BW1113" s="723">
        <f t="shared" si="1732"/>
        <v>1957.5</v>
      </c>
      <c r="BX1113" s="724">
        <f t="shared" si="1733"/>
        <v>15170.63</v>
      </c>
      <c r="BY1113" s="725" t="str">
        <f t="shared" si="1734"/>
        <v>SR</v>
      </c>
    </row>
    <row r="1114" s="697" customFormat="1" customHeight="1" spans="1:77">
      <c r="A1114" s="362">
        <v>46196</v>
      </c>
      <c r="B1114" s="362">
        <v>46260</v>
      </c>
      <c r="C1114" s="431" t="s">
        <v>987</v>
      </c>
      <c r="D1114" s="431" t="s">
        <v>988</v>
      </c>
      <c r="E1114" s="129" t="s">
        <v>187</v>
      </c>
      <c r="F1114" s="96">
        <v>2502</v>
      </c>
      <c r="G1114" s="129" t="s">
        <v>510</v>
      </c>
      <c r="H1114" s="118" t="str">
        <f>IFERROR(VLOOKUP(E1114,名称!A:E,4,0),"")</f>
        <v>三代</v>
      </c>
      <c r="I1114" s="418" t="str">
        <f t="shared" si="1670"/>
        <v/>
      </c>
      <c r="J1114" s="418" t="str">
        <f t="shared" si="1671"/>
        <v/>
      </c>
      <c r="K1114" s="418" t="str">
        <f t="shared" si="1672"/>
        <v/>
      </c>
      <c r="L1114" s="418" t="str">
        <f t="shared" si="1673"/>
        <v/>
      </c>
      <c r="M1114" s="418" t="str">
        <f t="shared" si="1674"/>
        <v/>
      </c>
      <c r="N1114" s="418" t="str">
        <f t="shared" si="1675"/>
        <v/>
      </c>
      <c r="O1114" s="418" t="str">
        <f t="shared" si="1676"/>
        <v/>
      </c>
      <c r="P1114" s="418" t="str">
        <f t="shared" si="1677"/>
        <v/>
      </c>
      <c r="Q1114" s="418" t="str">
        <f t="shared" si="1678"/>
        <v/>
      </c>
      <c r="R1114" s="418" t="str">
        <f t="shared" si="1679"/>
        <v/>
      </c>
      <c r="S1114" s="418" t="str">
        <f t="shared" si="1680"/>
        <v/>
      </c>
      <c r="T1114" s="418" t="str">
        <f t="shared" si="1681"/>
        <v/>
      </c>
      <c r="U1114" s="418" t="str">
        <f t="shared" si="1682"/>
        <v/>
      </c>
      <c r="V1114" s="418" t="str">
        <f t="shared" si="1683"/>
        <v/>
      </c>
      <c r="W1114" s="418" t="str">
        <f t="shared" si="1684"/>
        <v/>
      </c>
      <c r="X1114" s="418" t="str">
        <f t="shared" si="1685"/>
        <v/>
      </c>
      <c r="Y1114" s="418" t="str">
        <f t="shared" si="1686"/>
        <v/>
      </c>
      <c r="Z1114" s="418" t="str">
        <f t="shared" si="1687"/>
        <v/>
      </c>
      <c r="AA1114" s="418" t="str">
        <f t="shared" si="1688"/>
        <v/>
      </c>
      <c r="AB1114" s="418" t="str">
        <f t="shared" si="1689"/>
        <v/>
      </c>
      <c r="AC1114" s="418" t="str">
        <f t="shared" si="1690"/>
        <v/>
      </c>
      <c r="AD1114" s="418" t="str">
        <f t="shared" si="1691"/>
        <v/>
      </c>
      <c r="AE1114" s="418" t="str">
        <f t="shared" si="1692"/>
        <v/>
      </c>
      <c r="AF1114" s="418" t="str">
        <f t="shared" si="1693"/>
        <v/>
      </c>
      <c r="AG1114" s="418" t="str">
        <f t="shared" si="1694"/>
        <v/>
      </c>
      <c r="AH1114" s="418" t="str">
        <f t="shared" si="1695"/>
        <v/>
      </c>
      <c r="AI1114" s="418" t="str">
        <f t="shared" si="1696"/>
        <v/>
      </c>
      <c r="AJ1114" s="418" t="str">
        <f t="shared" si="1697"/>
        <v/>
      </c>
      <c r="AK1114" s="418" t="str">
        <f t="shared" si="1698"/>
        <v/>
      </c>
      <c r="AL1114" s="418">
        <f t="shared" si="1699"/>
        <v>2502</v>
      </c>
      <c r="AM1114" s="418" t="str">
        <f t="shared" si="1700"/>
        <v/>
      </c>
      <c r="AN1114" s="418" t="str">
        <f t="shared" si="1701"/>
        <v/>
      </c>
      <c r="AO1114" s="418" t="str">
        <f t="shared" si="1702"/>
        <v/>
      </c>
      <c r="AP1114" s="418" t="str">
        <f t="shared" si="1703"/>
        <v/>
      </c>
      <c r="AQ1114" s="418" t="str">
        <f t="shared" si="1704"/>
        <v/>
      </c>
      <c r="AR1114" s="418" t="str">
        <f t="shared" si="1705"/>
        <v/>
      </c>
      <c r="AS1114" s="418" t="str">
        <f t="shared" si="1706"/>
        <v/>
      </c>
      <c r="AT1114" s="418" t="str">
        <f t="shared" si="1707"/>
        <v/>
      </c>
      <c r="AU1114" s="418" t="str">
        <f t="shared" si="1708"/>
        <v/>
      </c>
      <c r="AV1114" s="418" t="str">
        <f t="shared" si="1709"/>
        <v/>
      </c>
      <c r="AW1114" s="418" t="str">
        <f t="shared" si="1710"/>
        <v/>
      </c>
      <c r="AX1114" s="418" t="str">
        <f t="shared" si="1711"/>
        <v/>
      </c>
      <c r="AY1114" s="418" t="str">
        <f t="shared" si="1712"/>
        <v/>
      </c>
      <c r="AZ1114" s="418" t="str">
        <f t="shared" si="1713"/>
        <v/>
      </c>
      <c r="BA1114" s="418" t="str">
        <f t="shared" si="1714"/>
        <v/>
      </c>
      <c r="BB1114" s="418" t="str">
        <f t="shared" si="1715"/>
        <v/>
      </c>
      <c r="BC1114" s="418" t="str">
        <f t="shared" si="1716"/>
        <v/>
      </c>
      <c r="BD1114" s="418" t="str">
        <f t="shared" si="1717"/>
        <v/>
      </c>
      <c r="BE1114" s="418" t="str">
        <f t="shared" si="1718"/>
        <v/>
      </c>
      <c r="BF1114" s="418" t="str">
        <f t="shared" si="1719"/>
        <v/>
      </c>
      <c r="BG1114" s="418" t="str">
        <f t="shared" si="1720"/>
        <v/>
      </c>
      <c r="BH1114" s="418" t="str">
        <f t="shared" si="1721"/>
        <v/>
      </c>
      <c r="BI1114" s="418" t="str">
        <f t="shared" si="1722"/>
        <v/>
      </c>
      <c r="BJ1114" s="418" t="str">
        <f t="shared" si="1723"/>
        <v/>
      </c>
      <c r="BK1114" s="418" t="str">
        <f t="shared" si="1724"/>
        <v/>
      </c>
      <c r="BL1114" s="418" t="str">
        <f t="shared" si="1725"/>
        <v/>
      </c>
      <c r="BM1114" s="418" t="str">
        <f t="shared" si="1726"/>
        <v/>
      </c>
      <c r="BN1114" s="418" t="str">
        <f t="shared" si="1727"/>
        <v/>
      </c>
      <c r="BO1114" s="418" t="str">
        <f t="shared" si="1728"/>
        <v/>
      </c>
      <c r="BP1114" s="418" t="str">
        <f t="shared" si="1729"/>
        <v/>
      </c>
      <c r="BQ1114" s="418" t="str">
        <f t="shared" si="1643"/>
        <v/>
      </c>
      <c r="BR1114" s="418" t="str">
        <f t="shared" si="1644"/>
        <v/>
      </c>
      <c r="BS1114" s="418" t="str">
        <f t="shared" si="1645"/>
        <v/>
      </c>
      <c r="BT1114" s="418" t="str">
        <f t="shared" si="1730"/>
        <v/>
      </c>
      <c r="BU1114" s="418" t="str">
        <f t="shared" si="1731"/>
        <v/>
      </c>
      <c r="BV1114" s="624">
        <v>1.45</v>
      </c>
      <c r="BW1114" s="723">
        <f t="shared" si="1732"/>
        <v>3627.9</v>
      </c>
      <c r="BX1114" s="724">
        <f t="shared" si="1733"/>
        <v>28116.23</v>
      </c>
      <c r="BY1114" s="725" t="str">
        <f t="shared" si="1734"/>
        <v>SR</v>
      </c>
    </row>
    <row r="1115" s="697" customFormat="1" customHeight="1" spans="1:77">
      <c r="A1115" s="362">
        <v>46196</v>
      </c>
      <c r="B1115" s="362">
        <v>46260</v>
      </c>
      <c r="C1115" s="431" t="s">
        <v>987</v>
      </c>
      <c r="D1115" s="431" t="s">
        <v>988</v>
      </c>
      <c r="E1115" s="129" t="s">
        <v>188</v>
      </c>
      <c r="F1115" s="96">
        <v>1200</v>
      </c>
      <c r="G1115" s="129" t="s">
        <v>510</v>
      </c>
      <c r="H1115" s="118" t="str">
        <f>IFERROR(VLOOKUP(E1115,名称!A:E,4,0),"")</f>
        <v>三代</v>
      </c>
      <c r="I1115" s="418" t="str">
        <f t="shared" si="1670"/>
        <v/>
      </c>
      <c r="J1115" s="418" t="str">
        <f t="shared" si="1671"/>
        <v/>
      </c>
      <c r="K1115" s="418" t="str">
        <f t="shared" si="1672"/>
        <v/>
      </c>
      <c r="L1115" s="418" t="str">
        <f t="shared" si="1673"/>
        <v/>
      </c>
      <c r="M1115" s="418" t="str">
        <f t="shared" si="1674"/>
        <v/>
      </c>
      <c r="N1115" s="418" t="str">
        <f t="shared" si="1675"/>
        <v/>
      </c>
      <c r="O1115" s="418" t="str">
        <f t="shared" si="1676"/>
        <v/>
      </c>
      <c r="P1115" s="418" t="str">
        <f t="shared" si="1677"/>
        <v/>
      </c>
      <c r="Q1115" s="418" t="str">
        <f t="shared" si="1678"/>
        <v/>
      </c>
      <c r="R1115" s="418" t="str">
        <f t="shared" si="1679"/>
        <v/>
      </c>
      <c r="S1115" s="418" t="str">
        <f t="shared" si="1680"/>
        <v/>
      </c>
      <c r="T1115" s="418" t="str">
        <f t="shared" si="1681"/>
        <v/>
      </c>
      <c r="U1115" s="418" t="str">
        <f t="shared" si="1682"/>
        <v/>
      </c>
      <c r="V1115" s="418" t="str">
        <f t="shared" si="1683"/>
        <v/>
      </c>
      <c r="W1115" s="418" t="str">
        <f t="shared" si="1684"/>
        <v/>
      </c>
      <c r="X1115" s="418" t="str">
        <f t="shared" si="1685"/>
        <v/>
      </c>
      <c r="Y1115" s="418" t="str">
        <f t="shared" si="1686"/>
        <v/>
      </c>
      <c r="Z1115" s="418" t="str">
        <f t="shared" si="1687"/>
        <v/>
      </c>
      <c r="AA1115" s="418" t="str">
        <f t="shared" si="1688"/>
        <v/>
      </c>
      <c r="AB1115" s="418" t="str">
        <f t="shared" si="1689"/>
        <v/>
      </c>
      <c r="AC1115" s="418" t="str">
        <f t="shared" si="1690"/>
        <v/>
      </c>
      <c r="AD1115" s="418" t="str">
        <f t="shared" si="1691"/>
        <v/>
      </c>
      <c r="AE1115" s="418" t="str">
        <f t="shared" si="1692"/>
        <v/>
      </c>
      <c r="AF1115" s="418" t="str">
        <f t="shared" si="1693"/>
        <v/>
      </c>
      <c r="AG1115" s="418" t="str">
        <f t="shared" si="1694"/>
        <v/>
      </c>
      <c r="AH1115" s="418" t="str">
        <f t="shared" si="1695"/>
        <v/>
      </c>
      <c r="AI1115" s="418" t="str">
        <f t="shared" si="1696"/>
        <v/>
      </c>
      <c r="AJ1115" s="418" t="str">
        <f t="shared" si="1697"/>
        <v/>
      </c>
      <c r="AK1115" s="418" t="str">
        <f t="shared" si="1698"/>
        <v/>
      </c>
      <c r="AL1115" s="418">
        <f t="shared" si="1699"/>
        <v>1200</v>
      </c>
      <c r="AM1115" s="418" t="str">
        <f t="shared" si="1700"/>
        <v/>
      </c>
      <c r="AN1115" s="418" t="str">
        <f t="shared" si="1701"/>
        <v/>
      </c>
      <c r="AO1115" s="418" t="str">
        <f t="shared" si="1702"/>
        <v/>
      </c>
      <c r="AP1115" s="418" t="str">
        <f t="shared" si="1703"/>
        <v/>
      </c>
      <c r="AQ1115" s="418" t="str">
        <f t="shared" si="1704"/>
        <v/>
      </c>
      <c r="AR1115" s="418" t="str">
        <f t="shared" si="1705"/>
        <v/>
      </c>
      <c r="AS1115" s="418" t="str">
        <f t="shared" si="1706"/>
        <v/>
      </c>
      <c r="AT1115" s="418" t="str">
        <f t="shared" si="1707"/>
        <v/>
      </c>
      <c r="AU1115" s="418" t="str">
        <f t="shared" si="1708"/>
        <v/>
      </c>
      <c r="AV1115" s="418" t="str">
        <f t="shared" si="1709"/>
        <v/>
      </c>
      <c r="AW1115" s="418" t="str">
        <f t="shared" si="1710"/>
        <v/>
      </c>
      <c r="AX1115" s="418" t="str">
        <f t="shared" si="1711"/>
        <v/>
      </c>
      <c r="AY1115" s="418" t="str">
        <f t="shared" si="1712"/>
        <v/>
      </c>
      <c r="AZ1115" s="418" t="str">
        <f t="shared" si="1713"/>
        <v/>
      </c>
      <c r="BA1115" s="418" t="str">
        <f t="shared" si="1714"/>
        <v/>
      </c>
      <c r="BB1115" s="418" t="str">
        <f t="shared" si="1715"/>
        <v/>
      </c>
      <c r="BC1115" s="418" t="str">
        <f t="shared" si="1716"/>
        <v/>
      </c>
      <c r="BD1115" s="418" t="str">
        <f t="shared" si="1717"/>
        <v/>
      </c>
      <c r="BE1115" s="418" t="str">
        <f t="shared" si="1718"/>
        <v/>
      </c>
      <c r="BF1115" s="418" t="str">
        <f t="shared" si="1719"/>
        <v/>
      </c>
      <c r="BG1115" s="418" t="str">
        <f t="shared" si="1720"/>
        <v/>
      </c>
      <c r="BH1115" s="418" t="str">
        <f t="shared" si="1721"/>
        <v/>
      </c>
      <c r="BI1115" s="418" t="str">
        <f t="shared" si="1722"/>
        <v/>
      </c>
      <c r="BJ1115" s="418" t="str">
        <f t="shared" si="1723"/>
        <v/>
      </c>
      <c r="BK1115" s="418" t="str">
        <f t="shared" si="1724"/>
        <v/>
      </c>
      <c r="BL1115" s="418" t="str">
        <f t="shared" si="1725"/>
        <v/>
      </c>
      <c r="BM1115" s="418" t="str">
        <f t="shared" si="1726"/>
        <v/>
      </c>
      <c r="BN1115" s="418" t="str">
        <f t="shared" si="1727"/>
        <v/>
      </c>
      <c r="BO1115" s="418" t="str">
        <f t="shared" si="1728"/>
        <v/>
      </c>
      <c r="BP1115" s="418" t="str">
        <f t="shared" si="1729"/>
        <v/>
      </c>
      <c r="BQ1115" s="418" t="str">
        <f t="shared" si="1643"/>
        <v/>
      </c>
      <c r="BR1115" s="418" t="str">
        <f t="shared" si="1644"/>
        <v/>
      </c>
      <c r="BS1115" s="418" t="str">
        <f t="shared" si="1645"/>
        <v/>
      </c>
      <c r="BT1115" s="418" t="str">
        <f t="shared" si="1730"/>
        <v/>
      </c>
      <c r="BU1115" s="418" t="str">
        <f t="shared" si="1731"/>
        <v/>
      </c>
      <c r="BV1115" s="624">
        <v>1.45</v>
      </c>
      <c r="BW1115" s="723">
        <f t="shared" si="1732"/>
        <v>1740</v>
      </c>
      <c r="BX1115" s="724">
        <f t="shared" si="1733"/>
        <v>13485</v>
      </c>
      <c r="BY1115" s="725" t="str">
        <f t="shared" si="1734"/>
        <v>SR</v>
      </c>
    </row>
    <row r="1116" s="697" customFormat="1" customHeight="1" spans="1:77">
      <c r="A1116" s="362">
        <v>46196</v>
      </c>
      <c r="B1116" s="362">
        <v>46260</v>
      </c>
      <c r="C1116" s="431" t="s">
        <v>987</v>
      </c>
      <c r="D1116" s="431" t="s">
        <v>988</v>
      </c>
      <c r="E1116" s="129" t="s">
        <v>189</v>
      </c>
      <c r="F1116" s="96">
        <v>1506</v>
      </c>
      <c r="G1116" s="129" t="s">
        <v>510</v>
      </c>
      <c r="H1116" s="118" t="str">
        <f>IFERROR(VLOOKUP(E1116,名称!A:E,4,0),"")</f>
        <v>三代</v>
      </c>
      <c r="I1116" s="418" t="str">
        <f t="shared" si="1670"/>
        <v/>
      </c>
      <c r="J1116" s="418" t="str">
        <f t="shared" si="1671"/>
        <v/>
      </c>
      <c r="K1116" s="418" t="str">
        <f t="shared" si="1672"/>
        <v/>
      </c>
      <c r="L1116" s="418" t="str">
        <f t="shared" si="1673"/>
        <v/>
      </c>
      <c r="M1116" s="418" t="str">
        <f t="shared" si="1674"/>
        <v/>
      </c>
      <c r="N1116" s="418" t="str">
        <f t="shared" si="1675"/>
        <v/>
      </c>
      <c r="O1116" s="418" t="str">
        <f t="shared" si="1676"/>
        <v/>
      </c>
      <c r="P1116" s="418" t="str">
        <f t="shared" si="1677"/>
        <v/>
      </c>
      <c r="Q1116" s="418" t="str">
        <f t="shared" si="1678"/>
        <v/>
      </c>
      <c r="R1116" s="418" t="str">
        <f t="shared" si="1679"/>
        <v/>
      </c>
      <c r="S1116" s="418" t="str">
        <f t="shared" si="1680"/>
        <v/>
      </c>
      <c r="T1116" s="418" t="str">
        <f t="shared" si="1681"/>
        <v/>
      </c>
      <c r="U1116" s="418" t="str">
        <f t="shared" si="1682"/>
        <v/>
      </c>
      <c r="V1116" s="418" t="str">
        <f t="shared" si="1683"/>
        <v/>
      </c>
      <c r="W1116" s="418" t="str">
        <f t="shared" si="1684"/>
        <v/>
      </c>
      <c r="X1116" s="418" t="str">
        <f t="shared" si="1685"/>
        <v/>
      </c>
      <c r="Y1116" s="418" t="str">
        <f t="shared" si="1686"/>
        <v/>
      </c>
      <c r="Z1116" s="418" t="str">
        <f t="shared" si="1687"/>
        <v/>
      </c>
      <c r="AA1116" s="418" t="str">
        <f t="shared" si="1688"/>
        <v/>
      </c>
      <c r="AB1116" s="418" t="str">
        <f t="shared" si="1689"/>
        <v/>
      </c>
      <c r="AC1116" s="418" t="str">
        <f t="shared" si="1690"/>
        <v/>
      </c>
      <c r="AD1116" s="418" t="str">
        <f t="shared" si="1691"/>
        <v/>
      </c>
      <c r="AE1116" s="418" t="str">
        <f t="shared" si="1692"/>
        <v/>
      </c>
      <c r="AF1116" s="418" t="str">
        <f t="shared" si="1693"/>
        <v/>
      </c>
      <c r="AG1116" s="418" t="str">
        <f t="shared" si="1694"/>
        <v/>
      </c>
      <c r="AH1116" s="418" t="str">
        <f t="shared" si="1695"/>
        <v/>
      </c>
      <c r="AI1116" s="418" t="str">
        <f t="shared" si="1696"/>
        <v/>
      </c>
      <c r="AJ1116" s="418" t="str">
        <f t="shared" si="1697"/>
        <v/>
      </c>
      <c r="AK1116" s="418" t="str">
        <f t="shared" si="1698"/>
        <v/>
      </c>
      <c r="AL1116" s="418">
        <f t="shared" si="1699"/>
        <v>1506</v>
      </c>
      <c r="AM1116" s="418" t="str">
        <f t="shared" si="1700"/>
        <v/>
      </c>
      <c r="AN1116" s="418" t="str">
        <f t="shared" si="1701"/>
        <v/>
      </c>
      <c r="AO1116" s="418" t="str">
        <f t="shared" si="1702"/>
        <v/>
      </c>
      <c r="AP1116" s="418" t="str">
        <f t="shared" si="1703"/>
        <v/>
      </c>
      <c r="AQ1116" s="418" t="str">
        <f t="shared" si="1704"/>
        <v/>
      </c>
      <c r="AR1116" s="418" t="str">
        <f t="shared" si="1705"/>
        <v/>
      </c>
      <c r="AS1116" s="418" t="str">
        <f t="shared" si="1706"/>
        <v/>
      </c>
      <c r="AT1116" s="418" t="str">
        <f t="shared" si="1707"/>
        <v/>
      </c>
      <c r="AU1116" s="418" t="str">
        <f t="shared" si="1708"/>
        <v/>
      </c>
      <c r="AV1116" s="418" t="str">
        <f t="shared" si="1709"/>
        <v/>
      </c>
      <c r="AW1116" s="418" t="str">
        <f t="shared" si="1710"/>
        <v/>
      </c>
      <c r="AX1116" s="418" t="str">
        <f t="shared" si="1711"/>
        <v/>
      </c>
      <c r="AY1116" s="418" t="str">
        <f t="shared" si="1712"/>
        <v/>
      </c>
      <c r="AZ1116" s="418" t="str">
        <f t="shared" si="1713"/>
        <v/>
      </c>
      <c r="BA1116" s="418" t="str">
        <f t="shared" si="1714"/>
        <v/>
      </c>
      <c r="BB1116" s="418" t="str">
        <f t="shared" si="1715"/>
        <v/>
      </c>
      <c r="BC1116" s="418" t="str">
        <f t="shared" si="1716"/>
        <v/>
      </c>
      <c r="BD1116" s="418" t="str">
        <f t="shared" si="1717"/>
        <v/>
      </c>
      <c r="BE1116" s="418" t="str">
        <f t="shared" si="1718"/>
        <v/>
      </c>
      <c r="BF1116" s="418" t="str">
        <f t="shared" si="1719"/>
        <v/>
      </c>
      <c r="BG1116" s="418" t="str">
        <f t="shared" si="1720"/>
        <v/>
      </c>
      <c r="BH1116" s="418" t="str">
        <f t="shared" si="1721"/>
        <v/>
      </c>
      <c r="BI1116" s="418" t="str">
        <f t="shared" si="1722"/>
        <v/>
      </c>
      <c r="BJ1116" s="418" t="str">
        <f t="shared" si="1723"/>
        <v/>
      </c>
      <c r="BK1116" s="418" t="str">
        <f t="shared" si="1724"/>
        <v/>
      </c>
      <c r="BL1116" s="418" t="str">
        <f t="shared" si="1725"/>
        <v/>
      </c>
      <c r="BM1116" s="418" t="str">
        <f t="shared" si="1726"/>
        <v/>
      </c>
      <c r="BN1116" s="418" t="str">
        <f t="shared" si="1727"/>
        <v/>
      </c>
      <c r="BO1116" s="418" t="str">
        <f t="shared" si="1728"/>
        <v/>
      </c>
      <c r="BP1116" s="418" t="str">
        <f t="shared" si="1729"/>
        <v/>
      </c>
      <c r="BQ1116" s="418" t="str">
        <f t="shared" si="1643"/>
        <v/>
      </c>
      <c r="BR1116" s="418" t="str">
        <f t="shared" si="1644"/>
        <v/>
      </c>
      <c r="BS1116" s="418" t="str">
        <f t="shared" si="1645"/>
        <v/>
      </c>
      <c r="BT1116" s="418" t="str">
        <f t="shared" si="1730"/>
        <v/>
      </c>
      <c r="BU1116" s="418" t="str">
        <f t="shared" si="1731"/>
        <v/>
      </c>
      <c r="BV1116" s="624">
        <v>1.45</v>
      </c>
      <c r="BW1116" s="723">
        <f t="shared" si="1732"/>
        <v>2183.7</v>
      </c>
      <c r="BX1116" s="724">
        <f t="shared" si="1733"/>
        <v>16923.68</v>
      </c>
      <c r="BY1116" s="725" t="str">
        <f t="shared" si="1734"/>
        <v>SR</v>
      </c>
    </row>
    <row r="1117" s="697" customFormat="1" customHeight="1" spans="1:77">
      <c r="A1117" s="362">
        <v>46196</v>
      </c>
      <c r="B1117" s="362">
        <v>46260</v>
      </c>
      <c r="C1117" s="431" t="s">
        <v>987</v>
      </c>
      <c r="D1117" s="431" t="s">
        <v>988</v>
      </c>
      <c r="E1117" s="129" t="s">
        <v>190</v>
      </c>
      <c r="F1117" s="96">
        <v>1488</v>
      </c>
      <c r="G1117" s="129" t="s">
        <v>510</v>
      </c>
      <c r="H1117" s="118" t="str">
        <f>IFERROR(VLOOKUP(E1117,名称!A:E,4,0),"")</f>
        <v>三代</v>
      </c>
      <c r="I1117" s="418" t="str">
        <f t="shared" si="1670"/>
        <v/>
      </c>
      <c r="J1117" s="418" t="str">
        <f t="shared" si="1671"/>
        <v/>
      </c>
      <c r="K1117" s="418" t="str">
        <f t="shared" si="1672"/>
        <v/>
      </c>
      <c r="L1117" s="418" t="str">
        <f t="shared" si="1673"/>
        <v/>
      </c>
      <c r="M1117" s="418" t="str">
        <f t="shared" si="1674"/>
        <v/>
      </c>
      <c r="N1117" s="418" t="str">
        <f t="shared" si="1675"/>
        <v/>
      </c>
      <c r="O1117" s="418" t="str">
        <f t="shared" si="1676"/>
        <v/>
      </c>
      <c r="P1117" s="418" t="str">
        <f t="shared" si="1677"/>
        <v/>
      </c>
      <c r="Q1117" s="418" t="str">
        <f t="shared" si="1678"/>
        <v/>
      </c>
      <c r="R1117" s="418" t="str">
        <f t="shared" si="1679"/>
        <v/>
      </c>
      <c r="S1117" s="418" t="str">
        <f t="shared" si="1680"/>
        <v/>
      </c>
      <c r="T1117" s="418" t="str">
        <f t="shared" si="1681"/>
        <v/>
      </c>
      <c r="U1117" s="418" t="str">
        <f t="shared" si="1682"/>
        <v/>
      </c>
      <c r="V1117" s="418" t="str">
        <f t="shared" si="1683"/>
        <v/>
      </c>
      <c r="W1117" s="418" t="str">
        <f t="shared" si="1684"/>
        <v/>
      </c>
      <c r="X1117" s="418" t="str">
        <f t="shared" si="1685"/>
        <v/>
      </c>
      <c r="Y1117" s="418" t="str">
        <f t="shared" si="1686"/>
        <v/>
      </c>
      <c r="Z1117" s="418" t="str">
        <f t="shared" si="1687"/>
        <v/>
      </c>
      <c r="AA1117" s="418" t="str">
        <f t="shared" si="1688"/>
        <v/>
      </c>
      <c r="AB1117" s="418" t="str">
        <f t="shared" si="1689"/>
        <v/>
      </c>
      <c r="AC1117" s="418" t="str">
        <f t="shared" si="1690"/>
        <v/>
      </c>
      <c r="AD1117" s="418" t="str">
        <f t="shared" si="1691"/>
        <v/>
      </c>
      <c r="AE1117" s="418" t="str">
        <f t="shared" si="1692"/>
        <v/>
      </c>
      <c r="AF1117" s="418" t="str">
        <f t="shared" si="1693"/>
        <v/>
      </c>
      <c r="AG1117" s="418" t="str">
        <f t="shared" si="1694"/>
        <v/>
      </c>
      <c r="AH1117" s="418" t="str">
        <f t="shared" si="1695"/>
        <v/>
      </c>
      <c r="AI1117" s="418" t="str">
        <f t="shared" si="1696"/>
        <v/>
      </c>
      <c r="AJ1117" s="418" t="str">
        <f t="shared" si="1697"/>
        <v/>
      </c>
      <c r="AK1117" s="418" t="str">
        <f t="shared" si="1698"/>
        <v/>
      </c>
      <c r="AL1117" s="418">
        <f t="shared" si="1699"/>
        <v>1488</v>
      </c>
      <c r="AM1117" s="418" t="str">
        <f t="shared" si="1700"/>
        <v/>
      </c>
      <c r="AN1117" s="418" t="str">
        <f t="shared" si="1701"/>
        <v/>
      </c>
      <c r="AO1117" s="418" t="str">
        <f t="shared" si="1702"/>
        <v/>
      </c>
      <c r="AP1117" s="418" t="str">
        <f t="shared" si="1703"/>
        <v/>
      </c>
      <c r="AQ1117" s="418" t="str">
        <f t="shared" si="1704"/>
        <v/>
      </c>
      <c r="AR1117" s="418" t="str">
        <f t="shared" si="1705"/>
        <v/>
      </c>
      <c r="AS1117" s="418" t="str">
        <f t="shared" si="1706"/>
        <v/>
      </c>
      <c r="AT1117" s="418" t="str">
        <f t="shared" si="1707"/>
        <v/>
      </c>
      <c r="AU1117" s="418" t="str">
        <f t="shared" si="1708"/>
        <v/>
      </c>
      <c r="AV1117" s="418" t="str">
        <f t="shared" si="1709"/>
        <v/>
      </c>
      <c r="AW1117" s="418" t="str">
        <f t="shared" si="1710"/>
        <v/>
      </c>
      <c r="AX1117" s="418" t="str">
        <f t="shared" si="1711"/>
        <v/>
      </c>
      <c r="AY1117" s="418" t="str">
        <f t="shared" si="1712"/>
        <v/>
      </c>
      <c r="AZ1117" s="418" t="str">
        <f t="shared" si="1713"/>
        <v/>
      </c>
      <c r="BA1117" s="418" t="str">
        <f t="shared" si="1714"/>
        <v/>
      </c>
      <c r="BB1117" s="418" t="str">
        <f t="shared" si="1715"/>
        <v/>
      </c>
      <c r="BC1117" s="418" t="str">
        <f t="shared" si="1716"/>
        <v/>
      </c>
      <c r="BD1117" s="418" t="str">
        <f t="shared" si="1717"/>
        <v/>
      </c>
      <c r="BE1117" s="418" t="str">
        <f t="shared" si="1718"/>
        <v/>
      </c>
      <c r="BF1117" s="418" t="str">
        <f t="shared" si="1719"/>
        <v/>
      </c>
      <c r="BG1117" s="418" t="str">
        <f t="shared" si="1720"/>
        <v/>
      </c>
      <c r="BH1117" s="418" t="str">
        <f t="shared" si="1721"/>
        <v/>
      </c>
      <c r="BI1117" s="418" t="str">
        <f t="shared" si="1722"/>
        <v/>
      </c>
      <c r="BJ1117" s="418" t="str">
        <f t="shared" si="1723"/>
        <v/>
      </c>
      <c r="BK1117" s="418" t="str">
        <f t="shared" si="1724"/>
        <v/>
      </c>
      <c r="BL1117" s="418" t="str">
        <f t="shared" si="1725"/>
        <v/>
      </c>
      <c r="BM1117" s="418" t="str">
        <f t="shared" si="1726"/>
        <v/>
      </c>
      <c r="BN1117" s="418" t="str">
        <f t="shared" si="1727"/>
        <v/>
      </c>
      <c r="BO1117" s="418" t="str">
        <f t="shared" si="1728"/>
        <v/>
      </c>
      <c r="BP1117" s="418" t="str">
        <f t="shared" si="1729"/>
        <v/>
      </c>
      <c r="BQ1117" s="418" t="str">
        <f t="shared" si="1643"/>
        <v/>
      </c>
      <c r="BR1117" s="418" t="str">
        <f t="shared" si="1644"/>
        <v/>
      </c>
      <c r="BS1117" s="418" t="str">
        <f t="shared" si="1645"/>
        <v/>
      </c>
      <c r="BT1117" s="418" t="str">
        <f t="shared" si="1730"/>
        <v/>
      </c>
      <c r="BU1117" s="418" t="str">
        <f t="shared" si="1731"/>
        <v/>
      </c>
      <c r="BV1117" s="624">
        <v>1.45</v>
      </c>
      <c r="BW1117" s="723">
        <f t="shared" si="1732"/>
        <v>2157.6</v>
      </c>
      <c r="BX1117" s="724">
        <f t="shared" si="1733"/>
        <v>16721.4</v>
      </c>
      <c r="BY1117" s="725" t="str">
        <f t="shared" si="1734"/>
        <v>SR</v>
      </c>
    </row>
    <row r="1118" s="697" customFormat="1" customHeight="1" spans="1:77">
      <c r="A1118" s="362">
        <v>46196</v>
      </c>
      <c r="B1118" s="362">
        <v>46260</v>
      </c>
      <c r="C1118" s="431" t="s">
        <v>987</v>
      </c>
      <c r="D1118" s="431" t="s">
        <v>988</v>
      </c>
      <c r="E1118" s="431" t="s">
        <v>68</v>
      </c>
      <c r="F1118" s="96">
        <v>768</v>
      </c>
      <c r="G1118" s="129" t="s">
        <v>510</v>
      </c>
      <c r="H1118" s="118" t="str">
        <f>IFERROR(VLOOKUP(E1118,名称!A:E,4,0),"")</f>
        <v>三代</v>
      </c>
      <c r="I1118" s="418" t="str">
        <f t="shared" si="1670"/>
        <v/>
      </c>
      <c r="J1118" s="418" t="str">
        <f t="shared" si="1671"/>
        <v/>
      </c>
      <c r="K1118" s="418" t="str">
        <f t="shared" si="1672"/>
        <v/>
      </c>
      <c r="L1118" s="418" t="str">
        <f t="shared" si="1673"/>
        <v/>
      </c>
      <c r="M1118" s="418" t="str">
        <f t="shared" si="1674"/>
        <v/>
      </c>
      <c r="N1118" s="418" t="str">
        <f t="shared" si="1675"/>
        <v/>
      </c>
      <c r="O1118" s="418" t="str">
        <f t="shared" si="1676"/>
        <v/>
      </c>
      <c r="P1118" s="418" t="str">
        <f t="shared" si="1677"/>
        <v/>
      </c>
      <c r="Q1118" s="418" t="str">
        <f t="shared" si="1678"/>
        <v/>
      </c>
      <c r="R1118" s="418" t="str">
        <f t="shared" si="1679"/>
        <v/>
      </c>
      <c r="S1118" s="418" t="str">
        <f t="shared" si="1680"/>
        <v/>
      </c>
      <c r="T1118" s="418" t="str">
        <f t="shared" si="1681"/>
        <v/>
      </c>
      <c r="U1118" s="418" t="str">
        <f t="shared" si="1682"/>
        <v/>
      </c>
      <c r="V1118" s="418" t="str">
        <f t="shared" si="1683"/>
        <v/>
      </c>
      <c r="W1118" s="418" t="str">
        <f t="shared" si="1684"/>
        <v/>
      </c>
      <c r="X1118" s="418" t="str">
        <f t="shared" si="1685"/>
        <v/>
      </c>
      <c r="Y1118" s="418" t="str">
        <f t="shared" si="1686"/>
        <v/>
      </c>
      <c r="Z1118" s="418" t="str">
        <f t="shared" si="1687"/>
        <v/>
      </c>
      <c r="AA1118" s="418" t="str">
        <f t="shared" si="1688"/>
        <v/>
      </c>
      <c r="AB1118" s="418" t="str">
        <f t="shared" si="1689"/>
        <v/>
      </c>
      <c r="AC1118" s="418" t="str">
        <f t="shared" si="1690"/>
        <v/>
      </c>
      <c r="AD1118" s="418" t="str">
        <f t="shared" si="1691"/>
        <v/>
      </c>
      <c r="AE1118" s="418" t="str">
        <f t="shared" si="1692"/>
        <v/>
      </c>
      <c r="AF1118" s="418" t="str">
        <f t="shared" si="1693"/>
        <v/>
      </c>
      <c r="AG1118" s="418" t="str">
        <f t="shared" si="1694"/>
        <v/>
      </c>
      <c r="AH1118" s="418">
        <f t="shared" si="1695"/>
        <v>768</v>
      </c>
      <c r="AI1118" s="418" t="str">
        <f t="shared" si="1696"/>
        <v/>
      </c>
      <c r="AJ1118" s="418" t="str">
        <f t="shared" si="1697"/>
        <v/>
      </c>
      <c r="AK1118" s="418" t="str">
        <f t="shared" si="1698"/>
        <v/>
      </c>
      <c r="AL1118" s="418" t="str">
        <f t="shared" si="1699"/>
        <v/>
      </c>
      <c r="AM1118" s="418" t="str">
        <f t="shared" si="1700"/>
        <v/>
      </c>
      <c r="AN1118" s="418" t="str">
        <f t="shared" si="1701"/>
        <v/>
      </c>
      <c r="AO1118" s="418" t="str">
        <f t="shared" si="1702"/>
        <v/>
      </c>
      <c r="AP1118" s="418" t="str">
        <f t="shared" si="1703"/>
        <v/>
      </c>
      <c r="AQ1118" s="418" t="str">
        <f t="shared" si="1704"/>
        <v/>
      </c>
      <c r="AR1118" s="418" t="str">
        <f t="shared" si="1705"/>
        <v/>
      </c>
      <c r="AS1118" s="418" t="str">
        <f t="shared" si="1706"/>
        <v/>
      </c>
      <c r="AT1118" s="418" t="str">
        <f t="shared" si="1707"/>
        <v/>
      </c>
      <c r="AU1118" s="418" t="str">
        <f t="shared" si="1708"/>
        <v/>
      </c>
      <c r="AV1118" s="418" t="str">
        <f t="shared" si="1709"/>
        <v/>
      </c>
      <c r="AW1118" s="418" t="str">
        <f t="shared" si="1710"/>
        <v/>
      </c>
      <c r="AX1118" s="418" t="str">
        <f t="shared" si="1711"/>
        <v/>
      </c>
      <c r="AY1118" s="418" t="str">
        <f t="shared" si="1712"/>
        <v/>
      </c>
      <c r="AZ1118" s="418" t="str">
        <f t="shared" si="1713"/>
        <v/>
      </c>
      <c r="BA1118" s="418" t="str">
        <f t="shared" si="1714"/>
        <v/>
      </c>
      <c r="BB1118" s="418" t="str">
        <f t="shared" si="1715"/>
        <v/>
      </c>
      <c r="BC1118" s="418" t="str">
        <f t="shared" si="1716"/>
        <v/>
      </c>
      <c r="BD1118" s="418" t="str">
        <f t="shared" si="1717"/>
        <v/>
      </c>
      <c r="BE1118" s="418" t="str">
        <f t="shared" si="1718"/>
        <v/>
      </c>
      <c r="BF1118" s="418" t="str">
        <f t="shared" si="1719"/>
        <v/>
      </c>
      <c r="BG1118" s="418" t="str">
        <f t="shared" si="1720"/>
        <v/>
      </c>
      <c r="BH1118" s="418" t="str">
        <f t="shared" si="1721"/>
        <v/>
      </c>
      <c r="BI1118" s="418" t="str">
        <f t="shared" si="1722"/>
        <v/>
      </c>
      <c r="BJ1118" s="418" t="str">
        <f t="shared" si="1723"/>
        <v/>
      </c>
      <c r="BK1118" s="418" t="str">
        <f t="shared" si="1724"/>
        <v/>
      </c>
      <c r="BL1118" s="418" t="str">
        <f t="shared" si="1725"/>
        <v/>
      </c>
      <c r="BM1118" s="418" t="str">
        <f t="shared" si="1726"/>
        <v/>
      </c>
      <c r="BN1118" s="418" t="str">
        <f t="shared" si="1727"/>
        <v/>
      </c>
      <c r="BO1118" s="418" t="str">
        <f t="shared" si="1728"/>
        <v/>
      </c>
      <c r="BP1118" s="418" t="str">
        <f t="shared" si="1729"/>
        <v/>
      </c>
      <c r="BQ1118" s="418" t="str">
        <f t="shared" si="1643"/>
        <v/>
      </c>
      <c r="BR1118" s="418" t="str">
        <f t="shared" si="1644"/>
        <v/>
      </c>
      <c r="BS1118" s="418" t="str">
        <f t="shared" si="1645"/>
        <v/>
      </c>
      <c r="BT1118" s="418" t="str">
        <f t="shared" si="1730"/>
        <v/>
      </c>
      <c r="BU1118" s="418" t="str">
        <f t="shared" si="1731"/>
        <v/>
      </c>
      <c r="BV1118" s="624">
        <v>2.99</v>
      </c>
      <c r="BW1118" s="723">
        <f t="shared" si="1732"/>
        <v>2296.32</v>
      </c>
      <c r="BX1118" s="724">
        <f t="shared" si="1733"/>
        <v>17796.48</v>
      </c>
      <c r="BY1118" s="725" t="str">
        <f t="shared" si="1734"/>
        <v>SR</v>
      </c>
    </row>
    <row r="1119" s="697" customFormat="1" customHeight="1" spans="1:77">
      <c r="A1119" s="362">
        <v>46196</v>
      </c>
      <c r="B1119" s="362">
        <v>46260</v>
      </c>
      <c r="C1119" s="431" t="s">
        <v>987</v>
      </c>
      <c r="D1119" s="431" t="s">
        <v>988</v>
      </c>
      <c r="E1119" s="129" t="s">
        <v>181</v>
      </c>
      <c r="F1119" s="96">
        <v>4200</v>
      </c>
      <c r="G1119" s="129" t="s">
        <v>510</v>
      </c>
      <c r="H1119" s="118" t="str">
        <f>IFERROR(VLOOKUP(E1119,名称!A:E,4,0),"")</f>
        <v>三代</v>
      </c>
      <c r="I1119" s="418" t="str">
        <f t="shared" si="1670"/>
        <v/>
      </c>
      <c r="J1119" s="418" t="str">
        <f t="shared" si="1671"/>
        <v/>
      </c>
      <c r="K1119" s="418" t="str">
        <f t="shared" si="1672"/>
        <v/>
      </c>
      <c r="L1119" s="418" t="str">
        <f t="shared" si="1673"/>
        <v/>
      </c>
      <c r="M1119" s="418" t="str">
        <f t="shared" si="1674"/>
        <v/>
      </c>
      <c r="N1119" s="418" t="str">
        <f t="shared" si="1675"/>
        <v/>
      </c>
      <c r="O1119" s="418" t="str">
        <f t="shared" si="1676"/>
        <v/>
      </c>
      <c r="P1119" s="418" t="str">
        <f t="shared" si="1677"/>
        <v/>
      </c>
      <c r="Q1119" s="418" t="str">
        <f t="shared" si="1678"/>
        <v/>
      </c>
      <c r="R1119" s="418" t="str">
        <f t="shared" si="1679"/>
        <v/>
      </c>
      <c r="S1119" s="418" t="str">
        <f t="shared" si="1680"/>
        <v/>
      </c>
      <c r="T1119" s="418" t="str">
        <f t="shared" si="1681"/>
        <v/>
      </c>
      <c r="U1119" s="418" t="str">
        <f t="shared" si="1682"/>
        <v/>
      </c>
      <c r="V1119" s="418" t="str">
        <f t="shared" si="1683"/>
        <v/>
      </c>
      <c r="W1119" s="418" t="str">
        <f t="shared" si="1684"/>
        <v/>
      </c>
      <c r="X1119" s="418" t="str">
        <f t="shared" si="1685"/>
        <v/>
      </c>
      <c r="Y1119" s="418" t="str">
        <f t="shared" si="1686"/>
        <v/>
      </c>
      <c r="Z1119" s="418" t="str">
        <f t="shared" si="1687"/>
        <v/>
      </c>
      <c r="AA1119" s="418" t="str">
        <f t="shared" si="1688"/>
        <v/>
      </c>
      <c r="AB1119" s="418" t="str">
        <f t="shared" si="1689"/>
        <v/>
      </c>
      <c r="AC1119" s="418" t="str">
        <f t="shared" si="1690"/>
        <v/>
      </c>
      <c r="AD1119" s="418" t="str">
        <f t="shared" si="1691"/>
        <v/>
      </c>
      <c r="AE1119" s="418" t="str">
        <f t="shared" si="1692"/>
        <v/>
      </c>
      <c r="AF1119" s="418" t="str">
        <f t="shared" si="1693"/>
        <v/>
      </c>
      <c r="AG1119" s="418" t="str">
        <f t="shared" si="1694"/>
        <v/>
      </c>
      <c r="AH1119" s="418" t="str">
        <f t="shared" si="1695"/>
        <v/>
      </c>
      <c r="AI1119" s="418" t="str">
        <f t="shared" si="1696"/>
        <v/>
      </c>
      <c r="AJ1119" s="418" t="str">
        <f t="shared" si="1697"/>
        <v/>
      </c>
      <c r="AK1119" s="418" t="str">
        <f t="shared" si="1698"/>
        <v/>
      </c>
      <c r="AL1119" s="418" t="str">
        <f t="shared" si="1699"/>
        <v/>
      </c>
      <c r="AM1119" s="418" t="str">
        <f t="shared" si="1700"/>
        <v/>
      </c>
      <c r="AN1119" s="418">
        <f t="shared" si="1701"/>
        <v>4200</v>
      </c>
      <c r="AO1119" s="418" t="str">
        <f t="shared" si="1702"/>
        <v/>
      </c>
      <c r="AP1119" s="418" t="str">
        <f t="shared" si="1703"/>
        <v/>
      </c>
      <c r="AQ1119" s="418" t="str">
        <f t="shared" si="1704"/>
        <v/>
      </c>
      <c r="AR1119" s="418" t="str">
        <f t="shared" si="1705"/>
        <v/>
      </c>
      <c r="AS1119" s="418" t="str">
        <f t="shared" si="1706"/>
        <v/>
      </c>
      <c r="AT1119" s="418" t="str">
        <f t="shared" si="1707"/>
        <v/>
      </c>
      <c r="AU1119" s="418" t="str">
        <f t="shared" si="1708"/>
        <v/>
      </c>
      <c r="AV1119" s="418" t="str">
        <f t="shared" si="1709"/>
        <v/>
      </c>
      <c r="AW1119" s="418" t="str">
        <f t="shared" si="1710"/>
        <v/>
      </c>
      <c r="AX1119" s="418" t="str">
        <f t="shared" si="1711"/>
        <v/>
      </c>
      <c r="AY1119" s="418" t="str">
        <f t="shared" si="1712"/>
        <v/>
      </c>
      <c r="AZ1119" s="418" t="str">
        <f t="shared" si="1713"/>
        <v/>
      </c>
      <c r="BA1119" s="418" t="str">
        <f t="shared" si="1714"/>
        <v/>
      </c>
      <c r="BB1119" s="418" t="str">
        <f t="shared" si="1715"/>
        <v/>
      </c>
      <c r="BC1119" s="418" t="str">
        <f t="shared" si="1716"/>
        <v/>
      </c>
      <c r="BD1119" s="418" t="str">
        <f t="shared" si="1717"/>
        <v/>
      </c>
      <c r="BE1119" s="418" t="str">
        <f t="shared" si="1718"/>
        <v/>
      </c>
      <c r="BF1119" s="418" t="str">
        <f t="shared" si="1719"/>
        <v/>
      </c>
      <c r="BG1119" s="418" t="str">
        <f t="shared" si="1720"/>
        <v/>
      </c>
      <c r="BH1119" s="418" t="str">
        <f t="shared" si="1721"/>
        <v/>
      </c>
      <c r="BI1119" s="418" t="str">
        <f t="shared" si="1722"/>
        <v/>
      </c>
      <c r="BJ1119" s="418" t="str">
        <f t="shared" si="1723"/>
        <v/>
      </c>
      <c r="BK1119" s="418" t="str">
        <f t="shared" si="1724"/>
        <v/>
      </c>
      <c r="BL1119" s="418" t="str">
        <f t="shared" si="1725"/>
        <v/>
      </c>
      <c r="BM1119" s="418" t="str">
        <f t="shared" si="1726"/>
        <v/>
      </c>
      <c r="BN1119" s="418" t="str">
        <f t="shared" si="1727"/>
        <v/>
      </c>
      <c r="BO1119" s="418" t="str">
        <f t="shared" si="1728"/>
        <v/>
      </c>
      <c r="BP1119" s="418" t="str">
        <f t="shared" si="1729"/>
        <v/>
      </c>
      <c r="BQ1119" s="418" t="str">
        <f t="shared" si="1643"/>
        <v/>
      </c>
      <c r="BR1119" s="418" t="str">
        <f t="shared" si="1644"/>
        <v/>
      </c>
      <c r="BS1119" s="418" t="str">
        <f t="shared" si="1645"/>
        <v/>
      </c>
      <c r="BT1119" s="418" t="str">
        <f t="shared" si="1730"/>
        <v/>
      </c>
      <c r="BU1119" s="418" t="str">
        <f t="shared" si="1731"/>
        <v/>
      </c>
      <c r="BV1119" s="624">
        <v>0.75</v>
      </c>
      <c r="BW1119" s="723">
        <f t="shared" si="1732"/>
        <v>3150</v>
      </c>
      <c r="BX1119" s="724">
        <f t="shared" si="1733"/>
        <v>24412.5</v>
      </c>
      <c r="BY1119" s="725" t="str">
        <f t="shared" si="1734"/>
        <v>SR</v>
      </c>
    </row>
    <row r="1120" s="697" customFormat="1" customHeight="1" spans="1:77">
      <c r="A1120" s="362">
        <v>46196</v>
      </c>
      <c r="B1120" s="362">
        <v>46260</v>
      </c>
      <c r="C1120" s="431" t="s">
        <v>987</v>
      </c>
      <c r="D1120" s="431" t="s">
        <v>988</v>
      </c>
      <c r="E1120" s="431" t="s">
        <v>66</v>
      </c>
      <c r="F1120" s="96">
        <v>3492</v>
      </c>
      <c r="G1120" s="129" t="s">
        <v>510</v>
      </c>
      <c r="H1120" s="118" t="str">
        <f>IFERROR(VLOOKUP(E1120,名称!A:E,4,0),"")</f>
        <v>三代</v>
      </c>
      <c r="I1120" s="418" t="str">
        <f t="shared" si="1670"/>
        <v/>
      </c>
      <c r="J1120" s="418" t="str">
        <f t="shared" si="1671"/>
        <v/>
      </c>
      <c r="K1120" s="418" t="str">
        <f t="shared" si="1672"/>
        <v/>
      </c>
      <c r="L1120" s="418" t="str">
        <f t="shared" si="1673"/>
        <v/>
      </c>
      <c r="M1120" s="418" t="str">
        <f t="shared" si="1674"/>
        <v/>
      </c>
      <c r="N1120" s="418" t="str">
        <f t="shared" si="1675"/>
        <v/>
      </c>
      <c r="O1120" s="418" t="str">
        <f t="shared" si="1676"/>
        <v/>
      </c>
      <c r="P1120" s="418" t="str">
        <f t="shared" si="1677"/>
        <v/>
      </c>
      <c r="Q1120" s="418" t="str">
        <f t="shared" si="1678"/>
        <v/>
      </c>
      <c r="R1120" s="418" t="str">
        <f t="shared" si="1679"/>
        <v/>
      </c>
      <c r="S1120" s="418" t="str">
        <f t="shared" si="1680"/>
        <v/>
      </c>
      <c r="T1120" s="418" t="str">
        <f t="shared" si="1681"/>
        <v/>
      </c>
      <c r="U1120" s="418" t="str">
        <f t="shared" si="1682"/>
        <v/>
      </c>
      <c r="V1120" s="418" t="str">
        <f t="shared" si="1683"/>
        <v/>
      </c>
      <c r="W1120" s="418" t="str">
        <f t="shared" si="1684"/>
        <v/>
      </c>
      <c r="X1120" s="418" t="str">
        <f t="shared" si="1685"/>
        <v/>
      </c>
      <c r="Y1120" s="418" t="str">
        <f t="shared" si="1686"/>
        <v/>
      </c>
      <c r="Z1120" s="418" t="str">
        <f t="shared" si="1687"/>
        <v/>
      </c>
      <c r="AA1120" s="418" t="str">
        <f t="shared" si="1688"/>
        <v/>
      </c>
      <c r="AB1120" s="418" t="str">
        <f t="shared" si="1689"/>
        <v/>
      </c>
      <c r="AC1120" s="418" t="str">
        <f t="shared" si="1690"/>
        <v/>
      </c>
      <c r="AD1120" s="418" t="str">
        <f t="shared" si="1691"/>
        <v/>
      </c>
      <c r="AE1120" s="418" t="str">
        <f t="shared" si="1692"/>
        <v/>
      </c>
      <c r="AF1120" s="418" t="str">
        <f t="shared" si="1693"/>
        <v/>
      </c>
      <c r="AG1120" s="418">
        <f t="shared" si="1694"/>
        <v>3492</v>
      </c>
      <c r="AH1120" s="418" t="str">
        <f t="shared" si="1695"/>
        <v/>
      </c>
      <c r="AI1120" s="418" t="str">
        <f t="shared" si="1696"/>
        <v/>
      </c>
      <c r="AJ1120" s="418" t="str">
        <f t="shared" si="1697"/>
        <v/>
      </c>
      <c r="AK1120" s="418" t="str">
        <f t="shared" si="1698"/>
        <v/>
      </c>
      <c r="AL1120" s="418" t="str">
        <f t="shared" si="1699"/>
        <v/>
      </c>
      <c r="AM1120" s="418" t="str">
        <f t="shared" si="1700"/>
        <v/>
      </c>
      <c r="AN1120" s="418" t="str">
        <f t="shared" si="1701"/>
        <v/>
      </c>
      <c r="AO1120" s="418" t="str">
        <f t="shared" si="1702"/>
        <v/>
      </c>
      <c r="AP1120" s="418" t="str">
        <f t="shared" si="1703"/>
        <v/>
      </c>
      <c r="AQ1120" s="418" t="str">
        <f t="shared" si="1704"/>
        <v/>
      </c>
      <c r="AR1120" s="418" t="str">
        <f t="shared" si="1705"/>
        <v/>
      </c>
      <c r="AS1120" s="418" t="str">
        <f t="shared" si="1706"/>
        <v/>
      </c>
      <c r="AT1120" s="418" t="str">
        <f t="shared" si="1707"/>
        <v/>
      </c>
      <c r="AU1120" s="418" t="str">
        <f t="shared" si="1708"/>
        <v/>
      </c>
      <c r="AV1120" s="418" t="str">
        <f t="shared" si="1709"/>
        <v/>
      </c>
      <c r="AW1120" s="418" t="str">
        <f t="shared" si="1710"/>
        <v/>
      </c>
      <c r="AX1120" s="418" t="str">
        <f t="shared" si="1711"/>
        <v/>
      </c>
      <c r="AY1120" s="418" t="str">
        <f t="shared" si="1712"/>
        <v/>
      </c>
      <c r="AZ1120" s="418" t="str">
        <f t="shared" si="1713"/>
        <v/>
      </c>
      <c r="BA1120" s="418" t="str">
        <f t="shared" si="1714"/>
        <v/>
      </c>
      <c r="BB1120" s="418" t="str">
        <f t="shared" si="1715"/>
        <v/>
      </c>
      <c r="BC1120" s="418" t="str">
        <f t="shared" si="1716"/>
        <v/>
      </c>
      <c r="BD1120" s="418" t="str">
        <f t="shared" si="1717"/>
        <v/>
      </c>
      <c r="BE1120" s="418" t="str">
        <f t="shared" si="1718"/>
        <v/>
      </c>
      <c r="BF1120" s="418" t="str">
        <f t="shared" si="1719"/>
        <v/>
      </c>
      <c r="BG1120" s="418" t="str">
        <f t="shared" si="1720"/>
        <v/>
      </c>
      <c r="BH1120" s="418" t="str">
        <f t="shared" si="1721"/>
        <v/>
      </c>
      <c r="BI1120" s="418" t="str">
        <f t="shared" si="1722"/>
        <v/>
      </c>
      <c r="BJ1120" s="418" t="str">
        <f t="shared" si="1723"/>
        <v/>
      </c>
      <c r="BK1120" s="418" t="str">
        <f t="shared" si="1724"/>
        <v/>
      </c>
      <c r="BL1120" s="418" t="str">
        <f t="shared" si="1725"/>
        <v/>
      </c>
      <c r="BM1120" s="418" t="str">
        <f t="shared" si="1726"/>
        <v/>
      </c>
      <c r="BN1120" s="418" t="str">
        <f t="shared" si="1727"/>
        <v/>
      </c>
      <c r="BO1120" s="418" t="str">
        <f t="shared" si="1728"/>
        <v/>
      </c>
      <c r="BP1120" s="418" t="str">
        <f t="shared" si="1729"/>
        <v/>
      </c>
      <c r="BQ1120" s="418" t="str">
        <f t="shared" si="1643"/>
        <v/>
      </c>
      <c r="BR1120" s="418" t="str">
        <f t="shared" si="1644"/>
        <v/>
      </c>
      <c r="BS1120" s="418" t="str">
        <f t="shared" si="1645"/>
        <v/>
      </c>
      <c r="BT1120" s="418" t="str">
        <f t="shared" si="1730"/>
        <v/>
      </c>
      <c r="BU1120" s="418" t="str">
        <f t="shared" si="1731"/>
        <v/>
      </c>
      <c r="BV1120" s="624">
        <v>2.02</v>
      </c>
      <c r="BW1120" s="723">
        <f t="shared" si="1732"/>
        <v>7053.84</v>
      </c>
      <c r="BX1120" s="724">
        <f t="shared" si="1733"/>
        <v>54667.26</v>
      </c>
      <c r="BY1120" s="725" t="str">
        <f t="shared" si="1734"/>
        <v>SR</v>
      </c>
    </row>
    <row r="1121" s="697" customFormat="1" customHeight="1" spans="1:77">
      <c r="A1121" s="362">
        <v>46196</v>
      </c>
      <c r="B1121" s="362">
        <v>46268</v>
      </c>
      <c r="C1121" s="129"/>
      <c r="D1121" s="431" t="s">
        <v>989</v>
      </c>
      <c r="E1121" s="431" t="s">
        <v>99</v>
      </c>
      <c r="F1121" s="96">
        <v>19032</v>
      </c>
      <c r="G1121" s="129" t="s">
        <v>510</v>
      </c>
      <c r="H1121" s="118" t="str">
        <f>IFERROR(VLOOKUP(E1121,名称!A:E,4,0),"")</f>
        <v>三代</v>
      </c>
      <c r="I1121" s="418" t="str">
        <f t="shared" si="1670"/>
        <v/>
      </c>
      <c r="J1121" s="418" t="str">
        <f t="shared" si="1671"/>
        <v/>
      </c>
      <c r="K1121" s="418" t="str">
        <f t="shared" si="1672"/>
        <v/>
      </c>
      <c r="L1121" s="418" t="str">
        <f t="shared" si="1673"/>
        <v/>
      </c>
      <c r="M1121" s="418" t="str">
        <f t="shared" si="1674"/>
        <v/>
      </c>
      <c r="N1121" s="418" t="str">
        <f t="shared" si="1675"/>
        <v/>
      </c>
      <c r="O1121" s="418" t="str">
        <f t="shared" si="1676"/>
        <v/>
      </c>
      <c r="P1121" s="418" t="str">
        <f t="shared" si="1677"/>
        <v/>
      </c>
      <c r="Q1121" s="418" t="str">
        <f t="shared" si="1678"/>
        <v/>
      </c>
      <c r="R1121" s="418" t="str">
        <f t="shared" si="1679"/>
        <v/>
      </c>
      <c r="S1121" s="418" t="str">
        <f t="shared" si="1680"/>
        <v/>
      </c>
      <c r="T1121" s="418" t="str">
        <f t="shared" si="1681"/>
        <v/>
      </c>
      <c r="U1121" s="418" t="str">
        <f t="shared" si="1682"/>
        <v/>
      </c>
      <c r="V1121" s="418" t="str">
        <f t="shared" si="1683"/>
        <v/>
      </c>
      <c r="W1121" s="418" t="str">
        <f t="shared" si="1684"/>
        <v/>
      </c>
      <c r="X1121" s="418" t="str">
        <f t="shared" si="1685"/>
        <v/>
      </c>
      <c r="Y1121" s="418" t="str">
        <f t="shared" si="1686"/>
        <v/>
      </c>
      <c r="Z1121" s="418" t="str">
        <f t="shared" si="1687"/>
        <v/>
      </c>
      <c r="AA1121" s="418" t="str">
        <f t="shared" si="1688"/>
        <v/>
      </c>
      <c r="AB1121" s="418" t="str">
        <f t="shared" si="1689"/>
        <v/>
      </c>
      <c r="AC1121" s="418">
        <f t="shared" si="1690"/>
        <v>19032</v>
      </c>
      <c r="AD1121" s="418" t="str">
        <f t="shared" si="1691"/>
        <v/>
      </c>
      <c r="AE1121" s="418" t="str">
        <f t="shared" si="1692"/>
        <v/>
      </c>
      <c r="AF1121" s="418" t="str">
        <f t="shared" si="1693"/>
        <v/>
      </c>
      <c r="AG1121" s="418" t="str">
        <f t="shared" si="1694"/>
        <v/>
      </c>
      <c r="AH1121" s="418" t="str">
        <f t="shared" si="1695"/>
        <v/>
      </c>
      <c r="AI1121" s="418" t="str">
        <f t="shared" si="1696"/>
        <v/>
      </c>
      <c r="AJ1121" s="418" t="str">
        <f t="shared" si="1697"/>
        <v/>
      </c>
      <c r="AK1121" s="418" t="str">
        <f t="shared" si="1698"/>
        <v/>
      </c>
      <c r="AL1121" s="418" t="str">
        <f t="shared" si="1699"/>
        <v/>
      </c>
      <c r="AM1121" s="418" t="str">
        <f t="shared" si="1700"/>
        <v/>
      </c>
      <c r="AN1121" s="418" t="str">
        <f t="shared" si="1701"/>
        <v/>
      </c>
      <c r="AO1121" s="418" t="str">
        <f t="shared" si="1702"/>
        <v/>
      </c>
      <c r="AP1121" s="418" t="str">
        <f t="shared" si="1703"/>
        <v/>
      </c>
      <c r="AQ1121" s="418" t="str">
        <f t="shared" si="1704"/>
        <v/>
      </c>
      <c r="AR1121" s="418" t="str">
        <f t="shared" si="1705"/>
        <v/>
      </c>
      <c r="AS1121" s="418" t="str">
        <f t="shared" si="1706"/>
        <v/>
      </c>
      <c r="AT1121" s="418" t="str">
        <f t="shared" si="1707"/>
        <v/>
      </c>
      <c r="AU1121" s="418" t="str">
        <f t="shared" si="1708"/>
        <v/>
      </c>
      <c r="AV1121" s="418" t="str">
        <f t="shared" si="1709"/>
        <v/>
      </c>
      <c r="AW1121" s="418" t="str">
        <f t="shared" si="1710"/>
        <v/>
      </c>
      <c r="AX1121" s="418" t="str">
        <f t="shared" si="1711"/>
        <v/>
      </c>
      <c r="AY1121" s="418" t="str">
        <f t="shared" si="1712"/>
        <v/>
      </c>
      <c r="AZ1121" s="418" t="str">
        <f t="shared" si="1713"/>
        <v/>
      </c>
      <c r="BA1121" s="418" t="str">
        <f t="shared" si="1714"/>
        <v/>
      </c>
      <c r="BB1121" s="418" t="str">
        <f t="shared" si="1715"/>
        <v/>
      </c>
      <c r="BC1121" s="418" t="str">
        <f t="shared" si="1716"/>
        <v/>
      </c>
      <c r="BD1121" s="418" t="str">
        <f t="shared" si="1717"/>
        <v/>
      </c>
      <c r="BE1121" s="418" t="str">
        <f t="shared" si="1718"/>
        <v/>
      </c>
      <c r="BF1121" s="418" t="str">
        <f t="shared" si="1719"/>
        <v/>
      </c>
      <c r="BG1121" s="418" t="str">
        <f t="shared" si="1720"/>
        <v/>
      </c>
      <c r="BH1121" s="418" t="str">
        <f t="shared" si="1721"/>
        <v/>
      </c>
      <c r="BI1121" s="418" t="str">
        <f t="shared" si="1722"/>
        <v/>
      </c>
      <c r="BJ1121" s="418" t="str">
        <f t="shared" si="1723"/>
        <v/>
      </c>
      <c r="BK1121" s="418" t="str">
        <f t="shared" si="1724"/>
        <v/>
      </c>
      <c r="BL1121" s="418" t="str">
        <f t="shared" si="1725"/>
        <v/>
      </c>
      <c r="BM1121" s="418" t="str">
        <f t="shared" si="1726"/>
        <v/>
      </c>
      <c r="BN1121" s="418" t="str">
        <f t="shared" si="1727"/>
        <v/>
      </c>
      <c r="BO1121" s="418" t="str">
        <f t="shared" si="1728"/>
        <v/>
      </c>
      <c r="BP1121" s="418" t="str">
        <f t="shared" si="1729"/>
        <v/>
      </c>
      <c r="BQ1121" s="418" t="str">
        <f t="shared" si="1643"/>
        <v/>
      </c>
      <c r="BR1121" s="418" t="str">
        <f t="shared" si="1644"/>
        <v/>
      </c>
      <c r="BS1121" s="418" t="str">
        <f t="shared" si="1645"/>
        <v/>
      </c>
      <c r="BT1121" s="418" t="str">
        <f t="shared" si="1730"/>
        <v/>
      </c>
      <c r="BU1121" s="418" t="str">
        <f t="shared" si="1731"/>
        <v/>
      </c>
      <c r="BV1121" s="624">
        <v>0.85</v>
      </c>
      <c r="BW1121" s="723">
        <f t="shared" si="1732"/>
        <v>16177.2</v>
      </c>
      <c r="BX1121" s="724">
        <f t="shared" si="1733"/>
        <v>125373.3</v>
      </c>
      <c r="BY1121" s="725" t="str">
        <f t="shared" si="1734"/>
        <v>SR</v>
      </c>
    </row>
    <row r="1122" s="697" customFormat="1" customHeight="1" spans="1:77">
      <c r="A1122" s="362">
        <v>46196</v>
      </c>
      <c r="B1122" s="362">
        <v>46268</v>
      </c>
      <c r="C1122" s="129"/>
      <c r="D1122" s="431" t="s">
        <v>989</v>
      </c>
      <c r="E1122" s="431" t="s">
        <v>66</v>
      </c>
      <c r="F1122" s="96">
        <v>6222</v>
      </c>
      <c r="G1122" s="129" t="s">
        <v>510</v>
      </c>
      <c r="H1122" s="118" t="str">
        <f>IFERROR(VLOOKUP(E1122,名称!A:E,4,0),"")</f>
        <v>三代</v>
      </c>
      <c r="I1122" s="418" t="str">
        <f t="shared" si="1670"/>
        <v/>
      </c>
      <c r="J1122" s="418" t="str">
        <f t="shared" si="1671"/>
        <v/>
      </c>
      <c r="K1122" s="418" t="str">
        <f t="shared" si="1672"/>
        <v/>
      </c>
      <c r="L1122" s="418" t="str">
        <f t="shared" si="1673"/>
        <v/>
      </c>
      <c r="M1122" s="418" t="str">
        <f t="shared" si="1674"/>
        <v/>
      </c>
      <c r="N1122" s="418" t="str">
        <f t="shared" si="1675"/>
        <v/>
      </c>
      <c r="O1122" s="418" t="str">
        <f t="shared" si="1676"/>
        <v/>
      </c>
      <c r="P1122" s="418" t="str">
        <f t="shared" si="1677"/>
        <v/>
      </c>
      <c r="Q1122" s="418" t="str">
        <f t="shared" si="1678"/>
        <v/>
      </c>
      <c r="R1122" s="418" t="str">
        <f t="shared" si="1679"/>
        <v/>
      </c>
      <c r="S1122" s="418" t="str">
        <f t="shared" si="1680"/>
        <v/>
      </c>
      <c r="T1122" s="418" t="str">
        <f t="shared" si="1681"/>
        <v/>
      </c>
      <c r="U1122" s="418" t="str">
        <f t="shared" si="1682"/>
        <v/>
      </c>
      <c r="V1122" s="418" t="str">
        <f t="shared" si="1683"/>
        <v/>
      </c>
      <c r="W1122" s="418" t="str">
        <f t="shared" si="1684"/>
        <v/>
      </c>
      <c r="X1122" s="418" t="str">
        <f t="shared" si="1685"/>
        <v/>
      </c>
      <c r="Y1122" s="418" t="str">
        <f t="shared" si="1686"/>
        <v/>
      </c>
      <c r="Z1122" s="418" t="str">
        <f t="shared" si="1687"/>
        <v/>
      </c>
      <c r="AA1122" s="418" t="str">
        <f t="shared" si="1688"/>
        <v/>
      </c>
      <c r="AB1122" s="418" t="str">
        <f t="shared" si="1689"/>
        <v/>
      </c>
      <c r="AC1122" s="418" t="str">
        <f t="shared" si="1690"/>
        <v/>
      </c>
      <c r="AD1122" s="418" t="str">
        <f t="shared" si="1691"/>
        <v/>
      </c>
      <c r="AE1122" s="418" t="str">
        <f t="shared" si="1692"/>
        <v/>
      </c>
      <c r="AF1122" s="418" t="str">
        <f t="shared" si="1693"/>
        <v/>
      </c>
      <c r="AG1122" s="418">
        <f t="shared" si="1694"/>
        <v>6222</v>
      </c>
      <c r="AH1122" s="418" t="str">
        <f t="shared" si="1695"/>
        <v/>
      </c>
      <c r="AI1122" s="418" t="str">
        <f t="shared" si="1696"/>
        <v/>
      </c>
      <c r="AJ1122" s="418" t="str">
        <f t="shared" si="1697"/>
        <v/>
      </c>
      <c r="AK1122" s="418" t="str">
        <f t="shared" si="1698"/>
        <v/>
      </c>
      <c r="AL1122" s="418" t="str">
        <f t="shared" si="1699"/>
        <v/>
      </c>
      <c r="AM1122" s="418" t="str">
        <f t="shared" si="1700"/>
        <v/>
      </c>
      <c r="AN1122" s="418" t="str">
        <f t="shared" si="1701"/>
        <v/>
      </c>
      <c r="AO1122" s="418" t="str">
        <f t="shared" si="1702"/>
        <v/>
      </c>
      <c r="AP1122" s="418" t="str">
        <f t="shared" si="1703"/>
        <v/>
      </c>
      <c r="AQ1122" s="418" t="str">
        <f t="shared" si="1704"/>
        <v/>
      </c>
      <c r="AR1122" s="418" t="str">
        <f t="shared" si="1705"/>
        <v/>
      </c>
      <c r="AS1122" s="418" t="str">
        <f t="shared" si="1706"/>
        <v/>
      </c>
      <c r="AT1122" s="418" t="str">
        <f t="shared" si="1707"/>
        <v/>
      </c>
      <c r="AU1122" s="418" t="str">
        <f t="shared" si="1708"/>
        <v/>
      </c>
      <c r="AV1122" s="418" t="str">
        <f t="shared" si="1709"/>
        <v/>
      </c>
      <c r="AW1122" s="418" t="str">
        <f t="shared" si="1710"/>
        <v/>
      </c>
      <c r="AX1122" s="418" t="str">
        <f t="shared" si="1711"/>
        <v/>
      </c>
      <c r="AY1122" s="418" t="str">
        <f t="shared" si="1712"/>
        <v/>
      </c>
      <c r="AZ1122" s="418" t="str">
        <f t="shared" si="1713"/>
        <v/>
      </c>
      <c r="BA1122" s="418" t="str">
        <f t="shared" si="1714"/>
        <v/>
      </c>
      <c r="BB1122" s="418" t="str">
        <f t="shared" si="1715"/>
        <v/>
      </c>
      <c r="BC1122" s="418" t="str">
        <f t="shared" si="1716"/>
        <v/>
      </c>
      <c r="BD1122" s="418" t="str">
        <f t="shared" si="1717"/>
        <v/>
      </c>
      <c r="BE1122" s="418" t="str">
        <f t="shared" si="1718"/>
        <v/>
      </c>
      <c r="BF1122" s="418" t="str">
        <f t="shared" si="1719"/>
        <v/>
      </c>
      <c r="BG1122" s="418" t="str">
        <f t="shared" si="1720"/>
        <v/>
      </c>
      <c r="BH1122" s="418" t="str">
        <f t="shared" si="1721"/>
        <v/>
      </c>
      <c r="BI1122" s="418" t="str">
        <f t="shared" si="1722"/>
        <v/>
      </c>
      <c r="BJ1122" s="418" t="str">
        <f t="shared" si="1723"/>
        <v/>
      </c>
      <c r="BK1122" s="418" t="str">
        <f t="shared" si="1724"/>
        <v/>
      </c>
      <c r="BL1122" s="418" t="str">
        <f t="shared" si="1725"/>
        <v/>
      </c>
      <c r="BM1122" s="418" t="str">
        <f t="shared" si="1726"/>
        <v/>
      </c>
      <c r="BN1122" s="418" t="str">
        <f t="shared" si="1727"/>
        <v/>
      </c>
      <c r="BO1122" s="418" t="str">
        <f t="shared" si="1728"/>
        <v/>
      </c>
      <c r="BP1122" s="418" t="str">
        <f t="shared" si="1729"/>
        <v/>
      </c>
      <c r="BQ1122" s="418" t="str">
        <f t="shared" si="1643"/>
        <v/>
      </c>
      <c r="BR1122" s="418" t="str">
        <f t="shared" si="1644"/>
        <v/>
      </c>
      <c r="BS1122" s="418" t="str">
        <f t="shared" si="1645"/>
        <v/>
      </c>
      <c r="BT1122" s="418" t="str">
        <f t="shared" si="1730"/>
        <v/>
      </c>
      <c r="BU1122" s="418" t="str">
        <f t="shared" si="1731"/>
        <v/>
      </c>
      <c r="BV1122" s="624">
        <v>2.02</v>
      </c>
      <c r="BW1122" s="723">
        <f t="shared" si="1732"/>
        <v>12568.44</v>
      </c>
      <c r="BX1122" s="724">
        <f t="shared" si="1733"/>
        <v>97405.41</v>
      </c>
      <c r="BY1122" s="725" t="str">
        <f t="shared" si="1734"/>
        <v>SR</v>
      </c>
    </row>
    <row r="1123" s="697" customFormat="1" customHeight="1" spans="1:77">
      <c r="A1123" s="362">
        <v>46196</v>
      </c>
      <c r="B1123" s="362">
        <v>46268</v>
      </c>
      <c r="C1123" s="129"/>
      <c r="D1123" s="431" t="s">
        <v>989</v>
      </c>
      <c r="E1123" s="431" t="s">
        <v>109</v>
      </c>
      <c r="F1123" s="96">
        <v>9768</v>
      </c>
      <c r="G1123" s="129" t="s">
        <v>510</v>
      </c>
      <c r="H1123" s="118" t="str">
        <f>IFERROR(VLOOKUP(E1123,名称!A:E,4,0),"")</f>
        <v>三代</v>
      </c>
      <c r="I1123" s="418" t="str">
        <f t="shared" si="1670"/>
        <v/>
      </c>
      <c r="J1123" s="418" t="str">
        <f t="shared" si="1671"/>
        <v/>
      </c>
      <c r="K1123" s="418" t="str">
        <f t="shared" si="1672"/>
        <v/>
      </c>
      <c r="L1123" s="418" t="str">
        <f t="shared" si="1673"/>
        <v/>
      </c>
      <c r="M1123" s="418" t="str">
        <f t="shared" si="1674"/>
        <v/>
      </c>
      <c r="N1123" s="418" t="str">
        <f t="shared" si="1675"/>
        <v/>
      </c>
      <c r="O1123" s="418" t="str">
        <f t="shared" si="1676"/>
        <v/>
      </c>
      <c r="P1123" s="418" t="str">
        <f t="shared" si="1677"/>
        <v/>
      </c>
      <c r="Q1123" s="418" t="str">
        <f t="shared" si="1678"/>
        <v/>
      </c>
      <c r="R1123" s="418" t="str">
        <f t="shared" si="1679"/>
        <v/>
      </c>
      <c r="S1123" s="418" t="str">
        <f t="shared" si="1680"/>
        <v/>
      </c>
      <c r="T1123" s="418" t="str">
        <f t="shared" si="1681"/>
        <v/>
      </c>
      <c r="U1123" s="418" t="str">
        <f t="shared" si="1682"/>
        <v/>
      </c>
      <c r="V1123" s="418" t="str">
        <f t="shared" si="1683"/>
        <v/>
      </c>
      <c r="W1123" s="418" t="str">
        <f t="shared" si="1684"/>
        <v/>
      </c>
      <c r="X1123" s="418" t="str">
        <f t="shared" si="1685"/>
        <v/>
      </c>
      <c r="Y1123" s="418" t="str">
        <f t="shared" si="1686"/>
        <v/>
      </c>
      <c r="Z1123" s="418" t="str">
        <f t="shared" si="1687"/>
        <v/>
      </c>
      <c r="AA1123" s="418" t="str">
        <f t="shared" si="1688"/>
        <v/>
      </c>
      <c r="AB1123" s="418" t="str">
        <f t="shared" si="1689"/>
        <v/>
      </c>
      <c r="AC1123" s="418" t="str">
        <f t="shared" si="1690"/>
        <v/>
      </c>
      <c r="AD1123" s="418" t="str">
        <f t="shared" si="1691"/>
        <v/>
      </c>
      <c r="AE1123" s="418" t="str">
        <f t="shared" si="1692"/>
        <v/>
      </c>
      <c r="AF1123" s="418" t="str">
        <f t="shared" si="1693"/>
        <v/>
      </c>
      <c r="AG1123" s="418" t="str">
        <f t="shared" si="1694"/>
        <v/>
      </c>
      <c r="AH1123" s="418" t="str">
        <f t="shared" si="1695"/>
        <v/>
      </c>
      <c r="AI1123" s="418" t="str">
        <f t="shared" si="1696"/>
        <v/>
      </c>
      <c r="AJ1123" s="418" t="str">
        <f t="shared" si="1697"/>
        <v/>
      </c>
      <c r="AK1123" s="418" t="str">
        <f t="shared" si="1698"/>
        <v/>
      </c>
      <c r="AL1123" s="418" t="str">
        <f t="shared" si="1699"/>
        <v/>
      </c>
      <c r="AM1123" s="418" t="str">
        <f t="shared" si="1700"/>
        <v/>
      </c>
      <c r="AN1123" s="418" t="str">
        <f t="shared" si="1701"/>
        <v/>
      </c>
      <c r="AO1123" s="418" t="str">
        <f t="shared" si="1702"/>
        <v/>
      </c>
      <c r="AP1123" s="418" t="str">
        <f t="shared" si="1703"/>
        <v/>
      </c>
      <c r="AQ1123" s="418" t="str">
        <f t="shared" si="1704"/>
        <v/>
      </c>
      <c r="AR1123" s="418" t="str">
        <f t="shared" si="1705"/>
        <v/>
      </c>
      <c r="AS1123" s="418" t="str">
        <f t="shared" si="1706"/>
        <v/>
      </c>
      <c r="AT1123" s="418" t="str">
        <f t="shared" si="1707"/>
        <v/>
      </c>
      <c r="AU1123" s="418" t="str">
        <f t="shared" si="1708"/>
        <v/>
      </c>
      <c r="AV1123" s="418" t="str">
        <f t="shared" si="1709"/>
        <v/>
      </c>
      <c r="AW1123" s="418" t="str">
        <f t="shared" si="1710"/>
        <v/>
      </c>
      <c r="AX1123" s="418" t="str">
        <f t="shared" si="1711"/>
        <v/>
      </c>
      <c r="AY1123" s="418" t="str">
        <f t="shared" si="1712"/>
        <v/>
      </c>
      <c r="AZ1123" s="418" t="str">
        <f t="shared" si="1713"/>
        <v/>
      </c>
      <c r="BA1123" s="418" t="str">
        <f t="shared" si="1714"/>
        <v/>
      </c>
      <c r="BB1123" s="418" t="str">
        <f t="shared" si="1715"/>
        <v/>
      </c>
      <c r="BC1123" s="418">
        <f t="shared" si="1716"/>
        <v>9768</v>
      </c>
      <c r="BD1123" s="418" t="str">
        <f t="shared" si="1717"/>
        <v/>
      </c>
      <c r="BE1123" s="418" t="str">
        <f t="shared" si="1718"/>
        <v/>
      </c>
      <c r="BF1123" s="418" t="str">
        <f t="shared" si="1719"/>
        <v/>
      </c>
      <c r="BG1123" s="418" t="str">
        <f t="shared" si="1720"/>
        <v/>
      </c>
      <c r="BH1123" s="418" t="str">
        <f t="shared" si="1721"/>
        <v/>
      </c>
      <c r="BI1123" s="418" t="str">
        <f t="shared" si="1722"/>
        <v/>
      </c>
      <c r="BJ1123" s="418" t="str">
        <f t="shared" si="1723"/>
        <v/>
      </c>
      <c r="BK1123" s="418" t="str">
        <f t="shared" si="1724"/>
        <v/>
      </c>
      <c r="BL1123" s="418" t="str">
        <f t="shared" si="1725"/>
        <v/>
      </c>
      <c r="BM1123" s="418" t="str">
        <f t="shared" si="1726"/>
        <v/>
      </c>
      <c r="BN1123" s="418" t="str">
        <f t="shared" si="1727"/>
        <v/>
      </c>
      <c r="BO1123" s="418" t="str">
        <f t="shared" si="1728"/>
        <v/>
      </c>
      <c r="BP1123" s="418" t="str">
        <f t="shared" si="1729"/>
        <v/>
      </c>
      <c r="BQ1123" s="418" t="str">
        <f t="shared" si="1643"/>
        <v/>
      </c>
      <c r="BR1123" s="418" t="str">
        <f t="shared" si="1644"/>
        <v/>
      </c>
      <c r="BS1123" s="418" t="str">
        <f t="shared" si="1645"/>
        <v/>
      </c>
      <c r="BT1123" s="418" t="str">
        <f t="shared" si="1730"/>
        <v/>
      </c>
      <c r="BU1123" s="418" t="str">
        <f t="shared" si="1731"/>
        <v/>
      </c>
      <c r="BV1123" s="624">
        <v>0.6</v>
      </c>
      <c r="BW1123" s="723">
        <f t="shared" si="1732"/>
        <v>5860.8</v>
      </c>
      <c r="BX1123" s="724">
        <f t="shared" si="1733"/>
        <v>45421.2</v>
      </c>
      <c r="BY1123" s="725" t="str">
        <f t="shared" si="1734"/>
        <v>JS</v>
      </c>
    </row>
    <row r="1124" s="697" customFormat="1" customHeight="1" spans="1:77">
      <c r="A1124" s="362">
        <v>46196</v>
      </c>
      <c r="B1124" s="362">
        <v>46268</v>
      </c>
      <c r="C1124" s="129"/>
      <c r="D1124" s="431" t="s">
        <v>989</v>
      </c>
      <c r="E1124" s="431" t="s">
        <v>85</v>
      </c>
      <c r="F1124" s="96">
        <v>9768</v>
      </c>
      <c r="G1124" s="129" t="s">
        <v>510</v>
      </c>
      <c r="H1124" s="118" t="str">
        <f>IFERROR(VLOOKUP(E1124,名称!A:E,4,0),"")</f>
        <v>三代</v>
      </c>
      <c r="I1124" s="418" t="str">
        <f t="shared" si="1670"/>
        <v/>
      </c>
      <c r="J1124" s="418" t="str">
        <f t="shared" si="1671"/>
        <v/>
      </c>
      <c r="K1124" s="418" t="str">
        <f t="shared" si="1672"/>
        <v/>
      </c>
      <c r="L1124" s="418" t="str">
        <f t="shared" si="1673"/>
        <v/>
      </c>
      <c r="M1124" s="418" t="str">
        <f t="shared" si="1674"/>
        <v/>
      </c>
      <c r="N1124" s="418" t="str">
        <f t="shared" si="1675"/>
        <v/>
      </c>
      <c r="O1124" s="418" t="str">
        <f t="shared" si="1676"/>
        <v/>
      </c>
      <c r="P1124" s="418" t="str">
        <f t="shared" si="1677"/>
        <v/>
      </c>
      <c r="Q1124" s="418" t="str">
        <f t="shared" si="1678"/>
        <v/>
      </c>
      <c r="R1124" s="418" t="str">
        <f t="shared" si="1679"/>
        <v/>
      </c>
      <c r="S1124" s="418" t="str">
        <f t="shared" si="1680"/>
        <v/>
      </c>
      <c r="T1124" s="418" t="str">
        <f t="shared" si="1681"/>
        <v/>
      </c>
      <c r="U1124" s="418" t="str">
        <f t="shared" si="1682"/>
        <v/>
      </c>
      <c r="V1124" s="418" t="str">
        <f t="shared" si="1683"/>
        <v/>
      </c>
      <c r="W1124" s="418" t="str">
        <f t="shared" si="1684"/>
        <v/>
      </c>
      <c r="X1124" s="418" t="str">
        <f t="shared" si="1685"/>
        <v/>
      </c>
      <c r="Y1124" s="418" t="str">
        <f t="shared" si="1686"/>
        <v/>
      </c>
      <c r="Z1124" s="418" t="str">
        <f t="shared" si="1687"/>
        <v/>
      </c>
      <c r="AA1124" s="418" t="str">
        <f t="shared" si="1688"/>
        <v/>
      </c>
      <c r="AB1124" s="418" t="str">
        <f t="shared" si="1689"/>
        <v/>
      </c>
      <c r="AC1124" s="418" t="str">
        <f t="shared" si="1690"/>
        <v/>
      </c>
      <c r="AD1124" s="418" t="str">
        <f t="shared" si="1691"/>
        <v/>
      </c>
      <c r="AE1124" s="418" t="str">
        <f t="shared" si="1692"/>
        <v/>
      </c>
      <c r="AF1124" s="418" t="str">
        <f t="shared" si="1693"/>
        <v/>
      </c>
      <c r="AG1124" s="418" t="str">
        <f t="shared" si="1694"/>
        <v/>
      </c>
      <c r="AH1124" s="418" t="str">
        <f t="shared" si="1695"/>
        <v/>
      </c>
      <c r="AI1124" s="418" t="str">
        <f t="shared" si="1696"/>
        <v/>
      </c>
      <c r="AJ1124" s="418" t="str">
        <f t="shared" si="1697"/>
        <v/>
      </c>
      <c r="AK1124" s="418" t="str">
        <f t="shared" si="1698"/>
        <v/>
      </c>
      <c r="AL1124" s="418" t="str">
        <f t="shared" si="1699"/>
        <v/>
      </c>
      <c r="AM1124" s="418" t="str">
        <f t="shared" si="1700"/>
        <v/>
      </c>
      <c r="AN1124" s="418">
        <f t="shared" si="1701"/>
        <v>9768</v>
      </c>
      <c r="AO1124" s="418" t="str">
        <f t="shared" si="1702"/>
        <v/>
      </c>
      <c r="AP1124" s="418" t="str">
        <f t="shared" si="1703"/>
        <v/>
      </c>
      <c r="AQ1124" s="418" t="str">
        <f t="shared" si="1704"/>
        <v/>
      </c>
      <c r="AR1124" s="418" t="str">
        <f t="shared" si="1705"/>
        <v/>
      </c>
      <c r="AS1124" s="418" t="str">
        <f t="shared" si="1706"/>
        <v/>
      </c>
      <c r="AT1124" s="418" t="str">
        <f t="shared" si="1707"/>
        <v/>
      </c>
      <c r="AU1124" s="418" t="str">
        <f t="shared" si="1708"/>
        <v/>
      </c>
      <c r="AV1124" s="418" t="str">
        <f t="shared" si="1709"/>
        <v/>
      </c>
      <c r="AW1124" s="418" t="str">
        <f t="shared" si="1710"/>
        <v/>
      </c>
      <c r="AX1124" s="418" t="str">
        <f t="shared" si="1711"/>
        <v/>
      </c>
      <c r="AY1124" s="418" t="str">
        <f t="shared" si="1712"/>
        <v/>
      </c>
      <c r="AZ1124" s="418" t="str">
        <f t="shared" si="1713"/>
        <v/>
      </c>
      <c r="BA1124" s="418" t="str">
        <f t="shared" si="1714"/>
        <v/>
      </c>
      <c r="BB1124" s="418" t="str">
        <f t="shared" si="1715"/>
        <v/>
      </c>
      <c r="BC1124" s="418" t="str">
        <f t="shared" si="1716"/>
        <v/>
      </c>
      <c r="BD1124" s="418" t="str">
        <f t="shared" si="1717"/>
        <v/>
      </c>
      <c r="BE1124" s="418" t="str">
        <f t="shared" si="1718"/>
        <v/>
      </c>
      <c r="BF1124" s="418" t="str">
        <f t="shared" si="1719"/>
        <v/>
      </c>
      <c r="BG1124" s="418" t="str">
        <f t="shared" si="1720"/>
        <v/>
      </c>
      <c r="BH1124" s="418" t="str">
        <f t="shared" si="1721"/>
        <v/>
      </c>
      <c r="BI1124" s="418" t="str">
        <f t="shared" si="1722"/>
        <v/>
      </c>
      <c r="BJ1124" s="418" t="str">
        <f t="shared" si="1723"/>
        <v/>
      </c>
      <c r="BK1124" s="418" t="str">
        <f t="shared" si="1724"/>
        <v/>
      </c>
      <c r="BL1124" s="418" t="str">
        <f t="shared" si="1725"/>
        <v/>
      </c>
      <c r="BM1124" s="418" t="str">
        <f t="shared" si="1726"/>
        <v/>
      </c>
      <c r="BN1124" s="418" t="str">
        <f t="shared" si="1727"/>
        <v/>
      </c>
      <c r="BO1124" s="418" t="str">
        <f t="shared" si="1728"/>
        <v/>
      </c>
      <c r="BP1124" s="418" t="str">
        <f t="shared" si="1729"/>
        <v/>
      </c>
      <c r="BQ1124" s="418" t="str">
        <f t="shared" ref="BQ1124:BQ1129" si="1735">IF(OR($E1124="",BQ$1=""),"",IF(TRIM(LEFT($E1124,MIN(IFERROR(FIND("CDU",UPPER($E1124)),999),IFERROR(FIND("BULK",UPPER($E1124)),999),IFERROR(FIND("-",$E1124),999),IFERROR(FIND("（",$E1124),999))-1))=BQ$1,$F1124,""))</f>
        <v/>
      </c>
      <c r="BR1124" s="418" t="str">
        <f t="shared" ref="BR1124:BR1129" si="1736">IF(OR($E1124="",BR$1=""),"",IF(TRIM(LEFT($E1124,MIN(IFERROR(FIND("CDU",UPPER($E1124)),999),IFERROR(FIND("BULK",UPPER($E1124)),999),IFERROR(FIND("-",$E1124),999),IFERROR(FIND("（",$E1124),999))-1))=BR$1,$F1124,""))</f>
        <v/>
      </c>
      <c r="BS1124" s="418" t="str">
        <f t="shared" ref="BS1124:BS1129" si="1737">IF(OR($E1124="",BS$1=""),"",IF(TRIM(LEFT($E1124,MIN(IFERROR(FIND("CDU",UPPER($E1124)),999),IFERROR(FIND("BULK",UPPER($E1124)),999),IFERROR(FIND("-",$E1124),999),IFERROR(FIND("（",$E1124),999))-1))=BS$1,$F1124,""))</f>
        <v/>
      </c>
      <c r="BT1124" s="418" t="str">
        <f t="shared" si="1730"/>
        <v/>
      </c>
      <c r="BU1124" s="418" t="str">
        <f t="shared" si="1731"/>
        <v/>
      </c>
      <c r="BV1124" s="624">
        <v>0.83</v>
      </c>
      <c r="BW1124" s="723">
        <f t="shared" si="1732"/>
        <v>8107.44</v>
      </c>
      <c r="BX1124" s="724">
        <f t="shared" si="1733"/>
        <v>62832.66</v>
      </c>
      <c r="BY1124" s="725" t="str">
        <f t="shared" si="1734"/>
        <v>SR</v>
      </c>
    </row>
    <row r="1125" s="697" customFormat="1" customHeight="1" spans="1:77">
      <c r="A1125" s="362">
        <v>46196</v>
      </c>
      <c r="B1125" s="362">
        <v>46268</v>
      </c>
      <c r="C1125" s="129"/>
      <c r="D1125" s="431" t="s">
        <v>989</v>
      </c>
      <c r="E1125" s="431" t="s">
        <v>68</v>
      </c>
      <c r="F1125" s="96">
        <v>1464</v>
      </c>
      <c r="G1125" s="129" t="s">
        <v>510</v>
      </c>
      <c r="H1125" s="118" t="str">
        <f>IFERROR(VLOOKUP(E1125,名称!A:E,4,0),"")</f>
        <v>三代</v>
      </c>
      <c r="I1125" s="418" t="str">
        <f t="shared" si="1670"/>
        <v/>
      </c>
      <c r="J1125" s="418" t="str">
        <f t="shared" si="1671"/>
        <v/>
      </c>
      <c r="K1125" s="418" t="str">
        <f t="shared" si="1672"/>
        <v/>
      </c>
      <c r="L1125" s="418" t="str">
        <f t="shared" si="1673"/>
        <v/>
      </c>
      <c r="M1125" s="418" t="str">
        <f t="shared" si="1674"/>
        <v/>
      </c>
      <c r="N1125" s="418" t="str">
        <f t="shared" si="1675"/>
        <v/>
      </c>
      <c r="O1125" s="418" t="str">
        <f t="shared" si="1676"/>
        <v/>
      </c>
      <c r="P1125" s="418" t="str">
        <f t="shared" si="1677"/>
        <v/>
      </c>
      <c r="Q1125" s="418" t="str">
        <f t="shared" si="1678"/>
        <v/>
      </c>
      <c r="R1125" s="418" t="str">
        <f t="shared" si="1679"/>
        <v/>
      </c>
      <c r="S1125" s="418" t="str">
        <f t="shared" si="1680"/>
        <v/>
      </c>
      <c r="T1125" s="418" t="str">
        <f t="shared" si="1681"/>
        <v/>
      </c>
      <c r="U1125" s="418" t="str">
        <f t="shared" si="1682"/>
        <v/>
      </c>
      <c r="V1125" s="418" t="str">
        <f t="shared" si="1683"/>
        <v/>
      </c>
      <c r="W1125" s="418" t="str">
        <f t="shared" si="1684"/>
        <v/>
      </c>
      <c r="X1125" s="418" t="str">
        <f t="shared" si="1685"/>
        <v/>
      </c>
      <c r="Y1125" s="418" t="str">
        <f t="shared" si="1686"/>
        <v/>
      </c>
      <c r="Z1125" s="418" t="str">
        <f t="shared" si="1687"/>
        <v/>
      </c>
      <c r="AA1125" s="418" t="str">
        <f t="shared" si="1688"/>
        <v/>
      </c>
      <c r="AB1125" s="418" t="str">
        <f t="shared" si="1689"/>
        <v/>
      </c>
      <c r="AC1125" s="418" t="str">
        <f t="shared" si="1690"/>
        <v/>
      </c>
      <c r="AD1125" s="418" t="str">
        <f t="shared" si="1691"/>
        <v/>
      </c>
      <c r="AE1125" s="418" t="str">
        <f t="shared" si="1692"/>
        <v/>
      </c>
      <c r="AF1125" s="418" t="str">
        <f t="shared" si="1693"/>
        <v/>
      </c>
      <c r="AG1125" s="418" t="str">
        <f t="shared" si="1694"/>
        <v/>
      </c>
      <c r="AH1125" s="418">
        <f t="shared" si="1695"/>
        <v>1464</v>
      </c>
      <c r="AI1125" s="418" t="str">
        <f t="shared" si="1696"/>
        <v/>
      </c>
      <c r="AJ1125" s="418" t="str">
        <f t="shared" si="1697"/>
        <v/>
      </c>
      <c r="AK1125" s="418" t="str">
        <f t="shared" si="1698"/>
        <v/>
      </c>
      <c r="AL1125" s="418" t="str">
        <f t="shared" si="1699"/>
        <v/>
      </c>
      <c r="AM1125" s="418" t="str">
        <f t="shared" si="1700"/>
        <v/>
      </c>
      <c r="AN1125" s="418" t="str">
        <f t="shared" si="1701"/>
        <v/>
      </c>
      <c r="AO1125" s="418" t="str">
        <f t="shared" si="1702"/>
        <v/>
      </c>
      <c r="AP1125" s="418" t="str">
        <f t="shared" si="1703"/>
        <v/>
      </c>
      <c r="AQ1125" s="418" t="str">
        <f t="shared" si="1704"/>
        <v/>
      </c>
      <c r="AR1125" s="418" t="str">
        <f t="shared" si="1705"/>
        <v/>
      </c>
      <c r="AS1125" s="418" t="str">
        <f t="shared" si="1706"/>
        <v/>
      </c>
      <c r="AT1125" s="418" t="str">
        <f t="shared" si="1707"/>
        <v/>
      </c>
      <c r="AU1125" s="418" t="str">
        <f t="shared" si="1708"/>
        <v/>
      </c>
      <c r="AV1125" s="418" t="str">
        <f t="shared" si="1709"/>
        <v/>
      </c>
      <c r="AW1125" s="418" t="str">
        <f t="shared" si="1710"/>
        <v/>
      </c>
      <c r="AX1125" s="418" t="str">
        <f t="shared" si="1711"/>
        <v/>
      </c>
      <c r="AY1125" s="418" t="str">
        <f t="shared" si="1712"/>
        <v/>
      </c>
      <c r="AZ1125" s="418" t="str">
        <f t="shared" si="1713"/>
        <v/>
      </c>
      <c r="BA1125" s="418" t="str">
        <f t="shared" si="1714"/>
        <v/>
      </c>
      <c r="BB1125" s="418" t="str">
        <f t="shared" si="1715"/>
        <v/>
      </c>
      <c r="BC1125" s="418" t="str">
        <f t="shared" si="1716"/>
        <v/>
      </c>
      <c r="BD1125" s="418" t="str">
        <f t="shared" si="1717"/>
        <v/>
      </c>
      <c r="BE1125" s="418" t="str">
        <f t="shared" si="1718"/>
        <v/>
      </c>
      <c r="BF1125" s="418" t="str">
        <f t="shared" si="1719"/>
        <v/>
      </c>
      <c r="BG1125" s="418" t="str">
        <f t="shared" si="1720"/>
        <v/>
      </c>
      <c r="BH1125" s="418" t="str">
        <f t="shared" si="1721"/>
        <v/>
      </c>
      <c r="BI1125" s="418" t="str">
        <f t="shared" si="1722"/>
        <v/>
      </c>
      <c r="BJ1125" s="418" t="str">
        <f t="shared" si="1723"/>
        <v/>
      </c>
      <c r="BK1125" s="418" t="str">
        <f t="shared" si="1724"/>
        <v/>
      </c>
      <c r="BL1125" s="418" t="str">
        <f t="shared" si="1725"/>
        <v/>
      </c>
      <c r="BM1125" s="418" t="str">
        <f t="shared" si="1726"/>
        <v/>
      </c>
      <c r="BN1125" s="418" t="str">
        <f t="shared" si="1727"/>
        <v/>
      </c>
      <c r="BO1125" s="418" t="str">
        <f t="shared" si="1728"/>
        <v/>
      </c>
      <c r="BP1125" s="418" t="str">
        <f t="shared" si="1729"/>
        <v/>
      </c>
      <c r="BQ1125" s="418" t="str">
        <f t="shared" si="1735"/>
        <v/>
      </c>
      <c r="BR1125" s="418" t="str">
        <f t="shared" si="1736"/>
        <v/>
      </c>
      <c r="BS1125" s="418" t="str">
        <f t="shared" si="1737"/>
        <v/>
      </c>
      <c r="BT1125" s="418" t="str">
        <f t="shared" si="1730"/>
        <v/>
      </c>
      <c r="BU1125" s="418" t="str">
        <f t="shared" si="1731"/>
        <v/>
      </c>
      <c r="BV1125" s="624">
        <v>3.09</v>
      </c>
      <c r="BW1125" s="723">
        <f t="shared" si="1732"/>
        <v>4523.76</v>
      </c>
      <c r="BX1125" s="724">
        <f t="shared" si="1733"/>
        <v>35059.14</v>
      </c>
      <c r="BY1125" s="725" t="str">
        <f t="shared" si="1734"/>
        <v>SR</v>
      </c>
    </row>
    <row r="1126" s="697" customFormat="1" customHeight="1" spans="1:77">
      <c r="A1126" s="362">
        <v>46196</v>
      </c>
      <c r="B1126" s="362">
        <v>46276</v>
      </c>
      <c r="C1126" s="129">
        <v>2551020483</v>
      </c>
      <c r="D1126" s="431" t="s">
        <v>990</v>
      </c>
      <c r="E1126" s="431" t="s">
        <v>83</v>
      </c>
      <c r="F1126" s="96">
        <v>4008</v>
      </c>
      <c r="G1126" s="129" t="s">
        <v>253</v>
      </c>
      <c r="H1126" s="118" t="str">
        <f>IFERROR(VLOOKUP(E1126,名称!A:E,4,0),"")</f>
        <v>三代</v>
      </c>
      <c r="I1126" s="418" t="str">
        <f t="shared" ref="I1126:I1129" si="1738">IF(OR($E1126="",I$1=""),"",IF(TRIM(LEFT($E1126,MIN(IFERROR(FIND("CDU",UPPER($E1126)),999),IFERROR(FIND("BULK",UPPER($E1126)),999),IFERROR(FIND("-",$E1126),999),IFERROR(FIND("（",$E1126),999))-1))=I$1,$F1126,""))</f>
        <v/>
      </c>
      <c r="J1126" s="418" t="str">
        <f t="shared" ref="J1126:J1129" si="1739">IF(OR($E1126="",J$1=""),"",IF(TRIM(LEFT($E1126,MIN(IFERROR(FIND("CDU",UPPER($E1126)),999),IFERROR(FIND("BULK",UPPER($E1126)),999),IFERROR(FIND("-",$E1126),999),IFERROR(FIND("（",$E1126),999))-1))=J$1,$F1126,""))</f>
        <v/>
      </c>
      <c r="K1126" s="418" t="str">
        <f t="shared" ref="K1126:K1129" si="1740">IF(OR($E1126="",K$1=""),"",IF(TRIM(LEFT($E1126,MIN(IFERROR(FIND("CDU",UPPER($E1126)),999),IFERROR(FIND("BULK",UPPER($E1126)),999),IFERROR(FIND("-",$E1126),999),IFERROR(FIND("（",$E1126),999))-1))=K$1,$F1126,""))</f>
        <v/>
      </c>
      <c r="L1126" s="418" t="str">
        <f t="shared" ref="L1126:L1129" si="1741">IF(OR($E1126="",L$1=""),"",IF(TRIM(LEFT($E1126,MIN(IFERROR(FIND("CDU",UPPER($E1126)),999),IFERROR(FIND("BULK",UPPER($E1126)),999),IFERROR(FIND("-",$E1126),999),IFERROR(FIND("（",$E1126),999))-1))=L$1,$F1126,""))</f>
        <v/>
      </c>
      <c r="M1126" s="418" t="str">
        <f t="shared" ref="M1126:M1129" si="1742">IF(OR($E1126="",M$1=""),"",IF(TRIM(LEFT($E1126,MIN(IFERROR(FIND("CDU",UPPER($E1126)),999),IFERROR(FIND("BULK",UPPER($E1126)),999),IFERROR(FIND("-",$E1126),999),IFERROR(FIND("（",$E1126),999))-1))=M$1,$F1126,""))</f>
        <v/>
      </c>
      <c r="N1126" s="418" t="str">
        <f t="shared" ref="N1126:N1129" si="1743">IF(OR($E1126="",N$1=""),"",IF(TRIM(LEFT($E1126,MIN(IFERROR(FIND("CDU",UPPER($E1126)),999),IFERROR(FIND("BULK",UPPER($E1126)),999),IFERROR(FIND("-",$E1126),999),IFERROR(FIND("（",$E1126),999))-1))=N$1,$F1126,""))</f>
        <v/>
      </c>
      <c r="O1126" s="418" t="str">
        <f t="shared" ref="O1126:O1129" si="1744">IF(OR($E1126="",O$1=""),"",IF(TRIM(LEFT($E1126,MIN(IFERROR(FIND("CDU",UPPER($E1126)),999),IFERROR(FIND("BULK",UPPER($E1126)),999),IFERROR(FIND("-",$E1126),999),IFERROR(FIND("（",$E1126),999))-1))=O$1,$F1126,""))</f>
        <v/>
      </c>
      <c r="P1126" s="418" t="str">
        <f t="shared" ref="P1126:P1129" si="1745">IF(OR($E1126="",P$1=""),"",IF(TRIM(LEFT($E1126,MIN(IFERROR(FIND("CDU",UPPER($E1126)),999),IFERROR(FIND("BULK",UPPER($E1126)),999),IFERROR(FIND("-",$E1126),999),IFERROR(FIND("（",$E1126),999))-1))=P$1,$F1126,""))</f>
        <v/>
      </c>
      <c r="Q1126" s="418" t="str">
        <f t="shared" ref="Q1126:Q1129" si="1746">IF(OR($E1126="",Q$1=""),"",IF(TRIM(LEFT($E1126,MIN(IFERROR(FIND("CDU",UPPER($E1126)),999),IFERROR(FIND("BULK",UPPER($E1126)),999),IFERROR(FIND("-",$E1126),999),IFERROR(FIND("（",$E1126),999))-1))=Q$1,$F1126,""))</f>
        <v/>
      </c>
      <c r="R1126" s="418" t="str">
        <f t="shared" ref="R1126:R1129" si="1747">IF(OR($E1126="",R$1=""),"",IF(TRIM(LEFT($E1126,MIN(IFERROR(FIND("CDU",UPPER($E1126)),999),IFERROR(FIND("BULK",UPPER($E1126)),999),IFERROR(FIND("-",$E1126),999),IFERROR(FIND("（",$E1126),999))-1))=R$1,$F1126,""))</f>
        <v/>
      </c>
      <c r="S1126" s="418" t="str">
        <f t="shared" ref="S1126:S1129" si="1748">IF(OR($E1126="",S$1=""),"",IF(TRIM(LEFT($E1126,MIN(IFERROR(FIND("CDU",UPPER($E1126)),999),IFERROR(FIND("BULK",UPPER($E1126)),999),IFERROR(FIND("-",$E1126),999),IFERROR(FIND("（",$E1126),999))-1))=S$1,$F1126,""))</f>
        <v/>
      </c>
      <c r="T1126" s="418" t="str">
        <f t="shared" ref="T1126:T1129" si="1749">IF(OR($E1126="",T$1=""),"",IF(TRIM(LEFT($E1126,MIN(IFERROR(FIND("CDU",UPPER($E1126)),999),IFERROR(FIND("BULK",UPPER($E1126)),999),IFERROR(FIND("-",$E1126),999),IFERROR(FIND("（",$E1126),999))-1))=T$1,$F1126,""))</f>
        <v/>
      </c>
      <c r="U1126" s="418" t="str">
        <f t="shared" ref="U1126:U1129" si="1750">IF(OR($E1126="",U$1=""),"",IF(TRIM(LEFT($E1126,MIN(IFERROR(FIND("CDU",UPPER($E1126)),999),IFERROR(FIND("BULK",UPPER($E1126)),999),IFERROR(FIND("-",$E1126),999),IFERROR(FIND("（",$E1126),999))-1))=U$1,$F1126,""))</f>
        <v/>
      </c>
      <c r="V1126" s="418" t="str">
        <f t="shared" ref="V1126:V1129" si="1751">IF(OR($E1126="",V$1=""),"",IF(TRIM(LEFT($E1126,MIN(IFERROR(FIND("CDU",UPPER($E1126)),999),IFERROR(FIND("BULK",UPPER($E1126)),999),IFERROR(FIND("-",$E1126),999),IFERROR(FIND("（",$E1126),999))-1))=V$1,$F1126,""))</f>
        <v/>
      </c>
      <c r="W1126" s="418" t="str">
        <f t="shared" ref="W1126:W1129" si="1752">IF(OR($E1126="",W$1=""),"",IF(TRIM(LEFT($E1126,MIN(IFERROR(FIND("CDU",UPPER($E1126)),999),IFERROR(FIND("BULK",UPPER($E1126)),999),IFERROR(FIND("-",$E1126),999),IFERROR(FIND("（",$E1126),999))-1))=W$1,$F1126,""))</f>
        <v/>
      </c>
      <c r="X1126" s="418" t="str">
        <f t="shared" ref="X1126:X1129" si="1753">IF(OR($E1126="",X$1=""),"",IF(TRIM(LEFT($E1126,MIN(IFERROR(FIND("CDU",UPPER($E1126)),999),IFERROR(FIND("BULK",UPPER($E1126)),999),IFERROR(FIND("-",$E1126),999),IFERROR(FIND("（",$E1126),999))-1))=X$1,$F1126,""))</f>
        <v/>
      </c>
      <c r="Y1126" s="418" t="str">
        <f t="shared" ref="Y1126:Y1129" si="1754">IF(OR($E1126="",Y$1=""),"",IF(TRIM(LEFT($E1126,MIN(IFERROR(FIND("CDU",UPPER($E1126)),999),IFERROR(FIND("BULK",UPPER($E1126)),999),IFERROR(FIND("-",$E1126),999),IFERROR(FIND("（",$E1126),999))-1))=Y$1,$F1126,""))</f>
        <v/>
      </c>
      <c r="Z1126" s="418" t="str">
        <f t="shared" ref="Z1126:Z1129" si="1755">IF(OR($E1126="",Z$1=""),"",IF(TRIM(LEFT($E1126,MIN(IFERROR(FIND("CDU",UPPER($E1126)),999),IFERROR(FIND("BULK",UPPER($E1126)),999),IFERROR(FIND("-",$E1126),999),IFERROR(FIND("（",$E1126),999))-1))=Z$1,$F1126,""))</f>
        <v/>
      </c>
      <c r="AA1126" s="418" t="str">
        <f t="shared" ref="AA1126:AA1129" si="1756">IF(OR($E1126="",AA$1=""),"",IF(TRIM(LEFT($E1126,MIN(IFERROR(FIND("CDU",UPPER($E1126)),999),IFERROR(FIND("BULK",UPPER($E1126)),999),IFERROR(FIND("-",$E1126),999),IFERROR(FIND("（",$E1126),999))-1))=AA$1,$F1126,""))</f>
        <v/>
      </c>
      <c r="AB1126" s="418" t="str">
        <f t="shared" ref="AB1126:AB1129" si="1757">IF(OR($E1126="",AB$1=""),"",IF(TRIM(LEFT($E1126,MIN(IFERROR(FIND("CDU",UPPER($E1126)),999),IFERROR(FIND("BULK",UPPER($E1126)),999),IFERROR(FIND("-",$E1126),999),IFERROR(FIND("（",$E1126),999))-1))=AB$1,$F1126,""))</f>
        <v/>
      </c>
      <c r="AC1126" s="418" t="str">
        <f t="shared" ref="AC1126:AC1129" si="1758">IF(OR($E1126="",AC$1=""),"",IF(TRIM(LEFT($E1126,MIN(IFERROR(FIND("CDU",UPPER($E1126)),999),IFERROR(FIND("BULK",UPPER($E1126)),999),IFERROR(FIND("-",$E1126),999),IFERROR(FIND("（",$E1126),999))-1))=AC$1,$F1126,""))</f>
        <v/>
      </c>
      <c r="AD1126" s="418" t="str">
        <f t="shared" ref="AD1126:AD1129" si="1759">IF(OR($E1126="",AD$1=""),"",IF(TRIM(LEFT($E1126,MIN(IFERROR(FIND("CDU",UPPER($E1126)),999),IFERROR(FIND("BULK",UPPER($E1126)),999),IFERROR(FIND("-",$E1126),999),IFERROR(FIND("（",$E1126),999))-1))=AD$1,$F1126,""))</f>
        <v/>
      </c>
      <c r="AE1126" s="418" t="str">
        <f t="shared" ref="AE1126:AE1129" si="1760">IF(OR($E1126="",AE$1=""),"",IF(TRIM(LEFT($E1126,MIN(IFERROR(FIND("CDU",UPPER($E1126)),999),IFERROR(FIND("BULK",UPPER($E1126)),999),IFERROR(FIND("-",$E1126),999),IFERROR(FIND("（",$E1126),999))-1))=AE$1,$F1126,""))</f>
        <v/>
      </c>
      <c r="AF1126" s="418" t="str">
        <f t="shared" ref="AF1126:AF1129" si="1761">IF(OR($E1126="",AF$1=""),"",IF(TRIM(LEFT($E1126,MIN(IFERROR(FIND("CDU",UPPER($E1126)),999),IFERROR(FIND("BULK",UPPER($E1126)),999),IFERROR(FIND("-",$E1126),999),IFERROR(FIND("（",$E1126),999))-1))=AF$1,$F1126,""))</f>
        <v/>
      </c>
      <c r="AG1126" s="418" t="str">
        <f t="shared" ref="AG1126:AG1129" si="1762">IF(OR($E1126="",AG$1=""),"",IF(TRIM(LEFT($E1126,MIN(IFERROR(FIND("CDU",UPPER($E1126)),999),IFERROR(FIND("BULK",UPPER($E1126)),999),IFERROR(FIND("-",$E1126),999),IFERROR(FIND("（",$E1126),999))-1))=AG$1,$F1126,""))</f>
        <v/>
      </c>
      <c r="AH1126" s="418" t="str">
        <f t="shared" ref="AH1126:AH1129" si="1763">IF(OR($E1126="",AH$1=""),"",IF(TRIM(LEFT($E1126,MIN(IFERROR(FIND("CDU",UPPER($E1126)),999),IFERROR(FIND("BULK",UPPER($E1126)),999),IFERROR(FIND("-",$E1126),999),IFERROR(FIND("（",$E1126),999))-1))=AH$1,$F1126,""))</f>
        <v/>
      </c>
      <c r="AI1126" s="418" t="str">
        <f t="shared" ref="AI1126:AI1129" si="1764">IF(OR($E1126="",AI$1=""),"",IF(TRIM(LEFT($E1126,MIN(IFERROR(FIND("CDU",UPPER($E1126)),999),IFERROR(FIND("BULK",UPPER($E1126)),999),IFERROR(FIND("-",$E1126),999),IFERROR(FIND("（",$E1126),999))-1))=AI$1,$F1126,""))</f>
        <v/>
      </c>
      <c r="AJ1126" s="418" t="str">
        <f t="shared" ref="AJ1126:AJ1129" si="1765">IF(OR($E1126="",AJ$1=""),"",IF(TRIM(LEFT($E1126,MIN(IFERROR(FIND("CDU",UPPER($E1126)),999),IFERROR(FIND("BULK",UPPER($E1126)),999),IFERROR(FIND("-",$E1126),999),IFERROR(FIND("（",$E1126),999))-1))=AJ$1,$F1126,""))</f>
        <v/>
      </c>
      <c r="AK1126" s="418" t="str">
        <f t="shared" ref="AK1126:AK1129" si="1766">IF(OR($E1126="",AK$1=""),"",IF(TRIM(LEFT($E1126,MIN(IFERROR(FIND("CDU",UPPER($E1126)),999),IFERROR(FIND("BULK",UPPER($E1126)),999),IFERROR(FIND("-",$E1126),999),IFERROR(FIND("（",$E1126),999))-1))=AK$1,$F1126,""))</f>
        <v/>
      </c>
      <c r="AL1126" s="418" t="str">
        <f t="shared" ref="AL1126:AL1129" si="1767">IF(OR($E1126="",AL$1=""),"",IF(TRIM(LEFT($E1126,MIN(IFERROR(FIND("CDU",UPPER($E1126)),999),IFERROR(FIND("BULK",UPPER($E1126)),999),IFERROR(FIND("-",$E1126),999),IFERROR(FIND("（",$E1126),999))-1))=AL$1,$F1126,""))</f>
        <v/>
      </c>
      <c r="AM1126" s="418" t="str">
        <f t="shared" ref="AM1126:AM1129" si="1768">IF(OR($E1126="",AM$1=""),"",IF(TRIM(LEFT($E1126,MIN(IFERROR(FIND("CDU",UPPER($E1126)),999),IFERROR(FIND("BULK",UPPER($E1126)),999),IFERROR(FIND("-",$E1126),999),IFERROR(FIND("（",$E1126),999))-1))=AM$1,$F1126,""))</f>
        <v/>
      </c>
      <c r="AN1126" s="418">
        <f t="shared" ref="AN1126:AN1129" si="1769">IF(OR($E1126="",AN$1=""),"",IF(TRIM(LEFT($E1126,MIN(IFERROR(FIND("CDU",UPPER($E1126)),999),IFERROR(FIND("BULK",UPPER($E1126)),999),IFERROR(FIND("-",$E1126),999),IFERROR(FIND("（",$E1126),999))-1))=AN$1,$F1126,""))</f>
        <v>4008</v>
      </c>
      <c r="AO1126" s="418" t="str">
        <f t="shared" ref="AO1126:AO1129" si="1770">IF(OR($E1126="",AO$1=""),"",IF(TRIM(LEFT($E1126,MIN(IFERROR(FIND("CDU",UPPER($E1126)),999),IFERROR(FIND("BULK",UPPER($E1126)),999),IFERROR(FIND("-",$E1126),999),IFERROR(FIND("（",$E1126),999))-1))=AO$1,$F1126,""))</f>
        <v/>
      </c>
      <c r="AP1126" s="418" t="str">
        <f t="shared" ref="AP1126:AP1129" si="1771">IF(OR($E1126="",AP$1=""),"",IF(TRIM(LEFT($E1126,MIN(IFERROR(FIND("CDU",UPPER($E1126)),999),IFERROR(FIND("BULK",UPPER($E1126)),999),IFERROR(FIND("-",$E1126),999),IFERROR(FIND("（",$E1126),999))-1))=AP$1,$F1126,""))</f>
        <v/>
      </c>
      <c r="AQ1126" s="418" t="str">
        <f t="shared" ref="AQ1126:AQ1129" si="1772">IF(OR($E1126="",AQ$1=""),"",IF(TRIM(LEFT($E1126,MIN(IFERROR(FIND("CDU",UPPER($E1126)),999),IFERROR(FIND("BULK",UPPER($E1126)),999),IFERROR(FIND("-",$E1126),999),IFERROR(FIND("（",$E1126),999))-1))=AQ$1,$F1126,""))</f>
        <v/>
      </c>
      <c r="AR1126" s="418" t="str">
        <f t="shared" ref="AR1126:AR1129" si="1773">IF(OR($E1126="",AR$1=""),"",IF(TRIM(LEFT($E1126,MIN(IFERROR(FIND("CDU",UPPER($E1126)),999),IFERROR(FIND("BULK",UPPER($E1126)),999),IFERROR(FIND("-",$E1126),999),IFERROR(FIND("（",$E1126),999))-1))=AR$1,$F1126,""))</f>
        <v/>
      </c>
      <c r="AS1126" s="418" t="str">
        <f t="shared" ref="AS1126:AS1129" si="1774">IF(OR($E1126="",AS$1=""),"",IF(TRIM(LEFT($E1126,MIN(IFERROR(FIND("CDU",UPPER($E1126)),999),IFERROR(FIND("BULK",UPPER($E1126)),999),IFERROR(FIND("-",$E1126),999),IFERROR(FIND("（",$E1126),999))-1))=AS$1,$F1126,""))</f>
        <v/>
      </c>
      <c r="AT1126" s="418" t="str">
        <f t="shared" ref="AT1126:AT1129" si="1775">IF(OR($E1126="",AT$1=""),"",IF(TRIM(LEFT($E1126,MIN(IFERROR(FIND("CDU",UPPER($E1126)),999),IFERROR(FIND("BULK",UPPER($E1126)),999),IFERROR(FIND("-",$E1126),999),IFERROR(FIND("（",$E1126),999))-1))=AT$1,$F1126,""))</f>
        <v/>
      </c>
      <c r="AU1126" s="418" t="str">
        <f t="shared" ref="AU1126:AU1129" si="1776">IF(OR($E1126="",AU$1=""),"",IF(TRIM(LEFT($E1126,MIN(IFERROR(FIND("CDU",UPPER($E1126)),999),IFERROR(FIND("BULK",UPPER($E1126)),999),IFERROR(FIND("-",$E1126),999),IFERROR(FIND("（",$E1126),999))-1))=AU$1,$F1126,""))</f>
        <v/>
      </c>
      <c r="AV1126" s="418" t="str">
        <f t="shared" ref="AV1126:AV1129" si="1777">IF(OR($E1126="",AV$1=""),"",IF(TRIM(LEFT($E1126,MIN(IFERROR(FIND("CDU",UPPER($E1126)),999),IFERROR(FIND("BULK",UPPER($E1126)),999),IFERROR(FIND("-",$E1126),999),IFERROR(FIND("（",$E1126),999))-1))=AV$1,$F1126,""))</f>
        <v/>
      </c>
      <c r="AW1126" s="418" t="str">
        <f t="shared" ref="AW1126:AW1129" si="1778">IF(OR($E1126="",AW$1=""),"",IF(TRIM(LEFT($E1126,MIN(IFERROR(FIND("CDU",UPPER($E1126)),999),IFERROR(FIND("BULK",UPPER($E1126)),999),IFERROR(FIND("-",$E1126),999),IFERROR(FIND("（",$E1126),999))-1))=AW$1,$F1126,""))</f>
        <v/>
      </c>
      <c r="AX1126" s="418" t="str">
        <f t="shared" ref="AX1126:AX1129" si="1779">IF(OR($E1126="",AX$1=""),"",IF(TRIM(LEFT($E1126,MIN(IFERROR(FIND("CDU",UPPER($E1126)),999),IFERROR(FIND("BULK",UPPER($E1126)),999),IFERROR(FIND("-",$E1126),999),IFERROR(FIND("（",$E1126),999))-1))=AX$1,$F1126,""))</f>
        <v/>
      </c>
      <c r="AY1126" s="418" t="str">
        <f t="shared" ref="AY1126:AY1129" si="1780">IF(OR($E1126="",AY$1=""),"",IF(TRIM(LEFT($E1126,MIN(IFERROR(FIND("CDU",UPPER($E1126)),999),IFERROR(FIND("BULK",UPPER($E1126)),999),IFERROR(FIND("-",$E1126),999),IFERROR(FIND("（",$E1126),999))-1))=AY$1,$F1126,""))</f>
        <v/>
      </c>
      <c r="AZ1126" s="418" t="str">
        <f t="shared" ref="AZ1126:AZ1129" si="1781">IF(OR($E1126="",AZ$1=""),"",IF(TRIM(LEFT($E1126,MIN(IFERROR(FIND("CDU",UPPER($E1126)),999),IFERROR(FIND("BULK",UPPER($E1126)),999),IFERROR(FIND("-",$E1126),999),IFERROR(FIND("（",$E1126),999))-1))=AZ$1,$F1126,""))</f>
        <v/>
      </c>
      <c r="BA1126" s="418" t="str">
        <f t="shared" ref="BA1126:BA1129" si="1782">IF(OR($E1126="",BA$1=""),"",IF(TRIM(LEFT($E1126,MIN(IFERROR(FIND("CDU",UPPER($E1126)),999),IFERROR(FIND("BULK",UPPER($E1126)),999),IFERROR(FIND("-",$E1126),999),IFERROR(FIND("（",$E1126),999))-1))=BA$1,$F1126,""))</f>
        <v/>
      </c>
      <c r="BB1126" s="418" t="str">
        <f t="shared" ref="BB1126:BB1129" si="1783">IF(OR($E1126="",BB$1=""),"",IF(TRIM(LEFT($E1126,MIN(IFERROR(FIND("CDU",UPPER($E1126)),999),IFERROR(FIND("BULK",UPPER($E1126)),999),IFERROR(FIND("-",$E1126),999),IFERROR(FIND("（",$E1126),999))-1))=BB$1,$F1126,""))</f>
        <v/>
      </c>
      <c r="BC1126" s="418" t="str">
        <f t="shared" ref="BC1126:BC1129" si="1784">IF(OR($E1126="",BC$1=""),"",IF(TRIM(LEFT($E1126,MIN(IFERROR(FIND("CDU",UPPER($E1126)),999),IFERROR(FIND("BULK",UPPER($E1126)),999),IFERROR(FIND("-",$E1126),999),IFERROR(FIND("（",$E1126),999))-1))=BC$1,$F1126,""))</f>
        <v/>
      </c>
      <c r="BD1126" s="418" t="str">
        <f t="shared" ref="BD1126:BD1129" si="1785">IF(OR($E1126="",BD$1=""),"",IF(TRIM(LEFT($E1126,MIN(IFERROR(FIND("CDU",UPPER($E1126)),999),IFERROR(FIND("BULK",UPPER($E1126)),999),IFERROR(FIND("-",$E1126),999),IFERROR(FIND("（",$E1126),999))-1))=BD$1,$F1126,""))</f>
        <v/>
      </c>
      <c r="BE1126" s="418" t="str">
        <f t="shared" ref="BE1126:BE1129" si="1786">IF(OR($E1126="",BE$1=""),"",IF(TRIM(LEFT($E1126,MIN(IFERROR(FIND("CDU",UPPER($E1126)),999),IFERROR(FIND("BULK",UPPER($E1126)),999),IFERROR(FIND("-",$E1126),999),IFERROR(FIND("（",$E1126),999))-1))=BE$1,$F1126,""))</f>
        <v/>
      </c>
      <c r="BF1126" s="418" t="str">
        <f t="shared" ref="BF1126:BF1129" si="1787">IF(OR($E1126="",BF$1=""),"",IF(TRIM(LEFT($E1126,MIN(IFERROR(FIND("CDU",UPPER($E1126)),999),IFERROR(FIND("BULK",UPPER($E1126)),999),IFERROR(FIND("-",$E1126),999),IFERROR(FIND("（",$E1126),999))-1))=BF$1,$F1126,""))</f>
        <v/>
      </c>
      <c r="BG1126" s="418" t="str">
        <f t="shared" ref="BG1126:BG1129" si="1788">IF(OR($E1126="",BG$1=""),"",IF(TRIM(LEFT($E1126,MIN(IFERROR(FIND("CDU",UPPER($E1126)),999),IFERROR(FIND("BULK",UPPER($E1126)),999),IFERROR(FIND("-",$E1126),999),IFERROR(FIND("（",$E1126),999))-1))=BG$1,$F1126,""))</f>
        <v/>
      </c>
      <c r="BH1126" s="418" t="str">
        <f t="shared" ref="BH1126:BH1129" si="1789">IF(OR($E1126="",BH$1=""),"",IF(TRIM(LEFT($E1126,MIN(IFERROR(FIND("CDU",UPPER($E1126)),999),IFERROR(FIND("BULK",UPPER($E1126)),999),IFERROR(FIND("-",$E1126),999),IFERROR(FIND("（",$E1126),999))-1))=BH$1,$F1126,""))</f>
        <v/>
      </c>
      <c r="BI1126" s="418" t="str">
        <f t="shared" ref="BI1126:BI1129" si="1790">IF(OR($E1126="",BI$1=""),"",IF(TRIM(LEFT($E1126,MIN(IFERROR(FIND("CDU",UPPER($E1126)),999),IFERROR(FIND("BULK",UPPER($E1126)),999),IFERROR(FIND("-",$E1126),999),IFERROR(FIND("（",$E1126),999))-1))=BI$1,$F1126,""))</f>
        <v/>
      </c>
      <c r="BJ1126" s="418" t="str">
        <f t="shared" ref="BJ1126:BJ1129" si="1791">IF(OR($E1126="",BJ$1=""),"",IF(TRIM(LEFT($E1126,MIN(IFERROR(FIND("CDU",UPPER($E1126)),999),IFERROR(FIND("BULK",UPPER($E1126)),999),IFERROR(FIND("-",$E1126),999),IFERROR(FIND("（",$E1126),999))-1))=BJ$1,$F1126,""))</f>
        <v/>
      </c>
      <c r="BK1126" s="418" t="str">
        <f t="shared" ref="BK1126:BK1129" si="1792">IF(OR($E1126="",BK$1=""),"",IF(TRIM(LEFT($E1126,MIN(IFERROR(FIND("CDU",UPPER($E1126)),999),IFERROR(FIND("BULK",UPPER($E1126)),999),IFERROR(FIND("-",$E1126),999),IFERROR(FIND("（",$E1126),999))-1))=BK$1,$F1126,""))</f>
        <v/>
      </c>
      <c r="BL1126" s="418" t="str">
        <f t="shared" ref="BL1126:BL1129" si="1793">IF(OR($E1126="",BL$1=""),"",IF(TRIM(LEFT($E1126,MIN(IFERROR(FIND("CDU",UPPER($E1126)),999),IFERROR(FIND("BULK",UPPER($E1126)),999),IFERROR(FIND("-",$E1126),999),IFERROR(FIND("（",$E1126),999))-1))=BL$1,$F1126,""))</f>
        <v/>
      </c>
      <c r="BM1126" s="418" t="str">
        <f t="shared" ref="BM1126:BM1129" si="1794">IF(OR($E1126="",BM$1=""),"",IF(TRIM(LEFT($E1126,MIN(IFERROR(FIND("CDU",UPPER($E1126)),999),IFERROR(FIND("BULK",UPPER($E1126)),999),IFERROR(FIND("-",$E1126),999),IFERROR(FIND("（",$E1126),999))-1))=BM$1,$F1126,""))</f>
        <v/>
      </c>
      <c r="BN1126" s="418" t="str">
        <f t="shared" ref="BN1126:BN1129" si="1795">IF(OR($E1126="",BN$1=""),"",IF(TRIM(LEFT($E1126,MIN(IFERROR(FIND("CDU",UPPER($E1126)),999),IFERROR(FIND("BULK",UPPER($E1126)),999),IFERROR(FIND("-",$E1126),999),IFERROR(FIND("（",$E1126),999))-1))=BN$1,$F1126,""))</f>
        <v/>
      </c>
      <c r="BO1126" s="418" t="str">
        <f t="shared" ref="BO1126:BO1129" si="1796">IF(OR($E1126="",BO$1=""),"",IF(TRIM(LEFT($E1126,MIN(IFERROR(FIND("CDU",UPPER($E1126)),999),IFERROR(FIND("BULK",UPPER($E1126)),999),IFERROR(FIND("-",$E1126),999),IFERROR(FIND("（",$E1126),999))-1))=BO$1,$F1126,""))</f>
        <v/>
      </c>
      <c r="BP1126" s="418" t="str">
        <f t="shared" ref="BP1126:BP1129" si="1797">IF(OR($E1126="",BP$1=""),"",IF(TRIM(LEFT($E1126,MIN(IFERROR(FIND("CDU",UPPER($E1126)),999),IFERROR(FIND("BULK",UPPER($E1126)),999),IFERROR(FIND("-",$E1126),999),IFERROR(FIND("（",$E1126),999))-1))=BP$1,$F1126,""))</f>
        <v/>
      </c>
      <c r="BQ1126" s="418" t="str">
        <f t="shared" si="1735"/>
        <v/>
      </c>
      <c r="BR1126" s="418" t="str">
        <f t="shared" si="1736"/>
        <v/>
      </c>
      <c r="BS1126" s="418" t="str">
        <f t="shared" si="1737"/>
        <v/>
      </c>
      <c r="BT1126" s="418" t="str">
        <f t="shared" ref="BT1126:BT1129" si="1798">IF(OR($E1126="",BT$1=""),"",IF(TRIM(LEFT($E1126,MIN(IFERROR(FIND("CDU",UPPER($E1126)),999),IFERROR(FIND("BULK",UPPER($E1126)),999),IFERROR(FIND("-",$E1126),999),IFERROR(FIND("（",$E1126),999))-1))=BT$1,$F1126,""))</f>
        <v/>
      </c>
      <c r="BU1126" s="418" t="str">
        <f t="shared" ref="BU1126:BU1129" si="1799">IF(OR($E1126="",BU$1=""),"",IF(TRIM(LEFT($E1126,MIN(IFERROR(FIND("CDU",UPPER($E1126)),999),IFERROR(FIND("BULK",UPPER($E1126)),999),IFERROR(FIND("-",$E1126),999),IFERROR(FIND("（",$E1126),999))-1))=BU$1,$F1126,""))</f>
        <v/>
      </c>
      <c r="BV1126" s="624">
        <v>0.83</v>
      </c>
      <c r="BW1126" s="723">
        <f t="shared" ref="BW1126:BW1129" si="1800">SUM(I1126:BU1126)*BV1126</f>
        <v>3326.64</v>
      </c>
      <c r="BX1126" s="724">
        <f t="shared" ref="BX1126:BX1129" si="1801">BW1126*7.75</f>
        <v>25781.46</v>
      </c>
      <c r="BY1126" s="725" t="str">
        <f t="shared" ref="BY1126:BY1129" si="1802">MID(E1126,1,2)</f>
        <v>SR</v>
      </c>
    </row>
    <row r="1127" s="697" customFormat="1" customHeight="1" spans="1:77">
      <c r="A1127" s="362">
        <v>46196</v>
      </c>
      <c r="B1127" s="362">
        <v>46269</v>
      </c>
      <c r="C1127" s="129">
        <v>2551020484</v>
      </c>
      <c r="D1127" s="431" t="s">
        <v>991</v>
      </c>
      <c r="E1127" s="431" t="s">
        <v>83</v>
      </c>
      <c r="F1127" s="96">
        <v>2004</v>
      </c>
      <c r="G1127" s="129" t="s">
        <v>253</v>
      </c>
      <c r="H1127" s="118" t="str">
        <f>IFERROR(VLOOKUP(E1127,名称!A:E,4,0),"")</f>
        <v>三代</v>
      </c>
      <c r="I1127" s="418" t="str">
        <f t="shared" si="1738"/>
        <v/>
      </c>
      <c r="J1127" s="418" t="str">
        <f t="shared" si="1739"/>
        <v/>
      </c>
      <c r="K1127" s="418" t="str">
        <f t="shared" si="1740"/>
        <v/>
      </c>
      <c r="L1127" s="418" t="str">
        <f t="shared" si="1741"/>
        <v/>
      </c>
      <c r="M1127" s="418" t="str">
        <f t="shared" si="1742"/>
        <v/>
      </c>
      <c r="N1127" s="418" t="str">
        <f t="shared" si="1743"/>
        <v/>
      </c>
      <c r="O1127" s="418" t="str">
        <f t="shared" si="1744"/>
        <v/>
      </c>
      <c r="P1127" s="418" t="str">
        <f t="shared" si="1745"/>
        <v/>
      </c>
      <c r="Q1127" s="418" t="str">
        <f t="shared" si="1746"/>
        <v/>
      </c>
      <c r="R1127" s="418" t="str">
        <f t="shared" si="1747"/>
        <v/>
      </c>
      <c r="S1127" s="418" t="str">
        <f t="shared" si="1748"/>
        <v/>
      </c>
      <c r="T1127" s="418" t="str">
        <f t="shared" si="1749"/>
        <v/>
      </c>
      <c r="U1127" s="418" t="str">
        <f t="shared" si="1750"/>
        <v/>
      </c>
      <c r="V1127" s="418" t="str">
        <f t="shared" si="1751"/>
        <v/>
      </c>
      <c r="W1127" s="418" t="str">
        <f t="shared" si="1752"/>
        <v/>
      </c>
      <c r="X1127" s="418" t="str">
        <f t="shared" si="1753"/>
        <v/>
      </c>
      <c r="Y1127" s="418" t="str">
        <f t="shared" si="1754"/>
        <v/>
      </c>
      <c r="Z1127" s="418" t="str">
        <f t="shared" si="1755"/>
        <v/>
      </c>
      <c r="AA1127" s="418" t="str">
        <f t="shared" si="1756"/>
        <v/>
      </c>
      <c r="AB1127" s="418" t="str">
        <f t="shared" si="1757"/>
        <v/>
      </c>
      <c r="AC1127" s="418" t="str">
        <f t="shared" si="1758"/>
        <v/>
      </c>
      <c r="AD1127" s="418" t="str">
        <f t="shared" si="1759"/>
        <v/>
      </c>
      <c r="AE1127" s="418" t="str">
        <f t="shared" si="1760"/>
        <v/>
      </c>
      <c r="AF1127" s="418" t="str">
        <f t="shared" si="1761"/>
        <v/>
      </c>
      <c r="AG1127" s="418" t="str">
        <f t="shared" si="1762"/>
        <v/>
      </c>
      <c r="AH1127" s="418" t="str">
        <f t="shared" si="1763"/>
        <v/>
      </c>
      <c r="AI1127" s="418" t="str">
        <f t="shared" si="1764"/>
        <v/>
      </c>
      <c r="AJ1127" s="418" t="str">
        <f t="shared" si="1765"/>
        <v/>
      </c>
      <c r="AK1127" s="418" t="str">
        <f t="shared" si="1766"/>
        <v/>
      </c>
      <c r="AL1127" s="418" t="str">
        <f t="shared" si="1767"/>
        <v/>
      </c>
      <c r="AM1127" s="418" t="str">
        <f t="shared" si="1768"/>
        <v/>
      </c>
      <c r="AN1127" s="418">
        <f t="shared" si="1769"/>
        <v>2004</v>
      </c>
      <c r="AO1127" s="418" t="str">
        <f t="shared" si="1770"/>
        <v/>
      </c>
      <c r="AP1127" s="418" t="str">
        <f t="shared" si="1771"/>
        <v/>
      </c>
      <c r="AQ1127" s="418" t="str">
        <f t="shared" si="1772"/>
        <v/>
      </c>
      <c r="AR1127" s="418" t="str">
        <f t="shared" si="1773"/>
        <v/>
      </c>
      <c r="AS1127" s="418" t="str">
        <f t="shared" si="1774"/>
        <v/>
      </c>
      <c r="AT1127" s="418" t="str">
        <f t="shared" si="1775"/>
        <v/>
      </c>
      <c r="AU1127" s="418" t="str">
        <f t="shared" si="1776"/>
        <v/>
      </c>
      <c r="AV1127" s="418" t="str">
        <f t="shared" si="1777"/>
        <v/>
      </c>
      <c r="AW1127" s="418" t="str">
        <f t="shared" si="1778"/>
        <v/>
      </c>
      <c r="AX1127" s="418" t="str">
        <f t="shared" si="1779"/>
        <v/>
      </c>
      <c r="AY1127" s="418" t="str">
        <f t="shared" si="1780"/>
        <v/>
      </c>
      <c r="AZ1127" s="418" t="str">
        <f t="shared" si="1781"/>
        <v/>
      </c>
      <c r="BA1127" s="418" t="str">
        <f t="shared" si="1782"/>
        <v/>
      </c>
      <c r="BB1127" s="418" t="str">
        <f t="shared" si="1783"/>
        <v/>
      </c>
      <c r="BC1127" s="418" t="str">
        <f t="shared" si="1784"/>
        <v/>
      </c>
      <c r="BD1127" s="418" t="str">
        <f t="shared" si="1785"/>
        <v/>
      </c>
      <c r="BE1127" s="418" t="str">
        <f t="shared" si="1786"/>
        <v/>
      </c>
      <c r="BF1127" s="418" t="str">
        <f t="shared" si="1787"/>
        <v/>
      </c>
      <c r="BG1127" s="418" t="str">
        <f t="shared" si="1788"/>
        <v/>
      </c>
      <c r="BH1127" s="418" t="str">
        <f t="shared" si="1789"/>
        <v/>
      </c>
      <c r="BI1127" s="418" t="str">
        <f t="shared" si="1790"/>
        <v/>
      </c>
      <c r="BJ1127" s="418" t="str">
        <f t="shared" si="1791"/>
        <v/>
      </c>
      <c r="BK1127" s="418" t="str">
        <f t="shared" si="1792"/>
        <v/>
      </c>
      <c r="BL1127" s="418" t="str">
        <f t="shared" si="1793"/>
        <v/>
      </c>
      <c r="BM1127" s="418" t="str">
        <f t="shared" si="1794"/>
        <v/>
      </c>
      <c r="BN1127" s="418" t="str">
        <f t="shared" si="1795"/>
        <v/>
      </c>
      <c r="BO1127" s="418" t="str">
        <f t="shared" si="1796"/>
        <v/>
      </c>
      <c r="BP1127" s="418" t="str">
        <f t="shared" si="1797"/>
        <v/>
      </c>
      <c r="BQ1127" s="418" t="str">
        <f t="shared" si="1735"/>
        <v/>
      </c>
      <c r="BR1127" s="418" t="str">
        <f t="shared" si="1736"/>
        <v/>
      </c>
      <c r="BS1127" s="418" t="str">
        <f t="shared" si="1737"/>
        <v/>
      </c>
      <c r="BT1127" s="418" t="str">
        <f t="shared" si="1798"/>
        <v/>
      </c>
      <c r="BU1127" s="418" t="str">
        <f t="shared" si="1799"/>
        <v/>
      </c>
      <c r="BV1127" s="624">
        <v>0.83</v>
      </c>
      <c r="BW1127" s="723">
        <f t="shared" si="1800"/>
        <v>1663.32</v>
      </c>
      <c r="BX1127" s="724">
        <f t="shared" si="1801"/>
        <v>12890.73</v>
      </c>
      <c r="BY1127" s="725" t="str">
        <f t="shared" si="1802"/>
        <v>SR</v>
      </c>
    </row>
    <row r="1128" s="697" customFormat="1" customHeight="1" spans="1:77">
      <c r="A1128" s="362">
        <v>46196</v>
      </c>
      <c r="B1128" s="362">
        <v>46276</v>
      </c>
      <c r="C1128" s="129">
        <v>2551020485</v>
      </c>
      <c r="D1128" s="431" t="s">
        <v>992</v>
      </c>
      <c r="E1128" s="431" t="s">
        <v>83</v>
      </c>
      <c r="F1128" s="96">
        <v>1992</v>
      </c>
      <c r="G1128" s="129" t="s">
        <v>253</v>
      </c>
      <c r="H1128" s="118" t="str">
        <f>IFERROR(VLOOKUP(E1128,名称!A:E,4,0),"")</f>
        <v>三代</v>
      </c>
      <c r="I1128" s="418" t="str">
        <f t="shared" si="1738"/>
        <v/>
      </c>
      <c r="J1128" s="418" t="str">
        <f t="shared" si="1739"/>
        <v/>
      </c>
      <c r="K1128" s="418" t="str">
        <f t="shared" si="1740"/>
        <v/>
      </c>
      <c r="L1128" s="418" t="str">
        <f t="shared" si="1741"/>
        <v/>
      </c>
      <c r="M1128" s="418" t="str">
        <f t="shared" si="1742"/>
        <v/>
      </c>
      <c r="N1128" s="418" t="str">
        <f t="shared" si="1743"/>
        <v/>
      </c>
      <c r="O1128" s="418" t="str">
        <f t="shared" si="1744"/>
        <v/>
      </c>
      <c r="P1128" s="418" t="str">
        <f t="shared" si="1745"/>
        <v/>
      </c>
      <c r="Q1128" s="418" t="str">
        <f t="shared" si="1746"/>
        <v/>
      </c>
      <c r="R1128" s="418" t="str">
        <f t="shared" si="1747"/>
        <v/>
      </c>
      <c r="S1128" s="418" t="str">
        <f t="shared" si="1748"/>
        <v/>
      </c>
      <c r="T1128" s="418" t="str">
        <f t="shared" si="1749"/>
        <v/>
      </c>
      <c r="U1128" s="418" t="str">
        <f t="shared" si="1750"/>
        <v/>
      </c>
      <c r="V1128" s="418" t="str">
        <f t="shared" si="1751"/>
        <v/>
      </c>
      <c r="W1128" s="418" t="str">
        <f t="shared" si="1752"/>
        <v/>
      </c>
      <c r="X1128" s="418" t="str">
        <f t="shared" si="1753"/>
        <v/>
      </c>
      <c r="Y1128" s="418" t="str">
        <f t="shared" si="1754"/>
        <v/>
      </c>
      <c r="Z1128" s="418" t="str">
        <f t="shared" si="1755"/>
        <v/>
      </c>
      <c r="AA1128" s="418" t="str">
        <f t="shared" si="1756"/>
        <v/>
      </c>
      <c r="AB1128" s="418" t="str">
        <f t="shared" si="1757"/>
        <v/>
      </c>
      <c r="AC1128" s="418" t="str">
        <f t="shared" si="1758"/>
        <v/>
      </c>
      <c r="AD1128" s="418" t="str">
        <f t="shared" si="1759"/>
        <v/>
      </c>
      <c r="AE1128" s="418" t="str">
        <f t="shared" si="1760"/>
        <v/>
      </c>
      <c r="AF1128" s="418" t="str">
        <f t="shared" si="1761"/>
        <v/>
      </c>
      <c r="AG1128" s="418" t="str">
        <f t="shared" si="1762"/>
        <v/>
      </c>
      <c r="AH1128" s="418" t="str">
        <f t="shared" si="1763"/>
        <v/>
      </c>
      <c r="AI1128" s="418" t="str">
        <f t="shared" si="1764"/>
        <v/>
      </c>
      <c r="AJ1128" s="418" t="str">
        <f t="shared" si="1765"/>
        <v/>
      </c>
      <c r="AK1128" s="418" t="str">
        <f t="shared" si="1766"/>
        <v/>
      </c>
      <c r="AL1128" s="418" t="str">
        <f t="shared" si="1767"/>
        <v/>
      </c>
      <c r="AM1128" s="418" t="str">
        <f t="shared" si="1768"/>
        <v/>
      </c>
      <c r="AN1128" s="418">
        <f t="shared" si="1769"/>
        <v>1992</v>
      </c>
      <c r="AO1128" s="418" t="str">
        <f t="shared" si="1770"/>
        <v/>
      </c>
      <c r="AP1128" s="418" t="str">
        <f t="shared" si="1771"/>
        <v/>
      </c>
      <c r="AQ1128" s="418" t="str">
        <f t="shared" si="1772"/>
        <v/>
      </c>
      <c r="AR1128" s="418" t="str">
        <f t="shared" si="1773"/>
        <v/>
      </c>
      <c r="AS1128" s="418" t="str">
        <f t="shared" si="1774"/>
        <v/>
      </c>
      <c r="AT1128" s="418" t="str">
        <f t="shared" si="1775"/>
        <v/>
      </c>
      <c r="AU1128" s="418" t="str">
        <f t="shared" si="1776"/>
        <v/>
      </c>
      <c r="AV1128" s="418" t="str">
        <f t="shared" si="1777"/>
        <v/>
      </c>
      <c r="AW1128" s="418" t="str">
        <f t="shared" si="1778"/>
        <v/>
      </c>
      <c r="AX1128" s="418" t="str">
        <f t="shared" si="1779"/>
        <v/>
      </c>
      <c r="AY1128" s="418" t="str">
        <f t="shared" si="1780"/>
        <v/>
      </c>
      <c r="AZ1128" s="418" t="str">
        <f t="shared" si="1781"/>
        <v/>
      </c>
      <c r="BA1128" s="418" t="str">
        <f t="shared" si="1782"/>
        <v/>
      </c>
      <c r="BB1128" s="418" t="str">
        <f t="shared" si="1783"/>
        <v/>
      </c>
      <c r="BC1128" s="418" t="str">
        <f t="shared" si="1784"/>
        <v/>
      </c>
      <c r="BD1128" s="418" t="str">
        <f t="shared" si="1785"/>
        <v/>
      </c>
      <c r="BE1128" s="418" t="str">
        <f t="shared" si="1786"/>
        <v/>
      </c>
      <c r="BF1128" s="418" t="str">
        <f t="shared" si="1787"/>
        <v/>
      </c>
      <c r="BG1128" s="418" t="str">
        <f t="shared" si="1788"/>
        <v/>
      </c>
      <c r="BH1128" s="418" t="str">
        <f t="shared" si="1789"/>
        <v/>
      </c>
      <c r="BI1128" s="418" t="str">
        <f t="shared" si="1790"/>
        <v/>
      </c>
      <c r="BJ1128" s="418" t="str">
        <f t="shared" si="1791"/>
        <v/>
      </c>
      <c r="BK1128" s="418" t="str">
        <f t="shared" si="1792"/>
        <v/>
      </c>
      <c r="BL1128" s="418" t="str">
        <f t="shared" si="1793"/>
        <v/>
      </c>
      <c r="BM1128" s="418" t="str">
        <f t="shared" si="1794"/>
        <v/>
      </c>
      <c r="BN1128" s="418" t="str">
        <f t="shared" si="1795"/>
        <v/>
      </c>
      <c r="BO1128" s="418" t="str">
        <f t="shared" si="1796"/>
        <v/>
      </c>
      <c r="BP1128" s="418" t="str">
        <f t="shared" si="1797"/>
        <v/>
      </c>
      <c r="BQ1128" s="418" t="str">
        <f t="shared" si="1735"/>
        <v/>
      </c>
      <c r="BR1128" s="418" t="str">
        <f t="shared" si="1736"/>
        <v/>
      </c>
      <c r="BS1128" s="418" t="str">
        <f t="shared" si="1737"/>
        <v/>
      </c>
      <c r="BT1128" s="418" t="str">
        <f t="shared" si="1798"/>
        <v/>
      </c>
      <c r="BU1128" s="418" t="str">
        <f t="shared" si="1799"/>
        <v/>
      </c>
      <c r="BV1128" s="624">
        <v>0.83</v>
      </c>
      <c r="BW1128" s="723">
        <f t="shared" si="1800"/>
        <v>1653.36</v>
      </c>
      <c r="BX1128" s="724">
        <f t="shared" si="1801"/>
        <v>12813.54</v>
      </c>
      <c r="BY1128" s="725" t="str">
        <f t="shared" si="1802"/>
        <v>SR</v>
      </c>
    </row>
    <row r="1129" s="698" customFormat="1" customHeight="1" spans="1:77">
      <c r="A1129" s="208">
        <v>46197</v>
      </c>
      <c r="B1129" s="208">
        <v>46245</v>
      </c>
      <c r="C1129" s="241" t="s">
        <v>993</v>
      </c>
      <c r="D1129" s="241" t="s">
        <v>994</v>
      </c>
      <c r="E1129" s="241" t="s">
        <v>50</v>
      </c>
      <c r="F1129" s="212">
        <v>44226</v>
      </c>
      <c r="G1129" s="241" t="s">
        <v>334</v>
      </c>
      <c r="H1129" s="211" t="str">
        <f>IFERROR(VLOOKUP(E1129,名称!A:E,4,0),"")</f>
        <v>蛋糕</v>
      </c>
      <c r="I1129" s="268" t="str">
        <f t="shared" si="1738"/>
        <v/>
      </c>
      <c r="J1129" s="268" t="str">
        <f t="shared" si="1739"/>
        <v/>
      </c>
      <c r="K1129" s="268" t="str">
        <f t="shared" si="1740"/>
        <v/>
      </c>
      <c r="L1129" s="268" t="str">
        <f t="shared" si="1741"/>
        <v/>
      </c>
      <c r="M1129" s="268" t="str">
        <f t="shared" si="1742"/>
        <v/>
      </c>
      <c r="N1129" s="268" t="str">
        <f t="shared" si="1743"/>
        <v/>
      </c>
      <c r="O1129" s="268" t="str">
        <f t="shared" si="1744"/>
        <v/>
      </c>
      <c r="P1129" s="268" t="str">
        <f t="shared" si="1745"/>
        <v/>
      </c>
      <c r="Q1129" s="268" t="str">
        <f t="shared" si="1746"/>
        <v/>
      </c>
      <c r="R1129" s="268" t="str">
        <f t="shared" si="1747"/>
        <v/>
      </c>
      <c r="S1129" s="268" t="str">
        <f t="shared" si="1748"/>
        <v/>
      </c>
      <c r="T1129" s="268" t="str">
        <f t="shared" si="1749"/>
        <v/>
      </c>
      <c r="U1129" s="268" t="str">
        <f t="shared" si="1750"/>
        <v/>
      </c>
      <c r="V1129" s="268" t="str">
        <f t="shared" si="1751"/>
        <v/>
      </c>
      <c r="W1129" s="268" t="str">
        <f t="shared" si="1752"/>
        <v/>
      </c>
      <c r="X1129" s="268" t="str">
        <f t="shared" si="1753"/>
        <v/>
      </c>
      <c r="Y1129" s="268" t="str">
        <f t="shared" si="1754"/>
        <v/>
      </c>
      <c r="Z1129" s="268" t="str">
        <f t="shared" si="1755"/>
        <v/>
      </c>
      <c r="AA1129" s="268" t="str">
        <f t="shared" si="1756"/>
        <v/>
      </c>
      <c r="AB1129" s="268" t="str">
        <f t="shared" si="1757"/>
        <v/>
      </c>
      <c r="AC1129" s="268" t="str">
        <f t="shared" si="1758"/>
        <v/>
      </c>
      <c r="AD1129" s="268" t="str">
        <f t="shared" si="1759"/>
        <v/>
      </c>
      <c r="AE1129" s="268" t="str">
        <f t="shared" si="1760"/>
        <v/>
      </c>
      <c r="AF1129" s="268" t="str">
        <f t="shared" si="1761"/>
        <v/>
      </c>
      <c r="AG1129" s="268" t="str">
        <f t="shared" si="1762"/>
        <v/>
      </c>
      <c r="AH1129" s="268" t="str">
        <f t="shared" si="1763"/>
        <v/>
      </c>
      <c r="AI1129" s="268" t="str">
        <f t="shared" si="1764"/>
        <v/>
      </c>
      <c r="AJ1129" s="268" t="str">
        <f t="shared" si="1765"/>
        <v/>
      </c>
      <c r="AK1129" s="268" t="str">
        <f t="shared" si="1766"/>
        <v/>
      </c>
      <c r="AL1129" s="268" t="str">
        <f t="shared" si="1767"/>
        <v/>
      </c>
      <c r="AM1129" s="268" t="str">
        <f t="shared" si="1768"/>
        <v/>
      </c>
      <c r="AN1129" s="268" t="str">
        <f t="shared" si="1769"/>
        <v/>
      </c>
      <c r="AO1129" s="268" t="str">
        <f t="shared" si="1770"/>
        <v/>
      </c>
      <c r="AP1129" s="268" t="str">
        <f t="shared" si="1771"/>
        <v/>
      </c>
      <c r="AQ1129" s="268" t="str">
        <f t="shared" si="1772"/>
        <v/>
      </c>
      <c r="AR1129" s="268" t="str">
        <f t="shared" si="1773"/>
        <v/>
      </c>
      <c r="AS1129" s="268" t="str">
        <f t="shared" si="1774"/>
        <v/>
      </c>
      <c r="AT1129" s="268" t="str">
        <f t="shared" si="1775"/>
        <v/>
      </c>
      <c r="AU1129" s="268" t="str">
        <f t="shared" si="1776"/>
        <v/>
      </c>
      <c r="AV1129" s="268" t="str">
        <f t="shared" si="1777"/>
        <v/>
      </c>
      <c r="AW1129" s="268" t="str">
        <f t="shared" si="1778"/>
        <v/>
      </c>
      <c r="AX1129" s="268" t="str">
        <f t="shared" si="1779"/>
        <v/>
      </c>
      <c r="AY1129" s="268" t="str">
        <f t="shared" si="1780"/>
        <v/>
      </c>
      <c r="AZ1129" s="268" t="str">
        <f t="shared" si="1781"/>
        <v/>
      </c>
      <c r="BA1129" s="268" t="str">
        <f t="shared" si="1782"/>
        <v/>
      </c>
      <c r="BB1129" s="268" t="str">
        <f t="shared" si="1783"/>
        <v/>
      </c>
      <c r="BC1129" s="268" t="str">
        <f t="shared" si="1784"/>
        <v/>
      </c>
      <c r="BD1129" s="268" t="str">
        <f t="shared" si="1785"/>
        <v/>
      </c>
      <c r="BE1129" s="268" t="str">
        <f t="shared" si="1786"/>
        <v/>
      </c>
      <c r="BF1129" s="268" t="str">
        <f t="shared" si="1787"/>
        <v/>
      </c>
      <c r="BG1129" s="268">
        <f t="shared" si="1788"/>
        <v>44226</v>
      </c>
      <c r="BH1129" s="268" t="str">
        <f t="shared" si="1789"/>
        <v/>
      </c>
      <c r="BI1129" s="268" t="str">
        <f t="shared" si="1790"/>
        <v/>
      </c>
      <c r="BJ1129" s="268" t="str">
        <f t="shared" si="1791"/>
        <v/>
      </c>
      <c r="BK1129" s="268" t="str">
        <f t="shared" si="1792"/>
        <v/>
      </c>
      <c r="BL1129" s="268" t="str">
        <f t="shared" si="1793"/>
        <v/>
      </c>
      <c r="BM1129" s="268" t="str">
        <f t="shared" si="1794"/>
        <v/>
      </c>
      <c r="BN1129" s="268" t="str">
        <f t="shared" si="1795"/>
        <v/>
      </c>
      <c r="BO1129" s="268" t="str">
        <f t="shared" si="1796"/>
        <v/>
      </c>
      <c r="BP1129" s="268" t="str">
        <f t="shared" si="1797"/>
        <v/>
      </c>
      <c r="BQ1129" s="268" t="str">
        <f t="shared" si="1735"/>
        <v/>
      </c>
      <c r="BR1129" s="268" t="str">
        <f t="shared" si="1736"/>
        <v/>
      </c>
      <c r="BS1129" s="268" t="str">
        <f t="shared" si="1737"/>
        <v/>
      </c>
      <c r="BT1129" s="268" t="str">
        <f t="shared" si="1798"/>
        <v/>
      </c>
      <c r="BU1129" s="268" t="str">
        <f t="shared" si="1799"/>
        <v/>
      </c>
      <c r="BV1129" s="351">
        <v>1.03</v>
      </c>
      <c r="BW1129" s="729">
        <f t="shared" si="1800"/>
        <v>45552.78</v>
      </c>
      <c r="BX1129" s="730">
        <f t="shared" si="1801"/>
        <v>353034.05</v>
      </c>
      <c r="BY1129" s="731" t="str">
        <f t="shared" si="1802"/>
        <v>JC</v>
      </c>
    </row>
    <row r="1130" s="697" customFormat="1" customHeight="1" spans="1:77">
      <c r="A1130" s="116">
        <v>46197</v>
      </c>
      <c r="B1130" s="116">
        <v>46245</v>
      </c>
      <c r="C1130" s="462" t="s">
        <v>993</v>
      </c>
      <c r="D1130" s="462" t="s">
        <v>994</v>
      </c>
      <c r="E1130" s="462" t="s">
        <v>50</v>
      </c>
      <c r="F1130" s="32">
        <f>60264-44226</f>
        <v>16038</v>
      </c>
      <c r="G1130" s="462" t="s">
        <v>334</v>
      </c>
      <c r="H1130" s="118" t="str">
        <f>IFERROR(VLOOKUP(E1130,名称!A:E,4,0),"")</f>
        <v>蛋糕</v>
      </c>
      <c r="I1130" s="418" t="str">
        <f t="shared" ref="I1130:I1185" si="1803">IF(OR($E1130="",I$1=""),"",IF(TRIM(LEFT($E1130,MIN(IFERROR(FIND("CDU",UPPER($E1130)),999),IFERROR(FIND("BULK",UPPER($E1130)),999),IFERROR(FIND("-",$E1130),999),IFERROR(FIND("（",$E1130),999))-1))=I$1,$F1130,""))</f>
        <v/>
      </c>
      <c r="J1130" s="418" t="str">
        <f t="shared" ref="J1130:J1185" si="1804">IF(OR($E1130="",J$1=""),"",IF(TRIM(LEFT($E1130,MIN(IFERROR(FIND("CDU",UPPER($E1130)),999),IFERROR(FIND("BULK",UPPER($E1130)),999),IFERROR(FIND("-",$E1130),999),IFERROR(FIND("（",$E1130),999))-1))=J$1,$F1130,""))</f>
        <v/>
      </c>
      <c r="K1130" s="418" t="str">
        <f t="shared" ref="K1130:K1185" si="1805">IF(OR($E1130="",K$1=""),"",IF(TRIM(LEFT($E1130,MIN(IFERROR(FIND("CDU",UPPER($E1130)),999),IFERROR(FIND("BULK",UPPER($E1130)),999),IFERROR(FIND("-",$E1130),999),IFERROR(FIND("（",$E1130),999))-1))=K$1,$F1130,""))</f>
        <v/>
      </c>
      <c r="L1130" s="418" t="str">
        <f t="shared" ref="L1130:L1185" si="1806">IF(OR($E1130="",L$1=""),"",IF(TRIM(LEFT($E1130,MIN(IFERROR(FIND("CDU",UPPER($E1130)),999),IFERROR(FIND("BULK",UPPER($E1130)),999),IFERROR(FIND("-",$E1130),999),IFERROR(FIND("（",$E1130),999))-1))=L$1,$F1130,""))</f>
        <v/>
      </c>
      <c r="M1130" s="418" t="str">
        <f t="shared" ref="M1130:M1185" si="1807">IF(OR($E1130="",M$1=""),"",IF(TRIM(LEFT($E1130,MIN(IFERROR(FIND("CDU",UPPER($E1130)),999),IFERROR(FIND("BULK",UPPER($E1130)),999),IFERROR(FIND("-",$E1130),999),IFERROR(FIND("（",$E1130),999))-1))=M$1,$F1130,""))</f>
        <v/>
      </c>
      <c r="N1130" s="418" t="str">
        <f t="shared" ref="N1130:N1185" si="1808">IF(OR($E1130="",N$1=""),"",IF(TRIM(LEFT($E1130,MIN(IFERROR(FIND("CDU",UPPER($E1130)),999),IFERROR(FIND("BULK",UPPER($E1130)),999),IFERROR(FIND("-",$E1130),999),IFERROR(FIND("（",$E1130),999))-1))=N$1,$F1130,""))</f>
        <v/>
      </c>
      <c r="O1130" s="418" t="str">
        <f t="shared" ref="O1130:O1185" si="1809">IF(OR($E1130="",O$1=""),"",IF(TRIM(LEFT($E1130,MIN(IFERROR(FIND("CDU",UPPER($E1130)),999),IFERROR(FIND("BULK",UPPER($E1130)),999),IFERROR(FIND("-",$E1130),999),IFERROR(FIND("（",$E1130),999))-1))=O$1,$F1130,""))</f>
        <v/>
      </c>
      <c r="P1130" s="418" t="str">
        <f t="shared" ref="P1130:P1185" si="1810">IF(OR($E1130="",P$1=""),"",IF(TRIM(LEFT($E1130,MIN(IFERROR(FIND("CDU",UPPER($E1130)),999),IFERROR(FIND("BULK",UPPER($E1130)),999),IFERROR(FIND("-",$E1130),999),IFERROR(FIND("（",$E1130),999))-1))=P$1,$F1130,""))</f>
        <v/>
      </c>
      <c r="Q1130" s="418" t="str">
        <f t="shared" ref="Q1130:Q1185" si="1811">IF(OR($E1130="",Q$1=""),"",IF(TRIM(LEFT($E1130,MIN(IFERROR(FIND("CDU",UPPER($E1130)),999),IFERROR(FIND("BULK",UPPER($E1130)),999),IFERROR(FIND("-",$E1130),999),IFERROR(FIND("（",$E1130),999))-1))=Q$1,$F1130,""))</f>
        <v/>
      </c>
      <c r="R1130" s="418" t="str">
        <f t="shared" ref="R1130:R1185" si="1812">IF(OR($E1130="",R$1=""),"",IF(TRIM(LEFT($E1130,MIN(IFERROR(FIND("CDU",UPPER($E1130)),999),IFERROR(FIND("BULK",UPPER($E1130)),999),IFERROR(FIND("-",$E1130),999),IFERROR(FIND("（",$E1130),999))-1))=R$1,$F1130,""))</f>
        <v/>
      </c>
      <c r="S1130" s="418" t="str">
        <f t="shared" ref="S1130:S1185" si="1813">IF(OR($E1130="",S$1=""),"",IF(TRIM(LEFT($E1130,MIN(IFERROR(FIND("CDU",UPPER($E1130)),999),IFERROR(FIND("BULK",UPPER($E1130)),999),IFERROR(FIND("-",$E1130),999),IFERROR(FIND("（",$E1130),999))-1))=S$1,$F1130,""))</f>
        <v/>
      </c>
      <c r="T1130" s="418" t="str">
        <f t="shared" ref="T1130:T1185" si="1814">IF(OR($E1130="",T$1=""),"",IF(TRIM(LEFT($E1130,MIN(IFERROR(FIND("CDU",UPPER($E1130)),999),IFERROR(FIND("BULK",UPPER($E1130)),999),IFERROR(FIND("-",$E1130),999),IFERROR(FIND("（",$E1130),999))-1))=T$1,$F1130,""))</f>
        <v/>
      </c>
      <c r="U1130" s="418" t="str">
        <f t="shared" ref="U1130:U1185" si="1815">IF(OR($E1130="",U$1=""),"",IF(TRIM(LEFT($E1130,MIN(IFERROR(FIND("CDU",UPPER($E1130)),999),IFERROR(FIND("BULK",UPPER($E1130)),999),IFERROR(FIND("-",$E1130),999),IFERROR(FIND("（",$E1130),999))-1))=U$1,$F1130,""))</f>
        <v/>
      </c>
      <c r="V1130" s="418" t="str">
        <f t="shared" ref="V1130:V1185" si="1816">IF(OR($E1130="",V$1=""),"",IF(TRIM(LEFT($E1130,MIN(IFERROR(FIND("CDU",UPPER($E1130)),999),IFERROR(FIND("BULK",UPPER($E1130)),999),IFERROR(FIND("-",$E1130),999),IFERROR(FIND("（",$E1130),999))-1))=V$1,$F1130,""))</f>
        <v/>
      </c>
      <c r="W1130" s="418" t="str">
        <f t="shared" ref="W1130:W1185" si="1817">IF(OR($E1130="",W$1=""),"",IF(TRIM(LEFT($E1130,MIN(IFERROR(FIND("CDU",UPPER($E1130)),999),IFERROR(FIND("BULK",UPPER($E1130)),999),IFERROR(FIND("-",$E1130),999),IFERROR(FIND("（",$E1130),999))-1))=W$1,$F1130,""))</f>
        <v/>
      </c>
      <c r="X1130" s="418" t="str">
        <f t="shared" ref="X1130:X1185" si="1818">IF(OR($E1130="",X$1=""),"",IF(TRIM(LEFT($E1130,MIN(IFERROR(FIND("CDU",UPPER($E1130)),999),IFERROR(FIND("BULK",UPPER($E1130)),999),IFERROR(FIND("-",$E1130),999),IFERROR(FIND("（",$E1130),999))-1))=X$1,$F1130,""))</f>
        <v/>
      </c>
      <c r="Y1130" s="418" t="str">
        <f t="shared" ref="Y1130:Y1185" si="1819">IF(OR($E1130="",Y$1=""),"",IF(TRIM(LEFT($E1130,MIN(IFERROR(FIND("CDU",UPPER($E1130)),999),IFERROR(FIND("BULK",UPPER($E1130)),999),IFERROR(FIND("-",$E1130),999),IFERROR(FIND("（",$E1130),999))-1))=Y$1,$F1130,""))</f>
        <v/>
      </c>
      <c r="Z1130" s="418" t="str">
        <f t="shared" ref="Z1130:Z1185" si="1820">IF(OR($E1130="",Z$1=""),"",IF(TRIM(LEFT($E1130,MIN(IFERROR(FIND("CDU",UPPER($E1130)),999),IFERROR(FIND("BULK",UPPER($E1130)),999),IFERROR(FIND("-",$E1130),999),IFERROR(FIND("（",$E1130),999))-1))=Z$1,$F1130,""))</f>
        <v/>
      </c>
      <c r="AA1130" s="418" t="str">
        <f t="shared" ref="AA1130:AA1185" si="1821">IF(OR($E1130="",AA$1=""),"",IF(TRIM(LEFT($E1130,MIN(IFERROR(FIND("CDU",UPPER($E1130)),999),IFERROR(FIND("BULK",UPPER($E1130)),999),IFERROR(FIND("-",$E1130),999),IFERROR(FIND("（",$E1130),999))-1))=AA$1,$F1130,""))</f>
        <v/>
      </c>
      <c r="AB1130" s="418" t="str">
        <f t="shared" ref="AB1130:AB1185" si="1822">IF(OR($E1130="",AB$1=""),"",IF(TRIM(LEFT($E1130,MIN(IFERROR(FIND("CDU",UPPER($E1130)),999),IFERROR(FIND("BULK",UPPER($E1130)),999),IFERROR(FIND("-",$E1130),999),IFERROR(FIND("（",$E1130),999))-1))=AB$1,$F1130,""))</f>
        <v/>
      </c>
      <c r="AC1130" s="418" t="str">
        <f t="shared" ref="AC1130:AC1185" si="1823">IF(OR($E1130="",AC$1=""),"",IF(TRIM(LEFT($E1130,MIN(IFERROR(FIND("CDU",UPPER($E1130)),999),IFERROR(FIND("BULK",UPPER($E1130)),999),IFERROR(FIND("-",$E1130),999),IFERROR(FIND("（",$E1130),999))-1))=AC$1,$F1130,""))</f>
        <v/>
      </c>
      <c r="AD1130" s="418" t="str">
        <f t="shared" ref="AD1130:AD1185" si="1824">IF(OR($E1130="",AD$1=""),"",IF(TRIM(LEFT($E1130,MIN(IFERROR(FIND("CDU",UPPER($E1130)),999),IFERROR(FIND("BULK",UPPER($E1130)),999),IFERROR(FIND("-",$E1130),999),IFERROR(FIND("（",$E1130),999))-1))=AD$1,$F1130,""))</f>
        <v/>
      </c>
      <c r="AE1130" s="418" t="str">
        <f t="shared" ref="AE1130:AE1185" si="1825">IF(OR($E1130="",AE$1=""),"",IF(TRIM(LEFT($E1130,MIN(IFERROR(FIND("CDU",UPPER($E1130)),999),IFERROR(FIND("BULK",UPPER($E1130)),999),IFERROR(FIND("-",$E1130),999),IFERROR(FIND("（",$E1130),999))-1))=AE$1,$F1130,""))</f>
        <v/>
      </c>
      <c r="AF1130" s="418" t="str">
        <f t="shared" ref="AF1130:AF1185" si="1826">IF(OR($E1130="",AF$1=""),"",IF(TRIM(LEFT($E1130,MIN(IFERROR(FIND("CDU",UPPER($E1130)),999),IFERROR(FIND("BULK",UPPER($E1130)),999),IFERROR(FIND("-",$E1130),999),IFERROR(FIND("（",$E1130),999))-1))=AF$1,$F1130,""))</f>
        <v/>
      </c>
      <c r="AG1130" s="418" t="str">
        <f t="shared" ref="AG1130:AG1185" si="1827">IF(OR($E1130="",AG$1=""),"",IF(TRIM(LEFT($E1130,MIN(IFERROR(FIND("CDU",UPPER($E1130)),999),IFERROR(FIND("BULK",UPPER($E1130)),999),IFERROR(FIND("-",$E1130),999),IFERROR(FIND("（",$E1130),999))-1))=AG$1,$F1130,""))</f>
        <v/>
      </c>
      <c r="AH1130" s="418" t="str">
        <f t="shared" ref="AH1130:AH1185" si="1828">IF(OR($E1130="",AH$1=""),"",IF(TRIM(LEFT($E1130,MIN(IFERROR(FIND("CDU",UPPER($E1130)),999),IFERROR(FIND("BULK",UPPER($E1130)),999),IFERROR(FIND("-",$E1130),999),IFERROR(FIND("（",$E1130),999))-1))=AH$1,$F1130,""))</f>
        <v/>
      </c>
      <c r="AI1130" s="418" t="str">
        <f t="shared" ref="AI1130:AI1185" si="1829">IF(OR($E1130="",AI$1=""),"",IF(TRIM(LEFT($E1130,MIN(IFERROR(FIND("CDU",UPPER($E1130)),999),IFERROR(FIND("BULK",UPPER($E1130)),999),IFERROR(FIND("-",$E1130),999),IFERROR(FIND("（",$E1130),999))-1))=AI$1,$F1130,""))</f>
        <v/>
      </c>
      <c r="AJ1130" s="418" t="str">
        <f t="shared" ref="AJ1130:AJ1185" si="1830">IF(OR($E1130="",AJ$1=""),"",IF(TRIM(LEFT($E1130,MIN(IFERROR(FIND("CDU",UPPER($E1130)),999),IFERROR(FIND("BULK",UPPER($E1130)),999),IFERROR(FIND("-",$E1130),999),IFERROR(FIND("（",$E1130),999))-1))=AJ$1,$F1130,""))</f>
        <v/>
      </c>
      <c r="AK1130" s="418" t="str">
        <f t="shared" ref="AK1130:AK1185" si="1831">IF(OR($E1130="",AK$1=""),"",IF(TRIM(LEFT($E1130,MIN(IFERROR(FIND("CDU",UPPER($E1130)),999),IFERROR(FIND("BULK",UPPER($E1130)),999),IFERROR(FIND("-",$E1130),999),IFERROR(FIND("（",$E1130),999))-1))=AK$1,$F1130,""))</f>
        <v/>
      </c>
      <c r="AL1130" s="418" t="str">
        <f t="shared" ref="AL1130:AL1185" si="1832">IF(OR($E1130="",AL$1=""),"",IF(TRIM(LEFT($E1130,MIN(IFERROR(FIND("CDU",UPPER($E1130)),999),IFERROR(FIND("BULK",UPPER($E1130)),999),IFERROR(FIND("-",$E1130),999),IFERROR(FIND("（",$E1130),999))-1))=AL$1,$F1130,""))</f>
        <v/>
      </c>
      <c r="AM1130" s="418" t="str">
        <f t="shared" ref="AM1130:AM1185" si="1833">IF(OR($E1130="",AM$1=""),"",IF(TRIM(LEFT($E1130,MIN(IFERROR(FIND("CDU",UPPER($E1130)),999),IFERROR(FIND("BULK",UPPER($E1130)),999),IFERROR(FIND("-",$E1130),999),IFERROR(FIND("（",$E1130),999))-1))=AM$1,$F1130,""))</f>
        <v/>
      </c>
      <c r="AN1130" s="418" t="str">
        <f t="shared" ref="AN1130:AN1185" si="1834">IF(OR($E1130="",AN$1=""),"",IF(TRIM(LEFT($E1130,MIN(IFERROR(FIND("CDU",UPPER($E1130)),999),IFERROR(FIND("BULK",UPPER($E1130)),999),IFERROR(FIND("-",$E1130),999),IFERROR(FIND("（",$E1130),999))-1))=AN$1,$F1130,""))</f>
        <v/>
      </c>
      <c r="AO1130" s="418" t="str">
        <f t="shared" ref="AO1130:AO1185" si="1835">IF(OR($E1130="",AO$1=""),"",IF(TRIM(LEFT($E1130,MIN(IFERROR(FIND("CDU",UPPER($E1130)),999),IFERROR(FIND("BULK",UPPER($E1130)),999),IFERROR(FIND("-",$E1130),999),IFERROR(FIND("（",$E1130),999))-1))=AO$1,$F1130,""))</f>
        <v/>
      </c>
      <c r="AP1130" s="418" t="str">
        <f t="shared" ref="AP1130:AP1185" si="1836">IF(OR($E1130="",AP$1=""),"",IF(TRIM(LEFT($E1130,MIN(IFERROR(FIND("CDU",UPPER($E1130)),999),IFERROR(FIND("BULK",UPPER($E1130)),999),IFERROR(FIND("-",$E1130),999),IFERROR(FIND("（",$E1130),999))-1))=AP$1,$F1130,""))</f>
        <v/>
      </c>
      <c r="AQ1130" s="418" t="str">
        <f t="shared" ref="AQ1130:AQ1185" si="1837">IF(OR($E1130="",AQ$1=""),"",IF(TRIM(LEFT($E1130,MIN(IFERROR(FIND("CDU",UPPER($E1130)),999),IFERROR(FIND("BULK",UPPER($E1130)),999),IFERROR(FIND("-",$E1130),999),IFERROR(FIND("（",$E1130),999))-1))=AQ$1,$F1130,""))</f>
        <v/>
      </c>
      <c r="AR1130" s="418" t="str">
        <f t="shared" ref="AR1130:AR1185" si="1838">IF(OR($E1130="",AR$1=""),"",IF(TRIM(LEFT($E1130,MIN(IFERROR(FIND("CDU",UPPER($E1130)),999),IFERROR(FIND("BULK",UPPER($E1130)),999),IFERROR(FIND("-",$E1130),999),IFERROR(FIND("（",$E1130),999))-1))=AR$1,$F1130,""))</f>
        <v/>
      </c>
      <c r="AS1130" s="418" t="str">
        <f t="shared" ref="AS1130:AS1185" si="1839">IF(OR($E1130="",AS$1=""),"",IF(TRIM(LEFT($E1130,MIN(IFERROR(FIND("CDU",UPPER($E1130)),999),IFERROR(FIND("BULK",UPPER($E1130)),999),IFERROR(FIND("-",$E1130),999),IFERROR(FIND("（",$E1130),999))-1))=AS$1,$F1130,""))</f>
        <v/>
      </c>
      <c r="AT1130" s="418" t="str">
        <f t="shared" ref="AT1130:AT1185" si="1840">IF(OR($E1130="",AT$1=""),"",IF(TRIM(LEFT($E1130,MIN(IFERROR(FIND("CDU",UPPER($E1130)),999),IFERROR(FIND("BULK",UPPER($E1130)),999),IFERROR(FIND("-",$E1130),999),IFERROR(FIND("（",$E1130),999))-1))=AT$1,$F1130,""))</f>
        <v/>
      </c>
      <c r="AU1130" s="418" t="str">
        <f t="shared" ref="AU1130:AU1185" si="1841">IF(OR($E1130="",AU$1=""),"",IF(TRIM(LEFT($E1130,MIN(IFERROR(FIND("CDU",UPPER($E1130)),999),IFERROR(FIND("BULK",UPPER($E1130)),999),IFERROR(FIND("-",$E1130),999),IFERROR(FIND("（",$E1130),999))-1))=AU$1,$F1130,""))</f>
        <v/>
      </c>
      <c r="AV1130" s="418" t="str">
        <f t="shared" ref="AV1130:AV1185" si="1842">IF(OR($E1130="",AV$1=""),"",IF(TRIM(LEFT($E1130,MIN(IFERROR(FIND("CDU",UPPER($E1130)),999),IFERROR(FIND("BULK",UPPER($E1130)),999),IFERROR(FIND("-",$E1130),999),IFERROR(FIND("（",$E1130),999))-1))=AV$1,$F1130,""))</f>
        <v/>
      </c>
      <c r="AW1130" s="418" t="str">
        <f t="shared" ref="AW1130:AW1185" si="1843">IF(OR($E1130="",AW$1=""),"",IF(TRIM(LEFT($E1130,MIN(IFERROR(FIND("CDU",UPPER($E1130)),999),IFERROR(FIND("BULK",UPPER($E1130)),999),IFERROR(FIND("-",$E1130),999),IFERROR(FIND("（",$E1130),999))-1))=AW$1,$F1130,""))</f>
        <v/>
      </c>
      <c r="AX1130" s="418" t="str">
        <f t="shared" ref="AX1130:AX1185" si="1844">IF(OR($E1130="",AX$1=""),"",IF(TRIM(LEFT($E1130,MIN(IFERROR(FIND("CDU",UPPER($E1130)),999),IFERROR(FIND("BULK",UPPER($E1130)),999),IFERROR(FIND("-",$E1130),999),IFERROR(FIND("（",$E1130),999))-1))=AX$1,$F1130,""))</f>
        <v/>
      </c>
      <c r="AY1130" s="418" t="str">
        <f t="shared" ref="AY1130:AY1185" si="1845">IF(OR($E1130="",AY$1=""),"",IF(TRIM(LEFT($E1130,MIN(IFERROR(FIND("CDU",UPPER($E1130)),999),IFERROR(FIND("BULK",UPPER($E1130)),999),IFERROR(FIND("-",$E1130),999),IFERROR(FIND("（",$E1130),999))-1))=AY$1,$F1130,""))</f>
        <v/>
      </c>
      <c r="AZ1130" s="418" t="str">
        <f t="shared" ref="AZ1130:AZ1185" si="1846">IF(OR($E1130="",AZ$1=""),"",IF(TRIM(LEFT($E1130,MIN(IFERROR(FIND("CDU",UPPER($E1130)),999),IFERROR(FIND("BULK",UPPER($E1130)),999),IFERROR(FIND("-",$E1130),999),IFERROR(FIND("（",$E1130),999))-1))=AZ$1,$F1130,""))</f>
        <v/>
      </c>
      <c r="BA1130" s="418" t="str">
        <f t="shared" ref="BA1130:BA1185" si="1847">IF(OR($E1130="",BA$1=""),"",IF(TRIM(LEFT($E1130,MIN(IFERROR(FIND("CDU",UPPER($E1130)),999),IFERROR(FIND("BULK",UPPER($E1130)),999),IFERROR(FIND("-",$E1130),999),IFERROR(FIND("（",$E1130),999))-1))=BA$1,$F1130,""))</f>
        <v/>
      </c>
      <c r="BB1130" s="418" t="str">
        <f t="shared" ref="BB1130:BB1185" si="1848">IF(OR($E1130="",BB$1=""),"",IF(TRIM(LEFT($E1130,MIN(IFERROR(FIND("CDU",UPPER($E1130)),999),IFERROR(FIND("BULK",UPPER($E1130)),999),IFERROR(FIND("-",$E1130),999),IFERROR(FIND("（",$E1130),999))-1))=BB$1,$F1130,""))</f>
        <v/>
      </c>
      <c r="BC1130" s="418" t="str">
        <f t="shared" ref="BC1130:BC1185" si="1849">IF(OR($E1130="",BC$1=""),"",IF(TRIM(LEFT($E1130,MIN(IFERROR(FIND("CDU",UPPER($E1130)),999),IFERROR(FIND("BULK",UPPER($E1130)),999),IFERROR(FIND("-",$E1130),999),IFERROR(FIND("（",$E1130),999))-1))=BC$1,$F1130,""))</f>
        <v/>
      </c>
      <c r="BD1130" s="418" t="str">
        <f t="shared" ref="BD1130:BD1185" si="1850">IF(OR($E1130="",BD$1=""),"",IF(TRIM(LEFT($E1130,MIN(IFERROR(FIND("CDU",UPPER($E1130)),999),IFERROR(FIND("BULK",UPPER($E1130)),999),IFERROR(FIND("-",$E1130),999),IFERROR(FIND("（",$E1130),999))-1))=BD$1,$F1130,""))</f>
        <v/>
      </c>
      <c r="BE1130" s="418" t="str">
        <f t="shared" ref="BE1130:BE1185" si="1851">IF(OR($E1130="",BE$1=""),"",IF(TRIM(LEFT($E1130,MIN(IFERROR(FIND("CDU",UPPER($E1130)),999),IFERROR(FIND("BULK",UPPER($E1130)),999),IFERROR(FIND("-",$E1130),999),IFERROR(FIND("（",$E1130),999))-1))=BE$1,$F1130,""))</f>
        <v/>
      </c>
      <c r="BF1130" s="418" t="str">
        <f t="shared" ref="BF1130:BF1185" si="1852">IF(OR($E1130="",BF$1=""),"",IF(TRIM(LEFT($E1130,MIN(IFERROR(FIND("CDU",UPPER($E1130)),999),IFERROR(FIND("BULK",UPPER($E1130)),999),IFERROR(FIND("-",$E1130),999),IFERROR(FIND("（",$E1130),999))-1))=BF$1,$F1130,""))</f>
        <v/>
      </c>
      <c r="BG1130" s="418">
        <f t="shared" ref="BG1130:BG1185" si="1853">IF(OR($E1130="",BG$1=""),"",IF(TRIM(LEFT($E1130,MIN(IFERROR(FIND("CDU",UPPER($E1130)),999),IFERROR(FIND("BULK",UPPER($E1130)),999),IFERROR(FIND("-",$E1130),999),IFERROR(FIND("（",$E1130),999))-1))=BG$1,$F1130,""))</f>
        <v>16038</v>
      </c>
      <c r="BH1130" s="418" t="str">
        <f t="shared" ref="BH1130:BH1185" si="1854">IF(OR($E1130="",BH$1=""),"",IF(TRIM(LEFT($E1130,MIN(IFERROR(FIND("CDU",UPPER($E1130)),999),IFERROR(FIND("BULK",UPPER($E1130)),999),IFERROR(FIND("-",$E1130),999),IFERROR(FIND("（",$E1130),999))-1))=BH$1,$F1130,""))</f>
        <v/>
      </c>
      <c r="BI1130" s="418" t="str">
        <f t="shared" ref="BI1130:BI1185" si="1855">IF(OR($E1130="",BI$1=""),"",IF(TRIM(LEFT($E1130,MIN(IFERROR(FIND("CDU",UPPER($E1130)),999),IFERROR(FIND("BULK",UPPER($E1130)),999),IFERROR(FIND("-",$E1130),999),IFERROR(FIND("（",$E1130),999))-1))=BI$1,$F1130,""))</f>
        <v/>
      </c>
      <c r="BJ1130" s="418" t="str">
        <f t="shared" ref="BJ1130:BJ1185" si="1856">IF(OR($E1130="",BJ$1=""),"",IF(TRIM(LEFT($E1130,MIN(IFERROR(FIND("CDU",UPPER($E1130)),999),IFERROR(FIND("BULK",UPPER($E1130)),999),IFERROR(FIND("-",$E1130),999),IFERROR(FIND("（",$E1130),999))-1))=BJ$1,$F1130,""))</f>
        <v/>
      </c>
      <c r="BK1130" s="418" t="str">
        <f t="shared" ref="BK1130:BK1185" si="1857">IF(OR($E1130="",BK$1=""),"",IF(TRIM(LEFT($E1130,MIN(IFERROR(FIND("CDU",UPPER($E1130)),999),IFERROR(FIND("BULK",UPPER($E1130)),999),IFERROR(FIND("-",$E1130),999),IFERROR(FIND("（",$E1130),999))-1))=BK$1,$F1130,""))</f>
        <v/>
      </c>
      <c r="BL1130" s="418" t="str">
        <f t="shared" ref="BL1130:BL1185" si="1858">IF(OR($E1130="",BL$1=""),"",IF(TRIM(LEFT($E1130,MIN(IFERROR(FIND("CDU",UPPER($E1130)),999),IFERROR(FIND("BULK",UPPER($E1130)),999),IFERROR(FIND("-",$E1130),999),IFERROR(FIND("（",$E1130),999))-1))=BL$1,$F1130,""))</f>
        <v/>
      </c>
      <c r="BM1130" s="418" t="str">
        <f t="shared" ref="BM1130:BM1185" si="1859">IF(OR($E1130="",BM$1=""),"",IF(TRIM(LEFT($E1130,MIN(IFERROR(FIND("CDU",UPPER($E1130)),999),IFERROR(FIND("BULK",UPPER($E1130)),999),IFERROR(FIND("-",$E1130),999),IFERROR(FIND("（",$E1130),999))-1))=BM$1,$F1130,""))</f>
        <v/>
      </c>
      <c r="BN1130" s="418" t="str">
        <f t="shared" ref="BN1130:BN1185" si="1860">IF(OR($E1130="",BN$1=""),"",IF(TRIM(LEFT($E1130,MIN(IFERROR(FIND("CDU",UPPER($E1130)),999),IFERROR(FIND("BULK",UPPER($E1130)),999),IFERROR(FIND("-",$E1130),999),IFERROR(FIND("（",$E1130),999))-1))=BN$1,$F1130,""))</f>
        <v/>
      </c>
      <c r="BO1130" s="418" t="str">
        <f t="shared" ref="BO1130:BO1185" si="1861">IF(OR($E1130="",BO$1=""),"",IF(TRIM(LEFT($E1130,MIN(IFERROR(FIND("CDU",UPPER($E1130)),999),IFERROR(FIND("BULK",UPPER($E1130)),999),IFERROR(FIND("-",$E1130),999),IFERROR(FIND("（",$E1130),999))-1))=BO$1,$F1130,""))</f>
        <v/>
      </c>
      <c r="BP1130" s="418" t="str">
        <f t="shared" ref="BP1130:BP1185" si="1862">IF(OR($E1130="",BP$1=""),"",IF(TRIM(LEFT($E1130,MIN(IFERROR(FIND("CDU",UPPER($E1130)),999),IFERROR(FIND("BULK",UPPER($E1130)),999),IFERROR(FIND("-",$E1130),999),IFERROR(FIND("（",$E1130),999))-1))=BP$1,$F1130,""))</f>
        <v/>
      </c>
      <c r="BQ1130" s="418" t="str">
        <f t="shared" ref="BQ1130:BQ1181" si="1863">IF(OR($E1130="",BQ$1=""),"",IF(TRIM(LEFT($E1130,MIN(IFERROR(FIND("CDU",UPPER($E1130)),999),IFERROR(FIND("BULK",UPPER($E1130)),999),IFERROR(FIND("-",$E1130),999),IFERROR(FIND("（",$E1130),999))-1))=BQ$1,$F1130,""))</f>
        <v/>
      </c>
      <c r="BR1130" s="418" t="str">
        <f t="shared" ref="BR1130:BR1181" si="1864">IF(OR($E1130="",BR$1=""),"",IF(TRIM(LEFT($E1130,MIN(IFERROR(FIND("CDU",UPPER($E1130)),999),IFERROR(FIND("BULK",UPPER($E1130)),999),IFERROR(FIND("-",$E1130),999),IFERROR(FIND("（",$E1130),999))-1))=BR$1,$F1130,""))</f>
        <v/>
      </c>
      <c r="BS1130" s="418" t="str">
        <f t="shared" ref="BS1130:BS1181" si="1865">IF(OR($E1130="",BS$1=""),"",IF(TRIM(LEFT($E1130,MIN(IFERROR(FIND("CDU",UPPER($E1130)),999),IFERROR(FIND("BULK",UPPER($E1130)),999),IFERROR(FIND("-",$E1130),999),IFERROR(FIND("（",$E1130),999))-1))=BS$1,$F1130,""))</f>
        <v/>
      </c>
      <c r="BT1130" s="418" t="str">
        <f t="shared" ref="BT1130:BT1185" si="1866">IF(OR($E1130="",BT$1=""),"",IF(TRIM(LEFT($E1130,MIN(IFERROR(FIND("CDU",UPPER($E1130)),999),IFERROR(FIND("BULK",UPPER($E1130)),999),IFERROR(FIND("-",$E1130),999),IFERROR(FIND("（",$E1130),999))-1))=BT$1,$F1130,""))</f>
        <v/>
      </c>
      <c r="BU1130" s="418" t="str">
        <f t="shared" ref="BU1130:BU1185" si="1867">IF(OR($E1130="",BU$1=""),"",IF(TRIM(LEFT($E1130,MIN(IFERROR(FIND("CDU",UPPER($E1130)),999),IFERROR(FIND("BULK",UPPER($E1130)),999),IFERROR(FIND("-",$E1130),999),IFERROR(FIND("（",$E1130),999))-1))=BU$1,$F1130,""))</f>
        <v/>
      </c>
      <c r="BV1130" s="544">
        <v>1.03</v>
      </c>
      <c r="BW1130" s="723">
        <f t="shared" ref="BW1130:BW1185" si="1868">SUM(I1130:BU1130)*BV1130</f>
        <v>16519.14</v>
      </c>
      <c r="BX1130" s="724">
        <f t="shared" ref="BX1130:BX1185" si="1869">BW1130*7.75</f>
        <v>128023.34</v>
      </c>
      <c r="BY1130" s="725" t="str">
        <f t="shared" ref="BY1130:BY1185" si="1870">MID(E1130,1,2)</f>
        <v>JC</v>
      </c>
    </row>
    <row r="1131" s="697" customFormat="1" customHeight="1" spans="1:77">
      <c r="A1131" s="116">
        <v>46197</v>
      </c>
      <c r="B1131" s="116">
        <v>46245</v>
      </c>
      <c r="C1131" s="462" t="s">
        <v>993</v>
      </c>
      <c r="D1131" s="462" t="s">
        <v>994</v>
      </c>
      <c r="E1131" s="462" t="s">
        <v>52</v>
      </c>
      <c r="F1131" s="32">
        <v>12000</v>
      </c>
      <c r="G1131" s="462" t="s">
        <v>334</v>
      </c>
      <c r="H1131" s="118" t="str">
        <f>IFERROR(VLOOKUP(E1131,名称!A:E,4,0),"")</f>
        <v>蛋糕</v>
      </c>
      <c r="I1131" s="418" t="str">
        <f t="shared" si="1803"/>
        <v/>
      </c>
      <c r="J1131" s="418" t="str">
        <f t="shared" si="1804"/>
        <v/>
      </c>
      <c r="K1131" s="418" t="str">
        <f t="shared" si="1805"/>
        <v/>
      </c>
      <c r="L1131" s="418" t="str">
        <f t="shared" si="1806"/>
        <v/>
      </c>
      <c r="M1131" s="418" t="str">
        <f t="shared" si="1807"/>
        <v/>
      </c>
      <c r="N1131" s="418" t="str">
        <f t="shared" si="1808"/>
        <v/>
      </c>
      <c r="O1131" s="418" t="str">
        <f t="shared" si="1809"/>
        <v/>
      </c>
      <c r="P1131" s="418" t="str">
        <f t="shared" si="1810"/>
        <v/>
      </c>
      <c r="Q1131" s="418" t="str">
        <f t="shared" si="1811"/>
        <v/>
      </c>
      <c r="R1131" s="418" t="str">
        <f t="shared" si="1812"/>
        <v/>
      </c>
      <c r="S1131" s="418" t="str">
        <f t="shared" si="1813"/>
        <v/>
      </c>
      <c r="T1131" s="418" t="str">
        <f t="shared" si="1814"/>
        <v/>
      </c>
      <c r="U1131" s="418" t="str">
        <f t="shared" si="1815"/>
        <v/>
      </c>
      <c r="V1131" s="418" t="str">
        <f t="shared" si="1816"/>
        <v/>
      </c>
      <c r="W1131" s="418" t="str">
        <f t="shared" si="1817"/>
        <v/>
      </c>
      <c r="X1131" s="418" t="str">
        <f t="shared" si="1818"/>
        <v/>
      </c>
      <c r="Y1131" s="418" t="str">
        <f t="shared" si="1819"/>
        <v/>
      </c>
      <c r="Z1131" s="418" t="str">
        <f t="shared" si="1820"/>
        <v/>
      </c>
      <c r="AA1131" s="418" t="str">
        <f t="shared" si="1821"/>
        <v/>
      </c>
      <c r="AB1131" s="418" t="str">
        <f t="shared" si="1822"/>
        <v/>
      </c>
      <c r="AC1131" s="418" t="str">
        <f t="shared" si="1823"/>
        <v/>
      </c>
      <c r="AD1131" s="418" t="str">
        <f t="shared" si="1824"/>
        <v/>
      </c>
      <c r="AE1131" s="418" t="str">
        <f t="shared" si="1825"/>
        <v/>
      </c>
      <c r="AF1131" s="418" t="str">
        <f t="shared" si="1826"/>
        <v/>
      </c>
      <c r="AG1131" s="418" t="str">
        <f t="shared" si="1827"/>
        <v/>
      </c>
      <c r="AH1131" s="418" t="str">
        <f t="shared" si="1828"/>
        <v/>
      </c>
      <c r="AI1131" s="418" t="str">
        <f t="shared" si="1829"/>
        <v/>
      </c>
      <c r="AJ1131" s="418" t="str">
        <f t="shared" si="1830"/>
        <v/>
      </c>
      <c r="AK1131" s="418" t="str">
        <f t="shared" si="1831"/>
        <v/>
      </c>
      <c r="AL1131" s="418" t="str">
        <f t="shared" si="1832"/>
        <v/>
      </c>
      <c r="AM1131" s="418" t="str">
        <f t="shared" si="1833"/>
        <v/>
      </c>
      <c r="AN1131" s="418" t="str">
        <f t="shared" si="1834"/>
        <v/>
      </c>
      <c r="AO1131" s="418" t="str">
        <f t="shared" si="1835"/>
        <v/>
      </c>
      <c r="AP1131" s="418" t="str">
        <f t="shared" si="1836"/>
        <v/>
      </c>
      <c r="AQ1131" s="418" t="str">
        <f t="shared" si="1837"/>
        <v/>
      </c>
      <c r="AR1131" s="418" t="str">
        <f t="shared" si="1838"/>
        <v/>
      </c>
      <c r="AS1131" s="418" t="str">
        <f t="shared" si="1839"/>
        <v/>
      </c>
      <c r="AT1131" s="418" t="str">
        <f t="shared" si="1840"/>
        <v/>
      </c>
      <c r="AU1131" s="418" t="str">
        <f t="shared" si="1841"/>
        <v/>
      </c>
      <c r="AV1131" s="418" t="str">
        <f t="shared" si="1842"/>
        <v/>
      </c>
      <c r="AW1131" s="418" t="str">
        <f t="shared" si="1843"/>
        <v/>
      </c>
      <c r="AX1131" s="418" t="str">
        <f t="shared" si="1844"/>
        <v/>
      </c>
      <c r="AY1131" s="418" t="str">
        <f t="shared" si="1845"/>
        <v/>
      </c>
      <c r="AZ1131" s="418" t="str">
        <f t="shared" si="1846"/>
        <v/>
      </c>
      <c r="BA1131" s="418" t="str">
        <f t="shared" si="1847"/>
        <v/>
      </c>
      <c r="BB1131" s="418" t="str">
        <f t="shared" si="1848"/>
        <v/>
      </c>
      <c r="BC1131" s="418" t="str">
        <f t="shared" si="1849"/>
        <v/>
      </c>
      <c r="BD1131" s="418" t="str">
        <f t="shared" si="1850"/>
        <v/>
      </c>
      <c r="BE1131" s="418" t="str">
        <f t="shared" si="1851"/>
        <v/>
      </c>
      <c r="BF1131" s="418" t="str">
        <f t="shared" si="1852"/>
        <v/>
      </c>
      <c r="BG1131" s="418" t="str">
        <f t="shared" si="1853"/>
        <v/>
      </c>
      <c r="BH1131" s="418">
        <f t="shared" si="1854"/>
        <v>12000</v>
      </c>
      <c r="BI1131" s="418" t="str">
        <f t="shared" si="1855"/>
        <v/>
      </c>
      <c r="BJ1131" s="418" t="str">
        <f t="shared" si="1856"/>
        <v/>
      </c>
      <c r="BK1131" s="418" t="str">
        <f t="shared" si="1857"/>
        <v/>
      </c>
      <c r="BL1131" s="418" t="str">
        <f t="shared" si="1858"/>
        <v/>
      </c>
      <c r="BM1131" s="418" t="str">
        <f t="shared" si="1859"/>
        <v/>
      </c>
      <c r="BN1131" s="418" t="str">
        <f t="shared" si="1860"/>
        <v/>
      </c>
      <c r="BO1131" s="418" t="str">
        <f t="shared" si="1861"/>
        <v/>
      </c>
      <c r="BP1131" s="418" t="str">
        <f t="shared" si="1862"/>
        <v/>
      </c>
      <c r="BQ1131" s="418" t="str">
        <f t="shared" si="1863"/>
        <v/>
      </c>
      <c r="BR1131" s="418" t="str">
        <f t="shared" si="1864"/>
        <v/>
      </c>
      <c r="BS1131" s="418" t="str">
        <f t="shared" si="1865"/>
        <v/>
      </c>
      <c r="BT1131" s="418" t="str">
        <f t="shared" si="1866"/>
        <v/>
      </c>
      <c r="BU1131" s="418" t="str">
        <f t="shared" si="1867"/>
        <v/>
      </c>
      <c r="BV1131" s="544">
        <v>2.76</v>
      </c>
      <c r="BW1131" s="723">
        <f t="shared" si="1868"/>
        <v>33120</v>
      </c>
      <c r="BX1131" s="724">
        <f t="shared" si="1869"/>
        <v>256680</v>
      </c>
      <c r="BY1131" s="725" t="str">
        <f t="shared" si="1870"/>
        <v>JC</v>
      </c>
    </row>
    <row r="1132" s="697" customFormat="1" customHeight="1" spans="1:77">
      <c r="A1132" s="116">
        <v>46199</v>
      </c>
      <c r="B1132" s="116">
        <v>46267</v>
      </c>
      <c r="C1132" s="462" t="s">
        <v>995</v>
      </c>
      <c r="D1132" s="462" t="s">
        <v>996</v>
      </c>
      <c r="E1132" s="462" t="s">
        <v>50</v>
      </c>
      <c r="F1132" s="32">
        <f>10008+5994</f>
        <v>16002</v>
      </c>
      <c r="G1132" s="462" t="s">
        <v>997</v>
      </c>
      <c r="H1132" s="118" t="str">
        <f>IFERROR(VLOOKUP(E1132,名称!A:E,4,0),"")</f>
        <v>蛋糕</v>
      </c>
      <c r="I1132" s="418" t="str">
        <f t="shared" si="1803"/>
        <v/>
      </c>
      <c r="J1132" s="418" t="str">
        <f t="shared" si="1804"/>
        <v/>
      </c>
      <c r="K1132" s="418" t="str">
        <f t="shared" si="1805"/>
        <v/>
      </c>
      <c r="L1132" s="418" t="str">
        <f t="shared" si="1806"/>
        <v/>
      </c>
      <c r="M1132" s="418" t="str">
        <f t="shared" si="1807"/>
        <v/>
      </c>
      <c r="N1132" s="418" t="str">
        <f t="shared" si="1808"/>
        <v/>
      </c>
      <c r="O1132" s="418" t="str">
        <f t="shared" si="1809"/>
        <v/>
      </c>
      <c r="P1132" s="418" t="str">
        <f t="shared" si="1810"/>
        <v/>
      </c>
      <c r="Q1132" s="418" t="str">
        <f t="shared" si="1811"/>
        <v/>
      </c>
      <c r="R1132" s="418" t="str">
        <f t="shared" si="1812"/>
        <v/>
      </c>
      <c r="S1132" s="418" t="str">
        <f t="shared" si="1813"/>
        <v/>
      </c>
      <c r="T1132" s="418" t="str">
        <f t="shared" si="1814"/>
        <v/>
      </c>
      <c r="U1132" s="418" t="str">
        <f t="shared" si="1815"/>
        <v/>
      </c>
      <c r="V1132" s="418" t="str">
        <f t="shared" si="1816"/>
        <v/>
      </c>
      <c r="W1132" s="418" t="str">
        <f t="shared" si="1817"/>
        <v/>
      </c>
      <c r="X1132" s="418" t="str">
        <f t="shared" si="1818"/>
        <v/>
      </c>
      <c r="Y1132" s="418" t="str">
        <f t="shared" si="1819"/>
        <v/>
      </c>
      <c r="Z1132" s="418" t="str">
        <f t="shared" si="1820"/>
        <v/>
      </c>
      <c r="AA1132" s="418" t="str">
        <f t="shared" si="1821"/>
        <v/>
      </c>
      <c r="AB1132" s="418" t="str">
        <f t="shared" si="1822"/>
        <v/>
      </c>
      <c r="AC1132" s="418" t="str">
        <f t="shared" si="1823"/>
        <v/>
      </c>
      <c r="AD1132" s="418" t="str">
        <f t="shared" si="1824"/>
        <v/>
      </c>
      <c r="AE1132" s="418" t="str">
        <f t="shared" si="1825"/>
        <v/>
      </c>
      <c r="AF1132" s="418" t="str">
        <f t="shared" si="1826"/>
        <v/>
      </c>
      <c r="AG1132" s="418" t="str">
        <f t="shared" si="1827"/>
        <v/>
      </c>
      <c r="AH1132" s="418" t="str">
        <f t="shared" si="1828"/>
        <v/>
      </c>
      <c r="AI1132" s="418" t="str">
        <f t="shared" si="1829"/>
        <v/>
      </c>
      <c r="AJ1132" s="418" t="str">
        <f t="shared" si="1830"/>
        <v/>
      </c>
      <c r="AK1132" s="418" t="str">
        <f t="shared" si="1831"/>
        <v/>
      </c>
      <c r="AL1132" s="418" t="str">
        <f t="shared" si="1832"/>
        <v/>
      </c>
      <c r="AM1132" s="418" t="str">
        <f t="shared" si="1833"/>
        <v/>
      </c>
      <c r="AN1132" s="418" t="str">
        <f t="shared" si="1834"/>
        <v/>
      </c>
      <c r="AO1132" s="418" t="str">
        <f t="shared" si="1835"/>
        <v/>
      </c>
      <c r="AP1132" s="418" t="str">
        <f t="shared" si="1836"/>
        <v/>
      </c>
      <c r="AQ1132" s="418" t="str">
        <f t="shared" si="1837"/>
        <v/>
      </c>
      <c r="AR1132" s="418" t="str">
        <f t="shared" si="1838"/>
        <v/>
      </c>
      <c r="AS1132" s="418" t="str">
        <f t="shared" si="1839"/>
        <v/>
      </c>
      <c r="AT1132" s="418" t="str">
        <f t="shared" si="1840"/>
        <v/>
      </c>
      <c r="AU1132" s="418" t="str">
        <f t="shared" si="1841"/>
        <v/>
      </c>
      <c r="AV1132" s="418" t="str">
        <f t="shared" si="1842"/>
        <v/>
      </c>
      <c r="AW1132" s="418" t="str">
        <f t="shared" si="1843"/>
        <v/>
      </c>
      <c r="AX1132" s="418" t="str">
        <f t="shared" si="1844"/>
        <v/>
      </c>
      <c r="AY1132" s="418" t="str">
        <f t="shared" si="1845"/>
        <v/>
      </c>
      <c r="AZ1132" s="418" t="str">
        <f t="shared" si="1846"/>
        <v/>
      </c>
      <c r="BA1132" s="418" t="str">
        <f t="shared" si="1847"/>
        <v/>
      </c>
      <c r="BB1132" s="418" t="str">
        <f t="shared" si="1848"/>
        <v/>
      </c>
      <c r="BC1132" s="418" t="str">
        <f t="shared" si="1849"/>
        <v/>
      </c>
      <c r="BD1132" s="418" t="str">
        <f t="shared" si="1850"/>
        <v/>
      </c>
      <c r="BE1132" s="418" t="str">
        <f t="shared" si="1851"/>
        <v/>
      </c>
      <c r="BF1132" s="418" t="str">
        <f t="shared" si="1852"/>
        <v/>
      </c>
      <c r="BG1132" s="418">
        <f t="shared" si="1853"/>
        <v>16002</v>
      </c>
      <c r="BH1132" s="418" t="str">
        <f t="shared" si="1854"/>
        <v/>
      </c>
      <c r="BI1132" s="418" t="str">
        <f t="shared" si="1855"/>
        <v/>
      </c>
      <c r="BJ1132" s="418" t="str">
        <f t="shared" si="1856"/>
        <v/>
      </c>
      <c r="BK1132" s="418" t="str">
        <f t="shared" si="1857"/>
        <v/>
      </c>
      <c r="BL1132" s="418" t="str">
        <f t="shared" si="1858"/>
        <v/>
      </c>
      <c r="BM1132" s="418" t="str">
        <f t="shared" si="1859"/>
        <v/>
      </c>
      <c r="BN1132" s="418" t="str">
        <f t="shared" si="1860"/>
        <v/>
      </c>
      <c r="BO1132" s="418" t="str">
        <f t="shared" si="1861"/>
        <v/>
      </c>
      <c r="BP1132" s="418" t="str">
        <f t="shared" si="1862"/>
        <v/>
      </c>
      <c r="BQ1132" s="418" t="str">
        <f t="shared" si="1863"/>
        <v/>
      </c>
      <c r="BR1132" s="418" t="str">
        <f t="shared" si="1864"/>
        <v/>
      </c>
      <c r="BS1132" s="418" t="str">
        <f t="shared" si="1865"/>
        <v/>
      </c>
      <c r="BT1132" s="418" t="str">
        <f t="shared" si="1866"/>
        <v/>
      </c>
      <c r="BU1132" s="418" t="str">
        <f t="shared" si="1867"/>
        <v/>
      </c>
      <c r="BV1132" s="544">
        <v>1.03</v>
      </c>
      <c r="BW1132" s="723">
        <f t="shared" si="1868"/>
        <v>16482.06</v>
      </c>
      <c r="BX1132" s="724">
        <f t="shared" si="1869"/>
        <v>127735.97</v>
      </c>
      <c r="BY1132" s="725" t="str">
        <f t="shared" si="1870"/>
        <v>JC</v>
      </c>
    </row>
    <row r="1133" s="697" customFormat="1" customHeight="1" spans="1:77">
      <c r="A1133" s="362">
        <v>46203</v>
      </c>
      <c r="B1133" s="362">
        <v>46269</v>
      </c>
      <c r="C1133" s="431" t="s">
        <v>998</v>
      </c>
      <c r="D1133" s="431" t="s">
        <v>999</v>
      </c>
      <c r="E1133" s="431" t="s">
        <v>112</v>
      </c>
      <c r="F1133" s="96">
        <f>1300+200</f>
        <v>1500</v>
      </c>
      <c r="G1133" s="129" t="s">
        <v>510</v>
      </c>
      <c r="H1133" s="118" t="str">
        <f>IFERROR(VLOOKUP(E1133,名称!A:E,4,0),"")</f>
        <v>三代</v>
      </c>
      <c r="I1133" s="418" t="str">
        <f t="shared" si="1803"/>
        <v/>
      </c>
      <c r="J1133" s="418" t="str">
        <f t="shared" si="1804"/>
        <v/>
      </c>
      <c r="K1133" s="418" t="str">
        <f t="shared" si="1805"/>
        <v/>
      </c>
      <c r="L1133" s="418" t="str">
        <f t="shared" si="1806"/>
        <v/>
      </c>
      <c r="M1133" s="418" t="str">
        <f t="shared" si="1807"/>
        <v/>
      </c>
      <c r="N1133" s="418" t="str">
        <f t="shared" si="1808"/>
        <v/>
      </c>
      <c r="O1133" s="418" t="str">
        <f t="shared" si="1809"/>
        <v/>
      </c>
      <c r="P1133" s="418" t="str">
        <f t="shared" si="1810"/>
        <v/>
      </c>
      <c r="Q1133" s="418" t="str">
        <f t="shared" si="1811"/>
        <v/>
      </c>
      <c r="R1133" s="418" t="str">
        <f t="shared" si="1812"/>
        <v/>
      </c>
      <c r="S1133" s="418" t="str">
        <f t="shared" si="1813"/>
        <v/>
      </c>
      <c r="T1133" s="418" t="str">
        <f t="shared" si="1814"/>
        <v/>
      </c>
      <c r="U1133" s="418" t="str">
        <f t="shared" si="1815"/>
        <v/>
      </c>
      <c r="V1133" s="418" t="str">
        <f t="shared" si="1816"/>
        <v/>
      </c>
      <c r="W1133" s="418" t="str">
        <f t="shared" si="1817"/>
        <v/>
      </c>
      <c r="X1133" s="418" t="str">
        <f t="shared" si="1818"/>
        <v/>
      </c>
      <c r="Y1133" s="418" t="str">
        <f t="shared" si="1819"/>
        <v/>
      </c>
      <c r="Z1133" s="418" t="str">
        <f t="shared" si="1820"/>
        <v/>
      </c>
      <c r="AA1133" s="418" t="str">
        <f t="shared" si="1821"/>
        <v/>
      </c>
      <c r="AB1133" s="418" t="str">
        <f t="shared" si="1822"/>
        <v/>
      </c>
      <c r="AC1133" s="418" t="str">
        <f t="shared" si="1823"/>
        <v/>
      </c>
      <c r="AD1133" s="418" t="str">
        <f t="shared" si="1824"/>
        <v/>
      </c>
      <c r="AE1133" s="418" t="str">
        <f t="shared" si="1825"/>
        <v/>
      </c>
      <c r="AF1133" s="418" t="str">
        <f t="shared" si="1826"/>
        <v/>
      </c>
      <c r="AG1133" s="418" t="str">
        <f t="shared" si="1827"/>
        <v/>
      </c>
      <c r="AH1133" s="418" t="str">
        <f t="shared" si="1828"/>
        <v/>
      </c>
      <c r="AI1133" s="418">
        <f t="shared" si="1829"/>
        <v>1500</v>
      </c>
      <c r="AJ1133" s="418" t="str">
        <f t="shared" si="1830"/>
        <v/>
      </c>
      <c r="AK1133" s="418" t="str">
        <f t="shared" si="1831"/>
        <v/>
      </c>
      <c r="AL1133" s="418" t="str">
        <f t="shared" si="1832"/>
        <v/>
      </c>
      <c r="AM1133" s="418" t="str">
        <f t="shared" si="1833"/>
        <v/>
      </c>
      <c r="AN1133" s="418" t="str">
        <f t="shared" si="1834"/>
        <v/>
      </c>
      <c r="AO1133" s="418" t="str">
        <f t="shared" si="1835"/>
        <v/>
      </c>
      <c r="AP1133" s="418" t="str">
        <f t="shared" si="1836"/>
        <v/>
      </c>
      <c r="AQ1133" s="418" t="str">
        <f t="shared" si="1837"/>
        <v/>
      </c>
      <c r="AR1133" s="418" t="str">
        <f t="shared" si="1838"/>
        <v/>
      </c>
      <c r="AS1133" s="418" t="str">
        <f t="shared" si="1839"/>
        <v/>
      </c>
      <c r="AT1133" s="418" t="str">
        <f t="shared" si="1840"/>
        <v/>
      </c>
      <c r="AU1133" s="418" t="str">
        <f t="shared" si="1841"/>
        <v/>
      </c>
      <c r="AV1133" s="418" t="str">
        <f t="shared" si="1842"/>
        <v/>
      </c>
      <c r="AW1133" s="418" t="str">
        <f t="shared" si="1843"/>
        <v/>
      </c>
      <c r="AX1133" s="418" t="str">
        <f t="shared" si="1844"/>
        <v/>
      </c>
      <c r="AY1133" s="418" t="str">
        <f t="shared" si="1845"/>
        <v/>
      </c>
      <c r="AZ1133" s="418" t="str">
        <f t="shared" si="1846"/>
        <v/>
      </c>
      <c r="BA1133" s="418" t="str">
        <f t="shared" si="1847"/>
        <v/>
      </c>
      <c r="BB1133" s="418" t="str">
        <f t="shared" si="1848"/>
        <v/>
      </c>
      <c r="BC1133" s="418" t="str">
        <f t="shared" si="1849"/>
        <v/>
      </c>
      <c r="BD1133" s="418" t="str">
        <f t="shared" si="1850"/>
        <v/>
      </c>
      <c r="BE1133" s="418" t="str">
        <f t="shared" si="1851"/>
        <v/>
      </c>
      <c r="BF1133" s="418" t="str">
        <f t="shared" si="1852"/>
        <v/>
      </c>
      <c r="BG1133" s="418" t="str">
        <f t="shared" si="1853"/>
        <v/>
      </c>
      <c r="BH1133" s="418" t="str">
        <f t="shared" si="1854"/>
        <v/>
      </c>
      <c r="BI1133" s="418" t="str">
        <f t="shared" si="1855"/>
        <v/>
      </c>
      <c r="BJ1133" s="418" t="str">
        <f t="shared" si="1856"/>
        <v/>
      </c>
      <c r="BK1133" s="418" t="str">
        <f t="shared" si="1857"/>
        <v/>
      </c>
      <c r="BL1133" s="418" t="str">
        <f t="shared" si="1858"/>
        <v/>
      </c>
      <c r="BM1133" s="418" t="str">
        <f t="shared" si="1859"/>
        <v/>
      </c>
      <c r="BN1133" s="418" t="str">
        <f t="shared" si="1860"/>
        <v/>
      </c>
      <c r="BO1133" s="418" t="str">
        <f t="shared" si="1861"/>
        <v/>
      </c>
      <c r="BP1133" s="418" t="str">
        <f t="shared" si="1862"/>
        <v/>
      </c>
      <c r="BQ1133" s="418" t="str">
        <f t="shared" si="1863"/>
        <v/>
      </c>
      <c r="BR1133" s="418" t="str">
        <f t="shared" si="1864"/>
        <v/>
      </c>
      <c r="BS1133" s="418" t="str">
        <f t="shared" si="1865"/>
        <v/>
      </c>
      <c r="BT1133" s="418" t="str">
        <f t="shared" si="1866"/>
        <v/>
      </c>
      <c r="BU1133" s="418" t="str">
        <f t="shared" si="1867"/>
        <v/>
      </c>
      <c r="BV1133" s="624">
        <v>9.15</v>
      </c>
      <c r="BW1133" s="723">
        <f t="shared" si="1868"/>
        <v>13725</v>
      </c>
      <c r="BX1133" s="724">
        <f t="shared" si="1869"/>
        <v>106368.75</v>
      </c>
      <c r="BY1133" s="725" t="str">
        <f t="shared" si="1870"/>
        <v>SR</v>
      </c>
    </row>
    <row r="1134" s="697" customFormat="1" customHeight="1" spans="1:77">
      <c r="A1134" s="362">
        <v>46204</v>
      </c>
      <c r="B1134" s="362">
        <v>46363</v>
      </c>
      <c r="C1134" s="431" t="s">
        <v>1000</v>
      </c>
      <c r="D1134" s="431" t="s">
        <v>1001</v>
      </c>
      <c r="E1134" s="431" t="s">
        <v>83</v>
      </c>
      <c r="F1134" s="96">
        <v>1008</v>
      </c>
      <c r="G1134" s="431" t="s">
        <v>270</v>
      </c>
      <c r="H1134" s="118" t="str">
        <f>IFERROR(VLOOKUP(E1134,名称!A:E,4,0),"")</f>
        <v>三代</v>
      </c>
      <c r="I1134" s="418" t="str">
        <f t="shared" si="1803"/>
        <v/>
      </c>
      <c r="J1134" s="418" t="str">
        <f t="shared" si="1804"/>
        <v/>
      </c>
      <c r="K1134" s="418" t="str">
        <f t="shared" si="1805"/>
        <v/>
      </c>
      <c r="L1134" s="418" t="str">
        <f t="shared" si="1806"/>
        <v/>
      </c>
      <c r="M1134" s="418" t="str">
        <f t="shared" si="1807"/>
        <v/>
      </c>
      <c r="N1134" s="418" t="str">
        <f t="shared" si="1808"/>
        <v/>
      </c>
      <c r="O1134" s="418" t="str">
        <f t="shared" si="1809"/>
        <v/>
      </c>
      <c r="P1134" s="418" t="str">
        <f t="shared" si="1810"/>
        <v/>
      </c>
      <c r="Q1134" s="418" t="str">
        <f t="shared" si="1811"/>
        <v/>
      </c>
      <c r="R1134" s="418" t="str">
        <f t="shared" si="1812"/>
        <v/>
      </c>
      <c r="S1134" s="418" t="str">
        <f t="shared" si="1813"/>
        <v/>
      </c>
      <c r="T1134" s="418" t="str">
        <f t="shared" si="1814"/>
        <v/>
      </c>
      <c r="U1134" s="418" t="str">
        <f t="shared" si="1815"/>
        <v/>
      </c>
      <c r="V1134" s="418" t="str">
        <f t="shared" si="1816"/>
        <v/>
      </c>
      <c r="W1134" s="418" t="str">
        <f t="shared" si="1817"/>
        <v/>
      </c>
      <c r="X1134" s="418" t="str">
        <f t="shared" si="1818"/>
        <v/>
      </c>
      <c r="Y1134" s="418" t="str">
        <f t="shared" si="1819"/>
        <v/>
      </c>
      <c r="Z1134" s="418" t="str">
        <f t="shared" si="1820"/>
        <v/>
      </c>
      <c r="AA1134" s="418" t="str">
        <f t="shared" si="1821"/>
        <v/>
      </c>
      <c r="AB1134" s="418" t="str">
        <f t="shared" si="1822"/>
        <v/>
      </c>
      <c r="AC1134" s="418" t="str">
        <f t="shared" si="1823"/>
        <v/>
      </c>
      <c r="AD1134" s="418" t="str">
        <f t="shared" si="1824"/>
        <v/>
      </c>
      <c r="AE1134" s="418" t="str">
        <f t="shared" si="1825"/>
        <v/>
      </c>
      <c r="AF1134" s="418" t="str">
        <f t="shared" si="1826"/>
        <v/>
      </c>
      <c r="AG1134" s="418" t="str">
        <f t="shared" si="1827"/>
        <v/>
      </c>
      <c r="AH1134" s="418" t="str">
        <f t="shared" si="1828"/>
        <v/>
      </c>
      <c r="AI1134" s="418" t="str">
        <f t="shared" si="1829"/>
        <v/>
      </c>
      <c r="AJ1134" s="418" t="str">
        <f t="shared" si="1830"/>
        <v/>
      </c>
      <c r="AK1134" s="418" t="str">
        <f t="shared" si="1831"/>
        <v/>
      </c>
      <c r="AL1134" s="418" t="str">
        <f t="shared" si="1832"/>
        <v/>
      </c>
      <c r="AM1134" s="418" t="str">
        <f t="shared" si="1833"/>
        <v/>
      </c>
      <c r="AN1134" s="418">
        <f t="shared" si="1834"/>
        <v>1008</v>
      </c>
      <c r="AO1134" s="418" t="str">
        <f t="shared" si="1835"/>
        <v/>
      </c>
      <c r="AP1134" s="418" t="str">
        <f t="shared" si="1836"/>
        <v/>
      </c>
      <c r="AQ1134" s="418" t="str">
        <f t="shared" si="1837"/>
        <v/>
      </c>
      <c r="AR1134" s="418" t="str">
        <f t="shared" si="1838"/>
        <v/>
      </c>
      <c r="AS1134" s="418" t="str">
        <f t="shared" si="1839"/>
        <v/>
      </c>
      <c r="AT1134" s="418" t="str">
        <f t="shared" si="1840"/>
        <v/>
      </c>
      <c r="AU1134" s="418" t="str">
        <f t="shared" si="1841"/>
        <v/>
      </c>
      <c r="AV1134" s="418" t="str">
        <f t="shared" si="1842"/>
        <v/>
      </c>
      <c r="AW1134" s="418" t="str">
        <f t="shared" si="1843"/>
        <v/>
      </c>
      <c r="AX1134" s="418" t="str">
        <f t="shared" si="1844"/>
        <v/>
      </c>
      <c r="AY1134" s="418" t="str">
        <f t="shared" si="1845"/>
        <v/>
      </c>
      <c r="AZ1134" s="418" t="str">
        <f t="shared" si="1846"/>
        <v/>
      </c>
      <c r="BA1134" s="418" t="str">
        <f t="shared" si="1847"/>
        <v/>
      </c>
      <c r="BB1134" s="418" t="str">
        <f t="shared" si="1848"/>
        <v/>
      </c>
      <c r="BC1134" s="418" t="str">
        <f t="shared" si="1849"/>
        <v/>
      </c>
      <c r="BD1134" s="418" t="str">
        <f t="shared" si="1850"/>
        <v/>
      </c>
      <c r="BE1134" s="418" t="str">
        <f t="shared" si="1851"/>
        <v/>
      </c>
      <c r="BF1134" s="418" t="str">
        <f t="shared" si="1852"/>
        <v/>
      </c>
      <c r="BG1134" s="418" t="str">
        <f t="shared" si="1853"/>
        <v/>
      </c>
      <c r="BH1134" s="418" t="str">
        <f t="shared" si="1854"/>
        <v/>
      </c>
      <c r="BI1134" s="418" t="str">
        <f t="shared" si="1855"/>
        <v/>
      </c>
      <c r="BJ1134" s="418" t="str">
        <f t="shared" si="1856"/>
        <v/>
      </c>
      <c r="BK1134" s="418" t="str">
        <f t="shared" si="1857"/>
        <v/>
      </c>
      <c r="BL1134" s="418" t="str">
        <f t="shared" si="1858"/>
        <v/>
      </c>
      <c r="BM1134" s="418" t="str">
        <f t="shared" si="1859"/>
        <v/>
      </c>
      <c r="BN1134" s="418" t="str">
        <f t="shared" si="1860"/>
        <v/>
      </c>
      <c r="BO1134" s="418" t="str">
        <f t="shared" si="1861"/>
        <v/>
      </c>
      <c r="BP1134" s="418" t="str">
        <f t="shared" si="1862"/>
        <v/>
      </c>
      <c r="BQ1134" s="418" t="str">
        <f t="shared" si="1863"/>
        <v/>
      </c>
      <c r="BR1134" s="418" t="str">
        <f t="shared" si="1864"/>
        <v/>
      </c>
      <c r="BS1134" s="418" t="str">
        <f t="shared" si="1865"/>
        <v/>
      </c>
      <c r="BT1134" s="418" t="str">
        <f t="shared" si="1866"/>
        <v/>
      </c>
      <c r="BU1134" s="418" t="str">
        <f t="shared" si="1867"/>
        <v/>
      </c>
      <c r="BV1134" s="624">
        <v>0.83</v>
      </c>
      <c r="BW1134" s="723">
        <f t="shared" si="1868"/>
        <v>836.64</v>
      </c>
      <c r="BX1134" s="724">
        <f t="shared" si="1869"/>
        <v>6483.96</v>
      </c>
      <c r="BY1134" s="725" t="str">
        <f t="shared" si="1870"/>
        <v>SR</v>
      </c>
    </row>
    <row r="1135" s="697" customFormat="1" customHeight="1" spans="1:77">
      <c r="A1135" s="362">
        <v>46204</v>
      </c>
      <c r="B1135" s="362">
        <v>46433</v>
      </c>
      <c r="C1135" s="431" t="s">
        <v>1002</v>
      </c>
      <c r="D1135" s="431" t="s">
        <v>1003</v>
      </c>
      <c r="E1135" s="431" t="s">
        <v>83</v>
      </c>
      <c r="F1135" s="96">
        <v>2004</v>
      </c>
      <c r="G1135" s="431" t="s">
        <v>270</v>
      </c>
      <c r="H1135" s="118" t="str">
        <f>IFERROR(VLOOKUP(E1135,名称!A:E,4,0),"")</f>
        <v>三代</v>
      </c>
      <c r="I1135" s="418" t="str">
        <f t="shared" si="1803"/>
        <v/>
      </c>
      <c r="J1135" s="418" t="str">
        <f t="shared" si="1804"/>
        <v/>
      </c>
      <c r="K1135" s="418" t="str">
        <f t="shared" si="1805"/>
        <v/>
      </c>
      <c r="L1135" s="418" t="str">
        <f t="shared" si="1806"/>
        <v/>
      </c>
      <c r="M1135" s="418" t="str">
        <f t="shared" si="1807"/>
        <v/>
      </c>
      <c r="N1135" s="418" t="str">
        <f t="shared" si="1808"/>
        <v/>
      </c>
      <c r="O1135" s="418" t="str">
        <f t="shared" si="1809"/>
        <v/>
      </c>
      <c r="P1135" s="418" t="str">
        <f t="shared" si="1810"/>
        <v/>
      </c>
      <c r="Q1135" s="418" t="str">
        <f t="shared" si="1811"/>
        <v/>
      </c>
      <c r="R1135" s="418" t="str">
        <f t="shared" si="1812"/>
        <v/>
      </c>
      <c r="S1135" s="418" t="str">
        <f t="shared" si="1813"/>
        <v/>
      </c>
      <c r="T1135" s="418" t="str">
        <f t="shared" si="1814"/>
        <v/>
      </c>
      <c r="U1135" s="418" t="str">
        <f t="shared" si="1815"/>
        <v/>
      </c>
      <c r="V1135" s="418" t="str">
        <f t="shared" si="1816"/>
        <v/>
      </c>
      <c r="W1135" s="418" t="str">
        <f t="shared" si="1817"/>
        <v/>
      </c>
      <c r="X1135" s="418" t="str">
        <f t="shared" si="1818"/>
        <v/>
      </c>
      <c r="Y1135" s="418" t="str">
        <f t="shared" si="1819"/>
        <v/>
      </c>
      <c r="Z1135" s="418" t="str">
        <f t="shared" si="1820"/>
        <v/>
      </c>
      <c r="AA1135" s="418" t="str">
        <f t="shared" si="1821"/>
        <v/>
      </c>
      <c r="AB1135" s="418" t="str">
        <f t="shared" si="1822"/>
        <v/>
      </c>
      <c r="AC1135" s="418" t="str">
        <f t="shared" si="1823"/>
        <v/>
      </c>
      <c r="AD1135" s="418" t="str">
        <f t="shared" si="1824"/>
        <v/>
      </c>
      <c r="AE1135" s="418" t="str">
        <f t="shared" si="1825"/>
        <v/>
      </c>
      <c r="AF1135" s="418" t="str">
        <f t="shared" si="1826"/>
        <v/>
      </c>
      <c r="AG1135" s="418" t="str">
        <f t="shared" si="1827"/>
        <v/>
      </c>
      <c r="AH1135" s="418" t="str">
        <f t="shared" si="1828"/>
        <v/>
      </c>
      <c r="AI1135" s="418" t="str">
        <f t="shared" si="1829"/>
        <v/>
      </c>
      <c r="AJ1135" s="418" t="str">
        <f t="shared" si="1830"/>
        <v/>
      </c>
      <c r="AK1135" s="418" t="str">
        <f t="shared" si="1831"/>
        <v/>
      </c>
      <c r="AL1135" s="418" t="str">
        <f t="shared" si="1832"/>
        <v/>
      </c>
      <c r="AM1135" s="418" t="str">
        <f t="shared" si="1833"/>
        <v/>
      </c>
      <c r="AN1135" s="418">
        <f t="shared" si="1834"/>
        <v>2004</v>
      </c>
      <c r="AO1135" s="418" t="str">
        <f t="shared" si="1835"/>
        <v/>
      </c>
      <c r="AP1135" s="418" t="str">
        <f t="shared" si="1836"/>
        <v/>
      </c>
      <c r="AQ1135" s="418" t="str">
        <f t="shared" si="1837"/>
        <v/>
      </c>
      <c r="AR1135" s="418" t="str">
        <f t="shared" si="1838"/>
        <v/>
      </c>
      <c r="AS1135" s="418" t="str">
        <f t="shared" si="1839"/>
        <v/>
      </c>
      <c r="AT1135" s="418" t="str">
        <f t="shared" si="1840"/>
        <v/>
      </c>
      <c r="AU1135" s="418" t="str">
        <f t="shared" si="1841"/>
        <v/>
      </c>
      <c r="AV1135" s="418" t="str">
        <f t="shared" si="1842"/>
        <v/>
      </c>
      <c r="AW1135" s="418" t="str">
        <f t="shared" si="1843"/>
        <v/>
      </c>
      <c r="AX1135" s="418" t="str">
        <f t="shared" si="1844"/>
        <v/>
      </c>
      <c r="AY1135" s="418" t="str">
        <f t="shared" si="1845"/>
        <v/>
      </c>
      <c r="AZ1135" s="418" t="str">
        <f t="shared" si="1846"/>
        <v/>
      </c>
      <c r="BA1135" s="418" t="str">
        <f t="shared" si="1847"/>
        <v/>
      </c>
      <c r="BB1135" s="418" t="str">
        <f t="shared" si="1848"/>
        <v/>
      </c>
      <c r="BC1135" s="418" t="str">
        <f t="shared" si="1849"/>
        <v/>
      </c>
      <c r="BD1135" s="418" t="str">
        <f t="shared" si="1850"/>
        <v/>
      </c>
      <c r="BE1135" s="418" t="str">
        <f t="shared" si="1851"/>
        <v/>
      </c>
      <c r="BF1135" s="418" t="str">
        <f t="shared" si="1852"/>
        <v/>
      </c>
      <c r="BG1135" s="418" t="str">
        <f t="shared" si="1853"/>
        <v/>
      </c>
      <c r="BH1135" s="418" t="str">
        <f t="shared" si="1854"/>
        <v/>
      </c>
      <c r="BI1135" s="418" t="str">
        <f t="shared" si="1855"/>
        <v/>
      </c>
      <c r="BJ1135" s="418" t="str">
        <f t="shared" si="1856"/>
        <v/>
      </c>
      <c r="BK1135" s="418" t="str">
        <f t="shared" si="1857"/>
        <v/>
      </c>
      <c r="BL1135" s="418" t="str">
        <f t="shared" si="1858"/>
        <v/>
      </c>
      <c r="BM1135" s="418" t="str">
        <f t="shared" si="1859"/>
        <v/>
      </c>
      <c r="BN1135" s="418" t="str">
        <f t="shared" si="1860"/>
        <v/>
      </c>
      <c r="BO1135" s="418" t="str">
        <f t="shared" si="1861"/>
        <v/>
      </c>
      <c r="BP1135" s="418" t="str">
        <f t="shared" si="1862"/>
        <v/>
      </c>
      <c r="BQ1135" s="418" t="str">
        <f t="shared" si="1863"/>
        <v/>
      </c>
      <c r="BR1135" s="418" t="str">
        <f t="shared" si="1864"/>
        <v/>
      </c>
      <c r="BS1135" s="418" t="str">
        <f t="shared" si="1865"/>
        <v/>
      </c>
      <c r="BT1135" s="418" t="str">
        <f t="shared" si="1866"/>
        <v/>
      </c>
      <c r="BU1135" s="418" t="str">
        <f t="shared" si="1867"/>
        <v/>
      </c>
      <c r="BV1135" s="624">
        <v>0.83</v>
      </c>
      <c r="BW1135" s="723">
        <f t="shared" si="1868"/>
        <v>1663.32</v>
      </c>
      <c r="BX1135" s="724">
        <f t="shared" si="1869"/>
        <v>12890.73</v>
      </c>
      <c r="BY1135" s="725" t="str">
        <f t="shared" si="1870"/>
        <v>SR</v>
      </c>
    </row>
    <row r="1136" s="697" customFormat="1" customHeight="1" spans="1:77">
      <c r="A1136" s="362">
        <v>46204</v>
      </c>
      <c r="B1136" s="362">
        <v>46347</v>
      </c>
      <c r="C1136" s="431" t="s">
        <v>1004</v>
      </c>
      <c r="D1136" s="431" t="s">
        <v>1005</v>
      </c>
      <c r="E1136" s="431" t="s">
        <v>59</v>
      </c>
      <c r="F1136" s="96">
        <v>6000</v>
      </c>
      <c r="G1136" s="431" t="s">
        <v>270</v>
      </c>
      <c r="H1136" s="118" t="str">
        <f>IFERROR(VLOOKUP(E1136,名称!A:E,4,0),"")</f>
        <v>三代</v>
      </c>
      <c r="I1136" s="418" t="str">
        <f t="shared" si="1803"/>
        <v/>
      </c>
      <c r="J1136" s="418" t="str">
        <f t="shared" si="1804"/>
        <v/>
      </c>
      <c r="K1136" s="418" t="str">
        <f t="shared" si="1805"/>
        <v/>
      </c>
      <c r="L1136" s="418" t="str">
        <f t="shared" si="1806"/>
        <v/>
      </c>
      <c r="M1136" s="418" t="str">
        <f t="shared" si="1807"/>
        <v/>
      </c>
      <c r="N1136" s="418" t="str">
        <f t="shared" si="1808"/>
        <v/>
      </c>
      <c r="O1136" s="418" t="str">
        <f t="shared" si="1809"/>
        <v/>
      </c>
      <c r="P1136" s="418" t="str">
        <f t="shared" si="1810"/>
        <v/>
      </c>
      <c r="Q1136" s="418" t="str">
        <f t="shared" si="1811"/>
        <v/>
      </c>
      <c r="R1136" s="418" t="str">
        <f t="shared" si="1812"/>
        <v/>
      </c>
      <c r="S1136" s="418" t="str">
        <f t="shared" si="1813"/>
        <v/>
      </c>
      <c r="T1136" s="418" t="str">
        <f t="shared" si="1814"/>
        <v/>
      </c>
      <c r="U1136" s="418" t="str">
        <f t="shared" si="1815"/>
        <v/>
      </c>
      <c r="V1136" s="418" t="str">
        <f t="shared" si="1816"/>
        <v/>
      </c>
      <c r="W1136" s="418" t="str">
        <f t="shared" si="1817"/>
        <v/>
      </c>
      <c r="X1136" s="418" t="str">
        <f t="shared" si="1818"/>
        <v/>
      </c>
      <c r="Y1136" s="418" t="str">
        <f t="shared" si="1819"/>
        <v/>
      </c>
      <c r="Z1136" s="418" t="str">
        <f t="shared" si="1820"/>
        <v/>
      </c>
      <c r="AA1136" s="418" t="str">
        <f t="shared" si="1821"/>
        <v/>
      </c>
      <c r="AB1136" s="418" t="str">
        <f t="shared" si="1822"/>
        <v/>
      </c>
      <c r="AC1136" s="418" t="str">
        <f t="shared" si="1823"/>
        <v/>
      </c>
      <c r="AD1136" s="418">
        <f t="shared" si="1824"/>
        <v>6000</v>
      </c>
      <c r="AE1136" s="418" t="str">
        <f t="shared" si="1825"/>
        <v/>
      </c>
      <c r="AF1136" s="418" t="str">
        <f t="shared" si="1826"/>
        <v/>
      </c>
      <c r="AG1136" s="418" t="str">
        <f t="shared" si="1827"/>
        <v/>
      </c>
      <c r="AH1136" s="418" t="str">
        <f t="shared" si="1828"/>
        <v/>
      </c>
      <c r="AI1136" s="418" t="str">
        <f t="shared" si="1829"/>
        <v/>
      </c>
      <c r="AJ1136" s="418" t="str">
        <f t="shared" si="1830"/>
        <v/>
      </c>
      <c r="AK1136" s="418" t="str">
        <f t="shared" si="1831"/>
        <v/>
      </c>
      <c r="AL1136" s="418" t="str">
        <f t="shared" si="1832"/>
        <v/>
      </c>
      <c r="AM1136" s="418" t="str">
        <f t="shared" si="1833"/>
        <v/>
      </c>
      <c r="AN1136" s="418" t="str">
        <f t="shared" si="1834"/>
        <v/>
      </c>
      <c r="AO1136" s="418" t="str">
        <f t="shared" si="1835"/>
        <v/>
      </c>
      <c r="AP1136" s="418" t="str">
        <f t="shared" si="1836"/>
        <v/>
      </c>
      <c r="AQ1136" s="418" t="str">
        <f t="shared" si="1837"/>
        <v/>
      </c>
      <c r="AR1136" s="418" t="str">
        <f t="shared" si="1838"/>
        <v/>
      </c>
      <c r="AS1136" s="418" t="str">
        <f t="shared" si="1839"/>
        <v/>
      </c>
      <c r="AT1136" s="418" t="str">
        <f t="shared" si="1840"/>
        <v/>
      </c>
      <c r="AU1136" s="418" t="str">
        <f t="shared" si="1841"/>
        <v/>
      </c>
      <c r="AV1136" s="418" t="str">
        <f t="shared" si="1842"/>
        <v/>
      </c>
      <c r="AW1136" s="418" t="str">
        <f t="shared" si="1843"/>
        <v/>
      </c>
      <c r="AX1136" s="418" t="str">
        <f t="shared" si="1844"/>
        <v/>
      </c>
      <c r="AY1136" s="418" t="str">
        <f t="shared" si="1845"/>
        <v/>
      </c>
      <c r="AZ1136" s="418" t="str">
        <f t="shared" si="1846"/>
        <v/>
      </c>
      <c r="BA1136" s="418" t="str">
        <f t="shared" si="1847"/>
        <v/>
      </c>
      <c r="BB1136" s="418" t="str">
        <f t="shared" si="1848"/>
        <v/>
      </c>
      <c r="BC1136" s="418" t="str">
        <f t="shared" si="1849"/>
        <v/>
      </c>
      <c r="BD1136" s="418" t="str">
        <f t="shared" si="1850"/>
        <v/>
      </c>
      <c r="BE1136" s="418" t="str">
        <f t="shared" si="1851"/>
        <v/>
      </c>
      <c r="BF1136" s="418" t="str">
        <f t="shared" si="1852"/>
        <v/>
      </c>
      <c r="BG1136" s="418" t="str">
        <f t="shared" si="1853"/>
        <v/>
      </c>
      <c r="BH1136" s="418" t="str">
        <f t="shared" si="1854"/>
        <v/>
      </c>
      <c r="BI1136" s="418" t="str">
        <f t="shared" si="1855"/>
        <v/>
      </c>
      <c r="BJ1136" s="418" t="str">
        <f t="shared" si="1856"/>
        <v/>
      </c>
      <c r="BK1136" s="418" t="str">
        <f t="shared" si="1857"/>
        <v/>
      </c>
      <c r="BL1136" s="418" t="str">
        <f t="shared" si="1858"/>
        <v/>
      </c>
      <c r="BM1136" s="418" t="str">
        <f t="shared" si="1859"/>
        <v/>
      </c>
      <c r="BN1136" s="418" t="str">
        <f t="shared" si="1860"/>
        <v/>
      </c>
      <c r="BO1136" s="418" t="str">
        <f t="shared" si="1861"/>
        <v/>
      </c>
      <c r="BP1136" s="418" t="str">
        <f t="shared" si="1862"/>
        <v/>
      </c>
      <c r="BQ1136" s="418" t="str">
        <f t="shared" si="1863"/>
        <v/>
      </c>
      <c r="BR1136" s="418" t="str">
        <f t="shared" si="1864"/>
        <v/>
      </c>
      <c r="BS1136" s="418" t="str">
        <f t="shared" si="1865"/>
        <v/>
      </c>
      <c r="BT1136" s="418" t="str">
        <f t="shared" si="1866"/>
        <v/>
      </c>
      <c r="BU1136" s="418" t="str">
        <f t="shared" si="1867"/>
        <v/>
      </c>
      <c r="BV1136" s="624">
        <v>0.62</v>
      </c>
      <c r="BW1136" s="723">
        <f t="shared" si="1868"/>
        <v>3720</v>
      </c>
      <c r="BX1136" s="724">
        <f t="shared" si="1869"/>
        <v>28830</v>
      </c>
      <c r="BY1136" s="725" t="str">
        <f t="shared" si="1870"/>
        <v>SR</v>
      </c>
    </row>
    <row r="1137" s="697" customFormat="1" customHeight="1" spans="1:77">
      <c r="A1137" s="362">
        <v>46204</v>
      </c>
      <c r="B1137" s="362">
        <v>46391</v>
      </c>
      <c r="C1137" s="431" t="s">
        <v>1006</v>
      </c>
      <c r="D1137" s="431" t="s">
        <v>1007</v>
      </c>
      <c r="E1137" s="431" t="s">
        <v>59</v>
      </c>
      <c r="F1137" s="96">
        <v>8016</v>
      </c>
      <c r="G1137" s="431" t="s">
        <v>270</v>
      </c>
      <c r="H1137" s="118" t="str">
        <f>IFERROR(VLOOKUP(E1137,名称!A:E,4,0),"")</f>
        <v>三代</v>
      </c>
      <c r="I1137" s="418" t="str">
        <f t="shared" si="1803"/>
        <v/>
      </c>
      <c r="J1137" s="418" t="str">
        <f t="shared" si="1804"/>
        <v/>
      </c>
      <c r="K1137" s="418" t="str">
        <f t="shared" si="1805"/>
        <v/>
      </c>
      <c r="L1137" s="418" t="str">
        <f t="shared" si="1806"/>
        <v/>
      </c>
      <c r="M1137" s="418" t="str">
        <f t="shared" si="1807"/>
        <v/>
      </c>
      <c r="N1137" s="418" t="str">
        <f t="shared" si="1808"/>
        <v/>
      </c>
      <c r="O1137" s="418" t="str">
        <f t="shared" si="1809"/>
        <v/>
      </c>
      <c r="P1137" s="418" t="str">
        <f t="shared" si="1810"/>
        <v/>
      </c>
      <c r="Q1137" s="418" t="str">
        <f t="shared" si="1811"/>
        <v/>
      </c>
      <c r="R1137" s="418" t="str">
        <f t="shared" si="1812"/>
        <v/>
      </c>
      <c r="S1137" s="418" t="str">
        <f t="shared" si="1813"/>
        <v/>
      </c>
      <c r="T1137" s="418" t="str">
        <f t="shared" si="1814"/>
        <v/>
      </c>
      <c r="U1137" s="418" t="str">
        <f t="shared" si="1815"/>
        <v/>
      </c>
      <c r="V1137" s="418" t="str">
        <f t="shared" si="1816"/>
        <v/>
      </c>
      <c r="W1137" s="418" t="str">
        <f t="shared" si="1817"/>
        <v/>
      </c>
      <c r="X1137" s="418" t="str">
        <f t="shared" si="1818"/>
        <v/>
      </c>
      <c r="Y1137" s="418" t="str">
        <f t="shared" si="1819"/>
        <v/>
      </c>
      <c r="Z1137" s="418" t="str">
        <f t="shared" si="1820"/>
        <v/>
      </c>
      <c r="AA1137" s="418" t="str">
        <f t="shared" si="1821"/>
        <v/>
      </c>
      <c r="AB1137" s="418" t="str">
        <f t="shared" si="1822"/>
        <v/>
      </c>
      <c r="AC1137" s="418" t="str">
        <f t="shared" si="1823"/>
        <v/>
      </c>
      <c r="AD1137" s="418">
        <f t="shared" si="1824"/>
        <v>8016</v>
      </c>
      <c r="AE1137" s="418" t="str">
        <f t="shared" si="1825"/>
        <v/>
      </c>
      <c r="AF1137" s="418" t="str">
        <f t="shared" si="1826"/>
        <v/>
      </c>
      <c r="AG1137" s="418" t="str">
        <f t="shared" si="1827"/>
        <v/>
      </c>
      <c r="AH1137" s="418" t="str">
        <f t="shared" si="1828"/>
        <v/>
      </c>
      <c r="AI1137" s="418" t="str">
        <f t="shared" si="1829"/>
        <v/>
      </c>
      <c r="AJ1137" s="418" t="str">
        <f t="shared" si="1830"/>
        <v/>
      </c>
      <c r="AK1137" s="418" t="str">
        <f t="shared" si="1831"/>
        <v/>
      </c>
      <c r="AL1137" s="418" t="str">
        <f t="shared" si="1832"/>
        <v/>
      </c>
      <c r="AM1137" s="418" t="str">
        <f t="shared" si="1833"/>
        <v/>
      </c>
      <c r="AN1137" s="418" t="str">
        <f t="shared" si="1834"/>
        <v/>
      </c>
      <c r="AO1137" s="418" t="str">
        <f t="shared" si="1835"/>
        <v/>
      </c>
      <c r="AP1137" s="418" t="str">
        <f t="shared" si="1836"/>
        <v/>
      </c>
      <c r="AQ1137" s="418" t="str">
        <f t="shared" si="1837"/>
        <v/>
      </c>
      <c r="AR1137" s="418" t="str">
        <f t="shared" si="1838"/>
        <v/>
      </c>
      <c r="AS1137" s="418" t="str">
        <f t="shared" si="1839"/>
        <v/>
      </c>
      <c r="AT1137" s="418" t="str">
        <f t="shared" si="1840"/>
        <v/>
      </c>
      <c r="AU1137" s="418" t="str">
        <f t="shared" si="1841"/>
        <v/>
      </c>
      <c r="AV1137" s="418" t="str">
        <f t="shared" si="1842"/>
        <v/>
      </c>
      <c r="AW1137" s="418" t="str">
        <f t="shared" si="1843"/>
        <v/>
      </c>
      <c r="AX1137" s="418" t="str">
        <f t="shared" si="1844"/>
        <v/>
      </c>
      <c r="AY1137" s="418" t="str">
        <f t="shared" si="1845"/>
        <v/>
      </c>
      <c r="AZ1137" s="418" t="str">
        <f t="shared" si="1846"/>
        <v/>
      </c>
      <c r="BA1137" s="418" t="str">
        <f t="shared" si="1847"/>
        <v/>
      </c>
      <c r="BB1137" s="418" t="str">
        <f t="shared" si="1848"/>
        <v/>
      </c>
      <c r="BC1137" s="418" t="str">
        <f t="shared" si="1849"/>
        <v/>
      </c>
      <c r="BD1137" s="418" t="str">
        <f t="shared" si="1850"/>
        <v/>
      </c>
      <c r="BE1137" s="418" t="str">
        <f t="shared" si="1851"/>
        <v/>
      </c>
      <c r="BF1137" s="418" t="str">
        <f t="shared" si="1852"/>
        <v/>
      </c>
      <c r="BG1137" s="418" t="str">
        <f t="shared" si="1853"/>
        <v/>
      </c>
      <c r="BH1137" s="418" t="str">
        <f t="shared" si="1854"/>
        <v/>
      </c>
      <c r="BI1137" s="418" t="str">
        <f t="shared" si="1855"/>
        <v/>
      </c>
      <c r="BJ1137" s="418" t="str">
        <f t="shared" si="1856"/>
        <v/>
      </c>
      <c r="BK1137" s="418" t="str">
        <f t="shared" si="1857"/>
        <v/>
      </c>
      <c r="BL1137" s="418" t="str">
        <f t="shared" si="1858"/>
        <v/>
      </c>
      <c r="BM1137" s="418" t="str">
        <f t="shared" si="1859"/>
        <v/>
      </c>
      <c r="BN1137" s="418" t="str">
        <f t="shared" si="1860"/>
        <v/>
      </c>
      <c r="BO1137" s="418" t="str">
        <f t="shared" si="1861"/>
        <v/>
      </c>
      <c r="BP1137" s="418" t="str">
        <f t="shared" si="1862"/>
        <v/>
      </c>
      <c r="BQ1137" s="418" t="str">
        <f t="shared" si="1863"/>
        <v/>
      </c>
      <c r="BR1137" s="418" t="str">
        <f t="shared" si="1864"/>
        <v/>
      </c>
      <c r="BS1137" s="418" t="str">
        <f t="shared" si="1865"/>
        <v/>
      </c>
      <c r="BT1137" s="418" t="str">
        <f t="shared" si="1866"/>
        <v/>
      </c>
      <c r="BU1137" s="418" t="str">
        <f t="shared" si="1867"/>
        <v/>
      </c>
      <c r="BV1137" s="624">
        <v>0.62</v>
      </c>
      <c r="BW1137" s="723">
        <f t="shared" si="1868"/>
        <v>4969.92</v>
      </c>
      <c r="BX1137" s="724">
        <f t="shared" si="1869"/>
        <v>38516.88</v>
      </c>
      <c r="BY1137" s="725" t="str">
        <f t="shared" si="1870"/>
        <v>SR</v>
      </c>
    </row>
    <row r="1138" s="697" customFormat="1" customHeight="1" spans="1:77">
      <c r="A1138" s="362">
        <v>46204</v>
      </c>
      <c r="B1138" s="362">
        <v>46447</v>
      </c>
      <c r="C1138" s="431" t="s">
        <v>1008</v>
      </c>
      <c r="D1138" s="431" t="s">
        <v>1009</v>
      </c>
      <c r="E1138" s="431" t="s">
        <v>59</v>
      </c>
      <c r="F1138" s="96">
        <v>6000</v>
      </c>
      <c r="G1138" s="431" t="s">
        <v>270</v>
      </c>
      <c r="H1138" s="118" t="str">
        <f>IFERROR(VLOOKUP(E1138,名称!A:E,4,0),"")</f>
        <v>三代</v>
      </c>
      <c r="I1138" s="418" t="str">
        <f t="shared" si="1803"/>
        <v/>
      </c>
      <c r="J1138" s="418" t="str">
        <f t="shared" si="1804"/>
        <v/>
      </c>
      <c r="K1138" s="418" t="str">
        <f t="shared" si="1805"/>
        <v/>
      </c>
      <c r="L1138" s="418" t="str">
        <f t="shared" si="1806"/>
        <v/>
      </c>
      <c r="M1138" s="418" t="str">
        <f t="shared" si="1807"/>
        <v/>
      </c>
      <c r="N1138" s="418" t="str">
        <f t="shared" si="1808"/>
        <v/>
      </c>
      <c r="O1138" s="418" t="str">
        <f t="shared" si="1809"/>
        <v/>
      </c>
      <c r="P1138" s="418" t="str">
        <f t="shared" si="1810"/>
        <v/>
      </c>
      <c r="Q1138" s="418" t="str">
        <f t="shared" si="1811"/>
        <v/>
      </c>
      <c r="R1138" s="418" t="str">
        <f t="shared" si="1812"/>
        <v/>
      </c>
      <c r="S1138" s="418" t="str">
        <f t="shared" si="1813"/>
        <v/>
      </c>
      <c r="T1138" s="418" t="str">
        <f t="shared" si="1814"/>
        <v/>
      </c>
      <c r="U1138" s="418" t="str">
        <f t="shared" si="1815"/>
        <v/>
      </c>
      <c r="V1138" s="418" t="str">
        <f t="shared" si="1816"/>
        <v/>
      </c>
      <c r="W1138" s="418" t="str">
        <f t="shared" si="1817"/>
        <v/>
      </c>
      <c r="X1138" s="418" t="str">
        <f t="shared" si="1818"/>
        <v/>
      </c>
      <c r="Y1138" s="418" t="str">
        <f t="shared" si="1819"/>
        <v/>
      </c>
      <c r="Z1138" s="418" t="str">
        <f t="shared" si="1820"/>
        <v/>
      </c>
      <c r="AA1138" s="418" t="str">
        <f t="shared" si="1821"/>
        <v/>
      </c>
      <c r="AB1138" s="418" t="str">
        <f t="shared" si="1822"/>
        <v/>
      </c>
      <c r="AC1138" s="418" t="str">
        <f t="shared" si="1823"/>
        <v/>
      </c>
      <c r="AD1138" s="418">
        <f t="shared" si="1824"/>
        <v>6000</v>
      </c>
      <c r="AE1138" s="418" t="str">
        <f t="shared" si="1825"/>
        <v/>
      </c>
      <c r="AF1138" s="418" t="str">
        <f t="shared" si="1826"/>
        <v/>
      </c>
      <c r="AG1138" s="418" t="str">
        <f t="shared" si="1827"/>
        <v/>
      </c>
      <c r="AH1138" s="418" t="str">
        <f t="shared" si="1828"/>
        <v/>
      </c>
      <c r="AI1138" s="418" t="str">
        <f t="shared" si="1829"/>
        <v/>
      </c>
      <c r="AJ1138" s="418" t="str">
        <f t="shared" si="1830"/>
        <v/>
      </c>
      <c r="AK1138" s="418" t="str">
        <f t="shared" si="1831"/>
        <v/>
      </c>
      <c r="AL1138" s="418" t="str">
        <f t="shared" si="1832"/>
        <v/>
      </c>
      <c r="AM1138" s="418" t="str">
        <f t="shared" si="1833"/>
        <v/>
      </c>
      <c r="AN1138" s="418" t="str">
        <f t="shared" si="1834"/>
        <v/>
      </c>
      <c r="AO1138" s="418" t="str">
        <f t="shared" si="1835"/>
        <v/>
      </c>
      <c r="AP1138" s="418" t="str">
        <f t="shared" si="1836"/>
        <v/>
      </c>
      <c r="AQ1138" s="418" t="str">
        <f t="shared" si="1837"/>
        <v/>
      </c>
      <c r="AR1138" s="418" t="str">
        <f t="shared" si="1838"/>
        <v/>
      </c>
      <c r="AS1138" s="418" t="str">
        <f t="shared" si="1839"/>
        <v/>
      </c>
      <c r="AT1138" s="418" t="str">
        <f t="shared" si="1840"/>
        <v/>
      </c>
      <c r="AU1138" s="418" t="str">
        <f t="shared" si="1841"/>
        <v/>
      </c>
      <c r="AV1138" s="418" t="str">
        <f t="shared" si="1842"/>
        <v/>
      </c>
      <c r="AW1138" s="418" t="str">
        <f t="shared" si="1843"/>
        <v/>
      </c>
      <c r="AX1138" s="418" t="str">
        <f t="shared" si="1844"/>
        <v/>
      </c>
      <c r="AY1138" s="418" t="str">
        <f t="shared" si="1845"/>
        <v/>
      </c>
      <c r="AZ1138" s="418" t="str">
        <f t="shared" si="1846"/>
        <v/>
      </c>
      <c r="BA1138" s="418" t="str">
        <f t="shared" si="1847"/>
        <v/>
      </c>
      <c r="BB1138" s="418" t="str">
        <f t="shared" si="1848"/>
        <v/>
      </c>
      <c r="BC1138" s="418" t="str">
        <f t="shared" si="1849"/>
        <v/>
      </c>
      <c r="BD1138" s="418" t="str">
        <f t="shared" si="1850"/>
        <v/>
      </c>
      <c r="BE1138" s="418" t="str">
        <f t="shared" si="1851"/>
        <v/>
      </c>
      <c r="BF1138" s="418" t="str">
        <f t="shared" si="1852"/>
        <v/>
      </c>
      <c r="BG1138" s="418" t="str">
        <f t="shared" si="1853"/>
        <v/>
      </c>
      <c r="BH1138" s="418" t="str">
        <f t="shared" si="1854"/>
        <v/>
      </c>
      <c r="BI1138" s="418" t="str">
        <f t="shared" si="1855"/>
        <v/>
      </c>
      <c r="BJ1138" s="418" t="str">
        <f t="shared" si="1856"/>
        <v/>
      </c>
      <c r="BK1138" s="418" t="str">
        <f t="shared" si="1857"/>
        <v/>
      </c>
      <c r="BL1138" s="418" t="str">
        <f t="shared" si="1858"/>
        <v/>
      </c>
      <c r="BM1138" s="418" t="str">
        <f t="shared" si="1859"/>
        <v/>
      </c>
      <c r="BN1138" s="418" t="str">
        <f t="shared" si="1860"/>
        <v/>
      </c>
      <c r="BO1138" s="418" t="str">
        <f t="shared" si="1861"/>
        <v/>
      </c>
      <c r="BP1138" s="418" t="str">
        <f t="shared" si="1862"/>
        <v/>
      </c>
      <c r="BQ1138" s="418" t="str">
        <f t="shared" si="1863"/>
        <v/>
      </c>
      <c r="BR1138" s="418" t="str">
        <f t="shared" si="1864"/>
        <v/>
      </c>
      <c r="BS1138" s="418" t="str">
        <f t="shared" si="1865"/>
        <v/>
      </c>
      <c r="BT1138" s="418" t="str">
        <f t="shared" si="1866"/>
        <v/>
      </c>
      <c r="BU1138" s="418" t="str">
        <f t="shared" si="1867"/>
        <v/>
      </c>
      <c r="BV1138" s="624">
        <v>0.62</v>
      </c>
      <c r="BW1138" s="723">
        <f t="shared" si="1868"/>
        <v>3720</v>
      </c>
      <c r="BX1138" s="724">
        <f t="shared" si="1869"/>
        <v>28830</v>
      </c>
      <c r="BY1138" s="725" t="str">
        <f t="shared" si="1870"/>
        <v>SR</v>
      </c>
    </row>
    <row r="1139" s="697" customFormat="1" customHeight="1" spans="1:77">
      <c r="A1139" s="362">
        <v>46204</v>
      </c>
      <c r="B1139" s="362">
        <v>46370</v>
      </c>
      <c r="C1139" s="431" t="s">
        <v>1010</v>
      </c>
      <c r="D1139" s="431" t="s">
        <v>1011</v>
      </c>
      <c r="E1139" s="431" t="s">
        <v>96</v>
      </c>
      <c r="F1139" s="96">
        <v>2004</v>
      </c>
      <c r="G1139" s="431" t="s">
        <v>270</v>
      </c>
      <c r="H1139" s="118" t="str">
        <f>IFERROR(VLOOKUP(E1139,名称!A:E,4,0),"")</f>
        <v>三代</v>
      </c>
      <c r="I1139" s="418" t="str">
        <f t="shared" si="1803"/>
        <v/>
      </c>
      <c r="J1139" s="418" t="str">
        <f t="shared" si="1804"/>
        <v/>
      </c>
      <c r="K1139" s="418" t="str">
        <f t="shared" si="1805"/>
        <v/>
      </c>
      <c r="L1139" s="418" t="str">
        <f t="shared" si="1806"/>
        <v/>
      </c>
      <c r="M1139" s="418" t="str">
        <f t="shared" si="1807"/>
        <v/>
      </c>
      <c r="N1139" s="418" t="str">
        <f t="shared" si="1808"/>
        <v/>
      </c>
      <c r="O1139" s="418" t="str">
        <f t="shared" si="1809"/>
        <v/>
      </c>
      <c r="P1139" s="418" t="str">
        <f t="shared" si="1810"/>
        <v/>
      </c>
      <c r="Q1139" s="418" t="str">
        <f t="shared" si="1811"/>
        <v/>
      </c>
      <c r="R1139" s="418" t="str">
        <f t="shared" si="1812"/>
        <v/>
      </c>
      <c r="S1139" s="418" t="str">
        <f t="shared" si="1813"/>
        <v/>
      </c>
      <c r="T1139" s="418" t="str">
        <f t="shared" si="1814"/>
        <v/>
      </c>
      <c r="U1139" s="418" t="str">
        <f t="shared" si="1815"/>
        <v/>
      </c>
      <c r="V1139" s="418" t="str">
        <f t="shared" si="1816"/>
        <v/>
      </c>
      <c r="W1139" s="418" t="str">
        <f t="shared" si="1817"/>
        <v/>
      </c>
      <c r="X1139" s="418" t="str">
        <f t="shared" si="1818"/>
        <v/>
      </c>
      <c r="Y1139" s="418" t="str">
        <f t="shared" si="1819"/>
        <v/>
      </c>
      <c r="Z1139" s="418" t="str">
        <f t="shared" si="1820"/>
        <v/>
      </c>
      <c r="AA1139" s="418" t="str">
        <f t="shared" si="1821"/>
        <v/>
      </c>
      <c r="AB1139" s="418" t="str">
        <f t="shared" si="1822"/>
        <v/>
      </c>
      <c r="AC1139" s="418" t="str">
        <f t="shared" si="1823"/>
        <v/>
      </c>
      <c r="AD1139" s="418" t="str">
        <f t="shared" si="1824"/>
        <v/>
      </c>
      <c r="AE1139" s="418" t="str">
        <f t="shared" si="1825"/>
        <v/>
      </c>
      <c r="AF1139" s="418" t="str">
        <f t="shared" si="1826"/>
        <v/>
      </c>
      <c r="AG1139" s="418" t="str">
        <f t="shared" si="1827"/>
        <v/>
      </c>
      <c r="AH1139" s="418" t="str">
        <f t="shared" si="1828"/>
        <v/>
      </c>
      <c r="AI1139" s="418" t="str">
        <f t="shared" si="1829"/>
        <v/>
      </c>
      <c r="AJ1139" s="418" t="str">
        <f t="shared" si="1830"/>
        <v/>
      </c>
      <c r="AK1139" s="418" t="str">
        <f t="shared" si="1831"/>
        <v/>
      </c>
      <c r="AL1139" s="418" t="str">
        <f t="shared" si="1832"/>
        <v/>
      </c>
      <c r="AM1139" s="418" t="str">
        <f t="shared" si="1833"/>
        <v/>
      </c>
      <c r="AN1139" s="418" t="str">
        <f t="shared" si="1834"/>
        <v/>
      </c>
      <c r="AO1139" s="418" t="str">
        <f t="shared" si="1835"/>
        <v/>
      </c>
      <c r="AP1139" s="418" t="str">
        <f t="shared" si="1836"/>
        <v/>
      </c>
      <c r="AQ1139" s="418" t="str">
        <f t="shared" si="1837"/>
        <v/>
      </c>
      <c r="AR1139" s="418" t="str">
        <f t="shared" si="1838"/>
        <v/>
      </c>
      <c r="AS1139" s="418" t="str">
        <f t="shared" si="1839"/>
        <v/>
      </c>
      <c r="AT1139" s="418" t="str">
        <f t="shared" si="1840"/>
        <v/>
      </c>
      <c r="AU1139" s="418" t="str">
        <f t="shared" si="1841"/>
        <v/>
      </c>
      <c r="AV1139" s="418" t="str">
        <f t="shared" si="1842"/>
        <v/>
      </c>
      <c r="AW1139" s="418" t="str">
        <f t="shared" si="1843"/>
        <v/>
      </c>
      <c r="AX1139" s="418" t="str">
        <f t="shared" si="1844"/>
        <v/>
      </c>
      <c r="AY1139" s="418" t="str">
        <f t="shared" si="1845"/>
        <v/>
      </c>
      <c r="AZ1139" s="418" t="str">
        <f t="shared" si="1846"/>
        <v/>
      </c>
      <c r="BA1139" s="418">
        <f t="shared" si="1847"/>
        <v>2004</v>
      </c>
      <c r="BB1139" s="418" t="str">
        <f t="shared" si="1848"/>
        <v/>
      </c>
      <c r="BC1139" s="418" t="str">
        <f t="shared" si="1849"/>
        <v/>
      </c>
      <c r="BD1139" s="418" t="str">
        <f t="shared" si="1850"/>
        <v/>
      </c>
      <c r="BE1139" s="418" t="str">
        <f t="shared" si="1851"/>
        <v/>
      </c>
      <c r="BF1139" s="418" t="str">
        <f t="shared" si="1852"/>
        <v/>
      </c>
      <c r="BG1139" s="418" t="str">
        <f t="shared" si="1853"/>
        <v/>
      </c>
      <c r="BH1139" s="418" t="str">
        <f t="shared" si="1854"/>
        <v/>
      </c>
      <c r="BI1139" s="418" t="str">
        <f t="shared" si="1855"/>
        <v/>
      </c>
      <c r="BJ1139" s="418" t="str">
        <f t="shared" si="1856"/>
        <v/>
      </c>
      <c r="BK1139" s="418" t="str">
        <f t="shared" si="1857"/>
        <v/>
      </c>
      <c r="BL1139" s="418" t="str">
        <f t="shared" si="1858"/>
        <v/>
      </c>
      <c r="BM1139" s="418" t="str">
        <f t="shared" si="1859"/>
        <v/>
      </c>
      <c r="BN1139" s="418" t="str">
        <f t="shared" si="1860"/>
        <v/>
      </c>
      <c r="BO1139" s="418" t="str">
        <f t="shared" si="1861"/>
        <v/>
      </c>
      <c r="BP1139" s="418" t="str">
        <f t="shared" si="1862"/>
        <v/>
      </c>
      <c r="BQ1139" s="418" t="str">
        <f t="shared" si="1863"/>
        <v/>
      </c>
      <c r="BR1139" s="418" t="str">
        <f t="shared" si="1864"/>
        <v/>
      </c>
      <c r="BS1139" s="418" t="str">
        <f t="shared" si="1865"/>
        <v/>
      </c>
      <c r="BT1139" s="418" t="str">
        <f t="shared" si="1866"/>
        <v/>
      </c>
      <c r="BU1139" s="418" t="str">
        <f t="shared" si="1867"/>
        <v/>
      </c>
      <c r="BV1139" s="624">
        <v>0.59</v>
      </c>
      <c r="BW1139" s="723">
        <f t="shared" si="1868"/>
        <v>1182.36</v>
      </c>
      <c r="BX1139" s="724">
        <f t="shared" si="1869"/>
        <v>9163.29</v>
      </c>
      <c r="BY1139" s="725" t="str">
        <f t="shared" si="1870"/>
        <v>SR</v>
      </c>
    </row>
    <row r="1140" s="697" customFormat="1" customHeight="1" spans="1:77">
      <c r="A1140" s="362">
        <v>46204</v>
      </c>
      <c r="B1140" s="362">
        <v>46441</v>
      </c>
      <c r="C1140" s="431" t="s">
        <v>1012</v>
      </c>
      <c r="D1140" s="431" t="s">
        <v>1013</v>
      </c>
      <c r="E1140" s="431" t="s">
        <v>96</v>
      </c>
      <c r="F1140" s="96">
        <v>1500</v>
      </c>
      <c r="G1140" s="431" t="s">
        <v>270</v>
      </c>
      <c r="H1140" s="118" t="str">
        <f>IFERROR(VLOOKUP(E1140,名称!A:E,4,0),"")</f>
        <v>三代</v>
      </c>
      <c r="I1140" s="418" t="str">
        <f t="shared" si="1803"/>
        <v/>
      </c>
      <c r="J1140" s="418" t="str">
        <f t="shared" si="1804"/>
        <v/>
      </c>
      <c r="K1140" s="418" t="str">
        <f t="shared" si="1805"/>
        <v/>
      </c>
      <c r="L1140" s="418" t="str">
        <f t="shared" si="1806"/>
        <v/>
      </c>
      <c r="M1140" s="418" t="str">
        <f t="shared" si="1807"/>
        <v/>
      </c>
      <c r="N1140" s="418" t="str">
        <f t="shared" si="1808"/>
        <v/>
      </c>
      <c r="O1140" s="418" t="str">
        <f t="shared" si="1809"/>
        <v/>
      </c>
      <c r="P1140" s="418" t="str">
        <f t="shared" si="1810"/>
        <v/>
      </c>
      <c r="Q1140" s="418" t="str">
        <f t="shared" si="1811"/>
        <v/>
      </c>
      <c r="R1140" s="418" t="str">
        <f t="shared" si="1812"/>
        <v/>
      </c>
      <c r="S1140" s="418" t="str">
        <f t="shared" si="1813"/>
        <v/>
      </c>
      <c r="T1140" s="418" t="str">
        <f t="shared" si="1814"/>
        <v/>
      </c>
      <c r="U1140" s="418" t="str">
        <f t="shared" si="1815"/>
        <v/>
      </c>
      <c r="V1140" s="418" t="str">
        <f t="shared" si="1816"/>
        <v/>
      </c>
      <c r="W1140" s="418" t="str">
        <f t="shared" si="1817"/>
        <v/>
      </c>
      <c r="X1140" s="418" t="str">
        <f t="shared" si="1818"/>
        <v/>
      </c>
      <c r="Y1140" s="418" t="str">
        <f t="shared" si="1819"/>
        <v/>
      </c>
      <c r="Z1140" s="418" t="str">
        <f t="shared" si="1820"/>
        <v/>
      </c>
      <c r="AA1140" s="418" t="str">
        <f t="shared" si="1821"/>
        <v/>
      </c>
      <c r="AB1140" s="418" t="str">
        <f t="shared" si="1822"/>
        <v/>
      </c>
      <c r="AC1140" s="418" t="str">
        <f t="shared" si="1823"/>
        <v/>
      </c>
      <c r="AD1140" s="418" t="str">
        <f t="shared" si="1824"/>
        <v/>
      </c>
      <c r="AE1140" s="418" t="str">
        <f t="shared" si="1825"/>
        <v/>
      </c>
      <c r="AF1140" s="418" t="str">
        <f t="shared" si="1826"/>
        <v/>
      </c>
      <c r="AG1140" s="418" t="str">
        <f t="shared" si="1827"/>
        <v/>
      </c>
      <c r="AH1140" s="418" t="str">
        <f t="shared" si="1828"/>
        <v/>
      </c>
      <c r="AI1140" s="418" t="str">
        <f t="shared" si="1829"/>
        <v/>
      </c>
      <c r="AJ1140" s="418" t="str">
        <f t="shared" si="1830"/>
        <v/>
      </c>
      <c r="AK1140" s="418" t="str">
        <f t="shared" si="1831"/>
        <v/>
      </c>
      <c r="AL1140" s="418" t="str">
        <f t="shared" si="1832"/>
        <v/>
      </c>
      <c r="AM1140" s="418" t="str">
        <f t="shared" si="1833"/>
        <v/>
      </c>
      <c r="AN1140" s="418" t="str">
        <f t="shared" si="1834"/>
        <v/>
      </c>
      <c r="AO1140" s="418" t="str">
        <f t="shared" si="1835"/>
        <v/>
      </c>
      <c r="AP1140" s="418" t="str">
        <f t="shared" si="1836"/>
        <v/>
      </c>
      <c r="AQ1140" s="418" t="str">
        <f t="shared" si="1837"/>
        <v/>
      </c>
      <c r="AR1140" s="418" t="str">
        <f t="shared" si="1838"/>
        <v/>
      </c>
      <c r="AS1140" s="418" t="str">
        <f t="shared" si="1839"/>
        <v/>
      </c>
      <c r="AT1140" s="418" t="str">
        <f t="shared" si="1840"/>
        <v/>
      </c>
      <c r="AU1140" s="418" t="str">
        <f t="shared" si="1841"/>
        <v/>
      </c>
      <c r="AV1140" s="418" t="str">
        <f t="shared" si="1842"/>
        <v/>
      </c>
      <c r="AW1140" s="418" t="str">
        <f t="shared" si="1843"/>
        <v/>
      </c>
      <c r="AX1140" s="418" t="str">
        <f t="shared" si="1844"/>
        <v/>
      </c>
      <c r="AY1140" s="418" t="str">
        <f t="shared" si="1845"/>
        <v/>
      </c>
      <c r="AZ1140" s="418" t="str">
        <f t="shared" si="1846"/>
        <v/>
      </c>
      <c r="BA1140" s="418">
        <f t="shared" si="1847"/>
        <v>1500</v>
      </c>
      <c r="BB1140" s="418" t="str">
        <f t="shared" si="1848"/>
        <v/>
      </c>
      <c r="BC1140" s="418" t="str">
        <f t="shared" si="1849"/>
        <v/>
      </c>
      <c r="BD1140" s="418" t="str">
        <f t="shared" si="1850"/>
        <v/>
      </c>
      <c r="BE1140" s="418" t="str">
        <f t="shared" si="1851"/>
        <v/>
      </c>
      <c r="BF1140" s="418" t="str">
        <f t="shared" si="1852"/>
        <v/>
      </c>
      <c r="BG1140" s="418" t="str">
        <f t="shared" si="1853"/>
        <v/>
      </c>
      <c r="BH1140" s="418" t="str">
        <f t="shared" si="1854"/>
        <v/>
      </c>
      <c r="BI1140" s="418" t="str">
        <f t="shared" si="1855"/>
        <v/>
      </c>
      <c r="BJ1140" s="418" t="str">
        <f t="shared" si="1856"/>
        <v/>
      </c>
      <c r="BK1140" s="418" t="str">
        <f t="shared" si="1857"/>
        <v/>
      </c>
      <c r="BL1140" s="418" t="str">
        <f t="shared" si="1858"/>
        <v/>
      </c>
      <c r="BM1140" s="418" t="str">
        <f t="shared" si="1859"/>
        <v/>
      </c>
      <c r="BN1140" s="418" t="str">
        <f t="shared" si="1860"/>
        <v/>
      </c>
      <c r="BO1140" s="418" t="str">
        <f t="shared" si="1861"/>
        <v/>
      </c>
      <c r="BP1140" s="418" t="str">
        <f t="shared" si="1862"/>
        <v/>
      </c>
      <c r="BQ1140" s="418" t="str">
        <f t="shared" si="1863"/>
        <v/>
      </c>
      <c r="BR1140" s="418" t="str">
        <f t="shared" si="1864"/>
        <v/>
      </c>
      <c r="BS1140" s="418" t="str">
        <f t="shared" si="1865"/>
        <v/>
      </c>
      <c r="BT1140" s="418" t="str">
        <f t="shared" si="1866"/>
        <v/>
      </c>
      <c r="BU1140" s="418" t="str">
        <f t="shared" si="1867"/>
        <v/>
      </c>
      <c r="BV1140" s="624">
        <v>0.59</v>
      </c>
      <c r="BW1140" s="723">
        <f t="shared" si="1868"/>
        <v>885</v>
      </c>
      <c r="BX1140" s="724">
        <f t="shared" si="1869"/>
        <v>6858.75</v>
      </c>
      <c r="BY1140" s="725" t="str">
        <f t="shared" si="1870"/>
        <v>SR</v>
      </c>
    </row>
    <row r="1141" s="697" customFormat="1" customHeight="1" spans="1:77">
      <c r="A1141" s="362">
        <v>46205</v>
      </c>
      <c r="B1141" s="362">
        <v>46265</v>
      </c>
      <c r="C1141" s="431" t="s">
        <v>1014</v>
      </c>
      <c r="D1141" s="431" t="s">
        <v>1015</v>
      </c>
      <c r="E1141" s="431" t="s">
        <v>123</v>
      </c>
      <c r="F1141" s="96">
        <v>27936</v>
      </c>
      <c r="G1141" s="431" t="s">
        <v>510</v>
      </c>
      <c r="H1141" s="118" t="str">
        <f>IFERROR(VLOOKUP(E1141,名称!A:E,4,0),"")</f>
        <v>蛋糕</v>
      </c>
      <c r="I1141" s="418" t="str">
        <f t="shared" si="1803"/>
        <v/>
      </c>
      <c r="J1141" s="418" t="str">
        <f t="shared" si="1804"/>
        <v/>
      </c>
      <c r="K1141" s="418" t="str">
        <f t="shared" si="1805"/>
        <v/>
      </c>
      <c r="L1141" s="418" t="str">
        <f t="shared" si="1806"/>
        <v/>
      </c>
      <c r="M1141" s="418" t="str">
        <f t="shared" si="1807"/>
        <v/>
      </c>
      <c r="N1141" s="418" t="str">
        <f t="shared" si="1808"/>
        <v/>
      </c>
      <c r="O1141" s="418" t="str">
        <f t="shared" si="1809"/>
        <v/>
      </c>
      <c r="P1141" s="418" t="str">
        <f t="shared" si="1810"/>
        <v/>
      </c>
      <c r="Q1141" s="418" t="str">
        <f t="shared" si="1811"/>
        <v/>
      </c>
      <c r="R1141" s="418" t="str">
        <f t="shared" si="1812"/>
        <v/>
      </c>
      <c r="S1141" s="418" t="str">
        <f t="shared" si="1813"/>
        <v/>
      </c>
      <c r="T1141" s="418" t="str">
        <f t="shared" si="1814"/>
        <v/>
      </c>
      <c r="U1141" s="418" t="str">
        <f t="shared" si="1815"/>
        <v/>
      </c>
      <c r="V1141" s="418" t="str">
        <f t="shared" si="1816"/>
        <v/>
      </c>
      <c r="W1141" s="418" t="str">
        <f t="shared" si="1817"/>
        <v/>
      </c>
      <c r="X1141" s="418" t="str">
        <f t="shared" si="1818"/>
        <v/>
      </c>
      <c r="Y1141" s="418" t="str">
        <f t="shared" si="1819"/>
        <v/>
      </c>
      <c r="Z1141" s="418" t="str">
        <f t="shared" si="1820"/>
        <v/>
      </c>
      <c r="AA1141" s="418" t="str">
        <f t="shared" si="1821"/>
        <v/>
      </c>
      <c r="AB1141" s="418" t="str">
        <f t="shared" si="1822"/>
        <v/>
      </c>
      <c r="AC1141" s="418" t="str">
        <f t="shared" si="1823"/>
        <v/>
      </c>
      <c r="AD1141" s="418" t="str">
        <f t="shared" si="1824"/>
        <v/>
      </c>
      <c r="AE1141" s="418" t="str">
        <f t="shared" si="1825"/>
        <v/>
      </c>
      <c r="AF1141" s="418" t="str">
        <f t="shared" si="1826"/>
        <v/>
      </c>
      <c r="AG1141" s="418" t="str">
        <f t="shared" si="1827"/>
        <v/>
      </c>
      <c r="AH1141" s="418" t="str">
        <f t="shared" si="1828"/>
        <v/>
      </c>
      <c r="AI1141" s="418" t="str">
        <f t="shared" si="1829"/>
        <v/>
      </c>
      <c r="AJ1141" s="418" t="str">
        <f t="shared" si="1830"/>
        <v/>
      </c>
      <c r="AK1141" s="418" t="str">
        <f t="shared" si="1831"/>
        <v/>
      </c>
      <c r="AL1141" s="418" t="str">
        <f t="shared" si="1832"/>
        <v/>
      </c>
      <c r="AM1141" s="418" t="str">
        <f t="shared" si="1833"/>
        <v/>
      </c>
      <c r="AN1141" s="418" t="str">
        <f t="shared" si="1834"/>
        <v/>
      </c>
      <c r="AO1141" s="418" t="str">
        <f t="shared" si="1835"/>
        <v/>
      </c>
      <c r="AP1141" s="418" t="str">
        <f t="shared" si="1836"/>
        <v/>
      </c>
      <c r="AQ1141" s="418" t="str">
        <f t="shared" si="1837"/>
        <v/>
      </c>
      <c r="AR1141" s="418" t="str">
        <f t="shared" si="1838"/>
        <v/>
      </c>
      <c r="AS1141" s="418" t="str">
        <f t="shared" si="1839"/>
        <v/>
      </c>
      <c r="AT1141" s="418" t="str">
        <f t="shared" si="1840"/>
        <v/>
      </c>
      <c r="AU1141" s="418" t="str">
        <f t="shared" si="1841"/>
        <v/>
      </c>
      <c r="AV1141" s="418" t="str">
        <f t="shared" si="1842"/>
        <v/>
      </c>
      <c r="AW1141" s="418" t="str">
        <f t="shared" si="1843"/>
        <v/>
      </c>
      <c r="AX1141" s="418" t="str">
        <f t="shared" si="1844"/>
        <v/>
      </c>
      <c r="AY1141" s="418" t="str">
        <f t="shared" si="1845"/>
        <v/>
      </c>
      <c r="AZ1141" s="418" t="str">
        <f t="shared" si="1846"/>
        <v/>
      </c>
      <c r="BA1141" s="418" t="str">
        <f t="shared" si="1847"/>
        <v/>
      </c>
      <c r="BB1141" s="418" t="str">
        <f t="shared" si="1848"/>
        <v/>
      </c>
      <c r="BC1141" s="418" t="str">
        <f t="shared" si="1849"/>
        <v/>
      </c>
      <c r="BD1141" s="418" t="str">
        <f t="shared" si="1850"/>
        <v/>
      </c>
      <c r="BE1141" s="418" t="str">
        <f t="shared" si="1851"/>
        <v/>
      </c>
      <c r="BF1141" s="418">
        <f t="shared" si="1852"/>
        <v>27936</v>
      </c>
      <c r="BG1141" s="418" t="str">
        <f t="shared" si="1853"/>
        <v/>
      </c>
      <c r="BH1141" s="418" t="str">
        <f t="shared" si="1854"/>
        <v/>
      </c>
      <c r="BI1141" s="418" t="str">
        <f t="shared" si="1855"/>
        <v/>
      </c>
      <c r="BJ1141" s="418" t="str">
        <f t="shared" si="1856"/>
        <v/>
      </c>
      <c r="BK1141" s="418" t="str">
        <f t="shared" si="1857"/>
        <v/>
      </c>
      <c r="BL1141" s="418" t="str">
        <f t="shared" si="1858"/>
        <v/>
      </c>
      <c r="BM1141" s="418" t="str">
        <f t="shared" si="1859"/>
        <v/>
      </c>
      <c r="BN1141" s="418" t="str">
        <f t="shared" si="1860"/>
        <v/>
      </c>
      <c r="BO1141" s="418" t="str">
        <f t="shared" si="1861"/>
        <v/>
      </c>
      <c r="BP1141" s="418" t="str">
        <f t="shared" si="1862"/>
        <v/>
      </c>
      <c r="BQ1141" s="418" t="str">
        <f t="shared" si="1863"/>
        <v/>
      </c>
      <c r="BR1141" s="418" t="str">
        <f t="shared" si="1864"/>
        <v/>
      </c>
      <c r="BS1141" s="418" t="str">
        <f t="shared" si="1865"/>
        <v/>
      </c>
      <c r="BT1141" s="418" t="str">
        <f t="shared" si="1866"/>
        <v/>
      </c>
      <c r="BU1141" s="418" t="str">
        <f t="shared" si="1867"/>
        <v/>
      </c>
      <c r="BV1141" s="624">
        <v>0.77</v>
      </c>
      <c r="BW1141" s="723">
        <f t="shared" si="1868"/>
        <v>21510.72</v>
      </c>
      <c r="BX1141" s="724">
        <f t="shared" si="1869"/>
        <v>166708.08</v>
      </c>
      <c r="BY1141" s="725" t="str">
        <f t="shared" si="1870"/>
        <v>JC</v>
      </c>
    </row>
    <row r="1142" s="697" customFormat="1" customHeight="1" spans="1:77">
      <c r="A1142" s="362">
        <v>46205</v>
      </c>
      <c r="B1142" s="362">
        <v>46265</v>
      </c>
      <c r="C1142" s="431" t="s">
        <v>1016</v>
      </c>
      <c r="D1142" s="431" t="s">
        <v>1017</v>
      </c>
      <c r="E1142" s="431" t="s">
        <v>85</v>
      </c>
      <c r="F1142" s="96">
        <v>9000</v>
      </c>
      <c r="G1142" s="431" t="s">
        <v>510</v>
      </c>
      <c r="H1142" s="118" t="str">
        <f>IFERROR(VLOOKUP(E1142,名称!A:E,4,0),"")</f>
        <v>三代</v>
      </c>
      <c r="I1142" s="418" t="str">
        <f t="shared" si="1803"/>
        <v/>
      </c>
      <c r="J1142" s="418" t="str">
        <f t="shared" si="1804"/>
        <v/>
      </c>
      <c r="K1142" s="418" t="str">
        <f t="shared" si="1805"/>
        <v/>
      </c>
      <c r="L1142" s="418" t="str">
        <f t="shared" si="1806"/>
        <v/>
      </c>
      <c r="M1142" s="418" t="str">
        <f t="shared" si="1807"/>
        <v/>
      </c>
      <c r="N1142" s="418" t="str">
        <f t="shared" si="1808"/>
        <v/>
      </c>
      <c r="O1142" s="418" t="str">
        <f t="shared" si="1809"/>
        <v/>
      </c>
      <c r="P1142" s="418" t="str">
        <f t="shared" si="1810"/>
        <v/>
      </c>
      <c r="Q1142" s="418" t="str">
        <f t="shared" si="1811"/>
        <v/>
      </c>
      <c r="R1142" s="418" t="str">
        <f t="shared" si="1812"/>
        <v/>
      </c>
      <c r="S1142" s="418" t="str">
        <f t="shared" si="1813"/>
        <v/>
      </c>
      <c r="T1142" s="418" t="str">
        <f t="shared" si="1814"/>
        <v/>
      </c>
      <c r="U1142" s="418" t="str">
        <f t="shared" si="1815"/>
        <v/>
      </c>
      <c r="V1142" s="418" t="str">
        <f t="shared" si="1816"/>
        <v/>
      </c>
      <c r="W1142" s="418" t="str">
        <f t="shared" si="1817"/>
        <v/>
      </c>
      <c r="X1142" s="418" t="str">
        <f t="shared" si="1818"/>
        <v/>
      </c>
      <c r="Y1142" s="418" t="str">
        <f t="shared" si="1819"/>
        <v/>
      </c>
      <c r="Z1142" s="418" t="str">
        <f t="shared" si="1820"/>
        <v/>
      </c>
      <c r="AA1142" s="418" t="str">
        <f t="shared" si="1821"/>
        <v/>
      </c>
      <c r="AB1142" s="418" t="str">
        <f t="shared" si="1822"/>
        <v/>
      </c>
      <c r="AC1142" s="418" t="str">
        <f t="shared" si="1823"/>
        <v/>
      </c>
      <c r="AD1142" s="418" t="str">
        <f t="shared" si="1824"/>
        <v/>
      </c>
      <c r="AE1142" s="418" t="str">
        <f t="shared" si="1825"/>
        <v/>
      </c>
      <c r="AF1142" s="418" t="str">
        <f t="shared" si="1826"/>
        <v/>
      </c>
      <c r="AG1142" s="418" t="str">
        <f t="shared" si="1827"/>
        <v/>
      </c>
      <c r="AH1142" s="418" t="str">
        <f t="shared" si="1828"/>
        <v/>
      </c>
      <c r="AI1142" s="418" t="str">
        <f t="shared" si="1829"/>
        <v/>
      </c>
      <c r="AJ1142" s="418" t="str">
        <f t="shared" si="1830"/>
        <v/>
      </c>
      <c r="AK1142" s="418" t="str">
        <f t="shared" si="1831"/>
        <v/>
      </c>
      <c r="AL1142" s="418" t="str">
        <f t="shared" si="1832"/>
        <v/>
      </c>
      <c r="AM1142" s="418" t="str">
        <f t="shared" si="1833"/>
        <v/>
      </c>
      <c r="AN1142" s="418">
        <f t="shared" si="1834"/>
        <v>9000</v>
      </c>
      <c r="AO1142" s="418" t="str">
        <f t="shared" si="1835"/>
        <v/>
      </c>
      <c r="AP1142" s="418" t="str">
        <f t="shared" si="1836"/>
        <v/>
      </c>
      <c r="AQ1142" s="418" t="str">
        <f t="shared" si="1837"/>
        <v/>
      </c>
      <c r="AR1142" s="418" t="str">
        <f t="shared" si="1838"/>
        <v/>
      </c>
      <c r="AS1142" s="418" t="str">
        <f t="shared" si="1839"/>
        <v/>
      </c>
      <c r="AT1142" s="418" t="str">
        <f t="shared" si="1840"/>
        <v/>
      </c>
      <c r="AU1142" s="418" t="str">
        <f t="shared" si="1841"/>
        <v/>
      </c>
      <c r="AV1142" s="418" t="str">
        <f t="shared" si="1842"/>
        <v/>
      </c>
      <c r="AW1142" s="418" t="str">
        <f t="shared" si="1843"/>
        <v/>
      </c>
      <c r="AX1142" s="418" t="str">
        <f t="shared" si="1844"/>
        <v/>
      </c>
      <c r="AY1142" s="418" t="str">
        <f t="shared" si="1845"/>
        <v/>
      </c>
      <c r="AZ1142" s="418" t="str">
        <f t="shared" si="1846"/>
        <v/>
      </c>
      <c r="BA1142" s="418" t="str">
        <f t="shared" si="1847"/>
        <v/>
      </c>
      <c r="BB1142" s="418" t="str">
        <f t="shared" si="1848"/>
        <v/>
      </c>
      <c r="BC1142" s="418" t="str">
        <f t="shared" si="1849"/>
        <v/>
      </c>
      <c r="BD1142" s="418" t="str">
        <f t="shared" si="1850"/>
        <v/>
      </c>
      <c r="BE1142" s="418" t="str">
        <f t="shared" si="1851"/>
        <v/>
      </c>
      <c r="BF1142" s="418" t="str">
        <f t="shared" si="1852"/>
        <v/>
      </c>
      <c r="BG1142" s="418" t="str">
        <f t="shared" si="1853"/>
        <v/>
      </c>
      <c r="BH1142" s="418" t="str">
        <f t="shared" si="1854"/>
        <v/>
      </c>
      <c r="BI1142" s="418" t="str">
        <f t="shared" si="1855"/>
        <v/>
      </c>
      <c r="BJ1142" s="418" t="str">
        <f t="shared" si="1856"/>
        <v/>
      </c>
      <c r="BK1142" s="418" t="str">
        <f t="shared" si="1857"/>
        <v/>
      </c>
      <c r="BL1142" s="418" t="str">
        <f t="shared" si="1858"/>
        <v/>
      </c>
      <c r="BM1142" s="418" t="str">
        <f t="shared" si="1859"/>
        <v/>
      </c>
      <c r="BN1142" s="418" t="str">
        <f t="shared" si="1860"/>
        <v/>
      </c>
      <c r="BO1142" s="418" t="str">
        <f t="shared" si="1861"/>
        <v/>
      </c>
      <c r="BP1142" s="418" t="str">
        <f t="shared" si="1862"/>
        <v/>
      </c>
      <c r="BQ1142" s="418" t="str">
        <f t="shared" si="1863"/>
        <v/>
      </c>
      <c r="BR1142" s="418" t="str">
        <f t="shared" si="1864"/>
        <v/>
      </c>
      <c r="BS1142" s="418" t="str">
        <f t="shared" si="1865"/>
        <v/>
      </c>
      <c r="BT1142" s="418" t="str">
        <f t="shared" si="1866"/>
        <v/>
      </c>
      <c r="BU1142" s="418" t="str">
        <f t="shared" si="1867"/>
        <v/>
      </c>
      <c r="BV1142" s="624">
        <v>0.88</v>
      </c>
      <c r="BW1142" s="723">
        <f t="shared" si="1868"/>
        <v>7920</v>
      </c>
      <c r="BX1142" s="724">
        <f t="shared" si="1869"/>
        <v>61380</v>
      </c>
      <c r="BY1142" s="725" t="str">
        <f t="shared" si="1870"/>
        <v>SR</v>
      </c>
    </row>
    <row r="1143" s="697" customFormat="1" customHeight="1" spans="1:77">
      <c r="A1143" s="362">
        <v>46205</v>
      </c>
      <c r="B1143" s="362">
        <v>46293</v>
      </c>
      <c r="C1143" s="431" t="s">
        <v>1018</v>
      </c>
      <c r="D1143" s="431" t="s">
        <v>1019</v>
      </c>
      <c r="E1143" s="431" t="s">
        <v>59</v>
      </c>
      <c r="F1143" s="96">
        <v>30000</v>
      </c>
      <c r="G1143" s="431" t="s">
        <v>270</v>
      </c>
      <c r="H1143" s="118" t="str">
        <f>IFERROR(VLOOKUP(E1143,名称!A:E,4,0),"")</f>
        <v>三代</v>
      </c>
      <c r="I1143" s="418" t="str">
        <f t="shared" si="1803"/>
        <v/>
      </c>
      <c r="J1143" s="418" t="str">
        <f t="shared" si="1804"/>
        <v/>
      </c>
      <c r="K1143" s="418" t="str">
        <f t="shared" si="1805"/>
        <v/>
      </c>
      <c r="L1143" s="418" t="str">
        <f t="shared" si="1806"/>
        <v/>
      </c>
      <c r="M1143" s="418" t="str">
        <f t="shared" si="1807"/>
        <v/>
      </c>
      <c r="N1143" s="418" t="str">
        <f t="shared" si="1808"/>
        <v/>
      </c>
      <c r="O1143" s="418" t="str">
        <f t="shared" si="1809"/>
        <v/>
      </c>
      <c r="P1143" s="418" t="str">
        <f t="shared" si="1810"/>
        <v/>
      </c>
      <c r="Q1143" s="418" t="str">
        <f t="shared" si="1811"/>
        <v/>
      </c>
      <c r="R1143" s="418" t="str">
        <f t="shared" si="1812"/>
        <v/>
      </c>
      <c r="S1143" s="418" t="str">
        <f t="shared" si="1813"/>
        <v/>
      </c>
      <c r="T1143" s="418" t="str">
        <f t="shared" si="1814"/>
        <v/>
      </c>
      <c r="U1143" s="418" t="str">
        <f t="shared" si="1815"/>
        <v/>
      </c>
      <c r="V1143" s="418" t="str">
        <f t="shared" si="1816"/>
        <v/>
      </c>
      <c r="W1143" s="418" t="str">
        <f t="shared" si="1817"/>
        <v/>
      </c>
      <c r="X1143" s="418" t="str">
        <f t="shared" si="1818"/>
        <v/>
      </c>
      <c r="Y1143" s="418" t="str">
        <f t="shared" si="1819"/>
        <v/>
      </c>
      <c r="Z1143" s="418" t="str">
        <f t="shared" si="1820"/>
        <v/>
      </c>
      <c r="AA1143" s="418" t="str">
        <f t="shared" si="1821"/>
        <v/>
      </c>
      <c r="AB1143" s="418" t="str">
        <f t="shared" si="1822"/>
        <v/>
      </c>
      <c r="AC1143" s="418" t="str">
        <f t="shared" si="1823"/>
        <v/>
      </c>
      <c r="AD1143" s="418">
        <f t="shared" si="1824"/>
        <v>30000</v>
      </c>
      <c r="AE1143" s="418" t="str">
        <f t="shared" si="1825"/>
        <v/>
      </c>
      <c r="AF1143" s="418" t="str">
        <f t="shared" si="1826"/>
        <v/>
      </c>
      <c r="AG1143" s="418" t="str">
        <f t="shared" si="1827"/>
        <v/>
      </c>
      <c r="AH1143" s="418" t="str">
        <f t="shared" si="1828"/>
        <v/>
      </c>
      <c r="AI1143" s="418" t="str">
        <f t="shared" si="1829"/>
        <v/>
      </c>
      <c r="AJ1143" s="418" t="str">
        <f t="shared" si="1830"/>
        <v/>
      </c>
      <c r="AK1143" s="418" t="str">
        <f t="shared" si="1831"/>
        <v/>
      </c>
      <c r="AL1143" s="418" t="str">
        <f t="shared" si="1832"/>
        <v/>
      </c>
      <c r="AM1143" s="418" t="str">
        <f t="shared" si="1833"/>
        <v/>
      </c>
      <c r="AN1143" s="418" t="str">
        <f t="shared" si="1834"/>
        <v/>
      </c>
      <c r="AO1143" s="418" t="str">
        <f t="shared" si="1835"/>
        <v/>
      </c>
      <c r="AP1143" s="418" t="str">
        <f t="shared" si="1836"/>
        <v/>
      </c>
      <c r="AQ1143" s="418" t="str">
        <f t="shared" si="1837"/>
        <v/>
      </c>
      <c r="AR1143" s="418" t="str">
        <f t="shared" si="1838"/>
        <v/>
      </c>
      <c r="AS1143" s="418" t="str">
        <f t="shared" si="1839"/>
        <v/>
      </c>
      <c r="AT1143" s="418" t="str">
        <f t="shared" si="1840"/>
        <v/>
      </c>
      <c r="AU1143" s="418" t="str">
        <f t="shared" si="1841"/>
        <v/>
      </c>
      <c r="AV1143" s="418" t="str">
        <f t="shared" si="1842"/>
        <v/>
      </c>
      <c r="AW1143" s="418" t="str">
        <f t="shared" si="1843"/>
        <v/>
      </c>
      <c r="AX1143" s="418" t="str">
        <f t="shared" si="1844"/>
        <v/>
      </c>
      <c r="AY1143" s="418" t="str">
        <f t="shared" si="1845"/>
        <v/>
      </c>
      <c r="AZ1143" s="418" t="str">
        <f t="shared" si="1846"/>
        <v/>
      </c>
      <c r="BA1143" s="418" t="str">
        <f t="shared" si="1847"/>
        <v/>
      </c>
      <c r="BB1143" s="418" t="str">
        <f t="shared" si="1848"/>
        <v/>
      </c>
      <c r="BC1143" s="418" t="str">
        <f t="shared" si="1849"/>
        <v/>
      </c>
      <c r="BD1143" s="418" t="str">
        <f t="shared" si="1850"/>
        <v/>
      </c>
      <c r="BE1143" s="418" t="str">
        <f t="shared" si="1851"/>
        <v/>
      </c>
      <c r="BF1143" s="418" t="str">
        <f t="shared" si="1852"/>
        <v/>
      </c>
      <c r="BG1143" s="418" t="str">
        <f t="shared" si="1853"/>
        <v/>
      </c>
      <c r="BH1143" s="418" t="str">
        <f t="shared" si="1854"/>
        <v/>
      </c>
      <c r="BI1143" s="418" t="str">
        <f t="shared" si="1855"/>
        <v/>
      </c>
      <c r="BJ1143" s="418" t="str">
        <f t="shared" si="1856"/>
        <v/>
      </c>
      <c r="BK1143" s="418" t="str">
        <f t="shared" si="1857"/>
        <v/>
      </c>
      <c r="BL1143" s="418" t="str">
        <f t="shared" si="1858"/>
        <v/>
      </c>
      <c r="BM1143" s="418" t="str">
        <f t="shared" si="1859"/>
        <v/>
      </c>
      <c r="BN1143" s="418" t="str">
        <f t="shared" si="1860"/>
        <v/>
      </c>
      <c r="BO1143" s="418" t="str">
        <f t="shared" si="1861"/>
        <v/>
      </c>
      <c r="BP1143" s="418" t="str">
        <f t="shared" si="1862"/>
        <v/>
      </c>
      <c r="BQ1143" s="418" t="str">
        <f t="shared" si="1863"/>
        <v/>
      </c>
      <c r="BR1143" s="418" t="str">
        <f t="shared" si="1864"/>
        <v/>
      </c>
      <c r="BS1143" s="418" t="str">
        <f t="shared" si="1865"/>
        <v/>
      </c>
      <c r="BT1143" s="418" t="str">
        <f t="shared" si="1866"/>
        <v/>
      </c>
      <c r="BU1143" s="418" t="str">
        <f t="shared" si="1867"/>
        <v/>
      </c>
      <c r="BV1143" s="624">
        <v>0.62</v>
      </c>
      <c r="BW1143" s="723">
        <f t="shared" si="1868"/>
        <v>18600</v>
      </c>
      <c r="BX1143" s="724">
        <f t="shared" si="1869"/>
        <v>144150</v>
      </c>
      <c r="BY1143" s="725" t="str">
        <f t="shared" si="1870"/>
        <v>SR</v>
      </c>
    </row>
    <row r="1144" s="697" customFormat="1" customHeight="1" spans="1:77">
      <c r="A1144" s="362">
        <v>46206</v>
      </c>
      <c r="B1144" s="362">
        <v>46321</v>
      </c>
      <c r="C1144" s="431" t="s">
        <v>1020</v>
      </c>
      <c r="D1144" s="431" t="s">
        <v>1021</v>
      </c>
      <c r="E1144" s="431" t="s">
        <v>107</v>
      </c>
      <c r="F1144" s="96">
        <v>20000</v>
      </c>
      <c r="G1144" s="431" t="s">
        <v>270</v>
      </c>
      <c r="H1144" s="118" t="str">
        <f>IFERROR(VLOOKUP(E1144,名称!A:E,4,0),"")</f>
        <v>三代</v>
      </c>
      <c r="I1144" s="418" t="str">
        <f t="shared" si="1803"/>
        <v/>
      </c>
      <c r="J1144" s="418" t="str">
        <f t="shared" si="1804"/>
        <v/>
      </c>
      <c r="K1144" s="418" t="str">
        <f t="shared" si="1805"/>
        <v/>
      </c>
      <c r="L1144" s="418" t="str">
        <f t="shared" si="1806"/>
        <v/>
      </c>
      <c r="M1144" s="418" t="str">
        <f t="shared" si="1807"/>
        <v/>
      </c>
      <c r="N1144" s="418" t="str">
        <f t="shared" si="1808"/>
        <v/>
      </c>
      <c r="O1144" s="418" t="str">
        <f t="shared" si="1809"/>
        <v/>
      </c>
      <c r="P1144" s="418" t="str">
        <f t="shared" si="1810"/>
        <v/>
      </c>
      <c r="Q1144" s="418" t="str">
        <f t="shared" si="1811"/>
        <v/>
      </c>
      <c r="R1144" s="418" t="str">
        <f t="shared" si="1812"/>
        <v/>
      </c>
      <c r="S1144" s="418" t="str">
        <f t="shared" si="1813"/>
        <v/>
      </c>
      <c r="T1144" s="418" t="str">
        <f t="shared" si="1814"/>
        <v/>
      </c>
      <c r="U1144" s="418" t="str">
        <f t="shared" si="1815"/>
        <v/>
      </c>
      <c r="V1144" s="418" t="str">
        <f t="shared" si="1816"/>
        <v/>
      </c>
      <c r="W1144" s="418" t="str">
        <f t="shared" si="1817"/>
        <v/>
      </c>
      <c r="X1144" s="418" t="str">
        <f t="shared" si="1818"/>
        <v/>
      </c>
      <c r="Y1144" s="418" t="str">
        <f t="shared" si="1819"/>
        <v/>
      </c>
      <c r="Z1144" s="418" t="str">
        <f t="shared" si="1820"/>
        <v/>
      </c>
      <c r="AA1144" s="418" t="str">
        <f t="shared" si="1821"/>
        <v/>
      </c>
      <c r="AB1144" s="418" t="str">
        <f t="shared" si="1822"/>
        <v/>
      </c>
      <c r="AC1144" s="418" t="str">
        <f t="shared" si="1823"/>
        <v/>
      </c>
      <c r="AD1144" s="418" t="str">
        <f t="shared" si="1824"/>
        <v/>
      </c>
      <c r="AE1144" s="418" t="str">
        <f t="shared" si="1825"/>
        <v/>
      </c>
      <c r="AF1144" s="418" t="str">
        <f t="shared" si="1826"/>
        <v/>
      </c>
      <c r="AG1144" s="418">
        <f t="shared" si="1827"/>
        <v>20000</v>
      </c>
      <c r="AH1144" s="418" t="str">
        <f t="shared" si="1828"/>
        <v/>
      </c>
      <c r="AI1144" s="418" t="str">
        <f t="shared" si="1829"/>
        <v/>
      </c>
      <c r="AJ1144" s="418" t="str">
        <f t="shared" si="1830"/>
        <v/>
      </c>
      <c r="AK1144" s="418" t="str">
        <f t="shared" si="1831"/>
        <v/>
      </c>
      <c r="AL1144" s="418" t="str">
        <f t="shared" si="1832"/>
        <v/>
      </c>
      <c r="AM1144" s="418" t="str">
        <f t="shared" si="1833"/>
        <v/>
      </c>
      <c r="AN1144" s="418" t="str">
        <f t="shared" si="1834"/>
        <v/>
      </c>
      <c r="AO1144" s="418" t="str">
        <f t="shared" si="1835"/>
        <v/>
      </c>
      <c r="AP1144" s="418" t="str">
        <f t="shared" si="1836"/>
        <v/>
      </c>
      <c r="AQ1144" s="418" t="str">
        <f t="shared" si="1837"/>
        <v/>
      </c>
      <c r="AR1144" s="418" t="str">
        <f t="shared" si="1838"/>
        <v/>
      </c>
      <c r="AS1144" s="418" t="str">
        <f t="shared" si="1839"/>
        <v/>
      </c>
      <c r="AT1144" s="418" t="str">
        <f t="shared" si="1840"/>
        <v/>
      </c>
      <c r="AU1144" s="418" t="str">
        <f t="shared" si="1841"/>
        <v/>
      </c>
      <c r="AV1144" s="418" t="str">
        <f t="shared" si="1842"/>
        <v/>
      </c>
      <c r="AW1144" s="418" t="str">
        <f t="shared" si="1843"/>
        <v/>
      </c>
      <c r="AX1144" s="418" t="str">
        <f t="shared" si="1844"/>
        <v/>
      </c>
      <c r="AY1144" s="418" t="str">
        <f t="shared" si="1845"/>
        <v/>
      </c>
      <c r="AZ1144" s="418" t="str">
        <f t="shared" si="1846"/>
        <v/>
      </c>
      <c r="BA1144" s="418" t="str">
        <f t="shared" si="1847"/>
        <v/>
      </c>
      <c r="BB1144" s="418" t="str">
        <f t="shared" si="1848"/>
        <v/>
      </c>
      <c r="BC1144" s="418" t="str">
        <f t="shared" si="1849"/>
        <v/>
      </c>
      <c r="BD1144" s="418" t="str">
        <f t="shared" si="1850"/>
        <v/>
      </c>
      <c r="BE1144" s="418" t="str">
        <f t="shared" si="1851"/>
        <v/>
      </c>
      <c r="BF1144" s="418" t="str">
        <f t="shared" si="1852"/>
        <v/>
      </c>
      <c r="BG1144" s="418" t="str">
        <f t="shared" si="1853"/>
        <v/>
      </c>
      <c r="BH1144" s="418" t="str">
        <f t="shared" si="1854"/>
        <v/>
      </c>
      <c r="BI1144" s="418" t="str">
        <f t="shared" si="1855"/>
        <v/>
      </c>
      <c r="BJ1144" s="418" t="str">
        <f t="shared" si="1856"/>
        <v/>
      </c>
      <c r="BK1144" s="418" t="str">
        <f t="shared" si="1857"/>
        <v/>
      </c>
      <c r="BL1144" s="418" t="str">
        <f t="shared" si="1858"/>
        <v/>
      </c>
      <c r="BM1144" s="418" t="str">
        <f t="shared" si="1859"/>
        <v/>
      </c>
      <c r="BN1144" s="418" t="str">
        <f t="shared" si="1860"/>
        <v/>
      </c>
      <c r="BO1144" s="418" t="str">
        <f t="shared" si="1861"/>
        <v/>
      </c>
      <c r="BP1144" s="418" t="str">
        <f t="shared" si="1862"/>
        <v/>
      </c>
      <c r="BQ1144" s="418" t="str">
        <f t="shared" si="1863"/>
        <v/>
      </c>
      <c r="BR1144" s="418" t="str">
        <f t="shared" si="1864"/>
        <v/>
      </c>
      <c r="BS1144" s="418" t="str">
        <f t="shared" si="1865"/>
        <v/>
      </c>
      <c r="BT1144" s="418" t="str">
        <f t="shared" si="1866"/>
        <v/>
      </c>
      <c r="BU1144" s="418" t="str">
        <f t="shared" si="1867"/>
        <v/>
      </c>
      <c r="BV1144" s="624">
        <v>2.12</v>
      </c>
      <c r="BW1144" s="723">
        <f t="shared" si="1868"/>
        <v>42400</v>
      </c>
      <c r="BX1144" s="724">
        <f t="shared" si="1869"/>
        <v>328600</v>
      </c>
      <c r="BY1144" s="725" t="str">
        <f t="shared" si="1870"/>
        <v>SR</v>
      </c>
    </row>
    <row r="1145" s="697" customFormat="1" customHeight="1" spans="1:77">
      <c r="A1145" s="362">
        <v>46207</v>
      </c>
      <c r="B1145" s="362">
        <v>46249</v>
      </c>
      <c r="C1145" s="431" t="s">
        <v>1022</v>
      </c>
      <c r="D1145" s="431" t="s">
        <v>1023</v>
      </c>
      <c r="E1145" s="431" t="s">
        <v>84</v>
      </c>
      <c r="F1145" s="96">
        <v>36000</v>
      </c>
      <c r="G1145" s="431" t="s">
        <v>334</v>
      </c>
      <c r="H1145" s="118" t="str">
        <f>IFERROR(VLOOKUP(E1145,名称!A:E,4,0),"")</f>
        <v>三代</v>
      </c>
      <c r="I1145" s="418" t="str">
        <f t="shared" si="1803"/>
        <v/>
      </c>
      <c r="J1145" s="418" t="str">
        <f t="shared" si="1804"/>
        <v/>
      </c>
      <c r="K1145" s="418" t="str">
        <f t="shared" si="1805"/>
        <v/>
      </c>
      <c r="L1145" s="418" t="str">
        <f t="shared" si="1806"/>
        <v/>
      </c>
      <c r="M1145" s="418" t="str">
        <f t="shared" si="1807"/>
        <v/>
      </c>
      <c r="N1145" s="418" t="str">
        <f t="shared" si="1808"/>
        <v/>
      </c>
      <c r="O1145" s="418" t="str">
        <f t="shared" si="1809"/>
        <v/>
      </c>
      <c r="P1145" s="418" t="str">
        <f t="shared" si="1810"/>
        <v/>
      </c>
      <c r="Q1145" s="418" t="str">
        <f t="shared" si="1811"/>
        <v/>
      </c>
      <c r="R1145" s="418" t="str">
        <f t="shared" si="1812"/>
        <v/>
      </c>
      <c r="S1145" s="418" t="str">
        <f t="shared" si="1813"/>
        <v/>
      </c>
      <c r="T1145" s="418" t="str">
        <f t="shared" si="1814"/>
        <v/>
      </c>
      <c r="U1145" s="418" t="str">
        <f t="shared" si="1815"/>
        <v/>
      </c>
      <c r="V1145" s="418" t="str">
        <f t="shared" si="1816"/>
        <v/>
      </c>
      <c r="W1145" s="418" t="str">
        <f t="shared" si="1817"/>
        <v/>
      </c>
      <c r="X1145" s="418" t="str">
        <f t="shared" si="1818"/>
        <v/>
      </c>
      <c r="Y1145" s="418" t="str">
        <f t="shared" si="1819"/>
        <v/>
      </c>
      <c r="Z1145" s="418" t="str">
        <f t="shared" si="1820"/>
        <v/>
      </c>
      <c r="AA1145" s="418" t="str">
        <f t="shared" si="1821"/>
        <v/>
      </c>
      <c r="AB1145" s="418" t="str">
        <f t="shared" si="1822"/>
        <v/>
      </c>
      <c r="AC1145" s="418" t="str">
        <f t="shared" si="1823"/>
        <v/>
      </c>
      <c r="AD1145" s="418" t="str">
        <f t="shared" si="1824"/>
        <v/>
      </c>
      <c r="AE1145" s="418" t="str">
        <f t="shared" si="1825"/>
        <v/>
      </c>
      <c r="AF1145" s="418" t="str">
        <f t="shared" si="1826"/>
        <v/>
      </c>
      <c r="AG1145" s="418" t="str">
        <f t="shared" si="1827"/>
        <v/>
      </c>
      <c r="AH1145" s="418" t="str">
        <f t="shared" si="1828"/>
        <v/>
      </c>
      <c r="AI1145" s="418" t="str">
        <f t="shared" si="1829"/>
        <v/>
      </c>
      <c r="AJ1145" s="418" t="str">
        <f t="shared" si="1830"/>
        <v/>
      </c>
      <c r="AK1145" s="418" t="str">
        <f t="shared" si="1831"/>
        <v/>
      </c>
      <c r="AL1145" s="418" t="str">
        <f t="shared" si="1832"/>
        <v/>
      </c>
      <c r="AM1145" s="418" t="str">
        <f t="shared" si="1833"/>
        <v/>
      </c>
      <c r="AN1145" s="418">
        <f t="shared" si="1834"/>
        <v>36000</v>
      </c>
      <c r="AO1145" s="418" t="str">
        <f t="shared" si="1835"/>
        <v/>
      </c>
      <c r="AP1145" s="418" t="str">
        <f t="shared" si="1836"/>
        <v/>
      </c>
      <c r="AQ1145" s="418" t="str">
        <f t="shared" si="1837"/>
        <v/>
      </c>
      <c r="AR1145" s="418" t="str">
        <f t="shared" si="1838"/>
        <v/>
      </c>
      <c r="AS1145" s="418" t="str">
        <f t="shared" si="1839"/>
        <v/>
      </c>
      <c r="AT1145" s="418" t="str">
        <f t="shared" si="1840"/>
        <v/>
      </c>
      <c r="AU1145" s="418" t="str">
        <f t="shared" si="1841"/>
        <v/>
      </c>
      <c r="AV1145" s="418" t="str">
        <f t="shared" si="1842"/>
        <v/>
      </c>
      <c r="AW1145" s="418" t="str">
        <f t="shared" si="1843"/>
        <v/>
      </c>
      <c r="AX1145" s="418" t="str">
        <f t="shared" si="1844"/>
        <v/>
      </c>
      <c r="AY1145" s="418" t="str">
        <f t="shared" si="1845"/>
        <v/>
      </c>
      <c r="AZ1145" s="418" t="str">
        <f t="shared" si="1846"/>
        <v/>
      </c>
      <c r="BA1145" s="418" t="str">
        <f t="shared" si="1847"/>
        <v/>
      </c>
      <c r="BB1145" s="418" t="str">
        <f t="shared" si="1848"/>
        <v/>
      </c>
      <c r="BC1145" s="418" t="str">
        <f t="shared" si="1849"/>
        <v/>
      </c>
      <c r="BD1145" s="418" t="str">
        <f t="shared" si="1850"/>
        <v/>
      </c>
      <c r="BE1145" s="418" t="str">
        <f t="shared" si="1851"/>
        <v/>
      </c>
      <c r="BF1145" s="418" t="str">
        <f t="shared" si="1852"/>
        <v/>
      </c>
      <c r="BG1145" s="418" t="str">
        <f t="shared" si="1853"/>
        <v/>
      </c>
      <c r="BH1145" s="418" t="str">
        <f t="shared" si="1854"/>
        <v/>
      </c>
      <c r="BI1145" s="418" t="str">
        <f t="shared" si="1855"/>
        <v/>
      </c>
      <c r="BJ1145" s="418" t="str">
        <f t="shared" si="1856"/>
        <v/>
      </c>
      <c r="BK1145" s="418" t="str">
        <f t="shared" si="1857"/>
        <v/>
      </c>
      <c r="BL1145" s="418" t="str">
        <f t="shared" si="1858"/>
        <v/>
      </c>
      <c r="BM1145" s="418" t="str">
        <f t="shared" si="1859"/>
        <v/>
      </c>
      <c r="BN1145" s="418" t="str">
        <f t="shared" si="1860"/>
        <v/>
      </c>
      <c r="BO1145" s="418" t="str">
        <f t="shared" si="1861"/>
        <v/>
      </c>
      <c r="BP1145" s="418" t="str">
        <f t="shared" si="1862"/>
        <v/>
      </c>
      <c r="BQ1145" s="418" t="str">
        <f t="shared" si="1863"/>
        <v/>
      </c>
      <c r="BR1145" s="418" t="str">
        <f t="shared" si="1864"/>
        <v/>
      </c>
      <c r="BS1145" s="418" t="str">
        <f t="shared" si="1865"/>
        <v/>
      </c>
      <c r="BT1145" s="418" t="str">
        <f t="shared" si="1866"/>
        <v/>
      </c>
      <c r="BU1145" s="418" t="str">
        <f t="shared" si="1867"/>
        <v/>
      </c>
      <c r="BV1145" s="624">
        <v>0.88</v>
      </c>
      <c r="BW1145" s="723">
        <f t="shared" si="1868"/>
        <v>31680</v>
      </c>
      <c r="BX1145" s="724">
        <f t="shared" si="1869"/>
        <v>245520</v>
      </c>
      <c r="BY1145" s="725" t="str">
        <f t="shared" si="1870"/>
        <v>SR</v>
      </c>
    </row>
    <row r="1146" s="697" customFormat="1" customHeight="1" spans="1:77">
      <c r="A1146" s="362">
        <v>46207</v>
      </c>
      <c r="B1146" s="420">
        <v>46272</v>
      </c>
      <c r="C1146" s="431" t="s">
        <v>1022</v>
      </c>
      <c r="D1146" s="431" t="s">
        <v>1023</v>
      </c>
      <c r="E1146" s="431" t="s">
        <v>84</v>
      </c>
      <c r="F1146" s="96">
        <v>36000</v>
      </c>
      <c r="G1146" s="431" t="s">
        <v>334</v>
      </c>
      <c r="H1146" s="118" t="str">
        <f>IFERROR(VLOOKUP(E1146,名称!A:E,4,0),"")</f>
        <v>三代</v>
      </c>
      <c r="I1146" s="418" t="str">
        <f t="shared" si="1803"/>
        <v/>
      </c>
      <c r="J1146" s="418" t="str">
        <f t="shared" si="1804"/>
        <v/>
      </c>
      <c r="K1146" s="418" t="str">
        <f t="shared" si="1805"/>
        <v/>
      </c>
      <c r="L1146" s="418" t="str">
        <f t="shared" si="1806"/>
        <v/>
      </c>
      <c r="M1146" s="418" t="str">
        <f t="shared" si="1807"/>
        <v/>
      </c>
      <c r="N1146" s="418" t="str">
        <f t="shared" si="1808"/>
        <v/>
      </c>
      <c r="O1146" s="418" t="str">
        <f t="shared" si="1809"/>
        <v/>
      </c>
      <c r="P1146" s="418" t="str">
        <f t="shared" si="1810"/>
        <v/>
      </c>
      <c r="Q1146" s="418" t="str">
        <f t="shared" si="1811"/>
        <v/>
      </c>
      <c r="R1146" s="418" t="str">
        <f t="shared" si="1812"/>
        <v/>
      </c>
      <c r="S1146" s="418" t="str">
        <f t="shared" si="1813"/>
        <v/>
      </c>
      <c r="T1146" s="418" t="str">
        <f t="shared" si="1814"/>
        <v/>
      </c>
      <c r="U1146" s="418" t="str">
        <f t="shared" si="1815"/>
        <v/>
      </c>
      <c r="V1146" s="418" t="str">
        <f t="shared" si="1816"/>
        <v/>
      </c>
      <c r="W1146" s="418" t="str">
        <f t="shared" si="1817"/>
        <v/>
      </c>
      <c r="X1146" s="418" t="str">
        <f t="shared" si="1818"/>
        <v/>
      </c>
      <c r="Y1146" s="418" t="str">
        <f t="shared" si="1819"/>
        <v/>
      </c>
      <c r="Z1146" s="418" t="str">
        <f t="shared" si="1820"/>
        <v/>
      </c>
      <c r="AA1146" s="418" t="str">
        <f t="shared" si="1821"/>
        <v/>
      </c>
      <c r="AB1146" s="418" t="str">
        <f t="shared" si="1822"/>
        <v/>
      </c>
      <c r="AC1146" s="418" t="str">
        <f t="shared" si="1823"/>
        <v/>
      </c>
      <c r="AD1146" s="418" t="str">
        <f t="shared" si="1824"/>
        <v/>
      </c>
      <c r="AE1146" s="418" t="str">
        <f t="shared" si="1825"/>
        <v/>
      </c>
      <c r="AF1146" s="418" t="str">
        <f t="shared" si="1826"/>
        <v/>
      </c>
      <c r="AG1146" s="418" t="str">
        <f t="shared" si="1827"/>
        <v/>
      </c>
      <c r="AH1146" s="418" t="str">
        <f t="shared" si="1828"/>
        <v/>
      </c>
      <c r="AI1146" s="418" t="str">
        <f t="shared" si="1829"/>
        <v/>
      </c>
      <c r="AJ1146" s="418" t="str">
        <f t="shared" si="1830"/>
        <v/>
      </c>
      <c r="AK1146" s="418" t="str">
        <f t="shared" si="1831"/>
        <v/>
      </c>
      <c r="AL1146" s="418" t="str">
        <f t="shared" si="1832"/>
        <v/>
      </c>
      <c r="AM1146" s="418" t="str">
        <f t="shared" si="1833"/>
        <v/>
      </c>
      <c r="AN1146" s="418">
        <f t="shared" si="1834"/>
        <v>36000</v>
      </c>
      <c r="AO1146" s="418" t="str">
        <f t="shared" si="1835"/>
        <v/>
      </c>
      <c r="AP1146" s="418" t="str">
        <f t="shared" si="1836"/>
        <v/>
      </c>
      <c r="AQ1146" s="418" t="str">
        <f t="shared" si="1837"/>
        <v/>
      </c>
      <c r="AR1146" s="418" t="str">
        <f t="shared" si="1838"/>
        <v/>
      </c>
      <c r="AS1146" s="418" t="str">
        <f t="shared" si="1839"/>
        <v/>
      </c>
      <c r="AT1146" s="418" t="str">
        <f t="shared" si="1840"/>
        <v/>
      </c>
      <c r="AU1146" s="418" t="str">
        <f t="shared" si="1841"/>
        <v/>
      </c>
      <c r="AV1146" s="418" t="str">
        <f t="shared" si="1842"/>
        <v/>
      </c>
      <c r="AW1146" s="418" t="str">
        <f t="shared" si="1843"/>
        <v/>
      </c>
      <c r="AX1146" s="418" t="str">
        <f t="shared" si="1844"/>
        <v/>
      </c>
      <c r="AY1146" s="418" t="str">
        <f t="shared" si="1845"/>
        <v/>
      </c>
      <c r="AZ1146" s="418" t="str">
        <f t="shared" si="1846"/>
        <v/>
      </c>
      <c r="BA1146" s="418" t="str">
        <f t="shared" si="1847"/>
        <v/>
      </c>
      <c r="BB1146" s="418" t="str">
        <f t="shared" si="1848"/>
        <v/>
      </c>
      <c r="BC1146" s="418" t="str">
        <f t="shared" si="1849"/>
        <v/>
      </c>
      <c r="BD1146" s="418" t="str">
        <f t="shared" si="1850"/>
        <v/>
      </c>
      <c r="BE1146" s="418" t="str">
        <f t="shared" si="1851"/>
        <v/>
      </c>
      <c r="BF1146" s="418" t="str">
        <f t="shared" si="1852"/>
        <v/>
      </c>
      <c r="BG1146" s="418" t="str">
        <f t="shared" si="1853"/>
        <v/>
      </c>
      <c r="BH1146" s="418" t="str">
        <f t="shared" si="1854"/>
        <v/>
      </c>
      <c r="BI1146" s="418" t="str">
        <f t="shared" si="1855"/>
        <v/>
      </c>
      <c r="BJ1146" s="418" t="str">
        <f t="shared" si="1856"/>
        <v/>
      </c>
      <c r="BK1146" s="418" t="str">
        <f t="shared" si="1857"/>
        <v/>
      </c>
      <c r="BL1146" s="418" t="str">
        <f t="shared" si="1858"/>
        <v/>
      </c>
      <c r="BM1146" s="418" t="str">
        <f t="shared" si="1859"/>
        <v/>
      </c>
      <c r="BN1146" s="418" t="str">
        <f t="shared" si="1860"/>
        <v/>
      </c>
      <c r="BO1146" s="418" t="str">
        <f t="shared" si="1861"/>
        <v/>
      </c>
      <c r="BP1146" s="418" t="str">
        <f t="shared" si="1862"/>
        <v/>
      </c>
      <c r="BQ1146" s="418" t="str">
        <f t="shared" si="1863"/>
        <v/>
      </c>
      <c r="BR1146" s="418" t="str">
        <f t="shared" si="1864"/>
        <v/>
      </c>
      <c r="BS1146" s="418" t="str">
        <f t="shared" si="1865"/>
        <v/>
      </c>
      <c r="BT1146" s="418" t="str">
        <f t="shared" si="1866"/>
        <v/>
      </c>
      <c r="BU1146" s="418" t="str">
        <f t="shared" si="1867"/>
        <v/>
      </c>
      <c r="BV1146" s="624">
        <v>0.88</v>
      </c>
      <c r="BW1146" s="723">
        <f t="shared" si="1868"/>
        <v>31680</v>
      </c>
      <c r="BX1146" s="724">
        <f t="shared" si="1869"/>
        <v>245520</v>
      </c>
      <c r="BY1146" s="725" t="str">
        <f t="shared" si="1870"/>
        <v>SR</v>
      </c>
    </row>
    <row r="1147" s="697" customFormat="1" customHeight="1" spans="1:77">
      <c r="A1147" s="362">
        <v>46207</v>
      </c>
      <c r="B1147" s="362">
        <v>46249</v>
      </c>
      <c r="C1147" s="431" t="s">
        <v>1022</v>
      </c>
      <c r="D1147" s="431" t="s">
        <v>1023</v>
      </c>
      <c r="E1147" s="431" t="s">
        <v>94</v>
      </c>
      <c r="F1147" s="96">
        <v>5376</v>
      </c>
      <c r="G1147" s="431" t="s">
        <v>334</v>
      </c>
      <c r="H1147" s="118" t="str">
        <f>IFERROR(VLOOKUP(E1147,名称!A:E,4,0),"")</f>
        <v>三代</v>
      </c>
      <c r="I1147" s="418" t="str">
        <f t="shared" si="1803"/>
        <v/>
      </c>
      <c r="J1147" s="418" t="str">
        <f t="shared" si="1804"/>
        <v/>
      </c>
      <c r="K1147" s="418" t="str">
        <f t="shared" si="1805"/>
        <v/>
      </c>
      <c r="L1147" s="418" t="str">
        <f t="shared" si="1806"/>
        <v/>
      </c>
      <c r="M1147" s="418" t="str">
        <f t="shared" si="1807"/>
        <v/>
      </c>
      <c r="N1147" s="418" t="str">
        <f t="shared" si="1808"/>
        <v/>
      </c>
      <c r="O1147" s="418" t="str">
        <f t="shared" si="1809"/>
        <v/>
      </c>
      <c r="P1147" s="418" t="str">
        <f t="shared" si="1810"/>
        <v/>
      </c>
      <c r="Q1147" s="418" t="str">
        <f t="shared" si="1811"/>
        <v/>
      </c>
      <c r="R1147" s="418" t="str">
        <f t="shared" si="1812"/>
        <v/>
      </c>
      <c r="S1147" s="418" t="str">
        <f t="shared" si="1813"/>
        <v/>
      </c>
      <c r="T1147" s="418" t="str">
        <f t="shared" si="1814"/>
        <v/>
      </c>
      <c r="U1147" s="418" t="str">
        <f t="shared" si="1815"/>
        <v/>
      </c>
      <c r="V1147" s="418" t="str">
        <f t="shared" si="1816"/>
        <v/>
      </c>
      <c r="W1147" s="418" t="str">
        <f t="shared" si="1817"/>
        <v/>
      </c>
      <c r="X1147" s="418" t="str">
        <f t="shared" si="1818"/>
        <v/>
      </c>
      <c r="Y1147" s="418" t="str">
        <f t="shared" si="1819"/>
        <v/>
      </c>
      <c r="Z1147" s="418" t="str">
        <f t="shared" si="1820"/>
        <v/>
      </c>
      <c r="AA1147" s="418" t="str">
        <f t="shared" si="1821"/>
        <v/>
      </c>
      <c r="AB1147" s="418" t="str">
        <f t="shared" si="1822"/>
        <v/>
      </c>
      <c r="AC1147" s="418" t="str">
        <f t="shared" si="1823"/>
        <v/>
      </c>
      <c r="AD1147" s="418" t="str">
        <f t="shared" si="1824"/>
        <v/>
      </c>
      <c r="AE1147" s="418" t="str">
        <f t="shared" si="1825"/>
        <v/>
      </c>
      <c r="AF1147" s="418" t="str">
        <f t="shared" si="1826"/>
        <v/>
      </c>
      <c r="AG1147" s="418" t="str">
        <f t="shared" si="1827"/>
        <v/>
      </c>
      <c r="AH1147" s="418" t="str">
        <f t="shared" si="1828"/>
        <v/>
      </c>
      <c r="AI1147" s="418" t="str">
        <f t="shared" si="1829"/>
        <v/>
      </c>
      <c r="AJ1147" s="418" t="str">
        <f t="shared" si="1830"/>
        <v/>
      </c>
      <c r="AK1147" s="418" t="str">
        <f t="shared" si="1831"/>
        <v/>
      </c>
      <c r="AL1147" s="418" t="str">
        <f t="shared" si="1832"/>
        <v/>
      </c>
      <c r="AM1147" s="418" t="str">
        <f t="shared" si="1833"/>
        <v/>
      </c>
      <c r="AN1147" s="418" t="str">
        <f t="shared" si="1834"/>
        <v/>
      </c>
      <c r="AO1147" s="418" t="str">
        <f t="shared" si="1835"/>
        <v/>
      </c>
      <c r="AP1147" s="418" t="str">
        <f t="shared" si="1836"/>
        <v/>
      </c>
      <c r="AQ1147" s="418" t="str">
        <f t="shared" si="1837"/>
        <v/>
      </c>
      <c r="AR1147" s="418" t="str">
        <f t="shared" si="1838"/>
        <v/>
      </c>
      <c r="AS1147" s="418" t="str">
        <f t="shared" si="1839"/>
        <v/>
      </c>
      <c r="AT1147" s="418" t="str">
        <f t="shared" si="1840"/>
        <v/>
      </c>
      <c r="AU1147" s="418" t="str">
        <f t="shared" si="1841"/>
        <v/>
      </c>
      <c r="AV1147" s="418" t="str">
        <f t="shared" si="1842"/>
        <v/>
      </c>
      <c r="AW1147" s="418" t="str">
        <f t="shared" si="1843"/>
        <v/>
      </c>
      <c r="AX1147" s="418" t="str">
        <f t="shared" si="1844"/>
        <v/>
      </c>
      <c r="AY1147" s="418">
        <f t="shared" si="1845"/>
        <v>5376</v>
      </c>
      <c r="AZ1147" s="418" t="str">
        <f t="shared" si="1846"/>
        <v/>
      </c>
      <c r="BA1147" s="418" t="str">
        <f t="shared" si="1847"/>
        <v/>
      </c>
      <c r="BB1147" s="418" t="str">
        <f t="shared" si="1848"/>
        <v/>
      </c>
      <c r="BC1147" s="418" t="str">
        <f t="shared" si="1849"/>
        <v/>
      </c>
      <c r="BD1147" s="418" t="str">
        <f t="shared" si="1850"/>
        <v/>
      </c>
      <c r="BE1147" s="418" t="str">
        <f t="shared" si="1851"/>
        <v/>
      </c>
      <c r="BF1147" s="418" t="str">
        <f t="shared" si="1852"/>
        <v/>
      </c>
      <c r="BG1147" s="418" t="str">
        <f t="shared" si="1853"/>
        <v/>
      </c>
      <c r="BH1147" s="418" t="str">
        <f t="shared" si="1854"/>
        <v/>
      </c>
      <c r="BI1147" s="418" t="str">
        <f t="shared" si="1855"/>
        <v/>
      </c>
      <c r="BJ1147" s="418" t="str">
        <f t="shared" si="1856"/>
        <v/>
      </c>
      <c r="BK1147" s="418" t="str">
        <f t="shared" si="1857"/>
        <v/>
      </c>
      <c r="BL1147" s="418" t="str">
        <f t="shared" si="1858"/>
        <v/>
      </c>
      <c r="BM1147" s="418" t="str">
        <f t="shared" si="1859"/>
        <v/>
      </c>
      <c r="BN1147" s="418" t="str">
        <f t="shared" si="1860"/>
        <v/>
      </c>
      <c r="BO1147" s="418" t="str">
        <f t="shared" si="1861"/>
        <v/>
      </c>
      <c r="BP1147" s="418" t="str">
        <f t="shared" si="1862"/>
        <v/>
      </c>
      <c r="BQ1147" s="418" t="str">
        <f t="shared" si="1863"/>
        <v/>
      </c>
      <c r="BR1147" s="418" t="str">
        <f t="shared" si="1864"/>
        <v/>
      </c>
      <c r="BS1147" s="418" t="str">
        <f t="shared" si="1865"/>
        <v/>
      </c>
      <c r="BT1147" s="418" t="str">
        <f t="shared" si="1866"/>
        <v/>
      </c>
      <c r="BU1147" s="418" t="str">
        <f t="shared" si="1867"/>
        <v/>
      </c>
      <c r="BV1147" s="624">
        <v>0.6</v>
      </c>
      <c r="BW1147" s="723">
        <f t="shared" si="1868"/>
        <v>3225.6</v>
      </c>
      <c r="BX1147" s="724">
        <f t="shared" si="1869"/>
        <v>24998.4</v>
      </c>
      <c r="BY1147" s="725" t="str">
        <f t="shared" si="1870"/>
        <v>SR</v>
      </c>
    </row>
    <row r="1148" s="697" customFormat="1" customHeight="1" spans="1:77">
      <c r="A1148" s="362">
        <v>46207</v>
      </c>
      <c r="B1148" s="420">
        <v>46272</v>
      </c>
      <c r="C1148" s="431" t="s">
        <v>1022</v>
      </c>
      <c r="D1148" s="431" t="s">
        <v>1023</v>
      </c>
      <c r="E1148" s="431" t="s">
        <v>94</v>
      </c>
      <c r="F1148" s="96">
        <v>6624</v>
      </c>
      <c r="G1148" s="431" t="s">
        <v>334</v>
      </c>
      <c r="H1148" s="118" t="str">
        <f>IFERROR(VLOOKUP(E1148,名称!A:E,4,0),"")</f>
        <v>三代</v>
      </c>
      <c r="I1148" s="418" t="str">
        <f t="shared" si="1803"/>
        <v/>
      </c>
      <c r="J1148" s="418" t="str">
        <f t="shared" si="1804"/>
        <v/>
      </c>
      <c r="K1148" s="418" t="str">
        <f t="shared" si="1805"/>
        <v/>
      </c>
      <c r="L1148" s="418" t="str">
        <f t="shared" si="1806"/>
        <v/>
      </c>
      <c r="M1148" s="418" t="str">
        <f t="shared" si="1807"/>
        <v/>
      </c>
      <c r="N1148" s="418" t="str">
        <f t="shared" si="1808"/>
        <v/>
      </c>
      <c r="O1148" s="418" t="str">
        <f t="shared" si="1809"/>
        <v/>
      </c>
      <c r="P1148" s="418" t="str">
        <f t="shared" si="1810"/>
        <v/>
      </c>
      <c r="Q1148" s="418" t="str">
        <f t="shared" si="1811"/>
        <v/>
      </c>
      <c r="R1148" s="418" t="str">
        <f t="shared" si="1812"/>
        <v/>
      </c>
      <c r="S1148" s="418" t="str">
        <f t="shared" si="1813"/>
        <v/>
      </c>
      <c r="T1148" s="418" t="str">
        <f t="shared" si="1814"/>
        <v/>
      </c>
      <c r="U1148" s="418" t="str">
        <f t="shared" si="1815"/>
        <v/>
      </c>
      <c r="V1148" s="418" t="str">
        <f t="shared" si="1816"/>
        <v/>
      </c>
      <c r="W1148" s="418" t="str">
        <f t="shared" si="1817"/>
        <v/>
      </c>
      <c r="X1148" s="418" t="str">
        <f t="shared" si="1818"/>
        <v/>
      </c>
      <c r="Y1148" s="418" t="str">
        <f t="shared" si="1819"/>
        <v/>
      </c>
      <c r="Z1148" s="418" t="str">
        <f t="shared" si="1820"/>
        <v/>
      </c>
      <c r="AA1148" s="418" t="str">
        <f t="shared" si="1821"/>
        <v/>
      </c>
      <c r="AB1148" s="418" t="str">
        <f t="shared" si="1822"/>
        <v/>
      </c>
      <c r="AC1148" s="418" t="str">
        <f t="shared" si="1823"/>
        <v/>
      </c>
      <c r="AD1148" s="418" t="str">
        <f t="shared" si="1824"/>
        <v/>
      </c>
      <c r="AE1148" s="418" t="str">
        <f t="shared" si="1825"/>
        <v/>
      </c>
      <c r="AF1148" s="418" t="str">
        <f t="shared" si="1826"/>
        <v/>
      </c>
      <c r="AG1148" s="418" t="str">
        <f t="shared" si="1827"/>
        <v/>
      </c>
      <c r="AH1148" s="418" t="str">
        <f t="shared" si="1828"/>
        <v/>
      </c>
      <c r="AI1148" s="418" t="str">
        <f t="shared" si="1829"/>
        <v/>
      </c>
      <c r="AJ1148" s="418" t="str">
        <f t="shared" si="1830"/>
        <v/>
      </c>
      <c r="AK1148" s="418" t="str">
        <f t="shared" si="1831"/>
        <v/>
      </c>
      <c r="AL1148" s="418" t="str">
        <f t="shared" si="1832"/>
        <v/>
      </c>
      <c r="AM1148" s="418" t="str">
        <f t="shared" si="1833"/>
        <v/>
      </c>
      <c r="AN1148" s="418" t="str">
        <f t="shared" si="1834"/>
        <v/>
      </c>
      <c r="AO1148" s="418" t="str">
        <f t="shared" si="1835"/>
        <v/>
      </c>
      <c r="AP1148" s="418" t="str">
        <f t="shared" si="1836"/>
        <v/>
      </c>
      <c r="AQ1148" s="418" t="str">
        <f t="shared" si="1837"/>
        <v/>
      </c>
      <c r="AR1148" s="418" t="str">
        <f t="shared" si="1838"/>
        <v/>
      </c>
      <c r="AS1148" s="418" t="str">
        <f t="shared" si="1839"/>
        <v/>
      </c>
      <c r="AT1148" s="418" t="str">
        <f t="shared" si="1840"/>
        <v/>
      </c>
      <c r="AU1148" s="418" t="str">
        <f t="shared" si="1841"/>
        <v/>
      </c>
      <c r="AV1148" s="418" t="str">
        <f t="shared" si="1842"/>
        <v/>
      </c>
      <c r="AW1148" s="418" t="str">
        <f t="shared" si="1843"/>
        <v/>
      </c>
      <c r="AX1148" s="418" t="str">
        <f t="shared" si="1844"/>
        <v/>
      </c>
      <c r="AY1148" s="418">
        <f t="shared" si="1845"/>
        <v>6624</v>
      </c>
      <c r="AZ1148" s="418" t="str">
        <f t="shared" si="1846"/>
        <v/>
      </c>
      <c r="BA1148" s="418" t="str">
        <f t="shared" si="1847"/>
        <v/>
      </c>
      <c r="BB1148" s="418" t="str">
        <f t="shared" si="1848"/>
        <v/>
      </c>
      <c r="BC1148" s="418" t="str">
        <f t="shared" si="1849"/>
        <v/>
      </c>
      <c r="BD1148" s="418" t="str">
        <f t="shared" si="1850"/>
        <v/>
      </c>
      <c r="BE1148" s="418" t="str">
        <f t="shared" si="1851"/>
        <v/>
      </c>
      <c r="BF1148" s="418" t="str">
        <f t="shared" si="1852"/>
        <v/>
      </c>
      <c r="BG1148" s="418" t="str">
        <f t="shared" si="1853"/>
        <v/>
      </c>
      <c r="BH1148" s="418" t="str">
        <f t="shared" si="1854"/>
        <v/>
      </c>
      <c r="BI1148" s="418" t="str">
        <f t="shared" si="1855"/>
        <v/>
      </c>
      <c r="BJ1148" s="418" t="str">
        <f t="shared" si="1856"/>
        <v/>
      </c>
      <c r="BK1148" s="418" t="str">
        <f t="shared" si="1857"/>
        <v/>
      </c>
      <c r="BL1148" s="418" t="str">
        <f t="shared" si="1858"/>
        <v/>
      </c>
      <c r="BM1148" s="418" t="str">
        <f t="shared" si="1859"/>
        <v/>
      </c>
      <c r="BN1148" s="418" t="str">
        <f t="shared" si="1860"/>
        <v/>
      </c>
      <c r="BO1148" s="418" t="str">
        <f t="shared" si="1861"/>
        <v/>
      </c>
      <c r="BP1148" s="418" t="str">
        <f t="shared" si="1862"/>
        <v/>
      </c>
      <c r="BQ1148" s="418" t="str">
        <f t="shared" si="1863"/>
        <v/>
      </c>
      <c r="BR1148" s="418" t="str">
        <f t="shared" si="1864"/>
        <v/>
      </c>
      <c r="BS1148" s="418" t="str">
        <f t="shared" si="1865"/>
        <v/>
      </c>
      <c r="BT1148" s="418" t="str">
        <f t="shared" si="1866"/>
        <v/>
      </c>
      <c r="BU1148" s="418" t="str">
        <f t="shared" si="1867"/>
        <v/>
      </c>
      <c r="BV1148" s="624">
        <v>0.6</v>
      </c>
      <c r="BW1148" s="723">
        <f t="shared" si="1868"/>
        <v>3974.4</v>
      </c>
      <c r="BX1148" s="724">
        <f t="shared" si="1869"/>
        <v>30801.6</v>
      </c>
      <c r="BY1148" s="725" t="str">
        <f t="shared" si="1870"/>
        <v>SR</v>
      </c>
    </row>
    <row r="1149" s="697" customFormat="1" customHeight="1" spans="1:77">
      <c r="A1149" s="362">
        <v>46207</v>
      </c>
      <c r="B1149" s="362">
        <v>46356</v>
      </c>
      <c r="C1149" s="431" t="s">
        <v>1022</v>
      </c>
      <c r="D1149" s="431" t="s">
        <v>1023</v>
      </c>
      <c r="E1149" s="431" t="s">
        <v>180</v>
      </c>
      <c r="F1149" s="96">
        <v>18000</v>
      </c>
      <c r="G1149" s="431" t="s">
        <v>334</v>
      </c>
      <c r="H1149" s="118" t="str">
        <f>IFERROR(VLOOKUP(E1149,名称!A:E,4,0),"")</f>
        <v>三代</v>
      </c>
      <c r="I1149" s="418" t="str">
        <f t="shared" si="1803"/>
        <v/>
      </c>
      <c r="J1149" s="418" t="str">
        <f t="shared" si="1804"/>
        <v/>
      </c>
      <c r="K1149" s="418" t="str">
        <f t="shared" si="1805"/>
        <v/>
      </c>
      <c r="L1149" s="418" t="str">
        <f t="shared" si="1806"/>
        <v/>
      </c>
      <c r="M1149" s="418" t="str">
        <f t="shared" si="1807"/>
        <v/>
      </c>
      <c r="N1149" s="418" t="str">
        <f t="shared" si="1808"/>
        <v/>
      </c>
      <c r="O1149" s="418" t="str">
        <f t="shared" si="1809"/>
        <v/>
      </c>
      <c r="P1149" s="418" t="str">
        <f t="shared" si="1810"/>
        <v/>
      </c>
      <c r="Q1149" s="418" t="str">
        <f t="shared" si="1811"/>
        <v/>
      </c>
      <c r="R1149" s="418" t="str">
        <f t="shared" si="1812"/>
        <v/>
      </c>
      <c r="S1149" s="418" t="str">
        <f t="shared" si="1813"/>
        <v/>
      </c>
      <c r="T1149" s="418" t="str">
        <f t="shared" si="1814"/>
        <v/>
      </c>
      <c r="U1149" s="418" t="str">
        <f t="shared" si="1815"/>
        <v/>
      </c>
      <c r="V1149" s="418" t="str">
        <f t="shared" si="1816"/>
        <v/>
      </c>
      <c r="W1149" s="418" t="str">
        <f t="shared" si="1817"/>
        <v/>
      </c>
      <c r="X1149" s="418" t="str">
        <f t="shared" si="1818"/>
        <v/>
      </c>
      <c r="Y1149" s="418" t="str">
        <f t="shared" si="1819"/>
        <v/>
      </c>
      <c r="Z1149" s="418" t="str">
        <f t="shared" si="1820"/>
        <v/>
      </c>
      <c r="AA1149" s="418" t="str">
        <f t="shared" si="1821"/>
        <v/>
      </c>
      <c r="AB1149" s="418" t="str">
        <f t="shared" si="1822"/>
        <v/>
      </c>
      <c r="AC1149" s="418" t="str">
        <f t="shared" si="1823"/>
        <v/>
      </c>
      <c r="AD1149" s="418" t="str">
        <f t="shared" si="1824"/>
        <v/>
      </c>
      <c r="AE1149" s="418" t="str">
        <f t="shared" si="1825"/>
        <v/>
      </c>
      <c r="AF1149" s="418" t="str">
        <f t="shared" si="1826"/>
        <v/>
      </c>
      <c r="AG1149" s="418" t="str">
        <f t="shared" si="1827"/>
        <v/>
      </c>
      <c r="AH1149" s="418" t="str">
        <f t="shared" si="1828"/>
        <v/>
      </c>
      <c r="AI1149" s="418" t="str">
        <f t="shared" si="1829"/>
        <v/>
      </c>
      <c r="AJ1149" s="418" t="str">
        <f t="shared" si="1830"/>
        <v/>
      </c>
      <c r="AK1149" s="418" t="str">
        <f t="shared" si="1831"/>
        <v/>
      </c>
      <c r="AL1149" s="418" t="str">
        <f t="shared" si="1832"/>
        <v/>
      </c>
      <c r="AM1149" s="418" t="str">
        <f t="shared" si="1833"/>
        <v/>
      </c>
      <c r="AN1149" s="418" t="str">
        <f t="shared" si="1834"/>
        <v/>
      </c>
      <c r="AO1149" s="418" t="str">
        <f t="shared" si="1835"/>
        <v/>
      </c>
      <c r="AP1149" s="418" t="str">
        <f t="shared" si="1836"/>
        <v/>
      </c>
      <c r="AQ1149" s="418" t="str">
        <f t="shared" si="1837"/>
        <v/>
      </c>
      <c r="AR1149" s="418" t="str">
        <f t="shared" si="1838"/>
        <v/>
      </c>
      <c r="AS1149" s="418" t="str">
        <f t="shared" si="1839"/>
        <v/>
      </c>
      <c r="AT1149" s="418" t="str">
        <f t="shared" si="1840"/>
        <v/>
      </c>
      <c r="AU1149" s="418" t="str">
        <f t="shared" si="1841"/>
        <v/>
      </c>
      <c r="AV1149" s="418" t="str">
        <f t="shared" si="1842"/>
        <v/>
      </c>
      <c r="AW1149" s="418" t="str">
        <f t="shared" si="1843"/>
        <v/>
      </c>
      <c r="AX1149" s="418" t="str">
        <f t="shared" si="1844"/>
        <v/>
      </c>
      <c r="AY1149" s="418" t="str">
        <f t="shared" si="1845"/>
        <v/>
      </c>
      <c r="AZ1149" s="418" t="str">
        <f t="shared" si="1846"/>
        <v/>
      </c>
      <c r="BA1149" s="418" t="str">
        <f t="shared" si="1847"/>
        <v/>
      </c>
      <c r="BB1149" s="418" t="str">
        <f t="shared" si="1848"/>
        <v/>
      </c>
      <c r="BC1149" s="418" t="str">
        <f t="shared" si="1849"/>
        <v/>
      </c>
      <c r="BD1149" s="418" t="str">
        <f t="shared" si="1850"/>
        <v/>
      </c>
      <c r="BE1149" s="418" t="str">
        <f t="shared" si="1851"/>
        <v/>
      </c>
      <c r="BF1149" s="418" t="str">
        <f t="shared" si="1852"/>
        <v/>
      </c>
      <c r="BG1149" s="418" t="str">
        <f t="shared" si="1853"/>
        <v/>
      </c>
      <c r="BH1149" s="418" t="str">
        <f t="shared" si="1854"/>
        <v/>
      </c>
      <c r="BI1149" s="418" t="str">
        <f t="shared" si="1855"/>
        <v/>
      </c>
      <c r="BJ1149" s="418" t="str">
        <f t="shared" si="1856"/>
        <v/>
      </c>
      <c r="BK1149" s="418" t="str">
        <f t="shared" si="1857"/>
        <v/>
      </c>
      <c r="BL1149" s="418">
        <f t="shared" si="1858"/>
        <v>18000</v>
      </c>
      <c r="BM1149" s="418" t="str">
        <f t="shared" si="1859"/>
        <v/>
      </c>
      <c r="BN1149" s="418" t="str">
        <f t="shared" si="1860"/>
        <v/>
      </c>
      <c r="BO1149" s="418" t="str">
        <f t="shared" si="1861"/>
        <v/>
      </c>
      <c r="BP1149" s="418" t="str">
        <f t="shared" si="1862"/>
        <v/>
      </c>
      <c r="BQ1149" s="418" t="str">
        <f t="shared" si="1863"/>
        <v/>
      </c>
      <c r="BR1149" s="418" t="str">
        <f t="shared" si="1864"/>
        <v/>
      </c>
      <c r="BS1149" s="418" t="str">
        <f t="shared" si="1865"/>
        <v/>
      </c>
      <c r="BT1149" s="418" t="str">
        <f t="shared" si="1866"/>
        <v/>
      </c>
      <c r="BU1149" s="418" t="str">
        <f t="shared" si="1867"/>
        <v/>
      </c>
      <c r="BV1149" s="624">
        <v>0.88</v>
      </c>
      <c r="BW1149" s="723">
        <f t="shared" si="1868"/>
        <v>15840</v>
      </c>
      <c r="BX1149" s="724">
        <f t="shared" si="1869"/>
        <v>122760</v>
      </c>
      <c r="BY1149" s="725" t="str">
        <f t="shared" si="1870"/>
        <v>SR</v>
      </c>
    </row>
    <row r="1150" s="697" customFormat="1" customHeight="1" spans="1:77">
      <c r="A1150" s="362">
        <v>46207</v>
      </c>
      <c r="B1150" s="362">
        <v>46216</v>
      </c>
      <c r="C1150" s="129" t="s">
        <v>839</v>
      </c>
      <c r="D1150" s="431" t="s">
        <v>1024</v>
      </c>
      <c r="E1150" s="431" t="s">
        <v>242</v>
      </c>
      <c r="F1150" s="96">
        <v>2750</v>
      </c>
      <c r="G1150" s="431" t="s">
        <v>242</v>
      </c>
      <c r="H1150" s="118" t="str">
        <f>IFERROR(VLOOKUP(E1150,名称!A:E,4,0),"")</f>
        <v/>
      </c>
      <c r="I1150" s="418" t="str">
        <f t="shared" si="1803"/>
        <v/>
      </c>
      <c r="J1150" s="418" t="str">
        <f t="shared" si="1804"/>
        <v/>
      </c>
      <c r="K1150" s="418" t="str">
        <f t="shared" si="1805"/>
        <v/>
      </c>
      <c r="L1150" s="418" t="str">
        <f t="shared" si="1806"/>
        <v/>
      </c>
      <c r="M1150" s="418" t="str">
        <f t="shared" si="1807"/>
        <v/>
      </c>
      <c r="N1150" s="418" t="str">
        <f t="shared" si="1808"/>
        <v/>
      </c>
      <c r="O1150" s="418" t="str">
        <f t="shared" si="1809"/>
        <v/>
      </c>
      <c r="P1150" s="418" t="str">
        <f t="shared" si="1810"/>
        <v/>
      </c>
      <c r="Q1150" s="418" t="str">
        <f t="shared" si="1811"/>
        <v/>
      </c>
      <c r="R1150" s="418" t="str">
        <f t="shared" si="1812"/>
        <v/>
      </c>
      <c r="S1150" s="418" t="str">
        <f t="shared" si="1813"/>
        <v/>
      </c>
      <c r="T1150" s="418" t="str">
        <f t="shared" si="1814"/>
        <v/>
      </c>
      <c r="U1150" s="418" t="str">
        <f t="shared" si="1815"/>
        <v/>
      </c>
      <c r="V1150" s="418" t="str">
        <f t="shared" si="1816"/>
        <v/>
      </c>
      <c r="W1150" s="418" t="str">
        <f t="shared" si="1817"/>
        <v/>
      </c>
      <c r="X1150" s="418" t="str">
        <f t="shared" si="1818"/>
        <v/>
      </c>
      <c r="Y1150" s="418" t="str">
        <f t="shared" si="1819"/>
        <v/>
      </c>
      <c r="Z1150" s="418" t="str">
        <f t="shared" si="1820"/>
        <v/>
      </c>
      <c r="AA1150" s="418" t="str">
        <f t="shared" si="1821"/>
        <v/>
      </c>
      <c r="AB1150" s="418" t="str">
        <f t="shared" si="1822"/>
        <v/>
      </c>
      <c r="AC1150" s="418" t="str">
        <f t="shared" si="1823"/>
        <v/>
      </c>
      <c r="AD1150" s="418" t="str">
        <f t="shared" si="1824"/>
        <v/>
      </c>
      <c r="AE1150" s="418" t="str">
        <f t="shared" si="1825"/>
        <v/>
      </c>
      <c r="AF1150" s="418" t="str">
        <f t="shared" si="1826"/>
        <v/>
      </c>
      <c r="AG1150" s="418" t="str">
        <f t="shared" si="1827"/>
        <v/>
      </c>
      <c r="AH1150" s="418" t="str">
        <f t="shared" si="1828"/>
        <v/>
      </c>
      <c r="AI1150" s="418" t="str">
        <f t="shared" si="1829"/>
        <v/>
      </c>
      <c r="AJ1150" s="418" t="str">
        <f t="shared" si="1830"/>
        <v/>
      </c>
      <c r="AK1150" s="418" t="str">
        <f t="shared" si="1831"/>
        <v/>
      </c>
      <c r="AL1150" s="418" t="str">
        <f t="shared" si="1832"/>
        <v/>
      </c>
      <c r="AM1150" s="418" t="str">
        <f t="shared" si="1833"/>
        <v/>
      </c>
      <c r="AN1150" s="418" t="str">
        <f t="shared" si="1834"/>
        <v/>
      </c>
      <c r="AO1150" s="418" t="str">
        <f t="shared" si="1835"/>
        <v/>
      </c>
      <c r="AP1150" s="418" t="str">
        <f t="shared" si="1836"/>
        <v/>
      </c>
      <c r="AQ1150" s="418" t="str">
        <f t="shared" si="1837"/>
        <v/>
      </c>
      <c r="AR1150" s="418" t="str">
        <f t="shared" si="1838"/>
        <v/>
      </c>
      <c r="AS1150" s="418" t="str">
        <f t="shared" si="1839"/>
        <v/>
      </c>
      <c r="AT1150" s="418" t="str">
        <f t="shared" si="1840"/>
        <v/>
      </c>
      <c r="AU1150" s="418" t="str">
        <f t="shared" si="1841"/>
        <v/>
      </c>
      <c r="AV1150" s="418" t="str">
        <f t="shared" si="1842"/>
        <v/>
      </c>
      <c r="AW1150" s="418" t="str">
        <f t="shared" si="1843"/>
        <v/>
      </c>
      <c r="AX1150" s="418" t="str">
        <f t="shared" si="1844"/>
        <v/>
      </c>
      <c r="AY1150" s="418" t="str">
        <f t="shared" si="1845"/>
        <v/>
      </c>
      <c r="AZ1150" s="418" t="str">
        <f t="shared" si="1846"/>
        <v/>
      </c>
      <c r="BA1150" s="418" t="str">
        <f t="shared" si="1847"/>
        <v/>
      </c>
      <c r="BB1150" s="418" t="str">
        <f t="shared" si="1848"/>
        <v/>
      </c>
      <c r="BC1150" s="418" t="str">
        <f t="shared" si="1849"/>
        <v/>
      </c>
      <c r="BD1150" s="418" t="str">
        <f t="shared" si="1850"/>
        <v/>
      </c>
      <c r="BE1150" s="418" t="str">
        <f t="shared" si="1851"/>
        <v/>
      </c>
      <c r="BF1150" s="418" t="str">
        <f t="shared" si="1852"/>
        <v/>
      </c>
      <c r="BG1150" s="418" t="str">
        <f t="shared" si="1853"/>
        <v/>
      </c>
      <c r="BH1150" s="418" t="str">
        <f t="shared" si="1854"/>
        <v/>
      </c>
      <c r="BI1150" s="418" t="str">
        <f t="shared" si="1855"/>
        <v/>
      </c>
      <c r="BJ1150" s="418" t="str">
        <f t="shared" si="1856"/>
        <v/>
      </c>
      <c r="BK1150" s="418" t="str">
        <f t="shared" si="1857"/>
        <v/>
      </c>
      <c r="BL1150" s="418" t="str">
        <f t="shared" si="1858"/>
        <v/>
      </c>
      <c r="BM1150" s="418" t="str">
        <f t="shared" si="1859"/>
        <v/>
      </c>
      <c r="BN1150" s="418" t="str">
        <f t="shared" si="1860"/>
        <v/>
      </c>
      <c r="BO1150" s="418" t="str">
        <f t="shared" si="1861"/>
        <v/>
      </c>
      <c r="BP1150" s="418" t="str">
        <f t="shared" si="1862"/>
        <v/>
      </c>
      <c r="BQ1150" s="418" t="str">
        <f t="shared" si="1863"/>
        <v/>
      </c>
      <c r="BR1150" s="418" t="str">
        <f t="shared" si="1864"/>
        <v/>
      </c>
      <c r="BS1150" s="418" t="str">
        <f t="shared" si="1865"/>
        <v/>
      </c>
      <c r="BT1150" s="418" t="str">
        <f t="shared" si="1866"/>
        <v/>
      </c>
      <c r="BU1150" s="418">
        <f>F1150</f>
        <v>2750</v>
      </c>
      <c r="BV1150" s="544">
        <v>0</v>
      </c>
      <c r="BW1150" s="723">
        <f t="shared" si="1868"/>
        <v>0</v>
      </c>
      <c r="BX1150" s="724">
        <f t="shared" si="1869"/>
        <v>0</v>
      </c>
      <c r="BY1150" s="725" t="str">
        <f t="shared" si="1870"/>
        <v>散装</v>
      </c>
    </row>
    <row r="1151" s="697" customFormat="1" customHeight="1" spans="1:77">
      <c r="A1151" s="362">
        <v>46207</v>
      </c>
      <c r="B1151" s="362">
        <v>46216</v>
      </c>
      <c r="C1151" s="129" t="s">
        <v>839</v>
      </c>
      <c r="D1151" s="431" t="s">
        <v>1025</v>
      </c>
      <c r="E1151" s="431" t="s">
        <v>242</v>
      </c>
      <c r="F1151" s="96">
        <v>800</v>
      </c>
      <c r="G1151" s="431" t="s">
        <v>1026</v>
      </c>
      <c r="H1151" s="118" t="str">
        <f>IFERROR(VLOOKUP(E1151,名称!A:E,4,0),"")</f>
        <v/>
      </c>
      <c r="I1151" s="418" t="str">
        <f t="shared" si="1803"/>
        <v/>
      </c>
      <c r="J1151" s="418" t="str">
        <f t="shared" si="1804"/>
        <v/>
      </c>
      <c r="K1151" s="418" t="str">
        <f t="shared" si="1805"/>
        <v/>
      </c>
      <c r="L1151" s="418" t="str">
        <f t="shared" si="1806"/>
        <v/>
      </c>
      <c r="M1151" s="418" t="str">
        <f t="shared" si="1807"/>
        <v/>
      </c>
      <c r="N1151" s="418" t="str">
        <f t="shared" si="1808"/>
        <v/>
      </c>
      <c r="O1151" s="418" t="str">
        <f t="shared" si="1809"/>
        <v/>
      </c>
      <c r="P1151" s="418" t="str">
        <f t="shared" si="1810"/>
        <v/>
      </c>
      <c r="Q1151" s="418" t="str">
        <f t="shared" si="1811"/>
        <v/>
      </c>
      <c r="R1151" s="418" t="str">
        <f t="shared" si="1812"/>
        <v/>
      </c>
      <c r="S1151" s="418" t="str">
        <f t="shared" si="1813"/>
        <v/>
      </c>
      <c r="T1151" s="418" t="str">
        <f t="shared" si="1814"/>
        <v/>
      </c>
      <c r="U1151" s="418" t="str">
        <f t="shared" si="1815"/>
        <v/>
      </c>
      <c r="V1151" s="418" t="str">
        <f t="shared" si="1816"/>
        <v/>
      </c>
      <c r="W1151" s="418" t="str">
        <f t="shared" si="1817"/>
        <v/>
      </c>
      <c r="X1151" s="418" t="str">
        <f t="shared" si="1818"/>
        <v/>
      </c>
      <c r="Y1151" s="418" t="str">
        <f t="shared" si="1819"/>
        <v/>
      </c>
      <c r="Z1151" s="418" t="str">
        <f t="shared" si="1820"/>
        <v/>
      </c>
      <c r="AA1151" s="418" t="str">
        <f t="shared" si="1821"/>
        <v/>
      </c>
      <c r="AB1151" s="418" t="str">
        <f t="shared" si="1822"/>
        <v/>
      </c>
      <c r="AC1151" s="418" t="str">
        <f t="shared" si="1823"/>
        <v/>
      </c>
      <c r="AD1151" s="418" t="str">
        <f t="shared" si="1824"/>
        <v/>
      </c>
      <c r="AE1151" s="418" t="str">
        <f t="shared" si="1825"/>
        <v/>
      </c>
      <c r="AF1151" s="418" t="str">
        <f t="shared" si="1826"/>
        <v/>
      </c>
      <c r="AG1151" s="418" t="str">
        <f t="shared" si="1827"/>
        <v/>
      </c>
      <c r="AH1151" s="418" t="str">
        <f t="shared" si="1828"/>
        <v/>
      </c>
      <c r="AI1151" s="418" t="str">
        <f t="shared" si="1829"/>
        <v/>
      </c>
      <c r="AJ1151" s="418" t="str">
        <f t="shared" si="1830"/>
        <v/>
      </c>
      <c r="AK1151" s="418" t="str">
        <f t="shared" si="1831"/>
        <v/>
      </c>
      <c r="AL1151" s="418" t="str">
        <f t="shared" si="1832"/>
        <v/>
      </c>
      <c r="AM1151" s="418" t="str">
        <f t="shared" si="1833"/>
        <v/>
      </c>
      <c r="AN1151" s="418" t="str">
        <f t="shared" si="1834"/>
        <v/>
      </c>
      <c r="AO1151" s="418" t="str">
        <f t="shared" si="1835"/>
        <v/>
      </c>
      <c r="AP1151" s="418" t="str">
        <f t="shared" si="1836"/>
        <v/>
      </c>
      <c r="AQ1151" s="418" t="str">
        <f t="shared" si="1837"/>
        <v/>
      </c>
      <c r="AR1151" s="418" t="str">
        <f t="shared" si="1838"/>
        <v/>
      </c>
      <c r="AS1151" s="418" t="str">
        <f t="shared" si="1839"/>
        <v/>
      </c>
      <c r="AT1151" s="418" t="str">
        <f t="shared" si="1840"/>
        <v/>
      </c>
      <c r="AU1151" s="418" t="str">
        <f t="shared" si="1841"/>
        <v/>
      </c>
      <c r="AV1151" s="418" t="str">
        <f t="shared" si="1842"/>
        <v/>
      </c>
      <c r="AW1151" s="418" t="str">
        <f t="shared" si="1843"/>
        <v/>
      </c>
      <c r="AX1151" s="418" t="str">
        <f t="shared" si="1844"/>
        <v/>
      </c>
      <c r="AY1151" s="418" t="str">
        <f t="shared" si="1845"/>
        <v/>
      </c>
      <c r="AZ1151" s="418" t="str">
        <f t="shared" si="1846"/>
        <v/>
      </c>
      <c r="BA1151" s="418" t="str">
        <f t="shared" si="1847"/>
        <v/>
      </c>
      <c r="BB1151" s="418" t="str">
        <f t="shared" si="1848"/>
        <v/>
      </c>
      <c r="BC1151" s="418" t="str">
        <f t="shared" si="1849"/>
        <v/>
      </c>
      <c r="BD1151" s="418" t="str">
        <f t="shared" si="1850"/>
        <v/>
      </c>
      <c r="BE1151" s="418" t="str">
        <f t="shared" si="1851"/>
        <v/>
      </c>
      <c r="BF1151" s="418" t="str">
        <f t="shared" si="1852"/>
        <v/>
      </c>
      <c r="BG1151" s="418" t="str">
        <f t="shared" si="1853"/>
        <v/>
      </c>
      <c r="BH1151" s="418" t="str">
        <f t="shared" si="1854"/>
        <v/>
      </c>
      <c r="BI1151" s="418" t="str">
        <f t="shared" si="1855"/>
        <v/>
      </c>
      <c r="BJ1151" s="418" t="str">
        <f t="shared" si="1856"/>
        <v/>
      </c>
      <c r="BK1151" s="418" t="str">
        <f t="shared" si="1857"/>
        <v/>
      </c>
      <c r="BL1151" s="418" t="str">
        <f t="shared" si="1858"/>
        <v/>
      </c>
      <c r="BM1151" s="418" t="str">
        <f t="shared" si="1859"/>
        <v/>
      </c>
      <c r="BN1151" s="418" t="str">
        <f t="shared" si="1860"/>
        <v/>
      </c>
      <c r="BO1151" s="418" t="str">
        <f t="shared" si="1861"/>
        <v/>
      </c>
      <c r="BP1151" s="418" t="str">
        <f t="shared" si="1862"/>
        <v/>
      </c>
      <c r="BQ1151" s="418" t="str">
        <f t="shared" si="1863"/>
        <v/>
      </c>
      <c r="BR1151" s="418" t="str">
        <f t="shared" si="1864"/>
        <v/>
      </c>
      <c r="BS1151" s="418" t="str">
        <f t="shared" si="1865"/>
        <v/>
      </c>
      <c r="BT1151" s="418" t="str">
        <f t="shared" si="1866"/>
        <v/>
      </c>
      <c r="BU1151" s="418">
        <f>F1151</f>
        <v>800</v>
      </c>
      <c r="BV1151" s="544">
        <v>0</v>
      </c>
      <c r="BW1151" s="723">
        <f t="shared" si="1868"/>
        <v>0</v>
      </c>
      <c r="BX1151" s="724">
        <f t="shared" si="1869"/>
        <v>0</v>
      </c>
      <c r="BY1151" s="725" t="str">
        <f t="shared" si="1870"/>
        <v>散装</v>
      </c>
    </row>
    <row r="1152" s="697" customFormat="1" customHeight="1" spans="1:77">
      <c r="A1152" s="362">
        <v>46207</v>
      </c>
      <c r="B1152" s="362">
        <v>46216</v>
      </c>
      <c r="C1152" s="129" t="s">
        <v>839</v>
      </c>
      <c r="D1152" s="431" t="s">
        <v>1027</v>
      </c>
      <c r="E1152" s="431" t="s">
        <v>181</v>
      </c>
      <c r="F1152" s="96">
        <v>850</v>
      </c>
      <c r="G1152" s="431" t="s">
        <v>270</v>
      </c>
      <c r="H1152" s="118" t="str">
        <f>IFERROR(VLOOKUP(E1152,名称!A:E,4,0),"")</f>
        <v>三代</v>
      </c>
      <c r="I1152" s="418" t="str">
        <f t="shared" si="1803"/>
        <v/>
      </c>
      <c r="J1152" s="418" t="str">
        <f t="shared" si="1804"/>
        <v/>
      </c>
      <c r="K1152" s="418" t="str">
        <f t="shared" si="1805"/>
        <v/>
      </c>
      <c r="L1152" s="418" t="str">
        <f t="shared" si="1806"/>
        <v/>
      </c>
      <c r="M1152" s="418" t="str">
        <f t="shared" si="1807"/>
        <v/>
      </c>
      <c r="N1152" s="418" t="str">
        <f t="shared" si="1808"/>
        <v/>
      </c>
      <c r="O1152" s="418" t="str">
        <f t="shared" si="1809"/>
        <v/>
      </c>
      <c r="P1152" s="418" t="str">
        <f t="shared" si="1810"/>
        <v/>
      </c>
      <c r="Q1152" s="418" t="str">
        <f t="shared" si="1811"/>
        <v/>
      </c>
      <c r="R1152" s="418" t="str">
        <f t="shared" si="1812"/>
        <v/>
      </c>
      <c r="S1152" s="418" t="str">
        <f t="shared" si="1813"/>
        <v/>
      </c>
      <c r="T1152" s="418" t="str">
        <f t="shared" si="1814"/>
        <v/>
      </c>
      <c r="U1152" s="418" t="str">
        <f t="shared" si="1815"/>
        <v/>
      </c>
      <c r="V1152" s="418" t="str">
        <f t="shared" si="1816"/>
        <v/>
      </c>
      <c r="W1152" s="418" t="str">
        <f t="shared" si="1817"/>
        <v/>
      </c>
      <c r="X1152" s="418" t="str">
        <f t="shared" si="1818"/>
        <v/>
      </c>
      <c r="Y1152" s="418" t="str">
        <f t="shared" si="1819"/>
        <v/>
      </c>
      <c r="Z1152" s="418" t="str">
        <f t="shared" si="1820"/>
        <v/>
      </c>
      <c r="AA1152" s="418" t="str">
        <f t="shared" si="1821"/>
        <v/>
      </c>
      <c r="AB1152" s="418" t="str">
        <f t="shared" si="1822"/>
        <v/>
      </c>
      <c r="AC1152" s="418" t="str">
        <f t="shared" si="1823"/>
        <v/>
      </c>
      <c r="AD1152" s="418" t="str">
        <f t="shared" si="1824"/>
        <v/>
      </c>
      <c r="AE1152" s="418" t="str">
        <f t="shared" si="1825"/>
        <v/>
      </c>
      <c r="AF1152" s="418" t="str">
        <f t="shared" si="1826"/>
        <v/>
      </c>
      <c r="AG1152" s="418" t="str">
        <f t="shared" si="1827"/>
        <v/>
      </c>
      <c r="AH1152" s="418" t="str">
        <f t="shared" si="1828"/>
        <v/>
      </c>
      <c r="AI1152" s="418" t="str">
        <f t="shared" si="1829"/>
        <v/>
      </c>
      <c r="AJ1152" s="418" t="str">
        <f t="shared" si="1830"/>
        <v/>
      </c>
      <c r="AK1152" s="418" t="str">
        <f t="shared" si="1831"/>
        <v/>
      </c>
      <c r="AL1152" s="418" t="str">
        <f t="shared" si="1832"/>
        <v/>
      </c>
      <c r="AM1152" s="418" t="str">
        <f t="shared" si="1833"/>
        <v/>
      </c>
      <c r="AN1152" s="418">
        <f t="shared" si="1834"/>
        <v>850</v>
      </c>
      <c r="AO1152" s="418" t="str">
        <f t="shared" si="1835"/>
        <v/>
      </c>
      <c r="AP1152" s="418" t="str">
        <f t="shared" si="1836"/>
        <v/>
      </c>
      <c r="AQ1152" s="418" t="str">
        <f t="shared" si="1837"/>
        <v/>
      </c>
      <c r="AR1152" s="418" t="str">
        <f t="shared" si="1838"/>
        <v/>
      </c>
      <c r="AS1152" s="418" t="str">
        <f t="shared" si="1839"/>
        <v/>
      </c>
      <c r="AT1152" s="418" t="str">
        <f t="shared" si="1840"/>
        <v/>
      </c>
      <c r="AU1152" s="418" t="str">
        <f t="shared" si="1841"/>
        <v/>
      </c>
      <c r="AV1152" s="418" t="str">
        <f t="shared" si="1842"/>
        <v/>
      </c>
      <c r="AW1152" s="418" t="str">
        <f t="shared" si="1843"/>
        <v/>
      </c>
      <c r="AX1152" s="418" t="str">
        <f t="shared" si="1844"/>
        <v/>
      </c>
      <c r="AY1152" s="418" t="str">
        <f t="shared" si="1845"/>
        <v/>
      </c>
      <c r="AZ1152" s="418" t="str">
        <f t="shared" si="1846"/>
        <v/>
      </c>
      <c r="BA1152" s="418" t="str">
        <f t="shared" si="1847"/>
        <v/>
      </c>
      <c r="BB1152" s="418" t="str">
        <f t="shared" si="1848"/>
        <v/>
      </c>
      <c r="BC1152" s="418" t="str">
        <f t="shared" si="1849"/>
        <v/>
      </c>
      <c r="BD1152" s="418" t="str">
        <f t="shared" si="1850"/>
        <v/>
      </c>
      <c r="BE1152" s="418" t="str">
        <f t="shared" si="1851"/>
        <v/>
      </c>
      <c r="BF1152" s="418" t="str">
        <f t="shared" si="1852"/>
        <v/>
      </c>
      <c r="BG1152" s="418" t="str">
        <f t="shared" si="1853"/>
        <v/>
      </c>
      <c r="BH1152" s="418" t="str">
        <f t="shared" si="1854"/>
        <v/>
      </c>
      <c r="BI1152" s="418" t="str">
        <f t="shared" si="1855"/>
        <v/>
      </c>
      <c r="BJ1152" s="418" t="str">
        <f t="shared" si="1856"/>
        <v/>
      </c>
      <c r="BK1152" s="418" t="str">
        <f t="shared" si="1857"/>
        <v/>
      </c>
      <c r="BL1152" s="418" t="str">
        <f t="shared" si="1858"/>
        <v/>
      </c>
      <c r="BM1152" s="418" t="str">
        <f t="shared" si="1859"/>
        <v/>
      </c>
      <c r="BN1152" s="418" t="str">
        <f t="shared" si="1860"/>
        <v/>
      </c>
      <c r="BO1152" s="418" t="str">
        <f t="shared" si="1861"/>
        <v/>
      </c>
      <c r="BP1152" s="418" t="str">
        <f t="shared" si="1862"/>
        <v/>
      </c>
      <c r="BQ1152" s="418" t="str">
        <f t="shared" si="1863"/>
        <v/>
      </c>
      <c r="BR1152" s="418" t="str">
        <f t="shared" si="1864"/>
        <v/>
      </c>
      <c r="BS1152" s="418" t="str">
        <f t="shared" si="1865"/>
        <v/>
      </c>
      <c r="BT1152" s="418" t="str">
        <f t="shared" si="1866"/>
        <v/>
      </c>
      <c r="BU1152" s="418" t="str">
        <f t="shared" si="1867"/>
        <v/>
      </c>
      <c r="BV1152" s="544">
        <v>0</v>
      </c>
      <c r="BW1152" s="723">
        <f t="shared" si="1868"/>
        <v>0</v>
      </c>
      <c r="BX1152" s="724">
        <f t="shared" si="1869"/>
        <v>0</v>
      </c>
      <c r="BY1152" s="725" t="str">
        <f t="shared" si="1870"/>
        <v>SR</v>
      </c>
    </row>
    <row r="1153" s="697" customFormat="1" customHeight="1" spans="1:77">
      <c r="A1153" s="362">
        <v>46207</v>
      </c>
      <c r="B1153" s="362">
        <v>46216</v>
      </c>
      <c r="C1153" s="129" t="s">
        <v>839</v>
      </c>
      <c r="D1153" s="129" t="s">
        <v>1028</v>
      </c>
      <c r="E1153" s="431" t="s">
        <v>1029</v>
      </c>
      <c r="F1153" s="96">
        <v>180</v>
      </c>
      <c r="G1153" s="431" t="s">
        <v>510</v>
      </c>
      <c r="H1153" s="118" t="str">
        <f>IFERROR(VLOOKUP(E1153,名称!A:E,4,0),"")</f>
        <v/>
      </c>
      <c r="I1153" s="418" t="str">
        <f t="shared" si="1803"/>
        <v/>
      </c>
      <c r="J1153" s="418" t="str">
        <f t="shared" si="1804"/>
        <v/>
      </c>
      <c r="K1153" s="418" t="str">
        <f t="shared" si="1805"/>
        <v/>
      </c>
      <c r="L1153" s="418" t="str">
        <f t="shared" si="1806"/>
        <v/>
      </c>
      <c r="M1153" s="418" t="str">
        <f t="shared" si="1807"/>
        <v/>
      </c>
      <c r="N1153" s="418" t="str">
        <f t="shared" si="1808"/>
        <v/>
      </c>
      <c r="O1153" s="418" t="str">
        <f t="shared" si="1809"/>
        <v/>
      </c>
      <c r="P1153" s="418" t="str">
        <f t="shared" si="1810"/>
        <v/>
      </c>
      <c r="Q1153" s="418" t="str">
        <f t="shared" si="1811"/>
        <v/>
      </c>
      <c r="R1153" s="418" t="str">
        <f t="shared" si="1812"/>
        <v/>
      </c>
      <c r="S1153" s="418" t="str">
        <f t="shared" si="1813"/>
        <v/>
      </c>
      <c r="T1153" s="418" t="str">
        <f t="shared" si="1814"/>
        <v/>
      </c>
      <c r="U1153" s="418" t="str">
        <f t="shared" si="1815"/>
        <v/>
      </c>
      <c r="V1153" s="418" t="str">
        <f t="shared" si="1816"/>
        <v/>
      </c>
      <c r="W1153" s="418" t="str">
        <f t="shared" si="1817"/>
        <v/>
      </c>
      <c r="X1153" s="418" t="str">
        <f t="shared" si="1818"/>
        <v/>
      </c>
      <c r="Y1153" s="418" t="str">
        <f t="shared" si="1819"/>
        <v/>
      </c>
      <c r="Z1153" s="418" t="str">
        <f t="shared" si="1820"/>
        <v/>
      </c>
      <c r="AA1153" s="418" t="str">
        <f t="shared" si="1821"/>
        <v/>
      </c>
      <c r="AB1153" s="418" t="str">
        <f t="shared" si="1822"/>
        <v/>
      </c>
      <c r="AC1153" s="418" t="str">
        <f t="shared" si="1823"/>
        <v/>
      </c>
      <c r="AD1153" s="418" t="str">
        <f t="shared" si="1824"/>
        <v/>
      </c>
      <c r="AE1153" s="418" t="str">
        <f t="shared" si="1825"/>
        <v/>
      </c>
      <c r="AF1153" s="418">
        <f t="shared" si="1826"/>
        <v>180</v>
      </c>
      <c r="AG1153" s="418" t="str">
        <f t="shared" si="1827"/>
        <v/>
      </c>
      <c r="AH1153" s="418" t="str">
        <f t="shared" si="1828"/>
        <v/>
      </c>
      <c r="AI1153" s="418" t="str">
        <f t="shared" si="1829"/>
        <v/>
      </c>
      <c r="AJ1153" s="418" t="str">
        <f t="shared" si="1830"/>
        <v/>
      </c>
      <c r="AK1153" s="418" t="str">
        <f t="shared" si="1831"/>
        <v/>
      </c>
      <c r="AL1153" s="418" t="str">
        <f t="shared" si="1832"/>
        <v/>
      </c>
      <c r="AM1153" s="418" t="str">
        <f t="shared" si="1833"/>
        <v/>
      </c>
      <c r="AN1153" s="418" t="str">
        <f t="shared" si="1834"/>
        <v/>
      </c>
      <c r="AO1153" s="418" t="str">
        <f t="shared" si="1835"/>
        <v/>
      </c>
      <c r="AP1153" s="418" t="str">
        <f t="shared" si="1836"/>
        <v/>
      </c>
      <c r="AQ1153" s="418" t="str">
        <f t="shared" si="1837"/>
        <v/>
      </c>
      <c r="AR1153" s="418" t="str">
        <f t="shared" si="1838"/>
        <v/>
      </c>
      <c r="AS1153" s="418" t="str">
        <f t="shared" si="1839"/>
        <v/>
      </c>
      <c r="AT1153" s="418" t="str">
        <f t="shared" si="1840"/>
        <v/>
      </c>
      <c r="AU1153" s="418" t="str">
        <f t="shared" si="1841"/>
        <v/>
      </c>
      <c r="AV1153" s="418" t="str">
        <f t="shared" si="1842"/>
        <v/>
      </c>
      <c r="AW1153" s="418" t="str">
        <f t="shared" si="1843"/>
        <v/>
      </c>
      <c r="AX1153" s="418" t="str">
        <f t="shared" si="1844"/>
        <v/>
      </c>
      <c r="AY1153" s="418" t="str">
        <f t="shared" si="1845"/>
        <v/>
      </c>
      <c r="AZ1153" s="418" t="str">
        <f t="shared" si="1846"/>
        <v/>
      </c>
      <c r="BA1153" s="418" t="str">
        <f t="shared" si="1847"/>
        <v/>
      </c>
      <c r="BB1153" s="418" t="str">
        <f t="shared" si="1848"/>
        <v/>
      </c>
      <c r="BC1153" s="418" t="str">
        <f t="shared" si="1849"/>
        <v/>
      </c>
      <c r="BD1153" s="418" t="str">
        <f t="shared" si="1850"/>
        <v/>
      </c>
      <c r="BE1153" s="418" t="str">
        <f t="shared" si="1851"/>
        <v/>
      </c>
      <c r="BF1153" s="418" t="str">
        <f t="shared" si="1852"/>
        <v/>
      </c>
      <c r="BG1153" s="418" t="str">
        <f t="shared" si="1853"/>
        <v/>
      </c>
      <c r="BH1153" s="418" t="str">
        <f t="shared" si="1854"/>
        <v/>
      </c>
      <c r="BI1153" s="418" t="str">
        <f t="shared" si="1855"/>
        <v/>
      </c>
      <c r="BJ1153" s="418" t="str">
        <f t="shared" si="1856"/>
        <v/>
      </c>
      <c r="BK1153" s="418" t="str">
        <f t="shared" si="1857"/>
        <v/>
      </c>
      <c r="BL1153" s="418" t="str">
        <f t="shared" si="1858"/>
        <v/>
      </c>
      <c r="BM1153" s="418" t="str">
        <f t="shared" si="1859"/>
        <v/>
      </c>
      <c r="BN1153" s="418" t="str">
        <f t="shared" si="1860"/>
        <v/>
      </c>
      <c r="BO1153" s="418" t="str">
        <f t="shared" si="1861"/>
        <v/>
      </c>
      <c r="BP1153" s="418" t="str">
        <f t="shared" si="1862"/>
        <v/>
      </c>
      <c r="BQ1153" s="418" t="str">
        <f t="shared" si="1863"/>
        <v/>
      </c>
      <c r="BR1153" s="418" t="str">
        <f t="shared" si="1864"/>
        <v/>
      </c>
      <c r="BS1153" s="418" t="str">
        <f t="shared" si="1865"/>
        <v/>
      </c>
      <c r="BT1153" s="418" t="str">
        <f t="shared" si="1866"/>
        <v/>
      </c>
      <c r="BU1153" s="418" t="str">
        <f t="shared" si="1867"/>
        <v/>
      </c>
      <c r="BV1153" s="544">
        <v>0</v>
      </c>
      <c r="BW1153" s="723">
        <f t="shared" si="1868"/>
        <v>0</v>
      </c>
      <c r="BX1153" s="724">
        <f t="shared" si="1869"/>
        <v>0</v>
      </c>
      <c r="BY1153" s="725" t="str">
        <f t="shared" si="1870"/>
        <v>SR</v>
      </c>
    </row>
    <row r="1154" s="697" customFormat="1" customHeight="1" spans="1:77">
      <c r="A1154" s="362">
        <v>46210</v>
      </c>
      <c r="B1154" s="362">
        <v>46241</v>
      </c>
      <c r="C1154" s="129">
        <v>6953930003</v>
      </c>
      <c r="D1154" s="431" t="s">
        <v>1030</v>
      </c>
      <c r="E1154" s="431" t="s">
        <v>119</v>
      </c>
      <c r="F1154" s="96">
        <v>18696</v>
      </c>
      <c r="G1154" s="129" t="s">
        <v>270</v>
      </c>
      <c r="H1154" s="118" t="str">
        <f>IFERROR(VLOOKUP(E1154,名称!A:E,4,0),"")</f>
        <v>三代</v>
      </c>
      <c r="I1154" s="418" t="str">
        <f t="shared" si="1803"/>
        <v/>
      </c>
      <c r="J1154" s="418" t="str">
        <f t="shared" si="1804"/>
        <v/>
      </c>
      <c r="K1154" s="418" t="str">
        <f t="shared" si="1805"/>
        <v/>
      </c>
      <c r="L1154" s="418" t="str">
        <f t="shared" si="1806"/>
        <v/>
      </c>
      <c r="M1154" s="418" t="str">
        <f t="shared" si="1807"/>
        <v/>
      </c>
      <c r="N1154" s="418" t="str">
        <f t="shared" si="1808"/>
        <v/>
      </c>
      <c r="O1154" s="418" t="str">
        <f t="shared" si="1809"/>
        <v/>
      </c>
      <c r="P1154" s="418" t="str">
        <f t="shared" si="1810"/>
        <v/>
      </c>
      <c r="Q1154" s="418" t="str">
        <f t="shared" si="1811"/>
        <v/>
      </c>
      <c r="R1154" s="418" t="str">
        <f t="shared" si="1812"/>
        <v/>
      </c>
      <c r="S1154" s="418" t="str">
        <f t="shared" si="1813"/>
        <v/>
      </c>
      <c r="T1154" s="418" t="str">
        <f t="shared" si="1814"/>
        <v/>
      </c>
      <c r="U1154" s="418" t="str">
        <f t="shared" si="1815"/>
        <v/>
      </c>
      <c r="V1154" s="418" t="str">
        <f t="shared" si="1816"/>
        <v/>
      </c>
      <c r="W1154" s="418" t="str">
        <f t="shared" si="1817"/>
        <v/>
      </c>
      <c r="X1154" s="418" t="str">
        <f t="shared" si="1818"/>
        <v/>
      </c>
      <c r="Y1154" s="418" t="str">
        <f t="shared" si="1819"/>
        <v/>
      </c>
      <c r="Z1154" s="418" t="str">
        <f t="shared" si="1820"/>
        <v/>
      </c>
      <c r="AA1154" s="418" t="str">
        <f t="shared" si="1821"/>
        <v/>
      </c>
      <c r="AB1154" s="418" t="str">
        <f t="shared" si="1822"/>
        <v/>
      </c>
      <c r="AC1154" s="418" t="str">
        <f t="shared" si="1823"/>
        <v/>
      </c>
      <c r="AD1154" s="418" t="str">
        <f t="shared" si="1824"/>
        <v/>
      </c>
      <c r="AE1154" s="418" t="str">
        <f t="shared" si="1825"/>
        <v/>
      </c>
      <c r="AF1154" s="418" t="str">
        <f t="shared" si="1826"/>
        <v/>
      </c>
      <c r="AG1154" s="418" t="str">
        <f t="shared" si="1827"/>
        <v/>
      </c>
      <c r="AH1154" s="418" t="str">
        <f t="shared" si="1828"/>
        <v/>
      </c>
      <c r="AI1154" s="418" t="str">
        <f t="shared" si="1829"/>
        <v/>
      </c>
      <c r="AJ1154" s="418" t="str">
        <f t="shared" si="1830"/>
        <v/>
      </c>
      <c r="AK1154" s="418" t="str">
        <f t="shared" si="1831"/>
        <v/>
      </c>
      <c r="AL1154" s="418" t="str">
        <f t="shared" si="1832"/>
        <v/>
      </c>
      <c r="AM1154" s="418" t="str">
        <f t="shared" si="1833"/>
        <v/>
      </c>
      <c r="AN1154" s="418" t="str">
        <f t="shared" si="1834"/>
        <v/>
      </c>
      <c r="AO1154" s="418" t="str">
        <f t="shared" si="1835"/>
        <v/>
      </c>
      <c r="AP1154" s="418">
        <f t="shared" si="1836"/>
        <v>18696</v>
      </c>
      <c r="AQ1154" s="418" t="str">
        <f t="shared" si="1837"/>
        <v/>
      </c>
      <c r="AR1154" s="418" t="str">
        <f t="shared" si="1838"/>
        <v/>
      </c>
      <c r="AS1154" s="418" t="str">
        <f t="shared" si="1839"/>
        <v/>
      </c>
      <c r="AT1154" s="418" t="str">
        <f t="shared" si="1840"/>
        <v/>
      </c>
      <c r="AU1154" s="418" t="str">
        <f t="shared" si="1841"/>
        <v/>
      </c>
      <c r="AV1154" s="418" t="str">
        <f t="shared" si="1842"/>
        <v/>
      </c>
      <c r="AW1154" s="418" t="str">
        <f t="shared" si="1843"/>
        <v/>
      </c>
      <c r="AX1154" s="418" t="str">
        <f t="shared" si="1844"/>
        <v/>
      </c>
      <c r="AY1154" s="418" t="str">
        <f t="shared" si="1845"/>
        <v/>
      </c>
      <c r="AZ1154" s="418" t="str">
        <f t="shared" si="1846"/>
        <v/>
      </c>
      <c r="BA1154" s="418" t="str">
        <f t="shared" si="1847"/>
        <v/>
      </c>
      <c r="BB1154" s="418" t="str">
        <f t="shared" si="1848"/>
        <v/>
      </c>
      <c r="BC1154" s="418" t="str">
        <f t="shared" si="1849"/>
        <v/>
      </c>
      <c r="BD1154" s="418" t="str">
        <f t="shared" si="1850"/>
        <v/>
      </c>
      <c r="BE1154" s="418" t="str">
        <f t="shared" si="1851"/>
        <v/>
      </c>
      <c r="BF1154" s="418" t="str">
        <f t="shared" si="1852"/>
        <v/>
      </c>
      <c r="BG1154" s="418" t="str">
        <f t="shared" si="1853"/>
        <v/>
      </c>
      <c r="BH1154" s="418" t="str">
        <f t="shared" si="1854"/>
        <v/>
      </c>
      <c r="BI1154" s="418" t="str">
        <f t="shared" si="1855"/>
        <v/>
      </c>
      <c r="BJ1154" s="418" t="str">
        <f t="shared" si="1856"/>
        <v/>
      </c>
      <c r="BK1154" s="418" t="str">
        <f t="shared" si="1857"/>
        <v/>
      </c>
      <c r="BL1154" s="418" t="str">
        <f t="shared" si="1858"/>
        <v/>
      </c>
      <c r="BM1154" s="418" t="str">
        <f t="shared" si="1859"/>
        <v/>
      </c>
      <c r="BN1154" s="418" t="str">
        <f t="shared" si="1860"/>
        <v/>
      </c>
      <c r="BO1154" s="418" t="str">
        <f t="shared" si="1861"/>
        <v/>
      </c>
      <c r="BP1154" s="418" t="str">
        <f t="shared" si="1862"/>
        <v/>
      </c>
      <c r="BQ1154" s="418" t="str">
        <f t="shared" si="1863"/>
        <v/>
      </c>
      <c r="BR1154" s="418" t="str">
        <f t="shared" si="1864"/>
        <v/>
      </c>
      <c r="BS1154" s="418" t="str">
        <f t="shared" si="1865"/>
        <v/>
      </c>
      <c r="BT1154" s="418" t="str">
        <f t="shared" si="1866"/>
        <v/>
      </c>
      <c r="BU1154" s="418" t="str">
        <f t="shared" si="1867"/>
        <v/>
      </c>
      <c r="BV1154" s="624">
        <v>0.62</v>
      </c>
      <c r="BW1154" s="723">
        <f t="shared" si="1868"/>
        <v>11591.52</v>
      </c>
      <c r="BX1154" s="724">
        <f t="shared" si="1869"/>
        <v>89834.28</v>
      </c>
      <c r="BY1154" s="725" t="str">
        <f t="shared" si="1870"/>
        <v>SR</v>
      </c>
    </row>
    <row r="1155" s="697" customFormat="1" customHeight="1" spans="1:77">
      <c r="A1155" s="362">
        <v>46210</v>
      </c>
      <c r="B1155" s="362">
        <v>46241</v>
      </c>
      <c r="C1155" s="129">
        <v>6953930003</v>
      </c>
      <c r="D1155" s="431" t="s">
        <v>1030</v>
      </c>
      <c r="E1155" s="431" t="s">
        <v>119</v>
      </c>
      <c r="F1155" s="96">
        <v>24</v>
      </c>
      <c r="G1155" s="129" t="s">
        <v>270</v>
      </c>
      <c r="H1155" s="118" t="str">
        <f>IFERROR(VLOOKUP(E1155,名称!A:E,4,0),"")</f>
        <v>三代</v>
      </c>
      <c r="I1155" s="418" t="str">
        <f t="shared" si="1803"/>
        <v/>
      </c>
      <c r="J1155" s="418" t="str">
        <f t="shared" si="1804"/>
        <v/>
      </c>
      <c r="K1155" s="418" t="str">
        <f t="shared" si="1805"/>
        <v/>
      </c>
      <c r="L1155" s="418" t="str">
        <f t="shared" si="1806"/>
        <v/>
      </c>
      <c r="M1155" s="418" t="str">
        <f t="shared" si="1807"/>
        <v/>
      </c>
      <c r="N1155" s="418" t="str">
        <f t="shared" si="1808"/>
        <v/>
      </c>
      <c r="O1155" s="418" t="str">
        <f t="shared" si="1809"/>
        <v/>
      </c>
      <c r="P1155" s="418" t="str">
        <f t="shared" si="1810"/>
        <v/>
      </c>
      <c r="Q1155" s="418" t="str">
        <f t="shared" si="1811"/>
        <v/>
      </c>
      <c r="R1155" s="418" t="str">
        <f t="shared" si="1812"/>
        <v/>
      </c>
      <c r="S1155" s="418" t="str">
        <f t="shared" si="1813"/>
        <v/>
      </c>
      <c r="T1155" s="418" t="str">
        <f t="shared" si="1814"/>
        <v/>
      </c>
      <c r="U1155" s="418" t="str">
        <f t="shared" si="1815"/>
        <v/>
      </c>
      <c r="V1155" s="418" t="str">
        <f t="shared" si="1816"/>
        <v/>
      </c>
      <c r="W1155" s="418" t="str">
        <f t="shared" si="1817"/>
        <v/>
      </c>
      <c r="X1155" s="418" t="str">
        <f t="shared" si="1818"/>
        <v/>
      </c>
      <c r="Y1155" s="418" t="str">
        <f t="shared" si="1819"/>
        <v/>
      </c>
      <c r="Z1155" s="418" t="str">
        <f t="shared" si="1820"/>
        <v/>
      </c>
      <c r="AA1155" s="418" t="str">
        <f t="shared" si="1821"/>
        <v/>
      </c>
      <c r="AB1155" s="418" t="str">
        <f t="shared" si="1822"/>
        <v/>
      </c>
      <c r="AC1155" s="418" t="str">
        <f t="shared" si="1823"/>
        <v/>
      </c>
      <c r="AD1155" s="418" t="str">
        <f t="shared" si="1824"/>
        <v/>
      </c>
      <c r="AE1155" s="418" t="str">
        <f t="shared" si="1825"/>
        <v/>
      </c>
      <c r="AF1155" s="418" t="str">
        <f t="shared" si="1826"/>
        <v/>
      </c>
      <c r="AG1155" s="418" t="str">
        <f t="shared" si="1827"/>
        <v/>
      </c>
      <c r="AH1155" s="418" t="str">
        <f t="shared" si="1828"/>
        <v/>
      </c>
      <c r="AI1155" s="418" t="str">
        <f t="shared" si="1829"/>
        <v/>
      </c>
      <c r="AJ1155" s="418" t="str">
        <f t="shared" si="1830"/>
        <v/>
      </c>
      <c r="AK1155" s="418" t="str">
        <f t="shared" si="1831"/>
        <v/>
      </c>
      <c r="AL1155" s="418" t="str">
        <f t="shared" si="1832"/>
        <v/>
      </c>
      <c r="AM1155" s="418" t="str">
        <f t="shared" si="1833"/>
        <v/>
      </c>
      <c r="AN1155" s="418" t="str">
        <f t="shared" si="1834"/>
        <v/>
      </c>
      <c r="AO1155" s="418" t="str">
        <f t="shared" si="1835"/>
        <v/>
      </c>
      <c r="AP1155" s="418">
        <f t="shared" si="1836"/>
        <v>24</v>
      </c>
      <c r="AQ1155" s="418" t="str">
        <f t="shared" si="1837"/>
        <v/>
      </c>
      <c r="AR1155" s="418" t="str">
        <f t="shared" si="1838"/>
        <v/>
      </c>
      <c r="AS1155" s="418" t="str">
        <f t="shared" si="1839"/>
        <v/>
      </c>
      <c r="AT1155" s="418" t="str">
        <f t="shared" si="1840"/>
        <v/>
      </c>
      <c r="AU1155" s="418" t="str">
        <f t="shared" si="1841"/>
        <v/>
      </c>
      <c r="AV1155" s="418" t="str">
        <f t="shared" si="1842"/>
        <v/>
      </c>
      <c r="AW1155" s="418" t="str">
        <f t="shared" si="1843"/>
        <v/>
      </c>
      <c r="AX1155" s="418" t="str">
        <f t="shared" si="1844"/>
        <v/>
      </c>
      <c r="AY1155" s="418" t="str">
        <f t="shared" si="1845"/>
        <v/>
      </c>
      <c r="AZ1155" s="418" t="str">
        <f t="shared" si="1846"/>
        <v/>
      </c>
      <c r="BA1155" s="418" t="str">
        <f t="shared" si="1847"/>
        <v/>
      </c>
      <c r="BB1155" s="418" t="str">
        <f t="shared" si="1848"/>
        <v/>
      </c>
      <c r="BC1155" s="418" t="str">
        <f t="shared" si="1849"/>
        <v/>
      </c>
      <c r="BD1155" s="418" t="str">
        <f t="shared" si="1850"/>
        <v/>
      </c>
      <c r="BE1155" s="418" t="str">
        <f t="shared" si="1851"/>
        <v/>
      </c>
      <c r="BF1155" s="418" t="str">
        <f t="shared" si="1852"/>
        <v/>
      </c>
      <c r="BG1155" s="418" t="str">
        <f t="shared" si="1853"/>
        <v/>
      </c>
      <c r="BH1155" s="418" t="str">
        <f t="shared" si="1854"/>
        <v/>
      </c>
      <c r="BI1155" s="418" t="str">
        <f t="shared" si="1855"/>
        <v/>
      </c>
      <c r="BJ1155" s="418" t="str">
        <f t="shared" si="1856"/>
        <v/>
      </c>
      <c r="BK1155" s="418" t="str">
        <f t="shared" si="1857"/>
        <v/>
      </c>
      <c r="BL1155" s="418" t="str">
        <f t="shared" si="1858"/>
        <v/>
      </c>
      <c r="BM1155" s="418" t="str">
        <f t="shared" si="1859"/>
        <v/>
      </c>
      <c r="BN1155" s="418" t="str">
        <f t="shared" si="1860"/>
        <v/>
      </c>
      <c r="BO1155" s="418" t="str">
        <f t="shared" si="1861"/>
        <v/>
      </c>
      <c r="BP1155" s="418" t="str">
        <f t="shared" si="1862"/>
        <v/>
      </c>
      <c r="BQ1155" s="418" t="str">
        <f t="shared" si="1863"/>
        <v/>
      </c>
      <c r="BR1155" s="418" t="str">
        <f t="shared" si="1864"/>
        <v/>
      </c>
      <c r="BS1155" s="418" t="str">
        <f t="shared" si="1865"/>
        <v/>
      </c>
      <c r="BT1155" s="418" t="str">
        <f t="shared" si="1866"/>
        <v/>
      </c>
      <c r="BU1155" s="418" t="str">
        <f t="shared" si="1867"/>
        <v/>
      </c>
      <c r="BV1155" s="624">
        <v>0.62</v>
      </c>
      <c r="BW1155" s="723">
        <f t="shared" si="1868"/>
        <v>14.88</v>
      </c>
      <c r="BX1155" s="724">
        <f t="shared" si="1869"/>
        <v>115.32</v>
      </c>
      <c r="BY1155" s="725" t="str">
        <f t="shared" si="1870"/>
        <v>SR</v>
      </c>
    </row>
    <row r="1156" s="697" customFormat="1" customHeight="1" spans="1:77">
      <c r="A1156" s="362">
        <v>46210</v>
      </c>
      <c r="B1156" s="362">
        <v>46241</v>
      </c>
      <c r="C1156" s="129">
        <v>6953930004</v>
      </c>
      <c r="D1156" s="431" t="s">
        <v>1031</v>
      </c>
      <c r="E1156" s="431" t="s">
        <v>119</v>
      </c>
      <c r="F1156" s="96">
        <v>18048</v>
      </c>
      <c r="G1156" s="129" t="s">
        <v>270</v>
      </c>
      <c r="H1156" s="118" t="str">
        <f>IFERROR(VLOOKUP(E1156,名称!A:E,4,0),"")</f>
        <v>三代</v>
      </c>
      <c r="I1156" s="418" t="str">
        <f t="shared" si="1803"/>
        <v/>
      </c>
      <c r="J1156" s="418" t="str">
        <f t="shared" si="1804"/>
        <v/>
      </c>
      <c r="K1156" s="418" t="str">
        <f t="shared" si="1805"/>
        <v/>
      </c>
      <c r="L1156" s="418" t="str">
        <f t="shared" si="1806"/>
        <v/>
      </c>
      <c r="M1156" s="418" t="str">
        <f t="shared" si="1807"/>
        <v/>
      </c>
      <c r="N1156" s="418" t="str">
        <f t="shared" si="1808"/>
        <v/>
      </c>
      <c r="O1156" s="418" t="str">
        <f t="shared" si="1809"/>
        <v/>
      </c>
      <c r="P1156" s="418" t="str">
        <f t="shared" si="1810"/>
        <v/>
      </c>
      <c r="Q1156" s="418" t="str">
        <f t="shared" si="1811"/>
        <v/>
      </c>
      <c r="R1156" s="418" t="str">
        <f t="shared" si="1812"/>
        <v/>
      </c>
      <c r="S1156" s="418" t="str">
        <f t="shared" si="1813"/>
        <v/>
      </c>
      <c r="T1156" s="418" t="str">
        <f t="shared" si="1814"/>
        <v/>
      </c>
      <c r="U1156" s="418" t="str">
        <f t="shared" si="1815"/>
        <v/>
      </c>
      <c r="V1156" s="418" t="str">
        <f t="shared" si="1816"/>
        <v/>
      </c>
      <c r="W1156" s="418" t="str">
        <f t="shared" si="1817"/>
        <v/>
      </c>
      <c r="X1156" s="418" t="str">
        <f t="shared" si="1818"/>
        <v/>
      </c>
      <c r="Y1156" s="418" t="str">
        <f t="shared" si="1819"/>
        <v/>
      </c>
      <c r="Z1156" s="418" t="str">
        <f t="shared" si="1820"/>
        <v/>
      </c>
      <c r="AA1156" s="418" t="str">
        <f t="shared" si="1821"/>
        <v/>
      </c>
      <c r="AB1156" s="418" t="str">
        <f t="shared" si="1822"/>
        <v/>
      </c>
      <c r="AC1156" s="418" t="str">
        <f t="shared" si="1823"/>
        <v/>
      </c>
      <c r="AD1156" s="418" t="str">
        <f t="shared" si="1824"/>
        <v/>
      </c>
      <c r="AE1156" s="418" t="str">
        <f t="shared" si="1825"/>
        <v/>
      </c>
      <c r="AF1156" s="418" t="str">
        <f t="shared" si="1826"/>
        <v/>
      </c>
      <c r="AG1156" s="418" t="str">
        <f t="shared" si="1827"/>
        <v/>
      </c>
      <c r="AH1156" s="418" t="str">
        <f t="shared" si="1828"/>
        <v/>
      </c>
      <c r="AI1156" s="418" t="str">
        <f t="shared" si="1829"/>
        <v/>
      </c>
      <c r="AJ1156" s="418" t="str">
        <f t="shared" si="1830"/>
        <v/>
      </c>
      <c r="AK1156" s="418" t="str">
        <f t="shared" si="1831"/>
        <v/>
      </c>
      <c r="AL1156" s="418" t="str">
        <f t="shared" si="1832"/>
        <v/>
      </c>
      <c r="AM1156" s="418" t="str">
        <f t="shared" si="1833"/>
        <v/>
      </c>
      <c r="AN1156" s="418" t="str">
        <f t="shared" si="1834"/>
        <v/>
      </c>
      <c r="AO1156" s="418" t="str">
        <f t="shared" si="1835"/>
        <v/>
      </c>
      <c r="AP1156" s="418">
        <f t="shared" si="1836"/>
        <v>18048</v>
      </c>
      <c r="AQ1156" s="418" t="str">
        <f t="shared" si="1837"/>
        <v/>
      </c>
      <c r="AR1156" s="418" t="str">
        <f t="shared" si="1838"/>
        <v/>
      </c>
      <c r="AS1156" s="418" t="str">
        <f t="shared" si="1839"/>
        <v/>
      </c>
      <c r="AT1156" s="418" t="str">
        <f t="shared" si="1840"/>
        <v/>
      </c>
      <c r="AU1156" s="418" t="str">
        <f t="shared" si="1841"/>
        <v/>
      </c>
      <c r="AV1156" s="418" t="str">
        <f t="shared" si="1842"/>
        <v/>
      </c>
      <c r="AW1156" s="418" t="str">
        <f t="shared" si="1843"/>
        <v/>
      </c>
      <c r="AX1156" s="418" t="str">
        <f t="shared" si="1844"/>
        <v/>
      </c>
      <c r="AY1156" s="418" t="str">
        <f t="shared" si="1845"/>
        <v/>
      </c>
      <c r="AZ1156" s="418" t="str">
        <f t="shared" si="1846"/>
        <v/>
      </c>
      <c r="BA1156" s="418" t="str">
        <f t="shared" si="1847"/>
        <v/>
      </c>
      <c r="BB1156" s="418" t="str">
        <f t="shared" si="1848"/>
        <v/>
      </c>
      <c r="BC1156" s="418" t="str">
        <f t="shared" si="1849"/>
        <v/>
      </c>
      <c r="BD1156" s="418" t="str">
        <f t="shared" si="1850"/>
        <v/>
      </c>
      <c r="BE1156" s="418" t="str">
        <f t="shared" si="1851"/>
        <v/>
      </c>
      <c r="BF1156" s="418" t="str">
        <f t="shared" si="1852"/>
        <v/>
      </c>
      <c r="BG1156" s="418" t="str">
        <f t="shared" si="1853"/>
        <v/>
      </c>
      <c r="BH1156" s="418" t="str">
        <f t="shared" si="1854"/>
        <v/>
      </c>
      <c r="BI1156" s="418" t="str">
        <f t="shared" si="1855"/>
        <v/>
      </c>
      <c r="BJ1156" s="418" t="str">
        <f t="shared" si="1856"/>
        <v/>
      </c>
      <c r="BK1156" s="418" t="str">
        <f t="shared" si="1857"/>
        <v/>
      </c>
      <c r="BL1156" s="418" t="str">
        <f t="shared" si="1858"/>
        <v/>
      </c>
      <c r="BM1156" s="418" t="str">
        <f t="shared" si="1859"/>
        <v/>
      </c>
      <c r="BN1156" s="418" t="str">
        <f t="shared" si="1860"/>
        <v/>
      </c>
      <c r="BO1156" s="418" t="str">
        <f t="shared" si="1861"/>
        <v/>
      </c>
      <c r="BP1156" s="418" t="str">
        <f t="shared" si="1862"/>
        <v/>
      </c>
      <c r="BQ1156" s="418" t="str">
        <f t="shared" si="1863"/>
        <v/>
      </c>
      <c r="BR1156" s="418" t="str">
        <f t="shared" si="1864"/>
        <v/>
      </c>
      <c r="BS1156" s="418" t="str">
        <f t="shared" si="1865"/>
        <v/>
      </c>
      <c r="BT1156" s="418" t="str">
        <f t="shared" si="1866"/>
        <v/>
      </c>
      <c r="BU1156" s="418" t="str">
        <f t="shared" si="1867"/>
        <v/>
      </c>
      <c r="BV1156" s="624">
        <v>0.62</v>
      </c>
      <c r="BW1156" s="723">
        <f t="shared" si="1868"/>
        <v>11189.76</v>
      </c>
      <c r="BX1156" s="724">
        <f t="shared" si="1869"/>
        <v>86720.64</v>
      </c>
      <c r="BY1156" s="725" t="str">
        <f t="shared" si="1870"/>
        <v>SR</v>
      </c>
    </row>
    <row r="1157" s="697" customFormat="1" customHeight="1" spans="1:77">
      <c r="A1157" s="362">
        <v>46210</v>
      </c>
      <c r="B1157" s="362">
        <v>46241</v>
      </c>
      <c r="C1157" s="129">
        <v>6953930005</v>
      </c>
      <c r="D1157" s="431" t="s">
        <v>1032</v>
      </c>
      <c r="E1157" s="431" t="s">
        <v>119</v>
      </c>
      <c r="F1157" s="96">
        <v>11424</v>
      </c>
      <c r="G1157" s="129" t="s">
        <v>270</v>
      </c>
      <c r="H1157" s="118" t="str">
        <f>IFERROR(VLOOKUP(E1157,名称!A:E,4,0),"")</f>
        <v>三代</v>
      </c>
      <c r="I1157" s="418" t="str">
        <f t="shared" si="1803"/>
        <v/>
      </c>
      <c r="J1157" s="418" t="str">
        <f t="shared" si="1804"/>
        <v/>
      </c>
      <c r="K1157" s="418" t="str">
        <f t="shared" si="1805"/>
        <v/>
      </c>
      <c r="L1157" s="418" t="str">
        <f t="shared" si="1806"/>
        <v/>
      </c>
      <c r="M1157" s="418" t="str">
        <f t="shared" si="1807"/>
        <v/>
      </c>
      <c r="N1157" s="418" t="str">
        <f t="shared" si="1808"/>
        <v/>
      </c>
      <c r="O1157" s="418" t="str">
        <f t="shared" si="1809"/>
        <v/>
      </c>
      <c r="P1157" s="418" t="str">
        <f t="shared" si="1810"/>
        <v/>
      </c>
      <c r="Q1157" s="418" t="str">
        <f t="shared" si="1811"/>
        <v/>
      </c>
      <c r="R1157" s="418" t="str">
        <f t="shared" si="1812"/>
        <v/>
      </c>
      <c r="S1157" s="418" t="str">
        <f t="shared" si="1813"/>
        <v/>
      </c>
      <c r="T1157" s="418" t="str">
        <f t="shared" si="1814"/>
        <v/>
      </c>
      <c r="U1157" s="418" t="str">
        <f t="shared" si="1815"/>
        <v/>
      </c>
      <c r="V1157" s="418" t="str">
        <f t="shared" si="1816"/>
        <v/>
      </c>
      <c r="W1157" s="418" t="str">
        <f t="shared" si="1817"/>
        <v/>
      </c>
      <c r="X1157" s="418" t="str">
        <f t="shared" si="1818"/>
        <v/>
      </c>
      <c r="Y1157" s="418" t="str">
        <f t="shared" si="1819"/>
        <v/>
      </c>
      <c r="Z1157" s="418" t="str">
        <f t="shared" si="1820"/>
        <v/>
      </c>
      <c r="AA1157" s="418" t="str">
        <f t="shared" si="1821"/>
        <v/>
      </c>
      <c r="AB1157" s="418" t="str">
        <f t="shared" si="1822"/>
        <v/>
      </c>
      <c r="AC1157" s="418" t="str">
        <f t="shared" si="1823"/>
        <v/>
      </c>
      <c r="AD1157" s="418" t="str">
        <f t="shared" si="1824"/>
        <v/>
      </c>
      <c r="AE1157" s="418" t="str">
        <f t="shared" si="1825"/>
        <v/>
      </c>
      <c r="AF1157" s="418" t="str">
        <f t="shared" si="1826"/>
        <v/>
      </c>
      <c r="AG1157" s="418" t="str">
        <f t="shared" si="1827"/>
        <v/>
      </c>
      <c r="AH1157" s="418" t="str">
        <f t="shared" si="1828"/>
        <v/>
      </c>
      <c r="AI1157" s="418" t="str">
        <f t="shared" si="1829"/>
        <v/>
      </c>
      <c r="AJ1157" s="418" t="str">
        <f t="shared" si="1830"/>
        <v/>
      </c>
      <c r="AK1157" s="418" t="str">
        <f t="shared" si="1831"/>
        <v/>
      </c>
      <c r="AL1157" s="418" t="str">
        <f t="shared" si="1832"/>
        <v/>
      </c>
      <c r="AM1157" s="418" t="str">
        <f t="shared" si="1833"/>
        <v/>
      </c>
      <c r="AN1157" s="418" t="str">
        <f t="shared" si="1834"/>
        <v/>
      </c>
      <c r="AO1157" s="418" t="str">
        <f t="shared" si="1835"/>
        <v/>
      </c>
      <c r="AP1157" s="418">
        <f t="shared" si="1836"/>
        <v>11424</v>
      </c>
      <c r="AQ1157" s="418" t="str">
        <f t="shared" si="1837"/>
        <v/>
      </c>
      <c r="AR1157" s="418" t="str">
        <f t="shared" si="1838"/>
        <v/>
      </c>
      <c r="AS1157" s="418" t="str">
        <f t="shared" si="1839"/>
        <v/>
      </c>
      <c r="AT1157" s="418" t="str">
        <f t="shared" si="1840"/>
        <v/>
      </c>
      <c r="AU1157" s="418" t="str">
        <f t="shared" si="1841"/>
        <v/>
      </c>
      <c r="AV1157" s="418" t="str">
        <f t="shared" si="1842"/>
        <v/>
      </c>
      <c r="AW1157" s="418" t="str">
        <f t="shared" si="1843"/>
        <v/>
      </c>
      <c r="AX1157" s="418" t="str">
        <f t="shared" si="1844"/>
        <v/>
      </c>
      <c r="AY1157" s="418" t="str">
        <f t="shared" si="1845"/>
        <v/>
      </c>
      <c r="AZ1157" s="418" t="str">
        <f t="shared" si="1846"/>
        <v/>
      </c>
      <c r="BA1157" s="418" t="str">
        <f t="shared" si="1847"/>
        <v/>
      </c>
      <c r="BB1157" s="418" t="str">
        <f t="shared" si="1848"/>
        <v/>
      </c>
      <c r="BC1157" s="418" t="str">
        <f t="shared" si="1849"/>
        <v/>
      </c>
      <c r="BD1157" s="418" t="str">
        <f t="shared" si="1850"/>
        <v/>
      </c>
      <c r="BE1157" s="418" t="str">
        <f t="shared" si="1851"/>
        <v/>
      </c>
      <c r="BF1157" s="418" t="str">
        <f t="shared" si="1852"/>
        <v/>
      </c>
      <c r="BG1157" s="418" t="str">
        <f t="shared" si="1853"/>
        <v/>
      </c>
      <c r="BH1157" s="418" t="str">
        <f t="shared" si="1854"/>
        <v/>
      </c>
      <c r="BI1157" s="418" t="str">
        <f t="shared" si="1855"/>
        <v/>
      </c>
      <c r="BJ1157" s="418" t="str">
        <f t="shared" si="1856"/>
        <v/>
      </c>
      <c r="BK1157" s="418" t="str">
        <f t="shared" si="1857"/>
        <v/>
      </c>
      <c r="BL1157" s="418" t="str">
        <f t="shared" si="1858"/>
        <v/>
      </c>
      <c r="BM1157" s="418" t="str">
        <f t="shared" si="1859"/>
        <v/>
      </c>
      <c r="BN1157" s="418" t="str">
        <f t="shared" si="1860"/>
        <v/>
      </c>
      <c r="BO1157" s="418" t="str">
        <f t="shared" si="1861"/>
        <v/>
      </c>
      <c r="BP1157" s="418" t="str">
        <f t="shared" si="1862"/>
        <v/>
      </c>
      <c r="BQ1157" s="418" t="str">
        <f t="shared" si="1863"/>
        <v/>
      </c>
      <c r="BR1157" s="418" t="str">
        <f t="shared" si="1864"/>
        <v/>
      </c>
      <c r="BS1157" s="418" t="str">
        <f t="shared" si="1865"/>
        <v/>
      </c>
      <c r="BT1157" s="418" t="str">
        <f t="shared" si="1866"/>
        <v/>
      </c>
      <c r="BU1157" s="418" t="str">
        <f t="shared" si="1867"/>
        <v/>
      </c>
      <c r="BV1157" s="624">
        <v>0.62</v>
      </c>
      <c r="BW1157" s="723">
        <f t="shared" si="1868"/>
        <v>7082.88</v>
      </c>
      <c r="BX1157" s="724">
        <f t="shared" si="1869"/>
        <v>54892.32</v>
      </c>
      <c r="BY1157" s="725" t="str">
        <f t="shared" si="1870"/>
        <v>SR</v>
      </c>
    </row>
    <row r="1158" s="697" customFormat="1" customHeight="1" spans="1:77">
      <c r="A1158" s="362">
        <v>46210</v>
      </c>
      <c r="B1158" s="362">
        <v>46241</v>
      </c>
      <c r="C1158" s="129">
        <v>6953930006</v>
      </c>
      <c r="D1158" s="431" t="s">
        <v>1033</v>
      </c>
      <c r="E1158" s="431" t="s">
        <v>119</v>
      </c>
      <c r="F1158" s="96">
        <v>16224</v>
      </c>
      <c r="G1158" s="129" t="s">
        <v>270</v>
      </c>
      <c r="H1158" s="118" t="str">
        <f>IFERROR(VLOOKUP(E1158,名称!A:E,4,0),"")</f>
        <v>三代</v>
      </c>
      <c r="I1158" s="418" t="str">
        <f t="shared" si="1803"/>
        <v/>
      </c>
      <c r="J1158" s="418" t="str">
        <f t="shared" si="1804"/>
        <v/>
      </c>
      <c r="K1158" s="418" t="str">
        <f t="shared" si="1805"/>
        <v/>
      </c>
      <c r="L1158" s="418" t="str">
        <f t="shared" si="1806"/>
        <v/>
      </c>
      <c r="M1158" s="418" t="str">
        <f t="shared" si="1807"/>
        <v/>
      </c>
      <c r="N1158" s="418" t="str">
        <f t="shared" si="1808"/>
        <v/>
      </c>
      <c r="O1158" s="418" t="str">
        <f t="shared" si="1809"/>
        <v/>
      </c>
      <c r="P1158" s="418" t="str">
        <f t="shared" si="1810"/>
        <v/>
      </c>
      <c r="Q1158" s="418" t="str">
        <f t="shared" si="1811"/>
        <v/>
      </c>
      <c r="R1158" s="418" t="str">
        <f t="shared" si="1812"/>
        <v/>
      </c>
      <c r="S1158" s="418" t="str">
        <f t="shared" si="1813"/>
        <v/>
      </c>
      <c r="T1158" s="418" t="str">
        <f t="shared" si="1814"/>
        <v/>
      </c>
      <c r="U1158" s="418" t="str">
        <f t="shared" si="1815"/>
        <v/>
      </c>
      <c r="V1158" s="418" t="str">
        <f t="shared" si="1816"/>
        <v/>
      </c>
      <c r="W1158" s="418" t="str">
        <f t="shared" si="1817"/>
        <v/>
      </c>
      <c r="X1158" s="418" t="str">
        <f t="shared" si="1818"/>
        <v/>
      </c>
      <c r="Y1158" s="418" t="str">
        <f t="shared" si="1819"/>
        <v/>
      </c>
      <c r="Z1158" s="418" t="str">
        <f t="shared" si="1820"/>
        <v/>
      </c>
      <c r="AA1158" s="418" t="str">
        <f t="shared" si="1821"/>
        <v/>
      </c>
      <c r="AB1158" s="418" t="str">
        <f t="shared" si="1822"/>
        <v/>
      </c>
      <c r="AC1158" s="418" t="str">
        <f t="shared" si="1823"/>
        <v/>
      </c>
      <c r="AD1158" s="418" t="str">
        <f t="shared" si="1824"/>
        <v/>
      </c>
      <c r="AE1158" s="418" t="str">
        <f t="shared" si="1825"/>
        <v/>
      </c>
      <c r="AF1158" s="418" t="str">
        <f t="shared" si="1826"/>
        <v/>
      </c>
      <c r="AG1158" s="418" t="str">
        <f t="shared" si="1827"/>
        <v/>
      </c>
      <c r="AH1158" s="418" t="str">
        <f t="shared" si="1828"/>
        <v/>
      </c>
      <c r="AI1158" s="418" t="str">
        <f t="shared" si="1829"/>
        <v/>
      </c>
      <c r="AJ1158" s="418" t="str">
        <f t="shared" si="1830"/>
        <v/>
      </c>
      <c r="AK1158" s="418" t="str">
        <f t="shared" si="1831"/>
        <v/>
      </c>
      <c r="AL1158" s="418" t="str">
        <f t="shared" si="1832"/>
        <v/>
      </c>
      <c r="AM1158" s="418" t="str">
        <f t="shared" si="1833"/>
        <v/>
      </c>
      <c r="AN1158" s="418" t="str">
        <f t="shared" si="1834"/>
        <v/>
      </c>
      <c r="AO1158" s="418" t="str">
        <f t="shared" si="1835"/>
        <v/>
      </c>
      <c r="AP1158" s="418">
        <f t="shared" si="1836"/>
        <v>16224</v>
      </c>
      <c r="AQ1158" s="418" t="str">
        <f t="shared" si="1837"/>
        <v/>
      </c>
      <c r="AR1158" s="418" t="str">
        <f t="shared" si="1838"/>
        <v/>
      </c>
      <c r="AS1158" s="418" t="str">
        <f t="shared" si="1839"/>
        <v/>
      </c>
      <c r="AT1158" s="418" t="str">
        <f t="shared" si="1840"/>
        <v/>
      </c>
      <c r="AU1158" s="418" t="str">
        <f t="shared" si="1841"/>
        <v/>
      </c>
      <c r="AV1158" s="418" t="str">
        <f t="shared" si="1842"/>
        <v/>
      </c>
      <c r="AW1158" s="418" t="str">
        <f t="shared" si="1843"/>
        <v/>
      </c>
      <c r="AX1158" s="418" t="str">
        <f t="shared" si="1844"/>
        <v/>
      </c>
      <c r="AY1158" s="418" t="str">
        <f t="shared" si="1845"/>
        <v/>
      </c>
      <c r="AZ1158" s="418" t="str">
        <f t="shared" si="1846"/>
        <v/>
      </c>
      <c r="BA1158" s="418" t="str">
        <f t="shared" si="1847"/>
        <v/>
      </c>
      <c r="BB1158" s="418" t="str">
        <f t="shared" si="1848"/>
        <v/>
      </c>
      <c r="BC1158" s="418" t="str">
        <f t="shared" si="1849"/>
        <v/>
      </c>
      <c r="BD1158" s="418" t="str">
        <f t="shared" si="1850"/>
        <v/>
      </c>
      <c r="BE1158" s="418" t="str">
        <f t="shared" si="1851"/>
        <v/>
      </c>
      <c r="BF1158" s="418" t="str">
        <f t="shared" si="1852"/>
        <v/>
      </c>
      <c r="BG1158" s="418" t="str">
        <f t="shared" si="1853"/>
        <v/>
      </c>
      <c r="BH1158" s="418" t="str">
        <f t="shared" si="1854"/>
        <v/>
      </c>
      <c r="BI1158" s="418" t="str">
        <f t="shared" si="1855"/>
        <v/>
      </c>
      <c r="BJ1158" s="418" t="str">
        <f t="shared" si="1856"/>
        <v/>
      </c>
      <c r="BK1158" s="418" t="str">
        <f t="shared" si="1857"/>
        <v/>
      </c>
      <c r="BL1158" s="418" t="str">
        <f t="shared" si="1858"/>
        <v/>
      </c>
      <c r="BM1158" s="418" t="str">
        <f t="shared" si="1859"/>
        <v/>
      </c>
      <c r="BN1158" s="418" t="str">
        <f t="shared" si="1860"/>
        <v/>
      </c>
      <c r="BO1158" s="418" t="str">
        <f t="shared" si="1861"/>
        <v/>
      </c>
      <c r="BP1158" s="418" t="str">
        <f t="shared" si="1862"/>
        <v/>
      </c>
      <c r="BQ1158" s="418" t="str">
        <f t="shared" si="1863"/>
        <v/>
      </c>
      <c r="BR1158" s="418" t="str">
        <f t="shared" si="1864"/>
        <v/>
      </c>
      <c r="BS1158" s="418" t="str">
        <f t="shared" si="1865"/>
        <v/>
      </c>
      <c r="BT1158" s="418" t="str">
        <f t="shared" si="1866"/>
        <v/>
      </c>
      <c r="BU1158" s="418" t="str">
        <f t="shared" si="1867"/>
        <v/>
      </c>
      <c r="BV1158" s="624">
        <v>0.62</v>
      </c>
      <c r="BW1158" s="723">
        <f t="shared" si="1868"/>
        <v>10058.88</v>
      </c>
      <c r="BX1158" s="724">
        <f t="shared" si="1869"/>
        <v>77956.32</v>
      </c>
      <c r="BY1158" s="725" t="str">
        <f t="shared" si="1870"/>
        <v>SR</v>
      </c>
    </row>
    <row r="1159" s="697" customFormat="1" customHeight="1" spans="1:77">
      <c r="A1159" s="362">
        <v>46210</v>
      </c>
      <c r="B1159" s="362">
        <v>46241</v>
      </c>
      <c r="C1159" s="129">
        <v>6953930007</v>
      </c>
      <c r="D1159" s="431" t="s">
        <v>1034</v>
      </c>
      <c r="E1159" s="431" t="s">
        <v>119</v>
      </c>
      <c r="F1159" s="96">
        <v>10608</v>
      </c>
      <c r="G1159" s="129" t="s">
        <v>270</v>
      </c>
      <c r="H1159" s="118" t="str">
        <f>IFERROR(VLOOKUP(E1159,名称!A:E,4,0),"")</f>
        <v>三代</v>
      </c>
      <c r="I1159" s="418" t="str">
        <f t="shared" si="1803"/>
        <v/>
      </c>
      <c r="J1159" s="418" t="str">
        <f t="shared" si="1804"/>
        <v/>
      </c>
      <c r="K1159" s="418" t="str">
        <f t="shared" si="1805"/>
        <v/>
      </c>
      <c r="L1159" s="418" t="str">
        <f t="shared" si="1806"/>
        <v/>
      </c>
      <c r="M1159" s="418" t="str">
        <f t="shared" si="1807"/>
        <v/>
      </c>
      <c r="N1159" s="418" t="str">
        <f t="shared" si="1808"/>
        <v/>
      </c>
      <c r="O1159" s="418" t="str">
        <f t="shared" si="1809"/>
        <v/>
      </c>
      <c r="P1159" s="418" t="str">
        <f t="shared" si="1810"/>
        <v/>
      </c>
      <c r="Q1159" s="418" t="str">
        <f t="shared" si="1811"/>
        <v/>
      </c>
      <c r="R1159" s="418" t="str">
        <f t="shared" si="1812"/>
        <v/>
      </c>
      <c r="S1159" s="418" t="str">
        <f t="shared" si="1813"/>
        <v/>
      </c>
      <c r="T1159" s="418" t="str">
        <f t="shared" si="1814"/>
        <v/>
      </c>
      <c r="U1159" s="418" t="str">
        <f t="shared" si="1815"/>
        <v/>
      </c>
      <c r="V1159" s="418" t="str">
        <f t="shared" si="1816"/>
        <v/>
      </c>
      <c r="W1159" s="418" t="str">
        <f t="shared" si="1817"/>
        <v/>
      </c>
      <c r="X1159" s="418" t="str">
        <f t="shared" si="1818"/>
        <v/>
      </c>
      <c r="Y1159" s="418" t="str">
        <f t="shared" si="1819"/>
        <v/>
      </c>
      <c r="Z1159" s="418" t="str">
        <f t="shared" si="1820"/>
        <v/>
      </c>
      <c r="AA1159" s="418" t="str">
        <f t="shared" si="1821"/>
        <v/>
      </c>
      <c r="AB1159" s="418" t="str">
        <f t="shared" si="1822"/>
        <v/>
      </c>
      <c r="AC1159" s="418" t="str">
        <f t="shared" si="1823"/>
        <v/>
      </c>
      <c r="AD1159" s="418" t="str">
        <f t="shared" si="1824"/>
        <v/>
      </c>
      <c r="AE1159" s="418" t="str">
        <f t="shared" si="1825"/>
        <v/>
      </c>
      <c r="AF1159" s="418" t="str">
        <f t="shared" si="1826"/>
        <v/>
      </c>
      <c r="AG1159" s="418" t="str">
        <f t="shared" si="1827"/>
        <v/>
      </c>
      <c r="AH1159" s="418" t="str">
        <f t="shared" si="1828"/>
        <v/>
      </c>
      <c r="AI1159" s="418" t="str">
        <f t="shared" si="1829"/>
        <v/>
      </c>
      <c r="AJ1159" s="418" t="str">
        <f t="shared" si="1830"/>
        <v/>
      </c>
      <c r="AK1159" s="418" t="str">
        <f t="shared" si="1831"/>
        <v/>
      </c>
      <c r="AL1159" s="418" t="str">
        <f t="shared" si="1832"/>
        <v/>
      </c>
      <c r="AM1159" s="418" t="str">
        <f t="shared" si="1833"/>
        <v/>
      </c>
      <c r="AN1159" s="418" t="str">
        <f t="shared" si="1834"/>
        <v/>
      </c>
      <c r="AO1159" s="418" t="str">
        <f t="shared" si="1835"/>
        <v/>
      </c>
      <c r="AP1159" s="418">
        <f t="shared" si="1836"/>
        <v>10608</v>
      </c>
      <c r="AQ1159" s="418" t="str">
        <f t="shared" si="1837"/>
        <v/>
      </c>
      <c r="AR1159" s="418" t="str">
        <f t="shared" si="1838"/>
        <v/>
      </c>
      <c r="AS1159" s="418" t="str">
        <f t="shared" si="1839"/>
        <v/>
      </c>
      <c r="AT1159" s="418" t="str">
        <f t="shared" si="1840"/>
        <v/>
      </c>
      <c r="AU1159" s="418" t="str">
        <f t="shared" si="1841"/>
        <v/>
      </c>
      <c r="AV1159" s="418" t="str">
        <f t="shared" si="1842"/>
        <v/>
      </c>
      <c r="AW1159" s="418" t="str">
        <f t="shared" si="1843"/>
        <v/>
      </c>
      <c r="AX1159" s="418" t="str">
        <f t="shared" si="1844"/>
        <v/>
      </c>
      <c r="AY1159" s="418" t="str">
        <f t="shared" si="1845"/>
        <v/>
      </c>
      <c r="AZ1159" s="418" t="str">
        <f t="shared" si="1846"/>
        <v/>
      </c>
      <c r="BA1159" s="418" t="str">
        <f t="shared" si="1847"/>
        <v/>
      </c>
      <c r="BB1159" s="418" t="str">
        <f t="shared" si="1848"/>
        <v/>
      </c>
      <c r="BC1159" s="418" t="str">
        <f t="shared" si="1849"/>
        <v/>
      </c>
      <c r="BD1159" s="418" t="str">
        <f t="shared" si="1850"/>
        <v/>
      </c>
      <c r="BE1159" s="418" t="str">
        <f t="shared" si="1851"/>
        <v/>
      </c>
      <c r="BF1159" s="418" t="str">
        <f t="shared" si="1852"/>
        <v/>
      </c>
      <c r="BG1159" s="418" t="str">
        <f t="shared" si="1853"/>
        <v/>
      </c>
      <c r="BH1159" s="418" t="str">
        <f t="shared" si="1854"/>
        <v/>
      </c>
      <c r="BI1159" s="418" t="str">
        <f t="shared" si="1855"/>
        <v/>
      </c>
      <c r="BJ1159" s="418" t="str">
        <f t="shared" si="1856"/>
        <v/>
      </c>
      <c r="BK1159" s="418" t="str">
        <f t="shared" si="1857"/>
        <v/>
      </c>
      <c r="BL1159" s="418" t="str">
        <f t="shared" si="1858"/>
        <v/>
      </c>
      <c r="BM1159" s="418" t="str">
        <f t="shared" si="1859"/>
        <v/>
      </c>
      <c r="BN1159" s="418" t="str">
        <f t="shared" si="1860"/>
        <v/>
      </c>
      <c r="BO1159" s="418" t="str">
        <f t="shared" si="1861"/>
        <v/>
      </c>
      <c r="BP1159" s="418" t="str">
        <f t="shared" si="1862"/>
        <v/>
      </c>
      <c r="BQ1159" s="418" t="str">
        <f t="shared" si="1863"/>
        <v/>
      </c>
      <c r="BR1159" s="418" t="str">
        <f t="shared" si="1864"/>
        <v/>
      </c>
      <c r="BS1159" s="418" t="str">
        <f t="shared" si="1865"/>
        <v/>
      </c>
      <c r="BT1159" s="418" t="str">
        <f t="shared" si="1866"/>
        <v/>
      </c>
      <c r="BU1159" s="418" t="str">
        <f t="shared" si="1867"/>
        <v/>
      </c>
      <c r="BV1159" s="624">
        <v>0.62</v>
      </c>
      <c r="BW1159" s="723">
        <f t="shared" si="1868"/>
        <v>6576.96</v>
      </c>
      <c r="BX1159" s="724">
        <f t="shared" si="1869"/>
        <v>50971.44</v>
      </c>
      <c r="BY1159" s="725" t="str">
        <f t="shared" si="1870"/>
        <v>SR</v>
      </c>
    </row>
    <row r="1160" s="697" customFormat="1" customHeight="1" spans="1:77">
      <c r="A1160" s="362">
        <v>46211</v>
      </c>
      <c r="B1160" s="362">
        <v>46321</v>
      </c>
      <c r="C1160" s="431" t="s">
        <v>1035</v>
      </c>
      <c r="D1160" s="431" t="s">
        <v>1036</v>
      </c>
      <c r="E1160" s="431" t="s">
        <v>107</v>
      </c>
      <c r="F1160" s="96">
        <v>2900</v>
      </c>
      <c r="G1160" s="129" t="s">
        <v>270</v>
      </c>
      <c r="H1160" s="118" t="str">
        <f>IFERROR(VLOOKUP(E1160,名称!A:E,4,0),"")</f>
        <v>三代</v>
      </c>
      <c r="I1160" s="418" t="str">
        <f t="shared" si="1803"/>
        <v/>
      </c>
      <c r="J1160" s="418" t="str">
        <f t="shared" si="1804"/>
        <v/>
      </c>
      <c r="K1160" s="418" t="str">
        <f t="shared" si="1805"/>
        <v/>
      </c>
      <c r="L1160" s="418" t="str">
        <f t="shared" si="1806"/>
        <v/>
      </c>
      <c r="M1160" s="418" t="str">
        <f t="shared" si="1807"/>
        <v/>
      </c>
      <c r="N1160" s="418" t="str">
        <f t="shared" si="1808"/>
        <v/>
      </c>
      <c r="O1160" s="418" t="str">
        <f t="shared" si="1809"/>
        <v/>
      </c>
      <c r="P1160" s="418" t="str">
        <f t="shared" si="1810"/>
        <v/>
      </c>
      <c r="Q1160" s="418" t="str">
        <f t="shared" si="1811"/>
        <v/>
      </c>
      <c r="R1160" s="418" t="str">
        <f t="shared" si="1812"/>
        <v/>
      </c>
      <c r="S1160" s="418" t="str">
        <f t="shared" si="1813"/>
        <v/>
      </c>
      <c r="T1160" s="418" t="str">
        <f t="shared" si="1814"/>
        <v/>
      </c>
      <c r="U1160" s="418" t="str">
        <f t="shared" si="1815"/>
        <v/>
      </c>
      <c r="V1160" s="418" t="str">
        <f t="shared" si="1816"/>
        <v/>
      </c>
      <c r="W1160" s="418" t="str">
        <f t="shared" si="1817"/>
        <v/>
      </c>
      <c r="X1160" s="418" t="str">
        <f t="shared" si="1818"/>
        <v/>
      </c>
      <c r="Y1160" s="418" t="str">
        <f t="shared" si="1819"/>
        <v/>
      </c>
      <c r="Z1160" s="418" t="str">
        <f t="shared" si="1820"/>
        <v/>
      </c>
      <c r="AA1160" s="418" t="str">
        <f t="shared" si="1821"/>
        <v/>
      </c>
      <c r="AB1160" s="418" t="str">
        <f t="shared" si="1822"/>
        <v/>
      </c>
      <c r="AC1160" s="418" t="str">
        <f t="shared" si="1823"/>
        <v/>
      </c>
      <c r="AD1160" s="418" t="str">
        <f t="shared" si="1824"/>
        <v/>
      </c>
      <c r="AE1160" s="418" t="str">
        <f t="shared" si="1825"/>
        <v/>
      </c>
      <c r="AF1160" s="418" t="str">
        <f t="shared" si="1826"/>
        <v/>
      </c>
      <c r="AG1160" s="418">
        <f t="shared" si="1827"/>
        <v>2900</v>
      </c>
      <c r="AH1160" s="418" t="str">
        <f t="shared" si="1828"/>
        <v/>
      </c>
      <c r="AI1160" s="418" t="str">
        <f t="shared" si="1829"/>
        <v/>
      </c>
      <c r="AJ1160" s="418" t="str">
        <f t="shared" si="1830"/>
        <v/>
      </c>
      <c r="AK1160" s="418" t="str">
        <f t="shared" si="1831"/>
        <v/>
      </c>
      <c r="AL1160" s="418" t="str">
        <f t="shared" si="1832"/>
        <v/>
      </c>
      <c r="AM1160" s="418" t="str">
        <f t="shared" si="1833"/>
        <v/>
      </c>
      <c r="AN1160" s="418" t="str">
        <f t="shared" si="1834"/>
        <v/>
      </c>
      <c r="AO1160" s="418" t="str">
        <f t="shared" si="1835"/>
        <v/>
      </c>
      <c r="AP1160" s="418" t="str">
        <f t="shared" si="1836"/>
        <v/>
      </c>
      <c r="AQ1160" s="418" t="str">
        <f t="shared" si="1837"/>
        <v/>
      </c>
      <c r="AR1160" s="418" t="str">
        <f t="shared" si="1838"/>
        <v/>
      </c>
      <c r="AS1160" s="418" t="str">
        <f t="shared" si="1839"/>
        <v/>
      </c>
      <c r="AT1160" s="418" t="str">
        <f t="shared" si="1840"/>
        <v/>
      </c>
      <c r="AU1160" s="418" t="str">
        <f t="shared" si="1841"/>
        <v/>
      </c>
      <c r="AV1160" s="418" t="str">
        <f t="shared" si="1842"/>
        <v/>
      </c>
      <c r="AW1160" s="418" t="str">
        <f t="shared" si="1843"/>
        <v/>
      </c>
      <c r="AX1160" s="418" t="str">
        <f t="shared" si="1844"/>
        <v/>
      </c>
      <c r="AY1160" s="418" t="str">
        <f t="shared" si="1845"/>
        <v/>
      </c>
      <c r="AZ1160" s="418" t="str">
        <f t="shared" si="1846"/>
        <v/>
      </c>
      <c r="BA1160" s="418" t="str">
        <f t="shared" si="1847"/>
        <v/>
      </c>
      <c r="BB1160" s="418" t="str">
        <f t="shared" si="1848"/>
        <v/>
      </c>
      <c r="BC1160" s="418" t="str">
        <f t="shared" si="1849"/>
        <v/>
      </c>
      <c r="BD1160" s="418" t="str">
        <f t="shared" si="1850"/>
        <v/>
      </c>
      <c r="BE1160" s="418" t="str">
        <f t="shared" si="1851"/>
        <v/>
      </c>
      <c r="BF1160" s="418" t="str">
        <f t="shared" si="1852"/>
        <v/>
      </c>
      <c r="BG1160" s="418" t="str">
        <f t="shared" si="1853"/>
        <v/>
      </c>
      <c r="BH1160" s="418" t="str">
        <f t="shared" si="1854"/>
        <v/>
      </c>
      <c r="BI1160" s="418" t="str">
        <f t="shared" si="1855"/>
        <v/>
      </c>
      <c r="BJ1160" s="418" t="str">
        <f t="shared" si="1856"/>
        <v/>
      </c>
      <c r="BK1160" s="418" t="str">
        <f t="shared" si="1857"/>
        <v/>
      </c>
      <c r="BL1160" s="418" t="str">
        <f t="shared" si="1858"/>
        <v/>
      </c>
      <c r="BM1160" s="418" t="str">
        <f t="shared" si="1859"/>
        <v/>
      </c>
      <c r="BN1160" s="418" t="str">
        <f t="shared" si="1860"/>
        <v/>
      </c>
      <c r="BO1160" s="418" t="str">
        <f t="shared" si="1861"/>
        <v/>
      </c>
      <c r="BP1160" s="418" t="str">
        <f t="shared" si="1862"/>
        <v/>
      </c>
      <c r="BQ1160" s="418" t="str">
        <f t="shared" si="1863"/>
        <v/>
      </c>
      <c r="BR1160" s="418" t="str">
        <f t="shared" si="1864"/>
        <v/>
      </c>
      <c r="BS1160" s="418" t="str">
        <f t="shared" si="1865"/>
        <v/>
      </c>
      <c r="BT1160" s="418" t="str">
        <f t="shared" si="1866"/>
        <v/>
      </c>
      <c r="BU1160" s="418" t="str">
        <f t="shared" si="1867"/>
        <v/>
      </c>
      <c r="BV1160" s="624">
        <v>2.12</v>
      </c>
      <c r="BW1160" s="723">
        <f t="shared" si="1868"/>
        <v>6148</v>
      </c>
      <c r="BX1160" s="724">
        <f t="shared" si="1869"/>
        <v>47647</v>
      </c>
      <c r="BY1160" s="725" t="str">
        <f t="shared" si="1870"/>
        <v>SR</v>
      </c>
    </row>
    <row r="1161" s="697" customFormat="1" customHeight="1" spans="1:77">
      <c r="A1161" s="362">
        <v>46211</v>
      </c>
      <c r="B1161" s="362">
        <v>46321</v>
      </c>
      <c r="C1161" s="431" t="s">
        <v>1035</v>
      </c>
      <c r="D1161" s="431" t="s">
        <v>1036</v>
      </c>
      <c r="E1161" s="431" t="s">
        <v>107</v>
      </c>
      <c r="F1161" s="96">
        <f>10000-2900</f>
        <v>7100</v>
      </c>
      <c r="G1161" s="129" t="s">
        <v>270</v>
      </c>
      <c r="H1161" s="118" t="str">
        <f>IFERROR(VLOOKUP(E1161,名称!A:E,4,0),"")</f>
        <v>三代</v>
      </c>
      <c r="I1161" s="418" t="str">
        <f t="shared" si="1803"/>
        <v/>
      </c>
      <c r="J1161" s="418" t="str">
        <f t="shared" si="1804"/>
        <v/>
      </c>
      <c r="K1161" s="418" t="str">
        <f t="shared" si="1805"/>
        <v/>
      </c>
      <c r="L1161" s="418" t="str">
        <f t="shared" si="1806"/>
        <v/>
      </c>
      <c r="M1161" s="418" t="str">
        <f t="shared" si="1807"/>
        <v/>
      </c>
      <c r="N1161" s="418" t="str">
        <f t="shared" si="1808"/>
        <v/>
      </c>
      <c r="O1161" s="418" t="str">
        <f t="shared" si="1809"/>
        <v/>
      </c>
      <c r="P1161" s="418" t="str">
        <f t="shared" si="1810"/>
        <v/>
      </c>
      <c r="Q1161" s="418" t="str">
        <f t="shared" si="1811"/>
        <v/>
      </c>
      <c r="R1161" s="418" t="str">
        <f t="shared" si="1812"/>
        <v/>
      </c>
      <c r="S1161" s="418" t="str">
        <f t="shared" si="1813"/>
        <v/>
      </c>
      <c r="T1161" s="418" t="str">
        <f t="shared" si="1814"/>
        <v/>
      </c>
      <c r="U1161" s="418" t="str">
        <f t="shared" si="1815"/>
        <v/>
      </c>
      <c r="V1161" s="418" t="str">
        <f t="shared" si="1816"/>
        <v/>
      </c>
      <c r="W1161" s="418" t="str">
        <f t="shared" si="1817"/>
        <v/>
      </c>
      <c r="X1161" s="418" t="str">
        <f t="shared" si="1818"/>
        <v/>
      </c>
      <c r="Y1161" s="418" t="str">
        <f t="shared" si="1819"/>
        <v/>
      </c>
      <c r="Z1161" s="418" t="str">
        <f t="shared" si="1820"/>
        <v/>
      </c>
      <c r="AA1161" s="418" t="str">
        <f t="shared" si="1821"/>
        <v/>
      </c>
      <c r="AB1161" s="418" t="str">
        <f t="shared" si="1822"/>
        <v/>
      </c>
      <c r="AC1161" s="418" t="str">
        <f t="shared" si="1823"/>
        <v/>
      </c>
      <c r="AD1161" s="418" t="str">
        <f t="shared" si="1824"/>
        <v/>
      </c>
      <c r="AE1161" s="418" t="str">
        <f t="shared" si="1825"/>
        <v/>
      </c>
      <c r="AF1161" s="418" t="str">
        <f t="shared" si="1826"/>
        <v/>
      </c>
      <c r="AG1161" s="418">
        <f t="shared" si="1827"/>
        <v>7100</v>
      </c>
      <c r="AH1161" s="418" t="str">
        <f t="shared" si="1828"/>
        <v/>
      </c>
      <c r="AI1161" s="418" t="str">
        <f t="shared" si="1829"/>
        <v/>
      </c>
      <c r="AJ1161" s="418" t="str">
        <f t="shared" si="1830"/>
        <v/>
      </c>
      <c r="AK1161" s="418" t="str">
        <f t="shared" si="1831"/>
        <v/>
      </c>
      <c r="AL1161" s="418" t="str">
        <f t="shared" si="1832"/>
        <v/>
      </c>
      <c r="AM1161" s="418" t="str">
        <f t="shared" si="1833"/>
        <v/>
      </c>
      <c r="AN1161" s="418" t="str">
        <f t="shared" si="1834"/>
        <v/>
      </c>
      <c r="AO1161" s="418" t="str">
        <f t="shared" si="1835"/>
        <v/>
      </c>
      <c r="AP1161" s="418" t="str">
        <f t="shared" si="1836"/>
        <v/>
      </c>
      <c r="AQ1161" s="418" t="str">
        <f t="shared" si="1837"/>
        <v/>
      </c>
      <c r="AR1161" s="418" t="str">
        <f t="shared" si="1838"/>
        <v/>
      </c>
      <c r="AS1161" s="418" t="str">
        <f t="shared" si="1839"/>
        <v/>
      </c>
      <c r="AT1161" s="418" t="str">
        <f t="shared" si="1840"/>
        <v/>
      </c>
      <c r="AU1161" s="418" t="str">
        <f t="shared" si="1841"/>
        <v/>
      </c>
      <c r="AV1161" s="418" t="str">
        <f t="shared" si="1842"/>
        <v/>
      </c>
      <c r="AW1161" s="418" t="str">
        <f t="shared" si="1843"/>
        <v/>
      </c>
      <c r="AX1161" s="418" t="str">
        <f t="shared" si="1844"/>
        <v/>
      </c>
      <c r="AY1161" s="418" t="str">
        <f t="shared" si="1845"/>
        <v/>
      </c>
      <c r="AZ1161" s="418" t="str">
        <f t="shared" si="1846"/>
        <v/>
      </c>
      <c r="BA1161" s="418" t="str">
        <f t="shared" si="1847"/>
        <v/>
      </c>
      <c r="BB1161" s="418" t="str">
        <f t="shared" si="1848"/>
        <v/>
      </c>
      <c r="BC1161" s="418" t="str">
        <f t="shared" si="1849"/>
        <v/>
      </c>
      <c r="BD1161" s="418" t="str">
        <f t="shared" si="1850"/>
        <v/>
      </c>
      <c r="BE1161" s="418" t="str">
        <f t="shared" si="1851"/>
        <v/>
      </c>
      <c r="BF1161" s="418" t="str">
        <f t="shared" si="1852"/>
        <v/>
      </c>
      <c r="BG1161" s="418" t="str">
        <f t="shared" si="1853"/>
        <v/>
      </c>
      <c r="BH1161" s="418" t="str">
        <f t="shared" si="1854"/>
        <v/>
      </c>
      <c r="BI1161" s="418" t="str">
        <f t="shared" si="1855"/>
        <v/>
      </c>
      <c r="BJ1161" s="418" t="str">
        <f t="shared" si="1856"/>
        <v/>
      </c>
      <c r="BK1161" s="418" t="str">
        <f t="shared" si="1857"/>
        <v/>
      </c>
      <c r="BL1161" s="418" t="str">
        <f t="shared" si="1858"/>
        <v/>
      </c>
      <c r="BM1161" s="418" t="str">
        <f t="shared" si="1859"/>
        <v/>
      </c>
      <c r="BN1161" s="418" t="str">
        <f t="shared" si="1860"/>
        <v/>
      </c>
      <c r="BO1161" s="418" t="str">
        <f t="shared" si="1861"/>
        <v/>
      </c>
      <c r="BP1161" s="418" t="str">
        <f t="shared" si="1862"/>
        <v/>
      </c>
      <c r="BQ1161" s="418" t="str">
        <f t="shared" si="1863"/>
        <v/>
      </c>
      <c r="BR1161" s="418" t="str">
        <f t="shared" si="1864"/>
        <v/>
      </c>
      <c r="BS1161" s="418" t="str">
        <f t="shared" si="1865"/>
        <v/>
      </c>
      <c r="BT1161" s="418" t="str">
        <f t="shared" si="1866"/>
        <v/>
      </c>
      <c r="BU1161" s="418" t="str">
        <f t="shared" si="1867"/>
        <v/>
      </c>
      <c r="BV1161" s="624">
        <v>2.12</v>
      </c>
      <c r="BW1161" s="723">
        <f t="shared" si="1868"/>
        <v>15052</v>
      </c>
      <c r="BX1161" s="724">
        <f t="shared" si="1869"/>
        <v>116653</v>
      </c>
      <c r="BY1161" s="725" t="str">
        <f t="shared" si="1870"/>
        <v>SR</v>
      </c>
    </row>
    <row r="1162" s="697" customFormat="1" customHeight="1" spans="1:77">
      <c r="A1162" s="362">
        <v>46213</v>
      </c>
      <c r="B1162" s="362">
        <v>46275</v>
      </c>
      <c r="C1162" s="431" t="s">
        <v>1037</v>
      </c>
      <c r="D1162" s="431" t="s">
        <v>1038</v>
      </c>
      <c r="E1162" s="431" t="s">
        <v>18</v>
      </c>
      <c r="F1162" s="96">
        <v>816</v>
      </c>
      <c r="G1162" s="129" t="s">
        <v>270</v>
      </c>
      <c r="H1162" s="118" t="str">
        <f>IFERROR(VLOOKUP(E1162,名称!A:E,4,0),"")</f>
        <v>二代</v>
      </c>
      <c r="I1162" s="418" t="str">
        <f t="shared" si="1803"/>
        <v/>
      </c>
      <c r="J1162" s="418" t="str">
        <f t="shared" si="1804"/>
        <v/>
      </c>
      <c r="K1162" s="418" t="str">
        <f t="shared" si="1805"/>
        <v/>
      </c>
      <c r="L1162" s="418" t="str">
        <f t="shared" si="1806"/>
        <v/>
      </c>
      <c r="M1162" s="418" t="str">
        <f t="shared" si="1807"/>
        <v/>
      </c>
      <c r="N1162" s="418" t="str">
        <f t="shared" si="1808"/>
        <v/>
      </c>
      <c r="O1162" s="418" t="str">
        <f t="shared" si="1809"/>
        <v/>
      </c>
      <c r="P1162" s="418" t="str">
        <f t="shared" si="1810"/>
        <v/>
      </c>
      <c r="Q1162" s="418" t="str">
        <f t="shared" si="1811"/>
        <v/>
      </c>
      <c r="R1162" s="418" t="str">
        <f t="shared" si="1812"/>
        <v/>
      </c>
      <c r="S1162" s="418" t="str">
        <f t="shared" si="1813"/>
        <v/>
      </c>
      <c r="T1162" s="418" t="str">
        <f t="shared" si="1814"/>
        <v/>
      </c>
      <c r="U1162" s="418" t="str">
        <f t="shared" si="1815"/>
        <v/>
      </c>
      <c r="V1162" s="418" t="str">
        <f t="shared" si="1816"/>
        <v/>
      </c>
      <c r="W1162" s="418" t="str">
        <f t="shared" si="1817"/>
        <v/>
      </c>
      <c r="X1162" s="418" t="str">
        <f t="shared" si="1818"/>
        <v/>
      </c>
      <c r="Y1162" s="418" t="str">
        <f t="shared" si="1819"/>
        <v/>
      </c>
      <c r="Z1162" s="418">
        <f t="shared" si="1820"/>
        <v>816</v>
      </c>
      <c r="AA1162" s="418" t="str">
        <f t="shared" si="1821"/>
        <v/>
      </c>
      <c r="AB1162" s="418" t="str">
        <f t="shared" si="1822"/>
        <v/>
      </c>
      <c r="AC1162" s="418" t="str">
        <f t="shared" si="1823"/>
        <v/>
      </c>
      <c r="AD1162" s="418" t="str">
        <f t="shared" si="1824"/>
        <v/>
      </c>
      <c r="AE1162" s="418" t="str">
        <f t="shared" si="1825"/>
        <v/>
      </c>
      <c r="AF1162" s="418" t="str">
        <f t="shared" si="1826"/>
        <v/>
      </c>
      <c r="AG1162" s="418" t="str">
        <f t="shared" si="1827"/>
        <v/>
      </c>
      <c r="AH1162" s="418" t="str">
        <f t="shared" si="1828"/>
        <v/>
      </c>
      <c r="AI1162" s="418" t="str">
        <f t="shared" si="1829"/>
        <v/>
      </c>
      <c r="AJ1162" s="418" t="str">
        <f t="shared" si="1830"/>
        <v/>
      </c>
      <c r="AK1162" s="418" t="str">
        <f t="shared" si="1831"/>
        <v/>
      </c>
      <c r="AL1162" s="418" t="str">
        <f t="shared" si="1832"/>
        <v/>
      </c>
      <c r="AM1162" s="418" t="str">
        <f t="shared" si="1833"/>
        <v/>
      </c>
      <c r="AN1162" s="418" t="str">
        <f t="shared" si="1834"/>
        <v/>
      </c>
      <c r="AO1162" s="418" t="str">
        <f t="shared" si="1835"/>
        <v/>
      </c>
      <c r="AP1162" s="418" t="str">
        <f t="shared" si="1836"/>
        <v/>
      </c>
      <c r="AQ1162" s="418" t="str">
        <f t="shared" si="1837"/>
        <v/>
      </c>
      <c r="AR1162" s="418" t="str">
        <f t="shared" si="1838"/>
        <v/>
      </c>
      <c r="AS1162" s="418" t="str">
        <f t="shared" si="1839"/>
        <v/>
      </c>
      <c r="AT1162" s="418" t="str">
        <f t="shared" si="1840"/>
        <v/>
      </c>
      <c r="AU1162" s="418" t="str">
        <f t="shared" si="1841"/>
        <v/>
      </c>
      <c r="AV1162" s="418" t="str">
        <f t="shared" si="1842"/>
        <v/>
      </c>
      <c r="AW1162" s="418" t="str">
        <f t="shared" si="1843"/>
        <v/>
      </c>
      <c r="AX1162" s="418" t="str">
        <f t="shared" si="1844"/>
        <v/>
      </c>
      <c r="AY1162" s="418" t="str">
        <f t="shared" si="1845"/>
        <v/>
      </c>
      <c r="AZ1162" s="418" t="str">
        <f t="shared" si="1846"/>
        <v/>
      </c>
      <c r="BA1162" s="418" t="str">
        <f t="shared" si="1847"/>
        <v/>
      </c>
      <c r="BB1162" s="418" t="str">
        <f t="shared" si="1848"/>
        <v/>
      </c>
      <c r="BC1162" s="418" t="str">
        <f t="shared" si="1849"/>
        <v/>
      </c>
      <c r="BD1162" s="418" t="str">
        <f t="shared" si="1850"/>
        <v/>
      </c>
      <c r="BE1162" s="418" t="str">
        <f t="shared" si="1851"/>
        <v/>
      </c>
      <c r="BF1162" s="418" t="str">
        <f t="shared" si="1852"/>
        <v/>
      </c>
      <c r="BG1162" s="418" t="str">
        <f t="shared" si="1853"/>
        <v/>
      </c>
      <c r="BH1162" s="418" t="str">
        <f t="shared" si="1854"/>
        <v/>
      </c>
      <c r="BI1162" s="418" t="str">
        <f t="shared" si="1855"/>
        <v/>
      </c>
      <c r="BJ1162" s="418" t="str">
        <f t="shared" si="1856"/>
        <v/>
      </c>
      <c r="BK1162" s="418" t="str">
        <f t="shared" si="1857"/>
        <v/>
      </c>
      <c r="BL1162" s="418" t="str">
        <f t="shared" si="1858"/>
        <v/>
      </c>
      <c r="BM1162" s="418" t="str">
        <f t="shared" si="1859"/>
        <v/>
      </c>
      <c r="BN1162" s="418" t="str">
        <f t="shared" si="1860"/>
        <v/>
      </c>
      <c r="BO1162" s="418" t="str">
        <f t="shared" si="1861"/>
        <v/>
      </c>
      <c r="BP1162" s="418" t="str">
        <f t="shared" si="1862"/>
        <v/>
      </c>
      <c r="BQ1162" s="418" t="str">
        <f t="shared" si="1863"/>
        <v/>
      </c>
      <c r="BR1162" s="418" t="str">
        <f t="shared" si="1864"/>
        <v/>
      </c>
      <c r="BS1162" s="418" t="str">
        <f t="shared" si="1865"/>
        <v/>
      </c>
      <c r="BT1162" s="418" t="str">
        <f t="shared" si="1866"/>
        <v/>
      </c>
      <c r="BU1162" s="418" t="str">
        <f t="shared" si="1867"/>
        <v/>
      </c>
      <c r="BV1162" s="624">
        <v>1.47</v>
      </c>
      <c r="BW1162" s="723">
        <f t="shared" si="1868"/>
        <v>1199.52</v>
      </c>
      <c r="BX1162" s="724">
        <f t="shared" si="1869"/>
        <v>9296.28</v>
      </c>
      <c r="BY1162" s="725" t="str">
        <f t="shared" si="1870"/>
        <v>SR</v>
      </c>
    </row>
    <row r="1163" s="697" customFormat="1" customHeight="1" spans="1:77">
      <c r="A1163" s="362">
        <v>46213</v>
      </c>
      <c r="B1163" s="362">
        <v>46275</v>
      </c>
      <c r="C1163" s="431" t="s">
        <v>1037</v>
      </c>
      <c r="D1163" s="431" t="s">
        <v>1038</v>
      </c>
      <c r="E1163" s="431" t="s">
        <v>99</v>
      </c>
      <c r="F1163" s="96">
        <v>1032</v>
      </c>
      <c r="G1163" s="129" t="s">
        <v>270</v>
      </c>
      <c r="H1163" s="118" t="str">
        <f>IFERROR(VLOOKUP(E1163,名称!A:E,4,0),"")</f>
        <v>三代</v>
      </c>
      <c r="I1163" s="418" t="str">
        <f t="shared" si="1803"/>
        <v/>
      </c>
      <c r="J1163" s="418" t="str">
        <f t="shared" si="1804"/>
        <v/>
      </c>
      <c r="K1163" s="418" t="str">
        <f t="shared" si="1805"/>
        <v/>
      </c>
      <c r="L1163" s="418" t="str">
        <f t="shared" si="1806"/>
        <v/>
      </c>
      <c r="M1163" s="418" t="str">
        <f t="shared" si="1807"/>
        <v/>
      </c>
      <c r="N1163" s="418" t="str">
        <f t="shared" si="1808"/>
        <v/>
      </c>
      <c r="O1163" s="418" t="str">
        <f t="shared" si="1809"/>
        <v/>
      </c>
      <c r="P1163" s="418" t="str">
        <f t="shared" si="1810"/>
        <v/>
      </c>
      <c r="Q1163" s="418" t="str">
        <f t="shared" si="1811"/>
        <v/>
      </c>
      <c r="R1163" s="418" t="str">
        <f t="shared" si="1812"/>
        <v/>
      </c>
      <c r="S1163" s="418" t="str">
        <f t="shared" si="1813"/>
        <v/>
      </c>
      <c r="T1163" s="418" t="str">
        <f t="shared" si="1814"/>
        <v/>
      </c>
      <c r="U1163" s="418" t="str">
        <f t="shared" si="1815"/>
        <v/>
      </c>
      <c r="V1163" s="418" t="str">
        <f t="shared" si="1816"/>
        <v/>
      </c>
      <c r="W1163" s="418" t="str">
        <f t="shared" si="1817"/>
        <v/>
      </c>
      <c r="X1163" s="418" t="str">
        <f t="shared" si="1818"/>
        <v/>
      </c>
      <c r="Y1163" s="418" t="str">
        <f t="shared" si="1819"/>
        <v/>
      </c>
      <c r="Z1163" s="418" t="str">
        <f t="shared" si="1820"/>
        <v/>
      </c>
      <c r="AA1163" s="418" t="str">
        <f t="shared" si="1821"/>
        <v/>
      </c>
      <c r="AB1163" s="418" t="str">
        <f t="shared" si="1822"/>
        <v/>
      </c>
      <c r="AC1163" s="418">
        <f t="shared" si="1823"/>
        <v>1032</v>
      </c>
      <c r="AD1163" s="418" t="str">
        <f t="shared" si="1824"/>
        <v/>
      </c>
      <c r="AE1163" s="418" t="str">
        <f t="shared" si="1825"/>
        <v/>
      </c>
      <c r="AF1163" s="418" t="str">
        <f t="shared" si="1826"/>
        <v/>
      </c>
      <c r="AG1163" s="418" t="str">
        <f t="shared" si="1827"/>
        <v/>
      </c>
      <c r="AH1163" s="418" t="str">
        <f t="shared" si="1828"/>
        <v/>
      </c>
      <c r="AI1163" s="418" t="str">
        <f t="shared" si="1829"/>
        <v/>
      </c>
      <c r="AJ1163" s="418" t="str">
        <f t="shared" si="1830"/>
        <v/>
      </c>
      <c r="AK1163" s="418" t="str">
        <f t="shared" si="1831"/>
        <v/>
      </c>
      <c r="AL1163" s="418" t="str">
        <f t="shared" si="1832"/>
        <v/>
      </c>
      <c r="AM1163" s="418" t="str">
        <f t="shared" si="1833"/>
        <v/>
      </c>
      <c r="AN1163" s="418" t="str">
        <f t="shared" si="1834"/>
        <v/>
      </c>
      <c r="AO1163" s="418" t="str">
        <f t="shared" si="1835"/>
        <v/>
      </c>
      <c r="AP1163" s="418" t="str">
        <f t="shared" si="1836"/>
        <v/>
      </c>
      <c r="AQ1163" s="418" t="str">
        <f t="shared" si="1837"/>
        <v/>
      </c>
      <c r="AR1163" s="418" t="str">
        <f t="shared" si="1838"/>
        <v/>
      </c>
      <c r="AS1163" s="418" t="str">
        <f t="shared" si="1839"/>
        <v/>
      </c>
      <c r="AT1163" s="418" t="str">
        <f t="shared" si="1840"/>
        <v/>
      </c>
      <c r="AU1163" s="418" t="str">
        <f t="shared" si="1841"/>
        <v/>
      </c>
      <c r="AV1163" s="418" t="str">
        <f t="shared" si="1842"/>
        <v/>
      </c>
      <c r="AW1163" s="418" t="str">
        <f t="shared" si="1843"/>
        <v/>
      </c>
      <c r="AX1163" s="418" t="str">
        <f t="shared" si="1844"/>
        <v/>
      </c>
      <c r="AY1163" s="418" t="str">
        <f t="shared" si="1845"/>
        <v/>
      </c>
      <c r="AZ1163" s="418" t="str">
        <f t="shared" si="1846"/>
        <v/>
      </c>
      <c r="BA1163" s="418" t="str">
        <f t="shared" si="1847"/>
        <v/>
      </c>
      <c r="BB1163" s="418" t="str">
        <f t="shared" si="1848"/>
        <v/>
      </c>
      <c r="BC1163" s="418" t="str">
        <f t="shared" si="1849"/>
        <v/>
      </c>
      <c r="BD1163" s="418" t="str">
        <f t="shared" si="1850"/>
        <v/>
      </c>
      <c r="BE1163" s="418" t="str">
        <f t="shared" si="1851"/>
        <v/>
      </c>
      <c r="BF1163" s="418" t="str">
        <f t="shared" si="1852"/>
        <v/>
      </c>
      <c r="BG1163" s="418" t="str">
        <f t="shared" si="1853"/>
        <v/>
      </c>
      <c r="BH1163" s="418" t="str">
        <f t="shared" si="1854"/>
        <v/>
      </c>
      <c r="BI1163" s="418" t="str">
        <f t="shared" si="1855"/>
        <v/>
      </c>
      <c r="BJ1163" s="418" t="str">
        <f t="shared" si="1856"/>
        <v/>
      </c>
      <c r="BK1163" s="418" t="str">
        <f t="shared" si="1857"/>
        <v/>
      </c>
      <c r="BL1163" s="418" t="str">
        <f t="shared" si="1858"/>
        <v/>
      </c>
      <c r="BM1163" s="418" t="str">
        <f t="shared" si="1859"/>
        <v/>
      </c>
      <c r="BN1163" s="418" t="str">
        <f t="shared" si="1860"/>
        <v/>
      </c>
      <c r="BO1163" s="418" t="str">
        <f t="shared" si="1861"/>
        <v/>
      </c>
      <c r="BP1163" s="418" t="str">
        <f t="shared" si="1862"/>
        <v/>
      </c>
      <c r="BQ1163" s="418" t="str">
        <f t="shared" si="1863"/>
        <v/>
      </c>
      <c r="BR1163" s="418" t="str">
        <f t="shared" si="1864"/>
        <v/>
      </c>
      <c r="BS1163" s="418" t="str">
        <f t="shared" si="1865"/>
        <v/>
      </c>
      <c r="BT1163" s="418" t="str">
        <f t="shared" si="1866"/>
        <v/>
      </c>
      <c r="BU1163" s="418" t="str">
        <f t="shared" si="1867"/>
        <v/>
      </c>
      <c r="BV1163" s="624">
        <v>0.9</v>
      </c>
      <c r="BW1163" s="723">
        <f t="shared" si="1868"/>
        <v>928.8</v>
      </c>
      <c r="BX1163" s="724">
        <f t="shared" si="1869"/>
        <v>7198.2</v>
      </c>
      <c r="BY1163" s="725" t="str">
        <f t="shared" si="1870"/>
        <v>SR</v>
      </c>
    </row>
    <row r="1164" s="697" customFormat="1" customHeight="1" spans="1:77">
      <c r="A1164" s="362">
        <v>46213</v>
      </c>
      <c r="B1164" s="362">
        <v>46275</v>
      </c>
      <c r="C1164" s="431" t="s">
        <v>1037</v>
      </c>
      <c r="D1164" s="431" t="s">
        <v>1038</v>
      </c>
      <c r="E1164" s="431" t="s">
        <v>66</v>
      </c>
      <c r="F1164" s="96">
        <v>816</v>
      </c>
      <c r="G1164" s="129" t="s">
        <v>270</v>
      </c>
      <c r="H1164" s="118" t="str">
        <f>IFERROR(VLOOKUP(E1164,名称!A:E,4,0),"")</f>
        <v>三代</v>
      </c>
      <c r="I1164" s="418" t="str">
        <f t="shared" si="1803"/>
        <v/>
      </c>
      <c r="J1164" s="418" t="str">
        <f t="shared" si="1804"/>
        <v/>
      </c>
      <c r="K1164" s="418" t="str">
        <f t="shared" si="1805"/>
        <v/>
      </c>
      <c r="L1164" s="418" t="str">
        <f t="shared" si="1806"/>
        <v/>
      </c>
      <c r="M1164" s="418" t="str">
        <f t="shared" si="1807"/>
        <v/>
      </c>
      <c r="N1164" s="418" t="str">
        <f t="shared" si="1808"/>
        <v/>
      </c>
      <c r="O1164" s="418" t="str">
        <f t="shared" si="1809"/>
        <v/>
      </c>
      <c r="P1164" s="418" t="str">
        <f t="shared" si="1810"/>
        <v/>
      </c>
      <c r="Q1164" s="418" t="str">
        <f t="shared" si="1811"/>
        <v/>
      </c>
      <c r="R1164" s="418" t="str">
        <f t="shared" si="1812"/>
        <v/>
      </c>
      <c r="S1164" s="418" t="str">
        <f t="shared" si="1813"/>
        <v/>
      </c>
      <c r="T1164" s="418" t="str">
        <f t="shared" si="1814"/>
        <v/>
      </c>
      <c r="U1164" s="418" t="str">
        <f t="shared" si="1815"/>
        <v/>
      </c>
      <c r="V1164" s="418" t="str">
        <f t="shared" si="1816"/>
        <v/>
      </c>
      <c r="W1164" s="418" t="str">
        <f t="shared" si="1817"/>
        <v/>
      </c>
      <c r="X1164" s="418" t="str">
        <f t="shared" si="1818"/>
        <v/>
      </c>
      <c r="Y1164" s="418" t="str">
        <f t="shared" si="1819"/>
        <v/>
      </c>
      <c r="Z1164" s="418" t="str">
        <f t="shared" si="1820"/>
        <v/>
      </c>
      <c r="AA1164" s="418" t="str">
        <f t="shared" si="1821"/>
        <v/>
      </c>
      <c r="AB1164" s="418" t="str">
        <f t="shared" si="1822"/>
        <v/>
      </c>
      <c r="AC1164" s="418" t="str">
        <f t="shared" si="1823"/>
        <v/>
      </c>
      <c r="AD1164" s="418" t="str">
        <f t="shared" si="1824"/>
        <v/>
      </c>
      <c r="AE1164" s="418" t="str">
        <f t="shared" si="1825"/>
        <v/>
      </c>
      <c r="AF1164" s="418" t="str">
        <f t="shared" si="1826"/>
        <v/>
      </c>
      <c r="AG1164" s="418">
        <f t="shared" si="1827"/>
        <v>816</v>
      </c>
      <c r="AH1164" s="418" t="str">
        <f t="shared" si="1828"/>
        <v/>
      </c>
      <c r="AI1164" s="418" t="str">
        <f t="shared" si="1829"/>
        <v/>
      </c>
      <c r="AJ1164" s="418" t="str">
        <f t="shared" si="1830"/>
        <v/>
      </c>
      <c r="AK1164" s="418" t="str">
        <f t="shared" si="1831"/>
        <v/>
      </c>
      <c r="AL1164" s="418" t="str">
        <f t="shared" si="1832"/>
        <v/>
      </c>
      <c r="AM1164" s="418" t="str">
        <f t="shared" si="1833"/>
        <v/>
      </c>
      <c r="AN1164" s="418" t="str">
        <f t="shared" si="1834"/>
        <v/>
      </c>
      <c r="AO1164" s="418" t="str">
        <f t="shared" si="1835"/>
        <v/>
      </c>
      <c r="AP1164" s="418" t="str">
        <f t="shared" si="1836"/>
        <v/>
      </c>
      <c r="AQ1164" s="418" t="str">
        <f t="shared" si="1837"/>
        <v/>
      </c>
      <c r="AR1164" s="418" t="str">
        <f t="shared" si="1838"/>
        <v/>
      </c>
      <c r="AS1164" s="418" t="str">
        <f t="shared" si="1839"/>
        <v/>
      </c>
      <c r="AT1164" s="418" t="str">
        <f t="shared" si="1840"/>
        <v/>
      </c>
      <c r="AU1164" s="418" t="str">
        <f t="shared" si="1841"/>
        <v/>
      </c>
      <c r="AV1164" s="418" t="str">
        <f t="shared" si="1842"/>
        <v/>
      </c>
      <c r="AW1164" s="418" t="str">
        <f t="shared" si="1843"/>
        <v/>
      </c>
      <c r="AX1164" s="418" t="str">
        <f t="shared" si="1844"/>
        <v/>
      </c>
      <c r="AY1164" s="418" t="str">
        <f t="shared" si="1845"/>
        <v/>
      </c>
      <c r="AZ1164" s="418" t="str">
        <f t="shared" si="1846"/>
        <v/>
      </c>
      <c r="BA1164" s="418" t="str">
        <f t="shared" si="1847"/>
        <v/>
      </c>
      <c r="BB1164" s="418" t="str">
        <f t="shared" si="1848"/>
        <v/>
      </c>
      <c r="BC1164" s="418" t="str">
        <f t="shared" si="1849"/>
        <v/>
      </c>
      <c r="BD1164" s="418" t="str">
        <f t="shared" si="1850"/>
        <v/>
      </c>
      <c r="BE1164" s="418" t="str">
        <f t="shared" si="1851"/>
        <v/>
      </c>
      <c r="BF1164" s="418" t="str">
        <f t="shared" si="1852"/>
        <v/>
      </c>
      <c r="BG1164" s="418" t="str">
        <f t="shared" si="1853"/>
        <v/>
      </c>
      <c r="BH1164" s="418" t="str">
        <f t="shared" si="1854"/>
        <v/>
      </c>
      <c r="BI1164" s="418" t="str">
        <f t="shared" si="1855"/>
        <v/>
      </c>
      <c r="BJ1164" s="418" t="str">
        <f t="shared" si="1856"/>
        <v/>
      </c>
      <c r="BK1164" s="418" t="str">
        <f t="shared" si="1857"/>
        <v/>
      </c>
      <c r="BL1164" s="418" t="str">
        <f t="shared" si="1858"/>
        <v/>
      </c>
      <c r="BM1164" s="418" t="str">
        <f t="shared" si="1859"/>
        <v/>
      </c>
      <c r="BN1164" s="418" t="str">
        <f t="shared" si="1860"/>
        <v/>
      </c>
      <c r="BO1164" s="418" t="str">
        <f t="shared" si="1861"/>
        <v/>
      </c>
      <c r="BP1164" s="418" t="str">
        <f t="shared" si="1862"/>
        <v/>
      </c>
      <c r="BQ1164" s="418" t="str">
        <f t="shared" si="1863"/>
        <v/>
      </c>
      <c r="BR1164" s="418" t="str">
        <f t="shared" si="1864"/>
        <v/>
      </c>
      <c r="BS1164" s="418" t="str">
        <f t="shared" si="1865"/>
        <v/>
      </c>
      <c r="BT1164" s="418" t="str">
        <f t="shared" si="1866"/>
        <v/>
      </c>
      <c r="BU1164" s="418" t="str">
        <f t="shared" si="1867"/>
        <v/>
      </c>
      <c r="BV1164" s="624">
        <v>2.09</v>
      </c>
      <c r="BW1164" s="723">
        <f t="shared" si="1868"/>
        <v>1705.44</v>
      </c>
      <c r="BX1164" s="724">
        <f t="shared" si="1869"/>
        <v>13217.16</v>
      </c>
      <c r="BY1164" s="725" t="str">
        <f t="shared" si="1870"/>
        <v>SR</v>
      </c>
    </row>
    <row r="1165" s="697" customFormat="1" customHeight="1" spans="1:77">
      <c r="A1165" s="362">
        <v>46213</v>
      </c>
      <c r="B1165" s="362">
        <v>46275</v>
      </c>
      <c r="C1165" s="431" t="s">
        <v>1037</v>
      </c>
      <c r="D1165" s="431" t="s">
        <v>1038</v>
      </c>
      <c r="E1165" s="431" t="s">
        <v>85</v>
      </c>
      <c r="F1165" s="96">
        <v>1440</v>
      </c>
      <c r="G1165" s="129" t="s">
        <v>270</v>
      </c>
      <c r="H1165" s="118" t="str">
        <f>IFERROR(VLOOKUP(E1165,名称!A:E,4,0),"")</f>
        <v>三代</v>
      </c>
      <c r="I1165" s="418" t="str">
        <f t="shared" si="1803"/>
        <v/>
      </c>
      <c r="J1165" s="418" t="str">
        <f t="shared" si="1804"/>
        <v/>
      </c>
      <c r="K1165" s="418" t="str">
        <f t="shared" si="1805"/>
        <v/>
      </c>
      <c r="L1165" s="418" t="str">
        <f t="shared" si="1806"/>
        <v/>
      </c>
      <c r="M1165" s="418" t="str">
        <f t="shared" si="1807"/>
        <v/>
      </c>
      <c r="N1165" s="418" t="str">
        <f t="shared" si="1808"/>
        <v/>
      </c>
      <c r="O1165" s="418" t="str">
        <f t="shared" si="1809"/>
        <v/>
      </c>
      <c r="P1165" s="418" t="str">
        <f t="shared" si="1810"/>
        <v/>
      </c>
      <c r="Q1165" s="418" t="str">
        <f t="shared" si="1811"/>
        <v/>
      </c>
      <c r="R1165" s="418" t="str">
        <f t="shared" si="1812"/>
        <v/>
      </c>
      <c r="S1165" s="418" t="str">
        <f t="shared" si="1813"/>
        <v/>
      </c>
      <c r="T1165" s="418" t="str">
        <f t="shared" si="1814"/>
        <v/>
      </c>
      <c r="U1165" s="418" t="str">
        <f t="shared" si="1815"/>
        <v/>
      </c>
      <c r="V1165" s="418" t="str">
        <f t="shared" si="1816"/>
        <v/>
      </c>
      <c r="W1165" s="418" t="str">
        <f t="shared" si="1817"/>
        <v/>
      </c>
      <c r="X1165" s="418" t="str">
        <f t="shared" si="1818"/>
        <v/>
      </c>
      <c r="Y1165" s="418" t="str">
        <f t="shared" si="1819"/>
        <v/>
      </c>
      <c r="Z1165" s="418" t="str">
        <f t="shared" si="1820"/>
        <v/>
      </c>
      <c r="AA1165" s="418" t="str">
        <f t="shared" si="1821"/>
        <v/>
      </c>
      <c r="AB1165" s="418" t="str">
        <f t="shared" si="1822"/>
        <v/>
      </c>
      <c r="AC1165" s="418" t="str">
        <f t="shared" si="1823"/>
        <v/>
      </c>
      <c r="AD1165" s="418" t="str">
        <f t="shared" si="1824"/>
        <v/>
      </c>
      <c r="AE1165" s="418" t="str">
        <f t="shared" si="1825"/>
        <v/>
      </c>
      <c r="AF1165" s="418" t="str">
        <f t="shared" si="1826"/>
        <v/>
      </c>
      <c r="AG1165" s="418" t="str">
        <f t="shared" si="1827"/>
        <v/>
      </c>
      <c r="AH1165" s="418" t="str">
        <f t="shared" si="1828"/>
        <v/>
      </c>
      <c r="AI1165" s="418" t="str">
        <f t="shared" si="1829"/>
        <v/>
      </c>
      <c r="AJ1165" s="418" t="str">
        <f t="shared" si="1830"/>
        <v/>
      </c>
      <c r="AK1165" s="418" t="str">
        <f t="shared" si="1831"/>
        <v/>
      </c>
      <c r="AL1165" s="418" t="str">
        <f t="shared" si="1832"/>
        <v/>
      </c>
      <c r="AM1165" s="418" t="str">
        <f t="shared" si="1833"/>
        <v/>
      </c>
      <c r="AN1165" s="418">
        <f t="shared" si="1834"/>
        <v>1440</v>
      </c>
      <c r="AO1165" s="418" t="str">
        <f t="shared" si="1835"/>
        <v/>
      </c>
      <c r="AP1165" s="418" t="str">
        <f t="shared" si="1836"/>
        <v/>
      </c>
      <c r="AQ1165" s="418" t="str">
        <f t="shared" si="1837"/>
        <v/>
      </c>
      <c r="AR1165" s="418" t="str">
        <f t="shared" si="1838"/>
        <v/>
      </c>
      <c r="AS1165" s="418" t="str">
        <f t="shared" si="1839"/>
        <v/>
      </c>
      <c r="AT1165" s="418" t="str">
        <f t="shared" si="1840"/>
        <v/>
      </c>
      <c r="AU1165" s="418" t="str">
        <f t="shared" si="1841"/>
        <v/>
      </c>
      <c r="AV1165" s="418" t="str">
        <f t="shared" si="1842"/>
        <v/>
      </c>
      <c r="AW1165" s="418" t="str">
        <f t="shared" si="1843"/>
        <v/>
      </c>
      <c r="AX1165" s="418" t="str">
        <f t="shared" si="1844"/>
        <v/>
      </c>
      <c r="AY1165" s="418" t="str">
        <f t="shared" si="1845"/>
        <v/>
      </c>
      <c r="AZ1165" s="418" t="str">
        <f t="shared" si="1846"/>
        <v/>
      </c>
      <c r="BA1165" s="418" t="str">
        <f t="shared" si="1847"/>
        <v/>
      </c>
      <c r="BB1165" s="418" t="str">
        <f t="shared" si="1848"/>
        <v/>
      </c>
      <c r="BC1165" s="418" t="str">
        <f t="shared" si="1849"/>
        <v/>
      </c>
      <c r="BD1165" s="418" t="str">
        <f t="shared" si="1850"/>
        <v/>
      </c>
      <c r="BE1165" s="418" t="str">
        <f t="shared" si="1851"/>
        <v/>
      </c>
      <c r="BF1165" s="418" t="str">
        <f t="shared" si="1852"/>
        <v/>
      </c>
      <c r="BG1165" s="418" t="str">
        <f t="shared" si="1853"/>
        <v/>
      </c>
      <c r="BH1165" s="418" t="str">
        <f t="shared" si="1854"/>
        <v/>
      </c>
      <c r="BI1165" s="418" t="str">
        <f t="shared" si="1855"/>
        <v/>
      </c>
      <c r="BJ1165" s="418" t="str">
        <f t="shared" si="1856"/>
        <v/>
      </c>
      <c r="BK1165" s="418" t="str">
        <f t="shared" si="1857"/>
        <v/>
      </c>
      <c r="BL1165" s="418" t="str">
        <f t="shared" si="1858"/>
        <v/>
      </c>
      <c r="BM1165" s="418" t="str">
        <f t="shared" si="1859"/>
        <v/>
      </c>
      <c r="BN1165" s="418" t="str">
        <f t="shared" si="1860"/>
        <v/>
      </c>
      <c r="BO1165" s="418" t="str">
        <f t="shared" si="1861"/>
        <v/>
      </c>
      <c r="BP1165" s="418" t="str">
        <f t="shared" si="1862"/>
        <v/>
      </c>
      <c r="BQ1165" s="418" t="str">
        <f t="shared" si="1863"/>
        <v/>
      </c>
      <c r="BR1165" s="418" t="str">
        <f t="shared" si="1864"/>
        <v/>
      </c>
      <c r="BS1165" s="418" t="str">
        <f t="shared" si="1865"/>
        <v/>
      </c>
      <c r="BT1165" s="418" t="str">
        <f t="shared" si="1866"/>
        <v/>
      </c>
      <c r="BU1165" s="418" t="str">
        <f t="shared" si="1867"/>
        <v/>
      </c>
      <c r="BV1165" s="624">
        <v>0.88</v>
      </c>
      <c r="BW1165" s="723">
        <f t="shared" si="1868"/>
        <v>1267.2</v>
      </c>
      <c r="BX1165" s="724">
        <f t="shared" si="1869"/>
        <v>9820.8</v>
      </c>
      <c r="BY1165" s="725" t="str">
        <f t="shared" si="1870"/>
        <v>SR</v>
      </c>
    </row>
    <row r="1166" s="697" customFormat="1" customHeight="1" spans="1:77">
      <c r="A1166" s="362">
        <v>46213</v>
      </c>
      <c r="B1166" s="362">
        <v>46275</v>
      </c>
      <c r="C1166" s="431" t="s">
        <v>1037</v>
      </c>
      <c r="D1166" s="431" t="s">
        <v>1038</v>
      </c>
      <c r="E1166" s="431" t="s">
        <v>92</v>
      </c>
      <c r="F1166" s="96">
        <v>960</v>
      </c>
      <c r="G1166" s="129" t="s">
        <v>270</v>
      </c>
      <c r="H1166" s="118" t="str">
        <f>IFERROR(VLOOKUP(E1166,名称!A:E,4,0),"")</f>
        <v>三代</v>
      </c>
      <c r="I1166" s="418" t="str">
        <f t="shared" si="1803"/>
        <v/>
      </c>
      <c r="J1166" s="418" t="str">
        <f t="shared" si="1804"/>
        <v/>
      </c>
      <c r="K1166" s="418" t="str">
        <f t="shared" si="1805"/>
        <v/>
      </c>
      <c r="L1166" s="418" t="str">
        <f t="shared" si="1806"/>
        <v/>
      </c>
      <c r="M1166" s="418" t="str">
        <f t="shared" si="1807"/>
        <v/>
      </c>
      <c r="N1166" s="418" t="str">
        <f t="shared" si="1808"/>
        <v/>
      </c>
      <c r="O1166" s="418" t="str">
        <f t="shared" si="1809"/>
        <v/>
      </c>
      <c r="P1166" s="418" t="str">
        <f t="shared" si="1810"/>
        <v/>
      </c>
      <c r="Q1166" s="418" t="str">
        <f t="shared" si="1811"/>
        <v/>
      </c>
      <c r="R1166" s="418" t="str">
        <f t="shared" si="1812"/>
        <v/>
      </c>
      <c r="S1166" s="418" t="str">
        <f t="shared" si="1813"/>
        <v/>
      </c>
      <c r="T1166" s="418" t="str">
        <f t="shared" si="1814"/>
        <v/>
      </c>
      <c r="U1166" s="418" t="str">
        <f t="shared" si="1815"/>
        <v/>
      </c>
      <c r="V1166" s="418" t="str">
        <f t="shared" si="1816"/>
        <v/>
      </c>
      <c r="W1166" s="418" t="str">
        <f t="shared" si="1817"/>
        <v/>
      </c>
      <c r="X1166" s="418" t="str">
        <f t="shared" si="1818"/>
        <v/>
      </c>
      <c r="Y1166" s="418" t="str">
        <f t="shared" si="1819"/>
        <v/>
      </c>
      <c r="Z1166" s="418" t="str">
        <f t="shared" si="1820"/>
        <v/>
      </c>
      <c r="AA1166" s="418" t="str">
        <f t="shared" si="1821"/>
        <v/>
      </c>
      <c r="AB1166" s="418" t="str">
        <f t="shared" si="1822"/>
        <v/>
      </c>
      <c r="AC1166" s="418" t="str">
        <f t="shared" si="1823"/>
        <v/>
      </c>
      <c r="AD1166" s="418" t="str">
        <f t="shared" si="1824"/>
        <v/>
      </c>
      <c r="AE1166" s="418" t="str">
        <f t="shared" si="1825"/>
        <v/>
      </c>
      <c r="AF1166" s="418" t="str">
        <f t="shared" si="1826"/>
        <v/>
      </c>
      <c r="AG1166" s="418" t="str">
        <f t="shared" si="1827"/>
        <v/>
      </c>
      <c r="AH1166" s="418" t="str">
        <f t="shared" si="1828"/>
        <v/>
      </c>
      <c r="AI1166" s="418" t="str">
        <f t="shared" si="1829"/>
        <v/>
      </c>
      <c r="AJ1166" s="418" t="str">
        <f t="shared" si="1830"/>
        <v/>
      </c>
      <c r="AK1166" s="418" t="str">
        <f t="shared" si="1831"/>
        <v/>
      </c>
      <c r="AL1166" s="418" t="str">
        <f t="shared" si="1832"/>
        <v/>
      </c>
      <c r="AM1166" s="418" t="str">
        <f t="shared" si="1833"/>
        <v/>
      </c>
      <c r="AN1166" s="418" t="str">
        <f t="shared" si="1834"/>
        <v/>
      </c>
      <c r="AO1166" s="418" t="str">
        <f t="shared" si="1835"/>
        <v/>
      </c>
      <c r="AP1166" s="418" t="str">
        <f t="shared" si="1836"/>
        <v/>
      </c>
      <c r="AQ1166" s="418" t="str">
        <f t="shared" si="1837"/>
        <v/>
      </c>
      <c r="AR1166" s="418" t="str">
        <f t="shared" si="1838"/>
        <v/>
      </c>
      <c r="AS1166" s="418" t="str">
        <f t="shared" si="1839"/>
        <v/>
      </c>
      <c r="AT1166" s="418" t="str">
        <f t="shared" si="1840"/>
        <v/>
      </c>
      <c r="AU1166" s="418" t="str">
        <f t="shared" si="1841"/>
        <v/>
      </c>
      <c r="AV1166" s="418" t="str">
        <f t="shared" si="1842"/>
        <v/>
      </c>
      <c r="AW1166" s="418" t="str">
        <f t="shared" si="1843"/>
        <v/>
      </c>
      <c r="AX1166" s="418">
        <f t="shared" si="1844"/>
        <v>960</v>
      </c>
      <c r="AY1166" s="418" t="str">
        <f t="shared" si="1845"/>
        <v/>
      </c>
      <c r="AZ1166" s="418" t="str">
        <f t="shared" si="1846"/>
        <v/>
      </c>
      <c r="BA1166" s="418" t="str">
        <f t="shared" si="1847"/>
        <v/>
      </c>
      <c r="BB1166" s="418" t="str">
        <f t="shared" si="1848"/>
        <v/>
      </c>
      <c r="BC1166" s="418" t="str">
        <f t="shared" si="1849"/>
        <v/>
      </c>
      <c r="BD1166" s="418" t="str">
        <f t="shared" si="1850"/>
        <v/>
      </c>
      <c r="BE1166" s="418" t="str">
        <f t="shared" si="1851"/>
        <v/>
      </c>
      <c r="BF1166" s="418" t="str">
        <f t="shared" si="1852"/>
        <v/>
      </c>
      <c r="BG1166" s="418" t="str">
        <f t="shared" si="1853"/>
        <v/>
      </c>
      <c r="BH1166" s="418" t="str">
        <f t="shared" si="1854"/>
        <v/>
      </c>
      <c r="BI1166" s="418" t="str">
        <f t="shared" si="1855"/>
        <v/>
      </c>
      <c r="BJ1166" s="418" t="str">
        <f t="shared" si="1856"/>
        <v/>
      </c>
      <c r="BK1166" s="418" t="str">
        <f t="shared" si="1857"/>
        <v/>
      </c>
      <c r="BL1166" s="418" t="str">
        <f t="shared" si="1858"/>
        <v/>
      </c>
      <c r="BM1166" s="418" t="str">
        <f t="shared" si="1859"/>
        <v/>
      </c>
      <c r="BN1166" s="418" t="str">
        <f t="shared" si="1860"/>
        <v/>
      </c>
      <c r="BO1166" s="418" t="str">
        <f t="shared" si="1861"/>
        <v/>
      </c>
      <c r="BP1166" s="418" t="str">
        <f t="shared" si="1862"/>
        <v/>
      </c>
      <c r="BQ1166" s="418" t="str">
        <f t="shared" si="1863"/>
        <v/>
      </c>
      <c r="BR1166" s="418" t="str">
        <f t="shared" si="1864"/>
        <v/>
      </c>
      <c r="BS1166" s="418" t="str">
        <f t="shared" si="1865"/>
        <v/>
      </c>
      <c r="BT1166" s="418" t="str">
        <f t="shared" si="1866"/>
        <v/>
      </c>
      <c r="BU1166" s="418" t="str">
        <f t="shared" si="1867"/>
        <v/>
      </c>
      <c r="BV1166" s="624">
        <v>0.91</v>
      </c>
      <c r="BW1166" s="723">
        <f t="shared" si="1868"/>
        <v>873.6</v>
      </c>
      <c r="BX1166" s="724">
        <f t="shared" si="1869"/>
        <v>6770.4</v>
      </c>
      <c r="BY1166" s="725" t="str">
        <f t="shared" si="1870"/>
        <v>SR</v>
      </c>
    </row>
    <row r="1167" s="697" customFormat="1" customHeight="1" spans="1:77">
      <c r="A1167" s="362">
        <v>46213</v>
      </c>
      <c r="B1167" s="362">
        <v>46272</v>
      </c>
      <c r="C1167" s="431" t="s">
        <v>1039</v>
      </c>
      <c r="D1167" s="431" t="s">
        <v>1040</v>
      </c>
      <c r="E1167" s="431" t="s">
        <v>84</v>
      </c>
      <c r="F1167" s="96">
        <v>48006</v>
      </c>
      <c r="G1167" s="431" t="s">
        <v>334</v>
      </c>
      <c r="H1167" s="118" t="str">
        <f>IFERROR(VLOOKUP(E1167,名称!A:E,4,0),"")</f>
        <v>三代</v>
      </c>
      <c r="I1167" s="418" t="str">
        <f t="shared" si="1803"/>
        <v/>
      </c>
      <c r="J1167" s="418" t="str">
        <f t="shared" si="1804"/>
        <v/>
      </c>
      <c r="K1167" s="418" t="str">
        <f t="shared" si="1805"/>
        <v/>
      </c>
      <c r="L1167" s="418" t="str">
        <f t="shared" si="1806"/>
        <v/>
      </c>
      <c r="M1167" s="418" t="str">
        <f t="shared" si="1807"/>
        <v/>
      </c>
      <c r="N1167" s="418" t="str">
        <f t="shared" si="1808"/>
        <v/>
      </c>
      <c r="O1167" s="418" t="str">
        <f t="shared" si="1809"/>
        <v/>
      </c>
      <c r="P1167" s="418" t="str">
        <f t="shared" si="1810"/>
        <v/>
      </c>
      <c r="Q1167" s="418" t="str">
        <f t="shared" si="1811"/>
        <v/>
      </c>
      <c r="R1167" s="418" t="str">
        <f t="shared" si="1812"/>
        <v/>
      </c>
      <c r="S1167" s="418" t="str">
        <f t="shared" si="1813"/>
        <v/>
      </c>
      <c r="T1167" s="418" t="str">
        <f t="shared" si="1814"/>
        <v/>
      </c>
      <c r="U1167" s="418" t="str">
        <f t="shared" si="1815"/>
        <v/>
      </c>
      <c r="V1167" s="418" t="str">
        <f t="shared" si="1816"/>
        <v/>
      </c>
      <c r="W1167" s="418" t="str">
        <f t="shared" si="1817"/>
        <v/>
      </c>
      <c r="X1167" s="418" t="str">
        <f t="shared" si="1818"/>
        <v/>
      </c>
      <c r="Y1167" s="418" t="str">
        <f t="shared" si="1819"/>
        <v/>
      </c>
      <c r="Z1167" s="418" t="str">
        <f t="shared" si="1820"/>
        <v/>
      </c>
      <c r="AA1167" s="418" t="str">
        <f t="shared" si="1821"/>
        <v/>
      </c>
      <c r="AB1167" s="418" t="str">
        <f t="shared" si="1822"/>
        <v/>
      </c>
      <c r="AC1167" s="418" t="str">
        <f t="shared" si="1823"/>
        <v/>
      </c>
      <c r="AD1167" s="418" t="str">
        <f t="shared" si="1824"/>
        <v/>
      </c>
      <c r="AE1167" s="418" t="str">
        <f t="shared" si="1825"/>
        <v/>
      </c>
      <c r="AF1167" s="418" t="str">
        <f t="shared" si="1826"/>
        <v/>
      </c>
      <c r="AG1167" s="418" t="str">
        <f t="shared" si="1827"/>
        <v/>
      </c>
      <c r="AH1167" s="418" t="str">
        <f t="shared" si="1828"/>
        <v/>
      </c>
      <c r="AI1167" s="418" t="str">
        <f t="shared" si="1829"/>
        <v/>
      </c>
      <c r="AJ1167" s="418" t="str">
        <f t="shared" si="1830"/>
        <v/>
      </c>
      <c r="AK1167" s="418" t="str">
        <f t="shared" si="1831"/>
        <v/>
      </c>
      <c r="AL1167" s="418" t="str">
        <f t="shared" si="1832"/>
        <v/>
      </c>
      <c r="AM1167" s="418" t="str">
        <f t="shared" si="1833"/>
        <v/>
      </c>
      <c r="AN1167" s="418">
        <f t="shared" si="1834"/>
        <v>48006</v>
      </c>
      <c r="AO1167" s="418" t="str">
        <f t="shared" si="1835"/>
        <v/>
      </c>
      <c r="AP1167" s="418" t="str">
        <f t="shared" si="1836"/>
        <v/>
      </c>
      <c r="AQ1167" s="418" t="str">
        <f t="shared" si="1837"/>
        <v/>
      </c>
      <c r="AR1167" s="418" t="str">
        <f t="shared" si="1838"/>
        <v/>
      </c>
      <c r="AS1167" s="418" t="str">
        <f t="shared" si="1839"/>
        <v/>
      </c>
      <c r="AT1167" s="418" t="str">
        <f t="shared" si="1840"/>
        <v/>
      </c>
      <c r="AU1167" s="418" t="str">
        <f t="shared" si="1841"/>
        <v/>
      </c>
      <c r="AV1167" s="418" t="str">
        <f t="shared" si="1842"/>
        <v/>
      </c>
      <c r="AW1167" s="418" t="str">
        <f t="shared" si="1843"/>
        <v/>
      </c>
      <c r="AX1167" s="418" t="str">
        <f t="shared" si="1844"/>
        <v/>
      </c>
      <c r="AY1167" s="418" t="str">
        <f t="shared" si="1845"/>
        <v/>
      </c>
      <c r="AZ1167" s="418" t="str">
        <f t="shared" si="1846"/>
        <v/>
      </c>
      <c r="BA1167" s="418" t="str">
        <f t="shared" si="1847"/>
        <v/>
      </c>
      <c r="BB1167" s="418" t="str">
        <f t="shared" si="1848"/>
        <v/>
      </c>
      <c r="BC1167" s="418" t="str">
        <f t="shared" si="1849"/>
        <v/>
      </c>
      <c r="BD1167" s="418" t="str">
        <f t="shared" si="1850"/>
        <v/>
      </c>
      <c r="BE1167" s="418" t="str">
        <f t="shared" si="1851"/>
        <v/>
      </c>
      <c r="BF1167" s="418" t="str">
        <f t="shared" si="1852"/>
        <v/>
      </c>
      <c r="BG1167" s="418" t="str">
        <f t="shared" si="1853"/>
        <v/>
      </c>
      <c r="BH1167" s="418" t="str">
        <f t="shared" si="1854"/>
        <v/>
      </c>
      <c r="BI1167" s="418" t="str">
        <f t="shared" si="1855"/>
        <v/>
      </c>
      <c r="BJ1167" s="418" t="str">
        <f t="shared" si="1856"/>
        <v/>
      </c>
      <c r="BK1167" s="418" t="str">
        <f t="shared" si="1857"/>
        <v/>
      </c>
      <c r="BL1167" s="418" t="str">
        <f t="shared" si="1858"/>
        <v/>
      </c>
      <c r="BM1167" s="418" t="str">
        <f t="shared" si="1859"/>
        <v/>
      </c>
      <c r="BN1167" s="418" t="str">
        <f t="shared" si="1860"/>
        <v/>
      </c>
      <c r="BO1167" s="418" t="str">
        <f t="shared" si="1861"/>
        <v/>
      </c>
      <c r="BP1167" s="418" t="str">
        <f t="shared" si="1862"/>
        <v/>
      </c>
      <c r="BQ1167" s="418" t="str">
        <f t="shared" si="1863"/>
        <v/>
      </c>
      <c r="BR1167" s="418" t="str">
        <f t="shared" si="1864"/>
        <v/>
      </c>
      <c r="BS1167" s="418" t="str">
        <f t="shared" si="1865"/>
        <v/>
      </c>
      <c r="BT1167" s="418" t="str">
        <f t="shared" si="1866"/>
        <v/>
      </c>
      <c r="BU1167" s="418" t="str">
        <f t="shared" si="1867"/>
        <v/>
      </c>
      <c r="BV1167" s="624">
        <v>0.88</v>
      </c>
      <c r="BW1167" s="723">
        <f t="shared" si="1868"/>
        <v>42245.28</v>
      </c>
      <c r="BX1167" s="724">
        <f t="shared" si="1869"/>
        <v>327400.92</v>
      </c>
      <c r="BY1167" s="725" t="str">
        <f t="shared" si="1870"/>
        <v>SR</v>
      </c>
    </row>
    <row r="1168" s="697" customFormat="1" customHeight="1" spans="1:77">
      <c r="A1168" s="362">
        <v>46216</v>
      </c>
      <c r="B1168" s="362">
        <v>46220</v>
      </c>
      <c r="C1168" s="118"/>
      <c r="D1168" s="129" t="s">
        <v>839</v>
      </c>
      <c r="E1168" s="431" t="s">
        <v>68</v>
      </c>
      <c r="F1168" s="96">
        <v>3</v>
      </c>
      <c r="G1168" s="129" t="s">
        <v>510</v>
      </c>
      <c r="H1168" s="118" t="str">
        <f>IFERROR(VLOOKUP(E1168,名称!A:E,4,0),"")</f>
        <v>三代</v>
      </c>
      <c r="I1168" s="418" t="str">
        <f t="shared" si="1803"/>
        <v/>
      </c>
      <c r="J1168" s="418" t="str">
        <f t="shared" si="1804"/>
        <v/>
      </c>
      <c r="K1168" s="418" t="str">
        <f t="shared" si="1805"/>
        <v/>
      </c>
      <c r="L1168" s="418" t="str">
        <f t="shared" si="1806"/>
        <v/>
      </c>
      <c r="M1168" s="418" t="str">
        <f t="shared" si="1807"/>
        <v/>
      </c>
      <c r="N1168" s="418" t="str">
        <f t="shared" si="1808"/>
        <v/>
      </c>
      <c r="O1168" s="418" t="str">
        <f t="shared" si="1809"/>
        <v/>
      </c>
      <c r="P1168" s="418" t="str">
        <f t="shared" si="1810"/>
        <v/>
      </c>
      <c r="Q1168" s="418" t="str">
        <f t="shared" si="1811"/>
        <v/>
      </c>
      <c r="R1168" s="418" t="str">
        <f t="shared" si="1812"/>
        <v/>
      </c>
      <c r="S1168" s="418" t="str">
        <f t="shared" si="1813"/>
        <v/>
      </c>
      <c r="T1168" s="418" t="str">
        <f t="shared" si="1814"/>
        <v/>
      </c>
      <c r="U1168" s="418" t="str">
        <f t="shared" si="1815"/>
        <v/>
      </c>
      <c r="V1168" s="418" t="str">
        <f t="shared" si="1816"/>
        <v/>
      </c>
      <c r="W1168" s="418" t="str">
        <f t="shared" si="1817"/>
        <v/>
      </c>
      <c r="X1168" s="418" t="str">
        <f t="shared" si="1818"/>
        <v/>
      </c>
      <c r="Y1168" s="418" t="str">
        <f t="shared" si="1819"/>
        <v/>
      </c>
      <c r="Z1168" s="418" t="str">
        <f t="shared" si="1820"/>
        <v/>
      </c>
      <c r="AA1168" s="418" t="str">
        <f t="shared" si="1821"/>
        <v/>
      </c>
      <c r="AB1168" s="418" t="str">
        <f t="shared" si="1822"/>
        <v/>
      </c>
      <c r="AC1168" s="418" t="str">
        <f t="shared" si="1823"/>
        <v/>
      </c>
      <c r="AD1168" s="418" t="str">
        <f t="shared" si="1824"/>
        <v/>
      </c>
      <c r="AE1168" s="418" t="str">
        <f t="shared" si="1825"/>
        <v/>
      </c>
      <c r="AF1168" s="418" t="str">
        <f t="shared" si="1826"/>
        <v/>
      </c>
      <c r="AG1168" s="418" t="str">
        <f t="shared" si="1827"/>
        <v/>
      </c>
      <c r="AH1168" s="418">
        <f t="shared" si="1828"/>
        <v>3</v>
      </c>
      <c r="AI1168" s="418" t="str">
        <f t="shared" si="1829"/>
        <v/>
      </c>
      <c r="AJ1168" s="418" t="str">
        <f t="shared" si="1830"/>
        <v/>
      </c>
      <c r="AK1168" s="418" t="str">
        <f t="shared" si="1831"/>
        <v/>
      </c>
      <c r="AL1168" s="418" t="str">
        <f t="shared" si="1832"/>
        <v/>
      </c>
      <c r="AM1168" s="418" t="str">
        <f t="shared" si="1833"/>
        <v/>
      </c>
      <c r="AN1168" s="418" t="str">
        <f t="shared" si="1834"/>
        <v/>
      </c>
      <c r="AO1168" s="418" t="str">
        <f t="shared" si="1835"/>
        <v/>
      </c>
      <c r="AP1168" s="418" t="str">
        <f t="shared" si="1836"/>
        <v/>
      </c>
      <c r="AQ1168" s="418" t="str">
        <f t="shared" si="1837"/>
        <v/>
      </c>
      <c r="AR1168" s="418" t="str">
        <f t="shared" si="1838"/>
        <v/>
      </c>
      <c r="AS1168" s="418" t="str">
        <f t="shared" si="1839"/>
        <v/>
      </c>
      <c r="AT1168" s="418" t="str">
        <f t="shared" si="1840"/>
        <v/>
      </c>
      <c r="AU1168" s="418" t="str">
        <f t="shared" si="1841"/>
        <v/>
      </c>
      <c r="AV1168" s="418" t="str">
        <f t="shared" si="1842"/>
        <v/>
      </c>
      <c r="AW1168" s="418" t="str">
        <f t="shared" si="1843"/>
        <v/>
      </c>
      <c r="AX1168" s="418" t="str">
        <f t="shared" si="1844"/>
        <v/>
      </c>
      <c r="AY1168" s="418" t="str">
        <f t="shared" si="1845"/>
        <v/>
      </c>
      <c r="AZ1168" s="418" t="str">
        <f t="shared" si="1846"/>
        <v/>
      </c>
      <c r="BA1168" s="418" t="str">
        <f t="shared" si="1847"/>
        <v/>
      </c>
      <c r="BB1168" s="418" t="str">
        <f t="shared" si="1848"/>
        <v/>
      </c>
      <c r="BC1168" s="418" t="str">
        <f t="shared" si="1849"/>
        <v/>
      </c>
      <c r="BD1168" s="418" t="str">
        <f t="shared" si="1850"/>
        <v/>
      </c>
      <c r="BE1168" s="418" t="str">
        <f t="shared" si="1851"/>
        <v/>
      </c>
      <c r="BF1168" s="418" t="str">
        <f t="shared" si="1852"/>
        <v/>
      </c>
      <c r="BG1168" s="418" t="str">
        <f t="shared" si="1853"/>
        <v/>
      </c>
      <c r="BH1168" s="418" t="str">
        <f t="shared" si="1854"/>
        <v/>
      </c>
      <c r="BI1168" s="418" t="str">
        <f t="shared" si="1855"/>
        <v/>
      </c>
      <c r="BJ1168" s="418" t="str">
        <f t="shared" si="1856"/>
        <v/>
      </c>
      <c r="BK1168" s="418" t="str">
        <f t="shared" si="1857"/>
        <v/>
      </c>
      <c r="BL1168" s="418" t="str">
        <f t="shared" si="1858"/>
        <v/>
      </c>
      <c r="BM1168" s="418" t="str">
        <f t="shared" si="1859"/>
        <v/>
      </c>
      <c r="BN1168" s="418" t="str">
        <f t="shared" si="1860"/>
        <v/>
      </c>
      <c r="BO1168" s="418" t="str">
        <f t="shared" si="1861"/>
        <v/>
      </c>
      <c r="BP1168" s="418" t="str">
        <f t="shared" si="1862"/>
        <v/>
      </c>
      <c r="BQ1168" s="418" t="str">
        <f t="shared" si="1863"/>
        <v/>
      </c>
      <c r="BR1168" s="418" t="str">
        <f t="shared" si="1864"/>
        <v/>
      </c>
      <c r="BS1168" s="418" t="str">
        <f t="shared" si="1865"/>
        <v/>
      </c>
      <c r="BT1168" s="418" t="str">
        <f t="shared" si="1866"/>
        <v/>
      </c>
      <c r="BU1168" s="418" t="str">
        <f t="shared" si="1867"/>
        <v/>
      </c>
      <c r="BV1168" s="544"/>
      <c r="BW1168" s="723">
        <f t="shared" si="1868"/>
        <v>0</v>
      </c>
      <c r="BX1168" s="724">
        <f t="shared" si="1869"/>
        <v>0</v>
      </c>
      <c r="BY1168" s="725" t="str">
        <f t="shared" si="1870"/>
        <v>SR</v>
      </c>
    </row>
    <row r="1169" s="697" customFormat="1" customHeight="1" spans="1:77">
      <c r="A1169" s="362">
        <v>46216</v>
      </c>
      <c r="B1169" s="362">
        <v>46220</v>
      </c>
      <c r="C1169" s="118"/>
      <c r="D1169" s="129" t="s">
        <v>839</v>
      </c>
      <c r="E1169" s="431" t="s">
        <v>59</v>
      </c>
      <c r="F1169" s="96">
        <v>48</v>
      </c>
      <c r="G1169" s="129" t="s">
        <v>510</v>
      </c>
      <c r="H1169" s="118" t="str">
        <f>IFERROR(VLOOKUP(E1169,名称!A:E,4,0),"")</f>
        <v>三代</v>
      </c>
      <c r="I1169" s="418" t="str">
        <f t="shared" si="1803"/>
        <v/>
      </c>
      <c r="J1169" s="418" t="str">
        <f t="shared" si="1804"/>
        <v/>
      </c>
      <c r="K1169" s="418" t="str">
        <f t="shared" si="1805"/>
        <v/>
      </c>
      <c r="L1169" s="418" t="str">
        <f t="shared" si="1806"/>
        <v/>
      </c>
      <c r="M1169" s="418" t="str">
        <f t="shared" si="1807"/>
        <v/>
      </c>
      <c r="N1169" s="418" t="str">
        <f t="shared" si="1808"/>
        <v/>
      </c>
      <c r="O1169" s="418" t="str">
        <f t="shared" si="1809"/>
        <v/>
      </c>
      <c r="P1169" s="418" t="str">
        <f t="shared" si="1810"/>
        <v/>
      </c>
      <c r="Q1169" s="418" t="str">
        <f t="shared" si="1811"/>
        <v/>
      </c>
      <c r="R1169" s="418" t="str">
        <f t="shared" si="1812"/>
        <v/>
      </c>
      <c r="S1169" s="418" t="str">
        <f t="shared" si="1813"/>
        <v/>
      </c>
      <c r="T1169" s="418" t="str">
        <f t="shared" si="1814"/>
        <v/>
      </c>
      <c r="U1169" s="418" t="str">
        <f t="shared" si="1815"/>
        <v/>
      </c>
      <c r="V1169" s="418" t="str">
        <f t="shared" si="1816"/>
        <v/>
      </c>
      <c r="W1169" s="418" t="str">
        <f t="shared" si="1817"/>
        <v/>
      </c>
      <c r="X1169" s="418" t="str">
        <f t="shared" si="1818"/>
        <v/>
      </c>
      <c r="Y1169" s="418" t="str">
        <f t="shared" si="1819"/>
        <v/>
      </c>
      <c r="Z1169" s="418" t="str">
        <f t="shared" si="1820"/>
        <v/>
      </c>
      <c r="AA1169" s="418" t="str">
        <f t="shared" si="1821"/>
        <v/>
      </c>
      <c r="AB1169" s="418" t="str">
        <f t="shared" si="1822"/>
        <v/>
      </c>
      <c r="AC1169" s="418" t="str">
        <f t="shared" si="1823"/>
        <v/>
      </c>
      <c r="AD1169" s="418">
        <f t="shared" si="1824"/>
        <v>48</v>
      </c>
      <c r="AE1169" s="418" t="str">
        <f t="shared" si="1825"/>
        <v/>
      </c>
      <c r="AF1169" s="418" t="str">
        <f t="shared" si="1826"/>
        <v/>
      </c>
      <c r="AG1169" s="418" t="str">
        <f t="shared" si="1827"/>
        <v/>
      </c>
      <c r="AH1169" s="418" t="str">
        <f t="shared" si="1828"/>
        <v/>
      </c>
      <c r="AI1169" s="418" t="str">
        <f t="shared" si="1829"/>
        <v/>
      </c>
      <c r="AJ1169" s="418" t="str">
        <f t="shared" si="1830"/>
        <v/>
      </c>
      <c r="AK1169" s="418" t="str">
        <f t="shared" si="1831"/>
        <v/>
      </c>
      <c r="AL1169" s="418" t="str">
        <f t="shared" si="1832"/>
        <v/>
      </c>
      <c r="AM1169" s="418" t="str">
        <f t="shared" si="1833"/>
        <v/>
      </c>
      <c r="AN1169" s="418" t="str">
        <f t="shared" si="1834"/>
        <v/>
      </c>
      <c r="AO1169" s="418" t="str">
        <f t="shared" si="1835"/>
        <v/>
      </c>
      <c r="AP1169" s="418" t="str">
        <f t="shared" si="1836"/>
        <v/>
      </c>
      <c r="AQ1169" s="418" t="str">
        <f t="shared" si="1837"/>
        <v/>
      </c>
      <c r="AR1169" s="418" t="str">
        <f t="shared" si="1838"/>
        <v/>
      </c>
      <c r="AS1169" s="418" t="str">
        <f t="shared" si="1839"/>
        <v/>
      </c>
      <c r="AT1169" s="418" t="str">
        <f t="shared" si="1840"/>
        <v/>
      </c>
      <c r="AU1169" s="418" t="str">
        <f t="shared" si="1841"/>
        <v/>
      </c>
      <c r="AV1169" s="418" t="str">
        <f t="shared" si="1842"/>
        <v/>
      </c>
      <c r="AW1169" s="418" t="str">
        <f t="shared" si="1843"/>
        <v/>
      </c>
      <c r="AX1169" s="418" t="str">
        <f t="shared" si="1844"/>
        <v/>
      </c>
      <c r="AY1169" s="418" t="str">
        <f t="shared" si="1845"/>
        <v/>
      </c>
      <c r="AZ1169" s="418" t="str">
        <f t="shared" si="1846"/>
        <v/>
      </c>
      <c r="BA1169" s="418" t="str">
        <f t="shared" si="1847"/>
        <v/>
      </c>
      <c r="BB1169" s="418" t="str">
        <f t="shared" si="1848"/>
        <v/>
      </c>
      <c r="BC1169" s="418" t="str">
        <f t="shared" si="1849"/>
        <v/>
      </c>
      <c r="BD1169" s="418" t="str">
        <f t="shared" si="1850"/>
        <v/>
      </c>
      <c r="BE1169" s="418" t="str">
        <f t="shared" si="1851"/>
        <v/>
      </c>
      <c r="BF1169" s="418" t="str">
        <f t="shared" si="1852"/>
        <v/>
      </c>
      <c r="BG1169" s="418" t="str">
        <f t="shared" si="1853"/>
        <v/>
      </c>
      <c r="BH1169" s="418" t="str">
        <f t="shared" si="1854"/>
        <v/>
      </c>
      <c r="BI1169" s="418" t="str">
        <f t="shared" si="1855"/>
        <v/>
      </c>
      <c r="BJ1169" s="418" t="str">
        <f t="shared" si="1856"/>
        <v/>
      </c>
      <c r="BK1169" s="418" t="str">
        <f t="shared" si="1857"/>
        <v/>
      </c>
      <c r="BL1169" s="418" t="str">
        <f t="shared" si="1858"/>
        <v/>
      </c>
      <c r="BM1169" s="418" t="str">
        <f t="shared" si="1859"/>
        <v/>
      </c>
      <c r="BN1169" s="418" t="str">
        <f t="shared" si="1860"/>
        <v/>
      </c>
      <c r="BO1169" s="418" t="str">
        <f t="shared" si="1861"/>
        <v/>
      </c>
      <c r="BP1169" s="418" t="str">
        <f t="shared" si="1862"/>
        <v/>
      </c>
      <c r="BQ1169" s="418" t="str">
        <f t="shared" si="1863"/>
        <v/>
      </c>
      <c r="BR1169" s="418" t="str">
        <f t="shared" si="1864"/>
        <v/>
      </c>
      <c r="BS1169" s="418" t="str">
        <f t="shared" si="1865"/>
        <v/>
      </c>
      <c r="BT1169" s="418" t="str">
        <f t="shared" si="1866"/>
        <v/>
      </c>
      <c r="BU1169" s="418" t="str">
        <f t="shared" si="1867"/>
        <v/>
      </c>
      <c r="BV1169" s="544"/>
      <c r="BW1169" s="723">
        <f t="shared" si="1868"/>
        <v>0</v>
      </c>
      <c r="BX1169" s="724">
        <f t="shared" si="1869"/>
        <v>0</v>
      </c>
      <c r="BY1169" s="725" t="str">
        <f t="shared" si="1870"/>
        <v>SR</v>
      </c>
    </row>
    <row r="1170" s="697" customFormat="1" customHeight="1" spans="1:77">
      <c r="A1170" s="362">
        <v>46216</v>
      </c>
      <c r="B1170" s="362">
        <v>46220</v>
      </c>
      <c r="C1170" s="118"/>
      <c r="D1170" s="129" t="s">
        <v>839</v>
      </c>
      <c r="E1170" s="431" t="s">
        <v>71</v>
      </c>
      <c r="F1170" s="96">
        <v>2</v>
      </c>
      <c r="G1170" s="129" t="s">
        <v>510</v>
      </c>
      <c r="H1170" s="118" t="str">
        <f>IFERROR(VLOOKUP(E1170,名称!A:E,4,0),"")</f>
        <v>三代</v>
      </c>
      <c r="I1170" s="418" t="str">
        <f t="shared" si="1803"/>
        <v/>
      </c>
      <c r="J1170" s="418" t="str">
        <f t="shared" si="1804"/>
        <v/>
      </c>
      <c r="K1170" s="418" t="str">
        <f t="shared" si="1805"/>
        <v/>
      </c>
      <c r="L1170" s="418" t="str">
        <f t="shared" si="1806"/>
        <v/>
      </c>
      <c r="M1170" s="418" t="str">
        <f t="shared" si="1807"/>
        <v/>
      </c>
      <c r="N1170" s="418" t="str">
        <f t="shared" si="1808"/>
        <v/>
      </c>
      <c r="O1170" s="418" t="str">
        <f t="shared" si="1809"/>
        <v/>
      </c>
      <c r="P1170" s="418" t="str">
        <f t="shared" si="1810"/>
        <v/>
      </c>
      <c r="Q1170" s="418" t="str">
        <f t="shared" si="1811"/>
        <v/>
      </c>
      <c r="R1170" s="418" t="str">
        <f t="shared" si="1812"/>
        <v/>
      </c>
      <c r="S1170" s="418" t="str">
        <f t="shared" si="1813"/>
        <v/>
      </c>
      <c r="T1170" s="418" t="str">
        <f t="shared" si="1814"/>
        <v/>
      </c>
      <c r="U1170" s="418" t="str">
        <f t="shared" si="1815"/>
        <v/>
      </c>
      <c r="V1170" s="418" t="str">
        <f t="shared" si="1816"/>
        <v/>
      </c>
      <c r="W1170" s="418" t="str">
        <f t="shared" si="1817"/>
        <v/>
      </c>
      <c r="X1170" s="418" t="str">
        <f t="shared" si="1818"/>
        <v/>
      </c>
      <c r="Y1170" s="418" t="str">
        <f t="shared" si="1819"/>
        <v/>
      </c>
      <c r="Z1170" s="418" t="str">
        <f t="shared" si="1820"/>
        <v/>
      </c>
      <c r="AA1170" s="418" t="str">
        <f t="shared" si="1821"/>
        <v/>
      </c>
      <c r="AB1170" s="418" t="str">
        <f t="shared" si="1822"/>
        <v/>
      </c>
      <c r="AC1170" s="418" t="str">
        <f t="shared" si="1823"/>
        <v/>
      </c>
      <c r="AD1170" s="418" t="str">
        <f t="shared" si="1824"/>
        <v/>
      </c>
      <c r="AE1170" s="418" t="str">
        <f t="shared" si="1825"/>
        <v/>
      </c>
      <c r="AF1170" s="418" t="str">
        <f t="shared" si="1826"/>
        <v/>
      </c>
      <c r="AG1170" s="418" t="str">
        <f t="shared" si="1827"/>
        <v/>
      </c>
      <c r="AH1170" s="418" t="str">
        <f t="shared" si="1828"/>
        <v/>
      </c>
      <c r="AI1170" s="418" t="str">
        <f t="shared" si="1829"/>
        <v/>
      </c>
      <c r="AJ1170" s="418">
        <f t="shared" si="1830"/>
        <v>2</v>
      </c>
      <c r="AK1170" s="418" t="str">
        <f t="shared" si="1831"/>
        <v/>
      </c>
      <c r="AL1170" s="418" t="str">
        <f t="shared" si="1832"/>
        <v/>
      </c>
      <c r="AM1170" s="418" t="str">
        <f t="shared" si="1833"/>
        <v/>
      </c>
      <c r="AN1170" s="418" t="str">
        <f t="shared" si="1834"/>
        <v/>
      </c>
      <c r="AO1170" s="418" t="str">
        <f t="shared" si="1835"/>
        <v/>
      </c>
      <c r="AP1170" s="418" t="str">
        <f t="shared" si="1836"/>
        <v/>
      </c>
      <c r="AQ1170" s="418" t="str">
        <f t="shared" si="1837"/>
        <v/>
      </c>
      <c r="AR1170" s="418" t="str">
        <f t="shared" si="1838"/>
        <v/>
      </c>
      <c r="AS1170" s="418" t="str">
        <f t="shared" si="1839"/>
        <v/>
      </c>
      <c r="AT1170" s="418" t="str">
        <f t="shared" si="1840"/>
        <v/>
      </c>
      <c r="AU1170" s="418" t="str">
        <f t="shared" si="1841"/>
        <v/>
      </c>
      <c r="AV1170" s="418" t="str">
        <f t="shared" si="1842"/>
        <v/>
      </c>
      <c r="AW1170" s="418" t="str">
        <f t="shared" si="1843"/>
        <v/>
      </c>
      <c r="AX1170" s="418" t="str">
        <f t="shared" si="1844"/>
        <v/>
      </c>
      <c r="AY1170" s="418" t="str">
        <f t="shared" si="1845"/>
        <v/>
      </c>
      <c r="AZ1170" s="418" t="str">
        <f t="shared" si="1846"/>
        <v/>
      </c>
      <c r="BA1170" s="418" t="str">
        <f t="shared" si="1847"/>
        <v/>
      </c>
      <c r="BB1170" s="418" t="str">
        <f t="shared" si="1848"/>
        <v/>
      </c>
      <c r="BC1170" s="418" t="str">
        <f t="shared" si="1849"/>
        <v/>
      </c>
      <c r="BD1170" s="418" t="str">
        <f t="shared" si="1850"/>
        <v/>
      </c>
      <c r="BE1170" s="418" t="str">
        <f t="shared" si="1851"/>
        <v/>
      </c>
      <c r="BF1170" s="418" t="str">
        <f t="shared" si="1852"/>
        <v/>
      </c>
      <c r="BG1170" s="418" t="str">
        <f t="shared" si="1853"/>
        <v/>
      </c>
      <c r="BH1170" s="418" t="str">
        <f t="shared" si="1854"/>
        <v/>
      </c>
      <c r="BI1170" s="418" t="str">
        <f t="shared" si="1855"/>
        <v/>
      </c>
      <c r="BJ1170" s="418" t="str">
        <f t="shared" si="1856"/>
        <v/>
      </c>
      <c r="BK1170" s="418" t="str">
        <f t="shared" si="1857"/>
        <v/>
      </c>
      <c r="BL1170" s="418" t="str">
        <f t="shared" si="1858"/>
        <v/>
      </c>
      <c r="BM1170" s="418" t="str">
        <f t="shared" si="1859"/>
        <v/>
      </c>
      <c r="BN1170" s="418" t="str">
        <f t="shared" si="1860"/>
        <v/>
      </c>
      <c r="BO1170" s="418" t="str">
        <f t="shared" si="1861"/>
        <v/>
      </c>
      <c r="BP1170" s="418" t="str">
        <f t="shared" si="1862"/>
        <v/>
      </c>
      <c r="BQ1170" s="418" t="str">
        <f t="shared" si="1863"/>
        <v/>
      </c>
      <c r="BR1170" s="418" t="str">
        <f t="shared" si="1864"/>
        <v/>
      </c>
      <c r="BS1170" s="418" t="str">
        <f t="shared" si="1865"/>
        <v/>
      </c>
      <c r="BT1170" s="418" t="str">
        <f t="shared" si="1866"/>
        <v/>
      </c>
      <c r="BU1170" s="418" t="str">
        <f t="shared" si="1867"/>
        <v/>
      </c>
      <c r="BV1170" s="544"/>
      <c r="BW1170" s="723">
        <f t="shared" si="1868"/>
        <v>0</v>
      </c>
      <c r="BX1170" s="724">
        <f t="shared" si="1869"/>
        <v>0</v>
      </c>
      <c r="BY1170" s="725" t="str">
        <f t="shared" si="1870"/>
        <v>SR</v>
      </c>
    </row>
    <row r="1171" s="697" customFormat="1" customHeight="1" spans="1:77">
      <c r="A1171" s="362">
        <v>46216</v>
      </c>
      <c r="B1171" s="362">
        <v>46275</v>
      </c>
      <c r="C1171" s="431" t="s">
        <v>1041</v>
      </c>
      <c r="D1171" s="431" t="s">
        <v>1042</v>
      </c>
      <c r="E1171" s="431" t="s">
        <v>66</v>
      </c>
      <c r="F1171" s="96">
        <v>3000</v>
      </c>
      <c r="G1171" s="431" t="s">
        <v>510</v>
      </c>
      <c r="H1171" s="118" t="str">
        <f>IFERROR(VLOOKUP(E1171,名称!A:E,4,0),"")</f>
        <v>三代</v>
      </c>
      <c r="I1171" s="418" t="str">
        <f t="shared" si="1803"/>
        <v/>
      </c>
      <c r="J1171" s="418" t="str">
        <f t="shared" si="1804"/>
        <v/>
      </c>
      <c r="K1171" s="418" t="str">
        <f t="shared" si="1805"/>
        <v/>
      </c>
      <c r="L1171" s="418" t="str">
        <f t="shared" si="1806"/>
        <v/>
      </c>
      <c r="M1171" s="418" t="str">
        <f t="shared" si="1807"/>
        <v/>
      </c>
      <c r="N1171" s="418" t="str">
        <f t="shared" si="1808"/>
        <v/>
      </c>
      <c r="O1171" s="418" t="str">
        <f t="shared" si="1809"/>
        <v/>
      </c>
      <c r="P1171" s="418" t="str">
        <f t="shared" si="1810"/>
        <v/>
      </c>
      <c r="Q1171" s="418" t="str">
        <f t="shared" si="1811"/>
        <v/>
      </c>
      <c r="R1171" s="418" t="str">
        <f t="shared" si="1812"/>
        <v/>
      </c>
      <c r="S1171" s="418" t="str">
        <f t="shared" si="1813"/>
        <v/>
      </c>
      <c r="T1171" s="418" t="str">
        <f t="shared" si="1814"/>
        <v/>
      </c>
      <c r="U1171" s="418" t="str">
        <f t="shared" si="1815"/>
        <v/>
      </c>
      <c r="V1171" s="418" t="str">
        <f t="shared" si="1816"/>
        <v/>
      </c>
      <c r="W1171" s="418" t="str">
        <f t="shared" si="1817"/>
        <v/>
      </c>
      <c r="X1171" s="418" t="str">
        <f t="shared" si="1818"/>
        <v/>
      </c>
      <c r="Y1171" s="418" t="str">
        <f t="shared" si="1819"/>
        <v/>
      </c>
      <c r="Z1171" s="418" t="str">
        <f t="shared" si="1820"/>
        <v/>
      </c>
      <c r="AA1171" s="418" t="str">
        <f t="shared" si="1821"/>
        <v/>
      </c>
      <c r="AB1171" s="418" t="str">
        <f t="shared" si="1822"/>
        <v/>
      </c>
      <c r="AC1171" s="418" t="str">
        <f t="shared" si="1823"/>
        <v/>
      </c>
      <c r="AD1171" s="418" t="str">
        <f t="shared" si="1824"/>
        <v/>
      </c>
      <c r="AE1171" s="418" t="str">
        <f t="shared" si="1825"/>
        <v/>
      </c>
      <c r="AF1171" s="418" t="str">
        <f t="shared" si="1826"/>
        <v/>
      </c>
      <c r="AG1171" s="418">
        <f t="shared" si="1827"/>
        <v>3000</v>
      </c>
      <c r="AH1171" s="418" t="str">
        <f t="shared" si="1828"/>
        <v/>
      </c>
      <c r="AI1171" s="418" t="str">
        <f t="shared" si="1829"/>
        <v/>
      </c>
      <c r="AJ1171" s="418" t="str">
        <f t="shared" si="1830"/>
        <v/>
      </c>
      <c r="AK1171" s="418" t="str">
        <f t="shared" si="1831"/>
        <v/>
      </c>
      <c r="AL1171" s="418" t="str">
        <f t="shared" si="1832"/>
        <v/>
      </c>
      <c r="AM1171" s="418" t="str">
        <f t="shared" si="1833"/>
        <v/>
      </c>
      <c r="AN1171" s="418" t="str">
        <f t="shared" si="1834"/>
        <v/>
      </c>
      <c r="AO1171" s="418" t="str">
        <f t="shared" si="1835"/>
        <v/>
      </c>
      <c r="AP1171" s="418" t="str">
        <f t="shared" si="1836"/>
        <v/>
      </c>
      <c r="AQ1171" s="418" t="str">
        <f t="shared" si="1837"/>
        <v/>
      </c>
      <c r="AR1171" s="418" t="str">
        <f t="shared" si="1838"/>
        <v/>
      </c>
      <c r="AS1171" s="418" t="str">
        <f t="shared" si="1839"/>
        <v/>
      </c>
      <c r="AT1171" s="418" t="str">
        <f t="shared" si="1840"/>
        <v/>
      </c>
      <c r="AU1171" s="418" t="str">
        <f t="shared" si="1841"/>
        <v/>
      </c>
      <c r="AV1171" s="418" t="str">
        <f t="shared" si="1842"/>
        <v/>
      </c>
      <c r="AW1171" s="418" t="str">
        <f t="shared" si="1843"/>
        <v/>
      </c>
      <c r="AX1171" s="418" t="str">
        <f t="shared" si="1844"/>
        <v/>
      </c>
      <c r="AY1171" s="418" t="str">
        <f t="shared" si="1845"/>
        <v/>
      </c>
      <c r="AZ1171" s="418" t="str">
        <f t="shared" si="1846"/>
        <v/>
      </c>
      <c r="BA1171" s="418" t="str">
        <f t="shared" si="1847"/>
        <v/>
      </c>
      <c r="BB1171" s="418" t="str">
        <f t="shared" si="1848"/>
        <v/>
      </c>
      <c r="BC1171" s="418" t="str">
        <f t="shared" si="1849"/>
        <v/>
      </c>
      <c r="BD1171" s="418" t="str">
        <f t="shared" si="1850"/>
        <v/>
      </c>
      <c r="BE1171" s="418" t="str">
        <f t="shared" si="1851"/>
        <v/>
      </c>
      <c r="BF1171" s="418" t="str">
        <f t="shared" si="1852"/>
        <v/>
      </c>
      <c r="BG1171" s="418" t="str">
        <f t="shared" si="1853"/>
        <v/>
      </c>
      <c r="BH1171" s="418" t="str">
        <f t="shared" si="1854"/>
        <v/>
      </c>
      <c r="BI1171" s="418" t="str">
        <f t="shared" si="1855"/>
        <v/>
      </c>
      <c r="BJ1171" s="418" t="str">
        <f t="shared" si="1856"/>
        <v/>
      </c>
      <c r="BK1171" s="418" t="str">
        <f t="shared" si="1857"/>
        <v/>
      </c>
      <c r="BL1171" s="418" t="str">
        <f t="shared" si="1858"/>
        <v/>
      </c>
      <c r="BM1171" s="418" t="str">
        <f t="shared" si="1859"/>
        <v/>
      </c>
      <c r="BN1171" s="418" t="str">
        <f t="shared" si="1860"/>
        <v/>
      </c>
      <c r="BO1171" s="418" t="str">
        <f t="shared" si="1861"/>
        <v/>
      </c>
      <c r="BP1171" s="418" t="str">
        <f t="shared" si="1862"/>
        <v/>
      </c>
      <c r="BQ1171" s="418" t="str">
        <f t="shared" si="1863"/>
        <v/>
      </c>
      <c r="BR1171" s="418" t="str">
        <f t="shared" si="1864"/>
        <v/>
      </c>
      <c r="BS1171" s="418" t="str">
        <f t="shared" si="1865"/>
        <v/>
      </c>
      <c r="BT1171" s="418" t="str">
        <f t="shared" si="1866"/>
        <v/>
      </c>
      <c r="BU1171" s="418" t="str">
        <f t="shared" si="1867"/>
        <v/>
      </c>
      <c r="BV1171" s="624">
        <v>2.09</v>
      </c>
      <c r="BW1171" s="723">
        <f t="shared" si="1868"/>
        <v>6270</v>
      </c>
      <c r="BX1171" s="724">
        <f t="shared" si="1869"/>
        <v>48592.5</v>
      </c>
      <c r="BY1171" s="725" t="str">
        <f t="shared" si="1870"/>
        <v>SR</v>
      </c>
    </row>
    <row r="1172" s="697" customFormat="1" customHeight="1" spans="1:77">
      <c r="A1172" s="362">
        <v>46216</v>
      </c>
      <c r="B1172" s="362">
        <v>46275</v>
      </c>
      <c r="C1172" s="431" t="s">
        <v>1041</v>
      </c>
      <c r="D1172" s="431" t="s">
        <v>1042</v>
      </c>
      <c r="E1172" s="431" t="s">
        <v>68</v>
      </c>
      <c r="F1172" s="96">
        <v>1500</v>
      </c>
      <c r="G1172" s="431" t="s">
        <v>510</v>
      </c>
      <c r="H1172" s="118" t="str">
        <f>IFERROR(VLOOKUP(E1172,名称!A:E,4,0),"")</f>
        <v>三代</v>
      </c>
      <c r="I1172" s="418" t="str">
        <f t="shared" si="1803"/>
        <v/>
      </c>
      <c r="J1172" s="418" t="str">
        <f t="shared" si="1804"/>
        <v/>
      </c>
      <c r="K1172" s="418" t="str">
        <f t="shared" si="1805"/>
        <v/>
      </c>
      <c r="L1172" s="418" t="str">
        <f t="shared" si="1806"/>
        <v/>
      </c>
      <c r="M1172" s="418" t="str">
        <f t="shared" si="1807"/>
        <v/>
      </c>
      <c r="N1172" s="418" t="str">
        <f t="shared" si="1808"/>
        <v/>
      </c>
      <c r="O1172" s="418" t="str">
        <f t="shared" si="1809"/>
        <v/>
      </c>
      <c r="P1172" s="418" t="str">
        <f t="shared" si="1810"/>
        <v/>
      </c>
      <c r="Q1172" s="418" t="str">
        <f t="shared" si="1811"/>
        <v/>
      </c>
      <c r="R1172" s="418" t="str">
        <f t="shared" si="1812"/>
        <v/>
      </c>
      <c r="S1172" s="418" t="str">
        <f t="shared" si="1813"/>
        <v/>
      </c>
      <c r="T1172" s="418" t="str">
        <f t="shared" si="1814"/>
        <v/>
      </c>
      <c r="U1172" s="418" t="str">
        <f t="shared" si="1815"/>
        <v/>
      </c>
      <c r="V1172" s="418" t="str">
        <f t="shared" si="1816"/>
        <v/>
      </c>
      <c r="W1172" s="418" t="str">
        <f t="shared" si="1817"/>
        <v/>
      </c>
      <c r="X1172" s="418" t="str">
        <f t="shared" si="1818"/>
        <v/>
      </c>
      <c r="Y1172" s="418" t="str">
        <f t="shared" si="1819"/>
        <v/>
      </c>
      <c r="Z1172" s="418" t="str">
        <f t="shared" si="1820"/>
        <v/>
      </c>
      <c r="AA1172" s="418" t="str">
        <f t="shared" si="1821"/>
        <v/>
      </c>
      <c r="AB1172" s="418" t="str">
        <f t="shared" si="1822"/>
        <v/>
      </c>
      <c r="AC1172" s="418" t="str">
        <f t="shared" si="1823"/>
        <v/>
      </c>
      <c r="AD1172" s="418" t="str">
        <f t="shared" si="1824"/>
        <v/>
      </c>
      <c r="AE1172" s="418" t="str">
        <f t="shared" si="1825"/>
        <v/>
      </c>
      <c r="AF1172" s="418" t="str">
        <f t="shared" si="1826"/>
        <v/>
      </c>
      <c r="AG1172" s="418" t="str">
        <f t="shared" si="1827"/>
        <v/>
      </c>
      <c r="AH1172" s="418">
        <f t="shared" si="1828"/>
        <v>1500</v>
      </c>
      <c r="AI1172" s="418" t="str">
        <f t="shared" si="1829"/>
        <v/>
      </c>
      <c r="AJ1172" s="418" t="str">
        <f t="shared" si="1830"/>
        <v/>
      </c>
      <c r="AK1172" s="418" t="str">
        <f t="shared" si="1831"/>
        <v/>
      </c>
      <c r="AL1172" s="418" t="str">
        <f t="shared" si="1832"/>
        <v/>
      </c>
      <c r="AM1172" s="418" t="str">
        <f t="shared" si="1833"/>
        <v/>
      </c>
      <c r="AN1172" s="418" t="str">
        <f t="shared" si="1834"/>
        <v/>
      </c>
      <c r="AO1172" s="418" t="str">
        <f t="shared" si="1835"/>
        <v/>
      </c>
      <c r="AP1172" s="418" t="str">
        <f t="shared" si="1836"/>
        <v/>
      </c>
      <c r="AQ1172" s="418" t="str">
        <f t="shared" si="1837"/>
        <v/>
      </c>
      <c r="AR1172" s="418" t="str">
        <f t="shared" si="1838"/>
        <v/>
      </c>
      <c r="AS1172" s="418" t="str">
        <f t="shared" si="1839"/>
        <v/>
      </c>
      <c r="AT1172" s="418" t="str">
        <f t="shared" si="1840"/>
        <v/>
      </c>
      <c r="AU1172" s="418" t="str">
        <f t="shared" si="1841"/>
        <v/>
      </c>
      <c r="AV1172" s="418" t="str">
        <f t="shared" si="1842"/>
        <v/>
      </c>
      <c r="AW1172" s="418" t="str">
        <f t="shared" si="1843"/>
        <v/>
      </c>
      <c r="AX1172" s="418" t="str">
        <f t="shared" si="1844"/>
        <v/>
      </c>
      <c r="AY1172" s="418" t="str">
        <f t="shared" si="1845"/>
        <v/>
      </c>
      <c r="AZ1172" s="418" t="str">
        <f t="shared" si="1846"/>
        <v/>
      </c>
      <c r="BA1172" s="418" t="str">
        <f t="shared" si="1847"/>
        <v/>
      </c>
      <c r="BB1172" s="418" t="str">
        <f t="shared" si="1848"/>
        <v/>
      </c>
      <c r="BC1172" s="418" t="str">
        <f t="shared" si="1849"/>
        <v/>
      </c>
      <c r="BD1172" s="418" t="str">
        <f t="shared" si="1850"/>
        <v/>
      </c>
      <c r="BE1172" s="418" t="str">
        <f t="shared" si="1851"/>
        <v/>
      </c>
      <c r="BF1172" s="418" t="str">
        <f t="shared" si="1852"/>
        <v/>
      </c>
      <c r="BG1172" s="418" t="str">
        <f t="shared" si="1853"/>
        <v/>
      </c>
      <c r="BH1172" s="418" t="str">
        <f t="shared" si="1854"/>
        <v/>
      </c>
      <c r="BI1172" s="418" t="str">
        <f t="shared" si="1855"/>
        <v/>
      </c>
      <c r="BJ1172" s="418" t="str">
        <f t="shared" si="1856"/>
        <v/>
      </c>
      <c r="BK1172" s="418" t="str">
        <f t="shared" si="1857"/>
        <v/>
      </c>
      <c r="BL1172" s="418" t="str">
        <f t="shared" si="1858"/>
        <v/>
      </c>
      <c r="BM1172" s="418" t="str">
        <f t="shared" si="1859"/>
        <v/>
      </c>
      <c r="BN1172" s="418" t="str">
        <f t="shared" si="1860"/>
        <v/>
      </c>
      <c r="BO1172" s="418" t="str">
        <f t="shared" si="1861"/>
        <v/>
      </c>
      <c r="BP1172" s="418" t="str">
        <f t="shared" si="1862"/>
        <v/>
      </c>
      <c r="BQ1172" s="418" t="str">
        <f t="shared" si="1863"/>
        <v/>
      </c>
      <c r="BR1172" s="418" t="str">
        <f t="shared" si="1864"/>
        <v/>
      </c>
      <c r="BS1172" s="418" t="str">
        <f t="shared" si="1865"/>
        <v/>
      </c>
      <c r="BT1172" s="418" t="str">
        <f t="shared" si="1866"/>
        <v/>
      </c>
      <c r="BU1172" s="418" t="str">
        <f t="shared" si="1867"/>
        <v/>
      </c>
      <c r="BV1172" s="624">
        <v>3.23</v>
      </c>
      <c r="BW1172" s="723">
        <f t="shared" si="1868"/>
        <v>4845</v>
      </c>
      <c r="BX1172" s="724">
        <f t="shared" si="1869"/>
        <v>37548.75</v>
      </c>
      <c r="BY1172" s="725" t="str">
        <f t="shared" si="1870"/>
        <v>SR</v>
      </c>
    </row>
    <row r="1173" s="697" customFormat="1" customHeight="1" spans="1:77">
      <c r="A1173" s="362">
        <v>46216</v>
      </c>
      <c r="B1173" s="362">
        <v>46275</v>
      </c>
      <c r="C1173" s="431" t="s">
        <v>1041</v>
      </c>
      <c r="D1173" s="431" t="s">
        <v>1042</v>
      </c>
      <c r="E1173" s="431" t="s">
        <v>121</v>
      </c>
      <c r="F1173" s="96">
        <v>3000</v>
      </c>
      <c r="G1173" s="431" t="s">
        <v>510</v>
      </c>
      <c r="H1173" s="118" t="str">
        <f>IFERROR(VLOOKUP(E1173,名称!A:E,4,0),"")</f>
        <v>三代</v>
      </c>
      <c r="I1173" s="418" t="str">
        <f t="shared" si="1803"/>
        <v/>
      </c>
      <c r="J1173" s="418" t="str">
        <f t="shared" si="1804"/>
        <v/>
      </c>
      <c r="K1173" s="418" t="str">
        <f t="shared" si="1805"/>
        <v/>
      </c>
      <c r="L1173" s="418" t="str">
        <f t="shared" si="1806"/>
        <v/>
      </c>
      <c r="M1173" s="418" t="str">
        <f t="shared" si="1807"/>
        <v/>
      </c>
      <c r="N1173" s="418" t="str">
        <f t="shared" si="1808"/>
        <v/>
      </c>
      <c r="O1173" s="418" t="str">
        <f t="shared" si="1809"/>
        <v/>
      </c>
      <c r="P1173" s="418" t="str">
        <f t="shared" si="1810"/>
        <v/>
      </c>
      <c r="Q1173" s="418" t="str">
        <f t="shared" si="1811"/>
        <v/>
      </c>
      <c r="R1173" s="418" t="str">
        <f t="shared" si="1812"/>
        <v/>
      </c>
      <c r="S1173" s="418" t="str">
        <f t="shared" si="1813"/>
        <v/>
      </c>
      <c r="T1173" s="418" t="str">
        <f t="shared" si="1814"/>
        <v/>
      </c>
      <c r="U1173" s="418" t="str">
        <f t="shared" si="1815"/>
        <v/>
      </c>
      <c r="V1173" s="418" t="str">
        <f t="shared" si="1816"/>
        <v/>
      </c>
      <c r="W1173" s="418" t="str">
        <f t="shared" si="1817"/>
        <v/>
      </c>
      <c r="X1173" s="418" t="str">
        <f t="shared" si="1818"/>
        <v/>
      </c>
      <c r="Y1173" s="418" t="str">
        <f t="shared" si="1819"/>
        <v/>
      </c>
      <c r="Z1173" s="418" t="str">
        <f t="shared" si="1820"/>
        <v/>
      </c>
      <c r="AA1173" s="418" t="str">
        <f t="shared" si="1821"/>
        <v/>
      </c>
      <c r="AB1173" s="418" t="str">
        <f t="shared" si="1822"/>
        <v/>
      </c>
      <c r="AC1173" s="418">
        <f t="shared" si="1823"/>
        <v>3000</v>
      </c>
      <c r="AD1173" s="418" t="str">
        <f t="shared" si="1824"/>
        <v/>
      </c>
      <c r="AE1173" s="418" t="str">
        <f t="shared" si="1825"/>
        <v/>
      </c>
      <c r="AF1173" s="418" t="str">
        <f t="shared" si="1826"/>
        <v/>
      </c>
      <c r="AG1173" s="418" t="str">
        <f t="shared" si="1827"/>
        <v/>
      </c>
      <c r="AH1173" s="418" t="str">
        <f t="shared" si="1828"/>
        <v/>
      </c>
      <c r="AI1173" s="418" t="str">
        <f t="shared" si="1829"/>
        <v/>
      </c>
      <c r="AJ1173" s="418" t="str">
        <f t="shared" si="1830"/>
        <v/>
      </c>
      <c r="AK1173" s="418" t="str">
        <f t="shared" si="1831"/>
        <v/>
      </c>
      <c r="AL1173" s="418" t="str">
        <f t="shared" si="1832"/>
        <v/>
      </c>
      <c r="AM1173" s="418" t="str">
        <f t="shared" si="1833"/>
        <v/>
      </c>
      <c r="AN1173" s="418" t="str">
        <f t="shared" si="1834"/>
        <v/>
      </c>
      <c r="AO1173" s="418" t="str">
        <f t="shared" si="1835"/>
        <v/>
      </c>
      <c r="AP1173" s="418" t="str">
        <f t="shared" si="1836"/>
        <v/>
      </c>
      <c r="AQ1173" s="418" t="str">
        <f t="shared" si="1837"/>
        <v/>
      </c>
      <c r="AR1173" s="418" t="str">
        <f t="shared" si="1838"/>
        <v/>
      </c>
      <c r="AS1173" s="418" t="str">
        <f t="shared" si="1839"/>
        <v/>
      </c>
      <c r="AT1173" s="418" t="str">
        <f t="shared" si="1840"/>
        <v/>
      </c>
      <c r="AU1173" s="418" t="str">
        <f t="shared" si="1841"/>
        <v/>
      </c>
      <c r="AV1173" s="418" t="str">
        <f t="shared" si="1842"/>
        <v/>
      </c>
      <c r="AW1173" s="418" t="str">
        <f t="shared" si="1843"/>
        <v/>
      </c>
      <c r="AX1173" s="418" t="str">
        <f t="shared" si="1844"/>
        <v/>
      </c>
      <c r="AY1173" s="418" t="str">
        <f t="shared" si="1845"/>
        <v/>
      </c>
      <c r="AZ1173" s="418" t="str">
        <f t="shared" si="1846"/>
        <v/>
      </c>
      <c r="BA1173" s="418" t="str">
        <f t="shared" si="1847"/>
        <v/>
      </c>
      <c r="BB1173" s="418" t="str">
        <f t="shared" si="1848"/>
        <v/>
      </c>
      <c r="BC1173" s="418" t="str">
        <f t="shared" si="1849"/>
        <v/>
      </c>
      <c r="BD1173" s="418" t="str">
        <f t="shared" si="1850"/>
        <v/>
      </c>
      <c r="BE1173" s="418" t="str">
        <f t="shared" si="1851"/>
        <v/>
      </c>
      <c r="BF1173" s="418" t="str">
        <f t="shared" si="1852"/>
        <v/>
      </c>
      <c r="BG1173" s="418" t="str">
        <f t="shared" si="1853"/>
        <v/>
      </c>
      <c r="BH1173" s="418" t="str">
        <f t="shared" si="1854"/>
        <v/>
      </c>
      <c r="BI1173" s="418" t="str">
        <f t="shared" si="1855"/>
        <v/>
      </c>
      <c r="BJ1173" s="418" t="str">
        <f t="shared" si="1856"/>
        <v/>
      </c>
      <c r="BK1173" s="418" t="str">
        <f t="shared" si="1857"/>
        <v/>
      </c>
      <c r="BL1173" s="418" t="str">
        <f t="shared" si="1858"/>
        <v/>
      </c>
      <c r="BM1173" s="418" t="str">
        <f t="shared" si="1859"/>
        <v/>
      </c>
      <c r="BN1173" s="418" t="str">
        <f t="shared" si="1860"/>
        <v/>
      </c>
      <c r="BO1173" s="418" t="str">
        <f t="shared" si="1861"/>
        <v/>
      </c>
      <c r="BP1173" s="418" t="str">
        <f t="shared" si="1862"/>
        <v/>
      </c>
      <c r="BQ1173" s="418" t="str">
        <f t="shared" si="1863"/>
        <v/>
      </c>
      <c r="BR1173" s="418" t="str">
        <f t="shared" si="1864"/>
        <v/>
      </c>
      <c r="BS1173" s="418" t="str">
        <f t="shared" si="1865"/>
        <v/>
      </c>
      <c r="BT1173" s="418" t="str">
        <f t="shared" si="1866"/>
        <v/>
      </c>
      <c r="BU1173" s="418" t="str">
        <f t="shared" si="1867"/>
        <v/>
      </c>
      <c r="BV1173" s="624">
        <v>0.8</v>
      </c>
      <c r="BW1173" s="723">
        <f t="shared" si="1868"/>
        <v>2400</v>
      </c>
      <c r="BX1173" s="724">
        <f t="shared" si="1869"/>
        <v>18600</v>
      </c>
      <c r="BY1173" s="725" t="str">
        <f t="shared" si="1870"/>
        <v>SR</v>
      </c>
    </row>
    <row r="1174" s="697" customFormat="1" customHeight="1" spans="1:77">
      <c r="A1174" s="362">
        <v>46216</v>
      </c>
      <c r="B1174" s="362">
        <v>46275</v>
      </c>
      <c r="C1174" s="431" t="s">
        <v>1041</v>
      </c>
      <c r="D1174" s="431" t="s">
        <v>1042</v>
      </c>
      <c r="E1174" s="431" t="s">
        <v>119</v>
      </c>
      <c r="F1174" s="96">
        <v>3000</v>
      </c>
      <c r="G1174" s="431" t="s">
        <v>510</v>
      </c>
      <c r="H1174" s="118" t="str">
        <f>IFERROR(VLOOKUP(E1174,名称!A:E,4,0),"")</f>
        <v>三代</v>
      </c>
      <c r="I1174" s="418" t="str">
        <f t="shared" si="1803"/>
        <v/>
      </c>
      <c r="J1174" s="418" t="str">
        <f t="shared" si="1804"/>
        <v/>
      </c>
      <c r="K1174" s="418" t="str">
        <f t="shared" si="1805"/>
        <v/>
      </c>
      <c r="L1174" s="418" t="str">
        <f t="shared" si="1806"/>
        <v/>
      </c>
      <c r="M1174" s="418" t="str">
        <f t="shared" si="1807"/>
        <v/>
      </c>
      <c r="N1174" s="418" t="str">
        <f t="shared" si="1808"/>
        <v/>
      </c>
      <c r="O1174" s="418" t="str">
        <f t="shared" si="1809"/>
        <v/>
      </c>
      <c r="P1174" s="418" t="str">
        <f t="shared" si="1810"/>
        <v/>
      </c>
      <c r="Q1174" s="418" t="str">
        <f t="shared" si="1811"/>
        <v/>
      </c>
      <c r="R1174" s="418" t="str">
        <f t="shared" si="1812"/>
        <v/>
      </c>
      <c r="S1174" s="418" t="str">
        <f t="shared" si="1813"/>
        <v/>
      </c>
      <c r="T1174" s="418" t="str">
        <f t="shared" si="1814"/>
        <v/>
      </c>
      <c r="U1174" s="418" t="str">
        <f t="shared" si="1815"/>
        <v/>
      </c>
      <c r="V1174" s="418" t="str">
        <f t="shared" si="1816"/>
        <v/>
      </c>
      <c r="W1174" s="418" t="str">
        <f t="shared" si="1817"/>
        <v/>
      </c>
      <c r="X1174" s="418" t="str">
        <f t="shared" si="1818"/>
        <v/>
      </c>
      <c r="Y1174" s="418" t="str">
        <f t="shared" si="1819"/>
        <v/>
      </c>
      <c r="Z1174" s="418" t="str">
        <f t="shared" si="1820"/>
        <v/>
      </c>
      <c r="AA1174" s="418" t="str">
        <f t="shared" si="1821"/>
        <v/>
      </c>
      <c r="AB1174" s="418" t="str">
        <f t="shared" si="1822"/>
        <v/>
      </c>
      <c r="AC1174" s="418" t="str">
        <f t="shared" si="1823"/>
        <v/>
      </c>
      <c r="AD1174" s="418" t="str">
        <f t="shared" si="1824"/>
        <v/>
      </c>
      <c r="AE1174" s="418" t="str">
        <f t="shared" si="1825"/>
        <v/>
      </c>
      <c r="AF1174" s="418" t="str">
        <f t="shared" si="1826"/>
        <v/>
      </c>
      <c r="AG1174" s="418" t="str">
        <f t="shared" si="1827"/>
        <v/>
      </c>
      <c r="AH1174" s="418" t="str">
        <f t="shared" si="1828"/>
        <v/>
      </c>
      <c r="AI1174" s="418" t="str">
        <f t="shared" si="1829"/>
        <v/>
      </c>
      <c r="AJ1174" s="418" t="str">
        <f t="shared" si="1830"/>
        <v/>
      </c>
      <c r="AK1174" s="418" t="str">
        <f t="shared" si="1831"/>
        <v/>
      </c>
      <c r="AL1174" s="418" t="str">
        <f t="shared" si="1832"/>
        <v/>
      </c>
      <c r="AM1174" s="418" t="str">
        <f t="shared" si="1833"/>
        <v/>
      </c>
      <c r="AN1174" s="418" t="str">
        <f t="shared" si="1834"/>
        <v/>
      </c>
      <c r="AO1174" s="418" t="str">
        <f t="shared" si="1835"/>
        <v/>
      </c>
      <c r="AP1174" s="418">
        <f t="shared" si="1836"/>
        <v>3000</v>
      </c>
      <c r="AQ1174" s="418" t="str">
        <f t="shared" si="1837"/>
        <v/>
      </c>
      <c r="AR1174" s="418" t="str">
        <f t="shared" si="1838"/>
        <v/>
      </c>
      <c r="AS1174" s="418" t="str">
        <f t="shared" si="1839"/>
        <v/>
      </c>
      <c r="AT1174" s="418" t="str">
        <f t="shared" si="1840"/>
        <v/>
      </c>
      <c r="AU1174" s="418" t="str">
        <f t="shared" si="1841"/>
        <v/>
      </c>
      <c r="AV1174" s="418" t="str">
        <f t="shared" si="1842"/>
        <v/>
      </c>
      <c r="AW1174" s="418" t="str">
        <f t="shared" si="1843"/>
        <v/>
      </c>
      <c r="AX1174" s="418" t="str">
        <f t="shared" si="1844"/>
        <v/>
      </c>
      <c r="AY1174" s="418" t="str">
        <f t="shared" si="1845"/>
        <v/>
      </c>
      <c r="AZ1174" s="418" t="str">
        <f t="shared" si="1846"/>
        <v/>
      </c>
      <c r="BA1174" s="418" t="str">
        <f t="shared" si="1847"/>
        <v/>
      </c>
      <c r="BB1174" s="418" t="str">
        <f t="shared" si="1848"/>
        <v/>
      </c>
      <c r="BC1174" s="418" t="str">
        <f t="shared" si="1849"/>
        <v/>
      </c>
      <c r="BD1174" s="418" t="str">
        <f t="shared" si="1850"/>
        <v/>
      </c>
      <c r="BE1174" s="418" t="str">
        <f t="shared" si="1851"/>
        <v/>
      </c>
      <c r="BF1174" s="418" t="str">
        <f t="shared" si="1852"/>
        <v/>
      </c>
      <c r="BG1174" s="418" t="str">
        <f t="shared" si="1853"/>
        <v/>
      </c>
      <c r="BH1174" s="418" t="str">
        <f t="shared" si="1854"/>
        <v/>
      </c>
      <c r="BI1174" s="418" t="str">
        <f t="shared" si="1855"/>
        <v/>
      </c>
      <c r="BJ1174" s="418" t="str">
        <f t="shared" si="1856"/>
        <v/>
      </c>
      <c r="BK1174" s="418" t="str">
        <f t="shared" si="1857"/>
        <v/>
      </c>
      <c r="BL1174" s="418" t="str">
        <f t="shared" si="1858"/>
        <v/>
      </c>
      <c r="BM1174" s="418" t="str">
        <f t="shared" si="1859"/>
        <v/>
      </c>
      <c r="BN1174" s="418" t="str">
        <f t="shared" si="1860"/>
        <v/>
      </c>
      <c r="BO1174" s="418" t="str">
        <f t="shared" si="1861"/>
        <v/>
      </c>
      <c r="BP1174" s="418" t="str">
        <f t="shared" si="1862"/>
        <v/>
      </c>
      <c r="BQ1174" s="418" t="str">
        <f t="shared" si="1863"/>
        <v/>
      </c>
      <c r="BR1174" s="418" t="str">
        <f t="shared" si="1864"/>
        <v/>
      </c>
      <c r="BS1174" s="418" t="str">
        <f t="shared" si="1865"/>
        <v/>
      </c>
      <c r="BT1174" s="418" t="str">
        <f t="shared" si="1866"/>
        <v/>
      </c>
      <c r="BU1174" s="418" t="str">
        <f t="shared" si="1867"/>
        <v/>
      </c>
      <c r="BV1174" s="624">
        <v>0.62</v>
      </c>
      <c r="BW1174" s="723">
        <f t="shared" si="1868"/>
        <v>1860</v>
      </c>
      <c r="BX1174" s="724">
        <f t="shared" si="1869"/>
        <v>14415</v>
      </c>
      <c r="BY1174" s="725" t="str">
        <f t="shared" si="1870"/>
        <v>SR</v>
      </c>
    </row>
    <row r="1175" s="697" customFormat="1" customHeight="1" spans="1:77">
      <c r="A1175" s="362">
        <v>46216</v>
      </c>
      <c r="B1175" s="362">
        <v>46275</v>
      </c>
      <c r="C1175" s="431" t="s">
        <v>1041</v>
      </c>
      <c r="D1175" s="431" t="s">
        <v>1042</v>
      </c>
      <c r="E1175" s="431" t="s">
        <v>59</v>
      </c>
      <c r="F1175" s="96">
        <v>8016</v>
      </c>
      <c r="G1175" s="431" t="s">
        <v>510</v>
      </c>
      <c r="H1175" s="118" t="str">
        <f>IFERROR(VLOOKUP(E1175,名称!A:E,4,0),"")</f>
        <v>三代</v>
      </c>
      <c r="I1175" s="418" t="str">
        <f t="shared" si="1803"/>
        <v/>
      </c>
      <c r="J1175" s="418" t="str">
        <f t="shared" si="1804"/>
        <v/>
      </c>
      <c r="K1175" s="418" t="str">
        <f t="shared" si="1805"/>
        <v/>
      </c>
      <c r="L1175" s="418" t="str">
        <f t="shared" si="1806"/>
        <v/>
      </c>
      <c r="M1175" s="418" t="str">
        <f t="shared" si="1807"/>
        <v/>
      </c>
      <c r="N1175" s="418" t="str">
        <f t="shared" si="1808"/>
        <v/>
      </c>
      <c r="O1175" s="418" t="str">
        <f t="shared" si="1809"/>
        <v/>
      </c>
      <c r="P1175" s="418" t="str">
        <f t="shared" si="1810"/>
        <v/>
      </c>
      <c r="Q1175" s="418" t="str">
        <f t="shared" si="1811"/>
        <v/>
      </c>
      <c r="R1175" s="418" t="str">
        <f t="shared" si="1812"/>
        <v/>
      </c>
      <c r="S1175" s="418" t="str">
        <f t="shared" si="1813"/>
        <v/>
      </c>
      <c r="T1175" s="418" t="str">
        <f t="shared" si="1814"/>
        <v/>
      </c>
      <c r="U1175" s="418" t="str">
        <f t="shared" si="1815"/>
        <v/>
      </c>
      <c r="V1175" s="418" t="str">
        <f t="shared" si="1816"/>
        <v/>
      </c>
      <c r="W1175" s="418" t="str">
        <f t="shared" si="1817"/>
        <v/>
      </c>
      <c r="X1175" s="418" t="str">
        <f t="shared" si="1818"/>
        <v/>
      </c>
      <c r="Y1175" s="418" t="str">
        <f t="shared" si="1819"/>
        <v/>
      </c>
      <c r="Z1175" s="418" t="str">
        <f t="shared" si="1820"/>
        <v/>
      </c>
      <c r="AA1175" s="418" t="str">
        <f t="shared" si="1821"/>
        <v/>
      </c>
      <c r="AB1175" s="418" t="str">
        <f t="shared" si="1822"/>
        <v/>
      </c>
      <c r="AC1175" s="418" t="str">
        <f t="shared" si="1823"/>
        <v/>
      </c>
      <c r="AD1175" s="418">
        <f t="shared" si="1824"/>
        <v>8016</v>
      </c>
      <c r="AE1175" s="418" t="str">
        <f t="shared" si="1825"/>
        <v/>
      </c>
      <c r="AF1175" s="418" t="str">
        <f t="shared" si="1826"/>
        <v/>
      </c>
      <c r="AG1175" s="418" t="str">
        <f t="shared" si="1827"/>
        <v/>
      </c>
      <c r="AH1175" s="418" t="str">
        <f t="shared" si="1828"/>
        <v/>
      </c>
      <c r="AI1175" s="418" t="str">
        <f t="shared" si="1829"/>
        <v/>
      </c>
      <c r="AJ1175" s="418" t="str">
        <f t="shared" si="1830"/>
        <v/>
      </c>
      <c r="AK1175" s="418" t="str">
        <f t="shared" si="1831"/>
        <v/>
      </c>
      <c r="AL1175" s="418" t="str">
        <f t="shared" si="1832"/>
        <v/>
      </c>
      <c r="AM1175" s="418" t="str">
        <f t="shared" si="1833"/>
        <v/>
      </c>
      <c r="AN1175" s="418" t="str">
        <f t="shared" si="1834"/>
        <v/>
      </c>
      <c r="AO1175" s="418" t="str">
        <f t="shared" si="1835"/>
        <v/>
      </c>
      <c r="AP1175" s="418" t="str">
        <f t="shared" si="1836"/>
        <v/>
      </c>
      <c r="AQ1175" s="418" t="str">
        <f t="shared" si="1837"/>
        <v/>
      </c>
      <c r="AR1175" s="418" t="str">
        <f t="shared" si="1838"/>
        <v/>
      </c>
      <c r="AS1175" s="418" t="str">
        <f t="shared" si="1839"/>
        <v/>
      </c>
      <c r="AT1175" s="418" t="str">
        <f t="shared" si="1840"/>
        <v/>
      </c>
      <c r="AU1175" s="418" t="str">
        <f t="shared" si="1841"/>
        <v/>
      </c>
      <c r="AV1175" s="418" t="str">
        <f t="shared" si="1842"/>
        <v/>
      </c>
      <c r="AW1175" s="418" t="str">
        <f t="shared" si="1843"/>
        <v/>
      </c>
      <c r="AX1175" s="418" t="str">
        <f t="shared" si="1844"/>
        <v/>
      </c>
      <c r="AY1175" s="418" t="str">
        <f t="shared" si="1845"/>
        <v/>
      </c>
      <c r="AZ1175" s="418" t="str">
        <f t="shared" si="1846"/>
        <v/>
      </c>
      <c r="BA1175" s="418" t="str">
        <f t="shared" si="1847"/>
        <v/>
      </c>
      <c r="BB1175" s="418" t="str">
        <f t="shared" si="1848"/>
        <v/>
      </c>
      <c r="BC1175" s="418" t="str">
        <f t="shared" si="1849"/>
        <v/>
      </c>
      <c r="BD1175" s="418" t="str">
        <f t="shared" si="1850"/>
        <v/>
      </c>
      <c r="BE1175" s="418" t="str">
        <f t="shared" si="1851"/>
        <v/>
      </c>
      <c r="BF1175" s="418" t="str">
        <f t="shared" si="1852"/>
        <v/>
      </c>
      <c r="BG1175" s="418" t="str">
        <f t="shared" si="1853"/>
        <v/>
      </c>
      <c r="BH1175" s="418" t="str">
        <f t="shared" si="1854"/>
        <v/>
      </c>
      <c r="BI1175" s="418" t="str">
        <f t="shared" si="1855"/>
        <v/>
      </c>
      <c r="BJ1175" s="418" t="str">
        <f t="shared" si="1856"/>
        <v/>
      </c>
      <c r="BK1175" s="418" t="str">
        <f t="shared" si="1857"/>
        <v/>
      </c>
      <c r="BL1175" s="418" t="str">
        <f t="shared" si="1858"/>
        <v/>
      </c>
      <c r="BM1175" s="418" t="str">
        <f t="shared" si="1859"/>
        <v/>
      </c>
      <c r="BN1175" s="418" t="str">
        <f t="shared" si="1860"/>
        <v/>
      </c>
      <c r="BO1175" s="418" t="str">
        <f t="shared" si="1861"/>
        <v/>
      </c>
      <c r="BP1175" s="418" t="str">
        <f t="shared" si="1862"/>
        <v/>
      </c>
      <c r="BQ1175" s="418" t="str">
        <f t="shared" si="1863"/>
        <v/>
      </c>
      <c r="BR1175" s="418" t="str">
        <f t="shared" si="1864"/>
        <v/>
      </c>
      <c r="BS1175" s="418" t="str">
        <f t="shared" si="1865"/>
        <v/>
      </c>
      <c r="BT1175" s="418" t="str">
        <f t="shared" si="1866"/>
        <v/>
      </c>
      <c r="BU1175" s="418" t="str">
        <f t="shared" si="1867"/>
        <v/>
      </c>
      <c r="BV1175" s="624">
        <v>0.62</v>
      </c>
      <c r="BW1175" s="723">
        <f t="shared" si="1868"/>
        <v>4969.92</v>
      </c>
      <c r="BX1175" s="724">
        <f t="shared" si="1869"/>
        <v>38516.88</v>
      </c>
      <c r="BY1175" s="725" t="str">
        <f t="shared" si="1870"/>
        <v>SR</v>
      </c>
    </row>
    <row r="1176" s="697" customFormat="1" customHeight="1" spans="1:77">
      <c r="A1176" s="362">
        <v>46218</v>
      </c>
      <c r="B1176" s="362">
        <v>46280</v>
      </c>
      <c r="C1176" s="431" t="s">
        <v>1043</v>
      </c>
      <c r="D1176" s="431" t="s">
        <v>1044</v>
      </c>
      <c r="E1176" s="431" t="s">
        <v>85</v>
      </c>
      <c r="F1176" s="96">
        <v>16008</v>
      </c>
      <c r="G1176" s="431" t="s">
        <v>510</v>
      </c>
      <c r="H1176" s="118" t="str">
        <f>IFERROR(VLOOKUP(E1176,名称!A:E,4,0),"")</f>
        <v>三代</v>
      </c>
      <c r="I1176" s="418" t="str">
        <f t="shared" si="1803"/>
        <v/>
      </c>
      <c r="J1176" s="418" t="str">
        <f t="shared" si="1804"/>
        <v/>
      </c>
      <c r="K1176" s="418" t="str">
        <f t="shared" si="1805"/>
        <v/>
      </c>
      <c r="L1176" s="418" t="str">
        <f t="shared" si="1806"/>
        <v/>
      </c>
      <c r="M1176" s="418" t="str">
        <f t="shared" si="1807"/>
        <v/>
      </c>
      <c r="N1176" s="418" t="str">
        <f t="shared" si="1808"/>
        <v/>
      </c>
      <c r="O1176" s="418" t="str">
        <f t="shared" si="1809"/>
        <v/>
      </c>
      <c r="P1176" s="418" t="str">
        <f t="shared" si="1810"/>
        <v/>
      </c>
      <c r="Q1176" s="418" t="str">
        <f t="shared" si="1811"/>
        <v/>
      </c>
      <c r="R1176" s="418" t="str">
        <f t="shared" si="1812"/>
        <v/>
      </c>
      <c r="S1176" s="418" t="str">
        <f t="shared" si="1813"/>
        <v/>
      </c>
      <c r="T1176" s="418" t="str">
        <f t="shared" si="1814"/>
        <v/>
      </c>
      <c r="U1176" s="418" t="str">
        <f t="shared" si="1815"/>
        <v/>
      </c>
      <c r="V1176" s="418" t="str">
        <f t="shared" si="1816"/>
        <v/>
      </c>
      <c r="W1176" s="418" t="str">
        <f t="shared" si="1817"/>
        <v/>
      </c>
      <c r="X1176" s="418" t="str">
        <f t="shared" si="1818"/>
        <v/>
      </c>
      <c r="Y1176" s="418" t="str">
        <f t="shared" si="1819"/>
        <v/>
      </c>
      <c r="Z1176" s="418" t="str">
        <f t="shared" si="1820"/>
        <v/>
      </c>
      <c r="AA1176" s="418" t="str">
        <f t="shared" si="1821"/>
        <v/>
      </c>
      <c r="AB1176" s="418" t="str">
        <f t="shared" si="1822"/>
        <v/>
      </c>
      <c r="AC1176" s="418" t="str">
        <f t="shared" si="1823"/>
        <v/>
      </c>
      <c r="AD1176" s="418" t="str">
        <f t="shared" si="1824"/>
        <v/>
      </c>
      <c r="AE1176" s="418" t="str">
        <f t="shared" si="1825"/>
        <v/>
      </c>
      <c r="AF1176" s="418" t="str">
        <f t="shared" si="1826"/>
        <v/>
      </c>
      <c r="AG1176" s="418" t="str">
        <f t="shared" si="1827"/>
        <v/>
      </c>
      <c r="AH1176" s="418" t="str">
        <f t="shared" si="1828"/>
        <v/>
      </c>
      <c r="AI1176" s="418" t="str">
        <f t="shared" si="1829"/>
        <v/>
      </c>
      <c r="AJ1176" s="418" t="str">
        <f t="shared" si="1830"/>
        <v/>
      </c>
      <c r="AK1176" s="418" t="str">
        <f t="shared" si="1831"/>
        <v/>
      </c>
      <c r="AL1176" s="418" t="str">
        <f t="shared" si="1832"/>
        <v/>
      </c>
      <c r="AM1176" s="418" t="str">
        <f t="shared" si="1833"/>
        <v/>
      </c>
      <c r="AN1176" s="418">
        <f t="shared" si="1834"/>
        <v>16008</v>
      </c>
      <c r="AO1176" s="418" t="str">
        <f t="shared" si="1835"/>
        <v/>
      </c>
      <c r="AP1176" s="418" t="str">
        <f t="shared" si="1836"/>
        <v/>
      </c>
      <c r="AQ1176" s="418" t="str">
        <f t="shared" si="1837"/>
        <v/>
      </c>
      <c r="AR1176" s="418" t="str">
        <f t="shared" si="1838"/>
        <v/>
      </c>
      <c r="AS1176" s="418" t="str">
        <f t="shared" si="1839"/>
        <v/>
      </c>
      <c r="AT1176" s="418" t="str">
        <f t="shared" si="1840"/>
        <v/>
      </c>
      <c r="AU1176" s="418" t="str">
        <f t="shared" si="1841"/>
        <v/>
      </c>
      <c r="AV1176" s="418" t="str">
        <f t="shared" si="1842"/>
        <v/>
      </c>
      <c r="AW1176" s="418" t="str">
        <f t="shared" si="1843"/>
        <v/>
      </c>
      <c r="AX1176" s="418" t="str">
        <f t="shared" si="1844"/>
        <v/>
      </c>
      <c r="AY1176" s="418" t="str">
        <f t="shared" si="1845"/>
        <v/>
      </c>
      <c r="AZ1176" s="418" t="str">
        <f t="shared" si="1846"/>
        <v/>
      </c>
      <c r="BA1176" s="418" t="str">
        <f t="shared" si="1847"/>
        <v/>
      </c>
      <c r="BB1176" s="418" t="str">
        <f t="shared" si="1848"/>
        <v/>
      </c>
      <c r="BC1176" s="418" t="str">
        <f t="shared" si="1849"/>
        <v/>
      </c>
      <c r="BD1176" s="418" t="str">
        <f t="shared" si="1850"/>
        <v/>
      </c>
      <c r="BE1176" s="418" t="str">
        <f t="shared" si="1851"/>
        <v/>
      </c>
      <c r="BF1176" s="418" t="str">
        <f t="shared" si="1852"/>
        <v/>
      </c>
      <c r="BG1176" s="418" t="str">
        <f t="shared" si="1853"/>
        <v/>
      </c>
      <c r="BH1176" s="418" t="str">
        <f t="shared" si="1854"/>
        <v/>
      </c>
      <c r="BI1176" s="418" t="str">
        <f t="shared" si="1855"/>
        <v/>
      </c>
      <c r="BJ1176" s="418" t="str">
        <f t="shared" si="1856"/>
        <v/>
      </c>
      <c r="BK1176" s="418" t="str">
        <f t="shared" si="1857"/>
        <v/>
      </c>
      <c r="BL1176" s="418" t="str">
        <f t="shared" si="1858"/>
        <v/>
      </c>
      <c r="BM1176" s="418" t="str">
        <f t="shared" si="1859"/>
        <v/>
      </c>
      <c r="BN1176" s="418" t="str">
        <f t="shared" si="1860"/>
        <v/>
      </c>
      <c r="BO1176" s="418" t="str">
        <f t="shared" si="1861"/>
        <v/>
      </c>
      <c r="BP1176" s="418" t="str">
        <f t="shared" si="1862"/>
        <v/>
      </c>
      <c r="BQ1176" s="418" t="str">
        <f t="shared" si="1863"/>
        <v/>
      </c>
      <c r="BR1176" s="418" t="str">
        <f t="shared" si="1864"/>
        <v/>
      </c>
      <c r="BS1176" s="418" t="str">
        <f t="shared" si="1865"/>
        <v/>
      </c>
      <c r="BT1176" s="418" t="str">
        <f t="shared" si="1866"/>
        <v/>
      </c>
      <c r="BU1176" s="418" t="str">
        <f t="shared" si="1867"/>
        <v/>
      </c>
      <c r="BV1176" s="624">
        <v>0.88</v>
      </c>
      <c r="BW1176" s="723">
        <f t="shared" si="1868"/>
        <v>14087.04</v>
      </c>
      <c r="BX1176" s="724">
        <f t="shared" si="1869"/>
        <v>109174.56</v>
      </c>
      <c r="BY1176" s="725" t="str">
        <f t="shared" si="1870"/>
        <v>SR</v>
      </c>
    </row>
    <row r="1177" s="697" customFormat="1" customHeight="1" spans="1:77">
      <c r="A1177" s="362">
        <v>46218</v>
      </c>
      <c r="B1177" s="362">
        <v>46280</v>
      </c>
      <c r="C1177" s="431" t="s">
        <v>1043</v>
      </c>
      <c r="D1177" s="431" t="s">
        <v>1044</v>
      </c>
      <c r="E1177" s="431" t="s">
        <v>66</v>
      </c>
      <c r="F1177" s="96">
        <v>4002</v>
      </c>
      <c r="G1177" s="431" t="s">
        <v>510</v>
      </c>
      <c r="H1177" s="118" t="str">
        <f>IFERROR(VLOOKUP(E1177,名称!A:E,4,0),"")</f>
        <v>三代</v>
      </c>
      <c r="I1177" s="418" t="str">
        <f t="shared" si="1803"/>
        <v/>
      </c>
      <c r="J1177" s="418" t="str">
        <f t="shared" si="1804"/>
        <v/>
      </c>
      <c r="K1177" s="418" t="str">
        <f t="shared" si="1805"/>
        <v/>
      </c>
      <c r="L1177" s="418" t="str">
        <f t="shared" si="1806"/>
        <v/>
      </c>
      <c r="M1177" s="418" t="str">
        <f t="shared" si="1807"/>
        <v/>
      </c>
      <c r="N1177" s="418" t="str">
        <f t="shared" si="1808"/>
        <v/>
      </c>
      <c r="O1177" s="418" t="str">
        <f t="shared" si="1809"/>
        <v/>
      </c>
      <c r="P1177" s="418" t="str">
        <f t="shared" si="1810"/>
        <v/>
      </c>
      <c r="Q1177" s="418" t="str">
        <f t="shared" si="1811"/>
        <v/>
      </c>
      <c r="R1177" s="418" t="str">
        <f t="shared" si="1812"/>
        <v/>
      </c>
      <c r="S1177" s="418" t="str">
        <f t="shared" si="1813"/>
        <v/>
      </c>
      <c r="T1177" s="418" t="str">
        <f t="shared" si="1814"/>
        <v/>
      </c>
      <c r="U1177" s="418" t="str">
        <f t="shared" si="1815"/>
        <v/>
      </c>
      <c r="V1177" s="418" t="str">
        <f t="shared" si="1816"/>
        <v/>
      </c>
      <c r="W1177" s="418" t="str">
        <f t="shared" si="1817"/>
        <v/>
      </c>
      <c r="X1177" s="418" t="str">
        <f t="shared" si="1818"/>
        <v/>
      </c>
      <c r="Y1177" s="418" t="str">
        <f t="shared" si="1819"/>
        <v/>
      </c>
      <c r="Z1177" s="418" t="str">
        <f t="shared" si="1820"/>
        <v/>
      </c>
      <c r="AA1177" s="418" t="str">
        <f t="shared" si="1821"/>
        <v/>
      </c>
      <c r="AB1177" s="418" t="str">
        <f t="shared" si="1822"/>
        <v/>
      </c>
      <c r="AC1177" s="418" t="str">
        <f t="shared" si="1823"/>
        <v/>
      </c>
      <c r="AD1177" s="418" t="str">
        <f t="shared" si="1824"/>
        <v/>
      </c>
      <c r="AE1177" s="418" t="str">
        <f t="shared" si="1825"/>
        <v/>
      </c>
      <c r="AF1177" s="418" t="str">
        <f t="shared" si="1826"/>
        <v/>
      </c>
      <c r="AG1177" s="418">
        <f t="shared" si="1827"/>
        <v>4002</v>
      </c>
      <c r="AH1177" s="418" t="str">
        <f t="shared" si="1828"/>
        <v/>
      </c>
      <c r="AI1177" s="418" t="str">
        <f t="shared" si="1829"/>
        <v/>
      </c>
      <c r="AJ1177" s="418" t="str">
        <f t="shared" si="1830"/>
        <v/>
      </c>
      <c r="AK1177" s="418" t="str">
        <f t="shared" si="1831"/>
        <v/>
      </c>
      <c r="AL1177" s="418" t="str">
        <f t="shared" si="1832"/>
        <v/>
      </c>
      <c r="AM1177" s="418" t="str">
        <f t="shared" si="1833"/>
        <v/>
      </c>
      <c r="AN1177" s="418" t="str">
        <f t="shared" si="1834"/>
        <v/>
      </c>
      <c r="AO1177" s="418" t="str">
        <f t="shared" si="1835"/>
        <v/>
      </c>
      <c r="AP1177" s="418" t="str">
        <f t="shared" si="1836"/>
        <v/>
      </c>
      <c r="AQ1177" s="418" t="str">
        <f t="shared" si="1837"/>
        <v/>
      </c>
      <c r="AR1177" s="418" t="str">
        <f t="shared" si="1838"/>
        <v/>
      </c>
      <c r="AS1177" s="418" t="str">
        <f t="shared" si="1839"/>
        <v/>
      </c>
      <c r="AT1177" s="418" t="str">
        <f t="shared" si="1840"/>
        <v/>
      </c>
      <c r="AU1177" s="418" t="str">
        <f t="shared" si="1841"/>
        <v/>
      </c>
      <c r="AV1177" s="418" t="str">
        <f t="shared" si="1842"/>
        <v/>
      </c>
      <c r="AW1177" s="418" t="str">
        <f t="shared" si="1843"/>
        <v/>
      </c>
      <c r="AX1177" s="418" t="str">
        <f t="shared" si="1844"/>
        <v/>
      </c>
      <c r="AY1177" s="418" t="str">
        <f t="shared" si="1845"/>
        <v/>
      </c>
      <c r="AZ1177" s="418" t="str">
        <f t="shared" si="1846"/>
        <v/>
      </c>
      <c r="BA1177" s="418" t="str">
        <f t="shared" si="1847"/>
        <v/>
      </c>
      <c r="BB1177" s="418" t="str">
        <f t="shared" si="1848"/>
        <v/>
      </c>
      <c r="BC1177" s="418" t="str">
        <f t="shared" si="1849"/>
        <v/>
      </c>
      <c r="BD1177" s="418" t="str">
        <f t="shared" si="1850"/>
        <v/>
      </c>
      <c r="BE1177" s="418" t="str">
        <f t="shared" si="1851"/>
        <v/>
      </c>
      <c r="BF1177" s="418" t="str">
        <f t="shared" si="1852"/>
        <v/>
      </c>
      <c r="BG1177" s="418" t="str">
        <f t="shared" si="1853"/>
        <v/>
      </c>
      <c r="BH1177" s="418" t="str">
        <f t="shared" si="1854"/>
        <v/>
      </c>
      <c r="BI1177" s="418" t="str">
        <f t="shared" si="1855"/>
        <v/>
      </c>
      <c r="BJ1177" s="418" t="str">
        <f t="shared" si="1856"/>
        <v/>
      </c>
      <c r="BK1177" s="418" t="str">
        <f t="shared" si="1857"/>
        <v/>
      </c>
      <c r="BL1177" s="418" t="str">
        <f t="shared" si="1858"/>
        <v/>
      </c>
      <c r="BM1177" s="418" t="str">
        <f t="shared" si="1859"/>
        <v/>
      </c>
      <c r="BN1177" s="418" t="str">
        <f t="shared" si="1860"/>
        <v/>
      </c>
      <c r="BO1177" s="418" t="str">
        <f t="shared" si="1861"/>
        <v/>
      </c>
      <c r="BP1177" s="418" t="str">
        <f t="shared" si="1862"/>
        <v/>
      </c>
      <c r="BQ1177" s="418" t="str">
        <f t="shared" si="1863"/>
        <v/>
      </c>
      <c r="BR1177" s="418" t="str">
        <f t="shared" si="1864"/>
        <v/>
      </c>
      <c r="BS1177" s="418" t="str">
        <f t="shared" si="1865"/>
        <v/>
      </c>
      <c r="BT1177" s="418" t="str">
        <f t="shared" si="1866"/>
        <v/>
      </c>
      <c r="BU1177" s="418" t="str">
        <f t="shared" si="1867"/>
        <v/>
      </c>
      <c r="BV1177" s="624">
        <v>2.04</v>
      </c>
      <c r="BW1177" s="723">
        <f t="shared" si="1868"/>
        <v>8164.08</v>
      </c>
      <c r="BX1177" s="724">
        <f t="shared" si="1869"/>
        <v>63271.62</v>
      </c>
      <c r="BY1177" s="725" t="str">
        <f t="shared" si="1870"/>
        <v>SR</v>
      </c>
    </row>
    <row r="1178" s="697" customFormat="1" customHeight="1" spans="1:77">
      <c r="A1178" s="362">
        <v>46218</v>
      </c>
      <c r="B1178" s="362">
        <v>46280</v>
      </c>
      <c r="C1178" s="431" t="s">
        <v>1043</v>
      </c>
      <c r="D1178" s="431" t="s">
        <v>1044</v>
      </c>
      <c r="E1178" s="431" t="s">
        <v>109</v>
      </c>
      <c r="F1178" s="96">
        <v>6000</v>
      </c>
      <c r="G1178" s="431" t="s">
        <v>510</v>
      </c>
      <c r="H1178" s="118" t="str">
        <f>IFERROR(VLOOKUP(E1178,名称!A:E,4,0),"")</f>
        <v>三代</v>
      </c>
      <c r="I1178" s="418" t="str">
        <f t="shared" si="1803"/>
        <v/>
      </c>
      <c r="J1178" s="418" t="str">
        <f t="shared" si="1804"/>
        <v/>
      </c>
      <c r="K1178" s="418" t="str">
        <f t="shared" si="1805"/>
        <v/>
      </c>
      <c r="L1178" s="418" t="str">
        <f t="shared" si="1806"/>
        <v/>
      </c>
      <c r="M1178" s="418" t="str">
        <f t="shared" si="1807"/>
        <v/>
      </c>
      <c r="N1178" s="418" t="str">
        <f t="shared" si="1808"/>
        <v/>
      </c>
      <c r="O1178" s="418" t="str">
        <f t="shared" si="1809"/>
        <v/>
      </c>
      <c r="P1178" s="418" t="str">
        <f t="shared" si="1810"/>
        <v/>
      </c>
      <c r="Q1178" s="418" t="str">
        <f t="shared" si="1811"/>
        <v/>
      </c>
      <c r="R1178" s="418" t="str">
        <f t="shared" si="1812"/>
        <v/>
      </c>
      <c r="S1178" s="418" t="str">
        <f t="shared" si="1813"/>
        <v/>
      </c>
      <c r="T1178" s="418" t="str">
        <f t="shared" si="1814"/>
        <v/>
      </c>
      <c r="U1178" s="418" t="str">
        <f t="shared" si="1815"/>
        <v/>
      </c>
      <c r="V1178" s="418" t="str">
        <f t="shared" si="1816"/>
        <v/>
      </c>
      <c r="W1178" s="418" t="str">
        <f t="shared" si="1817"/>
        <v/>
      </c>
      <c r="X1178" s="418" t="str">
        <f t="shared" si="1818"/>
        <v/>
      </c>
      <c r="Y1178" s="418" t="str">
        <f t="shared" si="1819"/>
        <v/>
      </c>
      <c r="Z1178" s="418" t="str">
        <f t="shared" si="1820"/>
        <v/>
      </c>
      <c r="AA1178" s="418" t="str">
        <f t="shared" si="1821"/>
        <v/>
      </c>
      <c r="AB1178" s="418" t="str">
        <f t="shared" si="1822"/>
        <v/>
      </c>
      <c r="AC1178" s="418" t="str">
        <f t="shared" si="1823"/>
        <v/>
      </c>
      <c r="AD1178" s="418" t="str">
        <f t="shared" si="1824"/>
        <v/>
      </c>
      <c r="AE1178" s="418" t="str">
        <f t="shared" si="1825"/>
        <v/>
      </c>
      <c r="AF1178" s="418" t="str">
        <f t="shared" si="1826"/>
        <v/>
      </c>
      <c r="AG1178" s="418" t="str">
        <f t="shared" si="1827"/>
        <v/>
      </c>
      <c r="AH1178" s="418" t="str">
        <f t="shared" si="1828"/>
        <v/>
      </c>
      <c r="AI1178" s="418" t="str">
        <f t="shared" si="1829"/>
        <v/>
      </c>
      <c r="AJ1178" s="418" t="str">
        <f t="shared" si="1830"/>
        <v/>
      </c>
      <c r="AK1178" s="418" t="str">
        <f t="shared" si="1831"/>
        <v/>
      </c>
      <c r="AL1178" s="418" t="str">
        <f t="shared" si="1832"/>
        <v/>
      </c>
      <c r="AM1178" s="418" t="str">
        <f t="shared" si="1833"/>
        <v/>
      </c>
      <c r="AN1178" s="418" t="str">
        <f t="shared" si="1834"/>
        <v/>
      </c>
      <c r="AO1178" s="418" t="str">
        <f t="shared" si="1835"/>
        <v/>
      </c>
      <c r="AP1178" s="418" t="str">
        <f t="shared" si="1836"/>
        <v/>
      </c>
      <c r="AQ1178" s="418" t="str">
        <f t="shared" si="1837"/>
        <v/>
      </c>
      <c r="AR1178" s="418" t="str">
        <f t="shared" si="1838"/>
        <v/>
      </c>
      <c r="AS1178" s="418" t="str">
        <f t="shared" si="1839"/>
        <v/>
      </c>
      <c r="AT1178" s="418" t="str">
        <f t="shared" si="1840"/>
        <v/>
      </c>
      <c r="AU1178" s="418" t="str">
        <f t="shared" si="1841"/>
        <v/>
      </c>
      <c r="AV1178" s="418" t="str">
        <f t="shared" si="1842"/>
        <v/>
      </c>
      <c r="AW1178" s="418" t="str">
        <f t="shared" si="1843"/>
        <v/>
      </c>
      <c r="AX1178" s="418" t="str">
        <f t="shared" si="1844"/>
        <v/>
      </c>
      <c r="AY1178" s="418" t="str">
        <f t="shared" si="1845"/>
        <v/>
      </c>
      <c r="AZ1178" s="418" t="str">
        <f t="shared" si="1846"/>
        <v/>
      </c>
      <c r="BA1178" s="418" t="str">
        <f t="shared" si="1847"/>
        <v/>
      </c>
      <c r="BB1178" s="418" t="str">
        <f t="shared" si="1848"/>
        <v/>
      </c>
      <c r="BC1178" s="418">
        <f t="shared" si="1849"/>
        <v>6000</v>
      </c>
      <c r="BD1178" s="418" t="str">
        <f t="shared" si="1850"/>
        <v/>
      </c>
      <c r="BE1178" s="418" t="str">
        <f t="shared" si="1851"/>
        <v/>
      </c>
      <c r="BF1178" s="418" t="str">
        <f t="shared" si="1852"/>
        <v/>
      </c>
      <c r="BG1178" s="418" t="str">
        <f t="shared" si="1853"/>
        <v/>
      </c>
      <c r="BH1178" s="418" t="str">
        <f t="shared" si="1854"/>
        <v/>
      </c>
      <c r="BI1178" s="418" t="str">
        <f t="shared" si="1855"/>
        <v/>
      </c>
      <c r="BJ1178" s="418" t="str">
        <f t="shared" si="1856"/>
        <v/>
      </c>
      <c r="BK1178" s="418" t="str">
        <f t="shared" si="1857"/>
        <v/>
      </c>
      <c r="BL1178" s="418" t="str">
        <f t="shared" si="1858"/>
        <v/>
      </c>
      <c r="BM1178" s="418" t="str">
        <f t="shared" si="1859"/>
        <v/>
      </c>
      <c r="BN1178" s="418" t="str">
        <f t="shared" si="1860"/>
        <v/>
      </c>
      <c r="BO1178" s="418" t="str">
        <f t="shared" si="1861"/>
        <v/>
      </c>
      <c r="BP1178" s="418" t="str">
        <f t="shared" si="1862"/>
        <v/>
      </c>
      <c r="BQ1178" s="418" t="str">
        <f t="shared" si="1863"/>
        <v/>
      </c>
      <c r="BR1178" s="418" t="str">
        <f t="shared" si="1864"/>
        <v/>
      </c>
      <c r="BS1178" s="418" t="str">
        <f t="shared" si="1865"/>
        <v/>
      </c>
      <c r="BT1178" s="418" t="str">
        <f t="shared" si="1866"/>
        <v/>
      </c>
      <c r="BU1178" s="418" t="str">
        <f t="shared" si="1867"/>
        <v/>
      </c>
      <c r="BV1178" s="624">
        <v>0.61</v>
      </c>
      <c r="BW1178" s="723">
        <f t="shared" si="1868"/>
        <v>3660</v>
      </c>
      <c r="BX1178" s="724">
        <f t="shared" si="1869"/>
        <v>28365</v>
      </c>
      <c r="BY1178" s="725" t="str">
        <f t="shared" si="1870"/>
        <v>JS</v>
      </c>
    </row>
    <row r="1179" s="697" customFormat="1" customHeight="1" spans="1:77">
      <c r="A1179" s="362">
        <v>46220</v>
      </c>
      <c r="B1179" s="362">
        <v>46287</v>
      </c>
      <c r="C1179" s="118"/>
      <c r="D1179" s="431" t="s">
        <v>1045</v>
      </c>
      <c r="E1179" s="431" t="s">
        <v>198</v>
      </c>
      <c r="F1179" s="96">
        <f>8400-3108</f>
        <v>5292</v>
      </c>
      <c r="G1179" s="431" t="s">
        <v>253</v>
      </c>
      <c r="H1179" s="118" t="str">
        <f>IFERROR(VLOOKUP(E1179,名称!A:E,4,0),"")</f>
        <v>三代</v>
      </c>
      <c r="I1179" s="418" t="str">
        <f t="shared" si="1803"/>
        <v/>
      </c>
      <c r="J1179" s="418" t="str">
        <f t="shared" si="1804"/>
        <v/>
      </c>
      <c r="K1179" s="418" t="str">
        <f t="shared" si="1805"/>
        <v/>
      </c>
      <c r="L1179" s="418" t="str">
        <f t="shared" si="1806"/>
        <v/>
      </c>
      <c r="M1179" s="418" t="str">
        <f t="shared" si="1807"/>
        <v/>
      </c>
      <c r="N1179" s="418" t="str">
        <f t="shared" si="1808"/>
        <v/>
      </c>
      <c r="O1179" s="418" t="str">
        <f t="shared" si="1809"/>
        <v/>
      </c>
      <c r="P1179" s="418" t="str">
        <f t="shared" si="1810"/>
        <v/>
      </c>
      <c r="Q1179" s="418" t="str">
        <f t="shared" si="1811"/>
        <v/>
      </c>
      <c r="R1179" s="418" t="str">
        <f t="shared" si="1812"/>
        <v/>
      </c>
      <c r="S1179" s="418" t="str">
        <f t="shared" si="1813"/>
        <v/>
      </c>
      <c r="T1179" s="418" t="str">
        <f t="shared" si="1814"/>
        <v/>
      </c>
      <c r="U1179" s="418" t="str">
        <f t="shared" si="1815"/>
        <v/>
      </c>
      <c r="V1179" s="418" t="str">
        <f t="shared" si="1816"/>
        <v/>
      </c>
      <c r="W1179" s="418" t="str">
        <f t="shared" si="1817"/>
        <v/>
      </c>
      <c r="X1179" s="418" t="str">
        <f t="shared" si="1818"/>
        <v/>
      </c>
      <c r="Y1179" s="418" t="str">
        <f t="shared" si="1819"/>
        <v/>
      </c>
      <c r="Z1179" s="418" t="str">
        <f t="shared" si="1820"/>
        <v/>
      </c>
      <c r="AA1179" s="418" t="str">
        <f t="shared" si="1821"/>
        <v/>
      </c>
      <c r="AB1179" s="418" t="str">
        <f t="shared" si="1822"/>
        <v/>
      </c>
      <c r="AC1179" s="418" t="str">
        <f t="shared" si="1823"/>
        <v/>
      </c>
      <c r="AD1179" s="418" t="str">
        <f t="shared" si="1824"/>
        <v/>
      </c>
      <c r="AE1179" s="418" t="str">
        <f t="shared" si="1825"/>
        <v/>
      </c>
      <c r="AF1179" s="418" t="str">
        <f t="shared" si="1826"/>
        <v/>
      </c>
      <c r="AG1179" s="418" t="str">
        <f t="shared" si="1827"/>
        <v/>
      </c>
      <c r="AH1179" s="418" t="str">
        <f t="shared" si="1828"/>
        <v/>
      </c>
      <c r="AI1179" s="418" t="str">
        <f t="shared" si="1829"/>
        <v/>
      </c>
      <c r="AJ1179" s="418" t="str">
        <f t="shared" si="1830"/>
        <v/>
      </c>
      <c r="AK1179" s="418" t="str">
        <f t="shared" si="1831"/>
        <v/>
      </c>
      <c r="AL1179" s="418" t="str">
        <f t="shared" si="1832"/>
        <v/>
      </c>
      <c r="AM1179" s="418" t="str">
        <f t="shared" si="1833"/>
        <v/>
      </c>
      <c r="AN1179" s="418" t="str">
        <f t="shared" si="1834"/>
        <v/>
      </c>
      <c r="AO1179" s="418" t="str">
        <f t="shared" si="1835"/>
        <v/>
      </c>
      <c r="AP1179" s="418" t="str">
        <f t="shared" si="1836"/>
        <v/>
      </c>
      <c r="AQ1179" s="418" t="str">
        <f t="shared" si="1837"/>
        <v/>
      </c>
      <c r="AR1179" s="418" t="str">
        <f t="shared" si="1838"/>
        <v/>
      </c>
      <c r="AS1179" s="418" t="str">
        <f t="shared" si="1839"/>
        <v/>
      </c>
      <c r="AT1179" s="418">
        <f t="shared" si="1840"/>
        <v>5292</v>
      </c>
      <c r="AU1179" s="418" t="str">
        <f t="shared" si="1841"/>
        <v/>
      </c>
      <c r="AV1179" s="418" t="str">
        <f t="shared" si="1842"/>
        <v/>
      </c>
      <c r="AW1179" s="418" t="str">
        <f t="shared" si="1843"/>
        <v/>
      </c>
      <c r="AX1179" s="418" t="str">
        <f t="shared" si="1844"/>
        <v/>
      </c>
      <c r="AY1179" s="418" t="str">
        <f t="shared" si="1845"/>
        <v/>
      </c>
      <c r="AZ1179" s="418" t="str">
        <f t="shared" si="1846"/>
        <v/>
      </c>
      <c r="BA1179" s="418" t="str">
        <f t="shared" si="1847"/>
        <v/>
      </c>
      <c r="BB1179" s="418" t="str">
        <f t="shared" si="1848"/>
        <v/>
      </c>
      <c r="BC1179" s="418" t="str">
        <f t="shared" si="1849"/>
        <v/>
      </c>
      <c r="BD1179" s="418" t="str">
        <f t="shared" si="1850"/>
        <v/>
      </c>
      <c r="BE1179" s="418" t="str">
        <f t="shared" si="1851"/>
        <v/>
      </c>
      <c r="BF1179" s="418" t="str">
        <f t="shared" si="1852"/>
        <v/>
      </c>
      <c r="BG1179" s="418" t="str">
        <f t="shared" si="1853"/>
        <v/>
      </c>
      <c r="BH1179" s="418" t="str">
        <f t="shared" si="1854"/>
        <v/>
      </c>
      <c r="BI1179" s="418" t="str">
        <f t="shared" si="1855"/>
        <v/>
      </c>
      <c r="BJ1179" s="418" t="str">
        <f t="shared" si="1856"/>
        <v/>
      </c>
      <c r="BK1179" s="418" t="str">
        <f t="shared" si="1857"/>
        <v/>
      </c>
      <c r="BL1179" s="418" t="str">
        <f t="shared" si="1858"/>
        <v/>
      </c>
      <c r="BM1179" s="418" t="str">
        <f t="shared" si="1859"/>
        <v/>
      </c>
      <c r="BN1179" s="418" t="str">
        <f t="shared" si="1860"/>
        <v/>
      </c>
      <c r="BO1179" s="418" t="str">
        <f t="shared" si="1861"/>
        <v/>
      </c>
      <c r="BP1179" s="418" t="str">
        <f t="shared" si="1862"/>
        <v/>
      </c>
      <c r="BQ1179" s="418" t="str">
        <f t="shared" si="1863"/>
        <v/>
      </c>
      <c r="BR1179" s="418" t="str">
        <f t="shared" si="1864"/>
        <v/>
      </c>
      <c r="BS1179" s="418" t="str">
        <f t="shared" si="1865"/>
        <v/>
      </c>
      <c r="BT1179" s="418" t="str">
        <f t="shared" si="1866"/>
        <v/>
      </c>
      <c r="BU1179" s="418" t="str">
        <f t="shared" si="1867"/>
        <v/>
      </c>
      <c r="BV1179" s="624">
        <v>0.82</v>
      </c>
      <c r="BW1179" s="723">
        <f t="shared" si="1868"/>
        <v>4339.44</v>
      </c>
      <c r="BX1179" s="724">
        <f t="shared" si="1869"/>
        <v>33630.66</v>
      </c>
      <c r="BY1179" s="725" t="str">
        <f t="shared" si="1870"/>
        <v>SR</v>
      </c>
    </row>
    <row r="1180" s="697" customFormat="1" customHeight="1" spans="1:77">
      <c r="A1180" s="362">
        <v>46224</v>
      </c>
      <c r="B1180" s="362">
        <v>46286</v>
      </c>
      <c r="C1180" s="129"/>
      <c r="D1180" s="431" t="s">
        <v>1046</v>
      </c>
      <c r="E1180" s="431" t="s">
        <v>55</v>
      </c>
      <c r="F1180" s="96">
        <v>7008</v>
      </c>
      <c r="G1180" s="431" t="s">
        <v>510</v>
      </c>
      <c r="H1180" s="118" t="str">
        <f>IFERROR(VLOOKUP(E1180,名称!A:E,4,0),"")</f>
        <v>三代</v>
      </c>
      <c r="I1180" s="418" t="str">
        <f t="shared" si="1803"/>
        <v/>
      </c>
      <c r="J1180" s="418" t="str">
        <f t="shared" si="1804"/>
        <v/>
      </c>
      <c r="K1180" s="418" t="str">
        <f t="shared" si="1805"/>
        <v/>
      </c>
      <c r="L1180" s="418" t="str">
        <f t="shared" si="1806"/>
        <v/>
      </c>
      <c r="M1180" s="418" t="str">
        <f t="shared" si="1807"/>
        <v/>
      </c>
      <c r="N1180" s="418" t="str">
        <f t="shared" si="1808"/>
        <v/>
      </c>
      <c r="O1180" s="418" t="str">
        <f t="shared" si="1809"/>
        <v/>
      </c>
      <c r="P1180" s="418" t="str">
        <f t="shared" si="1810"/>
        <v/>
      </c>
      <c r="Q1180" s="418" t="str">
        <f t="shared" si="1811"/>
        <v/>
      </c>
      <c r="R1180" s="418" t="str">
        <f t="shared" si="1812"/>
        <v/>
      </c>
      <c r="S1180" s="418" t="str">
        <f t="shared" si="1813"/>
        <v/>
      </c>
      <c r="T1180" s="418" t="str">
        <f t="shared" si="1814"/>
        <v/>
      </c>
      <c r="U1180" s="418" t="str">
        <f t="shared" si="1815"/>
        <v/>
      </c>
      <c r="V1180" s="418" t="str">
        <f t="shared" si="1816"/>
        <v/>
      </c>
      <c r="W1180" s="418" t="str">
        <f t="shared" si="1817"/>
        <v/>
      </c>
      <c r="X1180" s="418" t="str">
        <f t="shared" si="1818"/>
        <v/>
      </c>
      <c r="Y1180" s="418" t="str">
        <f t="shared" si="1819"/>
        <v/>
      </c>
      <c r="Z1180" s="418" t="str">
        <f t="shared" si="1820"/>
        <v/>
      </c>
      <c r="AA1180" s="418" t="str">
        <f t="shared" si="1821"/>
        <v/>
      </c>
      <c r="AB1180" s="418" t="str">
        <f t="shared" si="1822"/>
        <v/>
      </c>
      <c r="AC1180" s="418">
        <f t="shared" si="1823"/>
        <v>7008</v>
      </c>
      <c r="AD1180" s="418" t="str">
        <f t="shared" si="1824"/>
        <v/>
      </c>
      <c r="AE1180" s="418" t="str">
        <f t="shared" si="1825"/>
        <v/>
      </c>
      <c r="AF1180" s="418" t="str">
        <f t="shared" si="1826"/>
        <v/>
      </c>
      <c r="AG1180" s="418" t="str">
        <f t="shared" si="1827"/>
        <v/>
      </c>
      <c r="AH1180" s="418" t="str">
        <f t="shared" si="1828"/>
        <v/>
      </c>
      <c r="AI1180" s="418" t="str">
        <f t="shared" si="1829"/>
        <v/>
      </c>
      <c r="AJ1180" s="418" t="str">
        <f t="shared" si="1830"/>
        <v/>
      </c>
      <c r="AK1180" s="418" t="str">
        <f t="shared" si="1831"/>
        <v/>
      </c>
      <c r="AL1180" s="418" t="str">
        <f t="shared" si="1832"/>
        <v/>
      </c>
      <c r="AM1180" s="418" t="str">
        <f t="shared" si="1833"/>
        <v/>
      </c>
      <c r="AN1180" s="418" t="str">
        <f t="shared" si="1834"/>
        <v/>
      </c>
      <c r="AO1180" s="418" t="str">
        <f t="shared" si="1835"/>
        <v/>
      </c>
      <c r="AP1180" s="418" t="str">
        <f t="shared" si="1836"/>
        <v/>
      </c>
      <c r="AQ1180" s="418" t="str">
        <f t="shared" si="1837"/>
        <v/>
      </c>
      <c r="AR1180" s="418" t="str">
        <f t="shared" si="1838"/>
        <v/>
      </c>
      <c r="AS1180" s="418" t="str">
        <f t="shared" si="1839"/>
        <v/>
      </c>
      <c r="AT1180" s="418" t="str">
        <f t="shared" si="1840"/>
        <v/>
      </c>
      <c r="AU1180" s="418" t="str">
        <f t="shared" si="1841"/>
        <v/>
      </c>
      <c r="AV1180" s="418" t="str">
        <f t="shared" si="1842"/>
        <v/>
      </c>
      <c r="AW1180" s="418" t="str">
        <f t="shared" si="1843"/>
        <v/>
      </c>
      <c r="AX1180" s="418" t="str">
        <f t="shared" si="1844"/>
        <v/>
      </c>
      <c r="AY1180" s="418" t="str">
        <f t="shared" si="1845"/>
        <v/>
      </c>
      <c r="AZ1180" s="418" t="str">
        <f t="shared" si="1846"/>
        <v/>
      </c>
      <c r="BA1180" s="418" t="str">
        <f t="shared" si="1847"/>
        <v/>
      </c>
      <c r="BB1180" s="418" t="str">
        <f t="shared" si="1848"/>
        <v/>
      </c>
      <c r="BC1180" s="418" t="str">
        <f t="shared" si="1849"/>
        <v/>
      </c>
      <c r="BD1180" s="418" t="str">
        <f t="shared" si="1850"/>
        <v/>
      </c>
      <c r="BE1180" s="418" t="str">
        <f t="shared" si="1851"/>
        <v/>
      </c>
      <c r="BF1180" s="418" t="str">
        <f t="shared" si="1852"/>
        <v/>
      </c>
      <c r="BG1180" s="418" t="str">
        <f t="shared" si="1853"/>
        <v/>
      </c>
      <c r="BH1180" s="418" t="str">
        <f t="shared" si="1854"/>
        <v/>
      </c>
      <c r="BI1180" s="418" t="str">
        <f t="shared" si="1855"/>
        <v/>
      </c>
      <c r="BJ1180" s="418" t="str">
        <f t="shared" si="1856"/>
        <v/>
      </c>
      <c r="BK1180" s="418" t="str">
        <f t="shared" si="1857"/>
        <v/>
      </c>
      <c r="BL1180" s="418" t="str">
        <f t="shared" si="1858"/>
        <v/>
      </c>
      <c r="BM1180" s="418" t="str">
        <f t="shared" si="1859"/>
        <v/>
      </c>
      <c r="BN1180" s="418" t="str">
        <f t="shared" si="1860"/>
        <v/>
      </c>
      <c r="BO1180" s="418" t="str">
        <f t="shared" si="1861"/>
        <v/>
      </c>
      <c r="BP1180" s="418" t="str">
        <f t="shared" si="1862"/>
        <v/>
      </c>
      <c r="BQ1180" s="418" t="str">
        <f t="shared" si="1863"/>
        <v/>
      </c>
      <c r="BR1180" s="418" t="str">
        <f t="shared" si="1864"/>
        <v/>
      </c>
      <c r="BS1180" s="418" t="str">
        <f t="shared" si="1865"/>
        <v/>
      </c>
      <c r="BT1180" s="418" t="str">
        <f t="shared" si="1866"/>
        <v/>
      </c>
      <c r="BU1180" s="418" t="str">
        <f t="shared" si="1867"/>
        <v/>
      </c>
      <c r="BV1180" s="624">
        <v>0.89</v>
      </c>
      <c r="BW1180" s="723">
        <f t="shared" si="1868"/>
        <v>6237.12</v>
      </c>
      <c r="BX1180" s="724">
        <f t="shared" si="1869"/>
        <v>48337.68</v>
      </c>
      <c r="BY1180" s="725" t="str">
        <f t="shared" si="1870"/>
        <v>SR</v>
      </c>
    </row>
    <row r="1181" s="697" customFormat="1" customHeight="1" spans="1:77">
      <c r="A1181" s="362">
        <v>46224</v>
      </c>
      <c r="B1181" s="362">
        <v>46286</v>
      </c>
      <c r="C1181" s="129"/>
      <c r="D1181" s="431" t="s">
        <v>1046</v>
      </c>
      <c r="E1181" s="431" t="s">
        <v>66</v>
      </c>
      <c r="F1181" s="96">
        <v>3000</v>
      </c>
      <c r="G1181" s="431" t="s">
        <v>510</v>
      </c>
      <c r="H1181" s="118" t="str">
        <f>IFERROR(VLOOKUP(E1181,名称!A:E,4,0),"")</f>
        <v>三代</v>
      </c>
      <c r="I1181" s="418" t="str">
        <f t="shared" si="1803"/>
        <v/>
      </c>
      <c r="J1181" s="418" t="str">
        <f t="shared" si="1804"/>
        <v/>
      </c>
      <c r="K1181" s="418" t="str">
        <f t="shared" si="1805"/>
        <v/>
      </c>
      <c r="L1181" s="418" t="str">
        <f t="shared" si="1806"/>
        <v/>
      </c>
      <c r="M1181" s="418" t="str">
        <f t="shared" si="1807"/>
        <v/>
      </c>
      <c r="N1181" s="418" t="str">
        <f t="shared" si="1808"/>
        <v/>
      </c>
      <c r="O1181" s="418" t="str">
        <f t="shared" si="1809"/>
        <v/>
      </c>
      <c r="P1181" s="418" t="str">
        <f t="shared" si="1810"/>
        <v/>
      </c>
      <c r="Q1181" s="418" t="str">
        <f t="shared" si="1811"/>
        <v/>
      </c>
      <c r="R1181" s="418" t="str">
        <f t="shared" si="1812"/>
        <v/>
      </c>
      <c r="S1181" s="418" t="str">
        <f t="shared" si="1813"/>
        <v/>
      </c>
      <c r="T1181" s="418" t="str">
        <f t="shared" si="1814"/>
        <v/>
      </c>
      <c r="U1181" s="418" t="str">
        <f t="shared" si="1815"/>
        <v/>
      </c>
      <c r="V1181" s="418" t="str">
        <f t="shared" si="1816"/>
        <v/>
      </c>
      <c r="W1181" s="418" t="str">
        <f t="shared" si="1817"/>
        <v/>
      </c>
      <c r="X1181" s="418" t="str">
        <f t="shared" si="1818"/>
        <v/>
      </c>
      <c r="Y1181" s="418" t="str">
        <f t="shared" si="1819"/>
        <v/>
      </c>
      <c r="Z1181" s="418" t="str">
        <f t="shared" si="1820"/>
        <v/>
      </c>
      <c r="AA1181" s="418" t="str">
        <f t="shared" si="1821"/>
        <v/>
      </c>
      <c r="AB1181" s="418" t="str">
        <f t="shared" si="1822"/>
        <v/>
      </c>
      <c r="AC1181" s="418" t="str">
        <f t="shared" si="1823"/>
        <v/>
      </c>
      <c r="AD1181" s="418" t="str">
        <f t="shared" si="1824"/>
        <v/>
      </c>
      <c r="AE1181" s="418" t="str">
        <f t="shared" si="1825"/>
        <v/>
      </c>
      <c r="AF1181" s="418" t="str">
        <f t="shared" si="1826"/>
        <v/>
      </c>
      <c r="AG1181" s="418">
        <f t="shared" si="1827"/>
        <v>3000</v>
      </c>
      <c r="AH1181" s="418" t="str">
        <f t="shared" si="1828"/>
        <v/>
      </c>
      <c r="AI1181" s="418" t="str">
        <f t="shared" si="1829"/>
        <v/>
      </c>
      <c r="AJ1181" s="418" t="str">
        <f t="shared" si="1830"/>
        <v/>
      </c>
      <c r="AK1181" s="418" t="str">
        <f t="shared" si="1831"/>
        <v/>
      </c>
      <c r="AL1181" s="418" t="str">
        <f t="shared" si="1832"/>
        <v/>
      </c>
      <c r="AM1181" s="418" t="str">
        <f t="shared" si="1833"/>
        <v/>
      </c>
      <c r="AN1181" s="418" t="str">
        <f t="shared" si="1834"/>
        <v/>
      </c>
      <c r="AO1181" s="418" t="str">
        <f t="shared" si="1835"/>
        <v/>
      </c>
      <c r="AP1181" s="418" t="str">
        <f t="shared" si="1836"/>
        <v/>
      </c>
      <c r="AQ1181" s="418" t="str">
        <f t="shared" si="1837"/>
        <v/>
      </c>
      <c r="AR1181" s="418" t="str">
        <f t="shared" si="1838"/>
        <v/>
      </c>
      <c r="AS1181" s="418" t="str">
        <f t="shared" si="1839"/>
        <v/>
      </c>
      <c r="AT1181" s="418" t="str">
        <f t="shared" si="1840"/>
        <v/>
      </c>
      <c r="AU1181" s="418" t="str">
        <f t="shared" si="1841"/>
        <v/>
      </c>
      <c r="AV1181" s="418" t="str">
        <f t="shared" si="1842"/>
        <v/>
      </c>
      <c r="AW1181" s="418" t="str">
        <f t="shared" si="1843"/>
        <v/>
      </c>
      <c r="AX1181" s="418" t="str">
        <f t="shared" si="1844"/>
        <v/>
      </c>
      <c r="AY1181" s="418" t="str">
        <f t="shared" si="1845"/>
        <v/>
      </c>
      <c r="AZ1181" s="418" t="str">
        <f t="shared" si="1846"/>
        <v/>
      </c>
      <c r="BA1181" s="418" t="str">
        <f t="shared" si="1847"/>
        <v/>
      </c>
      <c r="BB1181" s="418" t="str">
        <f t="shared" si="1848"/>
        <v/>
      </c>
      <c r="BC1181" s="418" t="str">
        <f t="shared" si="1849"/>
        <v/>
      </c>
      <c r="BD1181" s="418" t="str">
        <f t="shared" si="1850"/>
        <v/>
      </c>
      <c r="BE1181" s="418" t="str">
        <f t="shared" si="1851"/>
        <v/>
      </c>
      <c r="BF1181" s="418" t="str">
        <f t="shared" si="1852"/>
        <v/>
      </c>
      <c r="BG1181" s="418" t="str">
        <f t="shared" si="1853"/>
        <v/>
      </c>
      <c r="BH1181" s="418" t="str">
        <f t="shared" si="1854"/>
        <v/>
      </c>
      <c r="BI1181" s="418" t="str">
        <f t="shared" si="1855"/>
        <v/>
      </c>
      <c r="BJ1181" s="418" t="str">
        <f t="shared" si="1856"/>
        <v/>
      </c>
      <c r="BK1181" s="418" t="str">
        <f t="shared" si="1857"/>
        <v/>
      </c>
      <c r="BL1181" s="418" t="str">
        <f t="shared" si="1858"/>
        <v/>
      </c>
      <c r="BM1181" s="418" t="str">
        <f t="shared" si="1859"/>
        <v/>
      </c>
      <c r="BN1181" s="418" t="str">
        <f t="shared" si="1860"/>
        <v/>
      </c>
      <c r="BO1181" s="418" t="str">
        <f t="shared" si="1861"/>
        <v/>
      </c>
      <c r="BP1181" s="418" t="str">
        <f t="shared" si="1862"/>
        <v/>
      </c>
      <c r="BQ1181" s="418" t="str">
        <f t="shared" si="1863"/>
        <v/>
      </c>
      <c r="BR1181" s="418" t="str">
        <f t="shared" si="1864"/>
        <v/>
      </c>
      <c r="BS1181" s="418" t="str">
        <f t="shared" si="1865"/>
        <v/>
      </c>
      <c r="BT1181" s="418" t="str">
        <f t="shared" si="1866"/>
        <v/>
      </c>
      <c r="BU1181" s="418" t="str">
        <f t="shared" si="1867"/>
        <v/>
      </c>
      <c r="BV1181" s="624">
        <v>2.04</v>
      </c>
      <c r="BW1181" s="723">
        <f t="shared" si="1868"/>
        <v>6120</v>
      </c>
      <c r="BX1181" s="724">
        <f t="shared" si="1869"/>
        <v>47430</v>
      </c>
      <c r="BY1181" s="725" t="str">
        <f t="shared" si="1870"/>
        <v>SR</v>
      </c>
    </row>
    <row r="1182" s="697" customFormat="1" customHeight="1" spans="1:77">
      <c r="A1182" s="362">
        <v>46224</v>
      </c>
      <c r="B1182" s="362">
        <v>46286</v>
      </c>
      <c r="C1182" s="129"/>
      <c r="D1182" s="431" t="s">
        <v>1046</v>
      </c>
      <c r="E1182" s="431" t="s">
        <v>85</v>
      </c>
      <c r="F1182" s="96">
        <v>10008</v>
      </c>
      <c r="G1182" s="431" t="s">
        <v>510</v>
      </c>
      <c r="H1182" s="118" t="str">
        <f>IFERROR(VLOOKUP(E1182,名称!A:E,4,0),"")</f>
        <v>三代</v>
      </c>
      <c r="I1182" s="418" t="str">
        <f t="shared" si="1803"/>
        <v/>
      </c>
      <c r="J1182" s="418" t="str">
        <f t="shared" si="1804"/>
        <v/>
      </c>
      <c r="K1182" s="418" t="str">
        <f t="shared" si="1805"/>
        <v/>
      </c>
      <c r="L1182" s="418" t="str">
        <f t="shared" si="1806"/>
        <v/>
      </c>
      <c r="M1182" s="418" t="str">
        <f t="shared" si="1807"/>
        <v/>
      </c>
      <c r="N1182" s="418" t="str">
        <f t="shared" si="1808"/>
        <v/>
      </c>
      <c r="O1182" s="418" t="str">
        <f t="shared" si="1809"/>
        <v/>
      </c>
      <c r="P1182" s="418" t="str">
        <f t="shared" si="1810"/>
        <v/>
      </c>
      <c r="Q1182" s="418" t="str">
        <f t="shared" si="1811"/>
        <v/>
      </c>
      <c r="R1182" s="418" t="str">
        <f t="shared" si="1812"/>
        <v/>
      </c>
      <c r="S1182" s="418" t="str">
        <f t="shared" si="1813"/>
        <v/>
      </c>
      <c r="T1182" s="418" t="str">
        <f t="shared" si="1814"/>
        <v/>
      </c>
      <c r="U1182" s="418" t="str">
        <f t="shared" si="1815"/>
        <v/>
      </c>
      <c r="V1182" s="418" t="str">
        <f t="shared" si="1816"/>
        <v/>
      </c>
      <c r="W1182" s="418" t="str">
        <f t="shared" si="1817"/>
        <v/>
      </c>
      <c r="X1182" s="418" t="str">
        <f t="shared" si="1818"/>
        <v/>
      </c>
      <c r="Y1182" s="418" t="str">
        <f t="shared" si="1819"/>
        <v/>
      </c>
      <c r="Z1182" s="418" t="str">
        <f t="shared" si="1820"/>
        <v/>
      </c>
      <c r="AA1182" s="418" t="str">
        <f t="shared" si="1821"/>
        <v/>
      </c>
      <c r="AB1182" s="418" t="str">
        <f t="shared" si="1822"/>
        <v/>
      </c>
      <c r="AC1182" s="418" t="str">
        <f t="shared" si="1823"/>
        <v/>
      </c>
      <c r="AD1182" s="418" t="str">
        <f t="shared" si="1824"/>
        <v/>
      </c>
      <c r="AE1182" s="418" t="str">
        <f t="shared" si="1825"/>
        <v/>
      </c>
      <c r="AF1182" s="418" t="str">
        <f t="shared" si="1826"/>
        <v/>
      </c>
      <c r="AG1182" s="418" t="str">
        <f t="shared" si="1827"/>
        <v/>
      </c>
      <c r="AH1182" s="418" t="str">
        <f t="shared" si="1828"/>
        <v/>
      </c>
      <c r="AI1182" s="418" t="str">
        <f t="shared" si="1829"/>
        <v/>
      </c>
      <c r="AJ1182" s="418" t="str">
        <f t="shared" si="1830"/>
        <v/>
      </c>
      <c r="AK1182" s="418" t="str">
        <f t="shared" si="1831"/>
        <v/>
      </c>
      <c r="AL1182" s="418" t="str">
        <f t="shared" si="1832"/>
        <v/>
      </c>
      <c r="AM1182" s="418" t="str">
        <f t="shared" si="1833"/>
        <v/>
      </c>
      <c r="AN1182" s="418">
        <f t="shared" si="1834"/>
        <v>10008</v>
      </c>
      <c r="AO1182" s="418" t="str">
        <f t="shared" si="1835"/>
        <v/>
      </c>
      <c r="AP1182" s="418" t="str">
        <f t="shared" si="1836"/>
        <v/>
      </c>
      <c r="AQ1182" s="418" t="str">
        <f t="shared" si="1837"/>
        <v/>
      </c>
      <c r="AR1182" s="418" t="str">
        <f t="shared" si="1838"/>
        <v/>
      </c>
      <c r="AS1182" s="418" t="str">
        <f t="shared" si="1839"/>
        <v/>
      </c>
      <c r="AT1182" s="418" t="str">
        <f t="shared" si="1840"/>
        <v/>
      </c>
      <c r="AU1182" s="418" t="str">
        <f t="shared" si="1841"/>
        <v/>
      </c>
      <c r="AV1182" s="418" t="str">
        <f t="shared" si="1842"/>
        <v/>
      </c>
      <c r="AW1182" s="418" t="str">
        <f t="shared" si="1843"/>
        <v/>
      </c>
      <c r="AX1182" s="418" t="str">
        <f t="shared" si="1844"/>
        <v/>
      </c>
      <c r="AY1182" s="418" t="str">
        <f t="shared" si="1845"/>
        <v/>
      </c>
      <c r="AZ1182" s="418" t="str">
        <f t="shared" si="1846"/>
        <v/>
      </c>
      <c r="BA1182" s="418" t="str">
        <f t="shared" si="1847"/>
        <v/>
      </c>
      <c r="BB1182" s="418" t="str">
        <f t="shared" si="1848"/>
        <v/>
      </c>
      <c r="BC1182" s="418" t="str">
        <f t="shared" si="1849"/>
        <v/>
      </c>
      <c r="BD1182" s="418" t="str">
        <f t="shared" si="1850"/>
        <v/>
      </c>
      <c r="BE1182" s="418" t="str">
        <f t="shared" si="1851"/>
        <v/>
      </c>
      <c r="BF1182" s="418" t="str">
        <f t="shared" si="1852"/>
        <v/>
      </c>
      <c r="BG1182" s="418" t="str">
        <f t="shared" si="1853"/>
        <v/>
      </c>
      <c r="BH1182" s="418" t="str">
        <f t="shared" si="1854"/>
        <v/>
      </c>
      <c r="BI1182" s="418" t="str">
        <f t="shared" si="1855"/>
        <v/>
      </c>
      <c r="BJ1182" s="418" t="str">
        <f t="shared" si="1856"/>
        <v/>
      </c>
      <c r="BK1182" s="418" t="str">
        <f t="shared" si="1857"/>
        <v/>
      </c>
      <c r="BL1182" s="418" t="str">
        <f t="shared" si="1858"/>
        <v/>
      </c>
      <c r="BM1182" s="418" t="str">
        <f t="shared" si="1859"/>
        <v/>
      </c>
      <c r="BN1182" s="418" t="str">
        <f t="shared" si="1860"/>
        <v/>
      </c>
      <c r="BO1182" s="418" t="str">
        <f t="shared" si="1861"/>
        <v/>
      </c>
      <c r="BP1182" s="418" t="str">
        <f t="shared" si="1862"/>
        <v/>
      </c>
      <c r="BQ1182" s="418" t="str">
        <f t="shared" ref="BQ1182:BQ1221" si="1871">IF(OR($E1182="",BQ$1=""),"",IF(TRIM(LEFT($E1182,MIN(IFERROR(FIND("CDU",UPPER($E1182)),999),IFERROR(FIND("BULK",UPPER($E1182)),999),IFERROR(FIND("-",$E1182),999),IFERROR(FIND("（",$E1182),999))-1))=BQ$1,$F1182,""))</f>
        <v/>
      </c>
      <c r="BR1182" s="418" t="str">
        <f t="shared" ref="BR1182:BR1221" si="1872">IF(OR($E1182="",BR$1=""),"",IF(TRIM(LEFT($E1182,MIN(IFERROR(FIND("CDU",UPPER($E1182)),999),IFERROR(FIND("BULK",UPPER($E1182)),999),IFERROR(FIND("-",$E1182),999),IFERROR(FIND("（",$E1182),999))-1))=BR$1,$F1182,""))</f>
        <v/>
      </c>
      <c r="BS1182" s="418" t="str">
        <f t="shared" ref="BS1182:BS1221" si="1873">IF(OR($E1182="",BS$1=""),"",IF(TRIM(LEFT($E1182,MIN(IFERROR(FIND("CDU",UPPER($E1182)),999),IFERROR(FIND("BULK",UPPER($E1182)),999),IFERROR(FIND("-",$E1182),999),IFERROR(FIND("（",$E1182),999))-1))=BS$1,$F1182,""))</f>
        <v/>
      </c>
      <c r="BT1182" s="418" t="str">
        <f t="shared" si="1866"/>
        <v/>
      </c>
      <c r="BU1182" s="418" t="str">
        <f t="shared" si="1867"/>
        <v/>
      </c>
      <c r="BV1182" s="624">
        <v>0.89</v>
      </c>
      <c r="BW1182" s="723">
        <f t="shared" si="1868"/>
        <v>8907.12</v>
      </c>
      <c r="BX1182" s="724">
        <f t="shared" si="1869"/>
        <v>69030.18</v>
      </c>
      <c r="BY1182" s="725" t="str">
        <f t="shared" si="1870"/>
        <v>SR</v>
      </c>
    </row>
    <row r="1183" s="697" customFormat="1" customHeight="1" spans="1:77">
      <c r="A1183" s="362">
        <v>46224</v>
      </c>
      <c r="B1183" s="362">
        <v>46286</v>
      </c>
      <c r="C1183" s="129"/>
      <c r="D1183" s="431" t="s">
        <v>1046</v>
      </c>
      <c r="E1183" s="431" t="s">
        <v>61</v>
      </c>
      <c r="F1183" s="96">
        <v>4416</v>
      </c>
      <c r="G1183" s="431" t="s">
        <v>510</v>
      </c>
      <c r="H1183" s="118" t="str">
        <f>IFERROR(VLOOKUP(E1183,名称!A:E,4,0),"")</f>
        <v>三代</v>
      </c>
      <c r="I1183" s="418" t="str">
        <f t="shared" si="1803"/>
        <v/>
      </c>
      <c r="J1183" s="418" t="str">
        <f t="shared" si="1804"/>
        <v/>
      </c>
      <c r="K1183" s="418" t="str">
        <f t="shared" si="1805"/>
        <v/>
      </c>
      <c r="L1183" s="418" t="str">
        <f t="shared" si="1806"/>
        <v/>
      </c>
      <c r="M1183" s="418" t="str">
        <f t="shared" si="1807"/>
        <v/>
      </c>
      <c r="N1183" s="418" t="str">
        <f t="shared" si="1808"/>
        <v/>
      </c>
      <c r="O1183" s="418" t="str">
        <f t="shared" si="1809"/>
        <v/>
      </c>
      <c r="P1183" s="418" t="str">
        <f t="shared" si="1810"/>
        <v/>
      </c>
      <c r="Q1183" s="418" t="str">
        <f t="shared" si="1811"/>
        <v/>
      </c>
      <c r="R1183" s="418" t="str">
        <f t="shared" si="1812"/>
        <v/>
      </c>
      <c r="S1183" s="418" t="str">
        <f t="shared" si="1813"/>
        <v/>
      </c>
      <c r="T1183" s="418" t="str">
        <f t="shared" si="1814"/>
        <v/>
      </c>
      <c r="U1183" s="418" t="str">
        <f t="shared" si="1815"/>
        <v/>
      </c>
      <c r="V1183" s="418" t="str">
        <f t="shared" si="1816"/>
        <v/>
      </c>
      <c r="W1183" s="418" t="str">
        <f t="shared" si="1817"/>
        <v/>
      </c>
      <c r="X1183" s="418" t="str">
        <f t="shared" si="1818"/>
        <v/>
      </c>
      <c r="Y1183" s="418" t="str">
        <f t="shared" si="1819"/>
        <v/>
      </c>
      <c r="Z1183" s="418" t="str">
        <f t="shared" si="1820"/>
        <v/>
      </c>
      <c r="AA1183" s="418" t="str">
        <f t="shared" si="1821"/>
        <v/>
      </c>
      <c r="AB1183" s="418" t="str">
        <f t="shared" si="1822"/>
        <v/>
      </c>
      <c r="AC1183" s="418" t="str">
        <f t="shared" si="1823"/>
        <v/>
      </c>
      <c r="AD1183" s="418" t="str">
        <f t="shared" si="1824"/>
        <v/>
      </c>
      <c r="AE1183" s="418">
        <f t="shared" si="1825"/>
        <v>4416</v>
      </c>
      <c r="AF1183" s="418" t="str">
        <f t="shared" si="1826"/>
        <v/>
      </c>
      <c r="AG1183" s="418" t="str">
        <f t="shared" si="1827"/>
        <v/>
      </c>
      <c r="AH1183" s="418" t="str">
        <f t="shared" si="1828"/>
        <v/>
      </c>
      <c r="AI1183" s="418" t="str">
        <f t="shared" si="1829"/>
        <v/>
      </c>
      <c r="AJ1183" s="418" t="str">
        <f t="shared" si="1830"/>
        <v/>
      </c>
      <c r="AK1183" s="418" t="str">
        <f t="shared" si="1831"/>
        <v/>
      </c>
      <c r="AL1183" s="418" t="str">
        <f t="shared" si="1832"/>
        <v/>
      </c>
      <c r="AM1183" s="418" t="str">
        <f t="shared" si="1833"/>
        <v/>
      </c>
      <c r="AN1183" s="418" t="str">
        <f t="shared" si="1834"/>
        <v/>
      </c>
      <c r="AO1183" s="418" t="str">
        <f t="shared" si="1835"/>
        <v/>
      </c>
      <c r="AP1183" s="418" t="str">
        <f t="shared" si="1836"/>
        <v/>
      </c>
      <c r="AQ1183" s="418" t="str">
        <f t="shared" si="1837"/>
        <v/>
      </c>
      <c r="AR1183" s="418" t="str">
        <f t="shared" si="1838"/>
        <v/>
      </c>
      <c r="AS1183" s="418" t="str">
        <f t="shared" si="1839"/>
        <v/>
      </c>
      <c r="AT1183" s="418" t="str">
        <f t="shared" si="1840"/>
        <v/>
      </c>
      <c r="AU1183" s="418" t="str">
        <f t="shared" si="1841"/>
        <v/>
      </c>
      <c r="AV1183" s="418" t="str">
        <f t="shared" si="1842"/>
        <v/>
      </c>
      <c r="AW1183" s="418" t="str">
        <f t="shared" si="1843"/>
        <v/>
      </c>
      <c r="AX1183" s="418" t="str">
        <f t="shared" si="1844"/>
        <v/>
      </c>
      <c r="AY1183" s="418" t="str">
        <f t="shared" si="1845"/>
        <v/>
      </c>
      <c r="AZ1183" s="418" t="str">
        <f t="shared" si="1846"/>
        <v/>
      </c>
      <c r="BA1183" s="418" t="str">
        <f t="shared" si="1847"/>
        <v/>
      </c>
      <c r="BB1183" s="418" t="str">
        <f t="shared" si="1848"/>
        <v/>
      </c>
      <c r="BC1183" s="418" t="str">
        <f t="shared" si="1849"/>
        <v/>
      </c>
      <c r="BD1183" s="418" t="str">
        <f t="shared" si="1850"/>
        <v/>
      </c>
      <c r="BE1183" s="418" t="str">
        <f t="shared" si="1851"/>
        <v/>
      </c>
      <c r="BF1183" s="418" t="str">
        <f t="shared" si="1852"/>
        <v/>
      </c>
      <c r="BG1183" s="418" t="str">
        <f t="shared" si="1853"/>
        <v/>
      </c>
      <c r="BH1183" s="418" t="str">
        <f t="shared" si="1854"/>
        <v/>
      </c>
      <c r="BI1183" s="418" t="str">
        <f t="shared" si="1855"/>
        <v/>
      </c>
      <c r="BJ1183" s="418" t="str">
        <f t="shared" si="1856"/>
        <v/>
      </c>
      <c r="BK1183" s="418" t="str">
        <f t="shared" si="1857"/>
        <v/>
      </c>
      <c r="BL1183" s="418" t="str">
        <f t="shared" si="1858"/>
        <v/>
      </c>
      <c r="BM1183" s="418" t="str">
        <f t="shared" si="1859"/>
        <v/>
      </c>
      <c r="BN1183" s="418" t="str">
        <f t="shared" si="1860"/>
        <v/>
      </c>
      <c r="BO1183" s="418" t="str">
        <f t="shared" si="1861"/>
        <v/>
      </c>
      <c r="BP1183" s="418" t="str">
        <f t="shared" si="1862"/>
        <v/>
      </c>
      <c r="BQ1183" s="418" t="str">
        <f t="shared" si="1871"/>
        <v/>
      </c>
      <c r="BR1183" s="418" t="str">
        <f t="shared" si="1872"/>
        <v/>
      </c>
      <c r="BS1183" s="418" t="str">
        <f t="shared" si="1873"/>
        <v/>
      </c>
      <c r="BT1183" s="418" t="str">
        <f t="shared" si="1866"/>
        <v/>
      </c>
      <c r="BU1183" s="418" t="str">
        <f t="shared" si="1867"/>
        <v/>
      </c>
      <c r="BV1183" s="624">
        <v>0.64</v>
      </c>
      <c r="BW1183" s="723">
        <f t="shared" si="1868"/>
        <v>2826.24</v>
      </c>
      <c r="BX1183" s="724">
        <f t="shared" si="1869"/>
        <v>21903.36</v>
      </c>
      <c r="BY1183" s="725" t="str">
        <f t="shared" si="1870"/>
        <v>SR</v>
      </c>
    </row>
    <row r="1184" s="697" customFormat="1" customHeight="1" spans="1:77">
      <c r="A1184" s="362">
        <v>46224</v>
      </c>
      <c r="B1184" s="362">
        <v>46287</v>
      </c>
      <c r="C1184" s="129"/>
      <c r="D1184" s="431" t="s">
        <v>1047</v>
      </c>
      <c r="E1184" s="431" t="s">
        <v>198</v>
      </c>
      <c r="F1184" s="96">
        <v>3108</v>
      </c>
      <c r="G1184" s="431" t="s">
        <v>253</v>
      </c>
      <c r="H1184" s="118" t="str">
        <f>IFERROR(VLOOKUP(E1184,名称!A:E,4,0),"")</f>
        <v>三代</v>
      </c>
      <c r="I1184" s="418" t="str">
        <f t="shared" si="1803"/>
        <v/>
      </c>
      <c r="J1184" s="418" t="str">
        <f t="shared" si="1804"/>
        <v/>
      </c>
      <c r="K1184" s="418" t="str">
        <f t="shared" si="1805"/>
        <v/>
      </c>
      <c r="L1184" s="418" t="str">
        <f t="shared" si="1806"/>
        <v/>
      </c>
      <c r="M1184" s="418" t="str">
        <f t="shared" si="1807"/>
        <v/>
      </c>
      <c r="N1184" s="418" t="str">
        <f t="shared" si="1808"/>
        <v/>
      </c>
      <c r="O1184" s="418" t="str">
        <f t="shared" si="1809"/>
        <v/>
      </c>
      <c r="P1184" s="418" t="str">
        <f t="shared" si="1810"/>
        <v/>
      </c>
      <c r="Q1184" s="418" t="str">
        <f t="shared" si="1811"/>
        <v/>
      </c>
      <c r="R1184" s="418" t="str">
        <f t="shared" si="1812"/>
        <v/>
      </c>
      <c r="S1184" s="418" t="str">
        <f t="shared" si="1813"/>
        <v/>
      </c>
      <c r="T1184" s="418" t="str">
        <f t="shared" si="1814"/>
        <v/>
      </c>
      <c r="U1184" s="418" t="str">
        <f t="shared" si="1815"/>
        <v/>
      </c>
      <c r="V1184" s="418" t="str">
        <f t="shared" si="1816"/>
        <v/>
      </c>
      <c r="W1184" s="418" t="str">
        <f t="shared" si="1817"/>
        <v/>
      </c>
      <c r="X1184" s="418" t="str">
        <f t="shared" si="1818"/>
        <v/>
      </c>
      <c r="Y1184" s="418" t="str">
        <f t="shared" si="1819"/>
        <v/>
      </c>
      <c r="Z1184" s="418" t="str">
        <f t="shared" si="1820"/>
        <v/>
      </c>
      <c r="AA1184" s="418" t="str">
        <f t="shared" si="1821"/>
        <v/>
      </c>
      <c r="AB1184" s="418" t="str">
        <f t="shared" si="1822"/>
        <v/>
      </c>
      <c r="AC1184" s="418" t="str">
        <f t="shared" si="1823"/>
        <v/>
      </c>
      <c r="AD1184" s="418" t="str">
        <f t="shared" si="1824"/>
        <v/>
      </c>
      <c r="AE1184" s="418" t="str">
        <f t="shared" si="1825"/>
        <v/>
      </c>
      <c r="AF1184" s="418" t="str">
        <f t="shared" si="1826"/>
        <v/>
      </c>
      <c r="AG1184" s="418" t="str">
        <f t="shared" si="1827"/>
        <v/>
      </c>
      <c r="AH1184" s="418" t="str">
        <f t="shared" si="1828"/>
        <v/>
      </c>
      <c r="AI1184" s="418" t="str">
        <f t="shared" si="1829"/>
        <v/>
      </c>
      <c r="AJ1184" s="418" t="str">
        <f t="shared" si="1830"/>
        <v/>
      </c>
      <c r="AK1184" s="418" t="str">
        <f t="shared" si="1831"/>
        <v/>
      </c>
      <c r="AL1184" s="418" t="str">
        <f t="shared" si="1832"/>
        <v/>
      </c>
      <c r="AM1184" s="418" t="str">
        <f t="shared" si="1833"/>
        <v/>
      </c>
      <c r="AN1184" s="418" t="str">
        <f t="shared" si="1834"/>
        <v/>
      </c>
      <c r="AO1184" s="418" t="str">
        <f t="shared" si="1835"/>
        <v/>
      </c>
      <c r="AP1184" s="418" t="str">
        <f t="shared" si="1836"/>
        <v/>
      </c>
      <c r="AQ1184" s="418" t="str">
        <f t="shared" si="1837"/>
        <v/>
      </c>
      <c r="AR1184" s="418" t="str">
        <f t="shared" si="1838"/>
        <v/>
      </c>
      <c r="AS1184" s="418" t="str">
        <f t="shared" si="1839"/>
        <v/>
      </c>
      <c r="AT1184" s="418">
        <f t="shared" si="1840"/>
        <v>3108</v>
      </c>
      <c r="AU1184" s="418" t="str">
        <f t="shared" si="1841"/>
        <v/>
      </c>
      <c r="AV1184" s="418" t="str">
        <f t="shared" si="1842"/>
        <v/>
      </c>
      <c r="AW1184" s="418" t="str">
        <f t="shared" si="1843"/>
        <v/>
      </c>
      <c r="AX1184" s="418" t="str">
        <f t="shared" si="1844"/>
        <v/>
      </c>
      <c r="AY1184" s="418" t="str">
        <f t="shared" si="1845"/>
        <v/>
      </c>
      <c r="AZ1184" s="418" t="str">
        <f t="shared" si="1846"/>
        <v/>
      </c>
      <c r="BA1184" s="418" t="str">
        <f t="shared" si="1847"/>
        <v/>
      </c>
      <c r="BB1184" s="418" t="str">
        <f t="shared" si="1848"/>
        <v/>
      </c>
      <c r="BC1184" s="418" t="str">
        <f t="shared" si="1849"/>
        <v/>
      </c>
      <c r="BD1184" s="418" t="str">
        <f t="shared" si="1850"/>
        <v/>
      </c>
      <c r="BE1184" s="418" t="str">
        <f t="shared" si="1851"/>
        <v/>
      </c>
      <c r="BF1184" s="418" t="str">
        <f t="shared" si="1852"/>
        <v/>
      </c>
      <c r="BG1184" s="418" t="str">
        <f t="shared" si="1853"/>
        <v/>
      </c>
      <c r="BH1184" s="418" t="str">
        <f t="shared" si="1854"/>
        <v/>
      </c>
      <c r="BI1184" s="418" t="str">
        <f t="shared" si="1855"/>
        <v/>
      </c>
      <c r="BJ1184" s="418" t="str">
        <f t="shared" si="1856"/>
        <v/>
      </c>
      <c r="BK1184" s="418" t="str">
        <f t="shared" si="1857"/>
        <v/>
      </c>
      <c r="BL1184" s="418" t="str">
        <f t="shared" si="1858"/>
        <v/>
      </c>
      <c r="BM1184" s="418" t="str">
        <f t="shared" si="1859"/>
        <v/>
      </c>
      <c r="BN1184" s="418" t="str">
        <f t="shared" si="1860"/>
        <v/>
      </c>
      <c r="BO1184" s="418" t="str">
        <f t="shared" si="1861"/>
        <v/>
      </c>
      <c r="BP1184" s="418" t="str">
        <f t="shared" si="1862"/>
        <v/>
      </c>
      <c r="BQ1184" s="418" t="str">
        <f t="shared" si="1871"/>
        <v/>
      </c>
      <c r="BR1184" s="418" t="str">
        <f t="shared" si="1872"/>
        <v/>
      </c>
      <c r="BS1184" s="418" t="str">
        <f t="shared" si="1873"/>
        <v/>
      </c>
      <c r="BT1184" s="418" t="str">
        <f t="shared" si="1866"/>
        <v/>
      </c>
      <c r="BU1184" s="418" t="str">
        <f t="shared" si="1867"/>
        <v/>
      </c>
      <c r="BV1184" s="624">
        <v>0.82</v>
      </c>
      <c r="BW1184" s="723">
        <f t="shared" si="1868"/>
        <v>2548.56</v>
      </c>
      <c r="BX1184" s="724">
        <f t="shared" si="1869"/>
        <v>19751.34</v>
      </c>
      <c r="BY1184" s="725" t="str">
        <f t="shared" si="1870"/>
        <v>SR</v>
      </c>
    </row>
    <row r="1185" s="697" customFormat="1" customHeight="1" spans="1:77">
      <c r="A1185" s="362">
        <v>46224</v>
      </c>
      <c r="B1185" s="362">
        <v>46325</v>
      </c>
      <c r="C1185" s="431" t="s">
        <v>1048</v>
      </c>
      <c r="D1185" s="431" t="s">
        <v>1049</v>
      </c>
      <c r="E1185" s="431" t="s">
        <v>99</v>
      </c>
      <c r="F1185" s="96">
        <v>1200</v>
      </c>
      <c r="G1185" s="431" t="s">
        <v>510</v>
      </c>
      <c r="H1185" s="118" t="str">
        <f>IFERROR(VLOOKUP(E1185,名称!A:E,4,0),"")</f>
        <v>三代</v>
      </c>
      <c r="I1185" s="418" t="str">
        <f t="shared" si="1803"/>
        <v/>
      </c>
      <c r="J1185" s="418" t="str">
        <f t="shared" si="1804"/>
        <v/>
      </c>
      <c r="K1185" s="418" t="str">
        <f t="shared" si="1805"/>
        <v/>
      </c>
      <c r="L1185" s="418" t="str">
        <f t="shared" si="1806"/>
        <v/>
      </c>
      <c r="M1185" s="418" t="str">
        <f t="shared" si="1807"/>
        <v/>
      </c>
      <c r="N1185" s="418" t="str">
        <f t="shared" si="1808"/>
        <v/>
      </c>
      <c r="O1185" s="418" t="str">
        <f t="shared" si="1809"/>
        <v/>
      </c>
      <c r="P1185" s="418" t="str">
        <f t="shared" si="1810"/>
        <v/>
      </c>
      <c r="Q1185" s="418" t="str">
        <f t="shared" si="1811"/>
        <v/>
      </c>
      <c r="R1185" s="418" t="str">
        <f t="shared" si="1812"/>
        <v/>
      </c>
      <c r="S1185" s="418" t="str">
        <f t="shared" si="1813"/>
        <v/>
      </c>
      <c r="T1185" s="418" t="str">
        <f t="shared" si="1814"/>
        <v/>
      </c>
      <c r="U1185" s="418" t="str">
        <f t="shared" si="1815"/>
        <v/>
      </c>
      <c r="V1185" s="418" t="str">
        <f t="shared" si="1816"/>
        <v/>
      </c>
      <c r="W1185" s="418" t="str">
        <f t="shared" si="1817"/>
        <v/>
      </c>
      <c r="X1185" s="418" t="str">
        <f t="shared" si="1818"/>
        <v/>
      </c>
      <c r="Y1185" s="418" t="str">
        <f t="shared" si="1819"/>
        <v/>
      </c>
      <c r="Z1185" s="418" t="str">
        <f t="shared" si="1820"/>
        <v/>
      </c>
      <c r="AA1185" s="418" t="str">
        <f t="shared" si="1821"/>
        <v/>
      </c>
      <c r="AB1185" s="418" t="str">
        <f t="shared" si="1822"/>
        <v/>
      </c>
      <c r="AC1185" s="418">
        <f t="shared" si="1823"/>
        <v>1200</v>
      </c>
      <c r="AD1185" s="418" t="str">
        <f t="shared" si="1824"/>
        <v/>
      </c>
      <c r="AE1185" s="418" t="str">
        <f t="shared" si="1825"/>
        <v/>
      </c>
      <c r="AF1185" s="418" t="str">
        <f t="shared" si="1826"/>
        <v/>
      </c>
      <c r="AG1185" s="418" t="str">
        <f t="shared" si="1827"/>
        <v/>
      </c>
      <c r="AH1185" s="418" t="str">
        <f t="shared" si="1828"/>
        <v/>
      </c>
      <c r="AI1185" s="418" t="str">
        <f t="shared" si="1829"/>
        <v/>
      </c>
      <c r="AJ1185" s="418" t="str">
        <f t="shared" si="1830"/>
        <v/>
      </c>
      <c r="AK1185" s="418" t="str">
        <f t="shared" si="1831"/>
        <v/>
      </c>
      <c r="AL1185" s="418" t="str">
        <f t="shared" si="1832"/>
        <v/>
      </c>
      <c r="AM1185" s="418" t="str">
        <f t="shared" si="1833"/>
        <v/>
      </c>
      <c r="AN1185" s="418" t="str">
        <f t="shared" si="1834"/>
        <v/>
      </c>
      <c r="AO1185" s="418" t="str">
        <f t="shared" si="1835"/>
        <v/>
      </c>
      <c r="AP1185" s="418" t="str">
        <f t="shared" si="1836"/>
        <v/>
      </c>
      <c r="AQ1185" s="418" t="str">
        <f t="shared" si="1837"/>
        <v/>
      </c>
      <c r="AR1185" s="418" t="str">
        <f t="shared" si="1838"/>
        <v/>
      </c>
      <c r="AS1185" s="418" t="str">
        <f t="shared" si="1839"/>
        <v/>
      </c>
      <c r="AT1185" s="418" t="str">
        <f t="shared" si="1840"/>
        <v/>
      </c>
      <c r="AU1185" s="418" t="str">
        <f t="shared" si="1841"/>
        <v/>
      </c>
      <c r="AV1185" s="418" t="str">
        <f t="shared" si="1842"/>
        <v/>
      </c>
      <c r="AW1185" s="418" t="str">
        <f t="shared" si="1843"/>
        <v/>
      </c>
      <c r="AX1185" s="418" t="str">
        <f t="shared" si="1844"/>
        <v/>
      </c>
      <c r="AY1185" s="418" t="str">
        <f t="shared" si="1845"/>
        <v/>
      </c>
      <c r="AZ1185" s="418" t="str">
        <f t="shared" si="1846"/>
        <v/>
      </c>
      <c r="BA1185" s="418" t="str">
        <f t="shared" si="1847"/>
        <v/>
      </c>
      <c r="BB1185" s="418" t="str">
        <f t="shared" si="1848"/>
        <v/>
      </c>
      <c r="BC1185" s="418" t="str">
        <f t="shared" si="1849"/>
        <v/>
      </c>
      <c r="BD1185" s="418" t="str">
        <f t="shared" si="1850"/>
        <v/>
      </c>
      <c r="BE1185" s="418" t="str">
        <f t="shared" si="1851"/>
        <v/>
      </c>
      <c r="BF1185" s="418" t="str">
        <f t="shared" si="1852"/>
        <v/>
      </c>
      <c r="BG1185" s="418" t="str">
        <f t="shared" si="1853"/>
        <v/>
      </c>
      <c r="BH1185" s="418" t="str">
        <f t="shared" si="1854"/>
        <v/>
      </c>
      <c r="BI1185" s="418" t="str">
        <f t="shared" si="1855"/>
        <v/>
      </c>
      <c r="BJ1185" s="418" t="str">
        <f t="shared" si="1856"/>
        <v/>
      </c>
      <c r="BK1185" s="418" t="str">
        <f t="shared" si="1857"/>
        <v/>
      </c>
      <c r="BL1185" s="418" t="str">
        <f t="shared" si="1858"/>
        <v/>
      </c>
      <c r="BM1185" s="418" t="str">
        <f t="shared" si="1859"/>
        <v/>
      </c>
      <c r="BN1185" s="418" t="str">
        <f t="shared" si="1860"/>
        <v/>
      </c>
      <c r="BO1185" s="418" t="str">
        <f t="shared" si="1861"/>
        <v/>
      </c>
      <c r="BP1185" s="418" t="str">
        <f t="shared" si="1862"/>
        <v/>
      </c>
      <c r="BQ1185" s="418" t="str">
        <f t="shared" si="1871"/>
        <v/>
      </c>
      <c r="BR1185" s="418" t="str">
        <f t="shared" si="1872"/>
        <v/>
      </c>
      <c r="BS1185" s="418" t="str">
        <f t="shared" si="1873"/>
        <v/>
      </c>
      <c r="BT1185" s="418" t="str">
        <f t="shared" si="1866"/>
        <v/>
      </c>
      <c r="BU1185" s="418" t="str">
        <f t="shared" si="1867"/>
        <v/>
      </c>
      <c r="BV1185" s="624">
        <v>0.92</v>
      </c>
      <c r="BW1185" s="723">
        <f t="shared" si="1868"/>
        <v>1104</v>
      </c>
      <c r="BX1185" s="724">
        <f t="shared" si="1869"/>
        <v>8556</v>
      </c>
      <c r="BY1185" s="725" t="str">
        <f t="shared" si="1870"/>
        <v>SR</v>
      </c>
    </row>
    <row r="1186" s="697" customFormat="1" customHeight="1" spans="1:77">
      <c r="A1186" s="362">
        <v>46224</v>
      </c>
      <c r="B1186" s="362">
        <v>46325</v>
      </c>
      <c r="C1186" s="431" t="s">
        <v>1048</v>
      </c>
      <c r="D1186" s="431" t="s">
        <v>1049</v>
      </c>
      <c r="E1186" s="431" t="s">
        <v>66</v>
      </c>
      <c r="F1186" s="96">
        <v>948</v>
      </c>
      <c r="G1186" s="431" t="s">
        <v>510</v>
      </c>
      <c r="H1186" s="118" t="str">
        <f>IFERROR(VLOOKUP(E1186,名称!A:E,4,0),"")</f>
        <v>三代</v>
      </c>
      <c r="I1186" s="418" t="str">
        <f t="shared" ref="I1186:I1194" si="1874">IF(OR($E1186="",I$1=""),"",IF(TRIM(LEFT($E1186,MIN(IFERROR(FIND("CDU",UPPER($E1186)),999),IFERROR(FIND("BULK",UPPER($E1186)),999),IFERROR(FIND("-",$E1186),999),IFERROR(FIND("（",$E1186),999))-1))=I$1,$F1186,""))</f>
        <v/>
      </c>
      <c r="J1186" s="418" t="str">
        <f t="shared" ref="J1186:J1194" si="1875">IF(OR($E1186="",J$1=""),"",IF(TRIM(LEFT($E1186,MIN(IFERROR(FIND("CDU",UPPER($E1186)),999),IFERROR(FIND("BULK",UPPER($E1186)),999),IFERROR(FIND("-",$E1186),999),IFERROR(FIND("（",$E1186),999))-1))=J$1,$F1186,""))</f>
        <v/>
      </c>
      <c r="K1186" s="418" t="str">
        <f t="shared" ref="K1186:K1194" si="1876">IF(OR($E1186="",K$1=""),"",IF(TRIM(LEFT($E1186,MIN(IFERROR(FIND("CDU",UPPER($E1186)),999),IFERROR(FIND("BULK",UPPER($E1186)),999),IFERROR(FIND("-",$E1186),999),IFERROR(FIND("（",$E1186),999))-1))=K$1,$F1186,""))</f>
        <v/>
      </c>
      <c r="L1186" s="418" t="str">
        <f t="shared" ref="L1186:L1194" si="1877">IF(OR($E1186="",L$1=""),"",IF(TRIM(LEFT($E1186,MIN(IFERROR(FIND("CDU",UPPER($E1186)),999),IFERROR(FIND("BULK",UPPER($E1186)),999),IFERROR(FIND("-",$E1186),999),IFERROR(FIND("（",$E1186),999))-1))=L$1,$F1186,""))</f>
        <v/>
      </c>
      <c r="M1186" s="418" t="str">
        <f t="shared" ref="M1186:M1194" si="1878">IF(OR($E1186="",M$1=""),"",IF(TRIM(LEFT($E1186,MIN(IFERROR(FIND("CDU",UPPER($E1186)),999),IFERROR(FIND("BULK",UPPER($E1186)),999),IFERROR(FIND("-",$E1186),999),IFERROR(FIND("（",$E1186),999))-1))=M$1,$F1186,""))</f>
        <v/>
      </c>
      <c r="N1186" s="418" t="str">
        <f t="shared" ref="N1186:N1194" si="1879">IF(OR($E1186="",N$1=""),"",IF(TRIM(LEFT($E1186,MIN(IFERROR(FIND("CDU",UPPER($E1186)),999),IFERROR(FIND("BULK",UPPER($E1186)),999),IFERROR(FIND("-",$E1186),999),IFERROR(FIND("（",$E1186),999))-1))=N$1,$F1186,""))</f>
        <v/>
      </c>
      <c r="O1186" s="418" t="str">
        <f t="shared" ref="O1186:O1194" si="1880">IF(OR($E1186="",O$1=""),"",IF(TRIM(LEFT($E1186,MIN(IFERROR(FIND("CDU",UPPER($E1186)),999),IFERROR(FIND("BULK",UPPER($E1186)),999),IFERROR(FIND("-",$E1186),999),IFERROR(FIND("（",$E1186),999))-1))=O$1,$F1186,""))</f>
        <v/>
      </c>
      <c r="P1186" s="418" t="str">
        <f t="shared" ref="P1186:P1194" si="1881">IF(OR($E1186="",P$1=""),"",IF(TRIM(LEFT($E1186,MIN(IFERROR(FIND("CDU",UPPER($E1186)),999),IFERROR(FIND("BULK",UPPER($E1186)),999),IFERROR(FIND("-",$E1186),999),IFERROR(FIND("（",$E1186),999))-1))=P$1,$F1186,""))</f>
        <v/>
      </c>
      <c r="Q1186" s="418" t="str">
        <f t="shared" ref="Q1186:Q1194" si="1882">IF(OR($E1186="",Q$1=""),"",IF(TRIM(LEFT($E1186,MIN(IFERROR(FIND("CDU",UPPER($E1186)),999),IFERROR(FIND("BULK",UPPER($E1186)),999),IFERROR(FIND("-",$E1186),999),IFERROR(FIND("（",$E1186),999))-1))=Q$1,$F1186,""))</f>
        <v/>
      </c>
      <c r="R1186" s="418" t="str">
        <f t="shared" ref="R1186:R1194" si="1883">IF(OR($E1186="",R$1=""),"",IF(TRIM(LEFT($E1186,MIN(IFERROR(FIND("CDU",UPPER($E1186)),999),IFERROR(FIND("BULK",UPPER($E1186)),999),IFERROR(FIND("-",$E1186),999),IFERROR(FIND("（",$E1186),999))-1))=R$1,$F1186,""))</f>
        <v/>
      </c>
      <c r="S1186" s="418" t="str">
        <f t="shared" ref="S1186:S1194" si="1884">IF(OR($E1186="",S$1=""),"",IF(TRIM(LEFT($E1186,MIN(IFERROR(FIND("CDU",UPPER($E1186)),999),IFERROR(FIND("BULK",UPPER($E1186)),999),IFERROR(FIND("-",$E1186),999),IFERROR(FIND("（",$E1186),999))-1))=S$1,$F1186,""))</f>
        <v/>
      </c>
      <c r="T1186" s="418" t="str">
        <f t="shared" ref="T1186:T1194" si="1885">IF(OR($E1186="",T$1=""),"",IF(TRIM(LEFT($E1186,MIN(IFERROR(FIND("CDU",UPPER($E1186)),999),IFERROR(FIND("BULK",UPPER($E1186)),999),IFERROR(FIND("-",$E1186),999),IFERROR(FIND("（",$E1186),999))-1))=T$1,$F1186,""))</f>
        <v/>
      </c>
      <c r="U1186" s="418" t="str">
        <f t="shared" ref="U1186:U1194" si="1886">IF(OR($E1186="",U$1=""),"",IF(TRIM(LEFT($E1186,MIN(IFERROR(FIND("CDU",UPPER($E1186)),999),IFERROR(FIND("BULK",UPPER($E1186)),999),IFERROR(FIND("-",$E1186),999),IFERROR(FIND("（",$E1186),999))-1))=U$1,$F1186,""))</f>
        <v/>
      </c>
      <c r="V1186" s="418" t="str">
        <f t="shared" ref="V1186:V1194" si="1887">IF(OR($E1186="",V$1=""),"",IF(TRIM(LEFT($E1186,MIN(IFERROR(FIND("CDU",UPPER($E1186)),999),IFERROR(FIND("BULK",UPPER($E1186)),999),IFERROR(FIND("-",$E1186),999),IFERROR(FIND("（",$E1186),999))-1))=V$1,$F1186,""))</f>
        <v/>
      </c>
      <c r="W1186" s="418" t="str">
        <f t="shared" ref="W1186:W1194" si="1888">IF(OR($E1186="",W$1=""),"",IF(TRIM(LEFT($E1186,MIN(IFERROR(FIND("CDU",UPPER($E1186)),999),IFERROR(FIND("BULK",UPPER($E1186)),999),IFERROR(FIND("-",$E1186),999),IFERROR(FIND("（",$E1186),999))-1))=W$1,$F1186,""))</f>
        <v/>
      </c>
      <c r="X1186" s="418" t="str">
        <f t="shared" ref="X1186:X1194" si="1889">IF(OR($E1186="",X$1=""),"",IF(TRIM(LEFT($E1186,MIN(IFERROR(FIND("CDU",UPPER($E1186)),999),IFERROR(FIND("BULK",UPPER($E1186)),999),IFERROR(FIND("-",$E1186),999),IFERROR(FIND("（",$E1186),999))-1))=X$1,$F1186,""))</f>
        <v/>
      </c>
      <c r="Y1186" s="418" t="str">
        <f t="shared" ref="Y1186:Y1194" si="1890">IF(OR($E1186="",Y$1=""),"",IF(TRIM(LEFT($E1186,MIN(IFERROR(FIND("CDU",UPPER($E1186)),999),IFERROR(FIND("BULK",UPPER($E1186)),999),IFERROR(FIND("-",$E1186),999),IFERROR(FIND("（",$E1186),999))-1))=Y$1,$F1186,""))</f>
        <v/>
      </c>
      <c r="Z1186" s="418" t="str">
        <f t="shared" ref="Z1186:Z1194" si="1891">IF(OR($E1186="",Z$1=""),"",IF(TRIM(LEFT($E1186,MIN(IFERROR(FIND("CDU",UPPER($E1186)),999),IFERROR(FIND("BULK",UPPER($E1186)),999),IFERROR(FIND("-",$E1186),999),IFERROR(FIND("（",$E1186),999))-1))=Z$1,$F1186,""))</f>
        <v/>
      </c>
      <c r="AA1186" s="418" t="str">
        <f t="shared" ref="AA1186:AA1194" si="1892">IF(OR($E1186="",AA$1=""),"",IF(TRIM(LEFT($E1186,MIN(IFERROR(FIND("CDU",UPPER($E1186)),999),IFERROR(FIND("BULK",UPPER($E1186)),999),IFERROR(FIND("-",$E1186),999),IFERROR(FIND("（",$E1186),999))-1))=AA$1,$F1186,""))</f>
        <v/>
      </c>
      <c r="AB1186" s="418" t="str">
        <f t="shared" ref="AB1186:AB1194" si="1893">IF(OR($E1186="",AB$1=""),"",IF(TRIM(LEFT($E1186,MIN(IFERROR(FIND("CDU",UPPER($E1186)),999),IFERROR(FIND("BULK",UPPER($E1186)),999),IFERROR(FIND("-",$E1186),999),IFERROR(FIND("（",$E1186),999))-1))=AB$1,$F1186,""))</f>
        <v/>
      </c>
      <c r="AC1186" s="418" t="str">
        <f t="shared" ref="AC1186:AC1194" si="1894">IF(OR($E1186="",AC$1=""),"",IF(TRIM(LEFT($E1186,MIN(IFERROR(FIND("CDU",UPPER($E1186)),999),IFERROR(FIND("BULK",UPPER($E1186)),999),IFERROR(FIND("-",$E1186),999),IFERROR(FIND("（",$E1186),999))-1))=AC$1,$F1186,""))</f>
        <v/>
      </c>
      <c r="AD1186" s="418" t="str">
        <f t="shared" ref="AD1186:AD1194" si="1895">IF(OR($E1186="",AD$1=""),"",IF(TRIM(LEFT($E1186,MIN(IFERROR(FIND("CDU",UPPER($E1186)),999),IFERROR(FIND("BULK",UPPER($E1186)),999),IFERROR(FIND("-",$E1186),999),IFERROR(FIND("（",$E1186),999))-1))=AD$1,$F1186,""))</f>
        <v/>
      </c>
      <c r="AE1186" s="418" t="str">
        <f t="shared" ref="AE1186:AE1194" si="1896">IF(OR($E1186="",AE$1=""),"",IF(TRIM(LEFT($E1186,MIN(IFERROR(FIND("CDU",UPPER($E1186)),999),IFERROR(FIND("BULK",UPPER($E1186)),999),IFERROR(FIND("-",$E1186),999),IFERROR(FIND("（",$E1186),999))-1))=AE$1,$F1186,""))</f>
        <v/>
      </c>
      <c r="AF1186" s="418" t="str">
        <f t="shared" ref="AF1186:AF1194" si="1897">IF(OR($E1186="",AF$1=""),"",IF(TRIM(LEFT($E1186,MIN(IFERROR(FIND("CDU",UPPER($E1186)),999),IFERROR(FIND("BULK",UPPER($E1186)),999),IFERROR(FIND("-",$E1186),999),IFERROR(FIND("（",$E1186),999))-1))=AF$1,$F1186,""))</f>
        <v/>
      </c>
      <c r="AG1186" s="418">
        <f t="shared" ref="AG1186:AG1194" si="1898">IF(OR($E1186="",AG$1=""),"",IF(TRIM(LEFT($E1186,MIN(IFERROR(FIND("CDU",UPPER($E1186)),999),IFERROR(FIND("BULK",UPPER($E1186)),999),IFERROR(FIND("-",$E1186),999),IFERROR(FIND("（",$E1186),999))-1))=AG$1,$F1186,""))</f>
        <v>948</v>
      </c>
      <c r="AH1186" s="418" t="str">
        <f t="shared" ref="AH1186:AH1194" si="1899">IF(OR($E1186="",AH$1=""),"",IF(TRIM(LEFT($E1186,MIN(IFERROR(FIND("CDU",UPPER($E1186)),999),IFERROR(FIND("BULK",UPPER($E1186)),999),IFERROR(FIND("-",$E1186),999),IFERROR(FIND("（",$E1186),999))-1))=AH$1,$F1186,""))</f>
        <v/>
      </c>
      <c r="AI1186" s="418" t="str">
        <f t="shared" ref="AI1186:AI1194" si="1900">IF(OR($E1186="",AI$1=""),"",IF(TRIM(LEFT($E1186,MIN(IFERROR(FIND("CDU",UPPER($E1186)),999),IFERROR(FIND("BULK",UPPER($E1186)),999),IFERROR(FIND("-",$E1186),999),IFERROR(FIND("（",$E1186),999))-1))=AI$1,$F1186,""))</f>
        <v/>
      </c>
      <c r="AJ1186" s="418" t="str">
        <f t="shared" ref="AJ1186:AJ1194" si="1901">IF(OR($E1186="",AJ$1=""),"",IF(TRIM(LEFT($E1186,MIN(IFERROR(FIND("CDU",UPPER($E1186)),999),IFERROR(FIND("BULK",UPPER($E1186)),999),IFERROR(FIND("-",$E1186),999),IFERROR(FIND("（",$E1186),999))-1))=AJ$1,$F1186,""))</f>
        <v/>
      </c>
      <c r="AK1186" s="418" t="str">
        <f t="shared" ref="AK1186:AK1194" si="1902">IF(OR($E1186="",AK$1=""),"",IF(TRIM(LEFT($E1186,MIN(IFERROR(FIND("CDU",UPPER($E1186)),999),IFERROR(FIND("BULK",UPPER($E1186)),999),IFERROR(FIND("-",$E1186),999),IFERROR(FIND("（",$E1186),999))-1))=AK$1,$F1186,""))</f>
        <v/>
      </c>
      <c r="AL1186" s="418" t="str">
        <f t="shared" ref="AL1186:AL1194" si="1903">IF(OR($E1186="",AL$1=""),"",IF(TRIM(LEFT($E1186,MIN(IFERROR(FIND("CDU",UPPER($E1186)),999),IFERROR(FIND("BULK",UPPER($E1186)),999),IFERROR(FIND("-",$E1186),999),IFERROR(FIND("（",$E1186),999))-1))=AL$1,$F1186,""))</f>
        <v/>
      </c>
      <c r="AM1186" s="418" t="str">
        <f t="shared" ref="AM1186:AM1194" si="1904">IF(OR($E1186="",AM$1=""),"",IF(TRIM(LEFT($E1186,MIN(IFERROR(FIND("CDU",UPPER($E1186)),999),IFERROR(FIND("BULK",UPPER($E1186)),999),IFERROR(FIND("-",$E1186),999),IFERROR(FIND("（",$E1186),999))-1))=AM$1,$F1186,""))</f>
        <v/>
      </c>
      <c r="AN1186" s="418" t="str">
        <f t="shared" ref="AN1186:AN1194" si="1905">IF(OR($E1186="",AN$1=""),"",IF(TRIM(LEFT($E1186,MIN(IFERROR(FIND("CDU",UPPER($E1186)),999),IFERROR(FIND("BULK",UPPER($E1186)),999),IFERROR(FIND("-",$E1186),999),IFERROR(FIND("（",$E1186),999))-1))=AN$1,$F1186,""))</f>
        <v/>
      </c>
      <c r="AO1186" s="418" t="str">
        <f t="shared" ref="AO1186:AO1194" si="1906">IF(OR($E1186="",AO$1=""),"",IF(TRIM(LEFT($E1186,MIN(IFERROR(FIND("CDU",UPPER($E1186)),999),IFERROR(FIND("BULK",UPPER($E1186)),999),IFERROR(FIND("-",$E1186),999),IFERROR(FIND("（",$E1186),999))-1))=AO$1,$F1186,""))</f>
        <v/>
      </c>
      <c r="AP1186" s="418" t="str">
        <f t="shared" ref="AP1186:AP1194" si="1907">IF(OR($E1186="",AP$1=""),"",IF(TRIM(LEFT($E1186,MIN(IFERROR(FIND("CDU",UPPER($E1186)),999),IFERROR(FIND("BULK",UPPER($E1186)),999),IFERROR(FIND("-",$E1186),999),IFERROR(FIND("（",$E1186),999))-1))=AP$1,$F1186,""))</f>
        <v/>
      </c>
      <c r="AQ1186" s="418" t="str">
        <f t="shared" ref="AQ1186:AQ1194" si="1908">IF(OR($E1186="",AQ$1=""),"",IF(TRIM(LEFT($E1186,MIN(IFERROR(FIND("CDU",UPPER($E1186)),999),IFERROR(FIND("BULK",UPPER($E1186)),999),IFERROR(FIND("-",$E1186),999),IFERROR(FIND("（",$E1186),999))-1))=AQ$1,$F1186,""))</f>
        <v/>
      </c>
      <c r="AR1186" s="418" t="str">
        <f t="shared" ref="AR1186:AR1194" si="1909">IF(OR($E1186="",AR$1=""),"",IF(TRIM(LEFT($E1186,MIN(IFERROR(FIND("CDU",UPPER($E1186)),999),IFERROR(FIND("BULK",UPPER($E1186)),999),IFERROR(FIND("-",$E1186),999),IFERROR(FIND("（",$E1186),999))-1))=AR$1,$F1186,""))</f>
        <v/>
      </c>
      <c r="AS1186" s="418" t="str">
        <f t="shared" ref="AS1186:AS1194" si="1910">IF(OR($E1186="",AS$1=""),"",IF(TRIM(LEFT($E1186,MIN(IFERROR(FIND("CDU",UPPER($E1186)),999),IFERROR(FIND("BULK",UPPER($E1186)),999),IFERROR(FIND("-",$E1186),999),IFERROR(FIND("（",$E1186),999))-1))=AS$1,$F1186,""))</f>
        <v/>
      </c>
      <c r="AT1186" s="418" t="str">
        <f t="shared" ref="AT1186:AT1194" si="1911">IF(OR($E1186="",AT$1=""),"",IF(TRIM(LEFT($E1186,MIN(IFERROR(FIND("CDU",UPPER($E1186)),999),IFERROR(FIND("BULK",UPPER($E1186)),999),IFERROR(FIND("-",$E1186),999),IFERROR(FIND("（",$E1186),999))-1))=AT$1,$F1186,""))</f>
        <v/>
      </c>
      <c r="AU1186" s="418" t="str">
        <f t="shared" ref="AU1186:AU1194" si="1912">IF(OR($E1186="",AU$1=""),"",IF(TRIM(LEFT($E1186,MIN(IFERROR(FIND("CDU",UPPER($E1186)),999),IFERROR(FIND("BULK",UPPER($E1186)),999),IFERROR(FIND("-",$E1186),999),IFERROR(FIND("（",$E1186),999))-1))=AU$1,$F1186,""))</f>
        <v/>
      </c>
      <c r="AV1186" s="418" t="str">
        <f t="shared" ref="AV1186:AV1194" si="1913">IF(OR($E1186="",AV$1=""),"",IF(TRIM(LEFT($E1186,MIN(IFERROR(FIND("CDU",UPPER($E1186)),999),IFERROR(FIND("BULK",UPPER($E1186)),999),IFERROR(FIND("-",$E1186),999),IFERROR(FIND("（",$E1186),999))-1))=AV$1,$F1186,""))</f>
        <v/>
      </c>
      <c r="AW1186" s="418" t="str">
        <f t="shared" ref="AW1186:AW1194" si="1914">IF(OR($E1186="",AW$1=""),"",IF(TRIM(LEFT($E1186,MIN(IFERROR(FIND("CDU",UPPER($E1186)),999),IFERROR(FIND("BULK",UPPER($E1186)),999),IFERROR(FIND("-",$E1186),999),IFERROR(FIND("（",$E1186),999))-1))=AW$1,$F1186,""))</f>
        <v/>
      </c>
      <c r="AX1186" s="418" t="str">
        <f t="shared" ref="AX1186:AX1194" si="1915">IF(OR($E1186="",AX$1=""),"",IF(TRIM(LEFT($E1186,MIN(IFERROR(FIND("CDU",UPPER($E1186)),999),IFERROR(FIND("BULK",UPPER($E1186)),999),IFERROR(FIND("-",$E1186),999),IFERROR(FIND("（",$E1186),999))-1))=AX$1,$F1186,""))</f>
        <v/>
      </c>
      <c r="AY1186" s="418" t="str">
        <f t="shared" ref="AY1186:AY1194" si="1916">IF(OR($E1186="",AY$1=""),"",IF(TRIM(LEFT($E1186,MIN(IFERROR(FIND("CDU",UPPER($E1186)),999),IFERROR(FIND("BULK",UPPER($E1186)),999),IFERROR(FIND("-",$E1186),999),IFERROR(FIND("（",$E1186),999))-1))=AY$1,$F1186,""))</f>
        <v/>
      </c>
      <c r="AZ1186" s="418" t="str">
        <f t="shared" ref="AZ1186:AZ1194" si="1917">IF(OR($E1186="",AZ$1=""),"",IF(TRIM(LEFT($E1186,MIN(IFERROR(FIND("CDU",UPPER($E1186)),999),IFERROR(FIND("BULK",UPPER($E1186)),999),IFERROR(FIND("-",$E1186),999),IFERROR(FIND("（",$E1186),999))-1))=AZ$1,$F1186,""))</f>
        <v/>
      </c>
      <c r="BA1186" s="418" t="str">
        <f t="shared" ref="BA1186:BA1194" si="1918">IF(OR($E1186="",BA$1=""),"",IF(TRIM(LEFT($E1186,MIN(IFERROR(FIND("CDU",UPPER($E1186)),999),IFERROR(FIND("BULK",UPPER($E1186)),999),IFERROR(FIND("-",$E1186),999),IFERROR(FIND("（",$E1186),999))-1))=BA$1,$F1186,""))</f>
        <v/>
      </c>
      <c r="BB1186" s="418" t="str">
        <f t="shared" ref="BB1186:BB1194" si="1919">IF(OR($E1186="",BB$1=""),"",IF(TRIM(LEFT($E1186,MIN(IFERROR(FIND("CDU",UPPER($E1186)),999),IFERROR(FIND("BULK",UPPER($E1186)),999),IFERROR(FIND("-",$E1186),999),IFERROR(FIND("（",$E1186),999))-1))=BB$1,$F1186,""))</f>
        <v/>
      </c>
      <c r="BC1186" s="418" t="str">
        <f t="shared" ref="BC1186:BC1194" si="1920">IF(OR($E1186="",BC$1=""),"",IF(TRIM(LEFT($E1186,MIN(IFERROR(FIND("CDU",UPPER($E1186)),999),IFERROR(FIND("BULK",UPPER($E1186)),999),IFERROR(FIND("-",$E1186),999),IFERROR(FIND("（",$E1186),999))-1))=BC$1,$F1186,""))</f>
        <v/>
      </c>
      <c r="BD1186" s="418" t="str">
        <f t="shared" ref="BD1186:BD1194" si="1921">IF(OR($E1186="",BD$1=""),"",IF(TRIM(LEFT($E1186,MIN(IFERROR(FIND("CDU",UPPER($E1186)),999),IFERROR(FIND("BULK",UPPER($E1186)),999),IFERROR(FIND("-",$E1186),999),IFERROR(FIND("（",$E1186),999))-1))=BD$1,$F1186,""))</f>
        <v/>
      </c>
      <c r="BE1186" s="418" t="str">
        <f t="shared" ref="BE1186:BE1194" si="1922">IF(OR($E1186="",BE$1=""),"",IF(TRIM(LEFT($E1186,MIN(IFERROR(FIND("CDU",UPPER($E1186)),999),IFERROR(FIND("BULK",UPPER($E1186)),999),IFERROR(FIND("-",$E1186),999),IFERROR(FIND("（",$E1186),999))-1))=BE$1,$F1186,""))</f>
        <v/>
      </c>
      <c r="BF1186" s="418" t="str">
        <f t="shared" ref="BF1186:BF1194" si="1923">IF(OR($E1186="",BF$1=""),"",IF(TRIM(LEFT($E1186,MIN(IFERROR(FIND("CDU",UPPER($E1186)),999),IFERROR(FIND("BULK",UPPER($E1186)),999),IFERROR(FIND("-",$E1186),999),IFERROR(FIND("（",$E1186),999))-1))=BF$1,$F1186,""))</f>
        <v/>
      </c>
      <c r="BG1186" s="418" t="str">
        <f t="shared" ref="BG1186:BG1194" si="1924">IF(OR($E1186="",BG$1=""),"",IF(TRIM(LEFT($E1186,MIN(IFERROR(FIND("CDU",UPPER($E1186)),999),IFERROR(FIND("BULK",UPPER($E1186)),999),IFERROR(FIND("-",$E1186),999),IFERROR(FIND("（",$E1186),999))-1))=BG$1,$F1186,""))</f>
        <v/>
      </c>
      <c r="BH1186" s="418" t="str">
        <f t="shared" ref="BH1186:BH1194" si="1925">IF(OR($E1186="",BH$1=""),"",IF(TRIM(LEFT($E1186,MIN(IFERROR(FIND("CDU",UPPER($E1186)),999),IFERROR(FIND("BULK",UPPER($E1186)),999),IFERROR(FIND("-",$E1186),999),IFERROR(FIND("（",$E1186),999))-1))=BH$1,$F1186,""))</f>
        <v/>
      </c>
      <c r="BI1186" s="418" t="str">
        <f t="shared" ref="BI1186:BI1194" si="1926">IF(OR($E1186="",BI$1=""),"",IF(TRIM(LEFT($E1186,MIN(IFERROR(FIND("CDU",UPPER($E1186)),999),IFERROR(FIND("BULK",UPPER($E1186)),999),IFERROR(FIND("-",$E1186),999),IFERROR(FIND("（",$E1186),999))-1))=BI$1,$F1186,""))</f>
        <v/>
      </c>
      <c r="BJ1186" s="418" t="str">
        <f t="shared" ref="BJ1186:BJ1194" si="1927">IF(OR($E1186="",BJ$1=""),"",IF(TRIM(LEFT($E1186,MIN(IFERROR(FIND("CDU",UPPER($E1186)),999),IFERROR(FIND("BULK",UPPER($E1186)),999),IFERROR(FIND("-",$E1186),999),IFERROR(FIND("（",$E1186),999))-1))=BJ$1,$F1186,""))</f>
        <v/>
      </c>
      <c r="BK1186" s="418" t="str">
        <f t="shared" ref="BK1186:BK1194" si="1928">IF(OR($E1186="",BK$1=""),"",IF(TRIM(LEFT($E1186,MIN(IFERROR(FIND("CDU",UPPER($E1186)),999),IFERROR(FIND("BULK",UPPER($E1186)),999),IFERROR(FIND("-",$E1186),999),IFERROR(FIND("（",$E1186),999))-1))=BK$1,$F1186,""))</f>
        <v/>
      </c>
      <c r="BL1186" s="418" t="str">
        <f t="shared" ref="BL1186:BL1194" si="1929">IF(OR($E1186="",BL$1=""),"",IF(TRIM(LEFT($E1186,MIN(IFERROR(FIND("CDU",UPPER($E1186)),999),IFERROR(FIND("BULK",UPPER($E1186)),999),IFERROR(FIND("-",$E1186),999),IFERROR(FIND("（",$E1186),999))-1))=BL$1,$F1186,""))</f>
        <v/>
      </c>
      <c r="BM1186" s="418" t="str">
        <f t="shared" ref="BM1186:BM1194" si="1930">IF(OR($E1186="",BM$1=""),"",IF(TRIM(LEFT($E1186,MIN(IFERROR(FIND("CDU",UPPER($E1186)),999),IFERROR(FIND("BULK",UPPER($E1186)),999),IFERROR(FIND("-",$E1186),999),IFERROR(FIND("（",$E1186),999))-1))=BM$1,$F1186,""))</f>
        <v/>
      </c>
      <c r="BN1186" s="418" t="str">
        <f t="shared" ref="BN1186:BN1194" si="1931">IF(OR($E1186="",BN$1=""),"",IF(TRIM(LEFT($E1186,MIN(IFERROR(FIND("CDU",UPPER($E1186)),999),IFERROR(FIND("BULK",UPPER($E1186)),999),IFERROR(FIND("-",$E1186),999),IFERROR(FIND("（",$E1186),999))-1))=BN$1,$F1186,""))</f>
        <v/>
      </c>
      <c r="BO1186" s="418" t="str">
        <f t="shared" ref="BO1186:BO1194" si="1932">IF(OR($E1186="",BO$1=""),"",IF(TRIM(LEFT($E1186,MIN(IFERROR(FIND("CDU",UPPER($E1186)),999),IFERROR(FIND("BULK",UPPER($E1186)),999),IFERROR(FIND("-",$E1186),999),IFERROR(FIND("（",$E1186),999))-1))=BO$1,$F1186,""))</f>
        <v/>
      </c>
      <c r="BP1186" s="418" t="str">
        <f t="shared" ref="BP1186:BP1194" si="1933">IF(OR($E1186="",BP$1=""),"",IF(TRIM(LEFT($E1186,MIN(IFERROR(FIND("CDU",UPPER($E1186)),999),IFERROR(FIND("BULK",UPPER($E1186)),999),IFERROR(FIND("-",$E1186),999),IFERROR(FIND("（",$E1186),999))-1))=BP$1,$F1186,""))</f>
        <v/>
      </c>
      <c r="BQ1186" s="418" t="str">
        <f t="shared" si="1871"/>
        <v/>
      </c>
      <c r="BR1186" s="418" t="str">
        <f t="shared" si="1872"/>
        <v/>
      </c>
      <c r="BS1186" s="418" t="str">
        <f t="shared" si="1873"/>
        <v/>
      </c>
      <c r="BT1186" s="418" t="str">
        <f t="shared" ref="BT1186:BT1194" si="1934">IF(OR($E1186="",BT$1=""),"",IF(TRIM(LEFT($E1186,MIN(IFERROR(FIND("CDU",UPPER($E1186)),999),IFERROR(FIND("BULK",UPPER($E1186)),999),IFERROR(FIND("-",$E1186),999),IFERROR(FIND("（",$E1186),999))-1))=BT$1,$F1186,""))</f>
        <v/>
      </c>
      <c r="BU1186" s="418" t="str">
        <f t="shared" ref="BU1186:BU1194" si="1935">IF(OR($E1186="",BU$1=""),"",IF(TRIM(LEFT($E1186,MIN(IFERROR(FIND("CDU",UPPER($E1186)),999),IFERROR(FIND("BULK",UPPER($E1186)),999),IFERROR(FIND("-",$E1186),999),IFERROR(FIND("（",$E1186),999))-1))=BU$1,$F1186,""))</f>
        <v/>
      </c>
      <c r="BV1186" s="624">
        <v>2.09</v>
      </c>
      <c r="BW1186" s="723">
        <f t="shared" ref="BW1186:BW1194" si="1936">SUM(I1186:BU1186)*BV1186</f>
        <v>1981.32</v>
      </c>
      <c r="BX1186" s="724">
        <f t="shared" ref="BX1186:BX1194" si="1937">BW1186*7.75</f>
        <v>15355.23</v>
      </c>
      <c r="BY1186" s="725" t="str">
        <f t="shared" ref="BY1186:BY1194" si="1938">MID(E1186,1,2)</f>
        <v>SR</v>
      </c>
    </row>
    <row r="1187" s="697" customFormat="1" customHeight="1" spans="1:77">
      <c r="A1187" s="362">
        <v>46224</v>
      </c>
      <c r="B1187" s="362">
        <v>46325</v>
      </c>
      <c r="C1187" s="431" t="s">
        <v>1048</v>
      </c>
      <c r="D1187" s="431" t="s">
        <v>1049</v>
      </c>
      <c r="E1187" s="431" t="s">
        <v>85</v>
      </c>
      <c r="F1187" s="643">
        <f>840+408</f>
        <v>1248</v>
      </c>
      <c r="G1187" s="431" t="s">
        <v>510</v>
      </c>
      <c r="H1187" s="118" t="str">
        <f>IFERROR(VLOOKUP(E1187,名称!A:E,4,0),"")</f>
        <v>三代</v>
      </c>
      <c r="I1187" s="418" t="str">
        <f t="shared" si="1874"/>
        <v/>
      </c>
      <c r="J1187" s="418" t="str">
        <f t="shared" si="1875"/>
        <v/>
      </c>
      <c r="K1187" s="418" t="str">
        <f t="shared" si="1876"/>
        <v/>
      </c>
      <c r="L1187" s="418" t="str">
        <f t="shared" si="1877"/>
        <v/>
      </c>
      <c r="M1187" s="418" t="str">
        <f t="shared" si="1878"/>
        <v/>
      </c>
      <c r="N1187" s="418" t="str">
        <f t="shared" si="1879"/>
        <v/>
      </c>
      <c r="O1187" s="418" t="str">
        <f t="shared" si="1880"/>
        <v/>
      </c>
      <c r="P1187" s="418" t="str">
        <f t="shared" si="1881"/>
        <v/>
      </c>
      <c r="Q1187" s="418" t="str">
        <f t="shared" si="1882"/>
        <v/>
      </c>
      <c r="R1187" s="418" t="str">
        <f t="shared" si="1883"/>
        <v/>
      </c>
      <c r="S1187" s="418" t="str">
        <f t="shared" si="1884"/>
        <v/>
      </c>
      <c r="T1187" s="418" t="str">
        <f t="shared" si="1885"/>
        <v/>
      </c>
      <c r="U1187" s="418" t="str">
        <f t="shared" si="1886"/>
        <v/>
      </c>
      <c r="V1187" s="418" t="str">
        <f t="shared" si="1887"/>
        <v/>
      </c>
      <c r="W1187" s="418" t="str">
        <f t="shared" si="1888"/>
        <v/>
      </c>
      <c r="X1187" s="418" t="str">
        <f t="shared" si="1889"/>
        <v/>
      </c>
      <c r="Y1187" s="418" t="str">
        <f t="shared" si="1890"/>
        <v/>
      </c>
      <c r="Z1187" s="418" t="str">
        <f t="shared" si="1891"/>
        <v/>
      </c>
      <c r="AA1187" s="418" t="str">
        <f t="shared" si="1892"/>
        <v/>
      </c>
      <c r="AB1187" s="418" t="str">
        <f t="shared" si="1893"/>
        <v/>
      </c>
      <c r="AC1187" s="418" t="str">
        <f t="shared" si="1894"/>
        <v/>
      </c>
      <c r="AD1187" s="418" t="str">
        <f t="shared" si="1895"/>
        <v/>
      </c>
      <c r="AE1187" s="418" t="str">
        <f t="shared" si="1896"/>
        <v/>
      </c>
      <c r="AF1187" s="418" t="str">
        <f t="shared" si="1897"/>
        <v/>
      </c>
      <c r="AG1187" s="418" t="str">
        <f t="shared" si="1898"/>
        <v/>
      </c>
      <c r="AH1187" s="418" t="str">
        <f t="shared" si="1899"/>
        <v/>
      </c>
      <c r="AI1187" s="418" t="str">
        <f t="shared" si="1900"/>
        <v/>
      </c>
      <c r="AJ1187" s="418" t="str">
        <f t="shared" si="1901"/>
        <v/>
      </c>
      <c r="AK1187" s="418" t="str">
        <f t="shared" si="1902"/>
        <v/>
      </c>
      <c r="AL1187" s="418" t="str">
        <f t="shared" si="1903"/>
        <v/>
      </c>
      <c r="AM1187" s="418" t="str">
        <f t="shared" si="1904"/>
        <v/>
      </c>
      <c r="AN1187" s="418">
        <f t="shared" si="1905"/>
        <v>1248</v>
      </c>
      <c r="AO1187" s="418" t="str">
        <f t="shared" si="1906"/>
        <v/>
      </c>
      <c r="AP1187" s="418" t="str">
        <f t="shared" si="1907"/>
        <v/>
      </c>
      <c r="AQ1187" s="418" t="str">
        <f t="shared" si="1908"/>
        <v/>
      </c>
      <c r="AR1187" s="418" t="str">
        <f t="shared" si="1909"/>
        <v/>
      </c>
      <c r="AS1187" s="418" t="str">
        <f t="shared" si="1910"/>
        <v/>
      </c>
      <c r="AT1187" s="418" t="str">
        <f t="shared" si="1911"/>
        <v/>
      </c>
      <c r="AU1187" s="418" t="str">
        <f t="shared" si="1912"/>
        <v/>
      </c>
      <c r="AV1187" s="418" t="str">
        <f t="shared" si="1913"/>
        <v/>
      </c>
      <c r="AW1187" s="418" t="str">
        <f t="shared" si="1914"/>
        <v/>
      </c>
      <c r="AX1187" s="418" t="str">
        <f t="shared" si="1915"/>
        <v/>
      </c>
      <c r="AY1187" s="418" t="str">
        <f t="shared" si="1916"/>
        <v/>
      </c>
      <c r="AZ1187" s="418" t="str">
        <f t="shared" si="1917"/>
        <v/>
      </c>
      <c r="BA1187" s="418" t="str">
        <f t="shared" si="1918"/>
        <v/>
      </c>
      <c r="BB1187" s="418" t="str">
        <f t="shared" si="1919"/>
        <v/>
      </c>
      <c r="BC1187" s="418" t="str">
        <f t="shared" si="1920"/>
        <v/>
      </c>
      <c r="BD1187" s="418" t="str">
        <f t="shared" si="1921"/>
        <v/>
      </c>
      <c r="BE1187" s="418" t="str">
        <f t="shared" si="1922"/>
        <v/>
      </c>
      <c r="BF1187" s="418" t="str">
        <f t="shared" si="1923"/>
        <v/>
      </c>
      <c r="BG1187" s="418" t="str">
        <f t="shared" si="1924"/>
        <v/>
      </c>
      <c r="BH1187" s="418" t="str">
        <f t="shared" si="1925"/>
        <v/>
      </c>
      <c r="BI1187" s="418" t="str">
        <f t="shared" si="1926"/>
        <v/>
      </c>
      <c r="BJ1187" s="418" t="str">
        <f t="shared" si="1927"/>
        <v/>
      </c>
      <c r="BK1187" s="418" t="str">
        <f t="shared" si="1928"/>
        <v/>
      </c>
      <c r="BL1187" s="418" t="str">
        <f t="shared" si="1929"/>
        <v/>
      </c>
      <c r="BM1187" s="418" t="str">
        <f t="shared" si="1930"/>
        <v/>
      </c>
      <c r="BN1187" s="418" t="str">
        <f t="shared" si="1931"/>
        <v/>
      </c>
      <c r="BO1187" s="418" t="str">
        <f t="shared" si="1932"/>
        <v/>
      </c>
      <c r="BP1187" s="418" t="str">
        <f t="shared" si="1933"/>
        <v/>
      </c>
      <c r="BQ1187" s="418" t="str">
        <f t="shared" si="1871"/>
        <v/>
      </c>
      <c r="BR1187" s="418" t="str">
        <f t="shared" si="1872"/>
        <v/>
      </c>
      <c r="BS1187" s="418" t="str">
        <f t="shared" si="1873"/>
        <v/>
      </c>
      <c r="BT1187" s="418" t="str">
        <f t="shared" si="1934"/>
        <v/>
      </c>
      <c r="BU1187" s="418" t="str">
        <f t="shared" si="1935"/>
        <v/>
      </c>
      <c r="BV1187" s="624">
        <v>0.91</v>
      </c>
      <c r="BW1187" s="723">
        <f t="shared" si="1936"/>
        <v>1135.68</v>
      </c>
      <c r="BX1187" s="724">
        <f t="shared" si="1937"/>
        <v>8801.52</v>
      </c>
      <c r="BY1187" s="725" t="str">
        <f t="shared" si="1938"/>
        <v>SR</v>
      </c>
    </row>
    <row r="1188" s="697" customFormat="1" customHeight="1" spans="1:77">
      <c r="A1188" s="362">
        <v>46225</v>
      </c>
      <c r="B1188" s="452">
        <v>46275</v>
      </c>
      <c r="C1188" s="431" t="s">
        <v>1050</v>
      </c>
      <c r="D1188" s="431" t="s">
        <v>1051</v>
      </c>
      <c r="E1188" s="431" t="s">
        <v>83</v>
      </c>
      <c r="F1188" s="468">
        <v>3000</v>
      </c>
      <c r="G1188" s="431" t="s">
        <v>270</v>
      </c>
      <c r="H1188" s="118" t="str">
        <f>IFERROR(VLOOKUP(E1188,名称!A:E,4,0),"")</f>
        <v>三代</v>
      </c>
      <c r="I1188" s="418" t="str">
        <f t="shared" si="1874"/>
        <v/>
      </c>
      <c r="J1188" s="418" t="str">
        <f t="shared" si="1875"/>
        <v/>
      </c>
      <c r="K1188" s="418" t="str">
        <f t="shared" si="1876"/>
        <v/>
      </c>
      <c r="L1188" s="418" t="str">
        <f t="shared" si="1877"/>
        <v/>
      </c>
      <c r="M1188" s="418" t="str">
        <f t="shared" si="1878"/>
        <v/>
      </c>
      <c r="N1188" s="418" t="str">
        <f t="shared" si="1879"/>
        <v/>
      </c>
      <c r="O1188" s="418" t="str">
        <f t="shared" si="1880"/>
        <v/>
      </c>
      <c r="P1188" s="418" t="str">
        <f t="shared" si="1881"/>
        <v/>
      </c>
      <c r="Q1188" s="418" t="str">
        <f t="shared" si="1882"/>
        <v/>
      </c>
      <c r="R1188" s="418" t="str">
        <f t="shared" si="1883"/>
        <v/>
      </c>
      <c r="S1188" s="418" t="str">
        <f t="shared" si="1884"/>
        <v/>
      </c>
      <c r="T1188" s="418" t="str">
        <f t="shared" si="1885"/>
        <v/>
      </c>
      <c r="U1188" s="418" t="str">
        <f t="shared" si="1886"/>
        <v/>
      </c>
      <c r="V1188" s="418" t="str">
        <f t="shared" si="1887"/>
        <v/>
      </c>
      <c r="W1188" s="418" t="str">
        <f t="shared" si="1888"/>
        <v/>
      </c>
      <c r="X1188" s="418" t="str">
        <f t="shared" si="1889"/>
        <v/>
      </c>
      <c r="Y1188" s="418" t="str">
        <f t="shared" si="1890"/>
        <v/>
      </c>
      <c r="Z1188" s="418" t="str">
        <f t="shared" si="1891"/>
        <v/>
      </c>
      <c r="AA1188" s="418" t="str">
        <f t="shared" si="1892"/>
        <v/>
      </c>
      <c r="AB1188" s="418" t="str">
        <f t="shared" si="1893"/>
        <v/>
      </c>
      <c r="AC1188" s="418" t="str">
        <f t="shared" si="1894"/>
        <v/>
      </c>
      <c r="AD1188" s="418" t="str">
        <f t="shared" si="1895"/>
        <v/>
      </c>
      <c r="AE1188" s="418" t="str">
        <f t="shared" si="1896"/>
        <v/>
      </c>
      <c r="AF1188" s="418" t="str">
        <f t="shared" si="1897"/>
        <v/>
      </c>
      <c r="AG1188" s="418" t="str">
        <f t="shared" si="1898"/>
        <v/>
      </c>
      <c r="AH1188" s="418" t="str">
        <f t="shared" si="1899"/>
        <v/>
      </c>
      <c r="AI1188" s="418" t="str">
        <f t="shared" si="1900"/>
        <v/>
      </c>
      <c r="AJ1188" s="418" t="str">
        <f t="shared" si="1901"/>
        <v/>
      </c>
      <c r="AK1188" s="418" t="str">
        <f t="shared" si="1902"/>
        <v/>
      </c>
      <c r="AL1188" s="418" t="str">
        <f t="shared" si="1903"/>
        <v/>
      </c>
      <c r="AM1188" s="418" t="str">
        <f t="shared" si="1904"/>
        <v/>
      </c>
      <c r="AN1188" s="418">
        <f t="shared" si="1905"/>
        <v>3000</v>
      </c>
      <c r="AO1188" s="418" t="str">
        <f t="shared" si="1906"/>
        <v/>
      </c>
      <c r="AP1188" s="418" t="str">
        <f t="shared" si="1907"/>
        <v/>
      </c>
      <c r="AQ1188" s="418" t="str">
        <f t="shared" si="1908"/>
        <v/>
      </c>
      <c r="AR1188" s="418" t="str">
        <f t="shared" si="1909"/>
        <v/>
      </c>
      <c r="AS1188" s="418" t="str">
        <f t="shared" si="1910"/>
        <v/>
      </c>
      <c r="AT1188" s="418" t="str">
        <f t="shared" si="1911"/>
        <v/>
      </c>
      <c r="AU1188" s="418" t="str">
        <f t="shared" si="1912"/>
        <v/>
      </c>
      <c r="AV1188" s="418" t="str">
        <f t="shared" si="1913"/>
        <v/>
      </c>
      <c r="AW1188" s="418" t="str">
        <f t="shared" si="1914"/>
        <v/>
      </c>
      <c r="AX1188" s="418" t="str">
        <f t="shared" si="1915"/>
        <v/>
      </c>
      <c r="AY1188" s="418" t="str">
        <f t="shared" si="1916"/>
        <v/>
      </c>
      <c r="AZ1188" s="418" t="str">
        <f t="shared" si="1917"/>
        <v/>
      </c>
      <c r="BA1188" s="418" t="str">
        <f t="shared" si="1918"/>
        <v/>
      </c>
      <c r="BB1188" s="418" t="str">
        <f t="shared" si="1919"/>
        <v/>
      </c>
      <c r="BC1188" s="418" t="str">
        <f t="shared" si="1920"/>
        <v/>
      </c>
      <c r="BD1188" s="418" t="str">
        <f t="shared" si="1921"/>
        <v/>
      </c>
      <c r="BE1188" s="418" t="str">
        <f t="shared" si="1922"/>
        <v/>
      </c>
      <c r="BF1188" s="418" t="str">
        <f t="shared" si="1923"/>
        <v/>
      </c>
      <c r="BG1188" s="418" t="str">
        <f t="shared" si="1924"/>
        <v/>
      </c>
      <c r="BH1188" s="418" t="str">
        <f t="shared" si="1925"/>
        <v/>
      </c>
      <c r="BI1188" s="418" t="str">
        <f t="shared" si="1926"/>
        <v/>
      </c>
      <c r="BJ1188" s="418" t="str">
        <f t="shared" si="1927"/>
        <v/>
      </c>
      <c r="BK1188" s="418" t="str">
        <f t="shared" si="1928"/>
        <v/>
      </c>
      <c r="BL1188" s="418" t="str">
        <f t="shared" si="1929"/>
        <v/>
      </c>
      <c r="BM1188" s="418" t="str">
        <f t="shared" si="1930"/>
        <v/>
      </c>
      <c r="BN1188" s="418" t="str">
        <f t="shared" si="1931"/>
        <v/>
      </c>
      <c r="BO1188" s="418" t="str">
        <f t="shared" si="1932"/>
        <v/>
      </c>
      <c r="BP1188" s="418" t="str">
        <f t="shared" si="1933"/>
        <v/>
      </c>
      <c r="BQ1188" s="418" t="str">
        <f t="shared" si="1871"/>
        <v/>
      </c>
      <c r="BR1188" s="418" t="str">
        <f t="shared" si="1872"/>
        <v/>
      </c>
      <c r="BS1188" s="418" t="str">
        <f t="shared" si="1873"/>
        <v/>
      </c>
      <c r="BT1188" s="418" t="str">
        <f t="shared" si="1934"/>
        <v/>
      </c>
      <c r="BU1188" s="418" t="str">
        <f t="shared" si="1935"/>
        <v/>
      </c>
      <c r="BV1188" s="624">
        <v>0.83</v>
      </c>
      <c r="BW1188" s="723">
        <f t="shared" si="1936"/>
        <v>2490</v>
      </c>
      <c r="BX1188" s="724">
        <f t="shared" si="1937"/>
        <v>19297.5</v>
      </c>
      <c r="BY1188" s="725" t="str">
        <f t="shared" si="1938"/>
        <v>SR</v>
      </c>
    </row>
    <row r="1189" s="697" customFormat="1" customHeight="1" spans="1:77">
      <c r="A1189" s="362">
        <v>46225</v>
      </c>
      <c r="B1189" s="362">
        <v>46275</v>
      </c>
      <c r="C1189" s="431" t="s">
        <v>1052</v>
      </c>
      <c r="D1189" s="431" t="s">
        <v>1053</v>
      </c>
      <c r="E1189" s="431" t="s">
        <v>83</v>
      </c>
      <c r="F1189" s="468">
        <v>4008</v>
      </c>
      <c r="G1189" s="431" t="s">
        <v>270</v>
      </c>
      <c r="H1189" s="118" t="str">
        <f>IFERROR(VLOOKUP(E1189,名称!A:E,4,0),"")</f>
        <v>三代</v>
      </c>
      <c r="I1189" s="418" t="str">
        <f t="shared" si="1874"/>
        <v/>
      </c>
      <c r="J1189" s="418" t="str">
        <f t="shared" si="1875"/>
        <v/>
      </c>
      <c r="K1189" s="418" t="str">
        <f t="shared" si="1876"/>
        <v/>
      </c>
      <c r="L1189" s="418" t="str">
        <f t="shared" si="1877"/>
        <v/>
      </c>
      <c r="M1189" s="418" t="str">
        <f t="shared" si="1878"/>
        <v/>
      </c>
      <c r="N1189" s="418" t="str">
        <f t="shared" si="1879"/>
        <v/>
      </c>
      <c r="O1189" s="418" t="str">
        <f t="shared" si="1880"/>
        <v/>
      </c>
      <c r="P1189" s="418" t="str">
        <f t="shared" si="1881"/>
        <v/>
      </c>
      <c r="Q1189" s="418" t="str">
        <f t="shared" si="1882"/>
        <v/>
      </c>
      <c r="R1189" s="418" t="str">
        <f t="shared" si="1883"/>
        <v/>
      </c>
      <c r="S1189" s="418" t="str">
        <f t="shared" si="1884"/>
        <v/>
      </c>
      <c r="T1189" s="418" t="str">
        <f t="shared" si="1885"/>
        <v/>
      </c>
      <c r="U1189" s="418" t="str">
        <f t="shared" si="1886"/>
        <v/>
      </c>
      <c r="V1189" s="418" t="str">
        <f t="shared" si="1887"/>
        <v/>
      </c>
      <c r="W1189" s="418" t="str">
        <f t="shared" si="1888"/>
        <v/>
      </c>
      <c r="X1189" s="418" t="str">
        <f t="shared" si="1889"/>
        <v/>
      </c>
      <c r="Y1189" s="418" t="str">
        <f t="shared" si="1890"/>
        <v/>
      </c>
      <c r="Z1189" s="418" t="str">
        <f t="shared" si="1891"/>
        <v/>
      </c>
      <c r="AA1189" s="418" t="str">
        <f t="shared" si="1892"/>
        <v/>
      </c>
      <c r="AB1189" s="418" t="str">
        <f t="shared" si="1893"/>
        <v/>
      </c>
      <c r="AC1189" s="418" t="str">
        <f t="shared" si="1894"/>
        <v/>
      </c>
      <c r="AD1189" s="418" t="str">
        <f t="shared" si="1895"/>
        <v/>
      </c>
      <c r="AE1189" s="418" t="str">
        <f t="shared" si="1896"/>
        <v/>
      </c>
      <c r="AF1189" s="418" t="str">
        <f t="shared" si="1897"/>
        <v/>
      </c>
      <c r="AG1189" s="418" t="str">
        <f t="shared" si="1898"/>
        <v/>
      </c>
      <c r="AH1189" s="418" t="str">
        <f t="shared" si="1899"/>
        <v/>
      </c>
      <c r="AI1189" s="418" t="str">
        <f t="shared" si="1900"/>
        <v/>
      </c>
      <c r="AJ1189" s="418" t="str">
        <f t="shared" si="1901"/>
        <v/>
      </c>
      <c r="AK1189" s="418" t="str">
        <f t="shared" si="1902"/>
        <v/>
      </c>
      <c r="AL1189" s="418" t="str">
        <f t="shared" si="1903"/>
        <v/>
      </c>
      <c r="AM1189" s="418" t="str">
        <f t="shared" si="1904"/>
        <v/>
      </c>
      <c r="AN1189" s="418">
        <f t="shared" si="1905"/>
        <v>4008</v>
      </c>
      <c r="AO1189" s="418" t="str">
        <f t="shared" si="1906"/>
        <v/>
      </c>
      <c r="AP1189" s="418" t="str">
        <f t="shared" si="1907"/>
        <v/>
      </c>
      <c r="AQ1189" s="418" t="str">
        <f t="shared" si="1908"/>
        <v/>
      </c>
      <c r="AR1189" s="418" t="str">
        <f t="shared" si="1909"/>
        <v/>
      </c>
      <c r="AS1189" s="418" t="str">
        <f t="shared" si="1910"/>
        <v/>
      </c>
      <c r="AT1189" s="418" t="str">
        <f t="shared" si="1911"/>
        <v/>
      </c>
      <c r="AU1189" s="418" t="str">
        <f t="shared" si="1912"/>
        <v/>
      </c>
      <c r="AV1189" s="418" t="str">
        <f t="shared" si="1913"/>
        <v/>
      </c>
      <c r="AW1189" s="418" t="str">
        <f t="shared" si="1914"/>
        <v/>
      </c>
      <c r="AX1189" s="418" t="str">
        <f t="shared" si="1915"/>
        <v/>
      </c>
      <c r="AY1189" s="418" t="str">
        <f t="shared" si="1916"/>
        <v/>
      </c>
      <c r="AZ1189" s="418" t="str">
        <f t="shared" si="1917"/>
        <v/>
      </c>
      <c r="BA1189" s="418" t="str">
        <f t="shared" si="1918"/>
        <v/>
      </c>
      <c r="BB1189" s="418" t="str">
        <f t="shared" si="1919"/>
        <v/>
      </c>
      <c r="BC1189" s="418" t="str">
        <f t="shared" si="1920"/>
        <v/>
      </c>
      <c r="BD1189" s="418" t="str">
        <f t="shared" si="1921"/>
        <v/>
      </c>
      <c r="BE1189" s="418" t="str">
        <f t="shared" si="1922"/>
        <v/>
      </c>
      <c r="BF1189" s="418" t="str">
        <f t="shared" si="1923"/>
        <v/>
      </c>
      <c r="BG1189" s="418" t="str">
        <f t="shared" si="1924"/>
        <v/>
      </c>
      <c r="BH1189" s="418" t="str">
        <f t="shared" si="1925"/>
        <v/>
      </c>
      <c r="BI1189" s="418" t="str">
        <f t="shared" si="1926"/>
        <v/>
      </c>
      <c r="BJ1189" s="418" t="str">
        <f t="shared" si="1927"/>
        <v/>
      </c>
      <c r="BK1189" s="418" t="str">
        <f t="shared" si="1928"/>
        <v/>
      </c>
      <c r="BL1189" s="418" t="str">
        <f t="shared" si="1929"/>
        <v/>
      </c>
      <c r="BM1189" s="418" t="str">
        <f t="shared" si="1930"/>
        <v/>
      </c>
      <c r="BN1189" s="418" t="str">
        <f t="shared" si="1931"/>
        <v/>
      </c>
      <c r="BO1189" s="418" t="str">
        <f t="shared" si="1932"/>
        <v/>
      </c>
      <c r="BP1189" s="418" t="str">
        <f t="shared" si="1933"/>
        <v/>
      </c>
      <c r="BQ1189" s="418" t="str">
        <f t="shared" si="1871"/>
        <v/>
      </c>
      <c r="BR1189" s="418" t="str">
        <f t="shared" si="1872"/>
        <v/>
      </c>
      <c r="BS1189" s="418" t="str">
        <f t="shared" si="1873"/>
        <v/>
      </c>
      <c r="BT1189" s="418" t="str">
        <f t="shared" si="1934"/>
        <v/>
      </c>
      <c r="BU1189" s="418" t="str">
        <f t="shared" si="1935"/>
        <v/>
      </c>
      <c r="BV1189" s="624">
        <v>0.83</v>
      </c>
      <c r="BW1189" s="723">
        <f t="shared" si="1936"/>
        <v>3326.64</v>
      </c>
      <c r="BX1189" s="724">
        <f t="shared" si="1937"/>
        <v>25781.46</v>
      </c>
      <c r="BY1189" s="725" t="str">
        <f t="shared" si="1938"/>
        <v>SR</v>
      </c>
    </row>
    <row r="1190" s="697" customFormat="1" customHeight="1" spans="1:77">
      <c r="A1190" s="362">
        <v>46225</v>
      </c>
      <c r="B1190" s="362">
        <v>46349</v>
      </c>
      <c r="C1190" s="431" t="s">
        <v>1054</v>
      </c>
      <c r="D1190" s="431" t="s">
        <v>1055</v>
      </c>
      <c r="E1190" s="431" t="s">
        <v>83</v>
      </c>
      <c r="F1190" s="468">
        <v>5004</v>
      </c>
      <c r="G1190" s="431" t="s">
        <v>270</v>
      </c>
      <c r="H1190" s="118" t="str">
        <f>IFERROR(VLOOKUP(E1190,名称!A:E,4,0),"")</f>
        <v>三代</v>
      </c>
      <c r="I1190" s="418" t="str">
        <f t="shared" si="1874"/>
        <v/>
      </c>
      <c r="J1190" s="418" t="str">
        <f t="shared" si="1875"/>
        <v/>
      </c>
      <c r="K1190" s="418" t="str">
        <f t="shared" si="1876"/>
        <v/>
      </c>
      <c r="L1190" s="418" t="str">
        <f t="shared" si="1877"/>
        <v/>
      </c>
      <c r="M1190" s="418" t="str">
        <f t="shared" si="1878"/>
        <v/>
      </c>
      <c r="N1190" s="418" t="str">
        <f t="shared" si="1879"/>
        <v/>
      </c>
      <c r="O1190" s="418" t="str">
        <f t="shared" si="1880"/>
        <v/>
      </c>
      <c r="P1190" s="418" t="str">
        <f t="shared" si="1881"/>
        <v/>
      </c>
      <c r="Q1190" s="418" t="str">
        <f t="shared" si="1882"/>
        <v/>
      </c>
      <c r="R1190" s="418" t="str">
        <f t="shared" si="1883"/>
        <v/>
      </c>
      <c r="S1190" s="418" t="str">
        <f t="shared" si="1884"/>
        <v/>
      </c>
      <c r="T1190" s="418" t="str">
        <f t="shared" si="1885"/>
        <v/>
      </c>
      <c r="U1190" s="418" t="str">
        <f t="shared" si="1886"/>
        <v/>
      </c>
      <c r="V1190" s="418" t="str">
        <f t="shared" si="1887"/>
        <v/>
      </c>
      <c r="W1190" s="418" t="str">
        <f t="shared" si="1888"/>
        <v/>
      </c>
      <c r="X1190" s="418" t="str">
        <f t="shared" si="1889"/>
        <v/>
      </c>
      <c r="Y1190" s="418" t="str">
        <f t="shared" si="1890"/>
        <v/>
      </c>
      <c r="Z1190" s="418" t="str">
        <f t="shared" si="1891"/>
        <v/>
      </c>
      <c r="AA1190" s="418" t="str">
        <f t="shared" si="1892"/>
        <v/>
      </c>
      <c r="AB1190" s="418" t="str">
        <f t="shared" si="1893"/>
        <v/>
      </c>
      <c r="AC1190" s="418" t="str">
        <f t="shared" si="1894"/>
        <v/>
      </c>
      <c r="AD1190" s="418" t="str">
        <f t="shared" si="1895"/>
        <v/>
      </c>
      <c r="AE1190" s="418" t="str">
        <f t="shared" si="1896"/>
        <v/>
      </c>
      <c r="AF1190" s="418" t="str">
        <f t="shared" si="1897"/>
        <v/>
      </c>
      <c r="AG1190" s="418" t="str">
        <f t="shared" si="1898"/>
        <v/>
      </c>
      <c r="AH1190" s="418" t="str">
        <f t="shared" si="1899"/>
        <v/>
      </c>
      <c r="AI1190" s="418" t="str">
        <f t="shared" si="1900"/>
        <v/>
      </c>
      <c r="AJ1190" s="418" t="str">
        <f t="shared" si="1901"/>
        <v/>
      </c>
      <c r="AK1190" s="418" t="str">
        <f t="shared" si="1902"/>
        <v/>
      </c>
      <c r="AL1190" s="418" t="str">
        <f t="shared" si="1903"/>
        <v/>
      </c>
      <c r="AM1190" s="418" t="str">
        <f t="shared" si="1904"/>
        <v/>
      </c>
      <c r="AN1190" s="418">
        <f t="shared" si="1905"/>
        <v>5004</v>
      </c>
      <c r="AO1190" s="418" t="str">
        <f t="shared" si="1906"/>
        <v/>
      </c>
      <c r="AP1190" s="418" t="str">
        <f t="shared" si="1907"/>
        <v/>
      </c>
      <c r="AQ1190" s="418" t="str">
        <f t="shared" si="1908"/>
        <v/>
      </c>
      <c r="AR1190" s="418" t="str">
        <f t="shared" si="1909"/>
        <v/>
      </c>
      <c r="AS1190" s="418" t="str">
        <f t="shared" si="1910"/>
        <v/>
      </c>
      <c r="AT1190" s="418" t="str">
        <f t="shared" si="1911"/>
        <v/>
      </c>
      <c r="AU1190" s="418" t="str">
        <f t="shared" si="1912"/>
        <v/>
      </c>
      <c r="AV1190" s="418" t="str">
        <f t="shared" si="1913"/>
        <v/>
      </c>
      <c r="AW1190" s="418" t="str">
        <f t="shared" si="1914"/>
        <v/>
      </c>
      <c r="AX1190" s="418" t="str">
        <f t="shared" si="1915"/>
        <v/>
      </c>
      <c r="AY1190" s="418" t="str">
        <f t="shared" si="1916"/>
        <v/>
      </c>
      <c r="AZ1190" s="418" t="str">
        <f t="shared" si="1917"/>
        <v/>
      </c>
      <c r="BA1190" s="418" t="str">
        <f t="shared" si="1918"/>
        <v/>
      </c>
      <c r="BB1190" s="418" t="str">
        <f t="shared" si="1919"/>
        <v/>
      </c>
      <c r="BC1190" s="418" t="str">
        <f t="shared" si="1920"/>
        <v/>
      </c>
      <c r="BD1190" s="418" t="str">
        <f t="shared" si="1921"/>
        <v/>
      </c>
      <c r="BE1190" s="418" t="str">
        <f t="shared" si="1922"/>
        <v/>
      </c>
      <c r="BF1190" s="418" t="str">
        <f t="shared" si="1923"/>
        <v/>
      </c>
      <c r="BG1190" s="418" t="str">
        <f t="shared" si="1924"/>
        <v/>
      </c>
      <c r="BH1190" s="418" t="str">
        <f t="shared" si="1925"/>
        <v/>
      </c>
      <c r="BI1190" s="418" t="str">
        <f t="shared" si="1926"/>
        <v/>
      </c>
      <c r="BJ1190" s="418" t="str">
        <f t="shared" si="1927"/>
        <v/>
      </c>
      <c r="BK1190" s="418" t="str">
        <f t="shared" si="1928"/>
        <v/>
      </c>
      <c r="BL1190" s="418" t="str">
        <f t="shared" si="1929"/>
        <v/>
      </c>
      <c r="BM1190" s="418" t="str">
        <f t="shared" si="1930"/>
        <v/>
      </c>
      <c r="BN1190" s="418" t="str">
        <f t="shared" si="1931"/>
        <v/>
      </c>
      <c r="BO1190" s="418" t="str">
        <f t="shared" si="1932"/>
        <v/>
      </c>
      <c r="BP1190" s="418" t="str">
        <f t="shared" si="1933"/>
        <v/>
      </c>
      <c r="BQ1190" s="418" t="str">
        <f t="shared" si="1871"/>
        <v/>
      </c>
      <c r="BR1190" s="418" t="str">
        <f t="shared" si="1872"/>
        <v/>
      </c>
      <c r="BS1190" s="418" t="str">
        <f t="shared" si="1873"/>
        <v/>
      </c>
      <c r="BT1190" s="418" t="str">
        <f t="shared" si="1934"/>
        <v/>
      </c>
      <c r="BU1190" s="418" t="str">
        <f t="shared" si="1935"/>
        <v/>
      </c>
      <c r="BV1190" s="624">
        <v>0.83</v>
      </c>
      <c r="BW1190" s="723">
        <f t="shared" si="1936"/>
        <v>4153.32</v>
      </c>
      <c r="BX1190" s="724">
        <f t="shared" si="1937"/>
        <v>32188.23</v>
      </c>
      <c r="BY1190" s="725" t="str">
        <f t="shared" si="1938"/>
        <v>SR</v>
      </c>
    </row>
    <row r="1191" s="697" customFormat="1" customHeight="1" spans="1:77">
      <c r="A1191" s="362">
        <v>46225</v>
      </c>
      <c r="B1191" s="362">
        <v>46283</v>
      </c>
      <c r="C1191" s="431" t="s">
        <v>1056</v>
      </c>
      <c r="D1191" s="431" t="s">
        <v>1057</v>
      </c>
      <c r="E1191" s="431" t="s">
        <v>99</v>
      </c>
      <c r="F1191" s="96">
        <v>31104</v>
      </c>
      <c r="G1191" s="431" t="s">
        <v>334</v>
      </c>
      <c r="H1191" s="118" t="str">
        <f>IFERROR(VLOOKUP(E1191,名称!A:E,4,0),"")</f>
        <v>三代</v>
      </c>
      <c r="I1191" s="418" t="str">
        <f t="shared" si="1874"/>
        <v/>
      </c>
      <c r="J1191" s="418" t="str">
        <f t="shared" si="1875"/>
        <v/>
      </c>
      <c r="K1191" s="418" t="str">
        <f t="shared" si="1876"/>
        <v/>
      </c>
      <c r="L1191" s="418" t="str">
        <f t="shared" si="1877"/>
        <v/>
      </c>
      <c r="M1191" s="418" t="str">
        <f t="shared" si="1878"/>
        <v/>
      </c>
      <c r="N1191" s="418" t="str">
        <f t="shared" si="1879"/>
        <v/>
      </c>
      <c r="O1191" s="418" t="str">
        <f t="shared" si="1880"/>
        <v/>
      </c>
      <c r="P1191" s="418" t="str">
        <f t="shared" si="1881"/>
        <v/>
      </c>
      <c r="Q1191" s="418" t="str">
        <f t="shared" si="1882"/>
        <v/>
      </c>
      <c r="R1191" s="418" t="str">
        <f t="shared" si="1883"/>
        <v/>
      </c>
      <c r="S1191" s="418" t="str">
        <f t="shared" si="1884"/>
        <v/>
      </c>
      <c r="T1191" s="418" t="str">
        <f t="shared" si="1885"/>
        <v/>
      </c>
      <c r="U1191" s="418" t="str">
        <f t="shared" si="1886"/>
        <v/>
      </c>
      <c r="V1191" s="418" t="str">
        <f t="shared" si="1887"/>
        <v/>
      </c>
      <c r="W1191" s="418" t="str">
        <f t="shared" si="1888"/>
        <v/>
      </c>
      <c r="X1191" s="418" t="str">
        <f t="shared" si="1889"/>
        <v/>
      </c>
      <c r="Y1191" s="418" t="str">
        <f t="shared" si="1890"/>
        <v/>
      </c>
      <c r="Z1191" s="418" t="str">
        <f t="shared" si="1891"/>
        <v/>
      </c>
      <c r="AA1191" s="418" t="str">
        <f t="shared" si="1892"/>
        <v/>
      </c>
      <c r="AB1191" s="418" t="str">
        <f t="shared" si="1893"/>
        <v/>
      </c>
      <c r="AC1191" s="418">
        <f t="shared" si="1894"/>
        <v>31104</v>
      </c>
      <c r="AD1191" s="418" t="str">
        <f t="shared" si="1895"/>
        <v/>
      </c>
      <c r="AE1191" s="418" t="str">
        <f t="shared" si="1896"/>
        <v/>
      </c>
      <c r="AF1191" s="418" t="str">
        <f t="shared" si="1897"/>
        <v/>
      </c>
      <c r="AG1191" s="418" t="str">
        <f t="shared" si="1898"/>
        <v/>
      </c>
      <c r="AH1191" s="418" t="str">
        <f t="shared" si="1899"/>
        <v/>
      </c>
      <c r="AI1191" s="418" t="str">
        <f t="shared" si="1900"/>
        <v/>
      </c>
      <c r="AJ1191" s="418" t="str">
        <f t="shared" si="1901"/>
        <v/>
      </c>
      <c r="AK1191" s="418" t="str">
        <f t="shared" si="1902"/>
        <v/>
      </c>
      <c r="AL1191" s="418" t="str">
        <f t="shared" si="1903"/>
        <v/>
      </c>
      <c r="AM1191" s="418" t="str">
        <f t="shared" si="1904"/>
        <v/>
      </c>
      <c r="AN1191" s="418" t="str">
        <f t="shared" si="1905"/>
        <v/>
      </c>
      <c r="AO1191" s="418" t="str">
        <f t="shared" si="1906"/>
        <v/>
      </c>
      <c r="AP1191" s="418" t="str">
        <f t="shared" si="1907"/>
        <v/>
      </c>
      <c r="AQ1191" s="418" t="str">
        <f t="shared" si="1908"/>
        <v/>
      </c>
      <c r="AR1191" s="418" t="str">
        <f t="shared" si="1909"/>
        <v/>
      </c>
      <c r="AS1191" s="418" t="str">
        <f t="shared" si="1910"/>
        <v/>
      </c>
      <c r="AT1191" s="418" t="str">
        <f t="shared" si="1911"/>
        <v/>
      </c>
      <c r="AU1191" s="418" t="str">
        <f t="shared" si="1912"/>
        <v/>
      </c>
      <c r="AV1191" s="418" t="str">
        <f t="shared" si="1913"/>
        <v/>
      </c>
      <c r="AW1191" s="418" t="str">
        <f t="shared" si="1914"/>
        <v/>
      </c>
      <c r="AX1191" s="418" t="str">
        <f t="shared" si="1915"/>
        <v/>
      </c>
      <c r="AY1191" s="418" t="str">
        <f t="shared" si="1916"/>
        <v/>
      </c>
      <c r="AZ1191" s="418" t="str">
        <f t="shared" si="1917"/>
        <v/>
      </c>
      <c r="BA1191" s="418" t="str">
        <f t="shared" si="1918"/>
        <v/>
      </c>
      <c r="BB1191" s="418" t="str">
        <f t="shared" si="1919"/>
        <v/>
      </c>
      <c r="BC1191" s="418" t="str">
        <f t="shared" si="1920"/>
        <v/>
      </c>
      <c r="BD1191" s="418" t="str">
        <f t="shared" si="1921"/>
        <v/>
      </c>
      <c r="BE1191" s="418" t="str">
        <f t="shared" si="1922"/>
        <v/>
      </c>
      <c r="BF1191" s="418" t="str">
        <f t="shared" si="1923"/>
        <v/>
      </c>
      <c r="BG1191" s="418" t="str">
        <f t="shared" si="1924"/>
        <v/>
      </c>
      <c r="BH1191" s="418" t="str">
        <f t="shared" si="1925"/>
        <v/>
      </c>
      <c r="BI1191" s="418" t="str">
        <f t="shared" si="1926"/>
        <v/>
      </c>
      <c r="BJ1191" s="418" t="str">
        <f t="shared" si="1927"/>
        <v/>
      </c>
      <c r="BK1191" s="418" t="str">
        <f t="shared" si="1928"/>
        <v/>
      </c>
      <c r="BL1191" s="418" t="str">
        <f t="shared" si="1929"/>
        <v/>
      </c>
      <c r="BM1191" s="418" t="str">
        <f t="shared" si="1930"/>
        <v/>
      </c>
      <c r="BN1191" s="418" t="str">
        <f t="shared" si="1931"/>
        <v/>
      </c>
      <c r="BO1191" s="418" t="str">
        <f t="shared" si="1932"/>
        <v/>
      </c>
      <c r="BP1191" s="418" t="str">
        <f t="shared" si="1933"/>
        <v/>
      </c>
      <c r="BQ1191" s="418" t="str">
        <f t="shared" si="1871"/>
        <v/>
      </c>
      <c r="BR1191" s="418" t="str">
        <f t="shared" si="1872"/>
        <v/>
      </c>
      <c r="BS1191" s="418" t="str">
        <f t="shared" si="1873"/>
        <v/>
      </c>
      <c r="BT1191" s="418" t="str">
        <f t="shared" si="1934"/>
        <v/>
      </c>
      <c r="BU1191" s="418" t="str">
        <f t="shared" si="1935"/>
        <v/>
      </c>
      <c r="BV1191" s="624">
        <v>0.87</v>
      </c>
      <c r="BW1191" s="723">
        <f t="shared" si="1936"/>
        <v>27060.48</v>
      </c>
      <c r="BX1191" s="724">
        <f t="shared" si="1937"/>
        <v>209718.72</v>
      </c>
      <c r="BY1191" s="725" t="str">
        <f t="shared" si="1938"/>
        <v>SR</v>
      </c>
    </row>
    <row r="1192" s="697" customFormat="1" customHeight="1" spans="1:77">
      <c r="A1192" s="362">
        <v>46225</v>
      </c>
      <c r="B1192" s="362">
        <v>46283</v>
      </c>
      <c r="C1192" s="431" t="s">
        <v>1056</v>
      </c>
      <c r="D1192" s="431" t="s">
        <v>1057</v>
      </c>
      <c r="E1192" s="431" t="s">
        <v>82</v>
      </c>
      <c r="F1192" s="96">
        <v>9504</v>
      </c>
      <c r="G1192" s="431" t="s">
        <v>334</v>
      </c>
      <c r="H1192" s="118" t="str">
        <f>IFERROR(VLOOKUP(E1192,名称!A:E,4,0),"")</f>
        <v>二代</v>
      </c>
      <c r="I1192" s="418" t="str">
        <f t="shared" si="1874"/>
        <v/>
      </c>
      <c r="J1192" s="418" t="str">
        <f t="shared" si="1875"/>
        <v/>
      </c>
      <c r="K1192" s="418" t="str">
        <f t="shared" si="1876"/>
        <v/>
      </c>
      <c r="L1192" s="418" t="str">
        <f t="shared" si="1877"/>
        <v/>
      </c>
      <c r="M1192" s="418" t="str">
        <f t="shared" si="1878"/>
        <v/>
      </c>
      <c r="N1192" s="418" t="str">
        <f t="shared" si="1879"/>
        <v/>
      </c>
      <c r="O1192" s="418" t="str">
        <f t="shared" si="1880"/>
        <v/>
      </c>
      <c r="P1192" s="418" t="str">
        <f t="shared" si="1881"/>
        <v/>
      </c>
      <c r="Q1192" s="418" t="str">
        <f t="shared" si="1882"/>
        <v/>
      </c>
      <c r="R1192" s="418" t="str">
        <f t="shared" si="1883"/>
        <v/>
      </c>
      <c r="S1192" s="418" t="str">
        <f t="shared" si="1884"/>
        <v/>
      </c>
      <c r="T1192" s="418" t="str">
        <f t="shared" si="1885"/>
        <v/>
      </c>
      <c r="U1192" s="418" t="str">
        <f t="shared" si="1886"/>
        <v/>
      </c>
      <c r="V1192" s="418" t="str">
        <f t="shared" si="1887"/>
        <v/>
      </c>
      <c r="W1192" s="418" t="str">
        <f t="shared" si="1888"/>
        <v/>
      </c>
      <c r="X1192" s="418" t="str">
        <f t="shared" si="1889"/>
        <v/>
      </c>
      <c r="Y1192" s="418" t="str">
        <f t="shared" si="1890"/>
        <v/>
      </c>
      <c r="Z1192" s="418">
        <f t="shared" si="1891"/>
        <v>9504</v>
      </c>
      <c r="AA1192" s="418" t="str">
        <f t="shared" si="1892"/>
        <v/>
      </c>
      <c r="AB1192" s="418" t="str">
        <f t="shared" si="1893"/>
        <v/>
      </c>
      <c r="AC1192" s="418" t="str">
        <f t="shared" si="1894"/>
        <v/>
      </c>
      <c r="AD1192" s="418" t="str">
        <f t="shared" si="1895"/>
        <v/>
      </c>
      <c r="AE1192" s="418" t="str">
        <f t="shared" si="1896"/>
        <v/>
      </c>
      <c r="AF1192" s="418" t="str">
        <f t="shared" si="1897"/>
        <v/>
      </c>
      <c r="AG1192" s="418" t="str">
        <f t="shared" si="1898"/>
        <v/>
      </c>
      <c r="AH1192" s="418" t="str">
        <f t="shared" si="1899"/>
        <v/>
      </c>
      <c r="AI1192" s="418" t="str">
        <f t="shared" si="1900"/>
        <v/>
      </c>
      <c r="AJ1192" s="418" t="str">
        <f t="shared" si="1901"/>
        <v/>
      </c>
      <c r="AK1192" s="418" t="str">
        <f t="shared" si="1902"/>
        <v/>
      </c>
      <c r="AL1192" s="418" t="str">
        <f t="shared" si="1903"/>
        <v/>
      </c>
      <c r="AM1192" s="418" t="str">
        <f t="shared" si="1904"/>
        <v/>
      </c>
      <c r="AN1192" s="418" t="str">
        <f t="shared" si="1905"/>
        <v/>
      </c>
      <c r="AO1192" s="418" t="str">
        <f t="shared" si="1906"/>
        <v/>
      </c>
      <c r="AP1192" s="418" t="str">
        <f t="shared" si="1907"/>
        <v/>
      </c>
      <c r="AQ1192" s="418" t="str">
        <f t="shared" si="1908"/>
        <v/>
      </c>
      <c r="AR1192" s="418" t="str">
        <f t="shared" si="1909"/>
        <v/>
      </c>
      <c r="AS1192" s="418" t="str">
        <f t="shared" si="1910"/>
        <v/>
      </c>
      <c r="AT1192" s="418" t="str">
        <f t="shared" si="1911"/>
        <v/>
      </c>
      <c r="AU1192" s="418" t="str">
        <f t="shared" si="1912"/>
        <v/>
      </c>
      <c r="AV1192" s="418" t="str">
        <f t="shared" si="1913"/>
        <v/>
      </c>
      <c r="AW1192" s="418" t="str">
        <f t="shared" si="1914"/>
        <v/>
      </c>
      <c r="AX1192" s="418" t="str">
        <f t="shared" si="1915"/>
        <v/>
      </c>
      <c r="AY1192" s="418" t="str">
        <f t="shared" si="1916"/>
        <v/>
      </c>
      <c r="AZ1192" s="418" t="str">
        <f t="shared" si="1917"/>
        <v/>
      </c>
      <c r="BA1192" s="418" t="str">
        <f t="shared" si="1918"/>
        <v/>
      </c>
      <c r="BB1192" s="418" t="str">
        <f t="shared" si="1919"/>
        <v/>
      </c>
      <c r="BC1192" s="418" t="str">
        <f t="shared" si="1920"/>
        <v/>
      </c>
      <c r="BD1192" s="418" t="str">
        <f t="shared" si="1921"/>
        <v/>
      </c>
      <c r="BE1192" s="418" t="str">
        <f t="shared" si="1922"/>
        <v/>
      </c>
      <c r="BF1192" s="418" t="str">
        <f t="shared" si="1923"/>
        <v/>
      </c>
      <c r="BG1192" s="418" t="str">
        <f t="shared" si="1924"/>
        <v/>
      </c>
      <c r="BH1192" s="418" t="str">
        <f t="shared" si="1925"/>
        <v/>
      </c>
      <c r="BI1192" s="418" t="str">
        <f t="shared" si="1926"/>
        <v/>
      </c>
      <c r="BJ1192" s="418" t="str">
        <f t="shared" si="1927"/>
        <v/>
      </c>
      <c r="BK1192" s="418" t="str">
        <f t="shared" si="1928"/>
        <v/>
      </c>
      <c r="BL1192" s="418" t="str">
        <f t="shared" si="1929"/>
        <v/>
      </c>
      <c r="BM1192" s="418" t="str">
        <f t="shared" si="1930"/>
        <v/>
      </c>
      <c r="BN1192" s="418" t="str">
        <f t="shared" si="1931"/>
        <v/>
      </c>
      <c r="BO1192" s="418" t="str">
        <f t="shared" si="1932"/>
        <v/>
      </c>
      <c r="BP1192" s="418" t="str">
        <f t="shared" si="1933"/>
        <v/>
      </c>
      <c r="BQ1192" s="418" t="str">
        <f t="shared" si="1871"/>
        <v/>
      </c>
      <c r="BR1192" s="418" t="str">
        <f t="shared" si="1872"/>
        <v/>
      </c>
      <c r="BS1192" s="418" t="str">
        <f t="shared" si="1873"/>
        <v/>
      </c>
      <c r="BT1192" s="418" t="str">
        <f t="shared" si="1934"/>
        <v/>
      </c>
      <c r="BU1192" s="418" t="str">
        <f t="shared" si="1935"/>
        <v/>
      </c>
      <c r="BV1192" s="624">
        <v>1.49</v>
      </c>
      <c r="BW1192" s="723">
        <f t="shared" si="1936"/>
        <v>14160.96</v>
      </c>
      <c r="BX1192" s="724">
        <f t="shared" si="1937"/>
        <v>109747.44</v>
      </c>
      <c r="BY1192" s="725" t="str">
        <f t="shared" si="1938"/>
        <v>SR</v>
      </c>
    </row>
    <row r="1193" s="697" customFormat="1" customHeight="1" spans="1:77">
      <c r="A1193" s="362">
        <v>46225</v>
      </c>
      <c r="B1193" s="362">
        <v>46283</v>
      </c>
      <c r="C1193" s="431" t="s">
        <v>1056</v>
      </c>
      <c r="D1193" s="431" t="s">
        <v>1057</v>
      </c>
      <c r="E1193" s="431" t="s">
        <v>84</v>
      </c>
      <c r="F1193" s="96">
        <v>36000</v>
      </c>
      <c r="G1193" s="431" t="s">
        <v>334</v>
      </c>
      <c r="H1193" s="118" t="str">
        <f>IFERROR(VLOOKUP(E1193,名称!A:E,4,0),"")</f>
        <v>三代</v>
      </c>
      <c r="I1193" s="418" t="str">
        <f t="shared" si="1874"/>
        <v/>
      </c>
      <c r="J1193" s="418" t="str">
        <f t="shared" si="1875"/>
        <v/>
      </c>
      <c r="K1193" s="418" t="str">
        <f t="shared" si="1876"/>
        <v/>
      </c>
      <c r="L1193" s="418" t="str">
        <f t="shared" si="1877"/>
        <v/>
      </c>
      <c r="M1193" s="418" t="str">
        <f t="shared" si="1878"/>
        <v/>
      </c>
      <c r="N1193" s="418" t="str">
        <f t="shared" si="1879"/>
        <v/>
      </c>
      <c r="O1193" s="418" t="str">
        <f t="shared" si="1880"/>
        <v/>
      </c>
      <c r="P1193" s="418" t="str">
        <f t="shared" si="1881"/>
        <v/>
      </c>
      <c r="Q1193" s="418" t="str">
        <f t="shared" si="1882"/>
        <v/>
      </c>
      <c r="R1193" s="418" t="str">
        <f t="shared" si="1883"/>
        <v/>
      </c>
      <c r="S1193" s="418" t="str">
        <f t="shared" si="1884"/>
        <v/>
      </c>
      <c r="T1193" s="418" t="str">
        <f t="shared" si="1885"/>
        <v/>
      </c>
      <c r="U1193" s="418" t="str">
        <f t="shared" si="1886"/>
        <v/>
      </c>
      <c r="V1193" s="418" t="str">
        <f t="shared" si="1887"/>
        <v/>
      </c>
      <c r="W1193" s="418" t="str">
        <f t="shared" si="1888"/>
        <v/>
      </c>
      <c r="X1193" s="418" t="str">
        <f t="shared" si="1889"/>
        <v/>
      </c>
      <c r="Y1193" s="418" t="str">
        <f t="shared" si="1890"/>
        <v/>
      </c>
      <c r="Z1193" s="418" t="str">
        <f t="shared" si="1891"/>
        <v/>
      </c>
      <c r="AA1193" s="418" t="str">
        <f t="shared" si="1892"/>
        <v/>
      </c>
      <c r="AB1193" s="418" t="str">
        <f t="shared" si="1893"/>
        <v/>
      </c>
      <c r="AC1193" s="418" t="str">
        <f t="shared" si="1894"/>
        <v/>
      </c>
      <c r="AD1193" s="418" t="str">
        <f t="shared" si="1895"/>
        <v/>
      </c>
      <c r="AE1193" s="418" t="str">
        <f t="shared" si="1896"/>
        <v/>
      </c>
      <c r="AF1193" s="418" t="str">
        <f t="shared" si="1897"/>
        <v/>
      </c>
      <c r="AG1193" s="418" t="str">
        <f t="shared" si="1898"/>
        <v/>
      </c>
      <c r="AH1193" s="418" t="str">
        <f t="shared" si="1899"/>
        <v/>
      </c>
      <c r="AI1193" s="418" t="str">
        <f t="shared" si="1900"/>
        <v/>
      </c>
      <c r="AJ1193" s="418" t="str">
        <f t="shared" si="1901"/>
        <v/>
      </c>
      <c r="AK1193" s="418" t="str">
        <f t="shared" si="1902"/>
        <v/>
      </c>
      <c r="AL1193" s="418" t="str">
        <f t="shared" si="1903"/>
        <v/>
      </c>
      <c r="AM1193" s="418" t="str">
        <f t="shared" si="1904"/>
        <v/>
      </c>
      <c r="AN1193" s="418">
        <f t="shared" si="1905"/>
        <v>36000</v>
      </c>
      <c r="AO1193" s="418" t="str">
        <f t="shared" si="1906"/>
        <v/>
      </c>
      <c r="AP1193" s="418" t="str">
        <f t="shared" si="1907"/>
        <v/>
      </c>
      <c r="AQ1193" s="418" t="str">
        <f t="shared" si="1908"/>
        <v/>
      </c>
      <c r="AR1193" s="418" t="str">
        <f t="shared" si="1909"/>
        <v/>
      </c>
      <c r="AS1193" s="418" t="str">
        <f t="shared" si="1910"/>
        <v/>
      </c>
      <c r="AT1193" s="418" t="str">
        <f t="shared" si="1911"/>
        <v/>
      </c>
      <c r="AU1193" s="418" t="str">
        <f t="shared" si="1912"/>
        <v/>
      </c>
      <c r="AV1193" s="418" t="str">
        <f t="shared" si="1913"/>
        <v/>
      </c>
      <c r="AW1193" s="418" t="str">
        <f t="shared" si="1914"/>
        <v/>
      </c>
      <c r="AX1193" s="418" t="str">
        <f t="shared" si="1915"/>
        <v/>
      </c>
      <c r="AY1193" s="418" t="str">
        <f t="shared" si="1916"/>
        <v/>
      </c>
      <c r="AZ1193" s="418" t="str">
        <f t="shared" si="1917"/>
        <v/>
      </c>
      <c r="BA1193" s="418" t="str">
        <f t="shared" si="1918"/>
        <v/>
      </c>
      <c r="BB1193" s="418" t="str">
        <f t="shared" si="1919"/>
        <v/>
      </c>
      <c r="BC1193" s="418" t="str">
        <f t="shared" si="1920"/>
        <v/>
      </c>
      <c r="BD1193" s="418" t="str">
        <f t="shared" si="1921"/>
        <v/>
      </c>
      <c r="BE1193" s="418" t="str">
        <f t="shared" si="1922"/>
        <v/>
      </c>
      <c r="BF1193" s="418" t="str">
        <f t="shared" si="1923"/>
        <v/>
      </c>
      <c r="BG1193" s="418" t="str">
        <f t="shared" si="1924"/>
        <v/>
      </c>
      <c r="BH1193" s="418" t="str">
        <f t="shared" si="1925"/>
        <v/>
      </c>
      <c r="BI1193" s="418" t="str">
        <f t="shared" si="1926"/>
        <v/>
      </c>
      <c r="BJ1193" s="418" t="str">
        <f t="shared" si="1927"/>
        <v/>
      </c>
      <c r="BK1193" s="418" t="str">
        <f t="shared" si="1928"/>
        <v/>
      </c>
      <c r="BL1193" s="418" t="str">
        <f t="shared" si="1929"/>
        <v/>
      </c>
      <c r="BM1193" s="418" t="str">
        <f t="shared" si="1930"/>
        <v/>
      </c>
      <c r="BN1193" s="418" t="str">
        <f t="shared" si="1931"/>
        <v/>
      </c>
      <c r="BO1193" s="418" t="str">
        <f t="shared" si="1932"/>
        <v/>
      </c>
      <c r="BP1193" s="418" t="str">
        <f t="shared" si="1933"/>
        <v/>
      </c>
      <c r="BQ1193" s="418" t="str">
        <f t="shared" si="1871"/>
        <v/>
      </c>
      <c r="BR1193" s="418" t="str">
        <f t="shared" si="1872"/>
        <v/>
      </c>
      <c r="BS1193" s="418" t="str">
        <f t="shared" si="1873"/>
        <v/>
      </c>
      <c r="BT1193" s="418" t="str">
        <f t="shared" si="1934"/>
        <v/>
      </c>
      <c r="BU1193" s="418" t="str">
        <f t="shared" si="1935"/>
        <v/>
      </c>
      <c r="BV1193" s="624">
        <v>0.88</v>
      </c>
      <c r="BW1193" s="723">
        <f t="shared" si="1936"/>
        <v>31680</v>
      </c>
      <c r="BX1193" s="724">
        <f t="shared" si="1937"/>
        <v>245520</v>
      </c>
      <c r="BY1193" s="725" t="str">
        <f t="shared" si="1938"/>
        <v>SR</v>
      </c>
    </row>
    <row r="1194" s="697" customFormat="1" customHeight="1" spans="1:77">
      <c r="A1194" s="362">
        <v>46225</v>
      </c>
      <c r="B1194" s="362">
        <v>46283</v>
      </c>
      <c r="C1194" s="431" t="s">
        <v>1056</v>
      </c>
      <c r="D1194" s="431" t="s">
        <v>1057</v>
      </c>
      <c r="E1194" s="431" t="s">
        <v>119</v>
      </c>
      <c r="F1194" s="96">
        <v>24192</v>
      </c>
      <c r="G1194" s="431" t="s">
        <v>334</v>
      </c>
      <c r="H1194" s="118" t="str">
        <f>IFERROR(VLOOKUP(E1194,名称!A:E,4,0),"")</f>
        <v>三代</v>
      </c>
      <c r="I1194" s="418" t="str">
        <f t="shared" si="1874"/>
        <v/>
      </c>
      <c r="J1194" s="418" t="str">
        <f t="shared" si="1875"/>
        <v/>
      </c>
      <c r="K1194" s="418" t="str">
        <f t="shared" si="1876"/>
        <v/>
      </c>
      <c r="L1194" s="418" t="str">
        <f t="shared" si="1877"/>
        <v/>
      </c>
      <c r="M1194" s="418" t="str">
        <f t="shared" si="1878"/>
        <v/>
      </c>
      <c r="N1194" s="418" t="str">
        <f t="shared" si="1879"/>
        <v/>
      </c>
      <c r="O1194" s="418" t="str">
        <f t="shared" si="1880"/>
        <v/>
      </c>
      <c r="P1194" s="418" t="str">
        <f t="shared" si="1881"/>
        <v/>
      </c>
      <c r="Q1194" s="418" t="str">
        <f t="shared" si="1882"/>
        <v/>
      </c>
      <c r="R1194" s="418" t="str">
        <f t="shared" si="1883"/>
        <v/>
      </c>
      <c r="S1194" s="418" t="str">
        <f t="shared" si="1884"/>
        <v/>
      </c>
      <c r="T1194" s="418" t="str">
        <f t="shared" si="1885"/>
        <v/>
      </c>
      <c r="U1194" s="418" t="str">
        <f t="shared" si="1886"/>
        <v/>
      </c>
      <c r="V1194" s="418" t="str">
        <f t="shared" si="1887"/>
        <v/>
      </c>
      <c r="W1194" s="418" t="str">
        <f t="shared" si="1888"/>
        <v/>
      </c>
      <c r="X1194" s="418" t="str">
        <f t="shared" si="1889"/>
        <v/>
      </c>
      <c r="Y1194" s="418" t="str">
        <f t="shared" si="1890"/>
        <v/>
      </c>
      <c r="Z1194" s="418" t="str">
        <f t="shared" si="1891"/>
        <v/>
      </c>
      <c r="AA1194" s="418" t="str">
        <f t="shared" si="1892"/>
        <v/>
      </c>
      <c r="AB1194" s="418" t="str">
        <f t="shared" si="1893"/>
        <v/>
      </c>
      <c r="AC1194" s="418" t="str">
        <f t="shared" si="1894"/>
        <v/>
      </c>
      <c r="AD1194" s="418" t="str">
        <f t="shared" si="1895"/>
        <v/>
      </c>
      <c r="AE1194" s="418" t="str">
        <f t="shared" si="1896"/>
        <v/>
      </c>
      <c r="AF1194" s="418" t="str">
        <f t="shared" si="1897"/>
        <v/>
      </c>
      <c r="AG1194" s="418" t="str">
        <f t="shared" si="1898"/>
        <v/>
      </c>
      <c r="AH1194" s="418" t="str">
        <f t="shared" si="1899"/>
        <v/>
      </c>
      <c r="AI1194" s="418" t="str">
        <f t="shared" si="1900"/>
        <v/>
      </c>
      <c r="AJ1194" s="418" t="str">
        <f t="shared" si="1901"/>
        <v/>
      </c>
      <c r="AK1194" s="418" t="str">
        <f t="shared" si="1902"/>
        <v/>
      </c>
      <c r="AL1194" s="418" t="str">
        <f t="shared" si="1903"/>
        <v/>
      </c>
      <c r="AM1194" s="418" t="str">
        <f t="shared" si="1904"/>
        <v/>
      </c>
      <c r="AN1194" s="418" t="str">
        <f t="shared" si="1905"/>
        <v/>
      </c>
      <c r="AO1194" s="418" t="str">
        <f t="shared" si="1906"/>
        <v/>
      </c>
      <c r="AP1194" s="418">
        <f t="shared" si="1907"/>
        <v>24192</v>
      </c>
      <c r="AQ1194" s="418" t="str">
        <f t="shared" si="1908"/>
        <v/>
      </c>
      <c r="AR1194" s="418" t="str">
        <f t="shared" si="1909"/>
        <v/>
      </c>
      <c r="AS1194" s="418" t="str">
        <f t="shared" si="1910"/>
        <v/>
      </c>
      <c r="AT1194" s="418" t="str">
        <f t="shared" si="1911"/>
        <v/>
      </c>
      <c r="AU1194" s="418" t="str">
        <f t="shared" si="1912"/>
        <v/>
      </c>
      <c r="AV1194" s="418" t="str">
        <f t="shared" si="1913"/>
        <v/>
      </c>
      <c r="AW1194" s="418" t="str">
        <f t="shared" si="1914"/>
        <v/>
      </c>
      <c r="AX1194" s="418" t="str">
        <f t="shared" si="1915"/>
        <v/>
      </c>
      <c r="AY1194" s="418" t="str">
        <f t="shared" si="1916"/>
        <v/>
      </c>
      <c r="AZ1194" s="418" t="str">
        <f t="shared" si="1917"/>
        <v/>
      </c>
      <c r="BA1194" s="418" t="str">
        <f t="shared" si="1918"/>
        <v/>
      </c>
      <c r="BB1194" s="418" t="str">
        <f t="shared" si="1919"/>
        <v/>
      </c>
      <c r="BC1194" s="418" t="str">
        <f t="shared" si="1920"/>
        <v/>
      </c>
      <c r="BD1194" s="418" t="str">
        <f t="shared" si="1921"/>
        <v/>
      </c>
      <c r="BE1194" s="418" t="str">
        <f t="shared" si="1922"/>
        <v/>
      </c>
      <c r="BF1194" s="418" t="str">
        <f t="shared" si="1923"/>
        <v/>
      </c>
      <c r="BG1194" s="418" t="str">
        <f t="shared" si="1924"/>
        <v/>
      </c>
      <c r="BH1194" s="418" t="str">
        <f t="shared" si="1925"/>
        <v/>
      </c>
      <c r="BI1194" s="418" t="str">
        <f t="shared" si="1926"/>
        <v/>
      </c>
      <c r="BJ1194" s="418" t="str">
        <f t="shared" si="1927"/>
        <v/>
      </c>
      <c r="BK1194" s="418" t="str">
        <f t="shared" si="1928"/>
        <v/>
      </c>
      <c r="BL1194" s="418" t="str">
        <f t="shared" si="1929"/>
        <v/>
      </c>
      <c r="BM1194" s="418" t="str">
        <f t="shared" si="1930"/>
        <v/>
      </c>
      <c r="BN1194" s="418" t="str">
        <f t="shared" si="1931"/>
        <v/>
      </c>
      <c r="BO1194" s="418" t="str">
        <f t="shared" si="1932"/>
        <v/>
      </c>
      <c r="BP1194" s="418" t="str">
        <f t="shared" si="1933"/>
        <v/>
      </c>
      <c r="BQ1194" s="418" t="str">
        <f t="shared" si="1871"/>
        <v/>
      </c>
      <c r="BR1194" s="418" t="str">
        <f t="shared" si="1872"/>
        <v/>
      </c>
      <c r="BS1194" s="418" t="str">
        <f t="shared" si="1873"/>
        <v/>
      </c>
      <c r="BT1194" s="418" t="str">
        <f t="shared" si="1934"/>
        <v/>
      </c>
      <c r="BU1194" s="418" t="str">
        <f t="shared" si="1935"/>
        <v/>
      </c>
      <c r="BV1194" s="624">
        <v>0.6</v>
      </c>
      <c r="BW1194" s="723">
        <f t="shared" si="1936"/>
        <v>14515.2</v>
      </c>
      <c r="BX1194" s="724">
        <f t="shared" si="1937"/>
        <v>112492.8</v>
      </c>
      <c r="BY1194" s="725" t="str">
        <f t="shared" si="1938"/>
        <v>SR</v>
      </c>
    </row>
    <row r="1195" s="697" customFormat="1" customHeight="1" spans="1:77">
      <c r="A1195" s="362">
        <v>46231</v>
      </c>
      <c r="B1195" s="362">
        <v>46318</v>
      </c>
      <c r="C1195" s="431" t="s">
        <v>1058</v>
      </c>
      <c r="D1195" s="431" t="s">
        <v>1059</v>
      </c>
      <c r="E1195" s="431" t="s">
        <v>202</v>
      </c>
      <c r="F1195" s="96">
        <v>36000</v>
      </c>
      <c r="G1195" s="431" t="s">
        <v>334</v>
      </c>
      <c r="H1195" s="118" t="str">
        <f>IFERROR(VLOOKUP(E1195,名称!A:E,4,0),"")</f>
        <v>三代</v>
      </c>
      <c r="I1195" s="418" t="str">
        <f t="shared" ref="I1195:I1219" si="1939">IF(OR($E1195="",I$1=""),"",IF(TRIM(LEFT($E1195,MIN(IFERROR(FIND("CDU",UPPER($E1195)),999),IFERROR(FIND("BULK",UPPER($E1195)),999),IFERROR(FIND("-",$E1195),999),IFERROR(FIND("（",$E1195),999))-1))=I$1,$F1195,""))</f>
        <v/>
      </c>
      <c r="J1195" s="418" t="str">
        <f t="shared" ref="J1195:J1219" si="1940">IF(OR($E1195="",J$1=""),"",IF(TRIM(LEFT($E1195,MIN(IFERROR(FIND("CDU",UPPER($E1195)),999),IFERROR(FIND("BULK",UPPER($E1195)),999),IFERROR(FIND("-",$E1195),999),IFERROR(FIND("（",$E1195),999))-1))=J$1,$F1195,""))</f>
        <v/>
      </c>
      <c r="K1195" s="418" t="str">
        <f t="shared" ref="K1195:K1219" si="1941">IF(OR($E1195="",K$1=""),"",IF(TRIM(LEFT($E1195,MIN(IFERROR(FIND("CDU",UPPER($E1195)),999),IFERROR(FIND("BULK",UPPER($E1195)),999),IFERROR(FIND("-",$E1195),999),IFERROR(FIND("（",$E1195),999))-1))=K$1,$F1195,""))</f>
        <v/>
      </c>
      <c r="L1195" s="418" t="str">
        <f t="shared" ref="L1195:L1219" si="1942">IF(OR($E1195="",L$1=""),"",IF(TRIM(LEFT($E1195,MIN(IFERROR(FIND("CDU",UPPER($E1195)),999),IFERROR(FIND("BULK",UPPER($E1195)),999),IFERROR(FIND("-",$E1195),999),IFERROR(FIND("（",$E1195),999))-1))=L$1,$F1195,""))</f>
        <v/>
      </c>
      <c r="M1195" s="418" t="str">
        <f t="shared" ref="M1195:M1219" si="1943">IF(OR($E1195="",M$1=""),"",IF(TRIM(LEFT($E1195,MIN(IFERROR(FIND("CDU",UPPER($E1195)),999),IFERROR(FIND("BULK",UPPER($E1195)),999),IFERROR(FIND("-",$E1195),999),IFERROR(FIND("（",$E1195),999))-1))=M$1,$F1195,""))</f>
        <v/>
      </c>
      <c r="N1195" s="418" t="str">
        <f t="shared" ref="N1195:N1219" si="1944">IF(OR($E1195="",N$1=""),"",IF(TRIM(LEFT($E1195,MIN(IFERROR(FIND("CDU",UPPER($E1195)),999),IFERROR(FIND("BULK",UPPER($E1195)),999),IFERROR(FIND("-",$E1195),999),IFERROR(FIND("（",$E1195),999))-1))=N$1,$F1195,""))</f>
        <v/>
      </c>
      <c r="O1195" s="418" t="str">
        <f t="shared" ref="O1195:O1219" si="1945">IF(OR($E1195="",O$1=""),"",IF(TRIM(LEFT($E1195,MIN(IFERROR(FIND("CDU",UPPER($E1195)),999),IFERROR(FIND("BULK",UPPER($E1195)),999),IFERROR(FIND("-",$E1195),999),IFERROR(FIND("（",$E1195),999))-1))=O$1,$F1195,""))</f>
        <v/>
      </c>
      <c r="P1195" s="418" t="str">
        <f t="shared" ref="P1195:P1219" si="1946">IF(OR($E1195="",P$1=""),"",IF(TRIM(LEFT($E1195,MIN(IFERROR(FIND("CDU",UPPER($E1195)),999),IFERROR(FIND("BULK",UPPER($E1195)),999),IFERROR(FIND("-",$E1195),999),IFERROR(FIND("（",$E1195),999))-1))=P$1,$F1195,""))</f>
        <v/>
      </c>
      <c r="Q1195" s="418" t="str">
        <f t="shared" ref="Q1195:Q1219" si="1947">IF(OR($E1195="",Q$1=""),"",IF(TRIM(LEFT($E1195,MIN(IFERROR(FIND("CDU",UPPER($E1195)),999),IFERROR(FIND("BULK",UPPER($E1195)),999),IFERROR(FIND("-",$E1195),999),IFERROR(FIND("（",$E1195),999))-1))=Q$1,$F1195,""))</f>
        <v/>
      </c>
      <c r="R1195" s="418" t="str">
        <f t="shared" ref="R1195:R1219" si="1948">IF(OR($E1195="",R$1=""),"",IF(TRIM(LEFT($E1195,MIN(IFERROR(FIND("CDU",UPPER($E1195)),999),IFERROR(FIND("BULK",UPPER($E1195)),999),IFERROR(FIND("-",$E1195),999),IFERROR(FIND("（",$E1195),999))-1))=R$1,$F1195,""))</f>
        <v/>
      </c>
      <c r="S1195" s="418" t="str">
        <f t="shared" ref="S1195:S1219" si="1949">IF(OR($E1195="",S$1=""),"",IF(TRIM(LEFT($E1195,MIN(IFERROR(FIND("CDU",UPPER($E1195)),999),IFERROR(FIND("BULK",UPPER($E1195)),999),IFERROR(FIND("-",$E1195),999),IFERROR(FIND("（",$E1195),999))-1))=S$1,$F1195,""))</f>
        <v/>
      </c>
      <c r="T1195" s="418" t="str">
        <f t="shared" ref="T1195:T1219" si="1950">IF(OR($E1195="",T$1=""),"",IF(TRIM(LEFT($E1195,MIN(IFERROR(FIND("CDU",UPPER($E1195)),999),IFERROR(FIND("BULK",UPPER($E1195)),999),IFERROR(FIND("-",$E1195),999),IFERROR(FIND("（",$E1195),999))-1))=T$1,$F1195,""))</f>
        <v/>
      </c>
      <c r="U1195" s="418" t="str">
        <f t="shared" ref="U1195:U1219" si="1951">IF(OR($E1195="",U$1=""),"",IF(TRIM(LEFT($E1195,MIN(IFERROR(FIND("CDU",UPPER($E1195)),999),IFERROR(FIND("BULK",UPPER($E1195)),999),IFERROR(FIND("-",$E1195),999),IFERROR(FIND("（",$E1195),999))-1))=U$1,$F1195,""))</f>
        <v/>
      </c>
      <c r="V1195" s="418" t="str">
        <f t="shared" ref="V1195:V1219" si="1952">IF(OR($E1195="",V$1=""),"",IF(TRIM(LEFT($E1195,MIN(IFERROR(FIND("CDU",UPPER($E1195)),999),IFERROR(FIND("BULK",UPPER($E1195)),999),IFERROR(FIND("-",$E1195),999),IFERROR(FIND("（",$E1195),999))-1))=V$1,$F1195,""))</f>
        <v/>
      </c>
      <c r="W1195" s="418" t="str">
        <f t="shared" ref="W1195:W1219" si="1953">IF(OR($E1195="",W$1=""),"",IF(TRIM(LEFT($E1195,MIN(IFERROR(FIND("CDU",UPPER($E1195)),999),IFERROR(FIND("BULK",UPPER($E1195)),999),IFERROR(FIND("-",$E1195),999),IFERROR(FIND("（",$E1195),999))-1))=W$1,$F1195,""))</f>
        <v/>
      </c>
      <c r="X1195" s="418" t="str">
        <f t="shared" ref="X1195:X1219" si="1954">IF(OR($E1195="",X$1=""),"",IF(TRIM(LEFT($E1195,MIN(IFERROR(FIND("CDU",UPPER($E1195)),999),IFERROR(FIND("BULK",UPPER($E1195)),999),IFERROR(FIND("-",$E1195),999),IFERROR(FIND("（",$E1195),999))-1))=X$1,$F1195,""))</f>
        <v/>
      </c>
      <c r="Y1195" s="418" t="str">
        <f t="shared" ref="Y1195:Y1219" si="1955">IF(OR($E1195="",Y$1=""),"",IF(TRIM(LEFT($E1195,MIN(IFERROR(FIND("CDU",UPPER($E1195)),999),IFERROR(FIND("BULK",UPPER($E1195)),999),IFERROR(FIND("-",$E1195),999),IFERROR(FIND("（",$E1195),999))-1))=Y$1,$F1195,""))</f>
        <v/>
      </c>
      <c r="Z1195" s="418" t="str">
        <f t="shared" ref="Z1195:Z1219" si="1956">IF(OR($E1195="",Z$1=""),"",IF(TRIM(LEFT($E1195,MIN(IFERROR(FIND("CDU",UPPER($E1195)),999),IFERROR(FIND("BULK",UPPER($E1195)),999),IFERROR(FIND("-",$E1195),999),IFERROR(FIND("（",$E1195),999))-1))=Z$1,$F1195,""))</f>
        <v/>
      </c>
      <c r="AA1195" s="418" t="str">
        <f t="shared" ref="AA1195:AA1219" si="1957">IF(OR($E1195="",AA$1=""),"",IF(TRIM(LEFT($E1195,MIN(IFERROR(FIND("CDU",UPPER($E1195)),999),IFERROR(FIND("BULK",UPPER($E1195)),999),IFERROR(FIND("-",$E1195),999),IFERROR(FIND("（",$E1195),999))-1))=AA$1,$F1195,""))</f>
        <v/>
      </c>
      <c r="AB1195" s="418" t="str">
        <f t="shared" ref="AB1195:AB1219" si="1958">IF(OR($E1195="",AB$1=""),"",IF(TRIM(LEFT($E1195,MIN(IFERROR(FIND("CDU",UPPER($E1195)),999),IFERROR(FIND("BULK",UPPER($E1195)),999),IFERROR(FIND("-",$E1195),999),IFERROR(FIND("（",$E1195),999))-1))=AB$1,$F1195,""))</f>
        <v/>
      </c>
      <c r="AC1195" s="418" t="str">
        <f t="shared" ref="AC1195:AC1219" si="1959">IF(OR($E1195="",AC$1=""),"",IF(TRIM(LEFT($E1195,MIN(IFERROR(FIND("CDU",UPPER($E1195)),999),IFERROR(FIND("BULK",UPPER($E1195)),999),IFERROR(FIND("-",$E1195),999),IFERROR(FIND("（",$E1195),999))-1))=AC$1,$F1195,""))</f>
        <v/>
      </c>
      <c r="AD1195" s="418" t="str">
        <f t="shared" ref="AD1195:AD1219" si="1960">IF(OR($E1195="",AD$1=""),"",IF(TRIM(LEFT($E1195,MIN(IFERROR(FIND("CDU",UPPER($E1195)),999),IFERROR(FIND("BULK",UPPER($E1195)),999),IFERROR(FIND("-",$E1195),999),IFERROR(FIND("（",$E1195),999))-1))=AD$1,$F1195,""))</f>
        <v/>
      </c>
      <c r="AE1195" s="418" t="str">
        <f t="shared" ref="AE1195:AE1219" si="1961">IF(OR($E1195="",AE$1=""),"",IF(TRIM(LEFT($E1195,MIN(IFERROR(FIND("CDU",UPPER($E1195)),999),IFERROR(FIND("BULK",UPPER($E1195)),999),IFERROR(FIND("-",$E1195),999),IFERROR(FIND("（",$E1195),999))-1))=AE$1,$F1195,""))</f>
        <v/>
      </c>
      <c r="AF1195" s="418" t="str">
        <f t="shared" ref="AF1195:AF1219" si="1962">IF(OR($E1195="",AF$1=""),"",IF(TRIM(LEFT($E1195,MIN(IFERROR(FIND("CDU",UPPER($E1195)),999),IFERROR(FIND("BULK",UPPER($E1195)),999),IFERROR(FIND("-",$E1195),999),IFERROR(FIND("（",$E1195),999))-1))=AF$1,$F1195,""))</f>
        <v/>
      </c>
      <c r="AG1195" s="418" t="str">
        <f t="shared" ref="AG1195:AG1219" si="1963">IF(OR($E1195="",AG$1=""),"",IF(TRIM(LEFT($E1195,MIN(IFERROR(FIND("CDU",UPPER($E1195)),999),IFERROR(FIND("BULK",UPPER($E1195)),999),IFERROR(FIND("-",$E1195),999),IFERROR(FIND("（",$E1195),999))-1))=AG$1,$F1195,""))</f>
        <v/>
      </c>
      <c r="AH1195" s="418" t="str">
        <f t="shared" ref="AH1195:AH1219" si="1964">IF(OR($E1195="",AH$1=""),"",IF(TRIM(LEFT($E1195,MIN(IFERROR(FIND("CDU",UPPER($E1195)),999),IFERROR(FIND("BULK",UPPER($E1195)),999),IFERROR(FIND("-",$E1195),999),IFERROR(FIND("（",$E1195),999))-1))=AH$1,$F1195,""))</f>
        <v/>
      </c>
      <c r="AI1195" s="418" t="str">
        <f t="shared" ref="AI1195:AI1219" si="1965">IF(OR($E1195="",AI$1=""),"",IF(TRIM(LEFT($E1195,MIN(IFERROR(FIND("CDU",UPPER($E1195)),999),IFERROR(FIND("BULK",UPPER($E1195)),999),IFERROR(FIND("-",$E1195),999),IFERROR(FIND("（",$E1195),999))-1))=AI$1,$F1195,""))</f>
        <v/>
      </c>
      <c r="AJ1195" s="418" t="str">
        <f t="shared" ref="AJ1195:AJ1219" si="1966">IF(OR($E1195="",AJ$1=""),"",IF(TRIM(LEFT($E1195,MIN(IFERROR(FIND("CDU",UPPER($E1195)),999),IFERROR(FIND("BULK",UPPER($E1195)),999),IFERROR(FIND("-",$E1195),999),IFERROR(FIND("（",$E1195),999))-1))=AJ$1,$F1195,""))</f>
        <v/>
      </c>
      <c r="AK1195" s="418" t="str">
        <f t="shared" ref="AK1195:AK1219" si="1967">IF(OR($E1195="",AK$1=""),"",IF(TRIM(LEFT($E1195,MIN(IFERROR(FIND("CDU",UPPER($E1195)),999),IFERROR(FIND("BULK",UPPER($E1195)),999),IFERROR(FIND("-",$E1195),999),IFERROR(FIND("（",$E1195),999))-1))=AK$1,$F1195,""))</f>
        <v/>
      </c>
      <c r="AL1195" s="418" t="str">
        <f t="shared" ref="AL1195:AL1219" si="1968">IF(OR($E1195="",AL$1=""),"",IF(TRIM(LEFT($E1195,MIN(IFERROR(FIND("CDU",UPPER($E1195)),999),IFERROR(FIND("BULK",UPPER($E1195)),999),IFERROR(FIND("-",$E1195),999),IFERROR(FIND("（",$E1195),999))-1))=AL$1,$F1195,""))</f>
        <v/>
      </c>
      <c r="AM1195" s="418" t="str">
        <f t="shared" ref="AM1195:AM1219" si="1969">IF(OR($E1195="",AM$1=""),"",IF(TRIM(LEFT($E1195,MIN(IFERROR(FIND("CDU",UPPER($E1195)),999),IFERROR(FIND("BULK",UPPER($E1195)),999),IFERROR(FIND("-",$E1195),999),IFERROR(FIND("（",$E1195),999))-1))=AM$1,$F1195,""))</f>
        <v/>
      </c>
      <c r="AN1195" s="418" t="str">
        <f t="shared" ref="AN1195:AN1219" si="1970">IF(OR($E1195="",AN$1=""),"",IF(TRIM(LEFT($E1195,MIN(IFERROR(FIND("CDU",UPPER($E1195)),999),IFERROR(FIND("BULK",UPPER($E1195)),999),IFERROR(FIND("-",$E1195),999),IFERROR(FIND("（",$E1195),999))-1))=AN$1,$F1195,""))</f>
        <v/>
      </c>
      <c r="AO1195" s="418" t="str">
        <f t="shared" ref="AO1195:AO1219" si="1971">IF(OR($E1195="",AO$1=""),"",IF(TRIM(LEFT($E1195,MIN(IFERROR(FIND("CDU",UPPER($E1195)),999),IFERROR(FIND("BULK",UPPER($E1195)),999),IFERROR(FIND("-",$E1195),999),IFERROR(FIND("（",$E1195),999))-1))=AO$1,$F1195,""))</f>
        <v/>
      </c>
      <c r="AP1195" s="418" t="str">
        <f t="shared" ref="AP1195:AP1219" si="1972">IF(OR($E1195="",AP$1=""),"",IF(TRIM(LEFT($E1195,MIN(IFERROR(FIND("CDU",UPPER($E1195)),999),IFERROR(FIND("BULK",UPPER($E1195)),999),IFERROR(FIND("-",$E1195),999),IFERROR(FIND("（",$E1195),999))-1))=AP$1,$F1195,""))</f>
        <v/>
      </c>
      <c r="AQ1195" s="418" t="str">
        <f t="shared" ref="AQ1195:AQ1219" si="1973">IF(OR($E1195="",AQ$1=""),"",IF(TRIM(LEFT($E1195,MIN(IFERROR(FIND("CDU",UPPER($E1195)),999),IFERROR(FIND("BULK",UPPER($E1195)),999),IFERROR(FIND("-",$E1195),999),IFERROR(FIND("（",$E1195),999))-1))=AQ$1,$F1195,""))</f>
        <v/>
      </c>
      <c r="AR1195" s="418" t="str">
        <f t="shared" ref="AR1195:AR1219" si="1974">IF(OR($E1195="",AR$1=""),"",IF(TRIM(LEFT($E1195,MIN(IFERROR(FIND("CDU",UPPER($E1195)),999),IFERROR(FIND("BULK",UPPER($E1195)),999),IFERROR(FIND("-",$E1195),999),IFERROR(FIND("（",$E1195),999))-1))=AR$1,$F1195,""))</f>
        <v/>
      </c>
      <c r="AS1195" s="418" t="str">
        <f t="shared" ref="AS1195:AS1219" si="1975">IF(OR($E1195="",AS$1=""),"",IF(TRIM(LEFT($E1195,MIN(IFERROR(FIND("CDU",UPPER($E1195)),999),IFERROR(FIND("BULK",UPPER($E1195)),999),IFERROR(FIND("-",$E1195),999),IFERROR(FIND("（",$E1195),999))-1))=AS$1,$F1195,""))</f>
        <v/>
      </c>
      <c r="AT1195" s="418" t="str">
        <f t="shared" ref="AT1195:AT1219" si="1976">IF(OR($E1195="",AT$1=""),"",IF(TRIM(LEFT($E1195,MIN(IFERROR(FIND("CDU",UPPER($E1195)),999),IFERROR(FIND("BULK",UPPER($E1195)),999),IFERROR(FIND("-",$E1195),999),IFERROR(FIND("（",$E1195),999))-1))=AT$1,$F1195,""))</f>
        <v/>
      </c>
      <c r="AU1195" s="418" t="str">
        <f t="shared" ref="AU1195:AU1219" si="1977">IF(OR($E1195="",AU$1=""),"",IF(TRIM(LEFT($E1195,MIN(IFERROR(FIND("CDU",UPPER($E1195)),999),IFERROR(FIND("BULK",UPPER($E1195)),999),IFERROR(FIND("-",$E1195),999),IFERROR(FIND("（",$E1195),999))-1))=AU$1,$F1195,""))</f>
        <v/>
      </c>
      <c r="AV1195" s="418" t="str">
        <f t="shared" ref="AV1195:AV1219" si="1978">IF(OR($E1195="",AV$1=""),"",IF(TRIM(LEFT($E1195,MIN(IFERROR(FIND("CDU",UPPER($E1195)),999),IFERROR(FIND("BULK",UPPER($E1195)),999),IFERROR(FIND("-",$E1195),999),IFERROR(FIND("（",$E1195),999))-1))=AV$1,$F1195,""))</f>
        <v/>
      </c>
      <c r="AW1195" s="418" t="str">
        <f t="shared" ref="AW1195:AW1219" si="1979">IF(OR($E1195="",AW$1=""),"",IF(TRIM(LEFT($E1195,MIN(IFERROR(FIND("CDU",UPPER($E1195)),999),IFERROR(FIND("BULK",UPPER($E1195)),999),IFERROR(FIND("-",$E1195),999),IFERROR(FIND("（",$E1195),999))-1))=AW$1,$F1195,""))</f>
        <v/>
      </c>
      <c r="AX1195" s="418" t="str">
        <f t="shared" ref="AX1195:AX1219" si="1980">IF(OR($E1195="",AX$1=""),"",IF(TRIM(LEFT($E1195,MIN(IFERROR(FIND("CDU",UPPER($E1195)),999),IFERROR(FIND("BULK",UPPER($E1195)),999),IFERROR(FIND("-",$E1195),999),IFERROR(FIND("（",$E1195),999))-1))=AX$1,$F1195,""))</f>
        <v/>
      </c>
      <c r="AY1195" s="418" t="str">
        <f t="shared" ref="AY1195:AY1219" si="1981">IF(OR($E1195="",AY$1=""),"",IF(TRIM(LEFT($E1195,MIN(IFERROR(FIND("CDU",UPPER($E1195)),999),IFERROR(FIND("BULK",UPPER($E1195)),999),IFERROR(FIND("-",$E1195),999),IFERROR(FIND("（",$E1195),999))-1))=AY$1,$F1195,""))</f>
        <v/>
      </c>
      <c r="AZ1195" s="418" t="str">
        <f t="shared" ref="AZ1195:AZ1219" si="1982">IF(OR($E1195="",AZ$1=""),"",IF(TRIM(LEFT($E1195,MIN(IFERROR(FIND("CDU",UPPER($E1195)),999),IFERROR(FIND("BULK",UPPER($E1195)),999),IFERROR(FIND("-",$E1195),999),IFERROR(FIND("（",$E1195),999))-1))=AZ$1,$F1195,""))</f>
        <v/>
      </c>
      <c r="BA1195" s="418" t="str">
        <f t="shared" ref="BA1195:BA1219" si="1983">IF(OR($E1195="",BA$1=""),"",IF(TRIM(LEFT($E1195,MIN(IFERROR(FIND("CDU",UPPER($E1195)),999),IFERROR(FIND("BULK",UPPER($E1195)),999),IFERROR(FIND("-",$E1195),999),IFERROR(FIND("（",$E1195),999))-1))=BA$1,$F1195,""))</f>
        <v/>
      </c>
      <c r="BB1195" s="418" t="str">
        <f t="shared" ref="BB1195:BB1219" si="1984">IF(OR($E1195="",BB$1=""),"",IF(TRIM(LEFT($E1195,MIN(IFERROR(FIND("CDU",UPPER($E1195)),999),IFERROR(FIND("BULK",UPPER($E1195)),999),IFERROR(FIND("-",$E1195),999),IFERROR(FIND("（",$E1195),999))-1))=BB$1,$F1195,""))</f>
        <v/>
      </c>
      <c r="BC1195" s="418" t="str">
        <f t="shared" ref="BC1195:BC1219" si="1985">IF(OR($E1195="",BC$1=""),"",IF(TRIM(LEFT($E1195,MIN(IFERROR(FIND("CDU",UPPER($E1195)),999),IFERROR(FIND("BULK",UPPER($E1195)),999),IFERROR(FIND("-",$E1195),999),IFERROR(FIND("（",$E1195),999))-1))=BC$1,$F1195,""))</f>
        <v/>
      </c>
      <c r="BD1195" s="418" t="str">
        <f t="shared" ref="BD1195:BD1219" si="1986">IF(OR($E1195="",BD$1=""),"",IF(TRIM(LEFT($E1195,MIN(IFERROR(FIND("CDU",UPPER($E1195)),999),IFERROR(FIND("BULK",UPPER($E1195)),999),IFERROR(FIND("-",$E1195),999),IFERROR(FIND("（",$E1195),999))-1))=BD$1,$F1195,""))</f>
        <v/>
      </c>
      <c r="BE1195" s="418" t="str">
        <f t="shared" ref="BE1195:BE1219" si="1987">IF(OR($E1195="",BE$1=""),"",IF(TRIM(LEFT($E1195,MIN(IFERROR(FIND("CDU",UPPER($E1195)),999),IFERROR(FIND("BULK",UPPER($E1195)),999),IFERROR(FIND("-",$E1195),999),IFERROR(FIND("（",$E1195),999))-1))=BE$1,$F1195,""))</f>
        <v/>
      </c>
      <c r="BF1195" s="418" t="str">
        <f t="shared" ref="BF1195:BF1219" si="1988">IF(OR($E1195="",BF$1=""),"",IF(TRIM(LEFT($E1195,MIN(IFERROR(FIND("CDU",UPPER($E1195)),999),IFERROR(FIND("BULK",UPPER($E1195)),999),IFERROR(FIND("-",$E1195),999),IFERROR(FIND("（",$E1195),999))-1))=BF$1,$F1195,""))</f>
        <v/>
      </c>
      <c r="BG1195" s="418" t="str">
        <f t="shared" ref="BG1195:BG1219" si="1989">IF(OR($E1195="",BG$1=""),"",IF(TRIM(LEFT($E1195,MIN(IFERROR(FIND("CDU",UPPER($E1195)),999),IFERROR(FIND("BULK",UPPER($E1195)),999),IFERROR(FIND("-",$E1195),999),IFERROR(FIND("（",$E1195),999))-1))=BG$1,$F1195,""))</f>
        <v/>
      </c>
      <c r="BH1195" s="418" t="str">
        <f t="shared" ref="BH1195:BH1219" si="1990">IF(OR($E1195="",BH$1=""),"",IF(TRIM(LEFT($E1195,MIN(IFERROR(FIND("CDU",UPPER($E1195)),999),IFERROR(FIND("BULK",UPPER($E1195)),999),IFERROR(FIND("-",$E1195),999),IFERROR(FIND("（",$E1195),999))-1))=BH$1,$F1195,""))</f>
        <v/>
      </c>
      <c r="BI1195" s="418" t="str">
        <f t="shared" ref="BI1195:BI1219" si="1991">IF(OR($E1195="",BI$1=""),"",IF(TRIM(LEFT($E1195,MIN(IFERROR(FIND("CDU",UPPER($E1195)),999),IFERROR(FIND("BULK",UPPER($E1195)),999),IFERROR(FIND("-",$E1195),999),IFERROR(FIND("（",$E1195),999))-1))=BI$1,$F1195,""))</f>
        <v/>
      </c>
      <c r="BJ1195" s="418" t="str">
        <f t="shared" ref="BJ1195:BJ1219" si="1992">IF(OR($E1195="",BJ$1=""),"",IF(TRIM(LEFT($E1195,MIN(IFERROR(FIND("CDU",UPPER($E1195)),999),IFERROR(FIND("BULK",UPPER($E1195)),999),IFERROR(FIND("-",$E1195),999),IFERROR(FIND("（",$E1195),999))-1))=BJ$1,$F1195,""))</f>
        <v/>
      </c>
      <c r="BK1195" s="418" t="str">
        <f t="shared" ref="BK1195:BK1219" si="1993">IF(OR($E1195="",BK$1=""),"",IF(TRIM(LEFT($E1195,MIN(IFERROR(FIND("CDU",UPPER($E1195)),999),IFERROR(FIND("BULK",UPPER($E1195)),999),IFERROR(FIND("-",$E1195),999),IFERROR(FIND("（",$E1195),999))-1))=BK$1,$F1195,""))</f>
        <v/>
      </c>
      <c r="BL1195" s="418" t="str">
        <f t="shared" ref="BL1195:BL1219" si="1994">IF(OR($E1195="",BL$1=""),"",IF(TRIM(LEFT($E1195,MIN(IFERROR(FIND("CDU",UPPER($E1195)),999),IFERROR(FIND("BULK",UPPER($E1195)),999),IFERROR(FIND("-",$E1195),999),IFERROR(FIND("（",$E1195),999))-1))=BL$1,$F1195,""))</f>
        <v/>
      </c>
      <c r="BM1195" s="418" t="str">
        <f t="shared" ref="BM1195:BM1219" si="1995">IF(OR($E1195="",BM$1=""),"",IF(TRIM(LEFT($E1195,MIN(IFERROR(FIND("CDU",UPPER($E1195)),999),IFERROR(FIND("BULK",UPPER($E1195)),999),IFERROR(FIND("-",$E1195),999),IFERROR(FIND("（",$E1195),999))-1))=BM$1,$F1195,""))</f>
        <v/>
      </c>
      <c r="BN1195" s="418" t="str">
        <f t="shared" ref="BN1195:BN1219" si="1996">IF(OR($E1195="",BN$1=""),"",IF(TRIM(LEFT($E1195,MIN(IFERROR(FIND("CDU",UPPER($E1195)),999),IFERROR(FIND("BULK",UPPER($E1195)),999),IFERROR(FIND("-",$E1195),999),IFERROR(FIND("（",$E1195),999))-1))=BN$1,$F1195,""))</f>
        <v/>
      </c>
      <c r="BO1195" s="418" t="str">
        <f t="shared" ref="BO1195:BO1219" si="1997">IF(OR($E1195="",BO$1=""),"",IF(TRIM(LEFT($E1195,MIN(IFERROR(FIND("CDU",UPPER($E1195)),999),IFERROR(FIND("BULK",UPPER($E1195)),999),IFERROR(FIND("-",$E1195),999),IFERROR(FIND("（",$E1195),999))-1))=BO$1,$F1195,""))</f>
        <v/>
      </c>
      <c r="BP1195" s="418" t="str">
        <f t="shared" ref="BP1195:BP1219" si="1998">IF(OR($E1195="",BP$1=""),"",IF(TRIM(LEFT($E1195,MIN(IFERROR(FIND("CDU",UPPER($E1195)),999),IFERROR(FIND("BULK",UPPER($E1195)),999),IFERROR(FIND("-",$E1195),999),IFERROR(FIND("（",$E1195),999))-1))=BP$1,$F1195,""))</f>
        <v/>
      </c>
      <c r="BQ1195" s="418">
        <f t="shared" si="1871"/>
        <v>36000</v>
      </c>
      <c r="BR1195" s="418" t="str">
        <f t="shared" si="1872"/>
        <v/>
      </c>
      <c r="BS1195" s="418" t="str">
        <f t="shared" si="1873"/>
        <v/>
      </c>
      <c r="BT1195" s="418" t="str">
        <f t="shared" ref="BT1195:BT1207" si="1999">IF(OR($E1195="",BT$1=""),"",IF(TRIM(LEFT($E1195,MIN(IFERROR(FIND("CDU",UPPER($E1195)),999),IFERROR(FIND("BULK",UPPER($E1195)),999),IFERROR(FIND("-",$E1195),999),IFERROR(FIND("（",$E1195),999))-1))=BT$1,$F1195,""))</f>
        <v/>
      </c>
      <c r="BU1195" s="418" t="str">
        <f t="shared" ref="BU1195:BU1207" si="2000">IF(OR($E1195="",BU$1=""),"",IF(TRIM(LEFT($E1195,MIN(IFERROR(FIND("CDU",UPPER($E1195)),999),IFERROR(FIND("BULK",UPPER($E1195)),999),IFERROR(FIND("-",$E1195),999),IFERROR(FIND("（",$E1195),999))-1))=BU$1,$F1195,""))</f>
        <v/>
      </c>
      <c r="BV1195" s="624">
        <v>0.8</v>
      </c>
      <c r="BW1195" s="723">
        <f t="shared" ref="BW1195:BW1207" si="2001">SUM(I1195:BU1195)*BV1195</f>
        <v>28800</v>
      </c>
      <c r="BX1195" s="724">
        <f t="shared" ref="BX1195:BX1207" si="2002">BW1195*7.75</f>
        <v>223200</v>
      </c>
      <c r="BY1195" s="725" t="str">
        <f t="shared" ref="BY1195:BY1207" si="2003">MID(E1195,1,2)</f>
        <v>SR</v>
      </c>
    </row>
    <row r="1196" s="697" customFormat="1" customHeight="1" spans="1:77">
      <c r="A1196" s="362">
        <v>46233</v>
      </c>
      <c r="B1196" s="362">
        <v>46266</v>
      </c>
      <c r="C1196" s="431" t="s">
        <v>1060</v>
      </c>
      <c r="D1196" s="431" t="s">
        <v>1061</v>
      </c>
      <c r="E1196" s="431" t="s">
        <v>95</v>
      </c>
      <c r="F1196" s="96">
        <v>15200</v>
      </c>
      <c r="G1196" s="431" t="s">
        <v>270</v>
      </c>
      <c r="H1196" s="118" t="str">
        <f>IFERROR(VLOOKUP(E1196,名称!A:E,4,0),"")</f>
        <v>三代</v>
      </c>
      <c r="I1196" s="418" t="str">
        <f t="shared" si="1939"/>
        <v/>
      </c>
      <c r="J1196" s="418" t="str">
        <f t="shared" si="1940"/>
        <v/>
      </c>
      <c r="K1196" s="418" t="str">
        <f t="shared" si="1941"/>
        <v/>
      </c>
      <c r="L1196" s="418" t="str">
        <f t="shared" si="1942"/>
        <v/>
      </c>
      <c r="M1196" s="418" t="str">
        <f t="shared" si="1943"/>
        <v/>
      </c>
      <c r="N1196" s="418" t="str">
        <f t="shared" si="1944"/>
        <v/>
      </c>
      <c r="O1196" s="418" t="str">
        <f t="shared" si="1945"/>
        <v/>
      </c>
      <c r="P1196" s="418" t="str">
        <f t="shared" si="1946"/>
        <v/>
      </c>
      <c r="Q1196" s="418" t="str">
        <f t="shared" si="1947"/>
        <v/>
      </c>
      <c r="R1196" s="418" t="str">
        <f t="shared" si="1948"/>
        <v/>
      </c>
      <c r="S1196" s="418" t="str">
        <f t="shared" si="1949"/>
        <v/>
      </c>
      <c r="T1196" s="418" t="str">
        <f t="shared" si="1950"/>
        <v/>
      </c>
      <c r="U1196" s="418" t="str">
        <f t="shared" si="1951"/>
        <v/>
      </c>
      <c r="V1196" s="418" t="str">
        <f t="shared" si="1952"/>
        <v/>
      </c>
      <c r="W1196" s="418" t="str">
        <f t="shared" si="1953"/>
        <v/>
      </c>
      <c r="X1196" s="418" t="str">
        <f t="shared" si="1954"/>
        <v/>
      </c>
      <c r="Y1196" s="418" t="str">
        <f t="shared" si="1955"/>
        <v/>
      </c>
      <c r="Z1196" s="418" t="str">
        <f t="shared" si="1956"/>
        <v/>
      </c>
      <c r="AA1196" s="418" t="str">
        <f t="shared" si="1957"/>
        <v/>
      </c>
      <c r="AB1196" s="418" t="str">
        <f t="shared" si="1958"/>
        <v/>
      </c>
      <c r="AC1196" s="418" t="str">
        <f t="shared" si="1959"/>
        <v/>
      </c>
      <c r="AD1196" s="418" t="str">
        <f t="shared" si="1960"/>
        <v/>
      </c>
      <c r="AE1196" s="418" t="str">
        <f t="shared" si="1961"/>
        <v/>
      </c>
      <c r="AF1196" s="418" t="str">
        <f t="shared" si="1962"/>
        <v/>
      </c>
      <c r="AG1196" s="418" t="str">
        <f t="shared" si="1963"/>
        <v/>
      </c>
      <c r="AH1196" s="418" t="str">
        <f t="shared" si="1964"/>
        <v/>
      </c>
      <c r="AI1196" s="418" t="str">
        <f t="shared" si="1965"/>
        <v/>
      </c>
      <c r="AJ1196" s="418" t="str">
        <f t="shared" si="1966"/>
        <v/>
      </c>
      <c r="AK1196" s="418" t="str">
        <f t="shared" si="1967"/>
        <v/>
      </c>
      <c r="AL1196" s="418" t="str">
        <f t="shared" si="1968"/>
        <v/>
      </c>
      <c r="AM1196" s="418" t="str">
        <f t="shared" si="1969"/>
        <v/>
      </c>
      <c r="AN1196" s="418" t="str">
        <f t="shared" si="1970"/>
        <v/>
      </c>
      <c r="AO1196" s="418" t="str">
        <f t="shared" si="1971"/>
        <v/>
      </c>
      <c r="AP1196" s="418" t="str">
        <f t="shared" si="1972"/>
        <v/>
      </c>
      <c r="AQ1196" s="418" t="str">
        <f t="shared" si="1973"/>
        <v/>
      </c>
      <c r="AR1196" s="418" t="str">
        <f t="shared" si="1974"/>
        <v/>
      </c>
      <c r="AS1196" s="418" t="str">
        <f t="shared" si="1975"/>
        <v/>
      </c>
      <c r="AT1196" s="418" t="str">
        <f t="shared" si="1976"/>
        <v/>
      </c>
      <c r="AU1196" s="418" t="str">
        <f t="shared" si="1977"/>
        <v/>
      </c>
      <c r="AV1196" s="418" t="str">
        <f t="shared" si="1978"/>
        <v/>
      </c>
      <c r="AW1196" s="418" t="str">
        <f t="shared" si="1979"/>
        <v/>
      </c>
      <c r="AX1196" s="418" t="str">
        <f t="shared" si="1980"/>
        <v/>
      </c>
      <c r="AY1196" s="418" t="str">
        <f t="shared" si="1981"/>
        <v/>
      </c>
      <c r="AZ1196" s="418">
        <f t="shared" si="1982"/>
        <v>15200</v>
      </c>
      <c r="BA1196" s="418" t="str">
        <f t="shared" si="1983"/>
        <v/>
      </c>
      <c r="BB1196" s="418" t="str">
        <f t="shared" si="1984"/>
        <v/>
      </c>
      <c r="BC1196" s="418" t="str">
        <f t="shared" si="1985"/>
        <v/>
      </c>
      <c r="BD1196" s="418" t="str">
        <f t="shared" si="1986"/>
        <v/>
      </c>
      <c r="BE1196" s="418" t="str">
        <f t="shared" si="1987"/>
        <v/>
      </c>
      <c r="BF1196" s="418" t="str">
        <f t="shared" si="1988"/>
        <v/>
      </c>
      <c r="BG1196" s="418" t="str">
        <f t="shared" si="1989"/>
        <v/>
      </c>
      <c r="BH1196" s="418" t="str">
        <f t="shared" si="1990"/>
        <v/>
      </c>
      <c r="BI1196" s="418" t="str">
        <f t="shared" si="1991"/>
        <v/>
      </c>
      <c r="BJ1196" s="418" t="str">
        <f t="shared" si="1992"/>
        <v/>
      </c>
      <c r="BK1196" s="418" t="str">
        <f t="shared" si="1993"/>
        <v/>
      </c>
      <c r="BL1196" s="418" t="str">
        <f t="shared" si="1994"/>
        <v/>
      </c>
      <c r="BM1196" s="418" t="str">
        <f t="shared" si="1995"/>
        <v/>
      </c>
      <c r="BN1196" s="418" t="str">
        <f t="shared" si="1996"/>
        <v/>
      </c>
      <c r="BO1196" s="418" t="str">
        <f t="shared" si="1997"/>
        <v/>
      </c>
      <c r="BP1196" s="418" t="str">
        <f t="shared" si="1998"/>
        <v/>
      </c>
      <c r="BQ1196" s="418" t="str">
        <f t="shared" si="1871"/>
        <v/>
      </c>
      <c r="BR1196" s="418" t="str">
        <f t="shared" si="1872"/>
        <v/>
      </c>
      <c r="BS1196" s="418" t="str">
        <f t="shared" si="1873"/>
        <v/>
      </c>
      <c r="BT1196" s="418" t="str">
        <f t="shared" si="1999"/>
        <v/>
      </c>
      <c r="BU1196" s="418" t="str">
        <f t="shared" si="2000"/>
        <v/>
      </c>
      <c r="BV1196" s="624">
        <v>3.09</v>
      </c>
      <c r="BW1196" s="723">
        <f t="shared" si="2001"/>
        <v>46968</v>
      </c>
      <c r="BX1196" s="724">
        <f t="shared" si="2002"/>
        <v>364002</v>
      </c>
      <c r="BY1196" s="725" t="str">
        <f t="shared" si="2003"/>
        <v>SR</v>
      </c>
    </row>
    <row r="1197" s="697" customFormat="1" customHeight="1" spans="1:77">
      <c r="A1197" s="362">
        <v>46233</v>
      </c>
      <c r="B1197" s="362">
        <v>46328</v>
      </c>
      <c r="C1197" s="431" t="s">
        <v>1062</v>
      </c>
      <c r="D1197" s="431" t="s">
        <v>1063</v>
      </c>
      <c r="E1197" s="431" t="s">
        <v>200</v>
      </c>
      <c r="F1197" s="96">
        <v>48000</v>
      </c>
      <c r="G1197" s="129" t="s">
        <v>270</v>
      </c>
      <c r="H1197" s="118" t="str">
        <f>IFERROR(VLOOKUP(E1197,名称!A:E,4,0),"")</f>
        <v>三代</v>
      </c>
      <c r="I1197" s="418" t="str">
        <f t="shared" si="1939"/>
        <v/>
      </c>
      <c r="J1197" s="418" t="str">
        <f t="shared" si="1940"/>
        <v/>
      </c>
      <c r="K1197" s="418" t="str">
        <f t="shared" si="1941"/>
        <v/>
      </c>
      <c r="L1197" s="418" t="str">
        <f t="shared" si="1942"/>
        <v/>
      </c>
      <c r="M1197" s="418" t="str">
        <f t="shared" si="1943"/>
        <v/>
      </c>
      <c r="N1197" s="418" t="str">
        <f t="shared" si="1944"/>
        <v/>
      </c>
      <c r="O1197" s="418" t="str">
        <f t="shared" si="1945"/>
        <v/>
      </c>
      <c r="P1197" s="418" t="str">
        <f t="shared" si="1946"/>
        <v/>
      </c>
      <c r="Q1197" s="418" t="str">
        <f t="shared" si="1947"/>
        <v/>
      </c>
      <c r="R1197" s="418" t="str">
        <f t="shared" si="1948"/>
        <v/>
      </c>
      <c r="S1197" s="418" t="str">
        <f t="shared" si="1949"/>
        <v/>
      </c>
      <c r="T1197" s="418" t="str">
        <f t="shared" si="1950"/>
        <v/>
      </c>
      <c r="U1197" s="418" t="str">
        <f t="shared" si="1951"/>
        <v/>
      </c>
      <c r="V1197" s="418" t="str">
        <f t="shared" si="1952"/>
        <v/>
      </c>
      <c r="W1197" s="418" t="str">
        <f t="shared" si="1953"/>
        <v/>
      </c>
      <c r="X1197" s="418" t="str">
        <f t="shared" si="1954"/>
        <v/>
      </c>
      <c r="Y1197" s="418" t="str">
        <f t="shared" si="1955"/>
        <v/>
      </c>
      <c r="Z1197" s="418" t="str">
        <f t="shared" si="1956"/>
        <v/>
      </c>
      <c r="AA1197" s="418" t="str">
        <f t="shared" si="1957"/>
        <v/>
      </c>
      <c r="AB1197" s="418" t="str">
        <f t="shared" si="1958"/>
        <v/>
      </c>
      <c r="AC1197" s="418" t="str">
        <f t="shared" si="1959"/>
        <v/>
      </c>
      <c r="AD1197" s="418" t="str">
        <f t="shared" si="1960"/>
        <v/>
      </c>
      <c r="AE1197" s="418" t="str">
        <f t="shared" si="1961"/>
        <v/>
      </c>
      <c r="AF1197" s="418" t="str">
        <f t="shared" si="1962"/>
        <v/>
      </c>
      <c r="AG1197" s="418" t="str">
        <f t="shared" si="1963"/>
        <v/>
      </c>
      <c r="AH1197" s="418" t="str">
        <f t="shared" si="1964"/>
        <v/>
      </c>
      <c r="AI1197" s="418" t="str">
        <f t="shared" si="1965"/>
        <v/>
      </c>
      <c r="AJ1197" s="418" t="str">
        <f t="shared" si="1966"/>
        <v/>
      </c>
      <c r="AK1197" s="418" t="str">
        <f t="shared" si="1967"/>
        <v/>
      </c>
      <c r="AL1197" s="418" t="str">
        <f t="shared" si="1968"/>
        <v/>
      </c>
      <c r="AM1197" s="418" t="str">
        <f t="shared" si="1969"/>
        <v/>
      </c>
      <c r="AN1197" s="418" t="str">
        <f t="shared" si="1970"/>
        <v/>
      </c>
      <c r="AO1197" s="418" t="str">
        <f t="shared" si="1971"/>
        <v/>
      </c>
      <c r="AP1197" s="418" t="str">
        <f t="shared" si="1972"/>
        <v/>
      </c>
      <c r="AQ1197" s="418" t="str">
        <f t="shared" si="1973"/>
        <v/>
      </c>
      <c r="AR1197" s="418" t="str">
        <f t="shared" si="1974"/>
        <v/>
      </c>
      <c r="AS1197" s="418" t="str">
        <f t="shared" si="1975"/>
        <v/>
      </c>
      <c r="AT1197" s="418" t="str">
        <f t="shared" si="1976"/>
        <v/>
      </c>
      <c r="AU1197" s="418" t="str">
        <f t="shared" si="1977"/>
        <v/>
      </c>
      <c r="AV1197" s="418" t="str">
        <f t="shared" si="1978"/>
        <v/>
      </c>
      <c r="AW1197" s="418" t="str">
        <f t="shared" si="1979"/>
        <v/>
      </c>
      <c r="AX1197" s="418" t="str">
        <f t="shared" si="1980"/>
        <v/>
      </c>
      <c r="AY1197" s="418" t="str">
        <f t="shared" si="1981"/>
        <v/>
      </c>
      <c r="AZ1197" s="418" t="str">
        <f t="shared" si="1982"/>
        <v/>
      </c>
      <c r="BA1197" s="418" t="str">
        <f t="shared" si="1983"/>
        <v/>
      </c>
      <c r="BB1197" s="418" t="str">
        <f t="shared" si="1984"/>
        <v/>
      </c>
      <c r="BC1197" s="418" t="str">
        <f t="shared" si="1985"/>
        <v/>
      </c>
      <c r="BD1197" s="418" t="str">
        <f t="shared" si="1986"/>
        <v/>
      </c>
      <c r="BE1197" s="418" t="str">
        <f t="shared" si="1987"/>
        <v/>
      </c>
      <c r="BF1197" s="418" t="str">
        <f t="shared" si="1988"/>
        <v/>
      </c>
      <c r="BG1197" s="418" t="str">
        <f t="shared" si="1989"/>
        <v/>
      </c>
      <c r="BH1197" s="418" t="str">
        <f t="shared" si="1990"/>
        <v/>
      </c>
      <c r="BI1197" s="418" t="str">
        <f t="shared" si="1991"/>
        <v/>
      </c>
      <c r="BJ1197" s="418" t="str">
        <f t="shared" si="1992"/>
        <v/>
      </c>
      <c r="BK1197" s="418" t="str">
        <f t="shared" si="1993"/>
        <v/>
      </c>
      <c r="BL1197" s="418" t="str">
        <f t="shared" si="1994"/>
        <v/>
      </c>
      <c r="BM1197" s="418" t="str">
        <f t="shared" si="1995"/>
        <v/>
      </c>
      <c r="BN1197" s="418" t="str">
        <f t="shared" si="1996"/>
        <v/>
      </c>
      <c r="BO1197" s="418" t="str">
        <f t="shared" si="1997"/>
        <v/>
      </c>
      <c r="BP1197" s="418">
        <f t="shared" si="1998"/>
        <v>48000</v>
      </c>
      <c r="BQ1197" s="418" t="str">
        <f t="shared" si="1871"/>
        <v/>
      </c>
      <c r="BR1197" s="418" t="str">
        <f t="shared" si="1872"/>
        <v/>
      </c>
      <c r="BS1197" s="418" t="str">
        <f t="shared" si="1873"/>
        <v/>
      </c>
      <c r="BT1197" s="418" t="str">
        <f t="shared" si="1999"/>
        <v/>
      </c>
      <c r="BU1197" s="418" t="str">
        <f t="shared" si="2000"/>
        <v/>
      </c>
      <c r="BV1197" s="624">
        <v>0.91</v>
      </c>
      <c r="BW1197" s="723">
        <f t="shared" si="2001"/>
        <v>43680</v>
      </c>
      <c r="BX1197" s="724">
        <f t="shared" si="2002"/>
        <v>338520</v>
      </c>
      <c r="BY1197" s="725" t="str">
        <f t="shared" si="2003"/>
        <v>SR</v>
      </c>
    </row>
    <row r="1198" s="697" customFormat="1" customHeight="1" spans="1:77">
      <c r="A1198" s="362">
        <v>46233</v>
      </c>
      <c r="B1198" s="362">
        <v>46309</v>
      </c>
      <c r="C1198" s="431" t="s">
        <v>1064</v>
      </c>
      <c r="D1198" s="431" t="s">
        <v>1065</v>
      </c>
      <c r="E1198" s="431" t="s">
        <v>200</v>
      </c>
      <c r="F1198" s="623">
        <f>3300-84</f>
        <v>3216</v>
      </c>
      <c r="G1198" s="129" t="s">
        <v>270</v>
      </c>
      <c r="H1198" s="118" t="str">
        <f>IFERROR(VLOOKUP(E1198,名称!A:E,4,0),"")</f>
        <v>三代</v>
      </c>
      <c r="I1198" s="418" t="str">
        <f t="shared" si="1939"/>
        <v/>
      </c>
      <c r="J1198" s="418" t="str">
        <f t="shared" si="1940"/>
        <v/>
      </c>
      <c r="K1198" s="418" t="str">
        <f t="shared" si="1941"/>
        <v/>
      </c>
      <c r="L1198" s="418" t="str">
        <f t="shared" si="1942"/>
        <v/>
      </c>
      <c r="M1198" s="418" t="str">
        <f t="shared" si="1943"/>
        <v/>
      </c>
      <c r="N1198" s="418" t="str">
        <f t="shared" si="1944"/>
        <v/>
      </c>
      <c r="O1198" s="418" t="str">
        <f t="shared" si="1945"/>
        <v/>
      </c>
      <c r="P1198" s="418" t="str">
        <f t="shared" si="1946"/>
        <v/>
      </c>
      <c r="Q1198" s="418" t="str">
        <f t="shared" si="1947"/>
        <v/>
      </c>
      <c r="R1198" s="418" t="str">
        <f t="shared" si="1948"/>
        <v/>
      </c>
      <c r="S1198" s="418" t="str">
        <f t="shared" si="1949"/>
        <v/>
      </c>
      <c r="T1198" s="418" t="str">
        <f t="shared" si="1950"/>
        <v/>
      </c>
      <c r="U1198" s="418" t="str">
        <f t="shared" si="1951"/>
        <v/>
      </c>
      <c r="V1198" s="418" t="str">
        <f t="shared" si="1952"/>
        <v/>
      </c>
      <c r="W1198" s="418" t="str">
        <f t="shared" si="1953"/>
        <v/>
      </c>
      <c r="X1198" s="418" t="str">
        <f t="shared" si="1954"/>
        <v/>
      </c>
      <c r="Y1198" s="418" t="str">
        <f t="shared" si="1955"/>
        <v/>
      </c>
      <c r="Z1198" s="418" t="str">
        <f t="shared" si="1956"/>
        <v/>
      </c>
      <c r="AA1198" s="418" t="str">
        <f t="shared" si="1957"/>
        <v/>
      </c>
      <c r="AB1198" s="418" t="str">
        <f t="shared" si="1958"/>
        <v/>
      </c>
      <c r="AC1198" s="418" t="str">
        <f t="shared" si="1959"/>
        <v/>
      </c>
      <c r="AD1198" s="418" t="str">
        <f t="shared" si="1960"/>
        <v/>
      </c>
      <c r="AE1198" s="418" t="str">
        <f t="shared" si="1961"/>
        <v/>
      </c>
      <c r="AF1198" s="418" t="str">
        <f t="shared" si="1962"/>
        <v/>
      </c>
      <c r="AG1198" s="418" t="str">
        <f t="shared" si="1963"/>
        <v/>
      </c>
      <c r="AH1198" s="418" t="str">
        <f t="shared" si="1964"/>
        <v/>
      </c>
      <c r="AI1198" s="418" t="str">
        <f t="shared" si="1965"/>
        <v/>
      </c>
      <c r="AJ1198" s="418" t="str">
        <f t="shared" si="1966"/>
        <v/>
      </c>
      <c r="AK1198" s="418" t="str">
        <f t="shared" si="1967"/>
        <v/>
      </c>
      <c r="AL1198" s="418" t="str">
        <f t="shared" si="1968"/>
        <v/>
      </c>
      <c r="AM1198" s="418" t="str">
        <f t="shared" si="1969"/>
        <v/>
      </c>
      <c r="AN1198" s="418" t="str">
        <f t="shared" si="1970"/>
        <v/>
      </c>
      <c r="AO1198" s="418" t="str">
        <f t="shared" si="1971"/>
        <v/>
      </c>
      <c r="AP1198" s="418" t="str">
        <f t="shared" si="1972"/>
        <v/>
      </c>
      <c r="AQ1198" s="418" t="str">
        <f t="shared" si="1973"/>
        <v/>
      </c>
      <c r="AR1198" s="418" t="str">
        <f t="shared" si="1974"/>
        <v/>
      </c>
      <c r="AS1198" s="418" t="str">
        <f t="shared" si="1975"/>
        <v/>
      </c>
      <c r="AT1198" s="418" t="str">
        <f t="shared" si="1976"/>
        <v/>
      </c>
      <c r="AU1198" s="418" t="str">
        <f t="shared" si="1977"/>
        <v/>
      </c>
      <c r="AV1198" s="418" t="str">
        <f t="shared" si="1978"/>
        <v/>
      </c>
      <c r="AW1198" s="418" t="str">
        <f t="shared" si="1979"/>
        <v/>
      </c>
      <c r="AX1198" s="418" t="str">
        <f t="shared" si="1980"/>
        <v/>
      </c>
      <c r="AY1198" s="418" t="str">
        <f t="shared" si="1981"/>
        <v/>
      </c>
      <c r="AZ1198" s="418" t="str">
        <f t="shared" si="1982"/>
        <v/>
      </c>
      <c r="BA1198" s="418" t="str">
        <f t="shared" si="1983"/>
        <v/>
      </c>
      <c r="BB1198" s="418" t="str">
        <f t="shared" si="1984"/>
        <v/>
      </c>
      <c r="BC1198" s="418" t="str">
        <f t="shared" si="1985"/>
        <v/>
      </c>
      <c r="BD1198" s="418" t="str">
        <f t="shared" si="1986"/>
        <v/>
      </c>
      <c r="BE1198" s="418" t="str">
        <f t="shared" si="1987"/>
        <v/>
      </c>
      <c r="BF1198" s="418" t="str">
        <f t="shared" si="1988"/>
        <v/>
      </c>
      <c r="BG1198" s="418" t="str">
        <f t="shared" si="1989"/>
        <v/>
      </c>
      <c r="BH1198" s="418" t="str">
        <f t="shared" si="1990"/>
        <v/>
      </c>
      <c r="BI1198" s="418" t="str">
        <f t="shared" si="1991"/>
        <v/>
      </c>
      <c r="BJ1198" s="418" t="str">
        <f t="shared" si="1992"/>
        <v/>
      </c>
      <c r="BK1198" s="418" t="str">
        <f t="shared" si="1993"/>
        <v/>
      </c>
      <c r="BL1198" s="418" t="str">
        <f t="shared" si="1994"/>
        <v/>
      </c>
      <c r="BM1198" s="418" t="str">
        <f t="shared" si="1995"/>
        <v/>
      </c>
      <c r="BN1198" s="418" t="str">
        <f t="shared" si="1996"/>
        <v/>
      </c>
      <c r="BO1198" s="418" t="str">
        <f t="shared" si="1997"/>
        <v/>
      </c>
      <c r="BP1198" s="418">
        <f t="shared" si="1998"/>
        <v>3216</v>
      </c>
      <c r="BQ1198" s="418" t="str">
        <f t="shared" si="1871"/>
        <v/>
      </c>
      <c r="BR1198" s="418" t="str">
        <f t="shared" si="1872"/>
        <v/>
      </c>
      <c r="BS1198" s="418" t="str">
        <f t="shared" si="1873"/>
        <v/>
      </c>
      <c r="BT1198" s="418" t="str">
        <f t="shared" si="1999"/>
        <v/>
      </c>
      <c r="BU1198" s="418" t="str">
        <f t="shared" si="2000"/>
        <v/>
      </c>
      <c r="BV1198" s="624">
        <v>0.91</v>
      </c>
      <c r="BW1198" s="723">
        <f t="shared" si="2001"/>
        <v>2926.56</v>
      </c>
      <c r="BX1198" s="724">
        <f t="shared" si="2002"/>
        <v>22680.84</v>
      </c>
      <c r="BY1198" s="725" t="str">
        <f t="shared" si="2003"/>
        <v>SR</v>
      </c>
    </row>
    <row r="1199" s="697" customFormat="1" customHeight="1" spans="1:77">
      <c r="A1199" s="362">
        <v>46234</v>
      </c>
      <c r="B1199" s="362">
        <v>46241</v>
      </c>
      <c r="C1199" s="431" t="s">
        <v>839</v>
      </c>
      <c r="D1199" s="129" t="s">
        <v>1066</v>
      </c>
      <c r="E1199" s="541" t="s">
        <v>203</v>
      </c>
      <c r="F1199" s="96">
        <v>201</v>
      </c>
      <c r="G1199" s="431" t="s">
        <v>510</v>
      </c>
      <c r="H1199" s="118" t="str">
        <f>IFERROR(VLOOKUP(E1199,名称!A:E,4,0),"")</f>
        <v>三代</v>
      </c>
      <c r="I1199" s="418" t="str">
        <f t="shared" si="1939"/>
        <v/>
      </c>
      <c r="J1199" s="418" t="str">
        <f t="shared" si="1940"/>
        <v/>
      </c>
      <c r="K1199" s="418" t="str">
        <f t="shared" si="1941"/>
        <v/>
      </c>
      <c r="L1199" s="418" t="str">
        <f t="shared" si="1942"/>
        <v/>
      </c>
      <c r="M1199" s="418" t="str">
        <f t="shared" si="1943"/>
        <v/>
      </c>
      <c r="N1199" s="418" t="str">
        <f t="shared" si="1944"/>
        <v/>
      </c>
      <c r="O1199" s="418" t="str">
        <f t="shared" si="1945"/>
        <v/>
      </c>
      <c r="P1199" s="418" t="str">
        <f t="shared" si="1946"/>
        <v/>
      </c>
      <c r="Q1199" s="418" t="str">
        <f t="shared" si="1947"/>
        <v/>
      </c>
      <c r="R1199" s="418" t="str">
        <f t="shared" si="1948"/>
        <v/>
      </c>
      <c r="S1199" s="418" t="str">
        <f t="shared" si="1949"/>
        <v/>
      </c>
      <c r="T1199" s="418" t="str">
        <f t="shared" si="1950"/>
        <v/>
      </c>
      <c r="U1199" s="418" t="str">
        <f t="shared" si="1951"/>
        <v/>
      </c>
      <c r="V1199" s="418" t="str">
        <f t="shared" si="1952"/>
        <v/>
      </c>
      <c r="W1199" s="418" t="str">
        <f t="shared" si="1953"/>
        <v/>
      </c>
      <c r="X1199" s="418" t="str">
        <f t="shared" si="1954"/>
        <v/>
      </c>
      <c r="Y1199" s="418" t="str">
        <f t="shared" si="1955"/>
        <v/>
      </c>
      <c r="Z1199" s="418" t="str">
        <f t="shared" si="1956"/>
        <v/>
      </c>
      <c r="AA1199" s="418" t="str">
        <f t="shared" si="1957"/>
        <v/>
      </c>
      <c r="AB1199" s="418" t="str">
        <f t="shared" si="1958"/>
        <v/>
      </c>
      <c r="AC1199" s="418" t="str">
        <f t="shared" si="1959"/>
        <v/>
      </c>
      <c r="AD1199" s="418" t="str">
        <f t="shared" si="1960"/>
        <v/>
      </c>
      <c r="AE1199" s="418" t="str">
        <f t="shared" si="1961"/>
        <v/>
      </c>
      <c r="AF1199" s="418" t="str">
        <f t="shared" si="1962"/>
        <v/>
      </c>
      <c r="AG1199" s="418" t="str">
        <f t="shared" si="1963"/>
        <v/>
      </c>
      <c r="AH1199" s="418" t="str">
        <f t="shared" si="1964"/>
        <v/>
      </c>
      <c r="AI1199" s="418" t="str">
        <f t="shared" si="1965"/>
        <v/>
      </c>
      <c r="AJ1199" s="418" t="str">
        <f t="shared" si="1966"/>
        <v/>
      </c>
      <c r="AK1199" s="418" t="str">
        <f t="shared" si="1967"/>
        <v/>
      </c>
      <c r="AL1199" s="418" t="str">
        <f t="shared" si="1968"/>
        <v/>
      </c>
      <c r="AM1199" s="418" t="str">
        <f t="shared" si="1969"/>
        <v/>
      </c>
      <c r="AN1199" s="418" t="str">
        <f t="shared" si="1970"/>
        <v/>
      </c>
      <c r="AO1199" s="418" t="str">
        <f t="shared" si="1971"/>
        <v/>
      </c>
      <c r="AP1199" s="418" t="str">
        <f t="shared" si="1972"/>
        <v/>
      </c>
      <c r="AQ1199" s="418" t="str">
        <f t="shared" si="1973"/>
        <v/>
      </c>
      <c r="AR1199" s="418">
        <f t="shared" si="1974"/>
        <v>201</v>
      </c>
      <c r="AS1199" s="418" t="str">
        <f t="shared" si="1975"/>
        <v/>
      </c>
      <c r="AT1199" s="418" t="str">
        <f t="shared" si="1976"/>
        <v/>
      </c>
      <c r="AU1199" s="418" t="str">
        <f t="shared" si="1977"/>
        <v/>
      </c>
      <c r="AV1199" s="418" t="str">
        <f t="shared" si="1978"/>
        <v/>
      </c>
      <c r="AW1199" s="418" t="str">
        <f t="shared" si="1979"/>
        <v/>
      </c>
      <c r="AX1199" s="418" t="str">
        <f t="shared" si="1980"/>
        <v/>
      </c>
      <c r="AY1199" s="418" t="str">
        <f t="shared" si="1981"/>
        <v/>
      </c>
      <c r="AZ1199" s="418" t="str">
        <f t="shared" si="1982"/>
        <v/>
      </c>
      <c r="BA1199" s="418" t="str">
        <f t="shared" si="1983"/>
        <v/>
      </c>
      <c r="BB1199" s="418" t="str">
        <f t="shared" si="1984"/>
        <v/>
      </c>
      <c r="BC1199" s="418" t="str">
        <f t="shared" si="1985"/>
        <v/>
      </c>
      <c r="BD1199" s="418" t="str">
        <f t="shared" si="1986"/>
        <v/>
      </c>
      <c r="BE1199" s="418" t="str">
        <f t="shared" si="1987"/>
        <v/>
      </c>
      <c r="BF1199" s="418" t="str">
        <f t="shared" si="1988"/>
        <v/>
      </c>
      <c r="BG1199" s="418" t="str">
        <f t="shared" si="1989"/>
        <v/>
      </c>
      <c r="BH1199" s="418" t="str">
        <f t="shared" si="1990"/>
        <v/>
      </c>
      <c r="BI1199" s="418" t="str">
        <f t="shared" si="1991"/>
        <v/>
      </c>
      <c r="BJ1199" s="418" t="str">
        <f t="shared" si="1992"/>
        <v/>
      </c>
      <c r="BK1199" s="418" t="str">
        <f t="shared" si="1993"/>
        <v/>
      </c>
      <c r="BL1199" s="418" t="str">
        <f t="shared" si="1994"/>
        <v/>
      </c>
      <c r="BM1199" s="418" t="str">
        <f t="shared" si="1995"/>
        <v/>
      </c>
      <c r="BN1199" s="418" t="str">
        <f t="shared" si="1996"/>
        <v/>
      </c>
      <c r="BO1199" s="418" t="str">
        <f t="shared" si="1997"/>
        <v/>
      </c>
      <c r="BP1199" s="418" t="str">
        <f t="shared" si="1998"/>
        <v/>
      </c>
      <c r="BQ1199" s="418" t="str">
        <f t="shared" si="1871"/>
        <v/>
      </c>
      <c r="BR1199" s="418" t="str">
        <f t="shared" si="1872"/>
        <v/>
      </c>
      <c r="BS1199" s="418" t="str">
        <f t="shared" si="1873"/>
        <v/>
      </c>
      <c r="BT1199" s="418" t="str">
        <f t="shared" si="1999"/>
        <v/>
      </c>
      <c r="BU1199" s="418" t="str">
        <f t="shared" si="2000"/>
        <v/>
      </c>
      <c r="BV1199" s="544"/>
      <c r="BW1199" s="723">
        <f t="shared" si="2001"/>
        <v>0</v>
      </c>
      <c r="BX1199" s="724">
        <f t="shared" si="2002"/>
        <v>0</v>
      </c>
      <c r="BY1199" s="725" t="str">
        <f t="shared" si="2003"/>
        <v>SR</v>
      </c>
    </row>
    <row r="1200" s="697" customFormat="1" customHeight="1" spans="1:77">
      <c r="A1200" s="362">
        <v>46234</v>
      </c>
      <c r="B1200" s="362">
        <v>46241</v>
      </c>
      <c r="C1200" s="431" t="s">
        <v>839</v>
      </c>
      <c r="D1200" s="129" t="s">
        <v>1067</v>
      </c>
      <c r="E1200" s="541" t="s">
        <v>119</v>
      </c>
      <c r="F1200" s="96">
        <v>200</v>
      </c>
      <c r="G1200" s="431" t="s">
        <v>510</v>
      </c>
      <c r="H1200" s="118" t="str">
        <f>IFERROR(VLOOKUP(E1200,名称!A:E,4,0),"")</f>
        <v>三代</v>
      </c>
      <c r="I1200" s="418" t="str">
        <f t="shared" si="1939"/>
        <v/>
      </c>
      <c r="J1200" s="418" t="str">
        <f t="shared" si="1940"/>
        <v/>
      </c>
      <c r="K1200" s="418" t="str">
        <f t="shared" si="1941"/>
        <v/>
      </c>
      <c r="L1200" s="418" t="str">
        <f t="shared" si="1942"/>
        <v/>
      </c>
      <c r="M1200" s="418" t="str">
        <f t="shared" si="1943"/>
        <v/>
      </c>
      <c r="N1200" s="418" t="str">
        <f t="shared" si="1944"/>
        <v/>
      </c>
      <c r="O1200" s="418" t="str">
        <f t="shared" si="1945"/>
        <v/>
      </c>
      <c r="P1200" s="418" t="str">
        <f t="shared" si="1946"/>
        <v/>
      </c>
      <c r="Q1200" s="418" t="str">
        <f t="shared" si="1947"/>
        <v/>
      </c>
      <c r="R1200" s="418" t="str">
        <f t="shared" si="1948"/>
        <v/>
      </c>
      <c r="S1200" s="418" t="str">
        <f t="shared" si="1949"/>
        <v/>
      </c>
      <c r="T1200" s="418" t="str">
        <f t="shared" si="1950"/>
        <v/>
      </c>
      <c r="U1200" s="418" t="str">
        <f t="shared" si="1951"/>
        <v/>
      </c>
      <c r="V1200" s="418" t="str">
        <f t="shared" si="1952"/>
        <v/>
      </c>
      <c r="W1200" s="418" t="str">
        <f t="shared" si="1953"/>
        <v/>
      </c>
      <c r="X1200" s="418" t="str">
        <f t="shared" si="1954"/>
        <v/>
      </c>
      <c r="Y1200" s="418" t="str">
        <f t="shared" si="1955"/>
        <v/>
      </c>
      <c r="Z1200" s="418" t="str">
        <f t="shared" si="1956"/>
        <v/>
      </c>
      <c r="AA1200" s="418" t="str">
        <f t="shared" si="1957"/>
        <v/>
      </c>
      <c r="AB1200" s="418" t="str">
        <f t="shared" si="1958"/>
        <v/>
      </c>
      <c r="AC1200" s="418" t="str">
        <f t="shared" si="1959"/>
        <v/>
      </c>
      <c r="AD1200" s="418" t="str">
        <f t="shared" si="1960"/>
        <v/>
      </c>
      <c r="AE1200" s="418" t="str">
        <f t="shared" si="1961"/>
        <v/>
      </c>
      <c r="AF1200" s="418" t="str">
        <f t="shared" si="1962"/>
        <v/>
      </c>
      <c r="AG1200" s="418" t="str">
        <f t="shared" si="1963"/>
        <v/>
      </c>
      <c r="AH1200" s="418" t="str">
        <f t="shared" si="1964"/>
        <v/>
      </c>
      <c r="AI1200" s="418" t="str">
        <f t="shared" si="1965"/>
        <v/>
      </c>
      <c r="AJ1200" s="418" t="str">
        <f t="shared" si="1966"/>
        <v/>
      </c>
      <c r="AK1200" s="418" t="str">
        <f t="shared" si="1967"/>
        <v/>
      </c>
      <c r="AL1200" s="418" t="str">
        <f t="shared" si="1968"/>
        <v/>
      </c>
      <c r="AM1200" s="418" t="str">
        <f t="shared" si="1969"/>
        <v/>
      </c>
      <c r="AN1200" s="418" t="str">
        <f t="shared" si="1970"/>
        <v/>
      </c>
      <c r="AO1200" s="418" t="str">
        <f t="shared" si="1971"/>
        <v/>
      </c>
      <c r="AP1200" s="418">
        <f t="shared" si="1972"/>
        <v>200</v>
      </c>
      <c r="AQ1200" s="418" t="str">
        <f t="shared" si="1973"/>
        <v/>
      </c>
      <c r="AR1200" s="418" t="str">
        <f t="shared" si="1974"/>
        <v/>
      </c>
      <c r="AS1200" s="418" t="str">
        <f t="shared" si="1975"/>
        <v/>
      </c>
      <c r="AT1200" s="418" t="str">
        <f t="shared" si="1976"/>
        <v/>
      </c>
      <c r="AU1200" s="418" t="str">
        <f t="shared" si="1977"/>
        <v/>
      </c>
      <c r="AV1200" s="418" t="str">
        <f t="shared" si="1978"/>
        <v/>
      </c>
      <c r="AW1200" s="418" t="str">
        <f t="shared" si="1979"/>
        <v/>
      </c>
      <c r="AX1200" s="418" t="str">
        <f t="shared" si="1980"/>
        <v/>
      </c>
      <c r="AY1200" s="418" t="str">
        <f t="shared" si="1981"/>
        <v/>
      </c>
      <c r="AZ1200" s="418" t="str">
        <f t="shared" si="1982"/>
        <v/>
      </c>
      <c r="BA1200" s="418" t="str">
        <f t="shared" si="1983"/>
        <v/>
      </c>
      <c r="BB1200" s="418" t="str">
        <f t="shared" si="1984"/>
        <v/>
      </c>
      <c r="BC1200" s="418" t="str">
        <f t="shared" si="1985"/>
        <v/>
      </c>
      <c r="BD1200" s="418" t="str">
        <f t="shared" si="1986"/>
        <v/>
      </c>
      <c r="BE1200" s="418" t="str">
        <f t="shared" si="1987"/>
        <v/>
      </c>
      <c r="BF1200" s="418" t="str">
        <f t="shared" si="1988"/>
        <v/>
      </c>
      <c r="BG1200" s="418" t="str">
        <f t="shared" si="1989"/>
        <v/>
      </c>
      <c r="BH1200" s="418" t="str">
        <f t="shared" si="1990"/>
        <v/>
      </c>
      <c r="BI1200" s="418" t="str">
        <f t="shared" si="1991"/>
        <v/>
      </c>
      <c r="BJ1200" s="418" t="str">
        <f t="shared" si="1992"/>
        <v/>
      </c>
      <c r="BK1200" s="418" t="str">
        <f t="shared" si="1993"/>
        <v/>
      </c>
      <c r="BL1200" s="418" t="str">
        <f t="shared" si="1994"/>
        <v/>
      </c>
      <c r="BM1200" s="418" t="str">
        <f t="shared" si="1995"/>
        <v/>
      </c>
      <c r="BN1200" s="418" t="str">
        <f t="shared" si="1996"/>
        <v/>
      </c>
      <c r="BO1200" s="418" t="str">
        <f t="shared" si="1997"/>
        <v/>
      </c>
      <c r="BP1200" s="418" t="str">
        <f t="shared" si="1998"/>
        <v/>
      </c>
      <c r="BQ1200" s="418" t="str">
        <f t="shared" si="1871"/>
        <v/>
      </c>
      <c r="BR1200" s="418" t="str">
        <f t="shared" si="1872"/>
        <v/>
      </c>
      <c r="BS1200" s="418" t="str">
        <f t="shared" si="1873"/>
        <v/>
      </c>
      <c r="BT1200" s="418" t="str">
        <f t="shared" si="1999"/>
        <v/>
      </c>
      <c r="BU1200" s="418" t="str">
        <f t="shared" si="2000"/>
        <v/>
      </c>
      <c r="BV1200" s="544"/>
      <c r="BW1200" s="723">
        <f t="shared" si="2001"/>
        <v>0</v>
      </c>
      <c r="BX1200" s="724">
        <f t="shared" si="2002"/>
        <v>0</v>
      </c>
      <c r="BY1200" s="725" t="str">
        <f t="shared" si="2003"/>
        <v>SR</v>
      </c>
    </row>
    <row r="1201" s="697" customFormat="1" customHeight="1" spans="1:77">
      <c r="A1201" s="362">
        <v>46234</v>
      </c>
      <c r="B1201" s="362">
        <v>46241</v>
      </c>
      <c r="C1201" s="431" t="s">
        <v>839</v>
      </c>
      <c r="D1201" s="129" t="s">
        <v>1068</v>
      </c>
      <c r="E1201" s="541" t="s">
        <v>89</v>
      </c>
      <c r="F1201" s="96">
        <v>250</v>
      </c>
      <c r="G1201" s="431" t="s">
        <v>510</v>
      </c>
      <c r="H1201" s="118" t="str">
        <f>IFERROR(VLOOKUP(E1201,名称!A:E,4,0),"")</f>
        <v>三代</v>
      </c>
      <c r="I1201" s="418" t="str">
        <f t="shared" si="1939"/>
        <v/>
      </c>
      <c r="J1201" s="418" t="str">
        <f t="shared" si="1940"/>
        <v/>
      </c>
      <c r="K1201" s="418" t="str">
        <f t="shared" si="1941"/>
        <v/>
      </c>
      <c r="L1201" s="418" t="str">
        <f t="shared" si="1942"/>
        <v/>
      </c>
      <c r="M1201" s="418" t="str">
        <f t="shared" si="1943"/>
        <v/>
      </c>
      <c r="N1201" s="418" t="str">
        <f t="shared" si="1944"/>
        <v/>
      </c>
      <c r="O1201" s="418" t="str">
        <f t="shared" si="1945"/>
        <v/>
      </c>
      <c r="P1201" s="418" t="str">
        <f t="shared" si="1946"/>
        <v/>
      </c>
      <c r="Q1201" s="418" t="str">
        <f t="shared" si="1947"/>
        <v/>
      </c>
      <c r="R1201" s="418" t="str">
        <f t="shared" si="1948"/>
        <v/>
      </c>
      <c r="S1201" s="418" t="str">
        <f t="shared" si="1949"/>
        <v/>
      </c>
      <c r="T1201" s="418" t="str">
        <f t="shared" si="1950"/>
        <v/>
      </c>
      <c r="U1201" s="418" t="str">
        <f t="shared" si="1951"/>
        <v/>
      </c>
      <c r="V1201" s="418" t="str">
        <f t="shared" si="1952"/>
        <v/>
      </c>
      <c r="W1201" s="418" t="str">
        <f t="shared" si="1953"/>
        <v/>
      </c>
      <c r="X1201" s="418" t="str">
        <f t="shared" si="1954"/>
        <v/>
      </c>
      <c r="Y1201" s="418" t="str">
        <f t="shared" si="1955"/>
        <v/>
      </c>
      <c r="Z1201" s="418" t="str">
        <f t="shared" si="1956"/>
        <v/>
      </c>
      <c r="AA1201" s="418" t="str">
        <f t="shared" si="1957"/>
        <v/>
      </c>
      <c r="AB1201" s="418" t="str">
        <f t="shared" si="1958"/>
        <v/>
      </c>
      <c r="AC1201" s="418" t="str">
        <f t="shared" si="1959"/>
        <v/>
      </c>
      <c r="AD1201" s="418" t="str">
        <f t="shared" si="1960"/>
        <v/>
      </c>
      <c r="AE1201" s="418" t="str">
        <f t="shared" si="1961"/>
        <v/>
      </c>
      <c r="AF1201" s="418" t="str">
        <f t="shared" si="1962"/>
        <v/>
      </c>
      <c r="AG1201" s="418" t="str">
        <f t="shared" si="1963"/>
        <v/>
      </c>
      <c r="AH1201" s="418" t="str">
        <f t="shared" si="1964"/>
        <v/>
      </c>
      <c r="AI1201" s="418" t="str">
        <f t="shared" si="1965"/>
        <v/>
      </c>
      <c r="AJ1201" s="418" t="str">
        <f t="shared" si="1966"/>
        <v/>
      </c>
      <c r="AK1201" s="418" t="str">
        <f t="shared" si="1967"/>
        <v/>
      </c>
      <c r="AL1201" s="418" t="str">
        <f t="shared" si="1968"/>
        <v/>
      </c>
      <c r="AM1201" s="418" t="str">
        <f t="shared" si="1969"/>
        <v/>
      </c>
      <c r="AN1201" s="418" t="str">
        <f t="shared" si="1970"/>
        <v/>
      </c>
      <c r="AO1201" s="418" t="str">
        <f t="shared" si="1971"/>
        <v/>
      </c>
      <c r="AP1201" s="418" t="str">
        <f t="shared" si="1972"/>
        <v/>
      </c>
      <c r="AQ1201" s="418" t="str">
        <f t="shared" si="1973"/>
        <v/>
      </c>
      <c r="AR1201" s="418" t="str">
        <f t="shared" si="1974"/>
        <v/>
      </c>
      <c r="AS1201" s="418" t="str">
        <f t="shared" si="1975"/>
        <v/>
      </c>
      <c r="AT1201" s="418" t="str">
        <f t="shared" si="1976"/>
        <v/>
      </c>
      <c r="AU1201" s="418">
        <f t="shared" si="1977"/>
        <v>250</v>
      </c>
      <c r="AV1201" s="418" t="str">
        <f t="shared" si="1978"/>
        <v/>
      </c>
      <c r="AW1201" s="418" t="str">
        <f t="shared" si="1979"/>
        <v/>
      </c>
      <c r="AX1201" s="418" t="str">
        <f t="shared" si="1980"/>
        <v/>
      </c>
      <c r="AY1201" s="418" t="str">
        <f t="shared" si="1981"/>
        <v/>
      </c>
      <c r="AZ1201" s="418" t="str">
        <f t="shared" si="1982"/>
        <v/>
      </c>
      <c r="BA1201" s="418" t="str">
        <f t="shared" si="1983"/>
        <v/>
      </c>
      <c r="BB1201" s="418" t="str">
        <f t="shared" si="1984"/>
        <v/>
      </c>
      <c r="BC1201" s="418" t="str">
        <f t="shared" si="1985"/>
        <v/>
      </c>
      <c r="BD1201" s="418" t="str">
        <f t="shared" si="1986"/>
        <v/>
      </c>
      <c r="BE1201" s="418" t="str">
        <f t="shared" si="1987"/>
        <v/>
      </c>
      <c r="BF1201" s="418" t="str">
        <f t="shared" si="1988"/>
        <v/>
      </c>
      <c r="BG1201" s="418" t="str">
        <f t="shared" si="1989"/>
        <v/>
      </c>
      <c r="BH1201" s="418" t="str">
        <f t="shared" si="1990"/>
        <v/>
      </c>
      <c r="BI1201" s="418" t="str">
        <f t="shared" si="1991"/>
        <v/>
      </c>
      <c r="BJ1201" s="418" t="str">
        <f t="shared" si="1992"/>
        <v/>
      </c>
      <c r="BK1201" s="418" t="str">
        <f t="shared" si="1993"/>
        <v/>
      </c>
      <c r="BL1201" s="418" t="str">
        <f t="shared" si="1994"/>
        <v/>
      </c>
      <c r="BM1201" s="418" t="str">
        <f t="shared" si="1995"/>
        <v/>
      </c>
      <c r="BN1201" s="418" t="str">
        <f t="shared" si="1996"/>
        <v/>
      </c>
      <c r="BO1201" s="418" t="str">
        <f t="shared" si="1997"/>
        <v/>
      </c>
      <c r="BP1201" s="418" t="str">
        <f t="shared" si="1998"/>
        <v/>
      </c>
      <c r="BQ1201" s="418" t="str">
        <f t="shared" si="1871"/>
        <v/>
      </c>
      <c r="BR1201" s="418" t="str">
        <f t="shared" si="1872"/>
        <v/>
      </c>
      <c r="BS1201" s="418" t="str">
        <f t="shared" si="1873"/>
        <v/>
      </c>
      <c r="BT1201" s="418" t="str">
        <f t="shared" si="1999"/>
        <v/>
      </c>
      <c r="BU1201" s="418" t="str">
        <f t="shared" si="2000"/>
        <v/>
      </c>
      <c r="BV1201" s="544"/>
      <c r="BW1201" s="723">
        <f t="shared" si="2001"/>
        <v>0</v>
      </c>
      <c r="BX1201" s="724">
        <f t="shared" si="2002"/>
        <v>0</v>
      </c>
      <c r="BY1201" s="725" t="str">
        <f t="shared" si="2003"/>
        <v>SR</v>
      </c>
    </row>
    <row r="1202" s="697" customFormat="1" customHeight="1" spans="1:77">
      <c r="A1202" s="362">
        <v>46234</v>
      </c>
      <c r="B1202" s="362">
        <v>46241</v>
      </c>
      <c r="C1202" s="431" t="s">
        <v>839</v>
      </c>
      <c r="D1202" s="129" t="s">
        <v>1069</v>
      </c>
      <c r="E1202" s="541" t="s">
        <v>204</v>
      </c>
      <c r="F1202" s="96">
        <v>210</v>
      </c>
      <c r="G1202" s="431" t="s">
        <v>510</v>
      </c>
      <c r="H1202" s="118" t="str">
        <f>IFERROR(VLOOKUP(E1202,名称!A:E,4,0),"")</f>
        <v>三代</v>
      </c>
      <c r="I1202" s="418" t="str">
        <f t="shared" si="1939"/>
        <v/>
      </c>
      <c r="J1202" s="418" t="str">
        <f t="shared" si="1940"/>
        <v/>
      </c>
      <c r="K1202" s="418" t="str">
        <f t="shared" si="1941"/>
        <v/>
      </c>
      <c r="L1202" s="418" t="str">
        <f t="shared" si="1942"/>
        <v/>
      </c>
      <c r="M1202" s="418" t="str">
        <f t="shared" si="1943"/>
        <v/>
      </c>
      <c r="N1202" s="418" t="str">
        <f t="shared" si="1944"/>
        <v/>
      </c>
      <c r="O1202" s="418" t="str">
        <f t="shared" si="1945"/>
        <v/>
      </c>
      <c r="P1202" s="418" t="str">
        <f t="shared" si="1946"/>
        <v/>
      </c>
      <c r="Q1202" s="418" t="str">
        <f t="shared" si="1947"/>
        <v/>
      </c>
      <c r="R1202" s="418" t="str">
        <f t="shared" si="1948"/>
        <v/>
      </c>
      <c r="S1202" s="418" t="str">
        <f t="shared" si="1949"/>
        <v/>
      </c>
      <c r="T1202" s="418" t="str">
        <f t="shared" si="1950"/>
        <v/>
      </c>
      <c r="U1202" s="418" t="str">
        <f t="shared" si="1951"/>
        <v/>
      </c>
      <c r="V1202" s="418" t="str">
        <f t="shared" si="1952"/>
        <v/>
      </c>
      <c r="W1202" s="418" t="str">
        <f t="shared" si="1953"/>
        <v/>
      </c>
      <c r="X1202" s="418" t="str">
        <f t="shared" si="1954"/>
        <v/>
      </c>
      <c r="Y1202" s="418" t="str">
        <f t="shared" si="1955"/>
        <v/>
      </c>
      <c r="Z1202" s="418" t="str">
        <f t="shared" si="1956"/>
        <v/>
      </c>
      <c r="AA1202" s="418" t="str">
        <f t="shared" si="1957"/>
        <v/>
      </c>
      <c r="AB1202" s="418" t="str">
        <f t="shared" si="1958"/>
        <v/>
      </c>
      <c r="AC1202" s="418" t="str">
        <f t="shared" si="1959"/>
        <v/>
      </c>
      <c r="AD1202" s="418" t="str">
        <f t="shared" si="1960"/>
        <v/>
      </c>
      <c r="AE1202" s="418" t="str">
        <f t="shared" si="1961"/>
        <v/>
      </c>
      <c r="AF1202" s="418" t="str">
        <f t="shared" si="1962"/>
        <v/>
      </c>
      <c r="AG1202" s="418" t="str">
        <f t="shared" si="1963"/>
        <v/>
      </c>
      <c r="AH1202" s="418" t="str">
        <f t="shared" si="1964"/>
        <v/>
      </c>
      <c r="AI1202" s="418" t="str">
        <f t="shared" si="1965"/>
        <v/>
      </c>
      <c r="AJ1202" s="418" t="str">
        <f t="shared" si="1966"/>
        <v/>
      </c>
      <c r="AK1202" s="418" t="str">
        <f t="shared" si="1967"/>
        <v/>
      </c>
      <c r="AL1202" s="418" t="str">
        <f t="shared" si="1968"/>
        <v/>
      </c>
      <c r="AM1202" s="418" t="str">
        <f t="shared" si="1969"/>
        <v/>
      </c>
      <c r="AN1202" s="418" t="str">
        <f t="shared" si="1970"/>
        <v/>
      </c>
      <c r="AO1202" s="418" t="str">
        <f t="shared" si="1971"/>
        <v/>
      </c>
      <c r="AP1202" s="418" t="str">
        <f t="shared" si="1972"/>
        <v/>
      </c>
      <c r="AQ1202" s="418" t="str">
        <f t="shared" si="1973"/>
        <v/>
      </c>
      <c r="AR1202" s="418" t="str">
        <f t="shared" si="1974"/>
        <v/>
      </c>
      <c r="AS1202" s="418" t="str">
        <f t="shared" si="1975"/>
        <v/>
      </c>
      <c r="AT1202" s="418">
        <f t="shared" si="1976"/>
        <v>210</v>
      </c>
      <c r="AU1202" s="418" t="str">
        <f t="shared" si="1977"/>
        <v/>
      </c>
      <c r="AV1202" s="418" t="str">
        <f t="shared" si="1978"/>
        <v/>
      </c>
      <c r="AW1202" s="418" t="str">
        <f t="shared" si="1979"/>
        <v/>
      </c>
      <c r="AX1202" s="418" t="str">
        <f t="shared" si="1980"/>
        <v/>
      </c>
      <c r="AY1202" s="418" t="str">
        <f t="shared" si="1981"/>
        <v/>
      </c>
      <c r="AZ1202" s="418" t="str">
        <f t="shared" si="1982"/>
        <v/>
      </c>
      <c r="BA1202" s="418" t="str">
        <f t="shared" si="1983"/>
        <v/>
      </c>
      <c r="BB1202" s="418" t="str">
        <f t="shared" si="1984"/>
        <v/>
      </c>
      <c r="BC1202" s="418" t="str">
        <f t="shared" si="1985"/>
        <v/>
      </c>
      <c r="BD1202" s="418" t="str">
        <f t="shared" si="1986"/>
        <v/>
      </c>
      <c r="BE1202" s="418" t="str">
        <f t="shared" si="1987"/>
        <v/>
      </c>
      <c r="BF1202" s="418" t="str">
        <f t="shared" si="1988"/>
        <v/>
      </c>
      <c r="BG1202" s="418" t="str">
        <f t="shared" si="1989"/>
        <v/>
      </c>
      <c r="BH1202" s="418" t="str">
        <f t="shared" si="1990"/>
        <v/>
      </c>
      <c r="BI1202" s="418" t="str">
        <f t="shared" si="1991"/>
        <v/>
      </c>
      <c r="BJ1202" s="418" t="str">
        <f t="shared" si="1992"/>
        <v/>
      </c>
      <c r="BK1202" s="418" t="str">
        <f t="shared" si="1993"/>
        <v/>
      </c>
      <c r="BL1202" s="418" t="str">
        <f t="shared" si="1994"/>
        <v/>
      </c>
      <c r="BM1202" s="418" t="str">
        <f t="shared" si="1995"/>
        <v/>
      </c>
      <c r="BN1202" s="418" t="str">
        <f t="shared" si="1996"/>
        <v/>
      </c>
      <c r="BO1202" s="418" t="str">
        <f t="shared" si="1997"/>
        <v/>
      </c>
      <c r="BP1202" s="418" t="str">
        <f t="shared" si="1998"/>
        <v/>
      </c>
      <c r="BQ1202" s="418" t="str">
        <f t="shared" si="1871"/>
        <v/>
      </c>
      <c r="BR1202" s="418" t="str">
        <f t="shared" si="1872"/>
        <v/>
      </c>
      <c r="BS1202" s="418" t="str">
        <f t="shared" si="1873"/>
        <v/>
      </c>
      <c r="BT1202" s="418" t="str">
        <f t="shared" si="1999"/>
        <v/>
      </c>
      <c r="BU1202" s="418" t="str">
        <f t="shared" si="2000"/>
        <v/>
      </c>
      <c r="BV1202" s="544"/>
      <c r="BW1202" s="723">
        <f t="shared" si="2001"/>
        <v>0</v>
      </c>
      <c r="BX1202" s="724">
        <f t="shared" si="2002"/>
        <v>0</v>
      </c>
      <c r="BY1202" s="725" t="str">
        <f t="shared" si="2003"/>
        <v>SR</v>
      </c>
    </row>
    <row r="1203" s="697" customFormat="1" customHeight="1" spans="1:77">
      <c r="A1203" s="362">
        <v>46234</v>
      </c>
      <c r="B1203" s="362">
        <v>46258</v>
      </c>
      <c r="C1203" s="431" t="s">
        <v>1070</v>
      </c>
      <c r="D1203" s="431" t="s">
        <v>1071</v>
      </c>
      <c r="E1203" s="431" t="s">
        <v>85</v>
      </c>
      <c r="F1203" s="96">
        <v>7800</v>
      </c>
      <c r="G1203" s="431" t="s">
        <v>510</v>
      </c>
      <c r="H1203" s="118" t="str">
        <f>IFERROR(VLOOKUP(E1203,名称!A:E,4,0),"")</f>
        <v>三代</v>
      </c>
      <c r="I1203" s="418" t="str">
        <f t="shared" si="1939"/>
        <v/>
      </c>
      <c r="J1203" s="418" t="str">
        <f t="shared" si="1940"/>
        <v/>
      </c>
      <c r="K1203" s="418" t="str">
        <f t="shared" si="1941"/>
        <v/>
      </c>
      <c r="L1203" s="418" t="str">
        <f t="shared" si="1942"/>
        <v/>
      </c>
      <c r="M1203" s="418" t="str">
        <f t="shared" si="1943"/>
        <v/>
      </c>
      <c r="N1203" s="418" t="str">
        <f t="shared" si="1944"/>
        <v/>
      </c>
      <c r="O1203" s="418" t="str">
        <f t="shared" si="1945"/>
        <v/>
      </c>
      <c r="P1203" s="418" t="str">
        <f t="shared" si="1946"/>
        <v/>
      </c>
      <c r="Q1203" s="418" t="str">
        <f t="shared" si="1947"/>
        <v/>
      </c>
      <c r="R1203" s="418" t="str">
        <f t="shared" si="1948"/>
        <v/>
      </c>
      <c r="S1203" s="418" t="str">
        <f t="shared" si="1949"/>
        <v/>
      </c>
      <c r="T1203" s="418" t="str">
        <f t="shared" si="1950"/>
        <v/>
      </c>
      <c r="U1203" s="418" t="str">
        <f t="shared" si="1951"/>
        <v/>
      </c>
      <c r="V1203" s="418" t="str">
        <f t="shared" si="1952"/>
        <v/>
      </c>
      <c r="W1203" s="418" t="str">
        <f t="shared" si="1953"/>
        <v/>
      </c>
      <c r="X1203" s="418" t="str">
        <f t="shared" si="1954"/>
        <v/>
      </c>
      <c r="Y1203" s="418" t="str">
        <f t="shared" si="1955"/>
        <v/>
      </c>
      <c r="Z1203" s="418" t="str">
        <f t="shared" si="1956"/>
        <v/>
      </c>
      <c r="AA1203" s="418" t="str">
        <f t="shared" si="1957"/>
        <v/>
      </c>
      <c r="AB1203" s="418" t="str">
        <f t="shared" si="1958"/>
        <v/>
      </c>
      <c r="AC1203" s="418" t="str">
        <f t="shared" si="1959"/>
        <v/>
      </c>
      <c r="AD1203" s="418" t="str">
        <f t="shared" si="1960"/>
        <v/>
      </c>
      <c r="AE1203" s="418" t="str">
        <f t="shared" si="1961"/>
        <v/>
      </c>
      <c r="AF1203" s="418" t="str">
        <f t="shared" si="1962"/>
        <v/>
      </c>
      <c r="AG1203" s="418" t="str">
        <f t="shared" si="1963"/>
        <v/>
      </c>
      <c r="AH1203" s="418" t="str">
        <f t="shared" si="1964"/>
        <v/>
      </c>
      <c r="AI1203" s="418" t="str">
        <f t="shared" si="1965"/>
        <v/>
      </c>
      <c r="AJ1203" s="418" t="str">
        <f t="shared" si="1966"/>
        <v/>
      </c>
      <c r="AK1203" s="418" t="str">
        <f t="shared" si="1967"/>
        <v/>
      </c>
      <c r="AL1203" s="418" t="str">
        <f t="shared" si="1968"/>
        <v/>
      </c>
      <c r="AM1203" s="418" t="str">
        <f t="shared" si="1969"/>
        <v/>
      </c>
      <c r="AN1203" s="418">
        <f t="shared" si="1970"/>
        <v>7800</v>
      </c>
      <c r="AO1203" s="418" t="str">
        <f t="shared" si="1971"/>
        <v/>
      </c>
      <c r="AP1203" s="418" t="str">
        <f t="shared" si="1972"/>
        <v/>
      </c>
      <c r="AQ1203" s="418" t="str">
        <f t="shared" si="1973"/>
        <v/>
      </c>
      <c r="AR1203" s="418" t="str">
        <f t="shared" si="1974"/>
        <v/>
      </c>
      <c r="AS1203" s="418" t="str">
        <f t="shared" si="1975"/>
        <v/>
      </c>
      <c r="AT1203" s="418" t="str">
        <f t="shared" si="1976"/>
        <v/>
      </c>
      <c r="AU1203" s="418" t="str">
        <f t="shared" si="1977"/>
        <v/>
      </c>
      <c r="AV1203" s="418" t="str">
        <f t="shared" si="1978"/>
        <v/>
      </c>
      <c r="AW1203" s="418" t="str">
        <f t="shared" si="1979"/>
        <v/>
      </c>
      <c r="AX1203" s="418" t="str">
        <f t="shared" si="1980"/>
        <v/>
      </c>
      <c r="AY1203" s="418" t="str">
        <f t="shared" si="1981"/>
        <v/>
      </c>
      <c r="AZ1203" s="418" t="str">
        <f t="shared" si="1982"/>
        <v/>
      </c>
      <c r="BA1203" s="418" t="str">
        <f t="shared" si="1983"/>
        <v/>
      </c>
      <c r="BB1203" s="418" t="str">
        <f t="shared" si="1984"/>
        <v/>
      </c>
      <c r="BC1203" s="418" t="str">
        <f t="shared" si="1985"/>
        <v/>
      </c>
      <c r="BD1203" s="418" t="str">
        <f t="shared" si="1986"/>
        <v/>
      </c>
      <c r="BE1203" s="418" t="str">
        <f t="shared" si="1987"/>
        <v/>
      </c>
      <c r="BF1203" s="418" t="str">
        <f t="shared" si="1988"/>
        <v/>
      </c>
      <c r="BG1203" s="418" t="str">
        <f t="shared" si="1989"/>
        <v/>
      </c>
      <c r="BH1203" s="418" t="str">
        <f t="shared" si="1990"/>
        <v/>
      </c>
      <c r="BI1203" s="418" t="str">
        <f t="shared" si="1991"/>
        <v/>
      </c>
      <c r="BJ1203" s="418" t="str">
        <f t="shared" si="1992"/>
        <v/>
      </c>
      <c r="BK1203" s="418" t="str">
        <f t="shared" si="1993"/>
        <v/>
      </c>
      <c r="BL1203" s="418" t="str">
        <f t="shared" si="1994"/>
        <v/>
      </c>
      <c r="BM1203" s="418" t="str">
        <f t="shared" si="1995"/>
        <v/>
      </c>
      <c r="BN1203" s="418" t="str">
        <f t="shared" si="1996"/>
        <v/>
      </c>
      <c r="BO1203" s="418" t="str">
        <f t="shared" si="1997"/>
        <v/>
      </c>
      <c r="BP1203" s="418" t="str">
        <f t="shared" si="1998"/>
        <v/>
      </c>
      <c r="BQ1203" s="418" t="str">
        <f t="shared" si="1871"/>
        <v/>
      </c>
      <c r="BR1203" s="418" t="str">
        <f t="shared" si="1872"/>
        <v/>
      </c>
      <c r="BS1203" s="418" t="str">
        <f t="shared" si="1873"/>
        <v/>
      </c>
      <c r="BT1203" s="418" t="str">
        <f t="shared" si="1999"/>
        <v/>
      </c>
      <c r="BU1203" s="418" t="str">
        <f t="shared" si="2000"/>
        <v/>
      </c>
      <c r="BV1203" s="624">
        <v>0.88</v>
      </c>
      <c r="BW1203" s="723">
        <f t="shared" si="2001"/>
        <v>6864</v>
      </c>
      <c r="BX1203" s="724">
        <f t="shared" si="2002"/>
        <v>53196</v>
      </c>
      <c r="BY1203" s="725" t="str">
        <f t="shared" si="2003"/>
        <v>SR</v>
      </c>
    </row>
    <row r="1204" s="697" customFormat="1" customHeight="1" spans="1:77">
      <c r="A1204" s="362">
        <v>46234</v>
      </c>
      <c r="B1204" s="362">
        <v>46290</v>
      </c>
      <c r="C1204" s="431" t="s">
        <v>1072</v>
      </c>
      <c r="D1204" s="431" t="s">
        <v>1073</v>
      </c>
      <c r="E1204" s="431" t="s">
        <v>50</v>
      </c>
      <c r="F1204" s="96">
        <f>24624+24624</f>
        <v>49248</v>
      </c>
      <c r="G1204" s="431" t="s">
        <v>334</v>
      </c>
      <c r="H1204" s="118" t="str">
        <f>IFERROR(VLOOKUP(E1204,名称!A:E,4,0),"")</f>
        <v>蛋糕</v>
      </c>
      <c r="I1204" s="418" t="str">
        <f t="shared" si="1939"/>
        <v/>
      </c>
      <c r="J1204" s="418" t="str">
        <f t="shared" si="1940"/>
        <v/>
      </c>
      <c r="K1204" s="418" t="str">
        <f t="shared" si="1941"/>
        <v/>
      </c>
      <c r="L1204" s="418" t="str">
        <f t="shared" si="1942"/>
        <v/>
      </c>
      <c r="M1204" s="418" t="str">
        <f t="shared" si="1943"/>
        <v/>
      </c>
      <c r="N1204" s="418" t="str">
        <f t="shared" si="1944"/>
        <v/>
      </c>
      <c r="O1204" s="418" t="str">
        <f t="shared" si="1945"/>
        <v/>
      </c>
      <c r="P1204" s="418" t="str">
        <f t="shared" si="1946"/>
        <v/>
      </c>
      <c r="Q1204" s="418" t="str">
        <f t="shared" si="1947"/>
        <v/>
      </c>
      <c r="R1204" s="418" t="str">
        <f t="shared" si="1948"/>
        <v/>
      </c>
      <c r="S1204" s="418" t="str">
        <f t="shared" si="1949"/>
        <v/>
      </c>
      <c r="T1204" s="418" t="str">
        <f t="shared" si="1950"/>
        <v/>
      </c>
      <c r="U1204" s="418" t="str">
        <f t="shared" si="1951"/>
        <v/>
      </c>
      <c r="V1204" s="418" t="str">
        <f t="shared" si="1952"/>
        <v/>
      </c>
      <c r="W1204" s="418" t="str">
        <f t="shared" si="1953"/>
        <v/>
      </c>
      <c r="X1204" s="418" t="str">
        <f t="shared" si="1954"/>
        <v/>
      </c>
      <c r="Y1204" s="418" t="str">
        <f t="shared" si="1955"/>
        <v/>
      </c>
      <c r="Z1204" s="418" t="str">
        <f t="shared" si="1956"/>
        <v/>
      </c>
      <c r="AA1204" s="418" t="str">
        <f t="shared" si="1957"/>
        <v/>
      </c>
      <c r="AB1204" s="418" t="str">
        <f t="shared" si="1958"/>
        <v/>
      </c>
      <c r="AC1204" s="418" t="str">
        <f t="shared" si="1959"/>
        <v/>
      </c>
      <c r="AD1204" s="418" t="str">
        <f t="shared" si="1960"/>
        <v/>
      </c>
      <c r="AE1204" s="418" t="str">
        <f t="shared" si="1961"/>
        <v/>
      </c>
      <c r="AF1204" s="418" t="str">
        <f t="shared" si="1962"/>
        <v/>
      </c>
      <c r="AG1204" s="418" t="str">
        <f t="shared" si="1963"/>
        <v/>
      </c>
      <c r="AH1204" s="418" t="str">
        <f t="shared" si="1964"/>
        <v/>
      </c>
      <c r="AI1204" s="418" t="str">
        <f t="shared" si="1965"/>
        <v/>
      </c>
      <c r="AJ1204" s="418" t="str">
        <f t="shared" si="1966"/>
        <v/>
      </c>
      <c r="AK1204" s="418" t="str">
        <f t="shared" si="1967"/>
        <v/>
      </c>
      <c r="AL1204" s="418" t="str">
        <f t="shared" si="1968"/>
        <v/>
      </c>
      <c r="AM1204" s="418" t="str">
        <f t="shared" si="1969"/>
        <v/>
      </c>
      <c r="AN1204" s="418" t="str">
        <f t="shared" si="1970"/>
        <v/>
      </c>
      <c r="AO1204" s="418" t="str">
        <f t="shared" si="1971"/>
        <v/>
      </c>
      <c r="AP1204" s="418" t="str">
        <f t="shared" si="1972"/>
        <v/>
      </c>
      <c r="AQ1204" s="418" t="str">
        <f t="shared" si="1973"/>
        <v/>
      </c>
      <c r="AR1204" s="418" t="str">
        <f t="shared" si="1974"/>
        <v/>
      </c>
      <c r="AS1204" s="418" t="str">
        <f t="shared" si="1975"/>
        <v/>
      </c>
      <c r="AT1204" s="418" t="str">
        <f t="shared" si="1976"/>
        <v/>
      </c>
      <c r="AU1204" s="418" t="str">
        <f t="shared" si="1977"/>
        <v/>
      </c>
      <c r="AV1204" s="418" t="str">
        <f t="shared" si="1978"/>
        <v/>
      </c>
      <c r="AW1204" s="418" t="str">
        <f t="shared" si="1979"/>
        <v/>
      </c>
      <c r="AX1204" s="418" t="str">
        <f t="shared" si="1980"/>
        <v/>
      </c>
      <c r="AY1204" s="418" t="str">
        <f t="shared" si="1981"/>
        <v/>
      </c>
      <c r="AZ1204" s="418" t="str">
        <f t="shared" si="1982"/>
        <v/>
      </c>
      <c r="BA1204" s="418" t="str">
        <f t="shared" si="1983"/>
        <v/>
      </c>
      <c r="BB1204" s="418" t="str">
        <f t="shared" si="1984"/>
        <v/>
      </c>
      <c r="BC1204" s="418" t="str">
        <f t="shared" si="1985"/>
        <v/>
      </c>
      <c r="BD1204" s="418" t="str">
        <f t="shared" si="1986"/>
        <v/>
      </c>
      <c r="BE1204" s="418" t="str">
        <f t="shared" si="1987"/>
        <v/>
      </c>
      <c r="BF1204" s="418" t="str">
        <f t="shared" si="1988"/>
        <v/>
      </c>
      <c r="BG1204" s="418">
        <f t="shared" si="1989"/>
        <v>49248</v>
      </c>
      <c r="BH1204" s="418" t="str">
        <f t="shared" si="1990"/>
        <v/>
      </c>
      <c r="BI1204" s="418" t="str">
        <f t="shared" si="1991"/>
        <v/>
      </c>
      <c r="BJ1204" s="418" t="str">
        <f t="shared" si="1992"/>
        <v/>
      </c>
      <c r="BK1204" s="418" t="str">
        <f t="shared" si="1993"/>
        <v/>
      </c>
      <c r="BL1204" s="418" t="str">
        <f t="shared" si="1994"/>
        <v/>
      </c>
      <c r="BM1204" s="418" t="str">
        <f t="shared" si="1995"/>
        <v/>
      </c>
      <c r="BN1204" s="418" t="str">
        <f t="shared" si="1996"/>
        <v/>
      </c>
      <c r="BO1204" s="418" t="str">
        <f t="shared" si="1997"/>
        <v/>
      </c>
      <c r="BP1204" s="418" t="str">
        <f t="shared" si="1998"/>
        <v/>
      </c>
      <c r="BQ1204" s="418" t="str">
        <f t="shared" si="1871"/>
        <v/>
      </c>
      <c r="BR1204" s="418" t="str">
        <f t="shared" si="1872"/>
        <v/>
      </c>
      <c r="BS1204" s="418" t="str">
        <f t="shared" si="1873"/>
        <v/>
      </c>
      <c r="BT1204" s="418" t="str">
        <f t="shared" si="1999"/>
        <v/>
      </c>
      <c r="BU1204" s="418" t="str">
        <f t="shared" si="2000"/>
        <v/>
      </c>
      <c r="BV1204" s="624">
        <v>1.03</v>
      </c>
      <c r="BW1204" s="723">
        <f t="shared" si="2001"/>
        <v>50725.44</v>
      </c>
      <c r="BX1204" s="724">
        <f t="shared" si="2002"/>
        <v>393122.16</v>
      </c>
      <c r="BY1204" s="725" t="str">
        <f t="shared" si="2003"/>
        <v>JC</v>
      </c>
    </row>
    <row r="1205" s="697" customFormat="1" customHeight="1" spans="1:77">
      <c r="A1205" s="362">
        <v>46234</v>
      </c>
      <c r="B1205" s="362">
        <v>46290</v>
      </c>
      <c r="C1205" s="431" t="s">
        <v>1072</v>
      </c>
      <c r="D1205" s="431" t="s">
        <v>1073</v>
      </c>
      <c r="E1205" s="431" t="s">
        <v>106</v>
      </c>
      <c r="F1205" s="96">
        <v>12240</v>
      </c>
      <c r="G1205" s="431" t="s">
        <v>334</v>
      </c>
      <c r="H1205" s="118" t="str">
        <f>IFERROR(VLOOKUP(E1205,名称!A:E,4,0),"")</f>
        <v>蛋糕</v>
      </c>
      <c r="I1205" s="418" t="str">
        <f t="shared" si="1939"/>
        <v/>
      </c>
      <c r="J1205" s="418" t="str">
        <f t="shared" si="1940"/>
        <v/>
      </c>
      <c r="K1205" s="418" t="str">
        <f t="shared" si="1941"/>
        <v/>
      </c>
      <c r="L1205" s="418" t="str">
        <f t="shared" si="1942"/>
        <v/>
      </c>
      <c r="M1205" s="418" t="str">
        <f t="shared" si="1943"/>
        <v/>
      </c>
      <c r="N1205" s="418" t="str">
        <f t="shared" si="1944"/>
        <v/>
      </c>
      <c r="O1205" s="418" t="str">
        <f t="shared" si="1945"/>
        <v/>
      </c>
      <c r="P1205" s="418" t="str">
        <f t="shared" si="1946"/>
        <v/>
      </c>
      <c r="Q1205" s="418" t="str">
        <f t="shared" si="1947"/>
        <v/>
      </c>
      <c r="R1205" s="418" t="str">
        <f t="shared" si="1948"/>
        <v/>
      </c>
      <c r="S1205" s="418" t="str">
        <f t="shared" si="1949"/>
        <v/>
      </c>
      <c r="T1205" s="418" t="str">
        <f t="shared" si="1950"/>
        <v/>
      </c>
      <c r="U1205" s="418" t="str">
        <f t="shared" si="1951"/>
        <v/>
      </c>
      <c r="V1205" s="418" t="str">
        <f t="shared" si="1952"/>
        <v/>
      </c>
      <c r="W1205" s="418" t="str">
        <f t="shared" si="1953"/>
        <v/>
      </c>
      <c r="X1205" s="418" t="str">
        <f t="shared" si="1954"/>
        <v/>
      </c>
      <c r="Y1205" s="418" t="str">
        <f t="shared" si="1955"/>
        <v/>
      </c>
      <c r="Z1205" s="418" t="str">
        <f t="shared" si="1956"/>
        <v/>
      </c>
      <c r="AA1205" s="418" t="str">
        <f t="shared" si="1957"/>
        <v/>
      </c>
      <c r="AB1205" s="418" t="str">
        <f t="shared" si="1958"/>
        <v/>
      </c>
      <c r="AC1205" s="418" t="str">
        <f t="shared" si="1959"/>
        <v/>
      </c>
      <c r="AD1205" s="418" t="str">
        <f t="shared" si="1960"/>
        <v/>
      </c>
      <c r="AE1205" s="418" t="str">
        <f t="shared" si="1961"/>
        <v/>
      </c>
      <c r="AF1205" s="418" t="str">
        <f t="shared" si="1962"/>
        <v/>
      </c>
      <c r="AG1205" s="418" t="str">
        <f t="shared" si="1963"/>
        <v/>
      </c>
      <c r="AH1205" s="418" t="str">
        <f t="shared" si="1964"/>
        <v/>
      </c>
      <c r="AI1205" s="418" t="str">
        <f t="shared" si="1965"/>
        <v/>
      </c>
      <c r="AJ1205" s="418" t="str">
        <f t="shared" si="1966"/>
        <v/>
      </c>
      <c r="AK1205" s="418" t="str">
        <f t="shared" si="1967"/>
        <v/>
      </c>
      <c r="AL1205" s="418" t="str">
        <f t="shared" si="1968"/>
        <v/>
      </c>
      <c r="AM1205" s="418" t="str">
        <f t="shared" si="1969"/>
        <v/>
      </c>
      <c r="AN1205" s="418" t="str">
        <f t="shared" si="1970"/>
        <v/>
      </c>
      <c r="AO1205" s="418" t="str">
        <f t="shared" si="1971"/>
        <v/>
      </c>
      <c r="AP1205" s="418" t="str">
        <f t="shared" si="1972"/>
        <v/>
      </c>
      <c r="AQ1205" s="418" t="str">
        <f t="shared" si="1973"/>
        <v/>
      </c>
      <c r="AR1205" s="418" t="str">
        <f t="shared" si="1974"/>
        <v/>
      </c>
      <c r="AS1205" s="418" t="str">
        <f t="shared" si="1975"/>
        <v/>
      </c>
      <c r="AT1205" s="418" t="str">
        <f t="shared" si="1976"/>
        <v/>
      </c>
      <c r="AU1205" s="418" t="str">
        <f t="shared" si="1977"/>
        <v/>
      </c>
      <c r="AV1205" s="418" t="str">
        <f t="shared" si="1978"/>
        <v/>
      </c>
      <c r="AW1205" s="418" t="str">
        <f t="shared" si="1979"/>
        <v/>
      </c>
      <c r="AX1205" s="418" t="str">
        <f t="shared" si="1980"/>
        <v/>
      </c>
      <c r="AY1205" s="418" t="str">
        <f t="shared" si="1981"/>
        <v/>
      </c>
      <c r="AZ1205" s="418" t="str">
        <f t="shared" si="1982"/>
        <v/>
      </c>
      <c r="BA1205" s="418" t="str">
        <f t="shared" si="1983"/>
        <v/>
      </c>
      <c r="BB1205" s="418" t="str">
        <f t="shared" si="1984"/>
        <v/>
      </c>
      <c r="BC1205" s="418" t="str">
        <f t="shared" si="1985"/>
        <v/>
      </c>
      <c r="BD1205" s="418" t="str">
        <f t="shared" si="1986"/>
        <v/>
      </c>
      <c r="BE1205" s="418" t="str">
        <f t="shared" si="1987"/>
        <v/>
      </c>
      <c r="BF1205" s="418" t="str">
        <f t="shared" si="1988"/>
        <v/>
      </c>
      <c r="BG1205" s="418">
        <f t="shared" si="1989"/>
        <v>12240</v>
      </c>
      <c r="BH1205" s="418" t="str">
        <f t="shared" si="1990"/>
        <v/>
      </c>
      <c r="BI1205" s="418" t="str">
        <f t="shared" si="1991"/>
        <v/>
      </c>
      <c r="BJ1205" s="418" t="str">
        <f t="shared" si="1992"/>
        <v/>
      </c>
      <c r="BK1205" s="418" t="str">
        <f t="shared" si="1993"/>
        <v/>
      </c>
      <c r="BL1205" s="418" t="str">
        <f t="shared" si="1994"/>
        <v/>
      </c>
      <c r="BM1205" s="418" t="str">
        <f t="shared" si="1995"/>
        <v/>
      </c>
      <c r="BN1205" s="418" t="str">
        <f t="shared" si="1996"/>
        <v/>
      </c>
      <c r="BO1205" s="418" t="str">
        <f t="shared" si="1997"/>
        <v/>
      </c>
      <c r="BP1205" s="418" t="str">
        <f t="shared" si="1998"/>
        <v/>
      </c>
      <c r="BQ1205" s="418" t="str">
        <f t="shared" si="1871"/>
        <v/>
      </c>
      <c r="BR1205" s="418" t="str">
        <f t="shared" si="1872"/>
        <v/>
      </c>
      <c r="BS1205" s="418" t="str">
        <f t="shared" si="1873"/>
        <v/>
      </c>
      <c r="BT1205" s="418" t="str">
        <f t="shared" si="1999"/>
        <v/>
      </c>
      <c r="BU1205" s="418" t="str">
        <f t="shared" si="2000"/>
        <v/>
      </c>
      <c r="BV1205" s="624">
        <v>1.05</v>
      </c>
      <c r="BW1205" s="723">
        <f t="shared" si="2001"/>
        <v>12852</v>
      </c>
      <c r="BX1205" s="724">
        <f t="shared" si="2002"/>
        <v>99603</v>
      </c>
      <c r="BY1205" s="725" t="str">
        <f t="shared" si="2003"/>
        <v>JC</v>
      </c>
    </row>
    <row r="1206" s="697" customFormat="1" customHeight="1" spans="1:77">
      <c r="A1206" s="362">
        <v>46234</v>
      </c>
      <c r="B1206" s="362">
        <v>46290</v>
      </c>
      <c r="C1206" s="431" t="s">
        <v>1072</v>
      </c>
      <c r="D1206" s="431" t="s">
        <v>1073</v>
      </c>
      <c r="E1206" s="431" t="s">
        <v>84</v>
      </c>
      <c r="F1206" s="96">
        <v>36000</v>
      </c>
      <c r="G1206" s="431" t="s">
        <v>334</v>
      </c>
      <c r="H1206" s="118" t="str">
        <f>IFERROR(VLOOKUP(E1206,名称!A:E,4,0),"")</f>
        <v>三代</v>
      </c>
      <c r="I1206" s="418" t="str">
        <f t="shared" si="1939"/>
        <v/>
      </c>
      <c r="J1206" s="418" t="str">
        <f t="shared" si="1940"/>
        <v/>
      </c>
      <c r="K1206" s="418" t="str">
        <f t="shared" si="1941"/>
        <v/>
      </c>
      <c r="L1206" s="418" t="str">
        <f t="shared" si="1942"/>
        <v/>
      </c>
      <c r="M1206" s="418" t="str">
        <f t="shared" si="1943"/>
        <v/>
      </c>
      <c r="N1206" s="418" t="str">
        <f t="shared" si="1944"/>
        <v/>
      </c>
      <c r="O1206" s="418" t="str">
        <f t="shared" si="1945"/>
        <v/>
      </c>
      <c r="P1206" s="418" t="str">
        <f t="shared" si="1946"/>
        <v/>
      </c>
      <c r="Q1206" s="418" t="str">
        <f t="shared" si="1947"/>
        <v/>
      </c>
      <c r="R1206" s="418" t="str">
        <f t="shared" si="1948"/>
        <v/>
      </c>
      <c r="S1206" s="418" t="str">
        <f t="shared" si="1949"/>
        <v/>
      </c>
      <c r="T1206" s="418" t="str">
        <f t="shared" si="1950"/>
        <v/>
      </c>
      <c r="U1206" s="418" t="str">
        <f t="shared" si="1951"/>
        <v/>
      </c>
      <c r="V1206" s="418" t="str">
        <f t="shared" si="1952"/>
        <v/>
      </c>
      <c r="W1206" s="418" t="str">
        <f t="shared" si="1953"/>
        <v/>
      </c>
      <c r="X1206" s="418" t="str">
        <f t="shared" si="1954"/>
        <v/>
      </c>
      <c r="Y1206" s="418" t="str">
        <f t="shared" si="1955"/>
        <v/>
      </c>
      <c r="Z1206" s="418" t="str">
        <f t="shared" si="1956"/>
        <v/>
      </c>
      <c r="AA1206" s="418" t="str">
        <f t="shared" si="1957"/>
        <v/>
      </c>
      <c r="AB1206" s="418" t="str">
        <f t="shared" si="1958"/>
        <v/>
      </c>
      <c r="AC1206" s="418" t="str">
        <f t="shared" si="1959"/>
        <v/>
      </c>
      <c r="AD1206" s="418" t="str">
        <f t="shared" si="1960"/>
        <v/>
      </c>
      <c r="AE1206" s="418" t="str">
        <f t="shared" si="1961"/>
        <v/>
      </c>
      <c r="AF1206" s="418" t="str">
        <f t="shared" si="1962"/>
        <v/>
      </c>
      <c r="AG1206" s="418" t="str">
        <f t="shared" si="1963"/>
        <v/>
      </c>
      <c r="AH1206" s="418" t="str">
        <f t="shared" si="1964"/>
        <v/>
      </c>
      <c r="AI1206" s="418" t="str">
        <f t="shared" si="1965"/>
        <v/>
      </c>
      <c r="AJ1206" s="418" t="str">
        <f t="shared" si="1966"/>
        <v/>
      </c>
      <c r="AK1206" s="418" t="str">
        <f t="shared" si="1967"/>
        <v/>
      </c>
      <c r="AL1206" s="418" t="str">
        <f t="shared" si="1968"/>
        <v/>
      </c>
      <c r="AM1206" s="418" t="str">
        <f t="shared" si="1969"/>
        <v/>
      </c>
      <c r="AN1206" s="418">
        <f t="shared" si="1970"/>
        <v>36000</v>
      </c>
      <c r="AO1206" s="418" t="str">
        <f t="shared" si="1971"/>
        <v/>
      </c>
      <c r="AP1206" s="418" t="str">
        <f t="shared" si="1972"/>
        <v/>
      </c>
      <c r="AQ1206" s="418" t="str">
        <f t="shared" si="1973"/>
        <v/>
      </c>
      <c r="AR1206" s="418" t="str">
        <f t="shared" si="1974"/>
        <v/>
      </c>
      <c r="AS1206" s="418" t="str">
        <f t="shared" si="1975"/>
        <v/>
      </c>
      <c r="AT1206" s="418" t="str">
        <f t="shared" si="1976"/>
        <v/>
      </c>
      <c r="AU1206" s="418" t="str">
        <f t="shared" si="1977"/>
        <v/>
      </c>
      <c r="AV1206" s="418" t="str">
        <f t="shared" si="1978"/>
        <v/>
      </c>
      <c r="AW1206" s="418" t="str">
        <f t="shared" si="1979"/>
        <v/>
      </c>
      <c r="AX1206" s="418" t="str">
        <f t="shared" si="1980"/>
        <v/>
      </c>
      <c r="AY1206" s="418" t="str">
        <f t="shared" si="1981"/>
        <v/>
      </c>
      <c r="AZ1206" s="418" t="str">
        <f t="shared" si="1982"/>
        <v/>
      </c>
      <c r="BA1206" s="418" t="str">
        <f t="shared" si="1983"/>
        <v/>
      </c>
      <c r="BB1206" s="418" t="str">
        <f t="shared" si="1984"/>
        <v/>
      </c>
      <c r="BC1206" s="418" t="str">
        <f t="shared" si="1985"/>
        <v/>
      </c>
      <c r="BD1206" s="418" t="str">
        <f t="shared" si="1986"/>
        <v/>
      </c>
      <c r="BE1206" s="418" t="str">
        <f t="shared" si="1987"/>
        <v/>
      </c>
      <c r="BF1206" s="418" t="str">
        <f t="shared" si="1988"/>
        <v/>
      </c>
      <c r="BG1206" s="418" t="str">
        <f t="shared" si="1989"/>
        <v/>
      </c>
      <c r="BH1206" s="418" t="str">
        <f t="shared" si="1990"/>
        <v/>
      </c>
      <c r="BI1206" s="418" t="str">
        <f t="shared" si="1991"/>
        <v/>
      </c>
      <c r="BJ1206" s="418" t="str">
        <f t="shared" si="1992"/>
        <v/>
      </c>
      <c r="BK1206" s="418" t="str">
        <f t="shared" si="1993"/>
        <v/>
      </c>
      <c r="BL1206" s="418" t="str">
        <f t="shared" si="1994"/>
        <v/>
      </c>
      <c r="BM1206" s="418" t="str">
        <f t="shared" si="1995"/>
        <v/>
      </c>
      <c r="BN1206" s="418" t="str">
        <f t="shared" si="1996"/>
        <v/>
      </c>
      <c r="BO1206" s="418" t="str">
        <f t="shared" si="1997"/>
        <v/>
      </c>
      <c r="BP1206" s="418" t="str">
        <f t="shared" si="1998"/>
        <v/>
      </c>
      <c r="BQ1206" s="418" t="str">
        <f t="shared" si="1871"/>
        <v/>
      </c>
      <c r="BR1206" s="418" t="str">
        <f t="shared" si="1872"/>
        <v/>
      </c>
      <c r="BS1206" s="418" t="str">
        <f t="shared" si="1873"/>
        <v/>
      </c>
      <c r="BT1206" s="418" t="str">
        <f t="shared" si="1999"/>
        <v/>
      </c>
      <c r="BU1206" s="418" t="str">
        <f t="shared" si="2000"/>
        <v/>
      </c>
      <c r="BV1206" s="624">
        <v>0.88</v>
      </c>
      <c r="BW1206" s="723">
        <f t="shared" si="2001"/>
        <v>31680</v>
      </c>
      <c r="BX1206" s="724">
        <f t="shared" si="2002"/>
        <v>245520</v>
      </c>
      <c r="BY1206" s="725" t="str">
        <f t="shared" si="2003"/>
        <v>SR</v>
      </c>
    </row>
    <row r="1207" s="697" customFormat="1" customHeight="1" spans="1:77">
      <c r="A1207" s="362">
        <v>46237</v>
      </c>
      <c r="B1207" s="362">
        <v>46290</v>
      </c>
      <c r="C1207" s="431" t="s">
        <v>1074</v>
      </c>
      <c r="D1207" s="431" t="s">
        <v>1075</v>
      </c>
      <c r="E1207" s="431" t="s">
        <v>206</v>
      </c>
      <c r="F1207" s="96">
        <v>27000</v>
      </c>
      <c r="G1207" s="431" t="s">
        <v>510</v>
      </c>
      <c r="H1207" s="118" t="str">
        <f>IFERROR(VLOOKUP(E1207,名称!A:E,4,0),"")</f>
        <v>蛋糕</v>
      </c>
      <c r="I1207" s="418" t="str">
        <f t="shared" si="1939"/>
        <v/>
      </c>
      <c r="J1207" s="418" t="str">
        <f t="shared" si="1940"/>
        <v/>
      </c>
      <c r="K1207" s="418" t="str">
        <f t="shared" si="1941"/>
        <v/>
      </c>
      <c r="L1207" s="418" t="str">
        <f t="shared" si="1942"/>
        <v/>
      </c>
      <c r="M1207" s="418" t="str">
        <f t="shared" si="1943"/>
        <v/>
      </c>
      <c r="N1207" s="418" t="str">
        <f t="shared" si="1944"/>
        <v/>
      </c>
      <c r="O1207" s="418" t="str">
        <f t="shared" si="1945"/>
        <v/>
      </c>
      <c r="P1207" s="418" t="str">
        <f t="shared" si="1946"/>
        <v/>
      </c>
      <c r="Q1207" s="418" t="str">
        <f t="shared" si="1947"/>
        <v/>
      </c>
      <c r="R1207" s="418" t="str">
        <f t="shared" si="1948"/>
        <v/>
      </c>
      <c r="S1207" s="418" t="str">
        <f t="shared" si="1949"/>
        <v/>
      </c>
      <c r="T1207" s="418" t="str">
        <f t="shared" si="1950"/>
        <v/>
      </c>
      <c r="U1207" s="418" t="str">
        <f t="shared" si="1951"/>
        <v/>
      </c>
      <c r="V1207" s="418" t="str">
        <f t="shared" si="1952"/>
        <v/>
      </c>
      <c r="W1207" s="418" t="str">
        <f t="shared" si="1953"/>
        <v/>
      </c>
      <c r="X1207" s="418" t="str">
        <f t="shared" si="1954"/>
        <v/>
      </c>
      <c r="Y1207" s="418" t="str">
        <f t="shared" si="1955"/>
        <v/>
      </c>
      <c r="Z1207" s="418" t="str">
        <f t="shared" si="1956"/>
        <v/>
      </c>
      <c r="AA1207" s="418" t="str">
        <f t="shared" si="1957"/>
        <v/>
      </c>
      <c r="AB1207" s="418" t="str">
        <f t="shared" si="1958"/>
        <v/>
      </c>
      <c r="AC1207" s="418" t="str">
        <f t="shared" si="1959"/>
        <v/>
      </c>
      <c r="AD1207" s="418" t="str">
        <f t="shared" si="1960"/>
        <v/>
      </c>
      <c r="AE1207" s="418" t="str">
        <f t="shared" si="1961"/>
        <v/>
      </c>
      <c r="AF1207" s="418" t="str">
        <f t="shared" si="1962"/>
        <v/>
      </c>
      <c r="AG1207" s="418" t="str">
        <f t="shared" si="1963"/>
        <v/>
      </c>
      <c r="AH1207" s="418" t="str">
        <f t="shared" si="1964"/>
        <v/>
      </c>
      <c r="AI1207" s="418" t="str">
        <f t="shared" si="1965"/>
        <v/>
      </c>
      <c r="AJ1207" s="418" t="str">
        <f t="shared" si="1966"/>
        <v/>
      </c>
      <c r="AK1207" s="418" t="str">
        <f t="shared" si="1967"/>
        <v/>
      </c>
      <c r="AL1207" s="418" t="str">
        <f t="shared" si="1968"/>
        <v/>
      </c>
      <c r="AM1207" s="418" t="str">
        <f t="shared" si="1969"/>
        <v/>
      </c>
      <c r="AN1207" s="418" t="str">
        <f t="shared" si="1970"/>
        <v/>
      </c>
      <c r="AO1207" s="418" t="str">
        <f t="shared" si="1971"/>
        <v/>
      </c>
      <c r="AP1207" s="418" t="str">
        <f t="shared" si="1972"/>
        <v/>
      </c>
      <c r="AQ1207" s="418" t="str">
        <f t="shared" si="1973"/>
        <v/>
      </c>
      <c r="AR1207" s="418" t="str">
        <f t="shared" si="1974"/>
        <v/>
      </c>
      <c r="AS1207" s="418" t="str">
        <f t="shared" si="1975"/>
        <v/>
      </c>
      <c r="AT1207" s="418" t="str">
        <f t="shared" si="1976"/>
        <v/>
      </c>
      <c r="AU1207" s="418" t="str">
        <f t="shared" si="1977"/>
        <v/>
      </c>
      <c r="AV1207" s="418" t="str">
        <f t="shared" si="1978"/>
        <v/>
      </c>
      <c r="AW1207" s="418" t="str">
        <f t="shared" si="1979"/>
        <v/>
      </c>
      <c r="AX1207" s="418" t="str">
        <f t="shared" si="1980"/>
        <v/>
      </c>
      <c r="AY1207" s="418" t="str">
        <f t="shared" si="1981"/>
        <v/>
      </c>
      <c r="AZ1207" s="418" t="str">
        <f t="shared" si="1982"/>
        <v/>
      </c>
      <c r="BA1207" s="418" t="str">
        <f t="shared" si="1983"/>
        <v/>
      </c>
      <c r="BB1207" s="418" t="str">
        <f t="shared" si="1984"/>
        <v/>
      </c>
      <c r="BC1207" s="418" t="str">
        <f t="shared" si="1985"/>
        <v/>
      </c>
      <c r="BD1207" s="418" t="str">
        <f t="shared" si="1986"/>
        <v/>
      </c>
      <c r="BE1207" s="418" t="str">
        <f t="shared" si="1987"/>
        <v/>
      </c>
      <c r="BF1207" s="418" t="str">
        <f t="shared" si="1988"/>
        <v/>
      </c>
      <c r="BG1207" s="418" t="str">
        <f t="shared" si="1989"/>
        <v/>
      </c>
      <c r="BH1207" s="418" t="str">
        <f t="shared" si="1990"/>
        <v/>
      </c>
      <c r="BI1207" s="418" t="str">
        <f t="shared" si="1991"/>
        <v/>
      </c>
      <c r="BJ1207" s="418" t="str">
        <f t="shared" si="1992"/>
        <v/>
      </c>
      <c r="BK1207" s="418" t="str">
        <f t="shared" si="1993"/>
        <v/>
      </c>
      <c r="BL1207" s="418" t="str">
        <f t="shared" si="1994"/>
        <v/>
      </c>
      <c r="BM1207" s="418" t="str">
        <f t="shared" si="1995"/>
        <v/>
      </c>
      <c r="BN1207" s="418" t="str">
        <f t="shared" si="1996"/>
        <v/>
      </c>
      <c r="BO1207" s="418" t="str">
        <f t="shared" si="1997"/>
        <v/>
      </c>
      <c r="BP1207" s="418" t="str">
        <f t="shared" si="1998"/>
        <v/>
      </c>
      <c r="BQ1207" s="418" t="str">
        <f t="shared" si="1871"/>
        <v/>
      </c>
      <c r="BR1207" s="418" t="str">
        <f t="shared" si="1872"/>
        <v/>
      </c>
      <c r="BS1207" s="418">
        <f t="shared" si="1873"/>
        <v>27000</v>
      </c>
      <c r="BT1207" s="418" t="str">
        <f t="shared" si="1999"/>
        <v/>
      </c>
      <c r="BU1207" s="418" t="str">
        <f t="shared" si="2000"/>
        <v/>
      </c>
      <c r="BV1207" s="624">
        <v>1.11</v>
      </c>
      <c r="BW1207" s="723">
        <f t="shared" si="2001"/>
        <v>29970</v>
      </c>
      <c r="BX1207" s="724">
        <f t="shared" si="2002"/>
        <v>232267.5</v>
      </c>
      <c r="BY1207" s="725" t="str">
        <f t="shared" si="2003"/>
        <v>JC</v>
      </c>
    </row>
    <row r="1208" s="697" customFormat="1" customHeight="1" spans="1:77">
      <c r="A1208" s="362">
        <v>46237</v>
      </c>
      <c r="B1208" s="362">
        <v>46316</v>
      </c>
      <c r="C1208" s="431" t="s">
        <v>1076</v>
      </c>
      <c r="D1208" s="431" t="s">
        <v>1077</v>
      </c>
      <c r="E1208" s="431" t="s">
        <v>206</v>
      </c>
      <c r="F1208" s="96">
        <v>13104</v>
      </c>
      <c r="G1208" s="431" t="s">
        <v>510</v>
      </c>
      <c r="H1208" s="118" t="str">
        <f>IFERROR(VLOOKUP(E1208,名称!A:E,4,0),"")</f>
        <v>蛋糕</v>
      </c>
      <c r="I1208" s="418" t="str">
        <f t="shared" si="1939"/>
        <v/>
      </c>
      <c r="J1208" s="418" t="str">
        <f t="shared" si="1940"/>
        <v/>
      </c>
      <c r="K1208" s="418" t="str">
        <f t="shared" si="1941"/>
        <v/>
      </c>
      <c r="L1208" s="418" t="str">
        <f t="shared" si="1942"/>
        <v/>
      </c>
      <c r="M1208" s="418" t="str">
        <f t="shared" si="1943"/>
        <v/>
      </c>
      <c r="N1208" s="418" t="str">
        <f t="shared" si="1944"/>
        <v/>
      </c>
      <c r="O1208" s="418" t="str">
        <f t="shared" si="1945"/>
        <v/>
      </c>
      <c r="P1208" s="418" t="str">
        <f t="shared" si="1946"/>
        <v/>
      </c>
      <c r="Q1208" s="418" t="str">
        <f t="shared" si="1947"/>
        <v/>
      </c>
      <c r="R1208" s="418" t="str">
        <f t="shared" si="1948"/>
        <v/>
      </c>
      <c r="S1208" s="418" t="str">
        <f t="shared" si="1949"/>
        <v/>
      </c>
      <c r="T1208" s="418" t="str">
        <f t="shared" si="1950"/>
        <v/>
      </c>
      <c r="U1208" s="418" t="str">
        <f t="shared" si="1951"/>
        <v/>
      </c>
      <c r="V1208" s="418" t="str">
        <f t="shared" si="1952"/>
        <v/>
      </c>
      <c r="W1208" s="418" t="str">
        <f t="shared" si="1953"/>
        <v/>
      </c>
      <c r="X1208" s="418" t="str">
        <f t="shared" si="1954"/>
        <v/>
      </c>
      <c r="Y1208" s="418" t="str">
        <f t="shared" si="1955"/>
        <v/>
      </c>
      <c r="Z1208" s="418" t="str">
        <f t="shared" si="1956"/>
        <v/>
      </c>
      <c r="AA1208" s="418" t="str">
        <f t="shared" si="1957"/>
        <v/>
      </c>
      <c r="AB1208" s="418" t="str">
        <f t="shared" si="1958"/>
        <v/>
      </c>
      <c r="AC1208" s="418" t="str">
        <f t="shared" si="1959"/>
        <v/>
      </c>
      <c r="AD1208" s="418" t="str">
        <f t="shared" si="1960"/>
        <v/>
      </c>
      <c r="AE1208" s="418" t="str">
        <f t="shared" si="1961"/>
        <v/>
      </c>
      <c r="AF1208" s="418" t="str">
        <f t="shared" si="1962"/>
        <v/>
      </c>
      <c r="AG1208" s="418" t="str">
        <f t="shared" si="1963"/>
        <v/>
      </c>
      <c r="AH1208" s="418" t="str">
        <f t="shared" si="1964"/>
        <v/>
      </c>
      <c r="AI1208" s="418" t="str">
        <f t="shared" si="1965"/>
        <v/>
      </c>
      <c r="AJ1208" s="418" t="str">
        <f t="shared" si="1966"/>
        <v/>
      </c>
      <c r="AK1208" s="418" t="str">
        <f t="shared" si="1967"/>
        <v/>
      </c>
      <c r="AL1208" s="418" t="str">
        <f t="shared" si="1968"/>
        <v/>
      </c>
      <c r="AM1208" s="418" t="str">
        <f t="shared" si="1969"/>
        <v/>
      </c>
      <c r="AN1208" s="418" t="str">
        <f t="shared" si="1970"/>
        <v/>
      </c>
      <c r="AO1208" s="418" t="str">
        <f t="shared" si="1971"/>
        <v/>
      </c>
      <c r="AP1208" s="418" t="str">
        <f t="shared" si="1972"/>
        <v/>
      </c>
      <c r="AQ1208" s="418" t="str">
        <f t="shared" si="1973"/>
        <v/>
      </c>
      <c r="AR1208" s="418" t="str">
        <f t="shared" si="1974"/>
        <v/>
      </c>
      <c r="AS1208" s="418" t="str">
        <f t="shared" si="1975"/>
        <v/>
      </c>
      <c r="AT1208" s="418" t="str">
        <f t="shared" si="1976"/>
        <v/>
      </c>
      <c r="AU1208" s="418" t="str">
        <f t="shared" si="1977"/>
        <v/>
      </c>
      <c r="AV1208" s="418" t="str">
        <f t="shared" si="1978"/>
        <v/>
      </c>
      <c r="AW1208" s="418" t="str">
        <f t="shared" si="1979"/>
        <v/>
      </c>
      <c r="AX1208" s="418" t="str">
        <f t="shared" si="1980"/>
        <v/>
      </c>
      <c r="AY1208" s="418" t="str">
        <f t="shared" si="1981"/>
        <v/>
      </c>
      <c r="AZ1208" s="418" t="str">
        <f t="shared" si="1982"/>
        <v/>
      </c>
      <c r="BA1208" s="418" t="str">
        <f t="shared" si="1983"/>
        <v/>
      </c>
      <c r="BB1208" s="418" t="str">
        <f t="shared" si="1984"/>
        <v/>
      </c>
      <c r="BC1208" s="418" t="str">
        <f t="shared" si="1985"/>
        <v/>
      </c>
      <c r="BD1208" s="418" t="str">
        <f t="shared" si="1986"/>
        <v/>
      </c>
      <c r="BE1208" s="418" t="str">
        <f t="shared" si="1987"/>
        <v/>
      </c>
      <c r="BF1208" s="418" t="str">
        <f t="shared" si="1988"/>
        <v/>
      </c>
      <c r="BG1208" s="418" t="str">
        <f t="shared" si="1989"/>
        <v/>
      </c>
      <c r="BH1208" s="418" t="str">
        <f t="shared" si="1990"/>
        <v/>
      </c>
      <c r="BI1208" s="418" t="str">
        <f t="shared" si="1991"/>
        <v/>
      </c>
      <c r="BJ1208" s="418" t="str">
        <f t="shared" si="1992"/>
        <v/>
      </c>
      <c r="BK1208" s="418" t="str">
        <f t="shared" si="1993"/>
        <v/>
      </c>
      <c r="BL1208" s="418" t="str">
        <f t="shared" si="1994"/>
        <v/>
      </c>
      <c r="BM1208" s="418" t="str">
        <f t="shared" si="1995"/>
        <v/>
      </c>
      <c r="BN1208" s="418" t="str">
        <f t="shared" si="1996"/>
        <v/>
      </c>
      <c r="BO1208" s="418" t="str">
        <f t="shared" si="1997"/>
        <v/>
      </c>
      <c r="BP1208" s="418" t="str">
        <f t="shared" si="1998"/>
        <v/>
      </c>
      <c r="BQ1208" s="418" t="str">
        <f t="shared" si="1871"/>
        <v/>
      </c>
      <c r="BR1208" s="418" t="str">
        <f t="shared" si="1872"/>
        <v/>
      </c>
      <c r="BS1208" s="418">
        <f t="shared" si="1873"/>
        <v>13104</v>
      </c>
      <c r="BT1208" s="418" t="str">
        <f t="shared" ref="BT1208:BT1221" si="2004">IF(OR($E1208="",BT$1=""),"",IF(TRIM(LEFT($E1208,MIN(IFERROR(FIND("CDU",UPPER($E1208)),999),IFERROR(FIND("BULK",UPPER($E1208)),999),IFERROR(FIND("-",$E1208),999),IFERROR(FIND("（",$E1208),999))-1))=BT$1,$F1208,""))</f>
        <v/>
      </c>
      <c r="BU1208" s="418" t="str">
        <f t="shared" ref="BU1208:BU1221" si="2005">IF(OR($E1208="",BU$1=""),"",IF(TRIM(LEFT($E1208,MIN(IFERROR(FIND("CDU",UPPER($E1208)),999),IFERROR(FIND("BULK",UPPER($E1208)),999),IFERROR(FIND("-",$E1208),999),IFERROR(FIND("（",$E1208),999))-1))=BU$1,$F1208,""))</f>
        <v/>
      </c>
      <c r="BV1208" s="624">
        <v>1.11</v>
      </c>
      <c r="BW1208" s="723">
        <f t="shared" ref="BW1208:BW1221" si="2006">SUM(I1208:BU1208)*BV1208</f>
        <v>14545.44</v>
      </c>
      <c r="BX1208" s="724">
        <f t="shared" ref="BX1208:BX1221" si="2007">BW1208*7.75</f>
        <v>112727.16</v>
      </c>
      <c r="BY1208" s="725" t="str">
        <f t="shared" ref="BY1208:BY1221" si="2008">MID(E1208,1,2)</f>
        <v>JC</v>
      </c>
    </row>
    <row r="1209" s="697" customFormat="1" customHeight="1" spans="1:77">
      <c r="A1209" s="362">
        <v>46237</v>
      </c>
      <c r="B1209" s="362">
        <v>46303</v>
      </c>
      <c r="C1209" s="431" t="s">
        <v>1078</v>
      </c>
      <c r="D1209" s="431" t="s">
        <v>1079</v>
      </c>
      <c r="E1209" s="431" t="s">
        <v>99</v>
      </c>
      <c r="F1209" s="96">
        <v>28872</v>
      </c>
      <c r="G1209" s="431" t="s">
        <v>510</v>
      </c>
      <c r="H1209" s="118" t="str">
        <f>IFERROR(VLOOKUP(E1209,名称!A:E,4,0),"")</f>
        <v>三代</v>
      </c>
      <c r="I1209" s="418" t="str">
        <f t="shared" si="1939"/>
        <v/>
      </c>
      <c r="J1209" s="418" t="str">
        <f t="shared" si="1940"/>
        <v/>
      </c>
      <c r="K1209" s="418" t="str">
        <f t="shared" si="1941"/>
        <v/>
      </c>
      <c r="L1209" s="418" t="str">
        <f t="shared" si="1942"/>
        <v/>
      </c>
      <c r="M1209" s="418" t="str">
        <f t="shared" si="1943"/>
        <v/>
      </c>
      <c r="N1209" s="418" t="str">
        <f t="shared" si="1944"/>
        <v/>
      </c>
      <c r="O1209" s="418" t="str">
        <f t="shared" si="1945"/>
        <v/>
      </c>
      <c r="P1209" s="418" t="str">
        <f t="shared" si="1946"/>
        <v/>
      </c>
      <c r="Q1209" s="418" t="str">
        <f t="shared" si="1947"/>
        <v/>
      </c>
      <c r="R1209" s="418" t="str">
        <f t="shared" si="1948"/>
        <v/>
      </c>
      <c r="S1209" s="418" t="str">
        <f t="shared" si="1949"/>
        <v/>
      </c>
      <c r="T1209" s="418" t="str">
        <f t="shared" si="1950"/>
        <v/>
      </c>
      <c r="U1209" s="418" t="str">
        <f t="shared" si="1951"/>
        <v/>
      </c>
      <c r="V1209" s="418" t="str">
        <f t="shared" si="1952"/>
        <v/>
      </c>
      <c r="W1209" s="418" t="str">
        <f t="shared" si="1953"/>
        <v/>
      </c>
      <c r="X1209" s="418" t="str">
        <f t="shared" si="1954"/>
        <v/>
      </c>
      <c r="Y1209" s="418" t="str">
        <f t="shared" si="1955"/>
        <v/>
      </c>
      <c r="Z1209" s="418" t="str">
        <f t="shared" si="1956"/>
        <v/>
      </c>
      <c r="AA1209" s="418" t="str">
        <f t="shared" si="1957"/>
        <v/>
      </c>
      <c r="AB1209" s="418" t="str">
        <f t="shared" si="1958"/>
        <v/>
      </c>
      <c r="AC1209" s="418">
        <f t="shared" si="1959"/>
        <v>28872</v>
      </c>
      <c r="AD1209" s="418" t="str">
        <f t="shared" si="1960"/>
        <v/>
      </c>
      <c r="AE1209" s="418" t="str">
        <f t="shared" si="1961"/>
        <v/>
      </c>
      <c r="AF1209" s="418" t="str">
        <f t="shared" si="1962"/>
        <v/>
      </c>
      <c r="AG1209" s="418" t="str">
        <f t="shared" si="1963"/>
        <v/>
      </c>
      <c r="AH1209" s="418" t="str">
        <f t="shared" si="1964"/>
        <v/>
      </c>
      <c r="AI1209" s="418" t="str">
        <f t="shared" si="1965"/>
        <v/>
      </c>
      <c r="AJ1209" s="418" t="str">
        <f t="shared" si="1966"/>
        <v/>
      </c>
      <c r="AK1209" s="418" t="str">
        <f t="shared" si="1967"/>
        <v/>
      </c>
      <c r="AL1209" s="418" t="str">
        <f t="shared" si="1968"/>
        <v/>
      </c>
      <c r="AM1209" s="418" t="str">
        <f t="shared" si="1969"/>
        <v/>
      </c>
      <c r="AN1209" s="418" t="str">
        <f t="shared" si="1970"/>
        <v/>
      </c>
      <c r="AO1209" s="418" t="str">
        <f t="shared" si="1971"/>
        <v/>
      </c>
      <c r="AP1209" s="418" t="str">
        <f t="shared" si="1972"/>
        <v/>
      </c>
      <c r="AQ1209" s="418" t="str">
        <f t="shared" si="1973"/>
        <v/>
      </c>
      <c r="AR1209" s="418" t="str">
        <f t="shared" si="1974"/>
        <v/>
      </c>
      <c r="AS1209" s="418" t="str">
        <f t="shared" si="1975"/>
        <v/>
      </c>
      <c r="AT1209" s="418" t="str">
        <f t="shared" si="1976"/>
        <v/>
      </c>
      <c r="AU1209" s="418" t="str">
        <f t="shared" si="1977"/>
        <v/>
      </c>
      <c r="AV1209" s="418" t="str">
        <f t="shared" si="1978"/>
        <v/>
      </c>
      <c r="AW1209" s="418" t="str">
        <f t="shared" si="1979"/>
        <v/>
      </c>
      <c r="AX1209" s="418" t="str">
        <f t="shared" si="1980"/>
        <v/>
      </c>
      <c r="AY1209" s="418" t="str">
        <f t="shared" si="1981"/>
        <v/>
      </c>
      <c r="AZ1209" s="418" t="str">
        <f t="shared" si="1982"/>
        <v/>
      </c>
      <c r="BA1209" s="418" t="str">
        <f t="shared" si="1983"/>
        <v/>
      </c>
      <c r="BB1209" s="418" t="str">
        <f t="shared" si="1984"/>
        <v/>
      </c>
      <c r="BC1209" s="418" t="str">
        <f t="shared" si="1985"/>
        <v/>
      </c>
      <c r="BD1209" s="418" t="str">
        <f t="shared" si="1986"/>
        <v/>
      </c>
      <c r="BE1209" s="418" t="str">
        <f t="shared" si="1987"/>
        <v/>
      </c>
      <c r="BF1209" s="418" t="str">
        <f t="shared" si="1988"/>
        <v/>
      </c>
      <c r="BG1209" s="418" t="str">
        <f t="shared" si="1989"/>
        <v/>
      </c>
      <c r="BH1209" s="418" t="str">
        <f t="shared" si="1990"/>
        <v/>
      </c>
      <c r="BI1209" s="418" t="str">
        <f t="shared" si="1991"/>
        <v/>
      </c>
      <c r="BJ1209" s="418" t="str">
        <f t="shared" si="1992"/>
        <v/>
      </c>
      <c r="BK1209" s="418" t="str">
        <f t="shared" si="1993"/>
        <v/>
      </c>
      <c r="BL1209" s="418" t="str">
        <f t="shared" si="1994"/>
        <v/>
      </c>
      <c r="BM1209" s="418" t="str">
        <f t="shared" si="1995"/>
        <v/>
      </c>
      <c r="BN1209" s="418" t="str">
        <f t="shared" si="1996"/>
        <v/>
      </c>
      <c r="BO1209" s="418" t="str">
        <f t="shared" si="1997"/>
        <v/>
      </c>
      <c r="BP1209" s="418" t="str">
        <f t="shared" si="1998"/>
        <v/>
      </c>
      <c r="BQ1209" s="418" t="str">
        <f t="shared" si="1871"/>
        <v/>
      </c>
      <c r="BR1209" s="418" t="str">
        <f t="shared" si="1872"/>
        <v/>
      </c>
      <c r="BS1209" s="418" t="str">
        <f t="shared" si="1873"/>
        <v/>
      </c>
      <c r="BT1209" s="418" t="str">
        <f t="shared" si="2004"/>
        <v/>
      </c>
      <c r="BU1209" s="418" t="str">
        <f t="shared" si="2005"/>
        <v/>
      </c>
      <c r="BV1209" s="624">
        <v>0.87</v>
      </c>
      <c r="BW1209" s="723">
        <f t="shared" si="2006"/>
        <v>25118.64</v>
      </c>
      <c r="BX1209" s="724">
        <f t="shared" si="2007"/>
        <v>194669.46</v>
      </c>
      <c r="BY1209" s="725" t="str">
        <f t="shared" si="2008"/>
        <v>SR</v>
      </c>
    </row>
    <row r="1210" s="697" customFormat="1" customHeight="1" spans="1:77">
      <c r="A1210" s="362">
        <v>46237</v>
      </c>
      <c r="B1210" s="362">
        <v>46303</v>
      </c>
      <c r="C1210" s="431" t="s">
        <v>1078</v>
      </c>
      <c r="D1210" s="431" t="s">
        <v>1079</v>
      </c>
      <c r="E1210" s="431" t="s">
        <v>67</v>
      </c>
      <c r="F1210" s="96">
        <v>10068</v>
      </c>
      <c r="G1210" s="431" t="s">
        <v>510</v>
      </c>
      <c r="H1210" s="118" t="str">
        <f>IFERROR(VLOOKUP(E1210,名称!A:E,4,0),"")</f>
        <v>三代</v>
      </c>
      <c r="I1210" s="418" t="str">
        <f t="shared" si="1939"/>
        <v/>
      </c>
      <c r="J1210" s="418" t="str">
        <f t="shared" si="1940"/>
        <v/>
      </c>
      <c r="K1210" s="418" t="str">
        <f t="shared" si="1941"/>
        <v/>
      </c>
      <c r="L1210" s="418" t="str">
        <f t="shared" si="1942"/>
        <v/>
      </c>
      <c r="M1210" s="418" t="str">
        <f t="shared" si="1943"/>
        <v/>
      </c>
      <c r="N1210" s="418" t="str">
        <f t="shared" si="1944"/>
        <v/>
      </c>
      <c r="O1210" s="418" t="str">
        <f t="shared" si="1945"/>
        <v/>
      </c>
      <c r="P1210" s="418" t="str">
        <f t="shared" si="1946"/>
        <v/>
      </c>
      <c r="Q1210" s="418" t="str">
        <f t="shared" si="1947"/>
        <v/>
      </c>
      <c r="R1210" s="418" t="str">
        <f t="shared" si="1948"/>
        <v/>
      </c>
      <c r="S1210" s="418" t="str">
        <f t="shared" si="1949"/>
        <v/>
      </c>
      <c r="T1210" s="418" t="str">
        <f t="shared" si="1950"/>
        <v/>
      </c>
      <c r="U1210" s="418" t="str">
        <f t="shared" si="1951"/>
        <v/>
      </c>
      <c r="V1210" s="418" t="str">
        <f t="shared" si="1952"/>
        <v/>
      </c>
      <c r="W1210" s="418" t="str">
        <f t="shared" si="1953"/>
        <v/>
      </c>
      <c r="X1210" s="418" t="str">
        <f t="shared" si="1954"/>
        <v/>
      </c>
      <c r="Y1210" s="418" t="str">
        <f t="shared" si="1955"/>
        <v/>
      </c>
      <c r="Z1210" s="418" t="str">
        <f t="shared" si="1956"/>
        <v/>
      </c>
      <c r="AA1210" s="418" t="str">
        <f t="shared" si="1957"/>
        <v/>
      </c>
      <c r="AB1210" s="418" t="str">
        <f t="shared" si="1958"/>
        <v/>
      </c>
      <c r="AC1210" s="418" t="str">
        <f t="shared" si="1959"/>
        <v/>
      </c>
      <c r="AD1210" s="418" t="str">
        <f t="shared" si="1960"/>
        <v/>
      </c>
      <c r="AE1210" s="418" t="str">
        <f t="shared" si="1961"/>
        <v/>
      </c>
      <c r="AF1210" s="418" t="str">
        <f t="shared" si="1962"/>
        <v/>
      </c>
      <c r="AG1210" s="418">
        <f t="shared" si="1963"/>
        <v>10068</v>
      </c>
      <c r="AH1210" s="418" t="str">
        <f t="shared" si="1964"/>
        <v/>
      </c>
      <c r="AI1210" s="418" t="str">
        <f t="shared" si="1965"/>
        <v/>
      </c>
      <c r="AJ1210" s="418" t="str">
        <f t="shared" si="1966"/>
        <v/>
      </c>
      <c r="AK1210" s="418" t="str">
        <f t="shared" si="1967"/>
        <v/>
      </c>
      <c r="AL1210" s="418" t="str">
        <f t="shared" si="1968"/>
        <v/>
      </c>
      <c r="AM1210" s="418" t="str">
        <f t="shared" si="1969"/>
        <v/>
      </c>
      <c r="AN1210" s="418" t="str">
        <f t="shared" si="1970"/>
        <v/>
      </c>
      <c r="AO1210" s="418" t="str">
        <f t="shared" si="1971"/>
        <v/>
      </c>
      <c r="AP1210" s="418" t="str">
        <f t="shared" si="1972"/>
        <v/>
      </c>
      <c r="AQ1210" s="418" t="str">
        <f t="shared" si="1973"/>
        <v/>
      </c>
      <c r="AR1210" s="418" t="str">
        <f t="shared" si="1974"/>
        <v/>
      </c>
      <c r="AS1210" s="418" t="str">
        <f t="shared" si="1975"/>
        <v/>
      </c>
      <c r="AT1210" s="418" t="str">
        <f t="shared" si="1976"/>
        <v/>
      </c>
      <c r="AU1210" s="418" t="str">
        <f t="shared" si="1977"/>
        <v/>
      </c>
      <c r="AV1210" s="418" t="str">
        <f t="shared" si="1978"/>
        <v/>
      </c>
      <c r="AW1210" s="418" t="str">
        <f t="shared" si="1979"/>
        <v/>
      </c>
      <c r="AX1210" s="418" t="str">
        <f t="shared" si="1980"/>
        <v/>
      </c>
      <c r="AY1210" s="418" t="str">
        <f t="shared" si="1981"/>
        <v/>
      </c>
      <c r="AZ1210" s="418" t="str">
        <f t="shared" si="1982"/>
        <v/>
      </c>
      <c r="BA1210" s="418" t="str">
        <f t="shared" si="1983"/>
        <v/>
      </c>
      <c r="BB1210" s="418" t="str">
        <f t="shared" si="1984"/>
        <v/>
      </c>
      <c r="BC1210" s="418" t="str">
        <f t="shared" si="1985"/>
        <v/>
      </c>
      <c r="BD1210" s="418" t="str">
        <f t="shared" si="1986"/>
        <v/>
      </c>
      <c r="BE1210" s="418" t="str">
        <f t="shared" si="1987"/>
        <v/>
      </c>
      <c r="BF1210" s="418" t="str">
        <f t="shared" si="1988"/>
        <v/>
      </c>
      <c r="BG1210" s="418" t="str">
        <f t="shared" si="1989"/>
        <v/>
      </c>
      <c r="BH1210" s="418" t="str">
        <f t="shared" si="1990"/>
        <v/>
      </c>
      <c r="BI1210" s="418" t="str">
        <f t="shared" si="1991"/>
        <v/>
      </c>
      <c r="BJ1210" s="418" t="str">
        <f t="shared" si="1992"/>
        <v/>
      </c>
      <c r="BK1210" s="418" t="str">
        <f t="shared" si="1993"/>
        <v/>
      </c>
      <c r="BL1210" s="418" t="str">
        <f t="shared" si="1994"/>
        <v/>
      </c>
      <c r="BM1210" s="418" t="str">
        <f t="shared" si="1995"/>
        <v/>
      </c>
      <c r="BN1210" s="418" t="str">
        <f t="shared" si="1996"/>
        <v/>
      </c>
      <c r="BO1210" s="418" t="str">
        <f t="shared" si="1997"/>
        <v/>
      </c>
      <c r="BP1210" s="418" t="str">
        <f t="shared" si="1998"/>
        <v/>
      </c>
      <c r="BQ1210" s="418" t="str">
        <f t="shared" si="1871"/>
        <v/>
      </c>
      <c r="BR1210" s="418" t="str">
        <f t="shared" si="1872"/>
        <v/>
      </c>
      <c r="BS1210" s="418" t="str">
        <f t="shared" si="1873"/>
        <v/>
      </c>
      <c r="BT1210" s="418" t="str">
        <f t="shared" si="2004"/>
        <v/>
      </c>
      <c r="BU1210" s="418" t="str">
        <f t="shared" si="2005"/>
        <v/>
      </c>
      <c r="BV1210" s="624">
        <v>2.02</v>
      </c>
      <c r="BW1210" s="723">
        <f t="shared" si="2006"/>
        <v>20337.36</v>
      </c>
      <c r="BX1210" s="724">
        <f t="shared" si="2007"/>
        <v>157614.54</v>
      </c>
      <c r="BY1210" s="725" t="str">
        <f t="shared" si="2008"/>
        <v>SR</v>
      </c>
    </row>
    <row r="1211" s="697" customFormat="1" customHeight="1" spans="1:77">
      <c r="A1211" s="362">
        <v>46237</v>
      </c>
      <c r="B1211" s="362">
        <v>46303</v>
      </c>
      <c r="C1211" s="431" t="s">
        <v>1078</v>
      </c>
      <c r="D1211" s="431" t="s">
        <v>1079</v>
      </c>
      <c r="E1211" s="431" t="s">
        <v>72</v>
      </c>
      <c r="F1211" s="96">
        <v>6420</v>
      </c>
      <c r="G1211" s="431" t="s">
        <v>510</v>
      </c>
      <c r="H1211" s="118" t="str">
        <f>IFERROR(VLOOKUP(E1211,名称!A:E,4,0),"")</f>
        <v>三代</v>
      </c>
      <c r="I1211" s="418" t="str">
        <f t="shared" si="1939"/>
        <v/>
      </c>
      <c r="J1211" s="418" t="str">
        <f t="shared" si="1940"/>
        <v/>
      </c>
      <c r="K1211" s="418" t="str">
        <f t="shared" si="1941"/>
        <v/>
      </c>
      <c r="L1211" s="418" t="str">
        <f t="shared" si="1942"/>
        <v/>
      </c>
      <c r="M1211" s="418" t="str">
        <f t="shared" si="1943"/>
        <v/>
      </c>
      <c r="N1211" s="418" t="str">
        <f t="shared" si="1944"/>
        <v/>
      </c>
      <c r="O1211" s="418" t="str">
        <f t="shared" si="1945"/>
        <v/>
      </c>
      <c r="P1211" s="418" t="str">
        <f t="shared" si="1946"/>
        <v/>
      </c>
      <c r="Q1211" s="418" t="str">
        <f t="shared" si="1947"/>
        <v/>
      </c>
      <c r="R1211" s="418" t="str">
        <f t="shared" si="1948"/>
        <v/>
      </c>
      <c r="S1211" s="418" t="str">
        <f t="shared" si="1949"/>
        <v/>
      </c>
      <c r="T1211" s="418" t="str">
        <f t="shared" si="1950"/>
        <v/>
      </c>
      <c r="U1211" s="418" t="str">
        <f t="shared" si="1951"/>
        <v/>
      </c>
      <c r="V1211" s="418" t="str">
        <f t="shared" si="1952"/>
        <v/>
      </c>
      <c r="W1211" s="418" t="str">
        <f t="shared" si="1953"/>
        <v/>
      </c>
      <c r="X1211" s="418" t="str">
        <f t="shared" si="1954"/>
        <v/>
      </c>
      <c r="Y1211" s="418" t="str">
        <f t="shared" si="1955"/>
        <v/>
      </c>
      <c r="Z1211" s="418" t="str">
        <f t="shared" si="1956"/>
        <v/>
      </c>
      <c r="AA1211" s="418" t="str">
        <f t="shared" si="1957"/>
        <v/>
      </c>
      <c r="AB1211" s="418" t="str">
        <f t="shared" si="1958"/>
        <v/>
      </c>
      <c r="AC1211" s="418" t="str">
        <f t="shared" si="1959"/>
        <v/>
      </c>
      <c r="AD1211" s="418" t="str">
        <f t="shared" si="1960"/>
        <v/>
      </c>
      <c r="AE1211" s="418" t="str">
        <f t="shared" si="1961"/>
        <v/>
      </c>
      <c r="AF1211" s="418" t="str">
        <f t="shared" si="1962"/>
        <v/>
      </c>
      <c r="AG1211" s="418" t="str">
        <f t="shared" si="1963"/>
        <v/>
      </c>
      <c r="AH1211" s="418" t="str">
        <f t="shared" si="1964"/>
        <v/>
      </c>
      <c r="AI1211" s="418" t="str">
        <f t="shared" si="1965"/>
        <v/>
      </c>
      <c r="AJ1211" s="418" t="str">
        <f t="shared" si="1966"/>
        <v/>
      </c>
      <c r="AK1211" s="418" t="str">
        <f t="shared" si="1967"/>
        <v/>
      </c>
      <c r="AL1211" s="418">
        <f t="shared" si="1968"/>
        <v>6420</v>
      </c>
      <c r="AM1211" s="418" t="str">
        <f t="shared" si="1969"/>
        <v/>
      </c>
      <c r="AN1211" s="418" t="str">
        <f t="shared" si="1970"/>
        <v/>
      </c>
      <c r="AO1211" s="418" t="str">
        <f t="shared" si="1971"/>
        <v/>
      </c>
      <c r="AP1211" s="418" t="str">
        <f t="shared" si="1972"/>
        <v/>
      </c>
      <c r="AQ1211" s="418" t="str">
        <f t="shared" si="1973"/>
        <v/>
      </c>
      <c r="AR1211" s="418" t="str">
        <f t="shared" si="1974"/>
        <v/>
      </c>
      <c r="AS1211" s="418" t="str">
        <f t="shared" si="1975"/>
        <v/>
      </c>
      <c r="AT1211" s="418" t="str">
        <f t="shared" si="1976"/>
        <v/>
      </c>
      <c r="AU1211" s="418" t="str">
        <f t="shared" si="1977"/>
        <v/>
      </c>
      <c r="AV1211" s="418" t="str">
        <f t="shared" si="1978"/>
        <v/>
      </c>
      <c r="AW1211" s="418" t="str">
        <f t="shared" si="1979"/>
        <v/>
      </c>
      <c r="AX1211" s="418" t="str">
        <f t="shared" si="1980"/>
        <v/>
      </c>
      <c r="AY1211" s="418" t="str">
        <f t="shared" si="1981"/>
        <v/>
      </c>
      <c r="AZ1211" s="418" t="str">
        <f t="shared" si="1982"/>
        <v/>
      </c>
      <c r="BA1211" s="418" t="str">
        <f t="shared" si="1983"/>
        <v/>
      </c>
      <c r="BB1211" s="418" t="str">
        <f t="shared" si="1984"/>
        <v/>
      </c>
      <c r="BC1211" s="418" t="str">
        <f t="shared" si="1985"/>
        <v/>
      </c>
      <c r="BD1211" s="418" t="str">
        <f t="shared" si="1986"/>
        <v/>
      </c>
      <c r="BE1211" s="418" t="str">
        <f t="shared" si="1987"/>
        <v/>
      </c>
      <c r="BF1211" s="418" t="str">
        <f t="shared" si="1988"/>
        <v/>
      </c>
      <c r="BG1211" s="418" t="str">
        <f t="shared" si="1989"/>
        <v/>
      </c>
      <c r="BH1211" s="418" t="str">
        <f t="shared" si="1990"/>
        <v/>
      </c>
      <c r="BI1211" s="418" t="str">
        <f t="shared" si="1991"/>
        <v/>
      </c>
      <c r="BJ1211" s="418" t="str">
        <f t="shared" si="1992"/>
        <v/>
      </c>
      <c r="BK1211" s="418" t="str">
        <f t="shared" si="1993"/>
        <v/>
      </c>
      <c r="BL1211" s="418" t="str">
        <f t="shared" si="1994"/>
        <v/>
      </c>
      <c r="BM1211" s="418" t="str">
        <f t="shared" si="1995"/>
        <v/>
      </c>
      <c r="BN1211" s="418" t="str">
        <f t="shared" si="1996"/>
        <v/>
      </c>
      <c r="BO1211" s="418" t="str">
        <f t="shared" si="1997"/>
        <v/>
      </c>
      <c r="BP1211" s="418" t="str">
        <f t="shared" si="1998"/>
        <v/>
      </c>
      <c r="BQ1211" s="418" t="str">
        <f t="shared" si="1871"/>
        <v/>
      </c>
      <c r="BR1211" s="418" t="str">
        <f t="shared" si="1872"/>
        <v/>
      </c>
      <c r="BS1211" s="418" t="str">
        <f t="shared" si="1873"/>
        <v/>
      </c>
      <c r="BT1211" s="418" t="str">
        <f t="shared" si="2004"/>
        <v/>
      </c>
      <c r="BU1211" s="418" t="str">
        <f t="shared" si="2005"/>
        <v/>
      </c>
      <c r="BV1211" s="624">
        <v>1.49</v>
      </c>
      <c r="BW1211" s="723">
        <f t="shared" si="2006"/>
        <v>9565.8</v>
      </c>
      <c r="BX1211" s="724">
        <f t="shared" si="2007"/>
        <v>74134.95</v>
      </c>
      <c r="BY1211" s="725" t="str">
        <f t="shared" si="2008"/>
        <v>SR</v>
      </c>
    </row>
    <row r="1212" s="697" customFormat="1" customHeight="1" spans="1:77">
      <c r="A1212" s="362">
        <v>46237</v>
      </c>
      <c r="B1212" s="362">
        <v>46303</v>
      </c>
      <c r="C1212" s="431" t="s">
        <v>1078</v>
      </c>
      <c r="D1212" s="431" t="s">
        <v>1079</v>
      </c>
      <c r="E1212" s="431" t="s">
        <v>85</v>
      </c>
      <c r="F1212" s="96">
        <v>18000</v>
      </c>
      <c r="G1212" s="431" t="s">
        <v>510</v>
      </c>
      <c r="H1212" s="118" t="str">
        <f>IFERROR(VLOOKUP(E1212,名称!A:E,4,0),"")</f>
        <v>三代</v>
      </c>
      <c r="I1212" s="418" t="str">
        <f t="shared" si="1939"/>
        <v/>
      </c>
      <c r="J1212" s="418" t="str">
        <f t="shared" si="1940"/>
        <v/>
      </c>
      <c r="K1212" s="418" t="str">
        <f t="shared" si="1941"/>
        <v/>
      </c>
      <c r="L1212" s="418" t="str">
        <f t="shared" si="1942"/>
        <v/>
      </c>
      <c r="M1212" s="418" t="str">
        <f t="shared" si="1943"/>
        <v/>
      </c>
      <c r="N1212" s="418" t="str">
        <f t="shared" si="1944"/>
        <v/>
      </c>
      <c r="O1212" s="418" t="str">
        <f t="shared" si="1945"/>
        <v/>
      </c>
      <c r="P1212" s="418" t="str">
        <f t="shared" si="1946"/>
        <v/>
      </c>
      <c r="Q1212" s="418" t="str">
        <f t="shared" si="1947"/>
        <v/>
      </c>
      <c r="R1212" s="418" t="str">
        <f t="shared" si="1948"/>
        <v/>
      </c>
      <c r="S1212" s="418" t="str">
        <f t="shared" si="1949"/>
        <v/>
      </c>
      <c r="T1212" s="418" t="str">
        <f t="shared" si="1950"/>
        <v/>
      </c>
      <c r="U1212" s="418" t="str">
        <f t="shared" si="1951"/>
        <v/>
      </c>
      <c r="V1212" s="418" t="str">
        <f t="shared" si="1952"/>
        <v/>
      </c>
      <c r="W1212" s="418" t="str">
        <f t="shared" si="1953"/>
        <v/>
      </c>
      <c r="X1212" s="418" t="str">
        <f t="shared" si="1954"/>
        <v/>
      </c>
      <c r="Y1212" s="418" t="str">
        <f t="shared" si="1955"/>
        <v/>
      </c>
      <c r="Z1212" s="418" t="str">
        <f t="shared" si="1956"/>
        <v/>
      </c>
      <c r="AA1212" s="418" t="str">
        <f t="shared" si="1957"/>
        <v/>
      </c>
      <c r="AB1212" s="418" t="str">
        <f t="shared" si="1958"/>
        <v/>
      </c>
      <c r="AC1212" s="418" t="str">
        <f t="shared" si="1959"/>
        <v/>
      </c>
      <c r="AD1212" s="418" t="str">
        <f t="shared" si="1960"/>
        <v/>
      </c>
      <c r="AE1212" s="418" t="str">
        <f t="shared" si="1961"/>
        <v/>
      </c>
      <c r="AF1212" s="418" t="str">
        <f t="shared" si="1962"/>
        <v/>
      </c>
      <c r="AG1212" s="418" t="str">
        <f t="shared" si="1963"/>
        <v/>
      </c>
      <c r="AH1212" s="418" t="str">
        <f t="shared" si="1964"/>
        <v/>
      </c>
      <c r="AI1212" s="418" t="str">
        <f t="shared" si="1965"/>
        <v/>
      </c>
      <c r="AJ1212" s="418" t="str">
        <f t="shared" si="1966"/>
        <v/>
      </c>
      <c r="AK1212" s="418" t="str">
        <f t="shared" si="1967"/>
        <v/>
      </c>
      <c r="AL1212" s="418" t="str">
        <f t="shared" si="1968"/>
        <v/>
      </c>
      <c r="AM1212" s="418" t="str">
        <f t="shared" si="1969"/>
        <v/>
      </c>
      <c r="AN1212" s="418">
        <f t="shared" si="1970"/>
        <v>18000</v>
      </c>
      <c r="AO1212" s="418" t="str">
        <f t="shared" si="1971"/>
        <v/>
      </c>
      <c r="AP1212" s="418" t="str">
        <f t="shared" si="1972"/>
        <v/>
      </c>
      <c r="AQ1212" s="418" t="str">
        <f t="shared" si="1973"/>
        <v/>
      </c>
      <c r="AR1212" s="418" t="str">
        <f t="shared" si="1974"/>
        <v/>
      </c>
      <c r="AS1212" s="418" t="str">
        <f t="shared" si="1975"/>
        <v/>
      </c>
      <c r="AT1212" s="418" t="str">
        <f t="shared" si="1976"/>
        <v/>
      </c>
      <c r="AU1212" s="418" t="str">
        <f t="shared" si="1977"/>
        <v/>
      </c>
      <c r="AV1212" s="418" t="str">
        <f t="shared" si="1978"/>
        <v/>
      </c>
      <c r="AW1212" s="418" t="str">
        <f t="shared" si="1979"/>
        <v/>
      </c>
      <c r="AX1212" s="418" t="str">
        <f t="shared" si="1980"/>
        <v/>
      </c>
      <c r="AY1212" s="418" t="str">
        <f t="shared" si="1981"/>
        <v/>
      </c>
      <c r="AZ1212" s="418" t="str">
        <f t="shared" si="1982"/>
        <v/>
      </c>
      <c r="BA1212" s="418" t="str">
        <f t="shared" si="1983"/>
        <v/>
      </c>
      <c r="BB1212" s="418" t="str">
        <f t="shared" si="1984"/>
        <v/>
      </c>
      <c r="BC1212" s="418" t="str">
        <f t="shared" si="1985"/>
        <v/>
      </c>
      <c r="BD1212" s="418" t="str">
        <f t="shared" si="1986"/>
        <v/>
      </c>
      <c r="BE1212" s="418" t="str">
        <f t="shared" si="1987"/>
        <v/>
      </c>
      <c r="BF1212" s="418" t="str">
        <f t="shared" si="1988"/>
        <v/>
      </c>
      <c r="BG1212" s="418" t="str">
        <f t="shared" si="1989"/>
        <v/>
      </c>
      <c r="BH1212" s="418" t="str">
        <f t="shared" si="1990"/>
        <v/>
      </c>
      <c r="BI1212" s="418" t="str">
        <f t="shared" si="1991"/>
        <v/>
      </c>
      <c r="BJ1212" s="418" t="str">
        <f t="shared" si="1992"/>
        <v/>
      </c>
      <c r="BK1212" s="418" t="str">
        <f t="shared" si="1993"/>
        <v/>
      </c>
      <c r="BL1212" s="418" t="str">
        <f t="shared" si="1994"/>
        <v/>
      </c>
      <c r="BM1212" s="418" t="str">
        <f t="shared" si="1995"/>
        <v/>
      </c>
      <c r="BN1212" s="418" t="str">
        <f t="shared" si="1996"/>
        <v/>
      </c>
      <c r="BO1212" s="418" t="str">
        <f t="shared" si="1997"/>
        <v/>
      </c>
      <c r="BP1212" s="418" t="str">
        <f t="shared" si="1998"/>
        <v/>
      </c>
      <c r="BQ1212" s="418" t="str">
        <f t="shared" si="1871"/>
        <v/>
      </c>
      <c r="BR1212" s="418" t="str">
        <f t="shared" si="1872"/>
        <v/>
      </c>
      <c r="BS1212" s="418" t="str">
        <f t="shared" si="1873"/>
        <v/>
      </c>
      <c r="BT1212" s="418" t="str">
        <f t="shared" si="2004"/>
        <v/>
      </c>
      <c r="BU1212" s="418" t="str">
        <f t="shared" si="2005"/>
        <v/>
      </c>
      <c r="BV1212" s="624">
        <v>0.88</v>
      </c>
      <c r="BW1212" s="723">
        <f t="shared" si="2006"/>
        <v>15840</v>
      </c>
      <c r="BX1212" s="724">
        <f t="shared" si="2007"/>
        <v>122760</v>
      </c>
      <c r="BY1212" s="725" t="str">
        <f t="shared" si="2008"/>
        <v>SR</v>
      </c>
    </row>
    <row r="1213" s="697" customFormat="1" customHeight="1" spans="1:77">
      <c r="A1213" s="362">
        <v>46237</v>
      </c>
      <c r="B1213" s="362">
        <v>46303</v>
      </c>
      <c r="C1213" s="431" t="s">
        <v>1078</v>
      </c>
      <c r="D1213" s="431" t="s">
        <v>1079</v>
      </c>
      <c r="E1213" s="431" t="s">
        <v>98</v>
      </c>
      <c r="F1213" s="96">
        <v>3000</v>
      </c>
      <c r="G1213" s="431" t="s">
        <v>510</v>
      </c>
      <c r="H1213" s="118" t="str">
        <f>IFERROR(VLOOKUP(E1213,名称!A:E,4,0),"")</f>
        <v>三代</v>
      </c>
      <c r="I1213" s="418" t="str">
        <f t="shared" si="1939"/>
        <v/>
      </c>
      <c r="J1213" s="418" t="str">
        <f t="shared" si="1940"/>
        <v/>
      </c>
      <c r="K1213" s="418" t="str">
        <f t="shared" si="1941"/>
        <v/>
      </c>
      <c r="L1213" s="418" t="str">
        <f t="shared" si="1942"/>
        <v/>
      </c>
      <c r="M1213" s="418" t="str">
        <f t="shared" si="1943"/>
        <v/>
      </c>
      <c r="N1213" s="418" t="str">
        <f t="shared" si="1944"/>
        <v/>
      </c>
      <c r="O1213" s="418" t="str">
        <f t="shared" si="1945"/>
        <v/>
      </c>
      <c r="P1213" s="418" t="str">
        <f t="shared" si="1946"/>
        <v/>
      </c>
      <c r="Q1213" s="418" t="str">
        <f t="shared" si="1947"/>
        <v/>
      </c>
      <c r="R1213" s="418" t="str">
        <f t="shared" si="1948"/>
        <v/>
      </c>
      <c r="S1213" s="418" t="str">
        <f t="shared" si="1949"/>
        <v/>
      </c>
      <c r="T1213" s="418" t="str">
        <f t="shared" si="1950"/>
        <v/>
      </c>
      <c r="U1213" s="418" t="str">
        <f t="shared" si="1951"/>
        <v/>
      </c>
      <c r="V1213" s="418" t="str">
        <f t="shared" si="1952"/>
        <v/>
      </c>
      <c r="W1213" s="418" t="str">
        <f t="shared" si="1953"/>
        <v/>
      </c>
      <c r="X1213" s="418" t="str">
        <f t="shared" si="1954"/>
        <v/>
      </c>
      <c r="Y1213" s="418" t="str">
        <f t="shared" si="1955"/>
        <v/>
      </c>
      <c r="Z1213" s="418" t="str">
        <f t="shared" si="1956"/>
        <v/>
      </c>
      <c r="AA1213" s="418" t="str">
        <f t="shared" si="1957"/>
        <v/>
      </c>
      <c r="AB1213" s="418" t="str">
        <f t="shared" si="1958"/>
        <v/>
      </c>
      <c r="AC1213" s="418" t="str">
        <f t="shared" si="1959"/>
        <v/>
      </c>
      <c r="AD1213" s="418" t="str">
        <f t="shared" si="1960"/>
        <v/>
      </c>
      <c r="AE1213" s="418" t="str">
        <f t="shared" si="1961"/>
        <v/>
      </c>
      <c r="AF1213" s="418" t="str">
        <f t="shared" si="1962"/>
        <v/>
      </c>
      <c r="AG1213" s="418" t="str">
        <f t="shared" si="1963"/>
        <v/>
      </c>
      <c r="AH1213" s="418" t="str">
        <f t="shared" si="1964"/>
        <v/>
      </c>
      <c r="AI1213" s="418" t="str">
        <f t="shared" si="1965"/>
        <v/>
      </c>
      <c r="AJ1213" s="418" t="str">
        <f t="shared" si="1966"/>
        <v/>
      </c>
      <c r="AK1213" s="418" t="str">
        <f t="shared" si="1967"/>
        <v/>
      </c>
      <c r="AL1213" s="418" t="str">
        <f t="shared" si="1968"/>
        <v/>
      </c>
      <c r="AM1213" s="418" t="str">
        <f t="shared" si="1969"/>
        <v/>
      </c>
      <c r="AN1213" s="418" t="str">
        <f t="shared" si="1970"/>
        <v/>
      </c>
      <c r="AO1213" s="418" t="str">
        <f t="shared" si="1971"/>
        <v/>
      </c>
      <c r="AP1213" s="418" t="str">
        <f t="shared" si="1972"/>
        <v/>
      </c>
      <c r="AQ1213" s="418" t="str">
        <f t="shared" si="1973"/>
        <v/>
      </c>
      <c r="AR1213" s="418" t="str">
        <f t="shared" si="1974"/>
        <v/>
      </c>
      <c r="AS1213" s="418" t="str">
        <f t="shared" si="1975"/>
        <v/>
      </c>
      <c r="AT1213" s="418" t="str">
        <f t="shared" si="1976"/>
        <v/>
      </c>
      <c r="AU1213" s="418" t="str">
        <f t="shared" si="1977"/>
        <v/>
      </c>
      <c r="AV1213" s="418" t="str">
        <f t="shared" si="1978"/>
        <v/>
      </c>
      <c r="AW1213" s="418" t="str">
        <f t="shared" si="1979"/>
        <v/>
      </c>
      <c r="AX1213" s="418" t="str">
        <f t="shared" si="1980"/>
        <v/>
      </c>
      <c r="AY1213" s="418" t="str">
        <f t="shared" si="1981"/>
        <v/>
      </c>
      <c r="AZ1213" s="418" t="str">
        <f t="shared" si="1982"/>
        <v/>
      </c>
      <c r="BA1213" s="418" t="str">
        <f t="shared" si="1983"/>
        <v/>
      </c>
      <c r="BB1213" s="418">
        <f t="shared" si="1984"/>
        <v>3000</v>
      </c>
      <c r="BC1213" s="418" t="str">
        <f t="shared" si="1985"/>
        <v/>
      </c>
      <c r="BD1213" s="418" t="str">
        <f t="shared" si="1986"/>
        <v/>
      </c>
      <c r="BE1213" s="418" t="str">
        <f t="shared" si="1987"/>
        <v/>
      </c>
      <c r="BF1213" s="418" t="str">
        <f t="shared" si="1988"/>
        <v/>
      </c>
      <c r="BG1213" s="418" t="str">
        <f t="shared" si="1989"/>
        <v/>
      </c>
      <c r="BH1213" s="418" t="str">
        <f t="shared" si="1990"/>
        <v/>
      </c>
      <c r="BI1213" s="418" t="str">
        <f t="shared" si="1991"/>
        <v/>
      </c>
      <c r="BJ1213" s="418" t="str">
        <f t="shared" si="1992"/>
        <v/>
      </c>
      <c r="BK1213" s="418" t="str">
        <f t="shared" si="1993"/>
        <v/>
      </c>
      <c r="BL1213" s="418" t="str">
        <f t="shared" si="1994"/>
        <v/>
      </c>
      <c r="BM1213" s="418" t="str">
        <f t="shared" si="1995"/>
        <v/>
      </c>
      <c r="BN1213" s="418" t="str">
        <f t="shared" si="1996"/>
        <v/>
      </c>
      <c r="BO1213" s="418" t="str">
        <f t="shared" si="1997"/>
        <v/>
      </c>
      <c r="BP1213" s="418" t="str">
        <f t="shared" si="1998"/>
        <v/>
      </c>
      <c r="BQ1213" s="418" t="str">
        <f t="shared" si="1871"/>
        <v/>
      </c>
      <c r="BR1213" s="418" t="str">
        <f t="shared" si="1872"/>
        <v/>
      </c>
      <c r="BS1213" s="418" t="str">
        <f t="shared" si="1873"/>
        <v/>
      </c>
      <c r="BT1213" s="418" t="str">
        <f t="shared" si="2004"/>
        <v/>
      </c>
      <c r="BU1213" s="418" t="str">
        <f t="shared" si="2005"/>
        <v/>
      </c>
      <c r="BV1213" s="624">
        <v>1.49</v>
      </c>
      <c r="BW1213" s="723">
        <f t="shared" si="2006"/>
        <v>4470</v>
      </c>
      <c r="BX1213" s="724">
        <f t="shared" si="2007"/>
        <v>34642.5</v>
      </c>
      <c r="BY1213" s="725" t="str">
        <f t="shared" si="2008"/>
        <v>SR</v>
      </c>
    </row>
    <row r="1214" s="697" customFormat="1" customHeight="1" spans="1:77">
      <c r="A1214" s="362">
        <v>46237</v>
      </c>
      <c r="B1214" s="362">
        <v>46303</v>
      </c>
      <c r="C1214" s="431" t="s">
        <v>1078</v>
      </c>
      <c r="D1214" s="431" t="s">
        <v>1079</v>
      </c>
      <c r="E1214" s="431" t="s">
        <v>123</v>
      </c>
      <c r="F1214" s="96">
        <v>9000</v>
      </c>
      <c r="G1214" s="431" t="s">
        <v>510</v>
      </c>
      <c r="H1214" s="118" t="str">
        <f>IFERROR(VLOOKUP(E1214,名称!A:E,4,0),"")</f>
        <v>蛋糕</v>
      </c>
      <c r="I1214" s="418" t="str">
        <f t="shared" si="1939"/>
        <v/>
      </c>
      <c r="J1214" s="418" t="str">
        <f t="shared" si="1940"/>
        <v/>
      </c>
      <c r="K1214" s="418" t="str">
        <f t="shared" si="1941"/>
        <v/>
      </c>
      <c r="L1214" s="418" t="str">
        <f t="shared" si="1942"/>
        <v/>
      </c>
      <c r="M1214" s="418" t="str">
        <f t="shared" si="1943"/>
        <v/>
      </c>
      <c r="N1214" s="418" t="str">
        <f t="shared" si="1944"/>
        <v/>
      </c>
      <c r="O1214" s="418" t="str">
        <f t="shared" si="1945"/>
        <v/>
      </c>
      <c r="P1214" s="418" t="str">
        <f t="shared" si="1946"/>
        <v/>
      </c>
      <c r="Q1214" s="418" t="str">
        <f t="shared" si="1947"/>
        <v/>
      </c>
      <c r="R1214" s="418" t="str">
        <f t="shared" si="1948"/>
        <v/>
      </c>
      <c r="S1214" s="418" t="str">
        <f t="shared" si="1949"/>
        <v/>
      </c>
      <c r="T1214" s="418" t="str">
        <f t="shared" si="1950"/>
        <v/>
      </c>
      <c r="U1214" s="418" t="str">
        <f t="shared" si="1951"/>
        <v/>
      </c>
      <c r="V1214" s="418" t="str">
        <f t="shared" si="1952"/>
        <v/>
      </c>
      <c r="W1214" s="418" t="str">
        <f t="shared" si="1953"/>
        <v/>
      </c>
      <c r="X1214" s="418" t="str">
        <f t="shared" si="1954"/>
        <v/>
      </c>
      <c r="Y1214" s="418" t="str">
        <f t="shared" si="1955"/>
        <v/>
      </c>
      <c r="Z1214" s="418" t="str">
        <f t="shared" si="1956"/>
        <v/>
      </c>
      <c r="AA1214" s="418" t="str">
        <f t="shared" si="1957"/>
        <v/>
      </c>
      <c r="AB1214" s="418" t="str">
        <f t="shared" si="1958"/>
        <v/>
      </c>
      <c r="AC1214" s="418" t="str">
        <f t="shared" si="1959"/>
        <v/>
      </c>
      <c r="AD1214" s="418" t="str">
        <f t="shared" si="1960"/>
        <v/>
      </c>
      <c r="AE1214" s="418" t="str">
        <f t="shared" si="1961"/>
        <v/>
      </c>
      <c r="AF1214" s="418" t="str">
        <f t="shared" si="1962"/>
        <v/>
      </c>
      <c r="AG1214" s="418" t="str">
        <f t="shared" si="1963"/>
        <v/>
      </c>
      <c r="AH1214" s="418" t="str">
        <f t="shared" si="1964"/>
        <v/>
      </c>
      <c r="AI1214" s="418" t="str">
        <f t="shared" si="1965"/>
        <v/>
      </c>
      <c r="AJ1214" s="418" t="str">
        <f t="shared" si="1966"/>
        <v/>
      </c>
      <c r="AK1214" s="418" t="str">
        <f t="shared" si="1967"/>
        <v/>
      </c>
      <c r="AL1214" s="418" t="str">
        <f t="shared" si="1968"/>
        <v/>
      </c>
      <c r="AM1214" s="418" t="str">
        <f t="shared" si="1969"/>
        <v/>
      </c>
      <c r="AN1214" s="418" t="str">
        <f t="shared" si="1970"/>
        <v/>
      </c>
      <c r="AO1214" s="418" t="str">
        <f t="shared" si="1971"/>
        <v/>
      </c>
      <c r="AP1214" s="418" t="str">
        <f t="shared" si="1972"/>
        <v/>
      </c>
      <c r="AQ1214" s="418" t="str">
        <f t="shared" si="1973"/>
        <v/>
      </c>
      <c r="AR1214" s="418" t="str">
        <f t="shared" si="1974"/>
        <v/>
      </c>
      <c r="AS1214" s="418" t="str">
        <f t="shared" si="1975"/>
        <v/>
      </c>
      <c r="AT1214" s="418" t="str">
        <f t="shared" si="1976"/>
        <v/>
      </c>
      <c r="AU1214" s="418" t="str">
        <f t="shared" si="1977"/>
        <v/>
      </c>
      <c r="AV1214" s="418" t="str">
        <f t="shared" si="1978"/>
        <v/>
      </c>
      <c r="AW1214" s="418" t="str">
        <f t="shared" si="1979"/>
        <v/>
      </c>
      <c r="AX1214" s="418" t="str">
        <f t="shared" si="1980"/>
        <v/>
      </c>
      <c r="AY1214" s="418" t="str">
        <f t="shared" si="1981"/>
        <v/>
      </c>
      <c r="AZ1214" s="418" t="str">
        <f t="shared" si="1982"/>
        <v/>
      </c>
      <c r="BA1214" s="418" t="str">
        <f t="shared" si="1983"/>
        <v/>
      </c>
      <c r="BB1214" s="418" t="str">
        <f t="shared" si="1984"/>
        <v/>
      </c>
      <c r="BC1214" s="418" t="str">
        <f t="shared" si="1985"/>
        <v/>
      </c>
      <c r="BD1214" s="418" t="str">
        <f t="shared" si="1986"/>
        <v/>
      </c>
      <c r="BE1214" s="418" t="str">
        <f t="shared" si="1987"/>
        <v/>
      </c>
      <c r="BF1214" s="418">
        <f t="shared" si="1988"/>
        <v>9000</v>
      </c>
      <c r="BG1214" s="418" t="str">
        <f t="shared" si="1989"/>
        <v/>
      </c>
      <c r="BH1214" s="418" t="str">
        <f t="shared" si="1990"/>
        <v/>
      </c>
      <c r="BI1214" s="418" t="str">
        <f t="shared" si="1991"/>
        <v/>
      </c>
      <c r="BJ1214" s="418" t="str">
        <f t="shared" si="1992"/>
        <v/>
      </c>
      <c r="BK1214" s="418" t="str">
        <f t="shared" si="1993"/>
        <v/>
      </c>
      <c r="BL1214" s="418" t="str">
        <f t="shared" si="1994"/>
        <v/>
      </c>
      <c r="BM1214" s="418" t="str">
        <f t="shared" si="1995"/>
        <v/>
      </c>
      <c r="BN1214" s="418" t="str">
        <f t="shared" si="1996"/>
        <v/>
      </c>
      <c r="BO1214" s="418" t="str">
        <f t="shared" si="1997"/>
        <v/>
      </c>
      <c r="BP1214" s="418" t="str">
        <f t="shared" si="1998"/>
        <v/>
      </c>
      <c r="BQ1214" s="418" t="str">
        <f t="shared" si="1871"/>
        <v/>
      </c>
      <c r="BR1214" s="418" t="str">
        <f t="shared" si="1872"/>
        <v/>
      </c>
      <c r="BS1214" s="418" t="str">
        <f t="shared" si="1873"/>
        <v/>
      </c>
      <c r="BT1214" s="418" t="str">
        <f t="shared" si="2004"/>
        <v/>
      </c>
      <c r="BU1214" s="418" t="str">
        <f t="shared" si="2005"/>
        <v/>
      </c>
      <c r="BV1214" s="624">
        <v>0.77</v>
      </c>
      <c r="BW1214" s="723">
        <f t="shared" si="2006"/>
        <v>6930</v>
      </c>
      <c r="BX1214" s="724">
        <f t="shared" si="2007"/>
        <v>53707.5</v>
      </c>
      <c r="BY1214" s="725" t="str">
        <f t="shared" si="2008"/>
        <v>JC</v>
      </c>
    </row>
    <row r="1215" s="697" customFormat="1" customHeight="1" spans="1:77">
      <c r="A1215" s="362">
        <v>46237</v>
      </c>
      <c r="B1215" s="116"/>
      <c r="C1215" s="118"/>
      <c r="D1215" s="431" t="s">
        <v>1080</v>
      </c>
      <c r="E1215" s="431" t="s">
        <v>205</v>
      </c>
      <c r="F1215" s="96">
        <v>10050</v>
      </c>
      <c r="G1215" s="418"/>
      <c r="H1215" s="118" t="str">
        <f>IFERROR(VLOOKUP(E1215,名称!A:E,4,0),"")</f>
        <v>三代</v>
      </c>
      <c r="I1215" s="418" t="str">
        <f t="shared" si="1939"/>
        <v/>
      </c>
      <c r="J1215" s="418" t="str">
        <f t="shared" si="1940"/>
        <v/>
      </c>
      <c r="K1215" s="418" t="str">
        <f t="shared" si="1941"/>
        <v/>
      </c>
      <c r="L1215" s="418" t="str">
        <f t="shared" si="1942"/>
        <v/>
      </c>
      <c r="M1215" s="418" t="str">
        <f t="shared" si="1943"/>
        <v/>
      </c>
      <c r="N1215" s="418" t="str">
        <f t="shared" si="1944"/>
        <v/>
      </c>
      <c r="O1215" s="418" t="str">
        <f t="shared" si="1945"/>
        <v/>
      </c>
      <c r="P1215" s="418" t="str">
        <f t="shared" si="1946"/>
        <v/>
      </c>
      <c r="Q1215" s="418" t="str">
        <f t="shared" si="1947"/>
        <v/>
      </c>
      <c r="R1215" s="418" t="str">
        <f t="shared" si="1948"/>
        <v/>
      </c>
      <c r="S1215" s="418" t="str">
        <f t="shared" si="1949"/>
        <v/>
      </c>
      <c r="T1215" s="418" t="str">
        <f t="shared" si="1950"/>
        <v/>
      </c>
      <c r="U1215" s="418" t="str">
        <f t="shared" si="1951"/>
        <v/>
      </c>
      <c r="V1215" s="418" t="str">
        <f t="shared" si="1952"/>
        <v/>
      </c>
      <c r="W1215" s="418" t="str">
        <f t="shared" si="1953"/>
        <v/>
      </c>
      <c r="X1215" s="418" t="str">
        <f t="shared" si="1954"/>
        <v/>
      </c>
      <c r="Y1215" s="418" t="str">
        <f t="shared" si="1955"/>
        <v/>
      </c>
      <c r="Z1215" s="418" t="str">
        <f t="shared" si="1956"/>
        <v/>
      </c>
      <c r="AA1215" s="418" t="str">
        <f t="shared" si="1957"/>
        <v/>
      </c>
      <c r="AB1215" s="418" t="str">
        <f t="shared" si="1958"/>
        <v/>
      </c>
      <c r="AC1215" s="418" t="str">
        <f t="shared" si="1959"/>
        <v/>
      </c>
      <c r="AD1215" s="418" t="str">
        <f t="shared" si="1960"/>
        <v/>
      </c>
      <c r="AE1215" s="418" t="str">
        <f t="shared" si="1961"/>
        <v/>
      </c>
      <c r="AF1215" s="418" t="str">
        <f t="shared" si="1962"/>
        <v/>
      </c>
      <c r="AG1215" s="418" t="str">
        <f t="shared" si="1963"/>
        <v/>
      </c>
      <c r="AH1215" s="418" t="str">
        <f t="shared" si="1964"/>
        <v/>
      </c>
      <c r="AI1215" s="418" t="str">
        <f t="shared" si="1965"/>
        <v/>
      </c>
      <c r="AJ1215" s="418" t="str">
        <f t="shared" si="1966"/>
        <v/>
      </c>
      <c r="AK1215" s="418" t="str">
        <f t="shared" si="1967"/>
        <v/>
      </c>
      <c r="AL1215" s="418" t="str">
        <f t="shared" si="1968"/>
        <v/>
      </c>
      <c r="AM1215" s="418" t="str">
        <f t="shared" si="1969"/>
        <v/>
      </c>
      <c r="AN1215" s="418" t="str">
        <f t="shared" si="1970"/>
        <v/>
      </c>
      <c r="AO1215" s="418" t="str">
        <f t="shared" si="1971"/>
        <v/>
      </c>
      <c r="AP1215" s="418" t="str">
        <f t="shared" si="1972"/>
        <v/>
      </c>
      <c r="AQ1215" s="418" t="str">
        <f t="shared" si="1973"/>
        <v/>
      </c>
      <c r="AR1215" s="418" t="str">
        <f t="shared" si="1974"/>
        <v/>
      </c>
      <c r="AS1215" s="418" t="str">
        <f t="shared" si="1975"/>
        <v/>
      </c>
      <c r="AT1215" s="418" t="str">
        <f t="shared" si="1976"/>
        <v/>
      </c>
      <c r="AU1215" s="418" t="str">
        <f t="shared" si="1977"/>
        <v/>
      </c>
      <c r="AV1215" s="418" t="str">
        <f t="shared" si="1978"/>
        <v/>
      </c>
      <c r="AW1215" s="418" t="str">
        <f t="shared" si="1979"/>
        <v/>
      </c>
      <c r="AX1215" s="418" t="str">
        <f t="shared" si="1980"/>
        <v/>
      </c>
      <c r="AY1215" s="418" t="str">
        <f t="shared" si="1981"/>
        <v/>
      </c>
      <c r="AZ1215" s="418" t="str">
        <f t="shared" si="1982"/>
        <v/>
      </c>
      <c r="BA1215" s="418" t="str">
        <f t="shared" si="1983"/>
        <v/>
      </c>
      <c r="BB1215" s="418" t="str">
        <f t="shared" si="1984"/>
        <v/>
      </c>
      <c r="BC1215" s="418" t="str">
        <f t="shared" si="1985"/>
        <v/>
      </c>
      <c r="BD1215" s="418" t="str">
        <f t="shared" si="1986"/>
        <v/>
      </c>
      <c r="BE1215" s="418" t="str">
        <f t="shared" si="1987"/>
        <v/>
      </c>
      <c r="BF1215" s="418" t="str">
        <f t="shared" si="1988"/>
        <v/>
      </c>
      <c r="BG1215" s="418" t="str">
        <f t="shared" si="1989"/>
        <v/>
      </c>
      <c r="BH1215" s="418" t="str">
        <f t="shared" si="1990"/>
        <v/>
      </c>
      <c r="BI1215" s="418" t="str">
        <f t="shared" si="1991"/>
        <v/>
      </c>
      <c r="BJ1215" s="418" t="str">
        <f t="shared" si="1992"/>
        <v/>
      </c>
      <c r="BK1215" s="418" t="str">
        <f t="shared" si="1993"/>
        <v/>
      </c>
      <c r="BL1215" s="418" t="str">
        <f t="shared" si="1994"/>
        <v/>
      </c>
      <c r="BM1215" s="418" t="str">
        <f t="shared" si="1995"/>
        <v/>
      </c>
      <c r="BN1215" s="418" t="str">
        <f t="shared" si="1996"/>
        <v/>
      </c>
      <c r="BO1215" s="418" t="str">
        <f t="shared" si="1997"/>
        <v/>
      </c>
      <c r="BP1215" s="418" t="str">
        <f t="shared" si="1998"/>
        <v/>
      </c>
      <c r="BQ1215" s="418" t="str">
        <f t="shared" si="1871"/>
        <v/>
      </c>
      <c r="BR1215" s="418">
        <f t="shared" si="1872"/>
        <v>10050</v>
      </c>
      <c r="BS1215" s="418" t="str">
        <f t="shared" si="1873"/>
        <v/>
      </c>
      <c r="BT1215" s="418" t="str">
        <f t="shared" si="2004"/>
        <v/>
      </c>
      <c r="BU1215" s="418" t="str">
        <f t="shared" si="2005"/>
        <v/>
      </c>
      <c r="BV1215" s="624">
        <v>0.63</v>
      </c>
      <c r="BW1215" s="723">
        <f t="shared" si="2006"/>
        <v>6331.5</v>
      </c>
      <c r="BX1215" s="724">
        <f t="shared" si="2007"/>
        <v>49069.13</v>
      </c>
      <c r="BY1215" s="725" t="str">
        <f t="shared" si="2008"/>
        <v>SR</v>
      </c>
    </row>
    <row r="1216" s="697" customFormat="1" customHeight="1" spans="1:77">
      <c r="A1216" s="362">
        <v>46239</v>
      </c>
      <c r="B1216" s="362">
        <v>46304</v>
      </c>
      <c r="C1216" s="431" t="s">
        <v>1081</v>
      </c>
      <c r="D1216" s="431" t="s">
        <v>1082</v>
      </c>
      <c r="E1216" s="431" t="s">
        <v>50</v>
      </c>
      <c r="F1216" s="96">
        <v>4806</v>
      </c>
      <c r="G1216" s="431" t="s">
        <v>997</v>
      </c>
      <c r="H1216" s="118" t="str">
        <f>IFERROR(VLOOKUP(E1216,名称!A:E,4,0),"")</f>
        <v>蛋糕</v>
      </c>
      <c r="I1216" s="418" t="str">
        <f t="shared" si="1939"/>
        <v/>
      </c>
      <c r="J1216" s="418" t="str">
        <f t="shared" si="1940"/>
        <v/>
      </c>
      <c r="K1216" s="418" t="str">
        <f t="shared" si="1941"/>
        <v/>
      </c>
      <c r="L1216" s="418" t="str">
        <f t="shared" si="1942"/>
        <v/>
      </c>
      <c r="M1216" s="418" t="str">
        <f t="shared" si="1943"/>
        <v/>
      </c>
      <c r="N1216" s="418" t="str">
        <f t="shared" si="1944"/>
        <v/>
      </c>
      <c r="O1216" s="418" t="str">
        <f t="shared" si="1945"/>
        <v/>
      </c>
      <c r="P1216" s="418" t="str">
        <f t="shared" si="1946"/>
        <v/>
      </c>
      <c r="Q1216" s="418" t="str">
        <f t="shared" si="1947"/>
        <v/>
      </c>
      <c r="R1216" s="418" t="str">
        <f t="shared" si="1948"/>
        <v/>
      </c>
      <c r="S1216" s="418" t="str">
        <f t="shared" si="1949"/>
        <v/>
      </c>
      <c r="T1216" s="418" t="str">
        <f t="shared" si="1950"/>
        <v/>
      </c>
      <c r="U1216" s="418" t="str">
        <f t="shared" si="1951"/>
        <v/>
      </c>
      <c r="V1216" s="418" t="str">
        <f t="shared" si="1952"/>
        <v/>
      </c>
      <c r="W1216" s="418" t="str">
        <f t="shared" si="1953"/>
        <v/>
      </c>
      <c r="X1216" s="418" t="str">
        <f t="shared" si="1954"/>
        <v/>
      </c>
      <c r="Y1216" s="418" t="str">
        <f t="shared" si="1955"/>
        <v/>
      </c>
      <c r="Z1216" s="418" t="str">
        <f t="shared" si="1956"/>
        <v/>
      </c>
      <c r="AA1216" s="418" t="str">
        <f t="shared" si="1957"/>
        <v/>
      </c>
      <c r="AB1216" s="418" t="str">
        <f t="shared" si="1958"/>
        <v/>
      </c>
      <c r="AC1216" s="418" t="str">
        <f t="shared" si="1959"/>
        <v/>
      </c>
      <c r="AD1216" s="418" t="str">
        <f t="shared" si="1960"/>
        <v/>
      </c>
      <c r="AE1216" s="418" t="str">
        <f t="shared" si="1961"/>
        <v/>
      </c>
      <c r="AF1216" s="418" t="str">
        <f t="shared" si="1962"/>
        <v/>
      </c>
      <c r="AG1216" s="418" t="str">
        <f t="shared" si="1963"/>
        <v/>
      </c>
      <c r="AH1216" s="418" t="str">
        <f t="shared" si="1964"/>
        <v/>
      </c>
      <c r="AI1216" s="418" t="str">
        <f t="shared" si="1965"/>
        <v/>
      </c>
      <c r="AJ1216" s="418" t="str">
        <f t="shared" si="1966"/>
        <v/>
      </c>
      <c r="AK1216" s="418" t="str">
        <f t="shared" si="1967"/>
        <v/>
      </c>
      <c r="AL1216" s="418" t="str">
        <f t="shared" si="1968"/>
        <v/>
      </c>
      <c r="AM1216" s="418" t="str">
        <f t="shared" si="1969"/>
        <v/>
      </c>
      <c r="AN1216" s="418" t="str">
        <f t="shared" si="1970"/>
        <v/>
      </c>
      <c r="AO1216" s="418" t="str">
        <f t="shared" si="1971"/>
        <v/>
      </c>
      <c r="AP1216" s="418" t="str">
        <f t="shared" si="1972"/>
        <v/>
      </c>
      <c r="AQ1216" s="418" t="str">
        <f t="shared" si="1973"/>
        <v/>
      </c>
      <c r="AR1216" s="418" t="str">
        <f t="shared" si="1974"/>
        <v/>
      </c>
      <c r="AS1216" s="418" t="str">
        <f t="shared" si="1975"/>
        <v/>
      </c>
      <c r="AT1216" s="418" t="str">
        <f t="shared" si="1976"/>
        <v/>
      </c>
      <c r="AU1216" s="418" t="str">
        <f t="shared" si="1977"/>
        <v/>
      </c>
      <c r="AV1216" s="418" t="str">
        <f t="shared" si="1978"/>
        <v/>
      </c>
      <c r="AW1216" s="418" t="str">
        <f t="shared" si="1979"/>
        <v/>
      </c>
      <c r="AX1216" s="418" t="str">
        <f t="shared" si="1980"/>
        <v/>
      </c>
      <c r="AY1216" s="418" t="str">
        <f t="shared" si="1981"/>
        <v/>
      </c>
      <c r="AZ1216" s="418" t="str">
        <f t="shared" si="1982"/>
        <v/>
      </c>
      <c r="BA1216" s="418" t="str">
        <f t="shared" si="1983"/>
        <v/>
      </c>
      <c r="BB1216" s="418" t="str">
        <f t="shared" si="1984"/>
        <v/>
      </c>
      <c r="BC1216" s="418" t="str">
        <f t="shared" si="1985"/>
        <v/>
      </c>
      <c r="BD1216" s="418" t="str">
        <f t="shared" si="1986"/>
        <v/>
      </c>
      <c r="BE1216" s="418" t="str">
        <f t="shared" si="1987"/>
        <v/>
      </c>
      <c r="BF1216" s="418" t="str">
        <f t="shared" si="1988"/>
        <v/>
      </c>
      <c r="BG1216" s="418">
        <f t="shared" si="1989"/>
        <v>4806</v>
      </c>
      <c r="BH1216" s="418" t="str">
        <f t="shared" si="1990"/>
        <v/>
      </c>
      <c r="BI1216" s="418" t="str">
        <f t="shared" si="1991"/>
        <v/>
      </c>
      <c r="BJ1216" s="418" t="str">
        <f t="shared" si="1992"/>
        <v/>
      </c>
      <c r="BK1216" s="418" t="str">
        <f t="shared" si="1993"/>
        <v/>
      </c>
      <c r="BL1216" s="418" t="str">
        <f t="shared" si="1994"/>
        <v/>
      </c>
      <c r="BM1216" s="418" t="str">
        <f t="shared" si="1995"/>
        <v/>
      </c>
      <c r="BN1216" s="418" t="str">
        <f t="shared" si="1996"/>
        <v/>
      </c>
      <c r="BO1216" s="418" t="str">
        <f t="shared" si="1997"/>
        <v/>
      </c>
      <c r="BP1216" s="418" t="str">
        <f t="shared" si="1998"/>
        <v/>
      </c>
      <c r="BQ1216" s="418" t="str">
        <f t="shared" si="1871"/>
        <v/>
      </c>
      <c r="BR1216" s="418" t="str">
        <f t="shared" si="1872"/>
        <v/>
      </c>
      <c r="BS1216" s="418" t="str">
        <f t="shared" si="1873"/>
        <v/>
      </c>
      <c r="BT1216" s="418" t="str">
        <f t="shared" si="2004"/>
        <v/>
      </c>
      <c r="BU1216" s="418" t="str">
        <f t="shared" si="2005"/>
        <v/>
      </c>
      <c r="BV1216" s="624">
        <v>1.15</v>
      </c>
      <c r="BW1216" s="723">
        <f t="shared" si="2006"/>
        <v>5526.9</v>
      </c>
      <c r="BX1216" s="724">
        <f t="shared" si="2007"/>
        <v>42833.48</v>
      </c>
      <c r="BY1216" s="725" t="str">
        <f t="shared" si="2008"/>
        <v>JC</v>
      </c>
    </row>
    <row r="1217" s="697" customFormat="1" customHeight="1" spans="1:77">
      <c r="A1217" s="362">
        <v>46238</v>
      </c>
      <c r="B1217" s="362">
        <v>46246</v>
      </c>
      <c r="C1217" s="431" t="s">
        <v>839</v>
      </c>
      <c r="D1217" s="431" t="s">
        <v>1083</v>
      </c>
      <c r="E1217" s="129" t="s">
        <v>181</v>
      </c>
      <c r="F1217" s="96">
        <v>280</v>
      </c>
      <c r="G1217" s="418"/>
      <c r="H1217" s="118" t="str">
        <f>IFERROR(VLOOKUP(E1217,名称!A:E,4,0),"")</f>
        <v>三代</v>
      </c>
      <c r="I1217" s="418" t="str">
        <f t="shared" si="1939"/>
        <v/>
      </c>
      <c r="J1217" s="418" t="str">
        <f t="shared" si="1940"/>
        <v/>
      </c>
      <c r="K1217" s="418" t="str">
        <f t="shared" si="1941"/>
        <v/>
      </c>
      <c r="L1217" s="418" t="str">
        <f t="shared" si="1942"/>
        <v/>
      </c>
      <c r="M1217" s="418" t="str">
        <f t="shared" si="1943"/>
        <v/>
      </c>
      <c r="N1217" s="418" t="str">
        <f t="shared" si="1944"/>
        <v/>
      </c>
      <c r="O1217" s="418" t="str">
        <f t="shared" si="1945"/>
        <v/>
      </c>
      <c r="P1217" s="418" t="str">
        <f t="shared" si="1946"/>
        <v/>
      </c>
      <c r="Q1217" s="418" t="str">
        <f t="shared" si="1947"/>
        <v/>
      </c>
      <c r="R1217" s="418" t="str">
        <f t="shared" si="1948"/>
        <v/>
      </c>
      <c r="S1217" s="418" t="str">
        <f t="shared" si="1949"/>
        <v/>
      </c>
      <c r="T1217" s="418" t="str">
        <f t="shared" si="1950"/>
        <v/>
      </c>
      <c r="U1217" s="418" t="str">
        <f t="shared" si="1951"/>
        <v/>
      </c>
      <c r="V1217" s="418" t="str">
        <f t="shared" si="1952"/>
        <v/>
      </c>
      <c r="W1217" s="418" t="str">
        <f t="shared" si="1953"/>
        <v/>
      </c>
      <c r="X1217" s="418" t="str">
        <f t="shared" si="1954"/>
        <v/>
      </c>
      <c r="Y1217" s="418" t="str">
        <f t="shared" si="1955"/>
        <v/>
      </c>
      <c r="Z1217" s="418" t="str">
        <f t="shared" si="1956"/>
        <v/>
      </c>
      <c r="AA1217" s="418" t="str">
        <f t="shared" si="1957"/>
        <v/>
      </c>
      <c r="AB1217" s="418" t="str">
        <f t="shared" si="1958"/>
        <v/>
      </c>
      <c r="AC1217" s="418" t="str">
        <f t="shared" si="1959"/>
        <v/>
      </c>
      <c r="AD1217" s="418" t="str">
        <f t="shared" si="1960"/>
        <v/>
      </c>
      <c r="AE1217" s="418" t="str">
        <f t="shared" si="1961"/>
        <v/>
      </c>
      <c r="AF1217" s="418" t="str">
        <f t="shared" si="1962"/>
        <v/>
      </c>
      <c r="AG1217" s="418" t="str">
        <f t="shared" si="1963"/>
        <v/>
      </c>
      <c r="AH1217" s="418" t="str">
        <f t="shared" si="1964"/>
        <v/>
      </c>
      <c r="AI1217" s="418" t="str">
        <f t="shared" si="1965"/>
        <v/>
      </c>
      <c r="AJ1217" s="418" t="str">
        <f t="shared" si="1966"/>
        <v/>
      </c>
      <c r="AK1217" s="418" t="str">
        <f t="shared" si="1967"/>
        <v/>
      </c>
      <c r="AL1217" s="418" t="str">
        <f t="shared" si="1968"/>
        <v/>
      </c>
      <c r="AM1217" s="418" t="str">
        <f t="shared" si="1969"/>
        <v/>
      </c>
      <c r="AN1217" s="418">
        <f t="shared" si="1970"/>
        <v>280</v>
      </c>
      <c r="AO1217" s="418" t="str">
        <f t="shared" si="1971"/>
        <v/>
      </c>
      <c r="AP1217" s="418" t="str">
        <f t="shared" si="1972"/>
        <v/>
      </c>
      <c r="AQ1217" s="418" t="str">
        <f t="shared" si="1973"/>
        <v/>
      </c>
      <c r="AR1217" s="418" t="str">
        <f t="shared" si="1974"/>
        <v/>
      </c>
      <c r="AS1217" s="418" t="str">
        <f t="shared" si="1975"/>
        <v/>
      </c>
      <c r="AT1217" s="418" t="str">
        <f t="shared" si="1976"/>
        <v/>
      </c>
      <c r="AU1217" s="418" t="str">
        <f t="shared" si="1977"/>
        <v/>
      </c>
      <c r="AV1217" s="418" t="str">
        <f t="shared" si="1978"/>
        <v/>
      </c>
      <c r="AW1217" s="418" t="str">
        <f t="shared" si="1979"/>
        <v/>
      </c>
      <c r="AX1217" s="418" t="str">
        <f t="shared" si="1980"/>
        <v/>
      </c>
      <c r="AY1217" s="418" t="str">
        <f t="shared" si="1981"/>
        <v/>
      </c>
      <c r="AZ1217" s="418" t="str">
        <f t="shared" si="1982"/>
        <v/>
      </c>
      <c r="BA1217" s="418" t="str">
        <f t="shared" si="1983"/>
        <v/>
      </c>
      <c r="BB1217" s="418" t="str">
        <f t="shared" si="1984"/>
        <v/>
      </c>
      <c r="BC1217" s="418" t="str">
        <f t="shared" si="1985"/>
        <v/>
      </c>
      <c r="BD1217" s="418" t="str">
        <f t="shared" si="1986"/>
        <v/>
      </c>
      <c r="BE1217" s="418" t="str">
        <f t="shared" si="1987"/>
        <v/>
      </c>
      <c r="BF1217" s="418" t="str">
        <f t="shared" si="1988"/>
        <v/>
      </c>
      <c r="BG1217" s="418" t="str">
        <f t="shared" si="1989"/>
        <v/>
      </c>
      <c r="BH1217" s="418" t="str">
        <f t="shared" si="1990"/>
        <v/>
      </c>
      <c r="BI1217" s="418" t="str">
        <f t="shared" si="1991"/>
        <v/>
      </c>
      <c r="BJ1217" s="418" t="str">
        <f t="shared" si="1992"/>
        <v/>
      </c>
      <c r="BK1217" s="418" t="str">
        <f t="shared" si="1993"/>
        <v/>
      </c>
      <c r="BL1217" s="418" t="str">
        <f t="shared" si="1994"/>
        <v/>
      </c>
      <c r="BM1217" s="418" t="str">
        <f t="shared" si="1995"/>
        <v/>
      </c>
      <c r="BN1217" s="418" t="str">
        <f t="shared" si="1996"/>
        <v/>
      </c>
      <c r="BO1217" s="418" t="str">
        <f t="shared" si="1997"/>
        <v/>
      </c>
      <c r="BP1217" s="418" t="str">
        <f t="shared" si="1998"/>
        <v/>
      </c>
      <c r="BQ1217" s="418" t="str">
        <f t="shared" si="1871"/>
        <v/>
      </c>
      <c r="BR1217" s="418" t="str">
        <f t="shared" si="1872"/>
        <v/>
      </c>
      <c r="BS1217" s="418" t="str">
        <f t="shared" si="1873"/>
        <v/>
      </c>
      <c r="BT1217" s="418" t="str">
        <f t="shared" si="2004"/>
        <v/>
      </c>
      <c r="BU1217" s="418" t="str">
        <f t="shared" si="2005"/>
        <v/>
      </c>
      <c r="BV1217" s="544"/>
      <c r="BW1217" s="723">
        <f t="shared" si="2006"/>
        <v>0</v>
      </c>
      <c r="BX1217" s="724">
        <f t="shared" si="2007"/>
        <v>0</v>
      </c>
      <c r="BY1217" s="725" t="str">
        <f t="shared" si="2008"/>
        <v>SR</v>
      </c>
    </row>
    <row r="1218" s="697" customFormat="1" customHeight="1" spans="1:77">
      <c r="A1218" s="362">
        <v>46238</v>
      </c>
      <c r="B1218" s="362">
        <v>46246</v>
      </c>
      <c r="C1218" s="431" t="s">
        <v>839</v>
      </c>
      <c r="D1218" s="129" t="s">
        <v>1084</v>
      </c>
      <c r="E1218" s="129" t="s">
        <v>1085</v>
      </c>
      <c r="F1218" s="96">
        <v>112</v>
      </c>
      <c r="G1218" s="418"/>
      <c r="H1218" s="118" t="str">
        <f>IFERROR(VLOOKUP(E1218,名称!A:E,4,0),"")</f>
        <v/>
      </c>
      <c r="I1218" s="418" t="str">
        <f t="shared" ref="I1218:I1230" si="2009">IF(OR($E1218="",I$1=""),"",IF(TRIM(LEFT($E1218,MIN(IFERROR(FIND("CDU",UPPER($E1218)),999),IFERROR(FIND("BULK",UPPER($E1218)),999),IFERROR(FIND("-",$E1218),999),IFERROR(FIND("（",$E1218),999))-1))=I$1,$F1218,""))</f>
        <v/>
      </c>
      <c r="J1218" s="418" t="str">
        <f t="shared" ref="J1218:J1230" si="2010">IF(OR($E1218="",J$1=""),"",IF(TRIM(LEFT($E1218,MIN(IFERROR(FIND("CDU",UPPER($E1218)),999),IFERROR(FIND("BULK",UPPER($E1218)),999),IFERROR(FIND("-",$E1218),999),IFERROR(FIND("（",$E1218),999))-1))=J$1,$F1218,""))</f>
        <v/>
      </c>
      <c r="K1218" s="418" t="str">
        <f t="shared" ref="K1218:K1230" si="2011">IF(OR($E1218="",K$1=""),"",IF(TRIM(LEFT($E1218,MIN(IFERROR(FIND("CDU",UPPER($E1218)),999),IFERROR(FIND("BULK",UPPER($E1218)),999),IFERROR(FIND("-",$E1218),999),IFERROR(FIND("（",$E1218),999))-1))=K$1,$F1218,""))</f>
        <v/>
      </c>
      <c r="L1218" s="418" t="str">
        <f t="shared" ref="L1218:L1230" si="2012">IF(OR($E1218="",L$1=""),"",IF(TRIM(LEFT($E1218,MIN(IFERROR(FIND("CDU",UPPER($E1218)),999),IFERROR(FIND("BULK",UPPER($E1218)),999),IFERROR(FIND("-",$E1218),999),IFERROR(FIND("（",$E1218),999))-1))=L$1,$F1218,""))</f>
        <v/>
      </c>
      <c r="M1218" s="418" t="str">
        <f t="shared" ref="M1218:M1230" si="2013">IF(OR($E1218="",M$1=""),"",IF(TRIM(LEFT($E1218,MIN(IFERROR(FIND("CDU",UPPER($E1218)),999),IFERROR(FIND("BULK",UPPER($E1218)),999),IFERROR(FIND("-",$E1218),999),IFERROR(FIND("（",$E1218),999))-1))=M$1,$F1218,""))</f>
        <v/>
      </c>
      <c r="N1218" s="418" t="str">
        <f t="shared" ref="N1218:N1230" si="2014">IF(OR($E1218="",N$1=""),"",IF(TRIM(LEFT($E1218,MIN(IFERROR(FIND("CDU",UPPER($E1218)),999),IFERROR(FIND("BULK",UPPER($E1218)),999),IFERROR(FIND("-",$E1218),999),IFERROR(FIND("（",$E1218),999))-1))=N$1,$F1218,""))</f>
        <v/>
      </c>
      <c r="O1218" s="418" t="str">
        <f t="shared" ref="O1218:O1230" si="2015">IF(OR($E1218="",O$1=""),"",IF(TRIM(LEFT($E1218,MIN(IFERROR(FIND("CDU",UPPER($E1218)),999),IFERROR(FIND("BULK",UPPER($E1218)),999),IFERROR(FIND("-",$E1218),999),IFERROR(FIND("（",$E1218),999))-1))=O$1,$F1218,""))</f>
        <v/>
      </c>
      <c r="P1218" s="418" t="str">
        <f t="shared" ref="P1218:P1230" si="2016">IF(OR($E1218="",P$1=""),"",IF(TRIM(LEFT($E1218,MIN(IFERROR(FIND("CDU",UPPER($E1218)),999),IFERROR(FIND("BULK",UPPER($E1218)),999),IFERROR(FIND("-",$E1218),999),IFERROR(FIND("（",$E1218),999))-1))=P$1,$F1218,""))</f>
        <v/>
      </c>
      <c r="Q1218" s="418" t="str">
        <f t="shared" ref="Q1218:Q1230" si="2017">IF(OR($E1218="",Q$1=""),"",IF(TRIM(LEFT($E1218,MIN(IFERROR(FIND("CDU",UPPER($E1218)),999),IFERROR(FIND("BULK",UPPER($E1218)),999),IFERROR(FIND("-",$E1218),999),IFERROR(FIND("（",$E1218),999))-1))=Q$1,$F1218,""))</f>
        <v/>
      </c>
      <c r="R1218" s="418" t="str">
        <f t="shared" ref="R1218:R1230" si="2018">IF(OR($E1218="",R$1=""),"",IF(TRIM(LEFT($E1218,MIN(IFERROR(FIND("CDU",UPPER($E1218)),999),IFERROR(FIND("BULK",UPPER($E1218)),999),IFERROR(FIND("-",$E1218),999),IFERROR(FIND("（",$E1218),999))-1))=R$1,$F1218,""))</f>
        <v/>
      </c>
      <c r="S1218" s="418" t="str">
        <f t="shared" ref="S1218:S1230" si="2019">IF(OR($E1218="",S$1=""),"",IF(TRIM(LEFT($E1218,MIN(IFERROR(FIND("CDU",UPPER($E1218)),999),IFERROR(FIND("BULK",UPPER($E1218)),999),IFERROR(FIND("-",$E1218),999),IFERROR(FIND("（",$E1218),999))-1))=S$1,$F1218,""))</f>
        <v/>
      </c>
      <c r="T1218" s="418" t="str">
        <f t="shared" ref="T1218:T1230" si="2020">IF(OR($E1218="",T$1=""),"",IF(TRIM(LEFT($E1218,MIN(IFERROR(FIND("CDU",UPPER($E1218)),999),IFERROR(FIND("BULK",UPPER($E1218)),999),IFERROR(FIND("-",$E1218),999),IFERROR(FIND("（",$E1218),999))-1))=T$1,$F1218,""))</f>
        <v/>
      </c>
      <c r="U1218" s="418" t="str">
        <f t="shared" ref="U1218:U1230" si="2021">IF(OR($E1218="",U$1=""),"",IF(TRIM(LEFT($E1218,MIN(IFERROR(FIND("CDU",UPPER($E1218)),999),IFERROR(FIND("BULK",UPPER($E1218)),999),IFERROR(FIND("-",$E1218),999),IFERROR(FIND("（",$E1218),999))-1))=U$1,$F1218,""))</f>
        <v/>
      </c>
      <c r="V1218" s="418" t="str">
        <f t="shared" ref="V1218:V1230" si="2022">IF(OR($E1218="",V$1=""),"",IF(TRIM(LEFT($E1218,MIN(IFERROR(FIND("CDU",UPPER($E1218)),999),IFERROR(FIND("BULK",UPPER($E1218)),999),IFERROR(FIND("-",$E1218),999),IFERROR(FIND("（",$E1218),999))-1))=V$1,$F1218,""))</f>
        <v/>
      </c>
      <c r="W1218" s="418" t="str">
        <f t="shared" ref="W1218:W1230" si="2023">IF(OR($E1218="",W$1=""),"",IF(TRIM(LEFT($E1218,MIN(IFERROR(FIND("CDU",UPPER($E1218)),999),IFERROR(FIND("BULK",UPPER($E1218)),999),IFERROR(FIND("-",$E1218),999),IFERROR(FIND("（",$E1218),999))-1))=W$1,$F1218,""))</f>
        <v/>
      </c>
      <c r="X1218" s="418" t="str">
        <f t="shared" ref="X1218:X1230" si="2024">IF(OR($E1218="",X$1=""),"",IF(TRIM(LEFT($E1218,MIN(IFERROR(FIND("CDU",UPPER($E1218)),999),IFERROR(FIND("BULK",UPPER($E1218)),999),IFERROR(FIND("-",$E1218),999),IFERROR(FIND("（",$E1218),999))-1))=X$1,$F1218,""))</f>
        <v/>
      </c>
      <c r="Y1218" s="418" t="str">
        <f t="shared" ref="Y1218:Y1230" si="2025">IF(OR($E1218="",Y$1=""),"",IF(TRIM(LEFT($E1218,MIN(IFERROR(FIND("CDU",UPPER($E1218)),999),IFERROR(FIND("BULK",UPPER($E1218)),999),IFERROR(FIND("-",$E1218),999),IFERROR(FIND("（",$E1218),999))-1))=Y$1,$F1218,""))</f>
        <v/>
      </c>
      <c r="Z1218" s="418" t="str">
        <f t="shared" ref="Z1218:Z1230" si="2026">IF(OR($E1218="",Z$1=""),"",IF(TRIM(LEFT($E1218,MIN(IFERROR(FIND("CDU",UPPER($E1218)),999),IFERROR(FIND("BULK",UPPER($E1218)),999),IFERROR(FIND("-",$E1218),999),IFERROR(FIND("（",$E1218),999))-1))=Z$1,$F1218,""))</f>
        <v/>
      </c>
      <c r="AA1218" s="418" t="str">
        <f t="shared" ref="AA1218:AA1230" si="2027">IF(OR($E1218="",AA$1=""),"",IF(TRIM(LEFT($E1218,MIN(IFERROR(FIND("CDU",UPPER($E1218)),999),IFERROR(FIND("BULK",UPPER($E1218)),999),IFERROR(FIND("-",$E1218),999),IFERROR(FIND("（",$E1218),999))-1))=AA$1,$F1218,""))</f>
        <v/>
      </c>
      <c r="AB1218" s="418" t="str">
        <f t="shared" ref="AB1218:AB1230" si="2028">IF(OR($E1218="",AB$1=""),"",IF(TRIM(LEFT($E1218,MIN(IFERROR(FIND("CDU",UPPER($E1218)),999),IFERROR(FIND("BULK",UPPER($E1218)),999),IFERROR(FIND("-",$E1218),999),IFERROR(FIND("（",$E1218),999))-1))=AB$1,$F1218,""))</f>
        <v/>
      </c>
      <c r="AC1218" s="418" t="str">
        <f t="shared" ref="AC1218:AC1230" si="2029">IF(OR($E1218="",AC$1=""),"",IF(TRIM(LEFT($E1218,MIN(IFERROR(FIND("CDU",UPPER($E1218)),999),IFERROR(FIND("BULK",UPPER($E1218)),999),IFERROR(FIND("-",$E1218),999),IFERROR(FIND("（",$E1218),999))-1))=AC$1,$F1218,""))</f>
        <v/>
      </c>
      <c r="AD1218" s="418">
        <f t="shared" ref="AD1218:AD1230" si="2030">IF(OR($E1218="",AD$1=""),"",IF(TRIM(LEFT($E1218,MIN(IFERROR(FIND("CDU",UPPER($E1218)),999),IFERROR(FIND("BULK",UPPER($E1218)),999),IFERROR(FIND("-",$E1218),999),IFERROR(FIND("（",$E1218),999))-1))=AD$1,$F1218,""))</f>
        <v>112</v>
      </c>
      <c r="AE1218" s="418" t="str">
        <f t="shared" ref="AE1218:AE1230" si="2031">IF(OR($E1218="",AE$1=""),"",IF(TRIM(LEFT($E1218,MIN(IFERROR(FIND("CDU",UPPER($E1218)),999),IFERROR(FIND("BULK",UPPER($E1218)),999),IFERROR(FIND("-",$E1218),999),IFERROR(FIND("（",$E1218),999))-1))=AE$1,$F1218,""))</f>
        <v/>
      </c>
      <c r="AF1218" s="418" t="str">
        <f t="shared" ref="AF1218:AF1230" si="2032">IF(OR($E1218="",AF$1=""),"",IF(TRIM(LEFT($E1218,MIN(IFERROR(FIND("CDU",UPPER($E1218)),999),IFERROR(FIND("BULK",UPPER($E1218)),999),IFERROR(FIND("-",$E1218),999),IFERROR(FIND("（",$E1218),999))-1))=AF$1,$F1218,""))</f>
        <v/>
      </c>
      <c r="AG1218" s="418" t="str">
        <f t="shared" ref="AG1218:AG1230" si="2033">IF(OR($E1218="",AG$1=""),"",IF(TRIM(LEFT($E1218,MIN(IFERROR(FIND("CDU",UPPER($E1218)),999),IFERROR(FIND("BULK",UPPER($E1218)),999),IFERROR(FIND("-",$E1218),999),IFERROR(FIND("（",$E1218),999))-1))=AG$1,$F1218,""))</f>
        <v/>
      </c>
      <c r="AH1218" s="418" t="str">
        <f t="shared" ref="AH1218:AH1230" si="2034">IF(OR($E1218="",AH$1=""),"",IF(TRIM(LEFT($E1218,MIN(IFERROR(FIND("CDU",UPPER($E1218)),999),IFERROR(FIND("BULK",UPPER($E1218)),999),IFERROR(FIND("-",$E1218),999),IFERROR(FIND("（",$E1218),999))-1))=AH$1,$F1218,""))</f>
        <v/>
      </c>
      <c r="AI1218" s="418" t="str">
        <f t="shared" ref="AI1218:AI1230" si="2035">IF(OR($E1218="",AI$1=""),"",IF(TRIM(LEFT($E1218,MIN(IFERROR(FIND("CDU",UPPER($E1218)),999),IFERROR(FIND("BULK",UPPER($E1218)),999),IFERROR(FIND("-",$E1218),999),IFERROR(FIND("（",$E1218),999))-1))=AI$1,$F1218,""))</f>
        <v/>
      </c>
      <c r="AJ1218" s="418" t="str">
        <f t="shared" ref="AJ1218:AJ1230" si="2036">IF(OR($E1218="",AJ$1=""),"",IF(TRIM(LEFT($E1218,MIN(IFERROR(FIND("CDU",UPPER($E1218)),999),IFERROR(FIND("BULK",UPPER($E1218)),999),IFERROR(FIND("-",$E1218),999),IFERROR(FIND("（",$E1218),999))-1))=AJ$1,$F1218,""))</f>
        <v/>
      </c>
      <c r="AK1218" s="418" t="str">
        <f t="shared" ref="AK1218:AK1230" si="2037">IF(OR($E1218="",AK$1=""),"",IF(TRIM(LEFT($E1218,MIN(IFERROR(FIND("CDU",UPPER($E1218)),999),IFERROR(FIND("BULK",UPPER($E1218)),999),IFERROR(FIND("-",$E1218),999),IFERROR(FIND("（",$E1218),999))-1))=AK$1,$F1218,""))</f>
        <v/>
      </c>
      <c r="AL1218" s="418" t="str">
        <f t="shared" ref="AL1218:AL1230" si="2038">IF(OR($E1218="",AL$1=""),"",IF(TRIM(LEFT($E1218,MIN(IFERROR(FIND("CDU",UPPER($E1218)),999),IFERROR(FIND("BULK",UPPER($E1218)),999),IFERROR(FIND("-",$E1218),999),IFERROR(FIND("（",$E1218),999))-1))=AL$1,$F1218,""))</f>
        <v/>
      </c>
      <c r="AM1218" s="418" t="str">
        <f t="shared" ref="AM1218:AM1230" si="2039">IF(OR($E1218="",AM$1=""),"",IF(TRIM(LEFT($E1218,MIN(IFERROR(FIND("CDU",UPPER($E1218)),999),IFERROR(FIND("BULK",UPPER($E1218)),999),IFERROR(FIND("-",$E1218),999),IFERROR(FIND("（",$E1218),999))-1))=AM$1,$F1218,""))</f>
        <v/>
      </c>
      <c r="AN1218" s="418" t="str">
        <f t="shared" ref="AN1218:AN1230" si="2040">IF(OR($E1218="",AN$1=""),"",IF(TRIM(LEFT($E1218,MIN(IFERROR(FIND("CDU",UPPER($E1218)),999),IFERROR(FIND("BULK",UPPER($E1218)),999),IFERROR(FIND("-",$E1218),999),IFERROR(FIND("（",$E1218),999))-1))=AN$1,$F1218,""))</f>
        <v/>
      </c>
      <c r="AO1218" s="418" t="str">
        <f t="shared" ref="AO1218:AO1230" si="2041">IF(OR($E1218="",AO$1=""),"",IF(TRIM(LEFT($E1218,MIN(IFERROR(FIND("CDU",UPPER($E1218)),999),IFERROR(FIND("BULK",UPPER($E1218)),999),IFERROR(FIND("-",$E1218),999),IFERROR(FIND("（",$E1218),999))-1))=AO$1,$F1218,""))</f>
        <v/>
      </c>
      <c r="AP1218" s="418" t="str">
        <f t="shared" ref="AP1218:AP1230" si="2042">IF(OR($E1218="",AP$1=""),"",IF(TRIM(LEFT($E1218,MIN(IFERROR(FIND("CDU",UPPER($E1218)),999),IFERROR(FIND("BULK",UPPER($E1218)),999),IFERROR(FIND("-",$E1218),999),IFERROR(FIND("（",$E1218),999))-1))=AP$1,$F1218,""))</f>
        <v/>
      </c>
      <c r="AQ1218" s="418" t="str">
        <f t="shared" ref="AQ1218:AQ1230" si="2043">IF(OR($E1218="",AQ$1=""),"",IF(TRIM(LEFT($E1218,MIN(IFERROR(FIND("CDU",UPPER($E1218)),999),IFERROR(FIND("BULK",UPPER($E1218)),999),IFERROR(FIND("-",$E1218),999),IFERROR(FIND("（",$E1218),999))-1))=AQ$1,$F1218,""))</f>
        <v/>
      </c>
      <c r="AR1218" s="418" t="str">
        <f t="shared" ref="AR1218:AR1230" si="2044">IF(OR($E1218="",AR$1=""),"",IF(TRIM(LEFT($E1218,MIN(IFERROR(FIND("CDU",UPPER($E1218)),999),IFERROR(FIND("BULK",UPPER($E1218)),999),IFERROR(FIND("-",$E1218),999),IFERROR(FIND("（",$E1218),999))-1))=AR$1,$F1218,""))</f>
        <v/>
      </c>
      <c r="AS1218" s="418" t="str">
        <f t="shared" ref="AS1218:AS1230" si="2045">IF(OR($E1218="",AS$1=""),"",IF(TRIM(LEFT($E1218,MIN(IFERROR(FIND("CDU",UPPER($E1218)),999),IFERROR(FIND("BULK",UPPER($E1218)),999),IFERROR(FIND("-",$E1218),999),IFERROR(FIND("（",$E1218),999))-1))=AS$1,$F1218,""))</f>
        <v/>
      </c>
      <c r="AT1218" s="418" t="str">
        <f t="shared" ref="AT1218:AT1230" si="2046">IF(OR($E1218="",AT$1=""),"",IF(TRIM(LEFT($E1218,MIN(IFERROR(FIND("CDU",UPPER($E1218)),999),IFERROR(FIND("BULK",UPPER($E1218)),999),IFERROR(FIND("-",$E1218),999),IFERROR(FIND("（",$E1218),999))-1))=AT$1,$F1218,""))</f>
        <v/>
      </c>
      <c r="AU1218" s="418" t="str">
        <f t="shared" ref="AU1218:AU1230" si="2047">IF(OR($E1218="",AU$1=""),"",IF(TRIM(LEFT($E1218,MIN(IFERROR(FIND("CDU",UPPER($E1218)),999),IFERROR(FIND("BULK",UPPER($E1218)),999),IFERROR(FIND("-",$E1218),999),IFERROR(FIND("（",$E1218),999))-1))=AU$1,$F1218,""))</f>
        <v/>
      </c>
      <c r="AV1218" s="418" t="str">
        <f t="shared" ref="AV1218:AV1230" si="2048">IF(OR($E1218="",AV$1=""),"",IF(TRIM(LEFT($E1218,MIN(IFERROR(FIND("CDU",UPPER($E1218)),999),IFERROR(FIND("BULK",UPPER($E1218)),999),IFERROR(FIND("-",$E1218),999),IFERROR(FIND("（",$E1218),999))-1))=AV$1,$F1218,""))</f>
        <v/>
      </c>
      <c r="AW1218" s="418" t="str">
        <f t="shared" ref="AW1218:AW1230" si="2049">IF(OR($E1218="",AW$1=""),"",IF(TRIM(LEFT($E1218,MIN(IFERROR(FIND("CDU",UPPER($E1218)),999),IFERROR(FIND("BULK",UPPER($E1218)),999),IFERROR(FIND("-",$E1218),999),IFERROR(FIND("（",$E1218),999))-1))=AW$1,$F1218,""))</f>
        <v/>
      </c>
      <c r="AX1218" s="418" t="str">
        <f t="shared" ref="AX1218:AX1230" si="2050">IF(OR($E1218="",AX$1=""),"",IF(TRIM(LEFT($E1218,MIN(IFERROR(FIND("CDU",UPPER($E1218)),999),IFERROR(FIND("BULK",UPPER($E1218)),999),IFERROR(FIND("-",$E1218),999),IFERROR(FIND("（",$E1218),999))-1))=AX$1,$F1218,""))</f>
        <v/>
      </c>
      <c r="AY1218" s="418" t="str">
        <f t="shared" ref="AY1218:AY1230" si="2051">IF(OR($E1218="",AY$1=""),"",IF(TRIM(LEFT($E1218,MIN(IFERROR(FIND("CDU",UPPER($E1218)),999),IFERROR(FIND("BULK",UPPER($E1218)),999),IFERROR(FIND("-",$E1218),999),IFERROR(FIND("（",$E1218),999))-1))=AY$1,$F1218,""))</f>
        <v/>
      </c>
      <c r="AZ1218" s="418" t="str">
        <f t="shared" ref="AZ1218:AZ1230" si="2052">IF(OR($E1218="",AZ$1=""),"",IF(TRIM(LEFT($E1218,MIN(IFERROR(FIND("CDU",UPPER($E1218)),999),IFERROR(FIND("BULK",UPPER($E1218)),999),IFERROR(FIND("-",$E1218),999),IFERROR(FIND("（",$E1218),999))-1))=AZ$1,$F1218,""))</f>
        <v/>
      </c>
      <c r="BA1218" s="418" t="str">
        <f t="shared" ref="BA1218:BA1230" si="2053">IF(OR($E1218="",BA$1=""),"",IF(TRIM(LEFT($E1218,MIN(IFERROR(FIND("CDU",UPPER($E1218)),999),IFERROR(FIND("BULK",UPPER($E1218)),999),IFERROR(FIND("-",$E1218),999),IFERROR(FIND("（",$E1218),999))-1))=BA$1,$F1218,""))</f>
        <v/>
      </c>
      <c r="BB1218" s="418" t="str">
        <f t="shared" ref="BB1218:BB1230" si="2054">IF(OR($E1218="",BB$1=""),"",IF(TRIM(LEFT($E1218,MIN(IFERROR(FIND("CDU",UPPER($E1218)),999),IFERROR(FIND("BULK",UPPER($E1218)),999),IFERROR(FIND("-",$E1218),999),IFERROR(FIND("（",$E1218),999))-1))=BB$1,$F1218,""))</f>
        <v/>
      </c>
      <c r="BC1218" s="418" t="str">
        <f t="shared" ref="BC1218:BC1230" si="2055">IF(OR($E1218="",BC$1=""),"",IF(TRIM(LEFT($E1218,MIN(IFERROR(FIND("CDU",UPPER($E1218)),999),IFERROR(FIND("BULK",UPPER($E1218)),999),IFERROR(FIND("-",$E1218),999),IFERROR(FIND("（",$E1218),999))-1))=BC$1,$F1218,""))</f>
        <v/>
      </c>
      <c r="BD1218" s="418" t="str">
        <f t="shared" ref="BD1218:BD1230" si="2056">IF(OR($E1218="",BD$1=""),"",IF(TRIM(LEFT($E1218,MIN(IFERROR(FIND("CDU",UPPER($E1218)),999),IFERROR(FIND("BULK",UPPER($E1218)),999),IFERROR(FIND("-",$E1218),999),IFERROR(FIND("（",$E1218),999))-1))=BD$1,$F1218,""))</f>
        <v/>
      </c>
      <c r="BE1218" s="418" t="str">
        <f t="shared" ref="BE1218:BE1230" si="2057">IF(OR($E1218="",BE$1=""),"",IF(TRIM(LEFT($E1218,MIN(IFERROR(FIND("CDU",UPPER($E1218)),999),IFERROR(FIND("BULK",UPPER($E1218)),999),IFERROR(FIND("-",$E1218),999),IFERROR(FIND("（",$E1218),999))-1))=BE$1,$F1218,""))</f>
        <v/>
      </c>
      <c r="BF1218" s="418" t="str">
        <f t="shared" ref="BF1218:BF1230" si="2058">IF(OR($E1218="",BF$1=""),"",IF(TRIM(LEFT($E1218,MIN(IFERROR(FIND("CDU",UPPER($E1218)),999),IFERROR(FIND("BULK",UPPER($E1218)),999),IFERROR(FIND("-",$E1218),999),IFERROR(FIND("（",$E1218),999))-1))=BF$1,$F1218,""))</f>
        <v/>
      </c>
      <c r="BG1218" s="418" t="str">
        <f t="shared" ref="BG1218:BG1230" si="2059">IF(OR($E1218="",BG$1=""),"",IF(TRIM(LEFT($E1218,MIN(IFERROR(FIND("CDU",UPPER($E1218)),999),IFERROR(FIND("BULK",UPPER($E1218)),999),IFERROR(FIND("-",$E1218),999),IFERROR(FIND("（",$E1218),999))-1))=BG$1,$F1218,""))</f>
        <v/>
      </c>
      <c r="BH1218" s="418" t="str">
        <f t="shared" ref="BH1218:BH1230" si="2060">IF(OR($E1218="",BH$1=""),"",IF(TRIM(LEFT($E1218,MIN(IFERROR(FIND("CDU",UPPER($E1218)),999),IFERROR(FIND("BULK",UPPER($E1218)),999),IFERROR(FIND("-",$E1218),999),IFERROR(FIND("（",$E1218),999))-1))=BH$1,$F1218,""))</f>
        <v/>
      </c>
      <c r="BI1218" s="418" t="str">
        <f t="shared" ref="BI1218:BI1230" si="2061">IF(OR($E1218="",BI$1=""),"",IF(TRIM(LEFT($E1218,MIN(IFERROR(FIND("CDU",UPPER($E1218)),999),IFERROR(FIND("BULK",UPPER($E1218)),999),IFERROR(FIND("-",$E1218),999),IFERROR(FIND("（",$E1218),999))-1))=BI$1,$F1218,""))</f>
        <v/>
      </c>
      <c r="BJ1218" s="418" t="str">
        <f t="shared" ref="BJ1218:BJ1230" si="2062">IF(OR($E1218="",BJ$1=""),"",IF(TRIM(LEFT($E1218,MIN(IFERROR(FIND("CDU",UPPER($E1218)),999),IFERROR(FIND("BULK",UPPER($E1218)),999),IFERROR(FIND("-",$E1218),999),IFERROR(FIND("（",$E1218),999))-1))=BJ$1,$F1218,""))</f>
        <v/>
      </c>
      <c r="BK1218" s="418" t="str">
        <f t="shared" ref="BK1218:BK1230" si="2063">IF(OR($E1218="",BK$1=""),"",IF(TRIM(LEFT($E1218,MIN(IFERROR(FIND("CDU",UPPER($E1218)),999),IFERROR(FIND("BULK",UPPER($E1218)),999),IFERROR(FIND("-",$E1218),999),IFERROR(FIND("（",$E1218),999))-1))=BK$1,$F1218,""))</f>
        <v/>
      </c>
      <c r="BL1218" s="418" t="str">
        <f t="shared" ref="BL1218:BL1230" si="2064">IF(OR($E1218="",BL$1=""),"",IF(TRIM(LEFT($E1218,MIN(IFERROR(FIND("CDU",UPPER($E1218)),999),IFERROR(FIND("BULK",UPPER($E1218)),999),IFERROR(FIND("-",$E1218),999),IFERROR(FIND("（",$E1218),999))-1))=BL$1,$F1218,""))</f>
        <v/>
      </c>
      <c r="BM1218" s="418" t="str">
        <f t="shared" ref="BM1218:BM1230" si="2065">IF(OR($E1218="",BM$1=""),"",IF(TRIM(LEFT($E1218,MIN(IFERROR(FIND("CDU",UPPER($E1218)),999),IFERROR(FIND("BULK",UPPER($E1218)),999),IFERROR(FIND("-",$E1218),999),IFERROR(FIND("（",$E1218),999))-1))=BM$1,$F1218,""))</f>
        <v/>
      </c>
      <c r="BN1218" s="418" t="str">
        <f t="shared" ref="BN1218:BN1230" si="2066">IF(OR($E1218="",BN$1=""),"",IF(TRIM(LEFT($E1218,MIN(IFERROR(FIND("CDU",UPPER($E1218)),999),IFERROR(FIND("BULK",UPPER($E1218)),999),IFERROR(FIND("-",$E1218),999),IFERROR(FIND("（",$E1218),999))-1))=BN$1,$F1218,""))</f>
        <v/>
      </c>
      <c r="BO1218" s="418" t="str">
        <f t="shared" ref="BO1218:BO1230" si="2067">IF(OR($E1218="",BO$1=""),"",IF(TRIM(LEFT($E1218,MIN(IFERROR(FIND("CDU",UPPER($E1218)),999),IFERROR(FIND("BULK",UPPER($E1218)),999),IFERROR(FIND("-",$E1218),999),IFERROR(FIND("（",$E1218),999))-1))=BO$1,$F1218,""))</f>
        <v/>
      </c>
      <c r="BP1218" s="418" t="str">
        <f t="shared" ref="BP1218:BP1230" si="2068">IF(OR($E1218="",BP$1=""),"",IF(TRIM(LEFT($E1218,MIN(IFERROR(FIND("CDU",UPPER($E1218)),999),IFERROR(FIND("BULK",UPPER($E1218)),999),IFERROR(FIND("-",$E1218),999),IFERROR(FIND("（",$E1218),999))-1))=BP$1,$F1218,""))</f>
        <v/>
      </c>
      <c r="BQ1218" s="418" t="str">
        <f t="shared" ref="BQ1218:BQ1231" si="2069">IF(OR($E1218="",BQ$1=""),"",IF(TRIM(LEFT($E1218,MIN(IFERROR(FIND("CDU",UPPER($E1218)),999),IFERROR(FIND("BULK",UPPER($E1218)),999),IFERROR(FIND("-",$E1218),999),IFERROR(FIND("（",$E1218),999))-1))=BQ$1,$F1218,""))</f>
        <v/>
      </c>
      <c r="BR1218" s="418" t="str">
        <f t="shared" ref="BR1218:BR1231" si="2070">IF(OR($E1218="",BR$1=""),"",IF(TRIM(LEFT($E1218,MIN(IFERROR(FIND("CDU",UPPER($E1218)),999),IFERROR(FIND("BULK",UPPER($E1218)),999),IFERROR(FIND("-",$E1218),999),IFERROR(FIND("（",$E1218),999))-1))=BR$1,$F1218,""))</f>
        <v/>
      </c>
      <c r="BS1218" s="418" t="str">
        <f t="shared" ref="BS1218:BS1231" si="2071">IF(OR($E1218="",BS$1=""),"",IF(TRIM(LEFT($E1218,MIN(IFERROR(FIND("CDU",UPPER($E1218)),999),IFERROR(FIND("BULK",UPPER($E1218)),999),IFERROR(FIND("-",$E1218),999),IFERROR(FIND("（",$E1218),999))-1))=BS$1,$F1218,""))</f>
        <v/>
      </c>
      <c r="BT1218" s="418" t="str">
        <f t="shared" ref="BT1218:BT1231" si="2072">IF(OR($E1218="",BT$1=""),"",IF(TRIM(LEFT($E1218,MIN(IFERROR(FIND("CDU",UPPER($E1218)),999),IFERROR(FIND("BULK",UPPER($E1218)),999),IFERROR(FIND("-",$E1218),999),IFERROR(FIND("（",$E1218),999))-1))=BT$1,$F1218,""))</f>
        <v/>
      </c>
      <c r="BU1218" s="418" t="str">
        <f t="shared" ref="BU1218:BU1231" si="2073">IF(OR($E1218="",BU$1=""),"",IF(TRIM(LEFT($E1218,MIN(IFERROR(FIND("CDU",UPPER($E1218)),999),IFERROR(FIND("BULK",UPPER($E1218)),999),IFERROR(FIND("-",$E1218),999),IFERROR(FIND("（",$E1218),999))-1))=BU$1,$F1218,""))</f>
        <v/>
      </c>
      <c r="BV1218" s="544"/>
      <c r="BW1218" s="723">
        <f t="shared" ref="BW1218:BW1231" si="2074">SUM(I1218:BU1218)*BV1218</f>
        <v>0</v>
      </c>
      <c r="BX1218" s="724">
        <f t="shared" ref="BX1218:BX1231" si="2075">BW1218*7.75</f>
        <v>0</v>
      </c>
      <c r="BY1218" s="725" t="str">
        <f t="shared" ref="BY1218:BY1231" si="2076">MID(E1218,1,2)</f>
        <v>SR</v>
      </c>
    </row>
    <row r="1219" s="697" customFormat="1" customHeight="1" spans="1:77">
      <c r="A1219" s="362">
        <v>46238</v>
      </c>
      <c r="B1219" s="362">
        <v>46246</v>
      </c>
      <c r="C1219" s="431" t="s">
        <v>839</v>
      </c>
      <c r="D1219" s="129" t="s">
        <v>1086</v>
      </c>
      <c r="E1219" s="129" t="s">
        <v>66</v>
      </c>
      <c r="F1219" s="96">
        <v>5</v>
      </c>
      <c r="G1219" s="418"/>
      <c r="H1219" s="118" t="str">
        <f>IFERROR(VLOOKUP(E1219,名称!A:E,4,0),"")</f>
        <v>三代</v>
      </c>
      <c r="I1219" s="418" t="str">
        <f t="shared" si="2009"/>
        <v/>
      </c>
      <c r="J1219" s="418" t="str">
        <f t="shared" si="2010"/>
        <v/>
      </c>
      <c r="K1219" s="418" t="str">
        <f t="shared" si="2011"/>
        <v/>
      </c>
      <c r="L1219" s="418" t="str">
        <f t="shared" si="2012"/>
        <v/>
      </c>
      <c r="M1219" s="418" t="str">
        <f t="shared" si="2013"/>
        <v/>
      </c>
      <c r="N1219" s="418" t="str">
        <f t="shared" si="2014"/>
        <v/>
      </c>
      <c r="O1219" s="418" t="str">
        <f t="shared" si="2015"/>
        <v/>
      </c>
      <c r="P1219" s="418" t="str">
        <f t="shared" si="2016"/>
        <v/>
      </c>
      <c r="Q1219" s="418" t="str">
        <f t="shared" si="2017"/>
        <v/>
      </c>
      <c r="R1219" s="418" t="str">
        <f t="shared" si="2018"/>
        <v/>
      </c>
      <c r="S1219" s="418" t="str">
        <f t="shared" si="2019"/>
        <v/>
      </c>
      <c r="T1219" s="418" t="str">
        <f t="shared" si="2020"/>
        <v/>
      </c>
      <c r="U1219" s="418" t="str">
        <f t="shared" si="2021"/>
        <v/>
      </c>
      <c r="V1219" s="418" t="str">
        <f t="shared" si="2022"/>
        <v/>
      </c>
      <c r="W1219" s="418" t="str">
        <f t="shared" si="2023"/>
        <v/>
      </c>
      <c r="X1219" s="418" t="str">
        <f t="shared" si="2024"/>
        <v/>
      </c>
      <c r="Y1219" s="418" t="str">
        <f t="shared" si="2025"/>
        <v/>
      </c>
      <c r="Z1219" s="418" t="str">
        <f t="shared" si="2026"/>
        <v/>
      </c>
      <c r="AA1219" s="418" t="str">
        <f t="shared" si="2027"/>
        <v/>
      </c>
      <c r="AB1219" s="418" t="str">
        <f t="shared" si="2028"/>
        <v/>
      </c>
      <c r="AC1219" s="418" t="str">
        <f t="shared" si="2029"/>
        <v/>
      </c>
      <c r="AD1219" s="418" t="str">
        <f t="shared" si="2030"/>
        <v/>
      </c>
      <c r="AE1219" s="418" t="str">
        <f t="shared" si="2031"/>
        <v/>
      </c>
      <c r="AF1219" s="418" t="str">
        <f t="shared" si="2032"/>
        <v/>
      </c>
      <c r="AG1219" s="418">
        <f t="shared" si="2033"/>
        <v>5</v>
      </c>
      <c r="AH1219" s="418" t="str">
        <f t="shared" si="2034"/>
        <v/>
      </c>
      <c r="AI1219" s="418" t="str">
        <f t="shared" si="2035"/>
        <v/>
      </c>
      <c r="AJ1219" s="418" t="str">
        <f t="shared" si="2036"/>
        <v/>
      </c>
      <c r="AK1219" s="418" t="str">
        <f t="shared" si="2037"/>
        <v/>
      </c>
      <c r="AL1219" s="418" t="str">
        <f t="shared" si="2038"/>
        <v/>
      </c>
      <c r="AM1219" s="418" t="str">
        <f t="shared" si="2039"/>
        <v/>
      </c>
      <c r="AN1219" s="418" t="str">
        <f t="shared" si="2040"/>
        <v/>
      </c>
      <c r="AO1219" s="418" t="str">
        <f t="shared" si="2041"/>
        <v/>
      </c>
      <c r="AP1219" s="418" t="str">
        <f t="shared" si="2042"/>
        <v/>
      </c>
      <c r="AQ1219" s="418" t="str">
        <f t="shared" si="2043"/>
        <v/>
      </c>
      <c r="AR1219" s="418" t="str">
        <f t="shared" si="2044"/>
        <v/>
      </c>
      <c r="AS1219" s="418" t="str">
        <f t="shared" si="2045"/>
        <v/>
      </c>
      <c r="AT1219" s="418" t="str">
        <f t="shared" si="2046"/>
        <v/>
      </c>
      <c r="AU1219" s="418" t="str">
        <f t="shared" si="2047"/>
        <v/>
      </c>
      <c r="AV1219" s="418" t="str">
        <f t="shared" si="2048"/>
        <v/>
      </c>
      <c r="AW1219" s="418" t="str">
        <f t="shared" si="2049"/>
        <v/>
      </c>
      <c r="AX1219" s="418" t="str">
        <f t="shared" si="2050"/>
        <v/>
      </c>
      <c r="AY1219" s="418" t="str">
        <f t="shared" si="2051"/>
        <v/>
      </c>
      <c r="AZ1219" s="418" t="str">
        <f t="shared" si="2052"/>
        <v/>
      </c>
      <c r="BA1219" s="418" t="str">
        <f t="shared" si="2053"/>
        <v/>
      </c>
      <c r="BB1219" s="418" t="str">
        <f t="shared" si="2054"/>
        <v/>
      </c>
      <c r="BC1219" s="418" t="str">
        <f t="shared" si="2055"/>
        <v/>
      </c>
      <c r="BD1219" s="418" t="str">
        <f t="shared" si="2056"/>
        <v/>
      </c>
      <c r="BE1219" s="418" t="str">
        <f t="shared" si="2057"/>
        <v/>
      </c>
      <c r="BF1219" s="418" t="str">
        <f t="shared" si="2058"/>
        <v/>
      </c>
      <c r="BG1219" s="418" t="str">
        <f t="shared" si="2059"/>
        <v/>
      </c>
      <c r="BH1219" s="418" t="str">
        <f t="shared" si="2060"/>
        <v/>
      </c>
      <c r="BI1219" s="418" t="str">
        <f t="shared" si="2061"/>
        <v/>
      </c>
      <c r="BJ1219" s="418" t="str">
        <f t="shared" si="2062"/>
        <v/>
      </c>
      <c r="BK1219" s="418" t="str">
        <f t="shared" si="2063"/>
        <v/>
      </c>
      <c r="BL1219" s="418" t="str">
        <f t="shared" si="2064"/>
        <v/>
      </c>
      <c r="BM1219" s="418" t="str">
        <f t="shared" si="2065"/>
        <v/>
      </c>
      <c r="BN1219" s="418" t="str">
        <f t="shared" si="2066"/>
        <v/>
      </c>
      <c r="BO1219" s="418" t="str">
        <f t="shared" si="2067"/>
        <v/>
      </c>
      <c r="BP1219" s="418" t="str">
        <f t="shared" si="2068"/>
        <v/>
      </c>
      <c r="BQ1219" s="418" t="str">
        <f t="shared" si="2069"/>
        <v/>
      </c>
      <c r="BR1219" s="418" t="str">
        <f t="shared" si="2070"/>
        <v/>
      </c>
      <c r="BS1219" s="418" t="str">
        <f t="shared" si="2071"/>
        <v/>
      </c>
      <c r="BT1219" s="418" t="str">
        <f t="shared" si="2072"/>
        <v/>
      </c>
      <c r="BU1219" s="418" t="str">
        <f t="shared" si="2073"/>
        <v/>
      </c>
      <c r="BV1219" s="544"/>
      <c r="BW1219" s="723">
        <f t="shared" si="2074"/>
        <v>0</v>
      </c>
      <c r="BX1219" s="724">
        <f t="shared" si="2075"/>
        <v>0</v>
      </c>
      <c r="BY1219" s="725" t="str">
        <f t="shared" si="2076"/>
        <v>SR</v>
      </c>
    </row>
    <row r="1220" s="697" customFormat="1" customHeight="1" spans="1:77">
      <c r="A1220" s="362">
        <v>46238</v>
      </c>
      <c r="B1220" s="362">
        <v>46246</v>
      </c>
      <c r="C1220" s="431" t="s">
        <v>839</v>
      </c>
      <c r="D1220" s="129" t="s">
        <v>1087</v>
      </c>
      <c r="E1220" s="129" t="s">
        <v>183</v>
      </c>
      <c r="F1220" s="96">
        <v>30</v>
      </c>
      <c r="G1220" s="418"/>
      <c r="H1220" s="118" t="str">
        <f>IFERROR(VLOOKUP(E1220,名称!A:E,4,0),"")</f>
        <v>三代</v>
      </c>
      <c r="I1220" s="418" t="str">
        <f t="shared" si="2009"/>
        <v/>
      </c>
      <c r="J1220" s="418" t="str">
        <f t="shared" si="2010"/>
        <v/>
      </c>
      <c r="K1220" s="418" t="str">
        <f t="shared" si="2011"/>
        <v/>
      </c>
      <c r="L1220" s="418" t="str">
        <f t="shared" si="2012"/>
        <v/>
      </c>
      <c r="M1220" s="418" t="str">
        <f t="shared" si="2013"/>
        <v/>
      </c>
      <c r="N1220" s="418" t="str">
        <f t="shared" si="2014"/>
        <v/>
      </c>
      <c r="O1220" s="418" t="str">
        <f t="shared" si="2015"/>
        <v/>
      </c>
      <c r="P1220" s="418" t="str">
        <f t="shared" si="2016"/>
        <v/>
      </c>
      <c r="Q1220" s="418" t="str">
        <f t="shared" si="2017"/>
        <v/>
      </c>
      <c r="R1220" s="418" t="str">
        <f t="shared" si="2018"/>
        <v/>
      </c>
      <c r="S1220" s="418" t="str">
        <f t="shared" si="2019"/>
        <v/>
      </c>
      <c r="T1220" s="418" t="str">
        <f t="shared" si="2020"/>
        <v/>
      </c>
      <c r="U1220" s="418" t="str">
        <f t="shared" si="2021"/>
        <v/>
      </c>
      <c r="V1220" s="418" t="str">
        <f t="shared" si="2022"/>
        <v/>
      </c>
      <c r="W1220" s="418" t="str">
        <f t="shared" si="2023"/>
        <v/>
      </c>
      <c r="X1220" s="418" t="str">
        <f t="shared" si="2024"/>
        <v/>
      </c>
      <c r="Y1220" s="418" t="str">
        <f t="shared" si="2025"/>
        <v/>
      </c>
      <c r="Z1220" s="418" t="str">
        <f t="shared" si="2026"/>
        <v/>
      </c>
      <c r="AA1220" s="418" t="str">
        <f t="shared" si="2027"/>
        <v/>
      </c>
      <c r="AB1220" s="418" t="str">
        <f t="shared" si="2028"/>
        <v/>
      </c>
      <c r="AC1220" s="418" t="str">
        <f t="shared" si="2029"/>
        <v/>
      </c>
      <c r="AD1220" s="418" t="str">
        <f t="shared" si="2030"/>
        <v/>
      </c>
      <c r="AE1220" s="418" t="str">
        <f t="shared" si="2031"/>
        <v/>
      </c>
      <c r="AF1220" s="418" t="str">
        <f t="shared" si="2032"/>
        <v/>
      </c>
      <c r="AG1220" s="418" t="str">
        <f t="shared" si="2033"/>
        <v/>
      </c>
      <c r="AH1220" s="418" t="str">
        <f t="shared" si="2034"/>
        <v/>
      </c>
      <c r="AI1220" s="418" t="str">
        <f t="shared" si="2035"/>
        <v/>
      </c>
      <c r="AJ1220" s="418" t="str">
        <f t="shared" si="2036"/>
        <v/>
      </c>
      <c r="AK1220" s="418" t="str">
        <f t="shared" si="2037"/>
        <v/>
      </c>
      <c r="AL1220" s="418">
        <f t="shared" si="2038"/>
        <v>30</v>
      </c>
      <c r="AM1220" s="418" t="str">
        <f t="shared" si="2039"/>
        <v/>
      </c>
      <c r="AN1220" s="418" t="str">
        <f t="shared" si="2040"/>
        <v/>
      </c>
      <c r="AO1220" s="418" t="str">
        <f t="shared" si="2041"/>
        <v/>
      </c>
      <c r="AP1220" s="418" t="str">
        <f t="shared" si="2042"/>
        <v/>
      </c>
      <c r="AQ1220" s="418" t="str">
        <f t="shared" si="2043"/>
        <v/>
      </c>
      <c r="AR1220" s="418" t="str">
        <f t="shared" si="2044"/>
        <v/>
      </c>
      <c r="AS1220" s="418" t="str">
        <f t="shared" si="2045"/>
        <v/>
      </c>
      <c r="AT1220" s="418" t="str">
        <f t="shared" si="2046"/>
        <v/>
      </c>
      <c r="AU1220" s="418" t="str">
        <f t="shared" si="2047"/>
        <v/>
      </c>
      <c r="AV1220" s="418" t="str">
        <f t="shared" si="2048"/>
        <v/>
      </c>
      <c r="AW1220" s="418" t="str">
        <f t="shared" si="2049"/>
        <v/>
      </c>
      <c r="AX1220" s="418" t="str">
        <f t="shared" si="2050"/>
        <v/>
      </c>
      <c r="AY1220" s="418" t="str">
        <f t="shared" si="2051"/>
        <v/>
      </c>
      <c r="AZ1220" s="418" t="str">
        <f t="shared" si="2052"/>
        <v/>
      </c>
      <c r="BA1220" s="418" t="str">
        <f t="shared" si="2053"/>
        <v/>
      </c>
      <c r="BB1220" s="418" t="str">
        <f t="shared" si="2054"/>
        <v/>
      </c>
      <c r="BC1220" s="418" t="str">
        <f t="shared" si="2055"/>
        <v/>
      </c>
      <c r="BD1220" s="418" t="str">
        <f t="shared" si="2056"/>
        <v/>
      </c>
      <c r="BE1220" s="418" t="str">
        <f t="shared" si="2057"/>
        <v/>
      </c>
      <c r="BF1220" s="418" t="str">
        <f t="shared" si="2058"/>
        <v/>
      </c>
      <c r="BG1220" s="418" t="str">
        <f t="shared" si="2059"/>
        <v/>
      </c>
      <c r="BH1220" s="418" t="str">
        <f t="shared" si="2060"/>
        <v/>
      </c>
      <c r="BI1220" s="418" t="str">
        <f t="shared" si="2061"/>
        <v/>
      </c>
      <c r="BJ1220" s="418" t="str">
        <f t="shared" si="2062"/>
        <v/>
      </c>
      <c r="BK1220" s="418" t="str">
        <f t="shared" si="2063"/>
        <v/>
      </c>
      <c r="BL1220" s="418" t="str">
        <f t="shared" si="2064"/>
        <v/>
      </c>
      <c r="BM1220" s="418" t="str">
        <f t="shared" si="2065"/>
        <v/>
      </c>
      <c r="BN1220" s="418" t="str">
        <f t="shared" si="2066"/>
        <v/>
      </c>
      <c r="BO1220" s="418" t="str">
        <f t="shared" si="2067"/>
        <v/>
      </c>
      <c r="BP1220" s="418" t="str">
        <f t="shared" si="2068"/>
        <v/>
      </c>
      <c r="BQ1220" s="418" t="str">
        <f t="shared" si="2069"/>
        <v/>
      </c>
      <c r="BR1220" s="418" t="str">
        <f t="shared" si="2070"/>
        <v/>
      </c>
      <c r="BS1220" s="418" t="str">
        <f t="shared" si="2071"/>
        <v/>
      </c>
      <c r="BT1220" s="418" t="str">
        <f t="shared" si="2072"/>
        <v/>
      </c>
      <c r="BU1220" s="418" t="str">
        <f t="shared" si="2073"/>
        <v/>
      </c>
      <c r="BV1220" s="544"/>
      <c r="BW1220" s="723">
        <f t="shared" si="2074"/>
        <v>0</v>
      </c>
      <c r="BX1220" s="724">
        <f t="shared" si="2075"/>
        <v>0</v>
      </c>
      <c r="BY1220" s="725" t="str">
        <f t="shared" si="2076"/>
        <v>SR</v>
      </c>
    </row>
    <row r="1221" s="697" customFormat="1" customHeight="1" spans="1:77">
      <c r="A1221" s="362">
        <v>46238</v>
      </c>
      <c r="B1221" s="362">
        <v>46246</v>
      </c>
      <c r="C1221" s="431" t="s">
        <v>839</v>
      </c>
      <c r="D1221" s="129" t="s">
        <v>1088</v>
      </c>
      <c r="E1221" s="129" t="s">
        <v>1089</v>
      </c>
      <c r="F1221" s="96">
        <v>54</v>
      </c>
      <c r="G1221" s="418"/>
      <c r="H1221" s="118" t="str">
        <f>IFERROR(VLOOKUP(E1221,名称!A:E,4,0),"")</f>
        <v/>
      </c>
      <c r="I1221" s="418" t="str">
        <f t="shared" si="2009"/>
        <v/>
      </c>
      <c r="J1221" s="418" t="str">
        <f t="shared" si="2010"/>
        <v/>
      </c>
      <c r="K1221" s="418" t="str">
        <f t="shared" si="2011"/>
        <v/>
      </c>
      <c r="L1221" s="418" t="str">
        <f t="shared" si="2012"/>
        <v/>
      </c>
      <c r="M1221" s="418" t="str">
        <f t="shared" si="2013"/>
        <v/>
      </c>
      <c r="N1221" s="418" t="str">
        <f t="shared" si="2014"/>
        <v/>
      </c>
      <c r="O1221" s="418" t="str">
        <f t="shared" si="2015"/>
        <v/>
      </c>
      <c r="P1221" s="418" t="str">
        <f t="shared" si="2016"/>
        <v/>
      </c>
      <c r="Q1221" s="418" t="str">
        <f t="shared" si="2017"/>
        <v/>
      </c>
      <c r="R1221" s="418" t="str">
        <f t="shared" si="2018"/>
        <v/>
      </c>
      <c r="S1221" s="418" t="str">
        <f t="shared" si="2019"/>
        <v/>
      </c>
      <c r="T1221" s="418" t="str">
        <f t="shared" si="2020"/>
        <v/>
      </c>
      <c r="U1221" s="418" t="str">
        <f t="shared" si="2021"/>
        <v/>
      </c>
      <c r="V1221" s="418" t="str">
        <f t="shared" si="2022"/>
        <v/>
      </c>
      <c r="W1221" s="418" t="str">
        <f t="shared" si="2023"/>
        <v/>
      </c>
      <c r="X1221" s="418" t="str">
        <f t="shared" si="2024"/>
        <v/>
      </c>
      <c r="Y1221" s="418" t="str">
        <f t="shared" si="2025"/>
        <v/>
      </c>
      <c r="Z1221" s="418" t="str">
        <f t="shared" si="2026"/>
        <v/>
      </c>
      <c r="AA1221" s="418" t="str">
        <f t="shared" si="2027"/>
        <v/>
      </c>
      <c r="AB1221" s="418" t="str">
        <f t="shared" si="2028"/>
        <v/>
      </c>
      <c r="AC1221" s="418" t="str">
        <f t="shared" si="2029"/>
        <v/>
      </c>
      <c r="AD1221" s="418" t="str">
        <f t="shared" si="2030"/>
        <v/>
      </c>
      <c r="AE1221" s="418" t="str">
        <f t="shared" si="2031"/>
        <v/>
      </c>
      <c r="AF1221" s="418" t="str">
        <f t="shared" si="2032"/>
        <v/>
      </c>
      <c r="AG1221" s="418" t="str">
        <f t="shared" si="2033"/>
        <v/>
      </c>
      <c r="AH1221" s="418" t="str">
        <f t="shared" si="2034"/>
        <v/>
      </c>
      <c r="AI1221" s="418" t="str">
        <f t="shared" si="2035"/>
        <v/>
      </c>
      <c r="AJ1221" s="418" t="str">
        <f t="shared" si="2036"/>
        <v/>
      </c>
      <c r="AK1221" s="418" t="str">
        <f t="shared" si="2037"/>
        <v/>
      </c>
      <c r="AL1221" s="418" t="str">
        <f t="shared" si="2038"/>
        <v/>
      </c>
      <c r="AM1221" s="418" t="str">
        <f t="shared" si="2039"/>
        <v/>
      </c>
      <c r="AN1221" s="418" t="str">
        <f t="shared" si="2040"/>
        <v/>
      </c>
      <c r="AO1221" s="418" t="str">
        <f t="shared" si="2041"/>
        <v/>
      </c>
      <c r="AP1221" s="418" t="str">
        <f t="shared" si="2042"/>
        <v/>
      </c>
      <c r="AQ1221" s="418" t="str">
        <f t="shared" si="2043"/>
        <v/>
      </c>
      <c r="AR1221" s="418" t="str">
        <f t="shared" si="2044"/>
        <v/>
      </c>
      <c r="AS1221" s="418" t="str">
        <f t="shared" si="2045"/>
        <v/>
      </c>
      <c r="AT1221" s="418" t="str">
        <f t="shared" si="2046"/>
        <v/>
      </c>
      <c r="AU1221" s="418" t="str">
        <f t="shared" si="2047"/>
        <v/>
      </c>
      <c r="AV1221" s="418" t="str">
        <f t="shared" si="2048"/>
        <v/>
      </c>
      <c r="AW1221" s="418" t="str">
        <f t="shared" si="2049"/>
        <v/>
      </c>
      <c r="AX1221" s="418" t="str">
        <f t="shared" si="2050"/>
        <v/>
      </c>
      <c r="AY1221" s="418">
        <f t="shared" si="2051"/>
        <v>54</v>
      </c>
      <c r="AZ1221" s="418" t="str">
        <f t="shared" si="2052"/>
        <v/>
      </c>
      <c r="BA1221" s="418" t="str">
        <f t="shared" si="2053"/>
        <v/>
      </c>
      <c r="BB1221" s="418" t="str">
        <f t="shared" si="2054"/>
        <v/>
      </c>
      <c r="BC1221" s="418" t="str">
        <f t="shared" si="2055"/>
        <v/>
      </c>
      <c r="BD1221" s="418" t="str">
        <f t="shared" si="2056"/>
        <v/>
      </c>
      <c r="BE1221" s="418" t="str">
        <f t="shared" si="2057"/>
        <v/>
      </c>
      <c r="BF1221" s="418" t="str">
        <f t="shared" si="2058"/>
        <v/>
      </c>
      <c r="BG1221" s="418" t="str">
        <f t="shared" si="2059"/>
        <v/>
      </c>
      <c r="BH1221" s="418" t="str">
        <f t="shared" si="2060"/>
        <v/>
      </c>
      <c r="BI1221" s="418" t="str">
        <f t="shared" si="2061"/>
        <v/>
      </c>
      <c r="BJ1221" s="418" t="str">
        <f t="shared" si="2062"/>
        <v/>
      </c>
      <c r="BK1221" s="418" t="str">
        <f t="shared" si="2063"/>
        <v/>
      </c>
      <c r="BL1221" s="418" t="str">
        <f t="shared" si="2064"/>
        <v/>
      </c>
      <c r="BM1221" s="418" t="str">
        <f t="shared" si="2065"/>
        <v/>
      </c>
      <c r="BN1221" s="418" t="str">
        <f t="shared" si="2066"/>
        <v/>
      </c>
      <c r="BO1221" s="418" t="str">
        <f t="shared" si="2067"/>
        <v/>
      </c>
      <c r="BP1221" s="418" t="str">
        <f t="shared" si="2068"/>
        <v/>
      </c>
      <c r="BQ1221" s="418" t="str">
        <f t="shared" si="2069"/>
        <v/>
      </c>
      <c r="BR1221" s="418" t="str">
        <f t="shared" si="2070"/>
        <v/>
      </c>
      <c r="BS1221" s="418" t="str">
        <f t="shared" si="2071"/>
        <v/>
      </c>
      <c r="BT1221" s="418" t="str">
        <f t="shared" si="2072"/>
        <v/>
      </c>
      <c r="BU1221" s="418" t="str">
        <f t="shared" si="2073"/>
        <v/>
      </c>
      <c r="BV1221" s="544"/>
      <c r="BW1221" s="723">
        <f t="shared" si="2074"/>
        <v>0</v>
      </c>
      <c r="BX1221" s="724">
        <f t="shared" si="2075"/>
        <v>0</v>
      </c>
      <c r="BY1221" s="725" t="str">
        <f t="shared" si="2076"/>
        <v>SR</v>
      </c>
    </row>
    <row r="1222" s="697" customFormat="1" customHeight="1" spans="1:77">
      <c r="A1222" s="362">
        <v>46238</v>
      </c>
      <c r="B1222" s="362">
        <v>46246</v>
      </c>
      <c r="C1222" s="431" t="s">
        <v>839</v>
      </c>
      <c r="D1222" s="129" t="s">
        <v>1090</v>
      </c>
      <c r="E1222" s="129" t="s">
        <v>1029</v>
      </c>
      <c r="F1222" s="96">
        <v>54</v>
      </c>
      <c r="G1222" s="418"/>
      <c r="H1222" s="118" t="str">
        <f>IFERROR(VLOOKUP(E1222,名称!A:E,4,0),"")</f>
        <v/>
      </c>
      <c r="I1222" s="418" t="str">
        <f t="shared" si="2009"/>
        <v/>
      </c>
      <c r="J1222" s="418" t="str">
        <f t="shared" si="2010"/>
        <v/>
      </c>
      <c r="K1222" s="418" t="str">
        <f t="shared" si="2011"/>
        <v/>
      </c>
      <c r="L1222" s="418" t="str">
        <f t="shared" si="2012"/>
        <v/>
      </c>
      <c r="M1222" s="418" t="str">
        <f t="shared" si="2013"/>
        <v/>
      </c>
      <c r="N1222" s="418" t="str">
        <f t="shared" si="2014"/>
        <v/>
      </c>
      <c r="O1222" s="418" t="str">
        <f t="shared" si="2015"/>
        <v/>
      </c>
      <c r="P1222" s="418" t="str">
        <f t="shared" si="2016"/>
        <v/>
      </c>
      <c r="Q1222" s="418" t="str">
        <f t="shared" si="2017"/>
        <v/>
      </c>
      <c r="R1222" s="418" t="str">
        <f t="shared" si="2018"/>
        <v/>
      </c>
      <c r="S1222" s="418" t="str">
        <f t="shared" si="2019"/>
        <v/>
      </c>
      <c r="T1222" s="418" t="str">
        <f t="shared" si="2020"/>
        <v/>
      </c>
      <c r="U1222" s="418" t="str">
        <f t="shared" si="2021"/>
        <v/>
      </c>
      <c r="V1222" s="418" t="str">
        <f t="shared" si="2022"/>
        <v/>
      </c>
      <c r="W1222" s="418" t="str">
        <f t="shared" si="2023"/>
        <v/>
      </c>
      <c r="X1222" s="418" t="str">
        <f t="shared" si="2024"/>
        <v/>
      </c>
      <c r="Y1222" s="418" t="str">
        <f t="shared" si="2025"/>
        <v/>
      </c>
      <c r="Z1222" s="418" t="str">
        <f t="shared" si="2026"/>
        <v/>
      </c>
      <c r="AA1222" s="418" t="str">
        <f t="shared" si="2027"/>
        <v/>
      </c>
      <c r="AB1222" s="418" t="str">
        <f t="shared" si="2028"/>
        <v/>
      </c>
      <c r="AC1222" s="418" t="str">
        <f t="shared" si="2029"/>
        <v/>
      </c>
      <c r="AD1222" s="418" t="str">
        <f t="shared" si="2030"/>
        <v/>
      </c>
      <c r="AE1222" s="418" t="str">
        <f t="shared" si="2031"/>
        <v/>
      </c>
      <c r="AF1222" s="418">
        <f t="shared" si="2032"/>
        <v>54</v>
      </c>
      <c r="AG1222" s="418" t="str">
        <f t="shared" si="2033"/>
        <v/>
      </c>
      <c r="AH1222" s="418" t="str">
        <f t="shared" si="2034"/>
        <v/>
      </c>
      <c r="AI1222" s="418" t="str">
        <f t="shared" si="2035"/>
        <v/>
      </c>
      <c r="AJ1222" s="418" t="str">
        <f t="shared" si="2036"/>
        <v/>
      </c>
      <c r="AK1222" s="418" t="str">
        <f t="shared" si="2037"/>
        <v/>
      </c>
      <c r="AL1222" s="418" t="str">
        <f t="shared" si="2038"/>
        <v/>
      </c>
      <c r="AM1222" s="418" t="str">
        <f t="shared" si="2039"/>
        <v/>
      </c>
      <c r="AN1222" s="418" t="str">
        <f t="shared" si="2040"/>
        <v/>
      </c>
      <c r="AO1222" s="418" t="str">
        <f t="shared" si="2041"/>
        <v/>
      </c>
      <c r="AP1222" s="418" t="str">
        <f t="shared" si="2042"/>
        <v/>
      </c>
      <c r="AQ1222" s="418" t="str">
        <f t="shared" si="2043"/>
        <v/>
      </c>
      <c r="AR1222" s="418" t="str">
        <f t="shared" si="2044"/>
        <v/>
      </c>
      <c r="AS1222" s="418" t="str">
        <f t="shared" si="2045"/>
        <v/>
      </c>
      <c r="AT1222" s="418" t="str">
        <f t="shared" si="2046"/>
        <v/>
      </c>
      <c r="AU1222" s="418" t="str">
        <f t="shared" si="2047"/>
        <v/>
      </c>
      <c r="AV1222" s="418" t="str">
        <f t="shared" si="2048"/>
        <v/>
      </c>
      <c r="AW1222" s="418" t="str">
        <f t="shared" si="2049"/>
        <v/>
      </c>
      <c r="AX1222" s="418" t="str">
        <f t="shared" si="2050"/>
        <v/>
      </c>
      <c r="AY1222" s="418" t="str">
        <f t="shared" si="2051"/>
        <v/>
      </c>
      <c r="AZ1222" s="418" t="str">
        <f t="shared" si="2052"/>
        <v/>
      </c>
      <c r="BA1222" s="418" t="str">
        <f t="shared" si="2053"/>
        <v/>
      </c>
      <c r="BB1222" s="418" t="str">
        <f t="shared" si="2054"/>
        <v/>
      </c>
      <c r="BC1222" s="418" t="str">
        <f t="shared" si="2055"/>
        <v/>
      </c>
      <c r="BD1222" s="418" t="str">
        <f t="shared" si="2056"/>
        <v/>
      </c>
      <c r="BE1222" s="418" t="str">
        <f t="shared" si="2057"/>
        <v/>
      </c>
      <c r="BF1222" s="418" t="str">
        <f t="shared" si="2058"/>
        <v/>
      </c>
      <c r="BG1222" s="418" t="str">
        <f t="shared" si="2059"/>
        <v/>
      </c>
      <c r="BH1222" s="418" t="str">
        <f t="shared" si="2060"/>
        <v/>
      </c>
      <c r="BI1222" s="418" t="str">
        <f t="shared" si="2061"/>
        <v/>
      </c>
      <c r="BJ1222" s="418" t="str">
        <f t="shared" si="2062"/>
        <v/>
      </c>
      <c r="BK1222" s="418" t="str">
        <f t="shared" si="2063"/>
        <v/>
      </c>
      <c r="BL1222" s="418" t="str">
        <f t="shared" si="2064"/>
        <v/>
      </c>
      <c r="BM1222" s="418" t="str">
        <f t="shared" si="2065"/>
        <v/>
      </c>
      <c r="BN1222" s="418" t="str">
        <f t="shared" si="2066"/>
        <v/>
      </c>
      <c r="BO1222" s="418" t="str">
        <f t="shared" si="2067"/>
        <v/>
      </c>
      <c r="BP1222" s="418" t="str">
        <f t="shared" si="2068"/>
        <v/>
      </c>
      <c r="BQ1222" s="418" t="str">
        <f t="shared" si="2069"/>
        <v/>
      </c>
      <c r="BR1222" s="418" t="str">
        <f t="shared" si="2070"/>
        <v/>
      </c>
      <c r="BS1222" s="418" t="str">
        <f t="shared" si="2071"/>
        <v/>
      </c>
      <c r="BT1222" s="418" t="str">
        <f t="shared" si="2072"/>
        <v/>
      </c>
      <c r="BU1222" s="418" t="str">
        <f t="shared" si="2073"/>
        <v/>
      </c>
      <c r="BV1222" s="544"/>
      <c r="BW1222" s="723">
        <f t="shared" si="2074"/>
        <v>0</v>
      </c>
      <c r="BX1222" s="724">
        <f t="shared" si="2075"/>
        <v>0</v>
      </c>
      <c r="BY1222" s="725" t="str">
        <f t="shared" si="2076"/>
        <v>SR</v>
      </c>
    </row>
    <row r="1223" s="697" customFormat="1" customHeight="1" spans="1:77">
      <c r="A1223" s="362">
        <v>46238</v>
      </c>
      <c r="B1223" s="362">
        <v>46246</v>
      </c>
      <c r="C1223" s="431" t="s">
        <v>839</v>
      </c>
      <c r="D1223" s="129" t="s">
        <v>1091</v>
      </c>
      <c r="E1223" s="129" t="s">
        <v>204</v>
      </c>
      <c r="F1223" s="96">
        <v>56</v>
      </c>
      <c r="G1223" s="418"/>
      <c r="H1223" s="118" t="str">
        <f>IFERROR(VLOOKUP(E1223,名称!A:E,4,0),"")</f>
        <v>三代</v>
      </c>
      <c r="I1223" s="418" t="str">
        <f t="shared" si="2009"/>
        <v/>
      </c>
      <c r="J1223" s="418" t="str">
        <f t="shared" si="2010"/>
        <v/>
      </c>
      <c r="K1223" s="418" t="str">
        <f t="shared" si="2011"/>
        <v/>
      </c>
      <c r="L1223" s="418" t="str">
        <f t="shared" si="2012"/>
        <v/>
      </c>
      <c r="M1223" s="418" t="str">
        <f t="shared" si="2013"/>
        <v/>
      </c>
      <c r="N1223" s="418" t="str">
        <f t="shared" si="2014"/>
        <v/>
      </c>
      <c r="O1223" s="418" t="str">
        <f t="shared" si="2015"/>
        <v/>
      </c>
      <c r="P1223" s="418" t="str">
        <f t="shared" si="2016"/>
        <v/>
      </c>
      <c r="Q1223" s="418" t="str">
        <f t="shared" si="2017"/>
        <v/>
      </c>
      <c r="R1223" s="418" t="str">
        <f t="shared" si="2018"/>
        <v/>
      </c>
      <c r="S1223" s="418" t="str">
        <f t="shared" si="2019"/>
        <v/>
      </c>
      <c r="T1223" s="418" t="str">
        <f t="shared" si="2020"/>
        <v/>
      </c>
      <c r="U1223" s="418" t="str">
        <f t="shared" si="2021"/>
        <v/>
      </c>
      <c r="V1223" s="418" t="str">
        <f t="shared" si="2022"/>
        <v/>
      </c>
      <c r="W1223" s="418" t="str">
        <f t="shared" si="2023"/>
        <v/>
      </c>
      <c r="X1223" s="418" t="str">
        <f t="shared" si="2024"/>
        <v/>
      </c>
      <c r="Y1223" s="418" t="str">
        <f t="shared" si="2025"/>
        <v/>
      </c>
      <c r="Z1223" s="418" t="str">
        <f t="shared" si="2026"/>
        <v/>
      </c>
      <c r="AA1223" s="418" t="str">
        <f t="shared" si="2027"/>
        <v/>
      </c>
      <c r="AB1223" s="418" t="str">
        <f t="shared" si="2028"/>
        <v/>
      </c>
      <c r="AC1223" s="418" t="str">
        <f t="shared" si="2029"/>
        <v/>
      </c>
      <c r="AD1223" s="418" t="str">
        <f t="shared" si="2030"/>
        <v/>
      </c>
      <c r="AE1223" s="418" t="str">
        <f t="shared" si="2031"/>
        <v/>
      </c>
      <c r="AF1223" s="418" t="str">
        <f t="shared" si="2032"/>
        <v/>
      </c>
      <c r="AG1223" s="418" t="str">
        <f t="shared" si="2033"/>
        <v/>
      </c>
      <c r="AH1223" s="418" t="str">
        <f t="shared" si="2034"/>
        <v/>
      </c>
      <c r="AI1223" s="418" t="str">
        <f t="shared" si="2035"/>
        <v/>
      </c>
      <c r="AJ1223" s="418" t="str">
        <f t="shared" si="2036"/>
        <v/>
      </c>
      <c r="AK1223" s="418" t="str">
        <f t="shared" si="2037"/>
        <v/>
      </c>
      <c r="AL1223" s="418" t="str">
        <f t="shared" si="2038"/>
        <v/>
      </c>
      <c r="AM1223" s="418" t="str">
        <f t="shared" si="2039"/>
        <v/>
      </c>
      <c r="AN1223" s="418" t="str">
        <f t="shared" si="2040"/>
        <v/>
      </c>
      <c r="AO1223" s="418" t="str">
        <f t="shared" si="2041"/>
        <v/>
      </c>
      <c r="AP1223" s="418" t="str">
        <f t="shared" si="2042"/>
        <v/>
      </c>
      <c r="AQ1223" s="418" t="str">
        <f t="shared" si="2043"/>
        <v/>
      </c>
      <c r="AR1223" s="418" t="str">
        <f t="shared" si="2044"/>
        <v/>
      </c>
      <c r="AS1223" s="418" t="str">
        <f t="shared" si="2045"/>
        <v/>
      </c>
      <c r="AT1223" s="418">
        <f t="shared" si="2046"/>
        <v>56</v>
      </c>
      <c r="AU1223" s="418" t="str">
        <f t="shared" si="2047"/>
        <v/>
      </c>
      <c r="AV1223" s="418" t="str">
        <f t="shared" si="2048"/>
        <v/>
      </c>
      <c r="AW1223" s="418" t="str">
        <f t="shared" si="2049"/>
        <v/>
      </c>
      <c r="AX1223" s="418" t="str">
        <f t="shared" si="2050"/>
        <v/>
      </c>
      <c r="AY1223" s="418" t="str">
        <f t="shared" si="2051"/>
        <v/>
      </c>
      <c r="AZ1223" s="418" t="str">
        <f t="shared" si="2052"/>
        <v/>
      </c>
      <c r="BA1223" s="418" t="str">
        <f t="shared" si="2053"/>
        <v/>
      </c>
      <c r="BB1223" s="418" t="str">
        <f t="shared" si="2054"/>
        <v/>
      </c>
      <c r="BC1223" s="418" t="str">
        <f t="shared" si="2055"/>
        <v/>
      </c>
      <c r="BD1223" s="418" t="str">
        <f t="shared" si="2056"/>
        <v/>
      </c>
      <c r="BE1223" s="418" t="str">
        <f t="shared" si="2057"/>
        <v/>
      </c>
      <c r="BF1223" s="418" t="str">
        <f t="shared" si="2058"/>
        <v/>
      </c>
      <c r="BG1223" s="418" t="str">
        <f t="shared" si="2059"/>
        <v/>
      </c>
      <c r="BH1223" s="418" t="str">
        <f t="shared" si="2060"/>
        <v/>
      </c>
      <c r="BI1223" s="418" t="str">
        <f t="shared" si="2061"/>
        <v/>
      </c>
      <c r="BJ1223" s="418" t="str">
        <f t="shared" si="2062"/>
        <v/>
      </c>
      <c r="BK1223" s="418" t="str">
        <f t="shared" si="2063"/>
        <v/>
      </c>
      <c r="BL1223" s="418" t="str">
        <f t="shared" si="2064"/>
        <v/>
      </c>
      <c r="BM1223" s="418" t="str">
        <f t="shared" si="2065"/>
        <v/>
      </c>
      <c r="BN1223" s="418" t="str">
        <f t="shared" si="2066"/>
        <v/>
      </c>
      <c r="BO1223" s="418" t="str">
        <f t="shared" si="2067"/>
        <v/>
      </c>
      <c r="BP1223" s="418" t="str">
        <f t="shared" si="2068"/>
        <v/>
      </c>
      <c r="BQ1223" s="418" t="str">
        <f t="shared" si="2069"/>
        <v/>
      </c>
      <c r="BR1223" s="418" t="str">
        <f t="shared" si="2070"/>
        <v/>
      </c>
      <c r="BS1223" s="418" t="str">
        <f t="shared" si="2071"/>
        <v/>
      </c>
      <c r="BT1223" s="418" t="str">
        <f t="shared" si="2072"/>
        <v/>
      </c>
      <c r="BU1223" s="418" t="str">
        <f t="shared" si="2073"/>
        <v/>
      </c>
      <c r="BV1223" s="544"/>
      <c r="BW1223" s="723">
        <f t="shared" si="2074"/>
        <v>0</v>
      </c>
      <c r="BX1223" s="724">
        <f t="shared" si="2075"/>
        <v>0</v>
      </c>
      <c r="BY1223" s="725" t="str">
        <f t="shared" si="2076"/>
        <v>SR</v>
      </c>
    </row>
    <row r="1224" s="697" customFormat="1" customHeight="1" spans="1:77">
      <c r="A1224" s="362">
        <v>46238</v>
      </c>
      <c r="B1224" s="362">
        <v>46246</v>
      </c>
      <c r="C1224" s="431" t="s">
        <v>839</v>
      </c>
      <c r="D1224" s="129" t="s">
        <v>1092</v>
      </c>
      <c r="E1224" s="129" t="s">
        <v>89</v>
      </c>
      <c r="F1224" s="96">
        <v>50</v>
      </c>
      <c r="G1224" s="418"/>
      <c r="H1224" s="118" t="str">
        <f>IFERROR(VLOOKUP(E1224,名称!A:E,4,0),"")</f>
        <v>三代</v>
      </c>
      <c r="I1224" s="418" t="str">
        <f t="shared" si="2009"/>
        <v/>
      </c>
      <c r="J1224" s="418" t="str">
        <f t="shared" si="2010"/>
        <v/>
      </c>
      <c r="K1224" s="418" t="str">
        <f t="shared" si="2011"/>
        <v/>
      </c>
      <c r="L1224" s="418" t="str">
        <f t="shared" si="2012"/>
        <v/>
      </c>
      <c r="M1224" s="418" t="str">
        <f t="shared" si="2013"/>
        <v/>
      </c>
      <c r="N1224" s="418" t="str">
        <f t="shared" si="2014"/>
        <v/>
      </c>
      <c r="O1224" s="418" t="str">
        <f t="shared" si="2015"/>
        <v/>
      </c>
      <c r="P1224" s="418" t="str">
        <f t="shared" si="2016"/>
        <v/>
      </c>
      <c r="Q1224" s="418" t="str">
        <f t="shared" si="2017"/>
        <v/>
      </c>
      <c r="R1224" s="418" t="str">
        <f t="shared" si="2018"/>
        <v/>
      </c>
      <c r="S1224" s="418" t="str">
        <f t="shared" si="2019"/>
        <v/>
      </c>
      <c r="T1224" s="418" t="str">
        <f t="shared" si="2020"/>
        <v/>
      </c>
      <c r="U1224" s="418" t="str">
        <f t="shared" si="2021"/>
        <v/>
      </c>
      <c r="V1224" s="418" t="str">
        <f t="shared" si="2022"/>
        <v/>
      </c>
      <c r="W1224" s="418" t="str">
        <f t="shared" si="2023"/>
        <v/>
      </c>
      <c r="X1224" s="418" t="str">
        <f t="shared" si="2024"/>
        <v/>
      </c>
      <c r="Y1224" s="418" t="str">
        <f t="shared" si="2025"/>
        <v/>
      </c>
      <c r="Z1224" s="418" t="str">
        <f t="shared" si="2026"/>
        <v/>
      </c>
      <c r="AA1224" s="418" t="str">
        <f t="shared" si="2027"/>
        <v/>
      </c>
      <c r="AB1224" s="418" t="str">
        <f t="shared" si="2028"/>
        <v/>
      </c>
      <c r="AC1224" s="418" t="str">
        <f t="shared" si="2029"/>
        <v/>
      </c>
      <c r="AD1224" s="418" t="str">
        <f t="shared" si="2030"/>
        <v/>
      </c>
      <c r="AE1224" s="418" t="str">
        <f t="shared" si="2031"/>
        <v/>
      </c>
      <c r="AF1224" s="418" t="str">
        <f t="shared" si="2032"/>
        <v/>
      </c>
      <c r="AG1224" s="418" t="str">
        <f t="shared" si="2033"/>
        <v/>
      </c>
      <c r="AH1224" s="418" t="str">
        <f t="shared" si="2034"/>
        <v/>
      </c>
      <c r="AI1224" s="418" t="str">
        <f t="shared" si="2035"/>
        <v/>
      </c>
      <c r="AJ1224" s="418" t="str">
        <f t="shared" si="2036"/>
        <v/>
      </c>
      <c r="AK1224" s="418" t="str">
        <f t="shared" si="2037"/>
        <v/>
      </c>
      <c r="AL1224" s="418" t="str">
        <f t="shared" si="2038"/>
        <v/>
      </c>
      <c r="AM1224" s="418" t="str">
        <f t="shared" si="2039"/>
        <v/>
      </c>
      <c r="AN1224" s="418" t="str">
        <f t="shared" si="2040"/>
        <v/>
      </c>
      <c r="AO1224" s="418" t="str">
        <f t="shared" si="2041"/>
        <v/>
      </c>
      <c r="AP1224" s="418" t="str">
        <f t="shared" si="2042"/>
        <v/>
      </c>
      <c r="AQ1224" s="418" t="str">
        <f t="shared" si="2043"/>
        <v/>
      </c>
      <c r="AR1224" s="418" t="str">
        <f t="shared" si="2044"/>
        <v/>
      </c>
      <c r="AS1224" s="418" t="str">
        <f t="shared" si="2045"/>
        <v/>
      </c>
      <c r="AT1224" s="418" t="str">
        <f t="shared" si="2046"/>
        <v/>
      </c>
      <c r="AU1224" s="418">
        <f t="shared" si="2047"/>
        <v>50</v>
      </c>
      <c r="AV1224" s="418" t="str">
        <f t="shared" si="2048"/>
        <v/>
      </c>
      <c r="AW1224" s="418" t="str">
        <f t="shared" si="2049"/>
        <v/>
      </c>
      <c r="AX1224" s="418" t="str">
        <f t="shared" si="2050"/>
        <v/>
      </c>
      <c r="AY1224" s="418" t="str">
        <f t="shared" si="2051"/>
        <v/>
      </c>
      <c r="AZ1224" s="418" t="str">
        <f t="shared" si="2052"/>
        <v/>
      </c>
      <c r="BA1224" s="418" t="str">
        <f t="shared" si="2053"/>
        <v/>
      </c>
      <c r="BB1224" s="418" t="str">
        <f t="shared" si="2054"/>
        <v/>
      </c>
      <c r="BC1224" s="418" t="str">
        <f t="shared" si="2055"/>
        <v/>
      </c>
      <c r="BD1224" s="418" t="str">
        <f t="shared" si="2056"/>
        <v/>
      </c>
      <c r="BE1224" s="418" t="str">
        <f t="shared" si="2057"/>
        <v/>
      </c>
      <c r="BF1224" s="418" t="str">
        <f t="shared" si="2058"/>
        <v/>
      </c>
      <c r="BG1224" s="418" t="str">
        <f t="shared" si="2059"/>
        <v/>
      </c>
      <c r="BH1224" s="418" t="str">
        <f t="shared" si="2060"/>
        <v/>
      </c>
      <c r="BI1224" s="418" t="str">
        <f t="shared" si="2061"/>
        <v/>
      </c>
      <c r="BJ1224" s="418" t="str">
        <f t="shared" si="2062"/>
        <v/>
      </c>
      <c r="BK1224" s="418" t="str">
        <f t="shared" si="2063"/>
        <v/>
      </c>
      <c r="BL1224" s="418" t="str">
        <f t="shared" si="2064"/>
        <v/>
      </c>
      <c r="BM1224" s="418" t="str">
        <f t="shared" si="2065"/>
        <v/>
      </c>
      <c r="BN1224" s="418" t="str">
        <f t="shared" si="2066"/>
        <v/>
      </c>
      <c r="BO1224" s="418" t="str">
        <f t="shared" si="2067"/>
        <v/>
      </c>
      <c r="BP1224" s="418" t="str">
        <f t="shared" si="2068"/>
        <v/>
      </c>
      <c r="BQ1224" s="418" t="str">
        <f t="shared" si="2069"/>
        <v/>
      </c>
      <c r="BR1224" s="418" t="str">
        <f t="shared" si="2070"/>
        <v/>
      </c>
      <c r="BS1224" s="418" t="str">
        <f t="shared" si="2071"/>
        <v/>
      </c>
      <c r="BT1224" s="418" t="str">
        <f t="shared" si="2072"/>
        <v/>
      </c>
      <c r="BU1224" s="418" t="str">
        <f t="shared" si="2073"/>
        <v/>
      </c>
      <c r="BV1224" s="544"/>
      <c r="BW1224" s="723">
        <f t="shared" si="2074"/>
        <v>0</v>
      </c>
      <c r="BX1224" s="724">
        <f t="shared" si="2075"/>
        <v>0</v>
      </c>
      <c r="BY1224" s="725" t="str">
        <f t="shared" si="2076"/>
        <v>SR</v>
      </c>
    </row>
    <row r="1225" s="697" customFormat="1" customHeight="1" spans="1:77">
      <c r="A1225" s="362">
        <v>46238</v>
      </c>
      <c r="B1225" s="362">
        <v>46246</v>
      </c>
      <c r="C1225" s="431" t="s">
        <v>839</v>
      </c>
      <c r="D1225" s="129" t="s">
        <v>1086</v>
      </c>
      <c r="E1225" s="129" t="s">
        <v>101</v>
      </c>
      <c r="F1225" s="96">
        <v>5</v>
      </c>
      <c r="G1225" s="418"/>
      <c r="H1225" s="118" t="str">
        <f>IFERROR(VLOOKUP(E1225,名称!A:E,4,0),"")</f>
        <v>三代</v>
      </c>
      <c r="I1225" s="418" t="str">
        <f t="shared" si="2009"/>
        <v/>
      </c>
      <c r="J1225" s="418" t="str">
        <f t="shared" si="2010"/>
        <v/>
      </c>
      <c r="K1225" s="418" t="str">
        <f t="shared" si="2011"/>
        <v/>
      </c>
      <c r="L1225" s="418" t="str">
        <f t="shared" si="2012"/>
        <v/>
      </c>
      <c r="M1225" s="418" t="str">
        <f t="shared" si="2013"/>
        <v/>
      </c>
      <c r="N1225" s="418" t="str">
        <f t="shared" si="2014"/>
        <v/>
      </c>
      <c r="O1225" s="418" t="str">
        <f t="shared" si="2015"/>
        <v/>
      </c>
      <c r="P1225" s="418" t="str">
        <f t="shared" si="2016"/>
        <v/>
      </c>
      <c r="Q1225" s="418" t="str">
        <f t="shared" si="2017"/>
        <v/>
      </c>
      <c r="R1225" s="418" t="str">
        <f t="shared" si="2018"/>
        <v/>
      </c>
      <c r="S1225" s="418" t="str">
        <f t="shared" si="2019"/>
        <v/>
      </c>
      <c r="T1225" s="418" t="str">
        <f t="shared" si="2020"/>
        <v/>
      </c>
      <c r="U1225" s="418" t="str">
        <f t="shared" si="2021"/>
        <v/>
      </c>
      <c r="V1225" s="418" t="str">
        <f t="shared" si="2022"/>
        <v/>
      </c>
      <c r="W1225" s="418" t="str">
        <f t="shared" si="2023"/>
        <v/>
      </c>
      <c r="X1225" s="418" t="str">
        <f t="shared" si="2024"/>
        <v/>
      </c>
      <c r="Y1225" s="418" t="str">
        <f t="shared" si="2025"/>
        <v/>
      </c>
      <c r="Z1225" s="418" t="str">
        <f t="shared" si="2026"/>
        <v/>
      </c>
      <c r="AA1225" s="418" t="str">
        <f t="shared" si="2027"/>
        <v/>
      </c>
      <c r="AB1225" s="418" t="str">
        <f t="shared" si="2028"/>
        <v/>
      </c>
      <c r="AC1225" s="418" t="str">
        <f t="shared" si="2029"/>
        <v/>
      </c>
      <c r="AD1225" s="418" t="str">
        <f t="shared" si="2030"/>
        <v/>
      </c>
      <c r="AE1225" s="418" t="str">
        <f t="shared" si="2031"/>
        <v/>
      </c>
      <c r="AF1225" s="418" t="str">
        <f t="shared" si="2032"/>
        <v/>
      </c>
      <c r="AG1225" s="418" t="str">
        <f t="shared" si="2033"/>
        <v/>
      </c>
      <c r="AH1225" s="418" t="str">
        <f t="shared" si="2034"/>
        <v/>
      </c>
      <c r="AI1225" s="418">
        <f t="shared" si="2035"/>
        <v>5</v>
      </c>
      <c r="AJ1225" s="418" t="str">
        <f t="shared" si="2036"/>
        <v/>
      </c>
      <c r="AK1225" s="418" t="str">
        <f t="shared" si="2037"/>
        <v/>
      </c>
      <c r="AL1225" s="418" t="str">
        <f t="shared" si="2038"/>
        <v/>
      </c>
      <c r="AM1225" s="418" t="str">
        <f t="shared" si="2039"/>
        <v/>
      </c>
      <c r="AN1225" s="418" t="str">
        <f t="shared" si="2040"/>
        <v/>
      </c>
      <c r="AO1225" s="418" t="str">
        <f t="shared" si="2041"/>
        <v/>
      </c>
      <c r="AP1225" s="418" t="str">
        <f t="shared" si="2042"/>
        <v/>
      </c>
      <c r="AQ1225" s="418" t="str">
        <f t="shared" si="2043"/>
        <v/>
      </c>
      <c r="AR1225" s="418" t="str">
        <f t="shared" si="2044"/>
        <v/>
      </c>
      <c r="AS1225" s="418" t="str">
        <f t="shared" si="2045"/>
        <v/>
      </c>
      <c r="AT1225" s="418" t="str">
        <f t="shared" si="2046"/>
        <v/>
      </c>
      <c r="AU1225" s="418" t="str">
        <f t="shared" si="2047"/>
        <v/>
      </c>
      <c r="AV1225" s="418" t="str">
        <f t="shared" si="2048"/>
        <v/>
      </c>
      <c r="AW1225" s="418" t="str">
        <f t="shared" si="2049"/>
        <v/>
      </c>
      <c r="AX1225" s="418" t="str">
        <f t="shared" si="2050"/>
        <v/>
      </c>
      <c r="AY1225" s="418" t="str">
        <f t="shared" si="2051"/>
        <v/>
      </c>
      <c r="AZ1225" s="418" t="str">
        <f t="shared" si="2052"/>
        <v/>
      </c>
      <c r="BA1225" s="418" t="str">
        <f t="shared" si="2053"/>
        <v/>
      </c>
      <c r="BB1225" s="418" t="str">
        <f t="shared" si="2054"/>
        <v/>
      </c>
      <c r="BC1225" s="418" t="str">
        <f t="shared" si="2055"/>
        <v/>
      </c>
      <c r="BD1225" s="418" t="str">
        <f t="shared" si="2056"/>
        <v/>
      </c>
      <c r="BE1225" s="418" t="str">
        <f t="shared" si="2057"/>
        <v/>
      </c>
      <c r="BF1225" s="418" t="str">
        <f t="shared" si="2058"/>
        <v/>
      </c>
      <c r="BG1225" s="418" t="str">
        <f t="shared" si="2059"/>
        <v/>
      </c>
      <c r="BH1225" s="418" t="str">
        <f t="shared" si="2060"/>
        <v/>
      </c>
      <c r="BI1225" s="418" t="str">
        <f t="shared" si="2061"/>
        <v/>
      </c>
      <c r="BJ1225" s="418" t="str">
        <f t="shared" si="2062"/>
        <v/>
      </c>
      <c r="BK1225" s="418" t="str">
        <f t="shared" si="2063"/>
        <v/>
      </c>
      <c r="BL1225" s="418" t="str">
        <f t="shared" si="2064"/>
        <v/>
      </c>
      <c r="BM1225" s="418" t="str">
        <f t="shared" si="2065"/>
        <v/>
      </c>
      <c r="BN1225" s="418" t="str">
        <f t="shared" si="2066"/>
        <v/>
      </c>
      <c r="BO1225" s="418" t="str">
        <f t="shared" si="2067"/>
        <v/>
      </c>
      <c r="BP1225" s="418" t="str">
        <f t="shared" si="2068"/>
        <v/>
      </c>
      <c r="BQ1225" s="418" t="str">
        <f t="shared" si="2069"/>
        <v/>
      </c>
      <c r="BR1225" s="418" t="str">
        <f t="shared" si="2070"/>
        <v/>
      </c>
      <c r="BS1225" s="418" t="str">
        <f t="shared" si="2071"/>
        <v/>
      </c>
      <c r="BT1225" s="418" t="str">
        <f t="shared" si="2072"/>
        <v/>
      </c>
      <c r="BU1225" s="418" t="str">
        <f t="shared" si="2073"/>
        <v/>
      </c>
      <c r="BV1225" s="544"/>
      <c r="BW1225" s="723">
        <f t="shared" si="2074"/>
        <v>0</v>
      </c>
      <c r="BX1225" s="724">
        <f t="shared" si="2075"/>
        <v>0</v>
      </c>
      <c r="BY1225" s="725" t="str">
        <f t="shared" si="2076"/>
        <v>SR</v>
      </c>
    </row>
    <row r="1226" s="697" customFormat="1" customHeight="1" spans="1:77">
      <c r="A1226" s="362">
        <v>46238</v>
      </c>
      <c r="B1226" s="362">
        <v>46246</v>
      </c>
      <c r="C1226" s="431" t="s">
        <v>839</v>
      </c>
      <c r="D1226" s="129" t="s">
        <v>1093</v>
      </c>
      <c r="E1226" s="129" t="s">
        <v>1094</v>
      </c>
      <c r="F1226" s="96">
        <v>48</v>
      </c>
      <c r="G1226" s="418"/>
      <c r="H1226" s="118" t="str">
        <f>IFERROR(VLOOKUP(E1226,名称!A:E,4,0),"")</f>
        <v/>
      </c>
      <c r="I1226" s="418" t="str">
        <f t="shared" si="2009"/>
        <v/>
      </c>
      <c r="J1226" s="418" t="str">
        <f t="shared" si="2010"/>
        <v/>
      </c>
      <c r="K1226" s="418" t="str">
        <f t="shared" si="2011"/>
        <v/>
      </c>
      <c r="L1226" s="418" t="str">
        <f t="shared" si="2012"/>
        <v/>
      </c>
      <c r="M1226" s="418" t="str">
        <f t="shared" si="2013"/>
        <v/>
      </c>
      <c r="N1226" s="418" t="str">
        <f t="shared" si="2014"/>
        <v/>
      </c>
      <c r="O1226" s="418" t="str">
        <f t="shared" si="2015"/>
        <v/>
      </c>
      <c r="P1226" s="418" t="str">
        <f t="shared" si="2016"/>
        <v/>
      </c>
      <c r="Q1226" s="418" t="str">
        <f t="shared" si="2017"/>
        <v/>
      </c>
      <c r="R1226" s="418" t="str">
        <f t="shared" si="2018"/>
        <v/>
      </c>
      <c r="S1226" s="418" t="str">
        <f t="shared" si="2019"/>
        <v/>
      </c>
      <c r="T1226" s="418" t="str">
        <f t="shared" si="2020"/>
        <v/>
      </c>
      <c r="U1226" s="418" t="str">
        <f t="shared" si="2021"/>
        <v/>
      </c>
      <c r="V1226" s="418" t="str">
        <f t="shared" si="2022"/>
        <v/>
      </c>
      <c r="W1226" s="418" t="str">
        <f t="shared" si="2023"/>
        <v/>
      </c>
      <c r="X1226" s="418" t="str">
        <f t="shared" si="2024"/>
        <v/>
      </c>
      <c r="Y1226" s="418" t="str">
        <f t="shared" si="2025"/>
        <v/>
      </c>
      <c r="Z1226" s="418" t="str">
        <f t="shared" si="2026"/>
        <v/>
      </c>
      <c r="AA1226" s="418" t="str">
        <f t="shared" si="2027"/>
        <v/>
      </c>
      <c r="AB1226" s="418" t="str">
        <f t="shared" si="2028"/>
        <v/>
      </c>
      <c r="AC1226" s="418" t="str">
        <f t="shared" si="2029"/>
        <v/>
      </c>
      <c r="AD1226" s="418" t="str">
        <f t="shared" si="2030"/>
        <v/>
      </c>
      <c r="AE1226" s="418" t="str">
        <f t="shared" si="2031"/>
        <v/>
      </c>
      <c r="AF1226" s="418" t="str">
        <f t="shared" si="2032"/>
        <v/>
      </c>
      <c r="AG1226" s="418" t="str">
        <f t="shared" si="2033"/>
        <v/>
      </c>
      <c r="AH1226" s="418" t="str">
        <f t="shared" si="2034"/>
        <v/>
      </c>
      <c r="AI1226" s="418" t="str">
        <f t="shared" si="2035"/>
        <v/>
      </c>
      <c r="AJ1226" s="418" t="str">
        <f t="shared" si="2036"/>
        <v/>
      </c>
      <c r="AK1226" s="418" t="str">
        <f t="shared" si="2037"/>
        <v/>
      </c>
      <c r="AL1226" s="418" t="str">
        <f t="shared" si="2038"/>
        <v/>
      </c>
      <c r="AM1226" s="418" t="str">
        <f t="shared" si="2039"/>
        <v/>
      </c>
      <c r="AN1226" s="418" t="str">
        <f t="shared" si="2040"/>
        <v/>
      </c>
      <c r="AO1226" s="418" t="str">
        <f t="shared" si="2041"/>
        <v/>
      </c>
      <c r="AP1226" s="418" t="str">
        <f t="shared" si="2042"/>
        <v/>
      </c>
      <c r="AQ1226" s="418" t="str">
        <f t="shared" si="2043"/>
        <v/>
      </c>
      <c r="AR1226" s="418" t="str">
        <f t="shared" si="2044"/>
        <v/>
      </c>
      <c r="AS1226" s="418" t="str">
        <f t="shared" si="2045"/>
        <v/>
      </c>
      <c r="AT1226" s="418" t="str">
        <f t="shared" si="2046"/>
        <v/>
      </c>
      <c r="AU1226" s="418" t="str">
        <f t="shared" si="2047"/>
        <v/>
      </c>
      <c r="AV1226" s="418" t="str">
        <f t="shared" si="2048"/>
        <v/>
      </c>
      <c r="AW1226" s="418" t="str">
        <f t="shared" si="2049"/>
        <v/>
      </c>
      <c r="AX1226" s="418" t="str">
        <f t="shared" si="2050"/>
        <v/>
      </c>
      <c r="AY1226" s="418" t="str">
        <f t="shared" si="2051"/>
        <v/>
      </c>
      <c r="AZ1226" s="418" t="str">
        <f t="shared" si="2052"/>
        <v/>
      </c>
      <c r="BA1226" s="418" t="str">
        <f t="shared" si="2053"/>
        <v/>
      </c>
      <c r="BB1226" s="418" t="str">
        <f t="shared" si="2054"/>
        <v/>
      </c>
      <c r="BC1226" s="418" t="str">
        <f t="shared" si="2055"/>
        <v/>
      </c>
      <c r="BD1226" s="418" t="str">
        <f t="shared" si="2056"/>
        <v/>
      </c>
      <c r="BE1226" s="418" t="str">
        <f t="shared" si="2057"/>
        <v/>
      </c>
      <c r="BF1226" s="418" t="str">
        <f t="shared" si="2058"/>
        <v/>
      </c>
      <c r="BG1226" s="418">
        <f t="shared" si="2059"/>
        <v>48</v>
      </c>
      <c r="BH1226" s="418" t="str">
        <f t="shared" si="2060"/>
        <v/>
      </c>
      <c r="BI1226" s="418" t="str">
        <f t="shared" si="2061"/>
        <v/>
      </c>
      <c r="BJ1226" s="418" t="str">
        <f t="shared" si="2062"/>
        <v/>
      </c>
      <c r="BK1226" s="418" t="str">
        <f t="shared" si="2063"/>
        <v/>
      </c>
      <c r="BL1226" s="418" t="str">
        <f t="shared" si="2064"/>
        <v/>
      </c>
      <c r="BM1226" s="418" t="str">
        <f t="shared" si="2065"/>
        <v/>
      </c>
      <c r="BN1226" s="418" t="str">
        <f t="shared" si="2066"/>
        <v/>
      </c>
      <c r="BO1226" s="418" t="str">
        <f t="shared" si="2067"/>
        <v/>
      </c>
      <c r="BP1226" s="418" t="str">
        <f t="shared" si="2068"/>
        <v/>
      </c>
      <c r="BQ1226" s="418" t="str">
        <f t="shared" si="2069"/>
        <v/>
      </c>
      <c r="BR1226" s="418" t="str">
        <f t="shared" si="2070"/>
        <v/>
      </c>
      <c r="BS1226" s="418" t="str">
        <f t="shared" si="2071"/>
        <v/>
      </c>
      <c r="BT1226" s="418" t="str">
        <f t="shared" si="2072"/>
        <v/>
      </c>
      <c r="BU1226" s="418" t="str">
        <f t="shared" si="2073"/>
        <v/>
      </c>
      <c r="BV1226" s="544"/>
      <c r="BW1226" s="723">
        <f t="shared" si="2074"/>
        <v>0</v>
      </c>
      <c r="BX1226" s="724">
        <f t="shared" si="2075"/>
        <v>0</v>
      </c>
      <c r="BY1226" s="725" t="str">
        <f t="shared" si="2076"/>
        <v>JC</v>
      </c>
    </row>
    <row r="1227" s="697" customFormat="1" customHeight="1" spans="1:77">
      <c r="A1227" s="362">
        <v>46238</v>
      </c>
      <c r="B1227" s="362">
        <v>46246</v>
      </c>
      <c r="C1227" s="431" t="s">
        <v>839</v>
      </c>
      <c r="D1227" s="431" t="s">
        <v>839</v>
      </c>
      <c r="E1227" s="431" t="s">
        <v>1095</v>
      </c>
      <c r="F1227" s="96">
        <v>200</v>
      </c>
      <c r="G1227" s="418"/>
      <c r="H1227" s="118" t="str">
        <f>IFERROR(VLOOKUP(E1227,名称!A:E,4,0),"")</f>
        <v/>
      </c>
      <c r="I1227" s="418" t="str">
        <f t="shared" si="2009"/>
        <v/>
      </c>
      <c r="J1227" s="418" t="str">
        <f t="shared" si="2010"/>
        <v/>
      </c>
      <c r="K1227" s="418" t="str">
        <f t="shared" si="2011"/>
        <v/>
      </c>
      <c r="L1227" s="418" t="str">
        <f t="shared" si="2012"/>
        <v/>
      </c>
      <c r="M1227" s="418" t="str">
        <f t="shared" si="2013"/>
        <v/>
      </c>
      <c r="N1227" s="418" t="str">
        <f t="shared" si="2014"/>
        <v/>
      </c>
      <c r="O1227" s="418" t="str">
        <f t="shared" si="2015"/>
        <v/>
      </c>
      <c r="P1227" s="418" t="str">
        <f t="shared" si="2016"/>
        <v/>
      </c>
      <c r="Q1227" s="418" t="str">
        <f t="shared" si="2017"/>
        <v/>
      </c>
      <c r="R1227" s="418" t="str">
        <f t="shared" si="2018"/>
        <v/>
      </c>
      <c r="S1227" s="418" t="str">
        <f t="shared" si="2019"/>
        <v/>
      </c>
      <c r="T1227" s="418" t="str">
        <f t="shared" si="2020"/>
        <v/>
      </c>
      <c r="U1227" s="418" t="str">
        <f t="shared" si="2021"/>
        <v/>
      </c>
      <c r="V1227" s="418" t="str">
        <f t="shared" si="2022"/>
        <v/>
      </c>
      <c r="W1227" s="418" t="str">
        <f t="shared" si="2023"/>
        <v/>
      </c>
      <c r="X1227" s="418" t="str">
        <f t="shared" si="2024"/>
        <v/>
      </c>
      <c r="Y1227" s="418" t="str">
        <f t="shared" si="2025"/>
        <v/>
      </c>
      <c r="Z1227" s="418" t="str">
        <f t="shared" si="2026"/>
        <v/>
      </c>
      <c r="AA1227" s="418" t="str">
        <f t="shared" si="2027"/>
        <v/>
      </c>
      <c r="AB1227" s="418" t="str">
        <f t="shared" si="2028"/>
        <v/>
      </c>
      <c r="AC1227" s="418" t="str">
        <f t="shared" si="2029"/>
        <v/>
      </c>
      <c r="AD1227" s="418" t="str">
        <f t="shared" si="2030"/>
        <v/>
      </c>
      <c r="AE1227" s="418" t="str">
        <f t="shared" si="2031"/>
        <v/>
      </c>
      <c r="AF1227" s="418" t="str">
        <f t="shared" si="2032"/>
        <v/>
      </c>
      <c r="AG1227" s="418" t="str">
        <f t="shared" si="2033"/>
        <v/>
      </c>
      <c r="AH1227" s="418" t="str">
        <f t="shared" si="2034"/>
        <v/>
      </c>
      <c r="AI1227" s="418" t="str">
        <f t="shared" si="2035"/>
        <v/>
      </c>
      <c r="AJ1227" s="418" t="str">
        <f t="shared" si="2036"/>
        <v/>
      </c>
      <c r="AK1227" s="418" t="str">
        <f t="shared" si="2037"/>
        <v/>
      </c>
      <c r="AL1227" s="418" t="str">
        <f t="shared" si="2038"/>
        <v/>
      </c>
      <c r="AM1227" s="418" t="str">
        <f t="shared" si="2039"/>
        <v/>
      </c>
      <c r="AN1227" s="418" t="str">
        <f t="shared" si="2040"/>
        <v/>
      </c>
      <c r="AO1227" s="418" t="str">
        <f t="shared" si="2041"/>
        <v/>
      </c>
      <c r="AP1227" s="418" t="str">
        <f t="shared" si="2042"/>
        <v/>
      </c>
      <c r="AQ1227" s="418" t="str">
        <f t="shared" si="2043"/>
        <v/>
      </c>
      <c r="AR1227" s="418" t="str">
        <f t="shared" si="2044"/>
        <v/>
      </c>
      <c r="AS1227" s="418" t="str">
        <f t="shared" si="2045"/>
        <v/>
      </c>
      <c r="AT1227" s="418" t="str">
        <f t="shared" si="2046"/>
        <v/>
      </c>
      <c r="AU1227" s="418" t="str">
        <f t="shared" si="2047"/>
        <v/>
      </c>
      <c r="AV1227" s="418" t="str">
        <f t="shared" si="2048"/>
        <v/>
      </c>
      <c r="AW1227" s="418" t="str">
        <f t="shared" si="2049"/>
        <v/>
      </c>
      <c r="AX1227" s="418" t="str">
        <f t="shared" si="2050"/>
        <v/>
      </c>
      <c r="AY1227" s="418" t="str">
        <f t="shared" si="2051"/>
        <v/>
      </c>
      <c r="AZ1227" s="418" t="str">
        <f t="shared" si="2052"/>
        <v/>
      </c>
      <c r="BA1227" s="418" t="str">
        <f t="shared" si="2053"/>
        <v/>
      </c>
      <c r="BB1227" s="418" t="str">
        <f t="shared" si="2054"/>
        <v/>
      </c>
      <c r="BC1227" s="418" t="str">
        <f t="shared" si="2055"/>
        <v/>
      </c>
      <c r="BD1227" s="418" t="str">
        <f t="shared" si="2056"/>
        <v/>
      </c>
      <c r="BE1227" s="418" t="str">
        <f t="shared" si="2057"/>
        <v/>
      </c>
      <c r="BF1227" s="418" t="str">
        <f t="shared" si="2058"/>
        <v/>
      </c>
      <c r="BG1227" s="418" t="str">
        <f t="shared" si="2059"/>
        <v/>
      </c>
      <c r="BH1227" s="418" t="str">
        <f t="shared" si="2060"/>
        <v/>
      </c>
      <c r="BI1227" s="418" t="str">
        <f t="shared" si="2061"/>
        <v/>
      </c>
      <c r="BJ1227" s="418" t="str">
        <f t="shared" si="2062"/>
        <v/>
      </c>
      <c r="BK1227" s="418" t="str">
        <f t="shared" si="2063"/>
        <v/>
      </c>
      <c r="BL1227" s="418" t="str">
        <f t="shared" si="2064"/>
        <v/>
      </c>
      <c r="BM1227" s="418" t="str">
        <f t="shared" si="2065"/>
        <v/>
      </c>
      <c r="BN1227" s="418" t="str">
        <f t="shared" si="2066"/>
        <v/>
      </c>
      <c r="BO1227" s="418" t="str">
        <f t="shared" si="2067"/>
        <v/>
      </c>
      <c r="BP1227" s="418">
        <f t="shared" si="2068"/>
        <v>200</v>
      </c>
      <c r="BQ1227" s="418" t="str">
        <f t="shared" si="2069"/>
        <v/>
      </c>
      <c r="BR1227" s="418" t="str">
        <f t="shared" si="2070"/>
        <v/>
      </c>
      <c r="BS1227" s="418" t="str">
        <f t="shared" si="2071"/>
        <v/>
      </c>
      <c r="BT1227" s="418" t="str">
        <f t="shared" si="2072"/>
        <v/>
      </c>
      <c r="BU1227" s="418" t="str">
        <f t="shared" si="2073"/>
        <v/>
      </c>
      <c r="BV1227" s="544"/>
      <c r="BW1227" s="723">
        <f t="shared" si="2074"/>
        <v>0</v>
      </c>
      <c r="BX1227" s="724">
        <f t="shared" si="2075"/>
        <v>0</v>
      </c>
      <c r="BY1227" s="725" t="str">
        <f t="shared" si="2076"/>
        <v>SR</v>
      </c>
    </row>
    <row r="1228" s="697" customFormat="1" customHeight="1" spans="1:77">
      <c r="A1228" s="362">
        <v>46239</v>
      </c>
      <c r="B1228" s="362">
        <v>46280</v>
      </c>
      <c r="C1228" s="129">
        <v>57179</v>
      </c>
      <c r="D1228" s="431" t="s">
        <v>1096</v>
      </c>
      <c r="E1228" s="431" t="s">
        <v>50</v>
      </c>
      <c r="F1228" s="96">
        <v>3006</v>
      </c>
      <c r="G1228" s="431" t="s">
        <v>510</v>
      </c>
      <c r="H1228" s="118" t="str">
        <f>IFERROR(VLOOKUP(E1228,名称!A:E,4,0),"")</f>
        <v>蛋糕</v>
      </c>
      <c r="I1228" s="418" t="str">
        <f t="shared" si="2009"/>
        <v/>
      </c>
      <c r="J1228" s="418" t="str">
        <f t="shared" si="2010"/>
        <v/>
      </c>
      <c r="K1228" s="418" t="str">
        <f t="shared" si="2011"/>
        <v/>
      </c>
      <c r="L1228" s="418" t="str">
        <f t="shared" si="2012"/>
        <v/>
      </c>
      <c r="M1228" s="418" t="str">
        <f t="shared" si="2013"/>
        <v/>
      </c>
      <c r="N1228" s="418" t="str">
        <f t="shared" si="2014"/>
        <v/>
      </c>
      <c r="O1228" s="418" t="str">
        <f t="shared" si="2015"/>
        <v/>
      </c>
      <c r="P1228" s="418" t="str">
        <f t="shared" si="2016"/>
        <v/>
      </c>
      <c r="Q1228" s="418" t="str">
        <f t="shared" si="2017"/>
        <v/>
      </c>
      <c r="R1228" s="418" t="str">
        <f t="shared" si="2018"/>
        <v/>
      </c>
      <c r="S1228" s="418" t="str">
        <f t="shared" si="2019"/>
        <v/>
      </c>
      <c r="T1228" s="418" t="str">
        <f t="shared" si="2020"/>
        <v/>
      </c>
      <c r="U1228" s="418" t="str">
        <f t="shared" si="2021"/>
        <v/>
      </c>
      <c r="V1228" s="418" t="str">
        <f t="shared" si="2022"/>
        <v/>
      </c>
      <c r="W1228" s="418" t="str">
        <f t="shared" si="2023"/>
        <v/>
      </c>
      <c r="X1228" s="418" t="str">
        <f t="shared" si="2024"/>
        <v/>
      </c>
      <c r="Y1228" s="418" t="str">
        <f t="shared" si="2025"/>
        <v/>
      </c>
      <c r="Z1228" s="418" t="str">
        <f t="shared" si="2026"/>
        <v/>
      </c>
      <c r="AA1228" s="418" t="str">
        <f t="shared" si="2027"/>
        <v/>
      </c>
      <c r="AB1228" s="418" t="str">
        <f t="shared" si="2028"/>
        <v/>
      </c>
      <c r="AC1228" s="418" t="str">
        <f t="shared" si="2029"/>
        <v/>
      </c>
      <c r="AD1228" s="418" t="str">
        <f t="shared" si="2030"/>
        <v/>
      </c>
      <c r="AE1228" s="418" t="str">
        <f t="shared" si="2031"/>
        <v/>
      </c>
      <c r="AF1228" s="418" t="str">
        <f t="shared" si="2032"/>
        <v/>
      </c>
      <c r="AG1228" s="418" t="str">
        <f t="shared" si="2033"/>
        <v/>
      </c>
      <c r="AH1228" s="418" t="str">
        <f t="shared" si="2034"/>
        <v/>
      </c>
      <c r="AI1228" s="418" t="str">
        <f t="shared" si="2035"/>
        <v/>
      </c>
      <c r="AJ1228" s="418" t="str">
        <f t="shared" si="2036"/>
        <v/>
      </c>
      <c r="AK1228" s="418" t="str">
        <f t="shared" si="2037"/>
        <v/>
      </c>
      <c r="AL1228" s="418" t="str">
        <f t="shared" si="2038"/>
        <v/>
      </c>
      <c r="AM1228" s="418" t="str">
        <f t="shared" si="2039"/>
        <v/>
      </c>
      <c r="AN1228" s="418" t="str">
        <f t="shared" si="2040"/>
        <v/>
      </c>
      <c r="AO1228" s="418" t="str">
        <f t="shared" si="2041"/>
        <v/>
      </c>
      <c r="AP1228" s="418" t="str">
        <f t="shared" si="2042"/>
        <v/>
      </c>
      <c r="AQ1228" s="418" t="str">
        <f t="shared" si="2043"/>
        <v/>
      </c>
      <c r="AR1228" s="418" t="str">
        <f t="shared" si="2044"/>
        <v/>
      </c>
      <c r="AS1228" s="418" t="str">
        <f t="shared" si="2045"/>
        <v/>
      </c>
      <c r="AT1228" s="418" t="str">
        <f t="shared" si="2046"/>
        <v/>
      </c>
      <c r="AU1228" s="418" t="str">
        <f t="shared" si="2047"/>
        <v/>
      </c>
      <c r="AV1228" s="418" t="str">
        <f t="shared" si="2048"/>
        <v/>
      </c>
      <c r="AW1228" s="418" t="str">
        <f t="shared" si="2049"/>
        <v/>
      </c>
      <c r="AX1228" s="418" t="str">
        <f t="shared" si="2050"/>
        <v/>
      </c>
      <c r="AY1228" s="418" t="str">
        <f t="shared" si="2051"/>
        <v/>
      </c>
      <c r="AZ1228" s="418" t="str">
        <f t="shared" si="2052"/>
        <v/>
      </c>
      <c r="BA1228" s="418" t="str">
        <f t="shared" si="2053"/>
        <v/>
      </c>
      <c r="BB1228" s="418" t="str">
        <f t="shared" si="2054"/>
        <v/>
      </c>
      <c r="BC1228" s="418" t="str">
        <f t="shared" si="2055"/>
        <v/>
      </c>
      <c r="BD1228" s="418" t="str">
        <f t="shared" si="2056"/>
        <v/>
      </c>
      <c r="BE1228" s="418" t="str">
        <f t="shared" si="2057"/>
        <v/>
      </c>
      <c r="BF1228" s="418" t="str">
        <f t="shared" si="2058"/>
        <v/>
      </c>
      <c r="BG1228" s="418">
        <f t="shared" si="2059"/>
        <v>3006</v>
      </c>
      <c r="BH1228" s="418" t="str">
        <f t="shared" si="2060"/>
        <v/>
      </c>
      <c r="BI1228" s="418" t="str">
        <f t="shared" si="2061"/>
        <v/>
      </c>
      <c r="BJ1228" s="418" t="str">
        <f t="shared" si="2062"/>
        <v/>
      </c>
      <c r="BK1228" s="418" t="str">
        <f t="shared" si="2063"/>
        <v/>
      </c>
      <c r="BL1228" s="418" t="str">
        <f t="shared" si="2064"/>
        <v/>
      </c>
      <c r="BM1228" s="418" t="str">
        <f t="shared" si="2065"/>
        <v/>
      </c>
      <c r="BN1228" s="418" t="str">
        <f t="shared" si="2066"/>
        <v/>
      </c>
      <c r="BO1228" s="418" t="str">
        <f t="shared" si="2067"/>
        <v/>
      </c>
      <c r="BP1228" s="418" t="str">
        <f t="shared" si="2068"/>
        <v/>
      </c>
      <c r="BQ1228" s="418" t="str">
        <f t="shared" si="2069"/>
        <v/>
      </c>
      <c r="BR1228" s="418" t="str">
        <f t="shared" si="2070"/>
        <v/>
      </c>
      <c r="BS1228" s="418" t="str">
        <f t="shared" si="2071"/>
        <v/>
      </c>
      <c r="BT1228" s="418" t="str">
        <f t="shared" si="2072"/>
        <v/>
      </c>
      <c r="BU1228" s="418" t="str">
        <f t="shared" si="2073"/>
        <v/>
      </c>
      <c r="BV1228" s="624">
        <v>1.15</v>
      </c>
      <c r="BW1228" s="723">
        <f t="shared" si="2074"/>
        <v>3456.9</v>
      </c>
      <c r="BX1228" s="724">
        <f t="shared" si="2075"/>
        <v>26790.98</v>
      </c>
      <c r="BY1228" s="725" t="str">
        <f t="shared" si="2076"/>
        <v>JC</v>
      </c>
    </row>
    <row r="1229" s="697" customFormat="1" customHeight="1" spans="1:77">
      <c r="A1229" s="362">
        <v>46239</v>
      </c>
      <c r="B1229" s="362">
        <v>46280</v>
      </c>
      <c r="C1229" s="129">
        <v>57179</v>
      </c>
      <c r="D1229" s="431" t="s">
        <v>1096</v>
      </c>
      <c r="E1229" s="431" t="s">
        <v>123</v>
      </c>
      <c r="F1229" s="96">
        <v>3000</v>
      </c>
      <c r="G1229" s="431" t="s">
        <v>510</v>
      </c>
      <c r="H1229" s="118" t="str">
        <f>IFERROR(VLOOKUP(E1229,名称!A:E,4,0),"")</f>
        <v>蛋糕</v>
      </c>
      <c r="I1229" s="418" t="str">
        <f t="shared" si="2009"/>
        <v/>
      </c>
      <c r="J1229" s="418" t="str">
        <f t="shared" si="2010"/>
        <v/>
      </c>
      <c r="K1229" s="418" t="str">
        <f t="shared" si="2011"/>
        <v/>
      </c>
      <c r="L1229" s="418" t="str">
        <f t="shared" si="2012"/>
        <v/>
      </c>
      <c r="M1229" s="418" t="str">
        <f t="shared" si="2013"/>
        <v/>
      </c>
      <c r="N1229" s="418" t="str">
        <f t="shared" si="2014"/>
        <v/>
      </c>
      <c r="O1229" s="418" t="str">
        <f t="shared" si="2015"/>
        <v/>
      </c>
      <c r="P1229" s="418" t="str">
        <f t="shared" si="2016"/>
        <v/>
      </c>
      <c r="Q1229" s="418" t="str">
        <f t="shared" si="2017"/>
        <v/>
      </c>
      <c r="R1229" s="418" t="str">
        <f t="shared" si="2018"/>
        <v/>
      </c>
      <c r="S1229" s="418" t="str">
        <f t="shared" si="2019"/>
        <v/>
      </c>
      <c r="T1229" s="418" t="str">
        <f t="shared" si="2020"/>
        <v/>
      </c>
      <c r="U1229" s="418" t="str">
        <f t="shared" si="2021"/>
        <v/>
      </c>
      <c r="V1229" s="418" t="str">
        <f t="shared" si="2022"/>
        <v/>
      </c>
      <c r="W1229" s="418" t="str">
        <f t="shared" si="2023"/>
        <v/>
      </c>
      <c r="X1229" s="418" t="str">
        <f t="shared" si="2024"/>
        <v/>
      </c>
      <c r="Y1229" s="418" t="str">
        <f t="shared" si="2025"/>
        <v/>
      </c>
      <c r="Z1229" s="418" t="str">
        <f t="shared" si="2026"/>
        <v/>
      </c>
      <c r="AA1229" s="418" t="str">
        <f t="shared" si="2027"/>
        <v/>
      </c>
      <c r="AB1229" s="418" t="str">
        <f t="shared" si="2028"/>
        <v/>
      </c>
      <c r="AC1229" s="418" t="str">
        <f t="shared" si="2029"/>
        <v/>
      </c>
      <c r="AD1229" s="418" t="str">
        <f t="shared" si="2030"/>
        <v/>
      </c>
      <c r="AE1229" s="418" t="str">
        <f t="shared" si="2031"/>
        <v/>
      </c>
      <c r="AF1229" s="418" t="str">
        <f t="shared" si="2032"/>
        <v/>
      </c>
      <c r="AG1229" s="418" t="str">
        <f t="shared" si="2033"/>
        <v/>
      </c>
      <c r="AH1229" s="418" t="str">
        <f t="shared" si="2034"/>
        <v/>
      </c>
      <c r="AI1229" s="418" t="str">
        <f t="shared" si="2035"/>
        <v/>
      </c>
      <c r="AJ1229" s="418" t="str">
        <f t="shared" si="2036"/>
        <v/>
      </c>
      <c r="AK1229" s="418" t="str">
        <f t="shared" si="2037"/>
        <v/>
      </c>
      <c r="AL1229" s="418" t="str">
        <f t="shared" si="2038"/>
        <v/>
      </c>
      <c r="AM1229" s="418" t="str">
        <f t="shared" si="2039"/>
        <v/>
      </c>
      <c r="AN1229" s="418" t="str">
        <f t="shared" si="2040"/>
        <v/>
      </c>
      <c r="AO1229" s="418" t="str">
        <f t="shared" si="2041"/>
        <v/>
      </c>
      <c r="AP1229" s="418" t="str">
        <f t="shared" si="2042"/>
        <v/>
      </c>
      <c r="AQ1229" s="418" t="str">
        <f t="shared" si="2043"/>
        <v/>
      </c>
      <c r="AR1229" s="418" t="str">
        <f t="shared" si="2044"/>
        <v/>
      </c>
      <c r="AS1229" s="418" t="str">
        <f t="shared" si="2045"/>
        <v/>
      </c>
      <c r="AT1229" s="418" t="str">
        <f t="shared" si="2046"/>
        <v/>
      </c>
      <c r="AU1229" s="418" t="str">
        <f t="shared" si="2047"/>
        <v/>
      </c>
      <c r="AV1229" s="418" t="str">
        <f t="shared" si="2048"/>
        <v/>
      </c>
      <c r="AW1229" s="418" t="str">
        <f t="shared" si="2049"/>
        <v/>
      </c>
      <c r="AX1229" s="418" t="str">
        <f t="shared" si="2050"/>
        <v/>
      </c>
      <c r="AY1229" s="418" t="str">
        <f t="shared" si="2051"/>
        <v/>
      </c>
      <c r="AZ1229" s="418" t="str">
        <f t="shared" si="2052"/>
        <v/>
      </c>
      <c r="BA1229" s="418" t="str">
        <f t="shared" si="2053"/>
        <v/>
      </c>
      <c r="BB1229" s="418" t="str">
        <f t="shared" si="2054"/>
        <v/>
      </c>
      <c r="BC1229" s="418" t="str">
        <f t="shared" si="2055"/>
        <v/>
      </c>
      <c r="BD1229" s="418" t="str">
        <f t="shared" si="2056"/>
        <v/>
      </c>
      <c r="BE1229" s="418" t="str">
        <f t="shared" si="2057"/>
        <v/>
      </c>
      <c r="BF1229" s="418">
        <f t="shared" si="2058"/>
        <v>3000</v>
      </c>
      <c r="BG1229" s="418" t="str">
        <f t="shared" si="2059"/>
        <v/>
      </c>
      <c r="BH1229" s="418" t="str">
        <f t="shared" si="2060"/>
        <v/>
      </c>
      <c r="BI1229" s="418" t="str">
        <f t="shared" si="2061"/>
        <v/>
      </c>
      <c r="BJ1229" s="418" t="str">
        <f t="shared" si="2062"/>
        <v/>
      </c>
      <c r="BK1229" s="418" t="str">
        <f t="shared" si="2063"/>
        <v/>
      </c>
      <c r="BL1229" s="418" t="str">
        <f t="shared" si="2064"/>
        <v/>
      </c>
      <c r="BM1229" s="418" t="str">
        <f t="shared" si="2065"/>
        <v/>
      </c>
      <c r="BN1229" s="418" t="str">
        <f t="shared" si="2066"/>
        <v/>
      </c>
      <c r="BO1229" s="418" t="str">
        <f t="shared" si="2067"/>
        <v/>
      </c>
      <c r="BP1229" s="418" t="str">
        <f t="shared" si="2068"/>
        <v/>
      </c>
      <c r="BQ1229" s="418" t="str">
        <f t="shared" si="2069"/>
        <v/>
      </c>
      <c r="BR1229" s="418" t="str">
        <f t="shared" si="2070"/>
        <v/>
      </c>
      <c r="BS1229" s="418" t="str">
        <f t="shared" si="2071"/>
        <v/>
      </c>
      <c r="BT1229" s="418" t="str">
        <f t="shared" si="2072"/>
        <v/>
      </c>
      <c r="BU1229" s="418" t="str">
        <f t="shared" si="2073"/>
        <v/>
      </c>
      <c r="BV1229" s="624">
        <v>0.81</v>
      </c>
      <c r="BW1229" s="723">
        <f t="shared" si="2074"/>
        <v>2430</v>
      </c>
      <c r="BX1229" s="724">
        <f t="shared" si="2075"/>
        <v>18832.5</v>
      </c>
      <c r="BY1229" s="725" t="str">
        <f t="shared" si="2076"/>
        <v>JC</v>
      </c>
    </row>
    <row r="1230" s="697" customFormat="1" customHeight="1" spans="1:77">
      <c r="A1230" s="362">
        <v>46239</v>
      </c>
      <c r="B1230" s="362">
        <v>46308</v>
      </c>
      <c r="C1230" s="431" t="s">
        <v>1097</v>
      </c>
      <c r="D1230" s="431" t="s">
        <v>1098</v>
      </c>
      <c r="E1230" s="431" t="s">
        <v>121</v>
      </c>
      <c r="F1230" s="96">
        <v>1800</v>
      </c>
      <c r="G1230" s="431" t="s">
        <v>510</v>
      </c>
      <c r="H1230" s="118" t="str">
        <f>IFERROR(VLOOKUP(E1230,名称!A:E,4,0),"")</f>
        <v>三代</v>
      </c>
      <c r="I1230" s="418" t="str">
        <f t="shared" si="2009"/>
        <v/>
      </c>
      <c r="J1230" s="418" t="str">
        <f t="shared" si="2010"/>
        <v/>
      </c>
      <c r="K1230" s="418" t="str">
        <f t="shared" si="2011"/>
        <v/>
      </c>
      <c r="L1230" s="418" t="str">
        <f t="shared" si="2012"/>
        <v/>
      </c>
      <c r="M1230" s="418" t="str">
        <f t="shared" si="2013"/>
        <v/>
      </c>
      <c r="N1230" s="418" t="str">
        <f t="shared" si="2014"/>
        <v/>
      </c>
      <c r="O1230" s="418" t="str">
        <f t="shared" si="2015"/>
        <v/>
      </c>
      <c r="P1230" s="418" t="str">
        <f t="shared" si="2016"/>
        <v/>
      </c>
      <c r="Q1230" s="418" t="str">
        <f t="shared" si="2017"/>
        <v/>
      </c>
      <c r="R1230" s="418" t="str">
        <f t="shared" si="2018"/>
        <v/>
      </c>
      <c r="S1230" s="418" t="str">
        <f t="shared" si="2019"/>
        <v/>
      </c>
      <c r="T1230" s="418" t="str">
        <f t="shared" si="2020"/>
        <v/>
      </c>
      <c r="U1230" s="418" t="str">
        <f t="shared" si="2021"/>
        <v/>
      </c>
      <c r="V1230" s="418" t="str">
        <f t="shared" si="2022"/>
        <v/>
      </c>
      <c r="W1230" s="418" t="str">
        <f t="shared" si="2023"/>
        <v/>
      </c>
      <c r="X1230" s="418" t="str">
        <f t="shared" si="2024"/>
        <v/>
      </c>
      <c r="Y1230" s="418" t="str">
        <f t="shared" si="2025"/>
        <v/>
      </c>
      <c r="Z1230" s="418" t="str">
        <f t="shared" si="2026"/>
        <v/>
      </c>
      <c r="AA1230" s="418" t="str">
        <f t="shared" si="2027"/>
        <v/>
      </c>
      <c r="AB1230" s="418" t="str">
        <f t="shared" si="2028"/>
        <v/>
      </c>
      <c r="AC1230" s="418">
        <f t="shared" si="2029"/>
        <v>1800</v>
      </c>
      <c r="AD1230" s="418" t="str">
        <f t="shared" si="2030"/>
        <v/>
      </c>
      <c r="AE1230" s="418" t="str">
        <f t="shared" si="2031"/>
        <v/>
      </c>
      <c r="AF1230" s="418" t="str">
        <f t="shared" si="2032"/>
        <v/>
      </c>
      <c r="AG1230" s="418" t="str">
        <f t="shared" si="2033"/>
        <v/>
      </c>
      <c r="AH1230" s="418" t="str">
        <f t="shared" si="2034"/>
        <v/>
      </c>
      <c r="AI1230" s="418" t="str">
        <f t="shared" si="2035"/>
        <v/>
      </c>
      <c r="AJ1230" s="418" t="str">
        <f t="shared" si="2036"/>
        <v/>
      </c>
      <c r="AK1230" s="418" t="str">
        <f t="shared" si="2037"/>
        <v/>
      </c>
      <c r="AL1230" s="418" t="str">
        <f t="shared" si="2038"/>
        <v/>
      </c>
      <c r="AM1230" s="418" t="str">
        <f t="shared" si="2039"/>
        <v/>
      </c>
      <c r="AN1230" s="418" t="str">
        <f t="shared" si="2040"/>
        <v/>
      </c>
      <c r="AO1230" s="418" t="str">
        <f t="shared" si="2041"/>
        <v/>
      </c>
      <c r="AP1230" s="418" t="str">
        <f t="shared" si="2042"/>
        <v/>
      </c>
      <c r="AQ1230" s="418" t="str">
        <f t="shared" si="2043"/>
        <v/>
      </c>
      <c r="AR1230" s="418" t="str">
        <f t="shared" si="2044"/>
        <v/>
      </c>
      <c r="AS1230" s="418" t="str">
        <f t="shared" si="2045"/>
        <v/>
      </c>
      <c r="AT1230" s="418" t="str">
        <f t="shared" si="2046"/>
        <v/>
      </c>
      <c r="AU1230" s="418" t="str">
        <f t="shared" si="2047"/>
        <v/>
      </c>
      <c r="AV1230" s="418" t="str">
        <f t="shared" si="2048"/>
        <v/>
      </c>
      <c r="AW1230" s="418" t="str">
        <f t="shared" si="2049"/>
        <v/>
      </c>
      <c r="AX1230" s="418" t="str">
        <f t="shared" si="2050"/>
        <v/>
      </c>
      <c r="AY1230" s="418" t="str">
        <f t="shared" si="2051"/>
        <v/>
      </c>
      <c r="AZ1230" s="418" t="str">
        <f t="shared" si="2052"/>
        <v/>
      </c>
      <c r="BA1230" s="418" t="str">
        <f t="shared" si="2053"/>
        <v/>
      </c>
      <c r="BB1230" s="418" t="str">
        <f t="shared" si="2054"/>
        <v/>
      </c>
      <c r="BC1230" s="418" t="str">
        <f t="shared" si="2055"/>
        <v/>
      </c>
      <c r="BD1230" s="418" t="str">
        <f t="shared" si="2056"/>
        <v/>
      </c>
      <c r="BE1230" s="418" t="str">
        <f t="shared" si="2057"/>
        <v/>
      </c>
      <c r="BF1230" s="418" t="str">
        <f t="shared" si="2058"/>
        <v/>
      </c>
      <c r="BG1230" s="418" t="str">
        <f t="shared" si="2059"/>
        <v/>
      </c>
      <c r="BH1230" s="418" t="str">
        <f t="shared" si="2060"/>
        <v/>
      </c>
      <c r="BI1230" s="418" t="str">
        <f t="shared" si="2061"/>
        <v/>
      </c>
      <c r="BJ1230" s="418" t="str">
        <f t="shared" si="2062"/>
        <v/>
      </c>
      <c r="BK1230" s="418" t="str">
        <f t="shared" si="2063"/>
        <v/>
      </c>
      <c r="BL1230" s="418" t="str">
        <f t="shared" si="2064"/>
        <v/>
      </c>
      <c r="BM1230" s="418" t="str">
        <f t="shared" si="2065"/>
        <v/>
      </c>
      <c r="BN1230" s="418" t="str">
        <f t="shared" si="2066"/>
        <v/>
      </c>
      <c r="BO1230" s="418" t="str">
        <f t="shared" si="2067"/>
        <v/>
      </c>
      <c r="BP1230" s="418" t="str">
        <f t="shared" si="2068"/>
        <v/>
      </c>
      <c r="BQ1230" s="418" t="str">
        <f t="shared" si="2069"/>
        <v/>
      </c>
      <c r="BR1230" s="418" t="str">
        <f t="shared" si="2070"/>
        <v/>
      </c>
      <c r="BS1230" s="418" t="str">
        <f t="shared" si="2071"/>
        <v/>
      </c>
      <c r="BT1230" s="418" t="str">
        <f t="shared" si="2072"/>
        <v/>
      </c>
      <c r="BU1230" s="418" t="str">
        <f t="shared" si="2073"/>
        <v/>
      </c>
      <c r="BV1230" s="624">
        <v>0.79</v>
      </c>
      <c r="BW1230" s="723">
        <f t="shared" si="2074"/>
        <v>1422</v>
      </c>
      <c r="BX1230" s="724">
        <f t="shared" si="2075"/>
        <v>11020.5</v>
      </c>
      <c r="BY1230" s="725" t="str">
        <f t="shared" si="2076"/>
        <v>SR</v>
      </c>
    </row>
    <row r="1231" s="697" customFormat="1" customHeight="1" spans="1:77">
      <c r="A1231" s="362">
        <v>46239</v>
      </c>
      <c r="B1231" s="362">
        <v>46308</v>
      </c>
      <c r="C1231" s="431" t="s">
        <v>1097</v>
      </c>
      <c r="D1231" s="431" t="s">
        <v>1098</v>
      </c>
      <c r="E1231" s="431" t="s">
        <v>59</v>
      </c>
      <c r="F1231" s="96">
        <v>1800</v>
      </c>
      <c r="G1231" s="431" t="s">
        <v>510</v>
      </c>
      <c r="H1231" s="118" t="str">
        <f>IFERROR(VLOOKUP(E1231,名称!A:E,4,0),"")</f>
        <v>三代</v>
      </c>
      <c r="I1231" s="418" t="str">
        <f t="shared" ref="I1231:I1257" si="2077">IF(OR($E1231="",I$1=""),"",IF(TRIM(LEFT($E1231,MIN(IFERROR(FIND("CDU",UPPER($E1231)),999),IFERROR(FIND("BULK",UPPER($E1231)),999),IFERROR(FIND("-",$E1231),999),IFERROR(FIND("（",$E1231),999))-1))=I$1,$F1231,""))</f>
        <v/>
      </c>
      <c r="J1231" s="418" t="str">
        <f t="shared" ref="J1231:J1257" si="2078">IF(OR($E1231="",J$1=""),"",IF(TRIM(LEFT($E1231,MIN(IFERROR(FIND("CDU",UPPER($E1231)),999),IFERROR(FIND("BULK",UPPER($E1231)),999),IFERROR(FIND("-",$E1231),999),IFERROR(FIND("（",$E1231),999))-1))=J$1,$F1231,""))</f>
        <v/>
      </c>
      <c r="K1231" s="418" t="str">
        <f t="shared" ref="K1231:K1257" si="2079">IF(OR($E1231="",K$1=""),"",IF(TRIM(LEFT($E1231,MIN(IFERROR(FIND("CDU",UPPER($E1231)),999),IFERROR(FIND("BULK",UPPER($E1231)),999),IFERROR(FIND("-",$E1231),999),IFERROR(FIND("（",$E1231),999))-1))=K$1,$F1231,""))</f>
        <v/>
      </c>
      <c r="L1231" s="418" t="str">
        <f t="shared" ref="L1231:L1257" si="2080">IF(OR($E1231="",L$1=""),"",IF(TRIM(LEFT($E1231,MIN(IFERROR(FIND("CDU",UPPER($E1231)),999),IFERROR(FIND("BULK",UPPER($E1231)),999),IFERROR(FIND("-",$E1231),999),IFERROR(FIND("（",$E1231),999))-1))=L$1,$F1231,""))</f>
        <v/>
      </c>
      <c r="M1231" s="418" t="str">
        <f t="shared" ref="M1231:M1257" si="2081">IF(OR($E1231="",M$1=""),"",IF(TRIM(LEFT($E1231,MIN(IFERROR(FIND("CDU",UPPER($E1231)),999),IFERROR(FIND("BULK",UPPER($E1231)),999),IFERROR(FIND("-",$E1231),999),IFERROR(FIND("（",$E1231),999))-1))=M$1,$F1231,""))</f>
        <v/>
      </c>
      <c r="N1231" s="418" t="str">
        <f t="shared" ref="N1231:N1257" si="2082">IF(OR($E1231="",N$1=""),"",IF(TRIM(LEFT($E1231,MIN(IFERROR(FIND("CDU",UPPER($E1231)),999),IFERROR(FIND("BULK",UPPER($E1231)),999),IFERROR(FIND("-",$E1231),999),IFERROR(FIND("（",$E1231),999))-1))=N$1,$F1231,""))</f>
        <v/>
      </c>
      <c r="O1231" s="418" t="str">
        <f t="shared" ref="O1231:O1257" si="2083">IF(OR($E1231="",O$1=""),"",IF(TRIM(LEFT($E1231,MIN(IFERROR(FIND("CDU",UPPER($E1231)),999),IFERROR(FIND("BULK",UPPER($E1231)),999),IFERROR(FIND("-",$E1231),999),IFERROR(FIND("（",$E1231),999))-1))=O$1,$F1231,""))</f>
        <v/>
      </c>
      <c r="P1231" s="418" t="str">
        <f t="shared" ref="P1231:P1257" si="2084">IF(OR($E1231="",P$1=""),"",IF(TRIM(LEFT($E1231,MIN(IFERROR(FIND("CDU",UPPER($E1231)),999),IFERROR(FIND("BULK",UPPER($E1231)),999),IFERROR(FIND("-",$E1231),999),IFERROR(FIND("（",$E1231),999))-1))=P$1,$F1231,""))</f>
        <v/>
      </c>
      <c r="Q1231" s="418" t="str">
        <f t="shared" ref="Q1231:Q1257" si="2085">IF(OR($E1231="",Q$1=""),"",IF(TRIM(LEFT($E1231,MIN(IFERROR(FIND("CDU",UPPER($E1231)),999),IFERROR(FIND("BULK",UPPER($E1231)),999),IFERROR(FIND("-",$E1231),999),IFERROR(FIND("（",$E1231),999))-1))=Q$1,$F1231,""))</f>
        <v/>
      </c>
      <c r="R1231" s="418" t="str">
        <f t="shared" ref="R1231:R1257" si="2086">IF(OR($E1231="",R$1=""),"",IF(TRIM(LEFT($E1231,MIN(IFERROR(FIND("CDU",UPPER($E1231)),999),IFERROR(FIND("BULK",UPPER($E1231)),999),IFERROR(FIND("-",$E1231),999),IFERROR(FIND("（",$E1231),999))-1))=R$1,$F1231,""))</f>
        <v/>
      </c>
      <c r="S1231" s="418" t="str">
        <f t="shared" ref="S1231:S1257" si="2087">IF(OR($E1231="",S$1=""),"",IF(TRIM(LEFT($E1231,MIN(IFERROR(FIND("CDU",UPPER($E1231)),999),IFERROR(FIND("BULK",UPPER($E1231)),999),IFERROR(FIND("-",$E1231),999),IFERROR(FIND("（",$E1231),999))-1))=S$1,$F1231,""))</f>
        <v/>
      </c>
      <c r="T1231" s="418" t="str">
        <f t="shared" ref="T1231:T1257" si="2088">IF(OR($E1231="",T$1=""),"",IF(TRIM(LEFT($E1231,MIN(IFERROR(FIND("CDU",UPPER($E1231)),999),IFERROR(FIND("BULK",UPPER($E1231)),999),IFERROR(FIND("-",$E1231),999),IFERROR(FIND("（",$E1231),999))-1))=T$1,$F1231,""))</f>
        <v/>
      </c>
      <c r="U1231" s="418" t="str">
        <f t="shared" ref="U1231:U1257" si="2089">IF(OR($E1231="",U$1=""),"",IF(TRIM(LEFT($E1231,MIN(IFERROR(FIND("CDU",UPPER($E1231)),999),IFERROR(FIND("BULK",UPPER($E1231)),999),IFERROR(FIND("-",$E1231),999),IFERROR(FIND("（",$E1231),999))-1))=U$1,$F1231,""))</f>
        <v/>
      </c>
      <c r="V1231" s="418" t="str">
        <f t="shared" ref="V1231:V1257" si="2090">IF(OR($E1231="",V$1=""),"",IF(TRIM(LEFT($E1231,MIN(IFERROR(FIND("CDU",UPPER($E1231)),999),IFERROR(FIND("BULK",UPPER($E1231)),999),IFERROR(FIND("-",$E1231),999),IFERROR(FIND("（",$E1231),999))-1))=V$1,$F1231,""))</f>
        <v/>
      </c>
      <c r="W1231" s="418" t="str">
        <f t="shared" ref="W1231:W1257" si="2091">IF(OR($E1231="",W$1=""),"",IF(TRIM(LEFT($E1231,MIN(IFERROR(FIND("CDU",UPPER($E1231)),999),IFERROR(FIND("BULK",UPPER($E1231)),999),IFERROR(FIND("-",$E1231),999),IFERROR(FIND("（",$E1231),999))-1))=W$1,$F1231,""))</f>
        <v/>
      </c>
      <c r="X1231" s="418" t="str">
        <f t="shared" ref="X1231:X1257" si="2092">IF(OR($E1231="",X$1=""),"",IF(TRIM(LEFT($E1231,MIN(IFERROR(FIND("CDU",UPPER($E1231)),999),IFERROR(FIND("BULK",UPPER($E1231)),999),IFERROR(FIND("-",$E1231),999),IFERROR(FIND("（",$E1231),999))-1))=X$1,$F1231,""))</f>
        <v/>
      </c>
      <c r="Y1231" s="418" t="str">
        <f t="shared" ref="Y1231:Y1257" si="2093">IF(OR($E1231="",Y$1=""),"",IF(TRIM(LEFT($E1231,MIN(IFERROR(FIND("CDU",UPPER($E1231)),999),IFERROR(FIND("BULK",UPPER($E1231)),999),IFERROR(FIND("-",$E1231),999),IFERROR(FIND("（",$E1231),999))-1))=Y$1,$F1231,""))</f>
        <v/>
      </c>
      <c r="Z1231" s="418" t="str">
        <f t="shared" ref="Z1231:Z1257" si="2094">IF(OR($E1231="",Z$1=""),"",IF(TRIM(LEFT($E1231,MIN(IFERROR(FIND("CDU",UPPER($E1231)),999),IFERROR(FIND("BULK",UPPER($E1231)),999),IFERROR(FIND("-",$E1231),999),IFERROR(FIND("（",$E1231),999))-1))=Z$1,$F1231,""))</f>
        <v/>
      </c>
      <c r="AA1231" s="418" t="str">
        <f t="shared" ref="AA1231:AA1257" si="2095">IF(OR($E1231="",AA$1=""),"",IF(TRIM(LEFT($E1231,MIN(IFERROR(FIND("CDU",UPPER($E1231)),999),IFERROR(FIND("BULK",UPPER($E1231)),999),IFERROR(FIND("-",$E1231),999),IFERROR(FIND("（",$E1231),999))-1))=AA$1,$F1231,""))</f>
        <v/>
      </c>
      <c r="AB1231" s="418" t="str">
        <f t="shared" ref="AB1231:AB1257" si="2096">IF(OR($E1231="",AB$1=""),"",IF(TRIM(LEFT($E1231,MIN(IFERROR(FIND("CDU",UPPER($E1231)),999),IFERROR(FIND("BULK",UPPER($E1231)),999),IFERROR(FIND("-",$E1231),999),IFERROR(FIND("（",$E1231),999))-1))=AB$1,$F1231,""))</f>
        <v/>
      </c>
      <c r="AC1231" s="418" t="str">
        <f t="shared" ref="AC1231:AC1257" si="2097">IF(OR($E1231="",AC$1=""),"",IF(TRIM(LEFT($E1231,MIN(IFERROR(FIND("CDU",UPPER($E1231)),999),IFERROR(FIND("BULK",UPPER($E1231)),999),IFERROR(FIND("-",$E1231),999),IFERROR(FIND("（",$E1231),999))-1))=AC$1,$F1231,""))</f>
        <v/>
      </c>
      <c r="AD1231" s="418">
        <f t="shared" ref="AD1231:AD1257" si="2098">IF(OR($E1231="",AD$1=""),"",IF(TRIM(LEFT($E1231,MIN(IFERROR(FIND("CDU",UPPER($E1231)),999),IFERROR(FIND("BULK",UPPER($E1231)),999),IFERROR(FIND("-",$E1231),999),IFERROR(FIND("（",$E1231),999))-1))=AD$1,$F1231,""))</f>
        <v>1800</v>
      </c>
      <c r="AE1231" s="418" t="str">
        <f t="shared" ref="AE1231:AE1257" si="2099">IF(OR($E1231="",AE$1=""),"",IF(TRIM(LEFT($E1231,MIN(IFERROR(FIND("CDU",UPPER($E1231)),999),IFERROR(FIND("BULK",UPPER($E1231)),999),IFERROR(FIND("-",$E1231),999),IFERROR(FIND("（",$E1231),999))-1))=AE$1,$F1231,""))</f>
        <v/>
      </c>
      <c r="AF1231" s="418" t="str">
        <f t="shared" ref="AF1231:AF1257" si="2100">IF(OR($E1231="",AF$1=""),"",IF(TRIM(LEFT($E1231,MIN(IFERROR(FIND("CDU",UPPER($E1231)),999),IFERROR(FIND("BULK",UPPER($E1231)),999),IFERROR(FIND("-",$E1231),999),IFERROR(FIND("（",$E1231),999))-1))=AF$1,$F1231,""))</f>
        <v/>
      </c>
      <c r="AG1231" s="418" t="str">
        <f t="shared" ref="AG1231:AG1257" si="2101">IF(OR($E1231="",AG$1=""),"",IF(TRIM(LEFT($E1231,MIN(IFERROR(FIND("CDU",UPPER($E1231)),999),IFERROR(FIND("BULK",UPPER($E1231)),999),IFERROR(FIND("-",$E1231),999),IFERROR(FIND("（",$E1231),999))-1))=AG$1,$F1231,""))</f>
        <v/>
      </c>
      <c r="AH1231" s="418" t="str">
        <f t="shared" ref="AH1231:AH1257" si="2102">IF(OR($E1231="",AH$1=""),"",IF(TRIM(LEFT($E1231,MIN(IFERROR(FIND("CDU",UPPER($E1231)),999),IFERROR(FIND("BULK",UPPER($E1231)),999),IFERROR(FIND("-",$E1231),999),IFERROR(FIND("（",$E1231),999))-1))=AH$1,$F1231,""))</f>
        <v/>
      </c>
      <c r="AI1231" s="418" t="str">
        <f t="shared" ref="AI1231:AI1257" si="2103">IF(OR($E1231="",AI$1=""),"",IF(TRIM(LEFT($E1231,MIN(IFERROR(FIND("CDU",UPPER($E1231)),999),IFERROR(FIND("BULK",UPPER($E1231)),999),IFERROR(FIND("-",$E1231),999),IFERROR(FIND("（",$E1231),999))-1))=AI$1,$F1231,""))</f>
        <v/>
      </c>
      <c r="AJ1231" s="418" t="str">
        <f t="shared" ref="AJ1231:AJ1257" si="2104">IF(OR($E1231="",AJ$1=""),"",IF(TRIM(LEFT($E1231,MIN(IFERROR(FIND("CDU",UPPER($E1231)),999),IFERROR(FIND("BULK",UPPER($E1231)),999),IFERROR(FIND("-",$E1231),999),IFERROR(FIND("（",$E1231),999))-1))=AJ$1,$F1231,""))</f>
        <v/>
      </c>
      <c r="AK1231" s="418" t="str">
        <f t="shared" ref="AK1231:AK1257" si="2105">IF(OR($E1231="",AK$1=""),"",IF(TRIM(LEFT($E1231,MIN(IFERROR(FIND("CDU",UPPER($E1231)),999),IFERROR(FIND("BULK",UPPER($E1231)),999),IFERROR(FIND("-",$E1231),999),IFERROR(FIND("（",$E1231),999))-1))=AK$1,$F1231,""))</f>
        <v/>
      </c>
      <c r="AL1231" s="418" t="str">
        <f t="shared" ref="AL1231:AL1257" si="2106">IF(OR($E1231="",AL$1=""),"",IF(TRIM(LEFT($E1231,MIN(IFERROR(FIND("CDU",UPPER($E1231)),999),IFERROR(FIND("BULK",UPPER($E1231)),999),IFERROR(FIND("-",$E1231),999),IFERROR(FIND("（",$E1231),999))-1))=AL$1,$F1231,""))</f>
        <v/>
      </c>
      <c r="AM1231" s="418" t="str">
        <f t="shared" ref="AM1231:AM1257" si="2107">IF(OR($E1231="",AM$1=""),"",IF(TRIM(LEFT($E1231,MIN(IFERROR(FIND("CDU",UPPER($E1231)),999),IFERROR(FIND("BULK",UPPER($E1231)),999),IFERROR(FIND("-",$E1231),999),IFERROR(FIND("（",$E1231),999))-1))=AM$1,$F1231,""))</f>
        <v/>
      </c>
      <c r="AN1231" s="418" t="str">
        <f t="shared" ref="AN1231:AN1257" si="2108">IF(OR($E1231="",AN$1=""),"",IF(TRIM(LEFT($E1231,MIN(IFERROR(FIND("CDU",UPPER($E1231)),999),IFERROR(FIND("BULK",UPPER($E1231)),999),IFERROR(FIND("-",$E1231),999),IFERROR(FIND("（",$E1231),999))-1))=AN$1,$F1231,""))</f>
        <v/>
      </c>
      <c r="AO1231" s="418" t="str">
        <f t="shared" ref="AO1231:AO1257" si="2109">IF(OR($E1231="",AO$1=""),"",IF(TRIM(LEFT($E1231,MIN(IFERROR(FIND("CDU",UPPER($E1231)),999),IFERROR(FIND("BULK",UPPER($E1231)),999),IFERROR(FIND("-",$E1231),999),IFERROR(FIND("（",$E1231),999))-1))=AO$1,$F1231,""))</f>
        <v/>
      </c>
      <c r="AP1231" s="418" t="str">
        <f t="shared" ref="AP1231:AP1257" si="2110">IF(OR($E1231="",AP$1=""),"",IF(TRIM(LEFT($E1231,MIN(IFERROR(FIND("CDU",UPPER($E1231)),999),IFERROR(FIND("BULK",UPPER($E1231)),999),IFERROR(FIND("-",$E1231),999),IFERROR(FIND("（",$E1231),999))-1))=AP$1,$F1231,""))</f>
        <v/>
      </c>
      <c r="AQ1231" s="418" t="str">
        <f t="shared" ref="AQ1231:AQ1257" si="2111">IF(OR($E1231="",AQ$1=""),"",IF(TRIM(LEFT($E1231,MIN(IFERROR(FIND("CDU",UPPER($E1231)),999),IFERROR(FIND("BULK",UPPER($E1231)),999),IFERROR(FIND("-",$E1231),999),IFERROR(FIND("（",$E1231),999))-1))=AQ$1,$F1231,""))</f>
        <v/>
      </c>
      <c r="AR1231" s="418" t="str">
        <f t="shared" ref="AR1231:AR1257" si="2112">IF(OR($E1231="",AR$1=""),"",IF(TRIM(LEFT($E1231,MIN(IFERROR(FIND("CDU",UPPER($E1231)),999),IFERROR(FIND("BULK",UPPER($E1231)),999),IFERROR(FIND("-",$E1231),999),IFERROR(FIND("（",$E1231),999))-1))=AR$1,$F1231,""))</f>
        <v/>
      </c>
      <c r="AS1231" s="418" t="str">
        <f t="shared" ref="AS1231:AS1257" si="2113">IF(OR($E1231="",AS$1=""),"",IF(TRIM(LEFT($E1231,MIN(IFERROR(FIND("CDU",UPPER($E1231)),999),IFERROR(FIND("BULK",UPPER($E1231)),999),IFERROR(FIND("-",$E1231),999),IFERROR(FIND("（",$E1231),999))-1))=AS$1,$F1231,""))</f>
        <v/>
      </c>
      <c r="AT1231" s="418" t="str">
        <f t="shared" ref="AT1231:AT1257" si="2114">IF(OR($E1231="",AT$1=""),"",IF(TRIM(LEFT($E1231,MIN(IFERROR(FIND("CDU",UPPER($E1231)),999),IFERROR(FIND("BULK",UPPER($E1231)),999),IFERROR(FIND("-",$E1231),999),IFERROR(FIND("（",$E1231),999))-1))=AT$1,$F1231,""))</f>
        <v/>
      </c>
      <c r="AU1231" s="418" t="str">
        <f t="shared" ref="AU1231:AU1257" si="2115">IF(OR($E1231="",AU$1=""),"",IF(TRIM(LEFT($E1231,MIN(IFERROR(FIND("CDU",UPPER($E1231)),999),IFERROR(FIND("BULK",UPPER($E1231)),999),IFERROR(FIND("-",$E1231),999),IFERROR(FIND("（",$E1231),999))-1))=AU$1,$F1231,""))</f>
        <v/>
      </c>
      <c r="AV1231" s="418" t="str">
        <f t="shared" ref="AV1231:AV1257" si="2116">IF(OR($E1231="",AV$1=""),"",IF(TRIM(LEFT($E1231,MIN(IFERROR(FIND("CDU",UPPER($E1231)),999),IFERROR(FIND("BULK",UPPER($E1231)),999),IFERROR(FIND("-",$E1231),999),IFERROR(FIND("（",$E1231),999))-1))=AV$1,$F1231,""))</f>
        <v/>
      </c>
      <c r="AW1231" s="418" t="str">
        <f t="shared" ref="AW1231:AW1257" si="2117">IF(OR($E1231="",AW$1=""),"",IF(TRIM(LEFT($E1231,MIN(IFERROR(FIND("CDU",UPPER($E1231)),999),IFERROR(FIND("BULK",UPPER($E1231)),999),IFERROR(FIND("-",$E1231),999),IFERROR(FIND("（",$E1231),999))-1))=AW$1,$F1231,""))</f>
        <v/>
      </c>
      <c r="AX1231" s="418" t="str">
        <f t="shared" ref="AX1231:AX1257" si="2118">IF(OR($E1231="",AX$1=""),"",IF(TRIM(LEFT($E1231,MIN(IFERROR(FIND("CDU",UPPER($E1231)),999),IFERROR(FIND("BULK",UPPER($E1231)),999),IFERROR(FIND("-",$E1231),999),IFERROR(FIND("（",$E1231),999))-1))=AX$1,$F1231,""))</f>
        <v/>
      </c>
      <c r="AY1231" s="418" t="str">
        <f t="shared" ref="AY1231:AY1257" si="2119">IF(OR($E1231="",AY$1=""),"",IF(TRIM(LEFT($E1231,MIN(IFERROR(FIND("CDU",UPPER($E1231)),999),IFERROR(FIND("BULK",UPPER($E1231)),999),IFERROR(FIND("-",$E1231),999),IFERROR(FIND("（",$E1231),999))-1))=AY$1,$F1231,""))</f>
        <v/>
      </c>
      <c r="AZ1231" s="418" t="str">
        <f t="shared" ref="AZ1231:AZ1257" si="2120">IF(OR($E1231="",AZ$1=""),"",IF(TRIM(LEFT($E1231,MIN(IFERROR(FIND("CDU",UPPER($E1231)),999),IFERROR(FIND("BULK",UPPER($E1231)),999),IFERROR(FIND("-",$E1231),999),IFERROR(FIND("（",$E1231),999))-1))=AZ$1,$F1231,""))</f>
        <v/>
      </c>
      <c r="BA1231" s="418" t="str">
        <f t="shared" ref="BA1231:BA1257" si="2121">IF(OR($E1231="",BA$1=""),"",IF(TRIM(LEFT($E1231,MIN(IFERROR(FIND("CDU",UPPER($E1231)),999),IFERROR(FIND("BULK",UPPER($E1231)),999),IFERROR(FIND("-",$E1231),999),IFERROR(FIND("（",$E1231),999))-1))=BA$1,$F1231,""))</f>
        <v/>
      </c>
      <c r="BB1231" s="418" t="str">
        <f t="shared" ref="BB1231:BB1257" si="2122">IF(OR($E1231="",BB$1=""),"",IF(TRIM(LEFT($E1231,MIN(IFERROR(FIND("CDU",UPPER($E1231)),999),IFERROR(FIND("BULK",UPPER($E1231)),999),IFERROR(FIND("-",$E1231),999),IFERROR(FIND("（",$E1231),999))-1))=BB$1,$F1231,""))</f>
        <v/>
      </c>
      <c r="BC1231" s="418" t="str">
        <f t="shared" ref="BC1231:BC1257" si="2123">IF(OR($E1231="",BC$1=""),"",IF(TRIM(LEFT($E1231,MIN(IFERROR(FIND("CDU",UPPER($E1231)),999),IFERROR(FIND("BULK",UPPER($E1231)),999),IFERROR(FIND("-",$E1231),999),IFERROR(FIND("（",$E1231),999))-1))=BC$1,$F1231,""))</f>
        <v/>
      </c>
      <c r="BD1231" s="418" t="str">
        <f t="shared" ref="BD1231:BD1257" si="2124">IF(OR($E1231="",BD$1=""),"",IF(TRIM(LEFT($E1231,MIN(IFERROR(FIND("CDU",UPPER($E1231)),999),IFERROR(FIND("BULK",UPPER($E1231)),999),IFERROR(FIND("-",$E1231),999),IFERROR(FIND("（",$E1231),999))-1))=BD$1,$F1231,""))</f>
        <v/>
      </c>
      <c r="BE1231" s="418" t="str">
        <f t="shared" ref="BE1231:BE1257" si="2125">IF(OR($E1231="",BE$1=""),"",IF(TRIM(LEFT($E1231,MIN(IFERROR(FIND("CDU",UPPER($E1231)),999),IFERROR(FIND("BULK",UPPER($E1231)),999),IFERROR(FIND("-",$E1231),999),IFERROR(FIND("（",$E1231),999))-1))=BE$1,$F1231,""))</f>
        <v/>
      </c>
      <c r="BF1231" s="418" t="str">
        <f t="shared" ref="BF1231:BF1257" si="2126">IF(OR($E1231="",BF$1=""),"",IF(TRIM(LEFT($E1231,MIN(IFERROR(FIND("CDU",UPPER($E1231)),999),IFERROR(FIND("BULK",UPPER($E1231)),999),IFERROR(FIND("-",$E1231),999),IFERROR(FIND("（",$E1231),999))-1))=BF$1,$F1231,""))</f>
        <v/>
      </c>
      <c r="BG1231" s="418" t="str">
        <f t="shared" ref="BG1231:BG1257" si="2127">IF(OR($E1231="",BG$1=""),"",IF(TRIM(LEFT($E1231,MIN(IFERROR(FIND("CDU",UPPER($E1231)),999),IFERROR(FIND("BULK",UPPER($E1231)),999),IFERROR(FIND("-",$E1231),999),IFERROR(FIND("（",$E1231),999))-1))=BG$1,$F1231,""))</f>
        <v/>
      </c>
      <c r="BH1231" s="418" t="str">
        <f t="shared" ref="BH1231:BH1257" si="2128">IF(OR($E1231="",BH$1=""),"",IF(TRIM(LEFT($E1231,MIN(IFERROR(FIND("CDU",UPPER($E1231)),999),IFERROR(FIND("BULK",UPPER($E1231)),999),IFERROR(FIND("-",$E1231),999),IFERROR(FIND("（",$E1231),999))-1))=BH$1,$F1231,""))</f>
        <v/>
      </c>
      <c r="BI1231" s="418" t="str">
        <f t="shared" ref="BI1231:BI1257" si="2129">IF(OR($E1231="",BI$1=""),"",IF(TRIM(LEFT($E1231,MIN(IFERROR(FIND("CDU",UPPER($E1231)),999),IFERROR(FIND("BULK",UPPER($E1231)),999),IFERROR(FIND("-",$E1231),999),IFERROR(FIND("（",$E1231),999))-1))=BI$1,$F1231,""))</f>
        <v/>
      </c>
      <c r="BJ1231" s="418" t="str">
        <f t="shared" ref="BJ1231:BJ1257" si="2130">IF(OR($E1231="",BJ$1=""),"",IF(TRIM(LEFT($E1231,MIN(IFERROR(FIND("CDU",UPPER($E1231)),999),IFERROR(FIND("BULK",UPPER($E1231)),999),IFERROR(FIND("-",$E1231),999),IFERROR(FIND("（",$E1231),999))-1))=BJ$1,$F1231,""))</f>
        <v/>
      </c>
      <c r="BK1231" s="418" t="str">
        <f t="shared" ref="BK1231:BK1257" si="2131">IF(OR($E1231="",BK$1=""),"",IF(TRIM(LEFT($E1231,MIN(IFERROR(FIND("CDU",UPPER($E1231)),999),IFERROR(FIND("BULK",UPPER($E1231)),999),IFERROR(FIND("-",$E1231),999),IFERROR(FIND("（",$E1231),999))-1))=BK$1,$F1231,""))</f>
        <v/>
      </c>
      <c r="BL1231" s="418" t="str">
        <f t="shared" ref="BL1231:BL1257" si="2132">IF(OR($E1231="",BL$1=""),"",IF(TRIM(LEFT($E1231,MIN(IFERROR(FIND("CDU",UPPER($E1231)),999),IFERROR(FIND("BULK",UPPER($E1231)),999),IFERROR(FIND("-",$E1231),999),IFERROR(FIND("（",$E1231),999))-1))=BL$1,$F1231,""))</f>
        <v/>
      </c>
      <c r="BM1231" s="418" t="str">
        <f t="shared" ref="BM1231:BM1257" si="2133">IF(OR($E1231="",BM$1=""),"",IF(TRIM(LEFT($E1231,MIN(IFERROR(FIND("CDU",UPPER($E1231)),999),IFERROR(FIND("BULK",UPPER($E1231)),999),IFERROR(FIND("-",$E1231),999),IFERROR(FIND("（",$E1231),999))-1))=BM$1,$F1231,""))</f>
        <v/>
      </c>
      <c r="BN1231" s="418" t="str">
        <f t="shared" ref="BN1231:BN1257" si="2134">IF(OR($E1231="",BN$1=""),"",IF(TRIM(LEFT($E1231,MIN(IFERROR(FIND("CDU",UPPER($E1231)),999),IFERROR(FIND("BULK",UPPER($E1231)),999),IFERROR(FIND("-",$E1231),999),IFERROR(FIND("（",$E1231),999))-1))=BN$1,$F1231,""))</f>
        <v/>
      </c>
      <c r="BO1231" s="418" t="str">
        <f t="shared" ref="BO1231:BO1257" si="2135">IF(OR($E1231="",BO$1=""),"",IF(TRIM(LEFT($E1231,MIN(IFERROR(FIND("CDU",UPPER($E1231)),999),IFERROR(FIND("BULK",UPPER($E1231)),999),IFERROR(FIND("-",$E1231),999),IFERROR(FIND("（",$E1231),999))-1))=BO$1,$F1231,""))</f>
        <v/>
      </c>
      <c r="BP1231" s="418" t="str">
        <f t="shared" ref="BP1231:BP1257" si="2136">IF(OR($E1231="",BP$1=""),"",IF(TRIM(LEFT($E1231,MIN(IFERROR(FIND("CDU",UPPER($E1231)),999),IFERROR(FIND("BULK",UPPER($E1231)),999),IFERROR(FIND("-",$E1231),999),IFERROR(FIND("（",$E1231),999))-1))=BP$1,$F1231,""))</f>
        <v/>
      </c>
      <c r="BQ1231" s="418" t="str">
        <f t="shared" ref="BQ1231:BQ1257" si="2137">IF(OR($E1231="",BQ$1=""),"",IF(TRIM(LEFT($E1231,MIN(IFERROR(FIND("CDU",UPPER($E1231)),999),IFERROR(FIND("BULK",UPPER($E1231)),999),IFERROR(FIND("-",$E1231),999),IFERROR(FIND("（",$E1231),999))-1))=BQ$1,$F1231,""))</f>
        <v/>
      </c>
      <c r="BR1231" s="418" t="str">
        <f t="shared" ref="BR1231:BR1257" si="2138">IF(OR($E1231="",BR$1=""),"",IF(TRIM(LEFT($E1231,MIN(IFERROR(FIND("CDU",UPPER($E1231)),999),IFERROR(FIND("BULK",UPPER($E1231)),999),IFERROR(FIND("-",$E1231),999),IFERROR(FIND("（",$E1231),999))-1))=BR$1,$F1231,""))</f>
        <v/>
      </c>
      <c r="BS1231" s="418" t="str">
        <f t="shared" ref="BS1231:BS1257" si="2139">IF(OR($E1231="",BS$1=""),"",IF(TRIM(LEFT($E1231,MIN(IFERROR(FIND("CDU",UPPER($E1231)),999),IFERROR(FIND("BULK",UPPER($E1231)),999),IFERROR(FIND("-",$E1231),999),IFERROR(FIND("（",$E1231),999))-1))=BS$1,$F1231,""))</f>
        <v/>
      </c>
      <c r="BT1231" s="418" t="str">
        <f t="shared" ref="BT1231:BT1257" si="2140">IF(OR($E1231="",BT$1=""),"",IF(TRIM(LEFT($E1231,MIN(IFERROR(FIND("CDU",UPPER($E1231)),999),IFERROR(FIND("BULK",UPPER($E1231)),999),IFERROR(FIND("-",$E1231),999),IFERROR(FIND("（",$E1231),999))-1))=BT$1,$F1231,""))</f>
        <v/>
      </c>
      <c r="BU1231" s="418" t="str">
        <f t="shared" ref="BU1231:BU1265" si="2141">IF(OR($E1231="",BU$1=""),"",IF(TRIM(LEFT($E1231,MIN(IFERROR(FIND("CDU",UPPER($E1231)),999),IFERROR(FIND("BULK",UPPER($E1231)),999),IFERROR(FIND("-",$E1231),999),IFERROR(FIND("（",$E1231),999))-1))=BU$1,$F1231,""))</f>
        <v/>
      </c>
      <c r="BV1231" s="624">
        <v>0.64</v>
      </c>
      <c r="BW1231" s="723">
        <f t="shared" ref="BW1231:BW1265" si="2142">SUM(I1231:BU1231)*BV1231</f>
        <v>1152</v>
      </c>
      <c r="BX1231" s="724">
        <f t="shared" ref="BX1231:BX1265" si="2143">BW1231*7.75</f>
        <v>8928</v>
      </c>
      <c r="BY1231" s="725" t="str">
        <f t="shared" ref="BY1231:BY1265" si="2144">MID(E1231,1,2)</f>
        <v>SR</v>
      </c>
    </row>
    <row r="1232" s="697" customFormat="1" customHeight="1" spans="1:77">
      <c r="A1232" s="362">
        <v>46239</v>
      </c>
      <c r="B1232" s="362">
        <v>46308</v>
      </c>
      <c r="C1232" s="431" t="s">
        <v>1097</v>
      </c>
      <c r="D1232" s="431" t="s">
        <v>1098</v>
      </c>
      <c r="E1232" s="431" t="s">
        <v>66</v>
      </c>
      <c r="F1232" s="96">
        <v>1200</v>
      </c>
      <c r="G1232" s="431" t="s">
        <v>510</v>
      </c>
      <c r="H1232" s="118" t="str">
        <f>IFERROR(VLOOKUP(E1232,名称!A:E,4,0),"")</f>
        <v>三代</v>
      </c>
      <c r="I1232" s="418" t="str">
        <f t="shared" si="2077"/>
        <v/>
      </c>
      <c r="J1232" s="418" t="str">
        <f t="shared" si="2078"/>
        <v/>
      </c>
      <c r="K1232" s="418" t="str">
        <f t="shared" si="2079"/>
        <v/>
      </c>
      <c r="L1232" s="418" t="str">
        <f t="shared" si="2080"/>
        <v/>
      </c>
      <c r="M1232" s="418" t="str">
        <f t="shared" si="2081"/>
        <v/>
      </c>
      <c r="N1232" s="418" t="str">
        <f t="shared" si="2082"/>
        <v/>
      </c>
      <c r="O1232" s="418" t="str">
        <f t="shared" si="2083"/>
        <v/>
      </c>
      <c r="P1232" s="418" t="str">
        <f t="shared" si="2084"/>
        <v/>
      </c>
      <c r="Q1232" s="418" t="str">
        <f t="shared" si="2085"/>
        <v/>
      </c>
      <c r="R1232" s="418" t="str">
        <f t="shared" si="2086"/>
        <v/>
      </c>
      <c r="S1232" s="418" t="str">
        <f t="shared" si="2087"/>
        <v/>
      </c>
      <c r="T1232" s="418" t="str">
        <f t="shared" si="2088"/>
        <v/>
      </c>
      <c r="U1232" s="418" t="str">
        <f t="shared" si="2089"/>
        <v/>
      </c>
      <c r="V1232" s="418" t="str">
        <f t="shared" si="2090"/>
        <v/>
      </c>
      <c r="W1232" s="418" t="str">
        <f t="shared" si="2091"/>
        <v/>
      </c>
      <c r="X1232" s="418" t="str">
        <f t="shared" si="2092"/>
        <v/>
      </c>
      <c r="Y1232" s="418" t="str">
        <f t="shared" si="2093"/>
        <v/>
      </c>
      <c r="Z1232" s="418" t="str">
        <f t="shared" si="2094"/>
        <v/>
      </c>
      <c r="AA1232" s="418" t="str">
        <f t="shared" si="2095"/>
        <v/>
      </c>
      <c r="AB1232" s="418" t="str">
        <f t="shared" si="2096"/>
        <v/>
      </c>
      <c r="AC1232" s="418" t="str">
        <f t="shared" si="2097"/>
        <v/>
      </c>
      <c r="AD1232" s="418" t="str">
        <f t="shared" si="2098"/>
        <v/>
      </c>
      <c r="AE1232" s="418" t="str">
        <f t="shared" si="2099"/>
        <v/>
      </c>
      <c r="AF1232" s="418" t="str">
        <f t="shared" si="2100"/>
        <v/>
      </c>
      <c r="AG1232" s="418">
        <f t="shared" si="2101"/>
        <v>1200</v>
      </c>
      <c r="AH1232" s="418" t="str">
        <f t="shared" si="2102"/>
        <v/>
      </c>
      <c r="AI1232" s="418" t="str">
        <f t="shared" si="2103"/>
        <v/>
      </c>
      <c r="AJ1232" s="418" t="str">
        <f t="shared" si="2104"/>
        <v/>
      </c>
      <c r="AK1232" s="418" t="str">
        <f t="shared" si="2105"/>
        <v/>
      </c>
      <c r="AL1232" s="418" t="str">
        <f t="shared" si="2106"/>
        <v/>
      </c>
      <c r="AM1232" s="418" t="str">
        <f t="shared" si="2107"/>
        <v/>
      </c>
      <c r="AN1232" s="418" t="str">
        <f t="shared" si="2108"/>
        <v/>
      </c>
      <c r="AO1232" s="418" t="str">
        <f t="shared" si="2109"/>
        <v/>
      </c>
      <c r="AP1232" s="418" t="str">
        <f t="shared" si="2110"/>
        <v/>
      </c>
      <c r="AQ1232" s="418" t="str">
        <f t="shared" si="2111"/>
        <v/>
      </c>
      <c r="AR1232" s="418" t="str">
        <f t="shared" si="2112"/>
        <v/>
      </c>
      <c r="AS1232" s="418" t="str">
        <f t="shared" si="2113"/>
        <v/>
      </c>
      <c r="AT1232" s="418" t="str">
        <f t="shared" si="2114"/>
        <v/>
      </c>
      <c r="AU1232" s="418" t="str">
        <f t="shared" si="2115"/>
        <v/>
      </c>
      <c r="AV1232" s="418" t="str">
        <f t="shared" si="2116"/>
        <v/>
      </c>
      <c r="AW1232" s="418" t="str">
        <f t="shared" si="2117"/>
        <v/>
      </c>
      <c r="AX1232" s="418" t="str">
        <f t="shared" si="2118"/>
        <v/>
      </c>
      <c r="AY1232" s="418" t="str">
        <f t="shared" si="2119"/>
        <v/>
      </c>
      <c r="AZ1232" s="418" t="str">
        <f t="shared" si="2120"/>
        <v/>
      </c>
      <c r="BA1232" s="418" t="str">
        <f t="shared" si="2121"/>
        <v/>
      </c>
      <c r="BB1232" s="418" t="str">
        <f t="shared" si="2122"/>
        <v/>
      </c>
      <c r="BC1232" s="418" t="str">
        <f t="shared" si="2123"/>
        <v/>
      </c>
      <c r="BD1232" s="418" t="str">
        <f t="shared" si="2124"/>
        <v/>
      </c>
      <c r="BE1232" s="418" t="str">
        <f t="shared" si="2125"/>
        <v/>
      </c>
      <c r="BF1232" s="418" t="str">
        <f t="shared" si="2126"/>
        <v/>
      </c>
      <c r="BG1232" s="418" t="str">
        <f t="shared" si="2127"/>
        <v/>
      </c>
      <c r="BH1232" s="418" t="str">
        <f t="shared" si="2128"/>
        <v/>
      </c>
      <c r="BI1232" s="418" t="str">
        <f t="shared" si="2129"/>
        <v/>
      </c>
      <c r="BJ1232" s="418" t="str">
        <f t="shared" si="2130"/>
        <v/>
      </c>
      <c r="BK1232" s="418" t="str">
        <f t="shared" si="2131"/>
        <v/>
      </c>
      <c r="BL1232" s="418" t="str">
        <f t="shared" si="2132"/>
        <v/>
      </c>
      <c r="BM1232" s="418" t="str">
        <f t="shared" si="2133"/>
        <v/>
      </c>
      <c r="BN1232" s="418" t="str">
        <f t="shared" si="2134"/>
        <v/>
      </c>
      <c r="BO1232" s="418" t="str">
        <f t="shared" si="2135"/>
        <v/>
      </c>
      <c r="BP1232" s="418" t="str">
        <f t="shared" si="2136"/>
        <v/>
      </c>
      <c r="BQ1232" s="418" t="str">
        <f t="shared" si="2137"/>
        <v/>
      </c>
      <c r="BR1232" s="418" t="str">
        <f t="shared" si="2138"/>
        <v/>
      </c>
      <c r="BS1232" s="418" t="str">
        <f t="shared" si="2139"/>
        <v/>
      </c>
      <c r="BT1232" s="418" t="str">
        <f t="shared" si="2140"/>
        <v/>
      </c>
      <c r="BU1232" s="418" t="str">
        <f t="shared" si="2141"/>
        <v/>
      </c>
      <c r="BV1232" s="624">
        <v>2.04</v>
      </c>
      <c r="BW1232" s="723">
        <f t="shared" si="2142"/>
        <v>2448</v>
      </c>
      <c r="BX1232" s="724">
        <f t="shared" si="2143"/>
        <v>18972</v>
      </c>
      <c r="BY1232" s="725" t="str">
        <f t="shared" si="2144"/>
        <v>SR</v>
      </c>
    </row>
    <row r="1233" s="697" customFormat="1" customHeight="1" spans="1:77">
      <c r="A1233" s="362">
        <v>46239</v>
      </c>
      <c r="B1233" s="362">
        <v>46308</v>
      </c>
      <c r="C1233" s="431" t="s">
        <v>1097</v>
      </c>
      <c r="D1233" s="431" t="s">
        <v>1098</v>
      </c>
      <c r="E1233" s="431" t="s">
        <v>68</v>
      </c>
      <c r="F1233" s="96">
        <v>720</v>
      </c>
      <c r="G1233" s="431" t="s">
        <v>510</v>
      </c>
      <c r="H1233" s="118" t="str">
        <f>IFERROR(VLOOKUP(E1233,名称!A:E,4,0),"")</f>
        <v>三代</v>
      </c>
      <c r="I1233" s="418" t="str">
        <f t="shared" si="2077"/>
        <v/>
      </c>
      <c r="J1233" s="418" t="str">
        <f t="shared" si="2078"/>
        <v/>
      </c>
      <c r="K1233" s="418" t="str">
        <f t="shared" si="2079"/>
        <v/>
      </c>
      <c r="L1233" s="418" t="str">
        <f t="shared" si="2080"/>
        <v/>
      </c>
      <c r="M1233" s="418" t="str">
        <f t="shared" si="2081"/>
        <v/>
      </c>
      <c r="N1233" s="418" t="str">
        <f t="shared" si="2082"/>
        <v/>
      </c>
      <c r="O1233" s="418" t="str">
        <f t="shared" si="2083"/>
        <v/>
      </c>
      <c r="P1233" s="418" t="str">
        <f t="shared" si="2084"/>
        <v/>
      </c>
      <c r="Q1233" s="418" t="str">
        <f t="shared" si="2085"/>
        <v/>
      </c>
      <c r="R1233" s="418" t="str">
        <f t="shared" si="2086"/>
        <v/>
      </c>
      <c r="S1233" s="418" t="str">
        <f t="shared" si="2087"/>
        <v/>
      </c>
      <c r="T1233" s="418" t="str">
        <f t="shared" si="2088"/>
        <v/>
      </c>
      <c r="U1233" s="418" t="str">
        <f t="shared" si="2089"/>
        <v/>
      </c>
      <c r="V1233" s="418" t="str">
        <f t="shared" si="2090"/>
        <v/>
      </c>
      <c r="W1233" s="418" t="str">
        <f t="shared" si="2091"/>
        <v/>
      </c>
      <c r="X1233" s="418" t="str">
        <f t="shared" si="2092"/>
        <v/>
      </c>
      <c r="Y1233" s="418" t="str">
        <f t="shared" si="2093"/>
        <v/>
      </c>
      <c r="Z1233" s="418" t="str">
        <f t="shared" si="2094"/>
        <v/>
      </c>
      <c r="AA1233" s="418" t="str">
        <f t="shared" si="2095"/>
        <v/>
      </c>
      <c r="AB1233" s="418" t="str">
        <f t="shared" si="2096"/>
        <v/>
      </c>
      <c r="AC1233" s="418" t="str">
        <f t="shared" si="2097"/>
        <v/>
      </c>
      <c r="AD1233" s="418" t="str">
        <f t="shared" si="2098"/>
        <v/>
      </c>
      <c r="AE1233" s="418" t="str">
        <f t="shared" si="2099"/>
        <v/>
      </c>
      <c r="AF1233" s="418" t="str">
        <f t="shared" si="2100"/>
        <v/>
      </c>
      <c r="AG1233" s="418" t="str">
        <f t="shared" si="2101"/>
        <v/>
      </c>
      <c r="AH1233" s="418">
        <f t="shared" si="2102"/>
        <v>720</v>
      </c>
      <c r="AI1233" s="418" t="str">
        <f t="shared" si="2103"/>
        <v/>
      </c>
      <c r="AJ1233" s="418" t="str">
        <f t="shared" si="2104"/>
        <v/>
      </c>
      <c r="AK1233" s="418" t="str">
        <f t="shared" si="2105"/>
        <v/>
      </c>
      <c r="AL1233" s="418" t="str">
        <f t="shared" si="2106"/>
        <v/>
      </c>
      <c r="AM1233" s="418" t="str">
        <f t="shared" si="2107"/>
        <v/>
      </c>
      <c r="AN1233" s="418" t="str">
        <f t="shared" si="2108"/>
        <v/>
      </c>
      <c r="AO1233" s="418" t="str">
        <f t="shared" si="2109"/>
        <v/>
      </c>
      <c r="AP1233" s="418" t="str">
        <f t="shared" si="2110"/>
        <v/>
      </c>
      <c r="AQ1233" s="418" t="str">
        <f t="shared" si="2111"/>
        <v/>
      </c>
      <c r="AR1233" s="418" t="str">
        <f t="shared" si="2112"/>
        <v/>
      </c>
      <c r="AS1233" s="418" t="str">
        <f t="shared" si="2113"/>
        <v/>
      </c>
      <c r="AT1233" s="418" t="str">
        <f t="shared" si="2114"/>
        <v/>
      </c>
      <c r="AU1233" s="418" t="str">
        <f t="shared" si="2115"/>
        <v/>
      </c>
      <c r="AV1233" s="418" t="str">
        <f t="shared" si="2116"/>
        <v/>
      </c>
      <c r="AW1233" s="418" t="str">
        <f t="shared" si="2117"/>
        <v/>
      </c>
      <c r="AX1233" s="418" t="str">
        <f t="shared" si="2118"/>
        <v/>
      </c>
      <c r="AY1233" s="418" t="str">
        <f t="shared" si="2119"/>
        <v/>
      </c>
      <c r="AZ1233" s="418" t="str">
        <f t="shared" si="2120"/>
        <v/>
      </c>
      <c r="BA1233" s="418" t="str">
        <f t="shared" si="2121"/>
        <v/>
      </c>
      <c r="BB1233" s="418" t="str">
        <f t="shared" si="2122"/>
        <v/>
      </c>
      <c r="BC1233" s="418" t="str">
        <f t="shared" si="2123"/>
        <v/>
      </c>
      <c r="BD1233" s="418" t="str">
        <f t="shared" si="2124"/>
        <v/>
      </c>
      <c r="BE1233" s="418" t="str">
        <f t="shared" si="2125"/>
        <v/>
      </c>
      <c r="BF1233" s="418" t="str">
        <f t="shared" si="2126"/>
        <v/>
      </c>
      <c r="BG1233" s="418" t="str">
        <f t="shared" si="2127"/>
        <v/>
      </c>
      <c r="BH1233" s="418" t="str">
        <f t="shared" si="2128"/>
        <v/>
      </c>
      <c r="BI1233" s="418" t="str">
        <f t="shared" si="2129"/>
        <v/>
      </c>
      <c r="BJ1233" s="418" t="str">
        <f t="shared" si="2130"/>
        <v/>
      </c>
      <c r="BK1233" s="418" t="str">
        <f t="shared" si="2131"/>
        <v/>
      </c>
      <c r="BL1233" s="418" t="str">
        <f t="shared" si="2132"/>
        <v/>
      </c>
      <c r="BM1233" s="418" t="str">
        <f t="shared" si="2133"/>
        <v/>
      </c>
      <c r="BN1233" s="418" t="str">
        <f t="shared" si="2134"/>
        <v/>
      </c>
      <c r="BO1233" s="418" t="str">
        <f t="shared" si="2135"/>
        <v/>
      </c>
      <c r="BP1233" s="418" t="str">
        <f t="shared" si="2136"/>
        <v/>
      </c>
      <c r="BQ1233" s="418" t="str">
        <f t="shared" si="2137"/>
        <v/>
      </c>
      <c r="BR1233" s="418" t="str">
        <f t="shared" si="2138"/>
        <v/>
      </c>
      <c r="BS1233" s="418" t="str">
        <f t="shared" si="2139"/>
        <v/>
      </c>
      <c r="BT1233" s="418" t="str">
        <f t="shared" si="2140"/>
        <v/>
      </c>
      <c r="BU1233" s="418" t="str">
        <f t="shared" si="2141"/>
        <v/>
      </c>
      <c r="BV1233" s="624">
        <v>3.12</v>
      </c>
      <c r="BW1233" s="723">
        <f t="shared" si="2142"/>
        <v>2246.4</v>
      </c>
      <c r="BX1233" s="724">
        <f t="shared" si="2143"/>
        <v>17409.6</v>
      </c>
      <c r="BY1233" s="725" t="str">
        <f t="shared" si="2144"/>
        <v>SR</v>
      </c>
    </row>
    <row r="1234" s="697" customFormat="1" customHeight="1" spans="1:77">
      <c r="A1234" s="362">
        <v>46239</v>
      </c>
      <c r="B1234" s="362">
        <v>46308</v>
      </c>
      <c r="C1234" s="431" t="s">
        <v>1097</v>
      </c>
      <c r="D1234" s="431" t="s">
        <v>1098</v>
      </c>
      <c r="E1234" s="431" t="s">
        <v>72</v>
      </c>
      <c r="F1234" s="96">
        <v>1200</v>
      </c>
      <c r="G1234" s="431" t="s">
        <v>510</v>
      </c>
      <c r="H1234" s="118" t="str">
        <f>IFERROR(VLOOKUP(E1234,名称!A:E,4,0),"")</f>
        <v>三代</v>
      </c>
      <c r="I1234" s="418" t="str">
        <f t="shared" si="2077"/>
        <v/>
      </c>
      <c r="J1234" s="418" t="str">
        <f t="shared" si="2078"/>
        <v/>
      </c>
      <c r="K1234" s="418" t="str">
        <f t="shared" si="2079"/>
        <v/>
      </c>
      <c r="L1234" s="418" t="str">
        <f t="shared" si="2080"/>
        <v/>
      </c>
      <c r="M1234" s="418" t="str">
        <f t="shared" si="2081"/>
        <v/>
      </c>
      <c r="N1234" s="418" t="str">
        <f t="shared" si="2082"/>
        <v/>
      </c>
      <c r="O1234" s="418" t="str">
        <f t="shared" si="2083"/>
        <v/>
      </c>
      <c r="P1234" s="418" t="str">
        <f t="shared" si="2084"/>
        <v/>
      </c>
      <c r="Q1234" s="418" t="str">
        <f t="shared" si="2085"/>
        <v/>
      </c>
      <c r="R1234" s="418" t="str">
        <f t="shared" si="2086"/>
        <v/>
      </c>
      <c r="S1234" s="418" t="str">
        <f t="shared" si="2087"/>
        <v/>
      </c>
      <c r="T1234" s="418" t="str">
        <f t="shared" si="2088"/>
        <v/>
      </c>
      <c r="U1234" s="418" t="str">
        <f t="shared" si="2089"/>
        <v/>
      </c>
      <c r="V1234" s="418" t="str">
        <f t="shared" si="2090"/>
        <v/>
      </c>
      <c r="W1234" s="418" t="str">
        <f t="shared" si="2091"/>
        <v/>
      </c>
      <c r="X1234" s="418" t="str">
        <f t="shared" si="2092"/>
        <v/>
      </c>
      <c r="Y1234" s="418" t="str">
        <f t="shared" si="2093"/>
        <v/>
      </c>
      <c r="Z1234" s="418" t="str">
        <f t="shared" si="2094"/>
        <v/>
      </c>
      <c r="AA1234" s="418" t="str">
        <f t="shared" si="2095"/>
        <v/>
      </c>
      <c r="AB1234" s="418" t="str">
        <f t="shared" si="2096"/>
        <v/>
      </c>
      <c r="AC1234" s="418" t="str">
        <f t="shared" si="2097"/>
        <v/>
      </c>
      <c r="AD1234" s="418" t="str">
        <f t="shared" si="2098"/>
        <v/>
      </c>
      <c r="AE1234" s="418" t="str">
        <f t="shared" si="2099"/>
        <v/>
      </c>
      <c r="AF1234" s="418" t="str">
        <f t="shared" si="2100"/>
        <v/>
      </c>
      <c r="AG1234" s="418" t="str">
        <f t="shared" si="2101"/>
        <v/>
      </c>
      <c r="AH1234" s="418" t="str">
        <f t="shared" si="2102"/>
        <v/>
      </c>
      <c r="AI1234" s="418" t="str">
        <f t="shared" si="2103"/>
        <v/>
      </c>
      <c r="AJ1234" s="418" t="str">
        <f t="shared" si="2104"/>
        <v/>
      </c>
      <c r="AK1234" s="418" t="str">
        <f t="shared" si="2105"/>
        <v/>
      </c>
      <c r="AL1234" s="418">
        <f t="shared" si="2106"/>
        <v>1200</v>
      </c>
      <c r="AM1234" s="418" t="str">
        <f t="shared" si="2107"/>
        <v/>
      </c>
      <c r="AN1234" s="418" t="str">
        <f t="shared" si="2108"/>
        <v/>
      </c>
      <c r="AO1234" s="418" t="str">
        <f t="shared" si="2109"/>
        <v/>
      </c>
      <c r="AP1234" s="418" t="str">
        <f t="shared" si="2110"/>
        <v/>
      </c>
      <c r="AQ1234" s="418" t="str">
        <f t="shared" si="2111"/>
        <v/>
      </c>
      <c r="AR1234" s="418" t="str">
        <f t="shared" si="2112"/>
        <v/>
      </c>
      <c r="AS1234" s="418" t="str">
        <f t="shared" si="2113"/>
        <v/>
      </c>
      <c r="AT1234" s="418" t="str">
        <f t="shared" si="2114"/>
        <v/>
      </c>
      <c r="AU1234" s="418" t="str">
        <f t="shared" si="2115"/>
        <v/>
      </c>
      <c r="AV1234" s="418" t="str">
        <f t="shared" si="2116"/>
        <v/>
      </c>
      <c r="AW1234" s="418" t="str">
        <f t="shared" si="2117"/>
        <v/>
      </c>
      <c r="AX1234" s="418" t="str">
        <f t="shared" si="2118"/>
        <v/>
      </c>
      <c r="AY1234" s="418" t="str">
        <f t="shared" si="2119"/>
        <v/>
      </c>
      <c r="AZ1234" s="418" t="str">
        <f t="shared" si="2120"/>
        <v/>
      </c>
      <c r="BA1234" s="418" t="str">
        <f t="shared" si="2121"/>
        <v/>
      </c>
      <c r="BB1234" s="418" t="str">
        <f t="shared" si="2122"/>
        <v/>
      </c>
      <c r="BC1234" s="418" t="str">
        <f t="shared" si="2123"/>
        <v/>
      </c>
      <c r="BD1234" s="418" t="str">
        <f t="shared" si="2124"/>
        <v/>
      </c>
      <c r="BE1234" s="418" t="str">
        <f t="shared" si="2125"/>
        <v/>
      </c>
      <c r="BF1234" s="418" t="str">
        <f t="shared" si="2126"/>
        <v/>
      </c>
      <c r="BG1234" s="418" t="str">
        <f t="shared" si="2127"/>
        <v/>
      </c>
      <c r="BH1234" s="418" t="str">
        <f t="shared" si="2128"/>
        <v/>
      </c>
      <c r="BI1234" s="418" t="str">
        <f t="shared" si="2129"/>
        <v/>
      </c>
      <c r="BJ1234" s="418" t="str">
        <f t="shared" si="2130"/>
        <v/>
      </c>
      <c r="BK1234" s="418" t="str">
        <f t="shared" si="2131"/>
        <v/>
      </c>
      <c r="BL1234" s="418" t="str">
        <f t="shared" si="2132"/>
        <v/>
      </c>
      <c r="BM1234" s="418" t="str">
        <f t="shared" si="2133"/>
        <v/>
      </c>
      <c r="BN1234" s="418" t="str">
        <f t="shared" si="2134"/>
        <v/>
      </c>
      <c r="BO1234" s="418" t="str">
        <f t="shared" si="2135"/>
        <v/>
      </c>
      <c r="BP1234" s="418" t="str">
        <f t="shared" si="2136"/>
        <v/>
      </c>
      <c r="BQ1234" s="418" t="str">
        <f t="shared" si="2137"/>
        <v/>
      </c>
      <c r="BR1234" s="418" t="str">
        <f t="shared" si="2138"/>
        <v/>
      </c>
      <c r="BS1234" s="418" t="str">
        <f t="shared" si="2139"/>
        <v/>
      </c>
      <c r="BT1234" s="418" t="str">
        <f t="shared" si="2140"/>
        <v/>
      </c>
      <c r="BU1234" s="418" t="str">
        <f t="shared" si="2141"/>
        <v/>
      </c>
      <c r="BV1234" s="624">
        <v>1.51</v>
      </c>
      <c r="BW1234" s="723">
        <f t="shared" si="2142"/>
        <v>1812</v>
      </c>
      <c r="BX1234" s="724">
        <f t="shared" si="2143"/>
        <v>14043</v>
      </c>
      <c r="BY1234" s="725" t="str">
        <f t="shared" si="2144"/>
        <v>SR</v>
      </c>
    </row>
    <row r="1235" s="697" customFormat="1" customHeight="1" spans="1:77">
      <c r="A1235" s="362">
        <v>46239</v>
      </c>
      <c r="B1235" s="362">
        <v>46308</v>
      </c>
      <c r="C1235" s="431" t="s">
        <v>1097</v>
      </c>
      <c r="D1235" s="431" t="s">
        <v>1098</v>
      </c>
      <c r="E1235" s="431" t="s">
        <v>112</v>
      </c>
      <c r="F1235" s="96">
        <v>240</v>
      </c>
      <c r="G1235" s="431" t="s">
        <v>510</v>
      </c>
      <c r="H1235" s="118" t="str">
        <f>IFERROR(VLOOKUP(E1235,名称!A:E,4,0),"")</f>
        <v>三代</v>
      </c>
      <c r="I1235" s="418" t="str">
        <f t="shared" si="2077"/>
        <v/>
      </c>
      <c r="J1235" s="418" t="str">
        <f t="shared" si="2078"/>
        <v/>
      </c>
      <c r="K1235" s="418" t="str">
        <f t="shared" si="2079"/>
        <v/>
      </c>
      <c r="L1235" s="418" t="str">
        <f t="shared" si="2080"/>
        <v/>
      </c>
      <c r="M1235" s="418" t="str">
        <f t="shared" si="2081"/>
        <v/>
      </c>
      <c r="N1235" s="418" t="str">
        <f t="shared" si="2082"/>
        <v/>
      </c>
      <c r="O1235" s="418" t="str">
        <f t="shared" si="2083"/>
        <v/>
      </c>
      <c r="P1235" s="418" t="str">
        <f t="shared" si="2084"/>
        <v/>
      </c>
      <c r="Q1235" s="418" t="str">
        <f t="shared" si="2085"/>
        <v/>
      </c>
      <c r="R1235" s="418" t="str">
        <f t="shared" si="2086"/>
        <v/>
      </c>
      <c r="S1235" s="418" t="str">
        <f t="shared" si="2087"/>
        <v/>
      </c>
      <c r="T1235" s="418" t="str">
        <f t="shared" si="2088"/>
        <v/>
      </c>
      <c r="U1235" s="418" t="str">
        <f t="shared" si="2089"/>
        <v/>
      </c>
      <c r="V1235" s="418" t="str">
        <f t="shared" si="2090"/>
        <v/>
      </c>
      <c r="W1235" s="418" t="str">
        <f t="shared" si="2091"/>
        <v/>
      </c>
      <c r="X1235" s="418" t="str">
        <f t="shared" si="2092"/>
        <v/>
      </c>
      <c r="Y1235" s="418" t="str">
        <f t="shared" si="2093"/>
        <v/>
      </c>
      <c r="Z1235" s="418" t="str">
        <f t="shared" si="2094"/>
        <v/>
      </c>
      <c r="AA1235" s="418" t="str">
        <f t="shared" si="2095"/>
        <v/>
      </c>
      <c r="AB1235" s="418" t="str">
        <f t="shared" si="2096"/>
        <v/>
      </c>
      <c r="AC1235" s="418" t="str">
        <f t="shared" si="2097"/>
        <v/>
      </c>
      <c r="AD1235" s="418" t="str">
        <f t="shared" si="2098"/>
        <v/>
      </c>
      <c r="AE1235" s="418" t="str">
        <f t="shared" si="2099"/>
        <v/>
      </c>
      <c r="AF1235" s="418" t="str">
        <f t="shared" si="2100"/>
        <v/>
      </c>
      <c r="AG1235" s="418" t="str">
        <f t="shared" si="2101"/>
        <v/>
      </c>
      <c r="AH1235" s="418" t="str">
        <f t="shared" si="2102"/>
        <v/>
      </c>
      <c r="AI1235" s="418">
        <f t="shared" si="2103"/>
        <v>240</v>
      </c>
      <c r="AJ1235" s="418" t="str">
        <f t="shared" si="2104"/>
        <v/>
      </c>
      <c r="AK1235" s="418" t="str">
        <f t="shared" si="2105"/>
        <v/>
      </c>
      <c r="AL1235" s="418" t="str">
        <f t="shared" si="2106"/>
        <v/>
      </c>
      <c r="AM1235" s="418" t="str">
        <f t="shared" si="2107"/>
        <v/>
      </c>
      <c r="AN1235" s="418" t="str">
        <f t="shared" si="2108"/>
        <v/>
      </c>
      <c r="AO1235" s="418" t="str">
        <f t="shared" si="2109"/>
        <v/>
      </c>
      <c r="AP1235" s="418" t="str">
        <f t="shared" si="2110"/>
        <v/>
      </c>
      <c r="AQ1235" s="418" t="str">
        <f t="shared" si="2111"/>
        <v/>
      </c>
      <c r="AR1235" s="418" t="str">
        <f t="shared" si="2112"/>
        <v/>
      </c>
      <c r="AS1235" s="418" t="str">
        <f t="shared" si="2113"/>
        <v/>
      </c>
      <c r="AT1235" s="418" t="str">
        <f t="shared" si="2114"/>
        <v/>
      </c>
      <c r="AU1235" s="418" t="str">
        <f t="shared" si="2115"/>
        <v/>
      </c>
      <c r="AV1235" s="418" t="str">
        <f t="shared" si="2116"/>
        <v/>
      </c>
      <c r="AW1235" s="418" t="str">
        <f t="shared" si="2117"/>
        <v/>
      </c>
      <c r="AX1235" s="418" t="str">
        <f t="shared" si="2118"/>
        <v/>
      </c>
      <c r="AY1235" s="418" t="str">
        <f t="shared" si="2119"/>
        <v/>
      </c>
      <c r="AZ1235" s="418" t="str">
        <f t="shared" si="2120"/>
        <v/>
      </c>
      <c r="BA1235" s="418" t="str">
        <f t="shared" si="2121"/>
        <v/>
      </c>
      <c r="BB1235" s="418" t="str">
        <f t="shared" si="2122"/>
        <v/>
      </c>
      <c r="BC1235" s="418" t="str">
        <f t="shared" si="2123"/>
        <v/>
      </c>
      <c r="BD1235" s="418" t="str">
        <f t="shared" si="2124"/>
        <v/>
      </c>
      <c r="BE1235" s="418" t="str">
        <f t="shared" si="2125"/>
        <v/>
      </c>
      <c r="BF1235" s="418" t="str">
        <f t="shared" si="2126"/>
        <v/>
      </c>
      <c r="BG1235" s="418" t="str">
        <f t="shared" si="2127"/>
        <v/>
      </c>
      <c r="BH1235" s="418" t="str">
        <f t="shared" si="2128"/>
        <v/>
      </c>
      <c r="BI1235" s="418" t="str">
        <f t="shared" si="2129"/>
        <v/>
      </c>
      <c r="BJ1235" s="418" t="str">
        <f t="shared" si="2130"/>
        <v/>
      </c>
      <c r="BK1235" s="418" t="str">
        <f t="shared" si="2131"/>
        <v/>
      </c>
      <c r="BL1235" s="418" t="str">
        <f t="shared" si="2132"/>
        <v/>
      </c>
      <c r="BM1235" s="418" t="str">
        <f t="shared" si="2133"/>
        <v/>
      </c>
      <c r="BN1235" s="418" t="str">
        <f t="shared" si="2134"/>
        <v/>
      </c>
      <c r="BO1235" s="418" t="str">
        <f t="shared" si="2135"/>
        <v/>
      </c>
      <c r="BP1235" s="418" t="str">
        <f t="shared" si="2136"/>
        <v/>
      </c>
      <c r="BQ1235" s="418" t="str">
        <f t="shared" si="2137"/>
        <v/>
      </c>
      <c r="BR1235" s="418" t="str">
        <f t="shared" si="2138"/>
        <v/>
      </c>
      <c r="BS1235" s="418" t="str">
        <f t="shared" si="2139"/>
        <v/>
      </c>
      <c r="BT1235" s="418" t="str">
        <f t="shared" si="2140"/>
        <v/>
      </c>
      <c r="BU1235" s="418" t="str">
        <f t="shared" si="2141"/>
        <v/>
      </c>
      <c r="BV1235" s="624">
        <v>9.39</v>
      </c>
      <c r="BW1235" s="723">
        <f t="shared" si="2142"/>
        <v>2253.6</v>
      </c>
      <c r="BX1235" s="724">
        <f t="shared" si="2143"/>
        <v>17465.4</v>
      </c>
      <c r="BY1235" s="725" t="str">
        <f t="shared" si="2144"/>
        <v>SR</v>
      </c>
    </row>
    <row r="1236" s="697" customFormat="1" customHeight="1" spans="1:77">
      <c r="A1236" s="362">
        <v>46239</v>
      </c>
      <c r="B1236" s="362">
        <v>46308</v>
      </c>
      <c r="C1236" s="431" t="s">
        <v>1097</v>
      </c>
      <c r="D1236" s="431" t="s">
        <v>1098</v>
      </c>
      <c r="E1236" s="431" t="s">
        <v>63</v>
      </c>
      <c r="F1236" s="96">
        <v>1440</v>
      </c>
      <c r="G1236" s="431" t="s">
        <v>510</v>
      </c>
      <c r="H1236" s="118" t="str">
        <f>IFERROR(VLOOKUP(E1236,名称!A:E,4,0),"")</f>
        <v>三代</v>
      </c>
      <c r="I1236" s="418" t="str">
        <f t="shared" si="2077"/>
        <v/>
      </c>
      <c r="J1236" s="418" t="str">
        <f t="shared" si="2078"/>
        <v/>
      </c>
      <c r="K1236" s="418" t="str">
        <f t="shared" si="2079"/>
        <v/>
      </c>
      <c r="L1236" s="418" t="str">
        <f t="shared" si="2080"/>
        <v/>
      </c>
      <c r="M1236" s="418" t="str">
        <f t="shared" si="2081"/>
        <v/>
      </c>
      <c r="N1236" s="418" t="str">
        <f t="shared" si="2082"/>
        <v/>
      </c>
      <c r="O1236" s="418" t="str">
        <f t="shared" si="2083"/>
        <v/>
      </c>
      <c r="P1236" s="418" t="str">
        <f t="shared" si="2084"/>
        <v/>
      </c>
      <c r="Q1236" s="418" t="str">
        <f t="shared" si="2085"/>
        <v/>
      </c>
      <c r="R1236" s="418" t="str">
        <f t="shared" si="2086"/>
        <v/>
      </c>
      <c r="S1236" s="418" t="str">
        <f t="shared" si="2087"/>
        <v/>
      </c>
      <c r="T1236" s="418" t="str">
        <f t="shared" si="2088"/>
        <v/>
      </c>
      <c r="U1236" s="418" t="str">
        <f t="shared" si="2089"/>
        <v/>
      </c>
      <c r="V1236" s="418" t="str">
        <f t="shared" si="2090"/>
        <v/>
      </c>
      <c r="W1236" s="418" t="str">
        <f t="shared" si="2091"/>
        <v/>
      </c>
      <c r="X1236" s="418" t="str">
        <f t="shared" si="2092"/>
        <v/>
      </c>
      <c r="Y1236" s="418" t="str">
        <f t="shared" si="2093"/>
        <v/>
      </c>
      <c r="Z1236" s="418" t="str">
        <f t="shared" si="2094"/>
        <v/>
      </c>
      <c r="AA1236" s="418" t="str">
        <f t="shared" si="2095"/>
        <v/>
      </c>
      <c r="AB1236" s="418" t="str">
        <f t="shared" si="2096"/>
        <v/>
      </c>
      <c r="AC1236" s="418" t="str">
        <f t="shared" si="2097"/>
        <v/>
      </c>
      <c r="AD1236" s="418" t="str">
        <f t="shared" si="2098"/>
        <v/>
      </c>
      <c r="AE1236" s="418" t="str">
        <f t="shared" si="2099"/>
        <v/>
      </c>
      <c r="AF1236" s="418">
        <f t="shared" si="2100"/>
        <v>1440</v>
      </c>
      <c r="AG1236" s="418" t="str">
        <f t="shared" si="2101"/>
        <v/>
      </c>
      <c r="AH1236" s="418" t="str">
        <f t="shared" si="2102"/>
        <v/>
      </c>
      <c r="AI1236" s="418" t="str">
        <f t="shared" si="2103"/>
        <v/>
      </c>
      <c r="AJ1236" s="418" t="str">
        <f t="shared" si="2104"/>
        <v/>
      </c>
      <c r="AK1236" s="418" t="str">
        <f t="shared" si="2105"/>
        <v/>
      </c>
      <c r="AL1236" s="418" t="str">
        <f t="shared" si="2106"/>
        <v/>
      </c>
      <c r="AM1236" s="418" t="str">
        <f t="shared" si="2107"/>
        <v/>
      </c>
      <c r="AN1236" s="418" t="str">
        <f t="shared" si="2108"/>
        <v/>
      </c>
      <c r="AO1236" s="418" t="str">
        <f t="shared" si="2109"/>
        <v/>
      </c>
      <c r="AP1236" s="418" t="str">
        <f t="shared" si="2110"/>
        <v/>
      </c>
      <c r="AQ1236" s="418" t="str">
        <f t="shared" si="2111"/>
        <v/>
      </c>
      <c r="AR1236" s="418" t="str">
        <f t="shared" si="2112"/>
        <v/>
      </c>
      <c r="AS1236" s="418" t="str">
        <f t="shared" si="2113"/>
        <v/>
      </c>
      <c r="AT1236" s="418" t="str">
        <f t="shared" si="2114"/>
        <v/>
      </c>
      <c r="AU1236" s="418" t="str">
        <f t="shared" si="2115"/>
        <v/>
      </c>
      <c r="AV1236" s="418" t="str">
        <f t="shared" si="2116"/>
        <v/>
      </c>
      <c r="AW1236" s="418" t="str">
        <f t="shared" si="2117"/>
        <v/>
      </c>
      <c r="AX1236" s="418" t="str">
        <f t="shared" si="2118"/>
        <v/>
      </c>
      <c r="AY1236" s="418" t="str">
        <f t="shared" si="2119"/>
        <v/>
      </c>
      <c r="AZ1236" s="418" t="str">
        <f t="shared" si="2120"/>
        <v/>
      </c>
      <c r="BA1236" s="418" t="str">
        <f t="shared" si="2121"/>
        <v/>
      </c>
      <c r="BB1236" s="418" t="str">
        <f t="shared" si="2122"/>
        <v/>
      </c>
      <c r="BC1236" s="418" t="str">
        <f t="shared" si="2123"/>
        <v/>
      </c>
      <c r="BD1236" s="418" t="str">
        <f t="shared" si="2124"/>
        <v/>
      </c>
      <c r="BE1236" s="418" t="str">
        <f t="shared" si="2125"/>
        <v/>
      </c>
      <c r="BF1236" s="418" t="str">
        <f t="shared" si="2126"/>
        <v/>
      </c>
      <c r="BG1236" s="418" t="str">
        <f t="shared" si="2127"/>
        <v/>
      </c>
      <c r="BH1236" s="418" t="str">
        <f t="shared" si="2128"/>
        <v/>
      </c>
      <c r="BI1236" s="418" t="str">
        <f t="shared" si="2129"/>
        <v/>
      </c>
      <c r="BJ1236" s="418" t="str">
        <f t="shared" si="2130"/>
        <v/>
      </c>
      <c r="BK1236" s="418" t="str">
        <f t="shared" si="2131"/>
        <v/>
      </c>
      <c r="BL1236" s="418" t="str">
        <f t="shared" si="2132"/>
        <v/>
      </c>
      <c r="BM1236" s="418" t="str">
        <f t="shared" si="2133"/>
        <v/>
      </c>
      <c r="BN1236" s="418" t="str">
        <f t="shared" si="2134"/>
        <v/>
      </c>
      <c r="BO1236" s="418" t="str">
        <f t="shared" si="2135"/>
        <v/>
      </c>
      <c r="BP1236" s="418" t="str">
        <f t="shared" si="2136"/>
        <v/>
      </c>
      <c r="BQ1236" s="418" t="str">
        <f t="shared" si="2137"/>
        <v/>
      </c>
      <c r="BR1236" s="418" t="str">
        <f t="shared" si="2138"/>
        <v/>
      </c>
      <c r="BS1236" s="418" t="str">
        <f t="shared" si="2139"/>
        <v/>
      </c>
      <c r="BT1236" s="418" t="str">
        <f t="shared" si="2140"/>
        <v/>
      </c>
      <c r="BU1236" s="418" t="str">
        <f t="shared" si="2141"/>
        <v/>
      </c>
      <c r="BV1236" s="624">
        <v>0.64</v>
      </c>
      <c r="BW1236" s="723">
        <f t="shared" si="2142"/>
        <v>921.6</v>
      </c>
      <c r="BX1236" s="724">
        <f t="shared" si="2143"/>
        <v>7142.4</v>
      </c>
      <c r="BY1236" s="725" t="str">
        <f t="shared" si="2144"/>
        <v>SR</v>
      </c>
    </row>
    <row r="1237" s="697" customFormat="1" customHeight="1" spans="1:77">
      <c r="A1237" s="362">
        <v>46239</v>
      </c>
      <c r="B1237" s="362">
        <v>46308</v>
      </c>
      <c r="C1237" s="431" t="s">
        <v>1097</v>
      </c>
      <c r="D1237" s="431" t="s">
        <v>1098</v>
      </c>
      <c r="E1237" s="431" t="s">
        <v>97</v>
      </c>
      <c r="F1237" s="96">
        <v>1440</v>
      </c>
      <c r="G1237" s="431" t="s">
        <v>510</v>
      </c>
      <c r="H1237" s="118" t="str">
        <f>IFERROR(VLOOKUP(E1237,名称!A:E,4,0),"")</f>
        <v>三代</v>
      </c>
      <c r="I1237" s="418" t="str">
        <f t="shared" si="2077"/>
        <v/>
      </c>
      <c r="J1237" s="418" t="str">
        <f t="shared" si="2078"/>
        <v/>
      </c>
      <c r="K1237" s="418" t="str">
        <f t="shared" si="2079"/>
        <v/>
      </c>
      <c r="L1237" s="418" t="str">
        <f t="shared" si="2080"/>
        <v/>
      </c>
      <c r="M1237" s="418" t="str">
        <f t="shared" si="2081"/>
        <v/>
      </c>
      <c r="N1237" s="418" t="str">
        <f t="shared" si="2082"/>
        <v/>
      </c>
      <c r="O1237" s="418" t="str">
        <f t="shared" si="2083"/>
        <v/>
      </c>
      <c r="P1237" s="418" t="str">
        <f t="shared" si="2084"/>
        <v/>
      </c>
      <c r="Q1237" s="418" t="str">
        <f t="shared" si="2085"/>
        <v/>
      </c>
      <c r="R1237" s="418" t="str">
        <f t="shared" si="2086"/>
        <v/>
      </c>
      <c r="S1237" s="418" t="str">
        <f t="shared" si="2087"/>
        <v/>
      </c>
      <c r="T1237" s="418" t="str">
        <f t="shared" si="2088"/>
        <v/>
      </c>
      <c r="U1237" s="418" t="str">
        <f t="shared" si="2089"/>
        <v/>
      </c>
      <c r="V1237" s="418" t="str">
        <f t="shared" si="2090"/>
        <v/>
      </c>
      <c r="W1237" s="418" t="str">
        <f t="shared" si="2091"/>
        <v/>
      </c>
      <c r="X1237" s="418" t="str">
        <f t="shared" si="2092"/>
        <v/>
      </c>
      <c r="Y1237" s="418" t="str">
        <f t="shared" si="2093"/>
        <v/>
      </c>
      <c r="Z1237" s="418" t="str">
        <f t="shared" si="2094"/>
        <v/>
      </c>
      <c r="AA1237" s="418" t="str">
        <f t="shared" si="2095"/>
        <v/>
      </c>
      <c r="AB1237" s="418" t="str">
        <f t="shared" si="2096"/>
        <v/>
      </c>
      <c r="AC1237" s="418" t="str">
        <f t="shared" si="2097"/>
        <v/>
      </c>
      <c r="AD1237" s="418" t="str">
        <f t="shared" si="2098"/>
        <v/>
      </c>
      <c r="AE1237" s="418" t="str">
        <f t="shared" si="2099"/>
        <v/>
      </c>
      <c r="AF1237" s="418" t="str">
        <f t="shared" si="2100"/>
        <v/>
      </c>
      <c r="AG1237" s="418" t="str">
        <f t="shared" si="2101"/>
        <v/>
      </c>
      <c r="AH1237" s="418" t="str">
        <f t="shared" si="2102"/>
        <v/>
      </c>
      <c r="AI1237" s="418" t="str">
        <f t="shared" si="2103"/>
        <v/>
      </c>
      <c r="AJ1237" s="418" t="str">
        <f t="shared" si="2104"/>
        <v/>
      </c>
      <c r="AK1237" s="418" t="str">
        <f t="shared" si="2105"/>
        <v/>
      </c>
      <c r="AL1237" s="418" t="str">
        <f t="shared" si="2106"/>
        <v/>
      </c>
      <c r="AM1237" s="418" t="str">
        <f t="shared" si="2107"/>
        <v/>
      </c>
      <c r="AN1237" s="418" t="str">
        <f t="shared" si="2108"/>
        <v/>
      </c>
      <c r="AO1237" s="418" t="str">
        <f t="shared" si="2109"/>
        <v/>
      </c>
      <c r="AP1237" s="418" t="str">
        <f t="shared" si="2110"/>
        <v/>
      </c>
      <c r="AQ1237" s="418" t="str">
        <f t="shared" si="2111"/>
        <v/>
      </c>
      <c r="AR1237" s="418" t="str">
        <f t="shared" si="2112"/>
        <v/>
      </c>
      <c r="AS1237" s="418" t="str">
        <f t="shared" si="2113"/>
        <v/>
      </c>
      <c r="AT1237" s="418" t="str">
        <f t="shared" si="2114"/>
        <v/>
      </c>
      <c r="AU1237" s="418" t="str">
        <f t="shared" si="2115"/>
        <v/>
      </c>
      <c r="AV1237" s="418" t="str">
        <f t="shared" si="2116"/>
        <v/>
      </c>
      <c r="AW1237" s="418" t="str">
        <f t="shared" si="2117"/>
        <v/>
      </c>
      <c r="AX1237" s="418" t="str">
        <f t="shared" si="2118"/>
        <v/>
      </c>
      <c r="AY1237" s="418" t="str">
        <f t="shared" si="2119"/>
        <v/>
      </c>
      <c r="AZ1237" s="418" t="str">
        <f t="shared" si="2120"/>
        <v/>
      </c>
      <c r="BA1237" s="418">
        <f t="shared" si="2121"/>
        <v>1440</v>
      </c>
      <c r="BB1237" s="418" t="str">
        <f t="shared" si="2122"/>
        <v/>
      </c>
      <c r="BC1237" s="418" t="str">
        <f t="shared" si="2123"/>
        <v/>
      </c>
      <c r="BD1237" s="418" t="str">
        <f t="shared" si="2124"/>
        <v/>
      </c>
      <c r="BE1237" s="418" t="str">
        <f t="shared" si="2125"/>
        <v/>
      </c>
      <c r="BF1237" s="418" t="str">
        <f t="shared" si="2126"/>
        <v/>
      </c>
      <c r="BG1237" s="418" t="str">
        <f t="shared" si="2127"/>
        <v/>
      </c>
      <c r="BH1237" s="418" t="str">
        <f t="shared" si="2128"/>
        <v/>
      </c>
      <c r="BI1237" s="418" t="str">
        <f t="shared" si="2129"/>
        <v/>
      </c>
      <c r="BJ1237" s="418" t="str">
        <f t="shared" si="2130"/>
        <v/>
      </c>
      <c r="BK1237" s="418" t="str">
        <f t="shared" si="2131"/>
        <v/>
      </c>
      <c r="BL1237" s="418" t="str">
        <f t="shared" si="2132"/>
        <v/>
      </c>
      <c r="BM1237" s="418" t="str">
        <f t="shared" si="2133"/>
        <v/>
      </c>
      <c r="BN1237" s="418" t="str">
        <f t="shared" si="2134"/>
        <v/>
      </c>
      <c r="BO1237" s="418" t="str">
        <f t="shared" si="2135"/>
        <v/>
      </c>
      <c r="BP1237" s="418" t="str">
        <f t="shared" si="2136"/>
        <v/>
      </c>
      <c r="BQ1237" s="418" t="str">
        <f t="shared" si="2137"/>
        <v/>
      </c>
      <c r="BR1237" s="418" t="str">
        <f t="shared" si="2138"/>
        <v/>
      </c>
      <c r="BS1237" s="418" t="str">
        <f t="shared" si="2139"/>
        <v/>
      </c>
      <c r="BT1237" s="418" t="str">
        <f t="shared" si="2140"/>
        <v/>
      </c>
      <c r="BU1237" s="418" t="str">
        <f t="shared" si="2141"/>
        <v/>
      </c>
      <c r="BV1237" s="624">
        <v>0.64</v>
      </c>
      <c r="BW1237" s="723">
        <f t="shared" si="2142"/>
        <v>921.6</v>
      </c>
      <c r="BX1237" s="724">
        <f t="shared" si="2143"/>
        <v>7142.4</v>
      </c>
      <c r="BY1237" s="725" t="str">
        <f t="shared" si="2144"/>
        <v>SR</v>
      </c>
    </row>
    <row r="1238" s="697" customFormat="1" customHeight="1" spans="1:77">
      <c r="A1238" s="362">
        <v>46239</v>
      </c>
      <c r="B1238" s="362">
        <v>46308</v>
      </c>
      <c r="C1238" s="431" t="s">
        <v>1097</v>
      </c>
      <c r="D1238" s="431" t="s">
        <v>1098</v>
      </c>
      <c r="E1238" s="431" t="s">
        <v>98</v>
      </c>
      <c r="F1238" s="96">
        <v>1440</v>
      </c>
      <c r="G1238" s="431" t="s">
        <v>510</v>
      </c>
      <c r="H1238" s="118" t="str">
        <f>IFERROR(VLOOKUP(E1238,名称!A:E,4,0),"")</f>
        <v>三代</v>
      </c>
      <c r="I1238" s="418" t="str">
        <f t="shared" si="2077"/>
        <v/>
      </c>
      <c r="J1238" s="418" t="str">
        <f t="shared" si="2078"/>
        <v/>
      </c>
      <c r="K1238" s="418" t="str">
        <f t="shared" si="2079"/>
        <v/>
      </c>
      <c r="L1238" s="418" t="str">
        <f t="shared" si="2080"/>
        <v/>
      </c>
      <c r="M1238" s="418" t="str">
        <f t="shared" si="2081"/>
        <v/>
      </c>
      <c r="N1238" s="418" t="str">
        <f t="shared" si="2082"/>
        <v/>
      </c>
      <c r="O1238" s="418" t="str">
        <f t="shared" si="2083"/>
        <v/>
      </c>
      <c r="P1238" s="418" t="str">
        <f t="shared" si="2084"/>
        <v/>
      </c>
      <c r="Q1238" s="418" t="str">
        <f t="shared" si="2085"/>
        <v/>
      </c>
      <c r="R1238" s="418" t="str">
        <f t="shared" si="2086"/>
        <v/>
      </c>
      <c r="S1238" s="418" t="str">
        <f t="shared" si="2087"/>
        <v/>
      </c>
      <c r="T1238" s="418" t="str">
        <f t="shared" si="2088"/>
        <v/>
      </c>
      <c r="U1238" s="418" t="str">
        <f t="shared" si="2089"/>
        <v/>
      </c>
      <c r="V1238" s="418" t="str">
        <f t="shared" si="2090"/>
        <v/>
      </c>
      <c r="W1238" s="418" t="str">
        <f t="shared" si="2091"/>
        <v/>
      </c>
      <c r="X1238" s="418" t="str">
        <f t="shared" si="2092"/>
        <v/>
      </c>
      <c r="Y1238" s="418" t="str">
        <f t="shared" si="2093"/>
        <v/>
      </c>
      <c r="Z1238" s="418" t="str">
        <f t="shared" si="2094"/>
        <v/>
      </c>
      <c r="AA1238" s="418" t="str">
        <f t="shared" si="2095"/>
        <v/>
      </c>
      <c r="AB1238" s="418" t="str">
        <f t="shared" si="2096"/>
        <v/>
      </c>
      <c r="AC1238" s="418" t="str">
        <f t="shared" si="2097"/>
        <v/>
      </c>
      <c r="AD1238" s="418" t="str">
        <f t="shared" si="2098"/>
        <v/>
      </c>
      <c r="AE1238" s="418" t="str">
        <f t="shared" si="2099"/>
        <v/>
      </c>
      <c r="AF1238" s="418" t="str">
        <f t="shared" si="2100"/>
        <v/>
      </c>
      <c r="AG1238" s="418" t="str">
        <f t="shared" si="2101"/>
        <v/>
      </c>
      <c r="AH1238" s="418" t="str">
        <f t="shared" si="2102"/>
        <v/>
      </c>
      <c r="AI1238" s="418" t="str">
        <f t="shared" si="2103"/>
        <v/>
      </c>
      <c r="AJ1238" s="418" t="str">
        <f t="shared" si="2104"/>
        <v/>
      </c>
      <c r="AK1238" s="418" t="str">
        <f t="shared" si="2105"/>
        <v/>
      </c>
      <c r="AL1238" s="418" t="str">
        <f t="shared" si="2106"/>
        <v/>
      </c>
      <c r="AM1238" s="418" t="str">
        <f t="shared" si="2107"/>
        <v/>
      </c>
      <c r="AN1238" s="418" t="str">
        <f t="shared" si="2108"/>
        <v/>
      </c>
      <c r="AO1238" s="418" t="str">
        <f t="shared" si="2109"/>
        <v/>
      </c>
      <c r="AP1238" s="418" t="str">
        <f t="shared" si="2110"/>
        <v/>
      </c>
      <c r="AQ1238" s="418" t="str">
        <f t="shared" si="2111"/>
        <v/>
      </c>
      <c r="AR1238" s="418" t="str">
        <f t="shared" si="2112"/>
        <v/>
      </c>
      <c r="AS1238" s="418" t="str">
        <f t="shared" si="2113"/>
        <v/>
      </c>
      <c r="AT1238" s="418" t="str">
        <f t="shared" si="2114"/>
        <v/>
      </c>
      <c r="AU1238" s="418" t="str">
        <f t="shared" si="2115"/>
        <v/>
      </c>
      <c r="AV1238" s="418" t="str">
        <f t="shared" si="2116"/>
        <v/>
      </c>
      <c r="AW1238" s="418" t="str">
        <f t="shared" si="2117"/>
        <v/>
      </c>
      <c r="AX1238" s="418" t="str">
        <f t="shared" si="2118"/>
        <v/>
      </c>
      <c r="AY1238" s="418" t="str">
        <f t="shared" si="2119"/>
        <v/>
      </c>
      <c r="AZ1238" s="418" t="str">
        <f t="shared" si="2120"/>
        <v/>
      </c>
      <c r="BA1238" s="418" t="str">
        <f t="shared" si="2121"/>
        <v/>
      </c>
      <c r="BB1238" s="418">
        <f t="shared" si="2122"/>
        <v>1440</v>
      </c>
      <c r="BC1238" s="418" t="str">
        <f t="shared" si="2123"/>
        <v/>
      </c>
      <c r="BD1238" s="418" t="str">
        <f t="shared" si="2124"/>
        <v/>
      </c>
      <c r="BE1238" s="418" t="str">
        <f t="shared" si="2125"/>
        <v/>
      </c>
      <c r="BF1238" s="418" t="str">
        <f t="shared" si="2126"/>
        <v/>
      </c>
      <c r="BG1238" s="418" t="str">
        <f t="shared" si="2127"/>
        <v/>
      </c>
      <c r="BH1238" s="418" t="str">
        <f t="shared" si="2128"/>
        <v/>
      </c>
      <c r="BI1238" s="418" t="str">
        <f t="shared" si="2129"/>
        <v/>
      </c>
      <c r="BJ1238" s="418" t="str">
        <f t="shared" si="2130"/>
        <v/>
      </c>
      <c r="BK1238" s="418" t="str">
        <f t="shared" si="2131"/>
        <v/>
      </c>
      <c r="BL1238" s="418" t="str">
        <f t="shared" si="2132"/>
        <v/>
      </c>
      <c r="BM1238" s="418" t="str">
        <f t="shared" si="2133"/>
        <v/>
      </c>
      <c r="BN1238" s="418" t="str">
        <f t="shared" si="2134"/>
        <v/>
      </c>
      <c r="BO1238" s="418" t="str">
        <f t="shared" si="2135"/>
        <v/>
      </c>
      <c r="BP1238" s="418" t="str">
        <f t="shared" si="2136"/>
        <v/>
      </c>
      <c r="BQ1238" s="418" t="str">
        <f t="shared" si="2137"/>
        <v/>
      </c>
      <c r="BR1238" s="418" t="str">
        <f t="shared" si="2138"/>
        <v/>
      </c>
      <c r="BS1238" s="418" t="str">
        <f t="shared" si="2139"/>
        <v/>
      </c>
      <c r="BT1238" s="418" t="str">
        <f t="shared" si="2140"/>
        <v/>
      </c>
      <c r="BU1238" s="418" t="str">
        <f t="shared" si="2141"/>
        <v/>
      </c>
      <c r="BV1238" s="624">
        <v>1.51</v>
      </c>
      <c r="BW1238" s="723">
        <f t="shared" si="2142"/>
        <v>2174.4</v>
      </c>
      <c r="BX1238" s="724">
        <f t="shared" si="2143"/>
        <v>16851.6</v>
      </c>
      <c r="BY1238" s="725" t="str">
        <f t="shared" si="2144"/>
        <v>SR</v>
      </c>
    </row>
    <row r="1239" s="697" customFormat="1" customHeight="1" spans="1:77">
      <c r="A1239" s="362">
        <v>46239</v>
      </c>
      <c r="B1239" s="362">
        <v>46308</v>
      </c>
      <c r="C1239" s="431" t="s">
        <v>1097</v>
      </c>
      <c r="D1239" s="431" t="s">
        <v>1098</v>
      </c>
      <c r="E1239" s="431" t="s">
        <v>94</v>
      </c>
      <c r="F1239" s="96">
        <v>2400</v>
      </c>
      <c r="G1239" s="431" t="s">
        <v>510</v>
      </c>
      <c r="H1239" s="118" t="str">
        <f>IFERROR(VLOOKUP(E1239,名称!A:E,4,0),"")</f>
        <v>三代</v>
      </c>
      <c r="I1239" s="418" t="str">
        <f t="shared" si="2077"/>
        <v/>
      </c>
      <c r="J1239" s="418" t="str">
        <f t="shared" si="2078"/>
        <v/>
      </c>
      <c r="K1239" s="418" t="str">
        <f t="shared" si="2079"/>
        <v/>
      </c>
      <c r="L1239" s="418" t="str">
        <f t="shared" si="2080"/>
        <v/>
      </c>
      <c r="M1239" s="418" t="str">
        <f t="shared" si="2081"/>
        <v/>
      </c>
      <c r="N1239" s="418" t="str">
        <f t="shared" si="2082"/>
        <v/>
      </c>
      <c r="O1239" s="418" t="str">
        <f t="shared" si="2083"/>
        <v/>
      </c>
      <c r="P1239" s="418" t="str">
        <f t="shared" si="2084"/>
        <v/>
      </c>
      <c r="Q1239" s="418" t="str">
        <f t="shared" si="2085"/>
        <v/>
      </c>
      <c r="R1239" s="418" t="str">
        <f t="shared" si="2086"/>
        <v/>
      </c>
      <c r="S1239" s="418" t="str">
        <f t="shared" si="2087"/>
        <v/>
      </c>
      <c r="T1239" s="418" t="str">
        <f t="shared" si="2088"/>
        <v/>
      </c>
      <c r="U1239" s="418" t="str">
        <f t="shared" si="2089"/>
        <v/>
      </c>
      <c r="V1239" s="418" t="str">
        <f t="shared" si="2090"/>
        <v/>
      </c>
      <c r="W1239" s="418" t="str">
        <f t="shared" si="2091"/>
        <v/>
      </c>
      <c r="X1239" s="418" t="str">
        <f t="shared" si="2092"/>
        <v/>
      </c>
      <c r="Y1239" s="418" t="str">
        <f t="shared" si="2093"/>
        <v/>
      </c>
      <c r="Z1239" s="418" t="str">
        <f t="shared" si="2094"/>
        <v/>
      </c>
      <c r="AA1239" s="418" t="str">
        <f t="shared" si="2095"/>
        <v/>
      </c>
      <c r="AB1239" s="418" t="str">
        <f t="shared" si="2096"/>
        <v/>
      </c>
      <c r="AC1239" s="418" t="str">
        <f t="shared" si="2097"/>
        <v/>
      </c>
      <c r="AD1239" s="418" t="str">
        <f t="shared" si="2098"/>
        <v/>
      </c>
      <c r="AE1239" s="418" t="str">
        <f t="shared" si="2099"/>
        <v/>
      </c>
      <c r="AF1239" s="418" t="str">
        <f t="shared" si="2100"/>
        <v/>
      </c>
      <c r="AG1239" s="418" t="str">
        <f t="shared" si="2101"/>
        <v/>
      </c>
      <c r="AH1239" s="418" t="str">
        <f t="shared" si="2102"/>
        <v/>
      </c>
      <c r="AI1239" s="418" t="str">
        <f t="shared" si="2103"/>
        <v/>
      </c>
      <c r="AJ1239" s="418" t="str">
        <f t="shared" si="2104"/>
        <v/>
      </c>
      <c r="AK1239" s="418" t="str">
        <f t="shared" si="2105"/>
        <v/>
      </c>
      <c r="AL1239" s="418" t="str">
        <f t="shared" si="2106"/>
        <v/>
      </c>
      <c r="AM1239" s="418" t="str">
        <f t="shared" si="2107"/>
        <v/>
      </c>
      <c r="AN1239" s="418" t="str">
        <f t="shared" si="2108"/>
        <v/>
      </c>
      <c r="AO1239" s="418" t="str">
        <f t="shared" si="2109"/>
        <v/>
      </c>
      <c r="AP1239" s="418" t="str">
        <f t="shared" si="2110"/>
        <v/>
      </c>
      <c r="AQ1239" s="418" t="str">
        <f t="shared" si="2111"/>
        <v/>
      </c>
      <c r="AR1239" s="418" t="str">
        <f t="shared" si="2112"/>
        <v/>
      </c>
      <c r="AS1239" s="418" t="str">
        <f t="shared" si="2113"/>
        <v/>
      </c>
      <c r="AT1239" s="418" t="str">
        <f t="shared" si="2114"/>
        <v/>
      </c>
      <c r="AU1239" s="418" t="str">
        <f t="shared" si="2115"/>
        <v/>
      </c>
      <c r="AV1239" s="418" t="str">
        <f t="shared" si="2116"/>
        <v/>
      </c>
      <c r="AW1239" s="418" t="str">
        <f t="shared" si="2117"/>
        <v/>
      </c>
      <c r="AX1239" s="418" t="str">
        <f t="shared" si="2118"/>
        <v/>
      </c>
      <c r="AY1239" s="418">
        <f t="shared" si="2119"/>
        <v>2400</v>
      </c>
      <c r="AZ1239" s="418" t="str">
        <f t="shared" si="2120"/>
        <v/>
      </c>
      <c r="BA1239" s="418" t="str">
        <f t="shared" si="2121"/>
        <v/>
      </c>
      <c r="BB1239" s="418" t="str">
        <f t="shared" si="2122"/>
        <v/>
      </c>
      <c r="BC1239" s="418" t="str">
        <f t="shared" si="2123"/>
        <v/>
      </c>
      <c r="BD1239" s="418" t="str">
        <f t="shared" si="2124"/>
        <v/>
      </c>
      <c r="BE1239" s="418" t="str">
        <f t="shared" si="2125"/>
        <v/>
      </c>
      <c r="BF1239" s="418" t="str">
        <f t="shared" si="2126"/>
        <v/>
      </c>
      <c r="BG1239" s="418" t="str">
        <f t="shared" si="2127"/>
        <v/>
      </c>
      <c r="BH1239" s="418" t="str">
        <f t="shared" si="2128"/>
        <v/>
      </c>
      <c r="BI1239" s="418" t="str">
        <f t="shared" si="2129"/>
        <v/>
      </c>
      <c r="BJ1239" s="418" t="str">
        <f t="shared" si="2130"/>
        <v/>
      </c>
      <c r="BK1239" s="418" t="str">
        <f t="shared" si="2131"/>
        <v/>
      </c>
      <c r="BL1239" s="418" t="str">
        <f t="shared" si="2132"/>
        <v/>
      </c>
      <c r="BM1239" s="418" t="str">
        <f t="shared" si="2133"/>
        <v/>
      </c>
      <c r="BN1239" s="418" t="str">
        <f t="shared" si="2134"/>
        <v/>
      </c>
      <c r="BO1239" s="418" t="str">
        <f t="shared" si="2135"/>
        <v/>
      </c>
      <c r="BP1239" s="418" t="str">
        <f t="shared" si="2136"/>
        <v/>
      </c>
      <c r="BQ1239" s="418" t="str">
        <f t="shared" si="2137"/>
        <v/>
      </c>
      <c r="BR1239" s="418" t="str">
        <f t="shared" si="2138"/>
        <v/>
      </c>
      <c r="BS1239" s="418" t="str">
        <f t="shared" si="2139"/>
        <v/>
      </c>
      <c r="BT1239" s="418" t="str">
        <f t="shared" si="2140"/>
        <v/>
      </c>
      <c r="BU1239" s="418" t="str">
        <f t="shared" si="2141"/>
        <v/>
      </c>
      <c r="BV1239" s="624">
        <v>0.64</v>
      </c>
      <c r="BW1239" s="723">
        <f t="shared" si="2142"/>
        <v>1536</v>
      </c>
      <c r="BX1239" s="724">
        <f t="shared" si="2143"/>
        <v>11904</v>
      </c>
      <c r="BY1239" s="725" t="str">
        <f t="shared" si="2144"/>
        <v>SR</v>
      </c>
    </row>
    <row r="1240" s="697" customFormat="1" customHeight="1" spans="1:77">
      <c r="A1240" s="362">
        <v>46239</v>
      </c>
      <c r="B1240" s="362">
        <v>46308</v>
      </c>
      <c r="C1240" s="431" t="s">
        <v>1097</v>
      </c>
      <c r="D1240" s="431" t="s">
        <v>1098</v>
      </c>
      <c r="E1240" s="431" t="s">
        <v>92</v>
      </c>
      <c r="F1240" s="96">
        <v>1600</v>
      </c>
      <c r="G1240" s="431" t="s">
        <v>510</v>
      </c>
      <c r="H1240" s="118" t="str">
        <f>IFERROR(VLOOKUP(E1240,名称!A:E,4,0),"")</f>
        <v>三代</v>
      </c>
      <c r="I1240" s="418" t="str">
        <f t="shared" si="2077"/>
        <v/>
      </c>
      <c r="J1240" s="418" t="str">
        <f t="shared" si="2078"/>
        <v/>
      </c>
      <c r="K1240" s="418" t="str">
        <f t="shared" si="2079"/>
        <v/>
      </c>
      <c r="L1240" s="418" t="str">
        <f t="shared" si="2080"/>
        <v/>
      </c>
      <c r="M1240" s="418" t="str">
        <f t="shared" si="2081"/>
        <v/>
      </c>
      <c r="N1240" s="418" t="str">
        <f t="shared" si="2082"/>
        <v/>
      </c>
      <c r="O1240" s="418" t="str">
        <f t="shared" si="2083"/>
        <v/>
      </c>
      <c r="P1240" s="418" t="str">
        <f t="shared" si="2084"/>
        <v/>
      </c>
      <c r="Q1240" s="418" t="str">
        <f t="shared" si="2085"/>
        <v/>
      </c>
      <c r="R1240" s="418" t="str">
        <f t="shared" si="2086"/>
        <v/>
      </c>
      <c r="S1240" s="418" t="str">
        <f t="shared" si="2087"/>
        <v/>
      </c>
      <c r="T1240" s="418" t="str">
        <f t="shared" si="2088"/>
        <v/>
      </c>
      <c r="U1240" s="418" t="str">
        <f t="shared" si="2089"/>
        <v/>
      </c>
      <c r="V1240" s="418" t="str">
        <f t="shared" si="2090"/>
        <v/>
      </c>
      <c r="W1240" s="418" t="str">
        <f t="shared" si="2091"/>
        <v/>
      </c>
      <c r="X1240" s="418" t="str">
        <f t="shared" si="2092"/>
        <v/>
      </c>
      <c r="Y1240" s="418" t="str">
        <f t="shared" si="2093"/>
        <v/>
      </c>
      <c r="Z1240" s="418" t="str">
        <f t="shared" si="2094"/>
        <v/>
      </c>
      <c r="AA1240" s="418" t="str">
        <f t="shared" si="2095"/>
        <v/>
      </c>
      <c r="AB1240" s="418" t="str">
        <f t="shared" si="2096"/>
        <v/>
      </c>
      <c r="AC1240" s="418" t="str">
        <f t="shared" si="2097"/>
        <v/>
      </c>
      <c r="AD1240" s="418" t="str">
        <f t="shared" si="2098"/>
        <v/>
      </c>
      <c r="AE1240" s="418" t="str">
        <f t="shared" si="2099"/>
        <v/>
      </c>
      <c r="AF1240" s="418" t="str">
        <f t="shared" si="2100"/>
        <v/>
      </c>
      <c r="AG1240" s="418" t="str">
        <f t="shared" si="2101"/>
        <v/>
      </c>
      <c r="AH1240" s="418" t="str">
        <f t="shared" si="2102"/>
        <v/>
      </c>
      <c r="AI1240" s="418" t="str">
        <f t="shared" si="2103"/>
        <v/>
      </c>
      <c r="AJ1240" s="418" t="str">
        <f t="shared" si="2104"/>
        <v/>
      </c>
      <c r="AK1240" s="418" t="str">
        <f t="shared" si="2105"/>
        <v/>
      </c>
      <c r="AL1240" s="418" t="str">
        <f t="shared" si="2106"/>
        <v/>
      </c>
      <c r="AM1240" s="418" t="str">
        <f t="shared" si="2107"/>
        <v/>
      </c>
      <c r="AN1240" s="418" t="str">
        <f t="shared" si="2108"/>
        <v/>
      </c>
      <c r="AO1240" s="418" t="str">
        <f t="shared" si="2109"/>
        <v/>
      </c>
      <c r="AP1240" s="418" t="str">
        <f t="shared" si="2110"/>
        <v/>
      </c>
      <c r="AQ1240" s="418" t="str">
        <f t="shared" si="2111"/>
        <v/>
      </c>
      <c r="AR1240" s="418" t="str">
        <f t="shared" si="2112"/>
        <v/>
      </c>
      <c r="AS1240" s="418" t="str">
        <f t="shared" si="2113"/>
        <v/>
      </c>
      <c r="AT1240" s="418" t="str">
        <f t="shared" si="2114"/>
        <v/>
      </c>
      <c r="AU1240" s="418" t="str">
        <f t="shared" si="2115"/>
        <v/>
      </c>
      <c r="AV1240" s="418" t="str">
        <f t="shared" si="2116"/>
        <v/>
      </c>
      <c r="AW1240" s="418" t="str">
        <f t="shared" si="2117"/>
        <v/>
      </c>
      <c r="AX1240" s="418">
        <f t="shared" si="2118"/>
        <v>1600</v>
      </c>
      <c r="AY1240" s="418" t="str">
        <f t="shared" si="2119"/>
        <v/>
      </c>
      <c r="AZ1240" s="418" t="str">
        <f t="shared" si="2120"/>
        <v/>
      </c>
      <c r="BA1240" s="418" t="str">
        <f t="shared" si="2121"/>
        <v/>
      </c>
      <c r="BB1240" s="418" t="str">
        <f t="shared" si="2122"/>
        <v/>
      </c>
      <c r="BC1240" s="418" t="str">
        <f t="shared" si="2123"/>
        <v/>
      </c>
      <c r="BD1240" s="418" t="str">
        <f t="shared" si="2124"/>
        <v/>
      </c>
      <c r="BE1240" s="418" t="str">
        <f t="shared" si="2125"/>
        <v/>
      </c>
      <c r="BF1240" s="418" t="str">
        <f t="shared" si="2126"/>
        <v/>
      </c>
      <c r="BG1240" s="418" t="str">
        <f t="shared" si="2127"/>
        <v/>
      </c>
      <c r="BH1240" s="418" t="str">
        <f t="shared" si="2128"/>
        <v/>
      </c>
      <c r="BI1240" s="418" t="str">
        <f t="shared" si="2129"/>
        <v/>
      </c>
      <c r="BJ1240" s="418" t="str">
        <f t="shared" si="2130"/>
        <v/>
      </c>
      <c r="BK1240" s="418" t="str">
        <f t="shared" si="2131"/>
        <v/>
      </c>
      <c r="BL1240" s="418" t="str">
        <f t="shared" si="2132"/>
        <v/>
      </c>
      <c r="BM1240" s="418" t="str">
        <f t="shared" si="2133"/>
        <v/>
      </c>
      <c r="BN1240" s="418" t="str">
        <f t="shared" si="2134"/>
        <v/>
      </c>
      <c r="BO1240" s="418" t="str">
        <f t="shared" si="2135"/>
        <v/>
      </c>
      <c r="BP1240" s="418" t="str">
        <f t="shared" si="2136"/>
        <v/>
      </c>
      <c r="BQ1240" s="418" t="str">
        <f t="shared" si="2137"/>
        <v/>
      </c>
      <c r="BR1240" s="418" t="str">
        <f t="shared" si="2138"/>
        <v/>
      </c>
      <c r="BS1240" s="418" t="str">
        <f t="shared" si="2139"/>
        <v/>
      </c>
      <c r="BT1240" s="418" t="str">
        <f t="shared" si="2140"/>
        <v/>
      </c>
      <c r="BU1240" s="418" t="str">
        <f t="shared" si="2141"/>
        <v/>
      </c>
      <c r="BV1240" s="624">
        <v>0.9</v>
      </c>
      <c r="BW1240" s="723">
        <f t="shared" si="2142"/>
        <v>1440</v>
      </c>
      <c r="BX1240" s="724">
        <f t="shared" si="2143"/>
        <v>11160</v>
      </c>
      <c r="BY1240" s="725" t="str">
        <f t="shared" si="2144"/>
        <v>SR</v>
      </c>
    </row>
    <row r="1241" s="697" customFormat="1" customHeight="1" spans="1:77">
      <c r="A1241" s="362">
        <v>46239</v>
      </c>
      <c r="B1241" s="362">
        <v>46308</v>
      </c>
      <c r="C1241" s="431" t="s">
        <v>1097</v>
      </c>
      <c r="D1241" s="431" t="s">
        <v>1098</v>
      </c>
      <c r="E1241" s="431" t="s">
        <v>95</v>
      </c>
      <c r="F1241" s="96">
        <v>720</v>
      </c>
      <c r="G1241" s="431" t="s">
        <v>510</v>
      </c>
      <c r="H1241" s="118" t="str">
        <f>IFERROR(VLOOKUP(E1241,名称!A:E,4,0),"")</f>
        <v>三代</v>
      </c>
      <c r="I1241" s="418" t="str">
        <f t="shared" si="2077"/>
        <v/>
      </c>
      <c r="J1241" s="418" t="str">
        <f t="shared" si="2078"/>
        <v/>
      </c>
      <c r="K1241" s="418" t="str">
        <f t="shared" si="2079"/>
        <v/>
      </c>
      <c r="L1241" s="418" t="str">
        <f t="shared" si="2080"/>
        <v/>
      </c>
      <c r="M1241" s="418" t="str">
        <f t="shared" si="2081"/>
        <v/>
      </c>
      <c r="N1241" s="418" t="str">
        <f t="shared" si="2082"/>
        <v/>
      </c>
      <c r="O1241" s="418" t="str">
        <f t="shared" si="2083"/>
        <v/>
      </c>
      <c r="P1241" s="418" t="str">
        <f t="shared" si="2084"/>
        <v/>
      </c>
      <c r="Q1241" s="418" t="str">
        <f t="shared" si="2085"/>
        <v/>
      </c>
      <c r="R1241" s="418" t="str">
        <f t="shared" si="2086"/>
        <v/>
      </c>
      <c r="S1241" s="418" t="str">
        <f t="shared" si="2087"/>
        <v/>
      </c>
      <c r="T1241" s="418" t="str">
        <f t="shared" si="2088"/>
        <v/>
      </c>
      <c r="U1241" s="418" t="str">
        <f t="shared" si="2089"/>
        <v/>
      </c>
      <c r="V1241" s="418" t="str">
        <f t="shared" si="2090"/>
        <v/>
      </c>
      <c r="W1241" s="418" t="str">
        <f t="shared" si="2091"/>
        <v/>
      </c>
      <c r="X1241" s="418" t="str">
        <f t="shared" si="2092"/>
        <v/>
      </c>
      <c r="Y1241" s="418" t="str">
        <f t="shared" si="2093"/>
        <v/>
      </c>
      <c r="Z1241" s="418" t="str">
        <f t="shared" si="2094"/>
        <v/>
      </c>
      <c r="AA1241" s="418" t="str">
        <f t="shared" si="2095"/>
        <v/>
      </c>
      <c r="AB1241" s="418" t="str">
        <f t="shared" si="2096"/>
        <v/>
      </c>
      <c r="AC1241" s="418" t="str">
        <f t="shared" si="2097"/>
        <v/>
      </c>
      <c r="AD1241" s="418" t="str">
        <f t="shared" si="2098"/>
        <v/>
      </c>
      <c r="AE1241" s="418" t="str">
        <f t="shared" si="2099"/>
        <v/>
      </c>
      <c r="AF1241" s="418" t="str">
        <f t="shared" si="2100"/>
        <v/>
      </c>
      <c r="AG1241" s="418" t="str">
        <f t="shared" si="2101"/>
        <v/>
      </c>
      <c r="AH1241" s="418" t="str">
        <f t="shared" si="2102"/>
        <v/>
      </c>
      <c r="AI1241" s="418" t="str">
        <f t="shared" si="2103"/>
        <v/>
      </c>
      <c r="AJ1241" s="418" t="str">
        <f t="shared" si="2104"/>
        <v/>
      </c>
      <c r="AK1241" s="418" t="str">
        <f t="shared" si="2105"/>
        <v/>
      </c>
      <c r="AL1241" s="418" t="str">
        <f t="shared" si="2106"/>
        <v/>
      </c>
      <c r="AM1241" s="418" t="str">
        <f t="shared" si="2107"/>
        <v/>
      </c>
      <c r="AN1241" s="418" t="str">
        <f t="shared" si="2108"/>
        <v/>
      </c>
      <c r="AO1241" s="418" t="str">
        <f t="shared" si="2109"/>
        <v/>
      </c>
      <c r="AP1241" s="418" t="str">
        <f t="shared" si="2110"/>
        <v/>
      </c>
      <c r="AQ1241" s="418" t="str">
        <f t="shared" si="2111"/>
        <v/>
      </c>
      <c r="AR1241" s="418" t="str">
        <f t="shared" si="2112"/>
        <v/>
      </c>
      <c r="AS1241" s="418" t="str">
        <f t="shared" si="2113"/>
        <v/>
      </c>
      <c r="AT1241" s="418" t="str">
        <f t="shared" si="2114"/>
        <v/>
      </c>
      <c r="AU1241" s="418" t="str">
        <f t="shared" si="2115"/>
        <v/>
      </c>
      <c r="AV1241" s="418" t="str">
        <f t="shared" si="2116"/>
        <v/>
      </c>
      <c r="AW1241" s="418" t="str">
        <f t="shared" si="2117"/>
        <v/>
      </c>
      <c r="AX1241" s="418" t="str">
        <f t="shared" si="2118"/>
        <v/>
      </c>
      <c r="AY1241" s="418" t="str">
        <f t="shared" si="2119"/>
        <v/>
      </c>
      <c r="AZ1241" s="418">
        <f t="shared" si="2120"/>
        <v>720</v>
      </c>
      <c r="BA1241" s="418" t="str">
        <f t="shared" si="2121"/>
        <v/>
      </c>
      <c r="BB1241" s="418" t="str">
        <f t="shared" si="2122"/>
        <v/>
      </c>
      <c r="BC1241" s="418" t="str">
        <f t="shared" si="2123"/>
        <v/>
      </c>
      <c r="BD1241" s="418" t="str">
        <f t="shared" si="2124"/>
        <v/>
      </c>
      <c r="BE1241" s="418" t="str">
        <f t="shared" si="2125"/>
        <v/>
      </c>
      <c r="BF1241" s="418" t="str">
        <f t="shared" si="2126"/>
        <v/>
      </c>
      <c r="BG1241" s="418" t="str">
        <f t="shared" si="2127"/>
        <v/>
      </c>
      <c r="BH1241" s="418" t="str">
        <f t="shared" si="2128"/>
        <v/>
      </c>
      <c r="BI1241" s="418" t="str">
        <f t="shared" si="2129"/>
        <v/>
      </c>
      <c r="BJ1241" s="418" t="str">
        <f t="shared" si="2130"/>
        <v/>
      </c>
      <c r="BK1241" s="418" t="str">
        <f t="shared" si="2131"/>
        <v/>
      </c>
      <c r="BL1241" s="418" t="str">
        <f t="shared" si="2132"/>
        <v/>
      </c>
      <c r="BM1241" s="418" t="str">
        <f t="shared" si="2133"/>
        <v/>
      </c>
      <c r="BN1241" s="418" t="str">
        <f t="shared" si="2134"/>
        <v/>
      </c>
      <c r="BO1241" s="418" t="str">
        <f t="shared" si="2135"/>
        <v/>
      </c>
      <c r="BP1241" s="418" t="str">
        <f t="shared" si="2136"/>
        <v/>
      </c>
      <c r="BQ1241" s="418" t="str">
        <f t="shared" si="2137"/>
        <v/>
      </c>
      <c r="BR1241" s="418" t="str">
        <f t="shared" si="2138"/>
        <v/>
      </c>
      <c r="BS1241" s="418" t="str">
        <f t="shared" si="2139"/>
        <v/>
      </c>
      <c r="BT1241" s="418" t="str">
        <f t="shared" si="2140"/>
        <v/>
      </c>
      <c r="BU1241" s="418" t="str">
        <f t="shared" si="2141"/>
        <v/>
      </c>
      <c r="BV1241" s="624">
        <v>3.12</v>
      </c>
      <c r="BW1241" s="723">
        <f t="shared" si="2142"/>
        <v>2246.4</v>
      </c>
      <c r="BX1241" s="724">
        <f t="shared" si="2143"/>
        <v>17409.6</v>
      </c>
      <c r="BY1241" s="725" t="str">
        <f t="shared" si="2144"/>
        <v>SR</v>
      </c>
    </row>
    <row r="1242" s="697" customFormat="1" customHeight="1" spans="1:77">
      <c r="A1242" s="362">
        <v>46239</v>
      </c>
      <c r="B1242" s="362">
        <v>46308</v>
      </c>
      <c r="C1242" s="431" t="s">
        <v>1097</v>
      </c>
      <c r="D1242" s="431" t="s">
        <v>1098</v>
      </c>
      <c r="E1242" s="431" t="s">
        <v>179</v>
      </c>
      <c r="F1242" s="96">
        <v>2400</v>
      </c>
      <c r="G1242" s="431" t="s">
        <v>510</v>
      </c>
      <c r="H1242" s="118" t="str">
        <f>IFERROR(VLOOKUP(E1242,名称!A:E,4,0),"")</f>
        <v>三代</v>
      </c>
      <c r="I1242" s="418" t="str">
        <f t="shared" si="2077"/>
        <v/>
      </c>
      <c r="J1242" s="418" t="str">
        <f t="shared" si="2078"/>
        <v/>
      </c>
      <c r="K1242" s="418" t="str">
        <f t="shared" si="2079"/>
        <v/>
      </c>
      <c r="L1242" s="418" t="str">
        <f t="shared" si="2080"/>
        <v/>
      </c>
      <c r="M1242" s="418" t="str">
        <f t="shared" si="2081"/>
        <v/>
      </c>
      <c r="N1242" s="418" t="str">
        <f t="shared" si="2082"/>
        <v/>
      </c>
      <c r="O1242" s="418" t="str">
        <f t="shared" si="2083"/>
        <v/>
      </c>
      <c r="P1242" s="418" t="str">
        <f t="shared" si="2084"/>
        <v/>
      </c>
      <c r="Q1242" s="418" t="str">
        <f t="shared" si="2085"/>
        <v/>
      </c>
      <c r="R1242" s="418" t="str">
        <f t="shared" si="2086"/>
        <v/>
      </c>
      <c r="S1242" s="418" t="str">
        <f t="shared" si="2087"/>
        <v/>
      </c>
      <c r="T1242" s="418" t="str">
        <f t="shared" si="2088"/>
        <v/>
      </c>
      <c r="U1242" s="418" t="str">
        <f t="shared" si="2089"/>
        <v/>
      </c>
      <c r="V1242" s="418" t="str">
        <f t="shared" si="2090"/>
        <v/>
      </c>
      <c r="W1242" s="418" t="str">
        <f t="shared" si="2091"/>
        <v/>
      </c>
      <c r="X1242" s="418" t="str">
        <f t="shared" si="2092"/>
        <v/>
      </c>
      <c r="Y1242" s="418" t="str">
        <f t="shared" si="2093"/>
        <v/>
      </c>
      <c r="Z1242" s="418" t="str">
        <f t="shared" si="2094"/>
        <v/>
      </c>
      <c r="AA1242" s="418" t="str">
        <f t="shared" si="2095"/>
        <v/>
      </c>
      <c r="AB1242" s="418" t="str">
        <f t="shared" si="2096"/>
        <v/>
      </c>
      <c r="AC1242" s="418" t="str">
        <f t="shared" si="2097"/>
        <v/>
      </c>
      <c r="AD1242" s="418" t="str">
        <f t="shared" si="2098"/>
        <v/>
      </c>
      <c r="AE1242" s="418" t="str">
        <f t="shared" si="2099"/>
        <v/>
      </c>
      <c r="AF1242" s="418" t="str">
        <f t="shared" si="2100"/>
        <v/>
      </c>
      <c r="AG1242" s="418" t="str">
        <f t="shared" si="2101"/>
        <v/>
      </c>
      <c r="AH1242" s="418" t="str">
        <f t="shared" si="2102"/>
        <v/>
      </c>
      <c r="AI1242" s="418" t="str">
        <f t="shared" si="2103"/>
        <v/>
      </c>
      <c r="AJ1242" s="418" t="str">
        <f t="shared" si="2104"/>
        <v/>
      </c>
      <c r="AK1242" s="418" t="str">
        <f t="shared" si="2105"/>
        <v/>
      </c>
      <c r="AL1242" s="418" t="str">
        <f t="shared" si="2106"/>
        <v/>
      </c>
      <c r="AM1242" s="418" t="str">
        <f t="shared" si="2107"/>
        <v/>
      </c>
      <c r="AN1242" s="418" t="str">
        <f t="shared" si="2108"/>
        <v/>
      </c>
      <c r="AO1242" s="418">
        <f t="shared" si="2109"/>
        <v>2400</v>
      </c>
      <c r="AP1242" s="418" t="str">
        <f t="shared" si="2110"/>
        <v/>
      </c>
      <c r="AQ1242" s="418" t="str">
        <f t="shared" si="2111"/>
        <v/>
      </c>
      <c r="AR1242" s="418" t="str">
        <f t="shared" si="2112"/>
        <v/>
      </c>
      <c r="AS1242" s="418" t="str">
        <f t="shared" si="2113"/>
        <v/>
      </c>
      <c r="AT1242" s="418" t="str">
        <f t="shared" si="2114"/>
        <v/>
      </c>
      <c r="AU1242" s="418" t="str">
        <f t="shared" si="2115"/>
        <v/>
      </c>
      <c r="AV1242" s="418" t="str">
        <f t="shared" si="2116"/>
        <v/>
      </c>
      <c r="AW1242" s="418" t="str">
        <f t="shared" si="2117"/>
        <v/>
      </c>
      <c r="AX1242" s="418" t="str">
        <f t="shared" si="2118"/>
        <v/>
      </c>
      <c r="AY1242" s="418" t="str">
        <f t="shared" si="2119"/>
        <v/>
      </c>
      <c r="AZ1242" s="418" t="str">
        <f t="shared" si="2120"/>
        <v/>
      </c>
      <c r="BA1242" s="418" t="str">
        <f t="shared" si="2121"/>
        <v/>
      </c>
      <c r="BB1242" s="418" t="str">
        <f t="shared" si="2122"/>
        <v/>
      </c>
      <c r="BC1242" s="418" t="str">
        <f t="shared" si="2123"/>
        <v/>
      </c>
      <c r="BD1242" s="418" t="str">
        <f t="shared" si="2124"/>
        <v/>
      </c>
      <c r="BE1242" s="418" t="str">
        <f t="shared" si="2125"/>
        <v/>
      </c>
      <c r="BF1242" s="418" t="str">
        <f t="shared" si="2126"/>
        <v/>
      </c>
      <c r="BG1242" s="418" t="str">
        <f t="shared" si="2127"/>
        <v/>
      </c>
      <c r="BH1242" s="418" t="str">
        <f t="shared" si="2128"/>
        <v/>
      </c>
      <c r="BI1242" s="418" t="str">
        <f t="shared" si="2129"/>
        <v/>
      </c>
      <c r="BJ1242" s="418" t="str">
        <f t="shared" si="2130"/>
        <v/>
      </c>
      <c r="BK1242" s="418" t="str">
        <f t="shared" si="2131"/>
        <v/>
      </c>
      <c r="BL1242" s="418" t="str">
        <f t="shared" si="2132"/>
        <v/>
      </c>
      <c r="BM1242" s="418" t="str">
        <f t="shared" si="2133"/>
        <v/>
      </c>
      <c r="BN1242" s="418" t="str">
        <f t="shared" si="2134"/>
        <v/>
      </c>
      <c r="BO1242" s="418" t="str">
        <f t="shared" si="2135"/>
        <v/>
      </c>
      <c r="BP1242" s="418" t="str">
        <f t="shared" si="2136"/>
        <v/>
      </c>
      <c r="BQ1242" s="418" t="str">
        <f t="shared" si="2137"/>
        <v/>
      </c>
      <c r="BR1242" s="418" t="str">
        <f t="shared" si="2138"/>
        <v/>
      </c>
      <c r="BS1242" s="418" t="str">
        <f t="shared" si="2139"/>
        <v/>
      </c>
      <c r="BT1242" s="418" t="str">
        <f t="shared" si="2140"/>
        <v/>
      </c>
      <c r="BU1242" s="418" t="str">
        <f t="shared" si="2141"/>
        <v/>
      </c>
      <c r="BV1242" s="624">
        <v>0.65</v>
      </c>
      <c r="BW1242" s="723">
        <f t="shared" si="2142"/>
        <v>1560</v>
      </c>
      <c r="BX1242" s="724">
        <f t="shared" si="2143"/>
        <v>12090</v>
      </c>
      <c r="BY1242" s="725" t="str">
        <f t="shared" si="2144"/>
        <v>SR</v>
      </c>
    </row>
    <row r="1243" s="697" customFormat="1" customHeight="1" spans="1:77">
      <c r="A1243" s="362">
        <v>46240</v>
      </c>
      <c r="B1243" s="362">
        <v>46360</v>
      </c>
      <c r="C1243" s="431" t="s">
        <v>1099</v>
      </c>
      <c r="D1243" s="431" t="s">
        <v>1100</v>
      </c>
      <c r="E1243" s="431" t="s">
        <v>59</v>
      </c>
      <c r="F1243" s="96">
        <v>20016</v>
      </c>
      <c r="G1243" s="431" t="s">
        <v>270</v>
      </c>
      <c r="H1243" s="118" t="str">
        <f>IFERROR(VLOOKUP(E1243,名称!A:E,4,0),"")</f>
        <v>三代</v>
      </c>
      <c r="I1243" s="418" t="str">
        <f t="shared" si="2077"/>
        <v/>
      </c>
      <c r="J1243" s="418" t="str">
        <f t="shared" si="2078"/>
        <v/>
      </c>
      <c r="K1243" s="418" t="str">
        <f t="shared" si="2079"/>
        <v/>
      </c>
      <c r="L1243" s="418" t="str">
        <f t="shared" si="2080"/>
        <v/>
      </c>
      <c r="M1243" s="418" t="str">
        <f t="shared" si="2081"/>
        <v/>
      </c>
      <c r="N1243" s="418" t="str">
        <f t="shared" si="2082"/>
        <v/>
      </c>
      <c r="O1243" s="418" t="str">
        <f t="shared" si="2083"/>
        <v/>
      </c>
      <c r="P1243" s="418" t="str">
        <f t="shared" si="2084"/>
        <v/>
      </c>
      <c r="Q1243" s="418" t="str">
        <f t="shared" si="2085"/>
        <v/>
      </c>
      <c r="R1243" s="418" t="str">
        <f t="shared" si="2086"/>
        <v/>
      </c>
      <c r="S1243" s="418" t="str">
        <f t="shared" si="2087"/>
        <v/>
      </c>
      <c r="T1243" s="418" t="str">
        <f t="shared" si="2088"/>
        <v/>
      </c>
      <c r="U1243" s="418" t="str">
        <f t="shared" si="2089"/>
        <v/>
      </c>
      <c r="V1243" s="418" t="str">
        <f t="shared" si="2090"/>
        <v/>
      </c>
      <c r="W1243" s="418" t="str">
        <f t="shared" si="2091"/>
        <v/>
      </c>
      <c r="X1243" s="418" t="str">
        <f t="shared" si="2092"/>
        <v/>
      </c>
      <c r="Y1243" s="418" t="str">
        <f t="shared" si="2093"/>
        <v/>
      </c>
      <c r="Z1243" s="418" t="str">
        <f t="shared" si="2094"/>
        <v/>
      </c>
      <c r="AA1243" s="418" t="str">
        <f t="shared" si="2095"/>
        <v/>
      </c>
      <c r="AB1243" s="418" t="str">
        <f t="shared" si="2096"/>
        <v/>
      </c>
      <c r="AC1243" s="418" t="str">
        <f t="shared" si="2097"/>
        <v/>
      </c>
      <c r="AD1243" s="418">
        <f t="shared" si="2098"/>
        <v>20016</v>
      </c>
      <c r="AE1243" s="418" t="str">
        <f t="shared" si="2099"/>
        <v/>
      </c>
      <c r="AF1243" s="418" t="str">
        <f t="shared" si="2100"/>
        <v/>
      </c>
      <c r="AG1243" s="418" t="str">
        <f t="shared" si="2101"/>
        <v/>
      </c>
      <c r="AH1243" s="418" t="str">
        <f t="shared" si="2102"/>
        <v/>
      </c>
      <c r="AI1243" s="418" t="str">
        <f t="shared" si="2103"/>
        <v/>
      </c>
      <c r="AJ1243" s="418" t="str">
        <f t="shared" si="2104"/>
        <v/>
      </c>
      <c r="AK1243" s="418" t="str">
        <f t="shared" si="2105"/>
        <v/>
      </c>
      <c r="AL1243" s="418" t="str">
        <f t="shared" si="2106"/>
        <v/>
      </c>
      <c r="AM1243" s="418" t="str">
        <f t="shared" si="2107"/>
        <v/>
      </c>
      <c r="AN1243" s="418" t="str">
        <f t="shared" si="2108"/>
        <v/>
      </c>
      <c r="AO1243" s="418" t="str">
        <f t="shared" si="2109"/>
        <v/>
      </c>
      <c r="AP1243" s="418" t="str">
        <f t="shared" si="2110"/>
        <v/>
      </c>
      <c r="AQ1243" s="418" t="str">
        <f t="shared" si="2111"/>
        <v/>
      </c>
      <c r="AR1243" s="418" t="str">
        <f t="shared" si="2112"/>
        <v/>
      </c>
      <c r="AS1243" s="418" t="str">
        <f t="shared" si="2113"/>
        <v/>
      </c>
      <c r="AT1243" s="418" t="str">
        <f t="shared" si="2114"/>
        <v/>
      </c>
      <c r="AU1243" s="418" t="str">
        <f t="shared" si="2115"/>
        <v/>
      </c>
      <c r="AV1243" s="418" t="str">
        <f t="shared" si="2116"/>
        <v/>
      </c>
      <c r="AW1243" s="418" t="str">
        <f t="shared" si="2117"/>
        <v/>
      </c>
      <c r="AX1243" s="418" t="str">
        <f t="shared" si="2118"/>
        <v/>
      </c>
      <c r="AY1243" s="418" t="str">
        <f t="shared" si="2119"/>
        <v/>
      </c>
      <c r="AZ1243" s="418" t="str">
        <f t="shared" si="2120"/>
        <v/>
      </c>
      <c r="BA1243" s="418" t="str">
        <f t="shared" si="2121"/>
        <v/>
      </c>
      <c r="BB1243" s="418" t="str">
        <f t="shared" si="2122"/>
        <v/>
      </c>
      <c r="BC1243" s="418" t="str">
        <f t="shared" si="2123"/>
        <v/>
      </c>
      <c r="BD1243" s="418" t="str">
        <f t="shared" si="2124"/>
        <v/>
      </c>
      <c r="BE1243" s="418" t="str">
        <f t="shared" si="2125"/>
        <v/>
      </c>
      <c r="BF1243" s="418" t="str">
        <f t="shared" si="2126"/>
        <v/>
      </c>
      <c r="BG1243" s="418" t="str">
        <f t="shared" si="2127"/>
        <v/>
      </c>
      <c r="BH1243" s="418" t="str">
        <f t="shared" si="2128"/>
        <v/>
      </c>
      <c r="BI1243" s="418" t="str">
        <f t="shared" si="2129"/>
        <v/>
      </c>
      <c r="BJ1243" s="418" t="str">
        <f t="shared" si="2130"/>
        <v/>
      </c>
      <c r="BK1243" s="418" t="str">
        <f t="shared" si="2131"/>
        <v/>
      </c>
      <c r="BL1243" s="418" t="str">
        <f t="shared" si="2132"/>
        <v/>
      </c>
      <c r="BM1243" s="418" t="str">
        <f t="shared" si="2133"/>
        <v/>
      </c>
      <c r="BN1243" s="418" t="str">
        <f t="shared" si="2134"/>
        <v/>
      </c>
      <c r="BO1243" s="418" t="str">
        <f t="shared" si="2135"/>
        <v/>
      </c>
      <c r="BP1243" s="418" t="str">
        <f t="shared" si="2136"/>
        <v/>
      </c>
      <c r="BQ1243" s="418" t="str">
        <f t="shared" si="2137"/>
        <v/>
      </c>
      <c r="BR1243" s="418" t="str">
        <f t="shared" si="2138"/>
        <v/>
      </c>
      <c r="BS1243" s="418" t="str">
        <f t="shared" si="2139"/>
        <v/>
      </c>
      <c r="BT1243" s="418" t="str">
        <f t="shared" si="2140"/>
        <v/>
      </c>
      <c r="BU1243" s="418" t="str">
        <f t="shared" si="2141"/>
        <v/>
      </c>
      <c r="BV1243" s="624">
        <v>0.62</v>
      </c>
      <c r="BW1243" s="723">
        <f t="shared" si="2142"/>
        <v>12409.92</v>
      </c>
      <c r="BX1243" s="724">
        <f t="shared" si="2143"/>
        <v>96176.88</v>
      </c>
      <c r="BY1243" s="725" t="str">
        <f t="shared" si="2144"/>
        <v>SR</v>
      </c>
    </row>
    <row r="1244" s="697" customFormat="1" customHeight="1" spans="1:77">
      <c r="A1244" s="362">
        <v>46240</v>
      </c>
      <c r="B1244" s="362">
        <v>46374</v>
      </c>
      <c r="C1244" s="431" t="s">
        <v>1101</v>
      </c>
      <c r="D1244" s="431" t="s">
        <v>1102</v>
      </c>
      <c r="E1244" s="431" t="s">
        <v>59</v>
      </c>
      <c r="F1244" s="96">
        <v>20016</v>
      </c>
      <c r="G1244" s="431" t="s">
        <v>270</v>
      </c>
      <c r="H1244" s="118" t="str">
        <f>IFERROR(VLOOKUP(E1244,名称!A:E,4,0),"")</f>
        <v>三代</v>
      </c>
      <c r="I1244" s="418" t="str">
        <f t="shared" si="2077"/>
        <v/>
      </c>
      <c r="J1244" s="418" t="str">
        <f t="shared" si="2078"/>
        <v/>
      </c>
      <c r="K1244" s="418" t="str">
        <f t="shared" si="2079"/>
        <v/>
      </c>
      <c r="L1244" s="418" t="str">
        <f t="shared" si="2080"/>
        <v/>
      </c>
      <c r="M1244" s="418" t="str">
        <f t="shared" si="2081"/>
        <v/>
      </c>
      <c r="N1244" s="418" t="str">
        <f t="shared" si="2082"/>
        <v/>
      </c>
      <c r="O1244" s="418" t="str">
        <f t="shared" si="2083"/>
        <v/>
      </c>
      <c r="P1244" s="418" t="str">
        <f t="shared" si="2084"/>
        <v/>
      </c>
      <c r="Q1244" s="418" t="str">
        <f t="shared" si="2085"/>
        <v/>
      </c>
      <c r="R1244" s="418" t="str">
        <f t="shared" si="2086"/>
        <v/>
      </c>
      <c r="S1244" s="418" t="str">
        <f t="shared" si="2087"/>
        <v/>
      </c>
      <c r="T1244" s="418" t="str">
        <f t="shared" si="2088"/>
        <v/>
      </c>
      <c r="U1244" s="418" t="str">
        <f t="shared" si="2089"/>
        <v/>
      </c>
      <c r="V1244" s="418" t="str">
        <f t="shared" si="2090"/>
        <v/>
      </c>
      <c r="W1244" s="418" t="str">
        <f t="shared" si="2091"/>
        <v/>
      </c>
      <c r="X1244" s="418" t="str">
        <f t="shared" si="2092"/>
        <v/>
      </c>
      <c r="Y1244" s="418" t="str">
        <f t="shared" si="2093"/>
        <v/>
      </c>
      <c r="Z1244" s="418" t="str">
        <f t="shared" si="2094"/>
        <v/>
      </c>
      <c r="AA1244" s="418" t="str">
        <f t="shared" si="2095"/>
        <v/>
      </c>
      <c r="AB1244" s="418" t="str">
        <f t="shared" si="2096"/>
        <v/>
      </c>
      <c r="AC1244" s="418" t="str">
        <f t="shared" si="2097"/>
        <v/>
      </c>
      <c r="AD1244" s="418">
        <f t="shared" si="2098"/>
        <v>20016</v>
      </c>
      <c r="AE1244" s="418" t="str">
        <f t="shared" si="2099"/>
        <v/>
      </c>
      <c r="AF1244" s="418" t="str">
        <f t="shared" si="2100"/>
        <v/>
      </c>
      <c r="AG1244" s="418" t="str">
        <f t="shared" si="2101"/>
        <v/>
      </c>
      <c r="AH1244" s="418" t="str">
        <f t="shared" si="2102"/>
        <v/>
      </c>
      <c r="AI1244" s="418" t="str">
        <f t="shared" si="2103"/>
        <v/>
      </c>
      <c r="AJ1244" s="418" t="str">
        <f t="shared" si="2104"/>
        <v/>
      </c>
      <c r="AK1244" s="418" t="str">
        <f t="shared" si="2105"/>
        <v/>
      </c>
      <c r="AL1244" s="418" t="str">
        <f t="shared" si="2106"/>
        <v/>
      </c>
      <c r="AM1244" s="418" t="str">
        <f t="shared" si="2107"/>
        <v/>
      </c>
      <c r="AN1244" s="418" t="str">
        <f t="shared" si="2108"/>
        <v/>
      </c>
      <c r="AO1244" s="418" t="str">
        <f t="shared" si="2109"/>
        <v/>
      </c>
      <c r="AP1244" s="418" t="str">
        <f t="shared" si="2110"/>
        <v/>
      </c>
      <c r="AQ1244" s="418" t="str">
        <f t="shared" si="2111"/>
        <v/>
      </c>
      <c r="AR1244" s="418" t="str">
        <f t="shared" si="2112"/>
        <v/>
      </c>
      <c r="AS1244" s="418" t="str">
        <f t="shared" si="2113"/>
        <v/>
      </c>
      <c r="AT1244" s="418" t="str">
        <f t="shared" si="2114"/>
        <v/>
      </c>
      <c r="AU1244" s="418" t="str">
        <f t="shared" si="2115"/>
        <v/>
      </c>
      <c r="AV1244" s="418" t="str">
        <f t="shared" si="2116"/>
        <v/>
      </c>
      <c r="AW1244" s="418" t="str">
        <f t="shared" si="2117"/>
        <v/>
      </c>
      <c r="AX1244" s="418" t="str">
        <f t="shared" si="2118"/>
        <v/>
      </c>
      <c r="AY1244" s="418" t="str">
        <f t="shared" si="2119"/>
        <v/>
      </c>
      <c r="AZ1244" s="418" t="str">
        <f t="shared" si="2120"/>
        <v/>
      </c>
      <c r="BA1244" s="418" t="str">
        <f t="shared" si="2121"/>
        <v/>
      </c>
      <c r="BB1244" s="418" t="str">
        <f t="shared" si="2122"/>
        <v/>
      </c>
      <c r="BC1244" s="418" t="str">
        <f t="shared" si="2123"/>
        <v/>
      </c>
      <c r="BD1244" s="418" t="str">
        <f t="shared" si="2124"/>
        <v/>
      </c>
      <c r="BE1244" s="418" t="str">
        <f t="shared" si="2125"/>
        <v/>
      </c>
      <c r="BF1244" s="418" t="str">
        <f t="shared" si="2126"/>
        <v/>
      </c>
      <c r="BG1244" s="418" t="str">
        <f t="shared" si="2127"/>
        <v/>
      </c>
      <c r="BH1244" s="418" t="str">
        <f t="shared" si="2128"/>
        <v/>
      </c>
      <c r="BI1244" s="418" t="str">
        <f t="shared" si="2129"/>
        <v/>
      </c>
      <c r="BJ1244" s="418" t="str">
        <f t="shared" si="2130"/>
        <v/>
      </c>
      <c r="BK1244" s="418" t="str">
        <f t="shared" si="2131"/>
        <v/>
      </c>
      <c r="BL1244" s="418" t="str">
        <f t="shared" si="2132"/>
        <v/>
      </c>
      <c r="BM1244" s="418" t="str">
        <f t="shared" si="2133"/>
        <v/>
      </c>
      <c r="BN1244" s="418" t="str">
        <f t="shared" si="2134"/>
        <v/>
      </c>
      <c r="BO1244" s="418" t="str">
        <f t="shared" si="2135"/>
        <v/>
      </c>
      <c r="BP1244" s="418" t="str">
        <f t="shared" si="2136"/>
        <v/>
      </c>
      <c r="BQ1244" s="418" t="str">
        <f t="shared" si="2137"/>
        <v/>
      </c>
      <c r="BR1244" s="418" t="str">
        <f t="shared" si="2138"/>
        <v/>
      </c>
      <c r="BS1244" s="418" t="str">
        <f t="shared" si="2139"/>
        <v/>
      </c>
      <c r="BT1244" s="418" t="str">
        <f t="shared" si="2140"/>
        <v/>
      </c>
      <c r="BU1244" s="418" t="str">
        <f t="shared" si="2141"/>
        <v/>
      </c>
      <c r="BV1244" s="624">
        <v>0.62</v>
      </c>
      <c r="BW1244" s="723">
        <f t="shared" si="2142"/>
        <v>12409.92</v>
      </c>
      <c r="BX1244" s="724">
        <f t="shared" si="2143"/>
        <v>96176.88</v>
      </c>
      <c r="BY1244" s="725" t="str">
        <f t="shared" si="2144"/>
        <v>SR</v>
      </c>
    </row>
    <row r="1245" s="697" customFormat="1" customHeight="1" spans="1:77">
      <c r="A1245" s="362">
        <v>46240</v>
      </c>
      <c r="B1245" s="362">
        <v>46356</v>
      </c>
      <c r="C1245" s="431" t="s">
        <v>1103</v>
      </c>
      <c r="D1245" s="431" t="s">
        <v>1104</v>
      </c>
      <c r="E1245" s="431" t="s">
        <v>199</v>
      </c>
      <c r="F1245" s="96">
        <v>30000</v>
      </c>
      <c r="G1245" s="431" t="s">
        <v>270</v>
      </c>
      <c r="H1245" s="118" t="str">
        <f>IFERROR(VLOOKUP(E1245,名称!A:E,4,0),"")</f>
        <v>三代</v>
      </c>
      <c r="I1245" s="418" t="str">
        <f t="shared" si="2077"/>
        <v/>
      </c>
      <c r="J1245" s="418" t="str">
        <f t="shared" si="2078"/>
        <v/>
      </c>
      <c r="K1245" s="418" t="str">
        <f t="shared" si="2079"/>
        <v/>
      </c>
      <c r="L1245" s="418" t="str">
        <f t="shared" si="2080"/>
        <v/>
      </c>
      <c r="M1245" s="418" t="str">
        <f t="shared" si="2081"/>
        <v/>
      </c>
      <c r="N1245" s="418" t="str">
        <f t="shared" si="2082"/>
        <v/>
      </c>
      <c r="O1245" s="418" t="str">
        <f t="shared" si="2083"/>
        <v/>
      </c>
      <c r="P1245" s="418" t="str">
        <f t="shared" si="2084"/>
        <v/>
      </c>
      <c r="Q1245" s="418" t="str">
        <f t="shared" si="2085"/>
        <v/>
      </c>
      <c r="R1245" s="418" t="str">
        <f t="shared" si="2086"/>
        <v/>
      </c>
      <c r="S1245" s="418" t="str">
        <f t="shared" si="2087"/>
        <v/>
      </c>
      <c r="T1245" s="418" t="str">
        <f t="shared" si="2088"/>
        <v/>
      </c>
      <c r="U1245" s="418" t="str">
        <f t="shared" si="2089"/>
        <v/>
      </c>
      <c r="V1245" s="418" t="str">
        <f t="shared" si="2090"/>
        <v/>
      </c>
      <c r="W1245" s="418" t="str">
        <f t="shared" si="2091"/>
        <v/>
      </c>
      <c r="X1245" s="418" t="str">
        <f t="shared" si="2092"/>
        <v/>
      </c>
      <c r="Y1245" s="418" t="str">
        <f t="shared" si="2093"/>
        <v/>
      </c>
      <c r="Z1245" s="418" t="str">
        <f t="shared" si="2094"/>
        <v/>
      </c>
      <c r="AA1245" s="418" t="str">
        <f t="shared" si="2095"/>
        <v/>
      </c>
      <c r="AB1245" s="418" t="str">
        <f t="shared" si="2096"/>
        <v/>
      </c>
      <c r="AC1245" s="418" t="str">
        <f t="shared" si="2097"/>
        <v/>
      </c>
      <c r="AD1245" s="418" t="str">
        <f t="shared" si="2098"/>
        <v/>
      </c>
      <c r="AE1245" s="418" t="str">
        <f t="shared" si="2099"/>
        <v/>
      </c>
      <c r="AF1245" s="418" t="str">
        <f t="shared" si="2100"/>
        <v/>
      </c>
      <c r="AG1245" s="418" t="str">
        <f t="shared" si="2101"/>
        <v/>
      </c>
      <c r="AH1245" s="418" t="str">
        <f t="shared" si="2102"/>
        <v/>
      </c>
      <c r="AI1245" s="418" t="str">
        <f t="shared" si="2103"/>
        <v/>
      </c>
      <c r="AJ1245" s="418" t="str">
        <f t="shared" si="2104"/>
        <v/>
      </c>
      <c r="AK1245" s="418" t="str">
        <f t="shared" si="2105"/>
        <v/>
      </c>
      <c r="AL1245" s="418" t="str">
        <f t="shared" si="2106"/>
        <v/>
      </c>
      <c r="AM1245" s="418" t="str">
        <f t="shared" si="2107"/>
        <v/>
      </c>
      <c r="AN1245" s="418" t="str">
        <f t="shared" si="2108"/>
        <v/>
      </c>
      <c r="AO1245" s="418" t="str">
        <f t="shared" si="2109"/>
        <v/>
      </c>
      <c r="AP1245" s="418" t="str">
        <f t="shared" si="2110"/>
        <v/>
      </c>
      <c r="AQ1245" s="418" t="str">
        <f t="shared" si="2111"/>
        <v/>
      </c>
      <c r="AR1245" s="418" t="str">
        <f t="shared" si="2112"/>
        <v/>
      </c>
      <c r="AS1245" s="418" t="str">
        <f t="shared" si="2113"/>
        <v/>
      </c>
      <c r="AT1245" s="418" t="str">
        <f t="shared" si="2114"/>
        <v/>
      </c>
      <c r="AU1245" s="418" t="str">
        <f t="shared" si="2115"/>
        <v/>
      </c>
      <c r="AV1245" s="418" t="str">
        <f t="shared" si="2116"/>
        <v/>
      </c>
      <c r="AW1245" s="418" t="str">
        <f t="shared" si="2117"/>
        <v/>
      </c>
      <c r="AX1245" s="418" t="str">
        <f t="shared" si="2118"/>
        <v/>
      </c>
      <c r="AY1245" s="418" t="str">
        <f t="shared" si="2119"/>
        <v/>
      </c>
      <c r="AZ1245" s="418" t="str">
        <f t="shared" si="2120"/>
        <v/>
      </c>
      <c r="BA1245" s="418" t="str">
        <f t="shared" si="2121"/>
        <v/>
      </c>
      <c r="BB1245" s="418" t="str">
        <f t="shared" si="2122"/>
        <v/>
      </c>
      <c r="BC1245" s="418" t="str">
        <f t="shared" si="2123"/>
        <v/>
      </c>
      <c r="BD1245" s="418" t="str">
        <f t="shared" si="2124"/>
        <v/>
      </c>
      <c r="BE1245" s="418" t="str">
        <f t="shared" si="2125"/>
        <v/>
      </c>
      <c r="BF1245" s="418" t="str">
        <f t="shared" si="2126"/>
        <v/>
      </c>
      <c r="BG1245" s="418" t="str">
        <f t="shared" si="2127"/>
        <v/>
      </c>
      <c r="BH1245" s="418" t="str">
        <f t="shared" si="2128"/>
        <v/>
      </c>
      <c r="BI1245" s="418" t="str">
        <f t="shared" si="2129"/>
        <v/>
      </c>
      <c r="BJ1245" s="418" t="str">
        <f t="shared" si="2130"/>
        <v/>
      </c>
      <c r="BK1245" s="418" t="str">
        <f t="shared" si="2131"/>
        <v/>
      </c>
      <c r="BL1245" s="418" t="str">
        <f t="shared" si="2132"/>
        <v/>
      </c>
      <c r="BM1245" s="418" t="str">
        <f t="shared" si="2133"/>
        <v/>
      </c>
      <c r="BN1245" s="418" t="str">
        <f t="shared" si="2134"/>
        <v/>
      </c>
      <c r="BO1245" s="418" t="str">
        <f t="shared" si="2135"/>
        <v/>
      </c>
      <c r="BP1245" s="418">
        <f t="shared" si="2136"/>
        <v>30000</v>
      </c>
      <c r="BQ1245" s="418" t="str">
        <f t="shared" si="2137"/>
        <v/>
      </c>
      <c r="BR1245" s="418" t="str">
        <f t="shared" si="2138"/>
        <v/>
      </c>
      <c r="BS1245" s="418" t="str">
        <f t="shared" si="2139"/>
        <v/>
      </c>
      <c r="BT1245" s="418" t="str">
        <f t="shared" si="2140"/>
        <v/>
      </c>
      <c r="BU1245" s="418" t="str">
        <f t="shared" si="2141"/>
        <v/>
      </c>
      <c r="BV1245" s="624">
        <v>0.88</v>
      </c>
      <c r="BW1245" s="723">
        <f t="shared" si="2142"/>
        <v>26400</v>
      </c>
      <c r="BX1245" s="724">
        <f t="shared" si="2143"/>
        <v>204600</v>
      </c>
      <c r="BY1245" s="725" t="str">
        <f t="shared" si="2144"/>
        <v>SR</v>
      </c>
    </row>
    <row r="1246" s="697" customFormat="1" customHeight="1" spans="1:77">
      <c r="A1246" s="362">
        <v>46240</v>
      </c>
      <c r="B1246" s="362">
        <v>46370</v>
      </c>
      <c r="C1246" s="431" t="s">
        <v>1105</v>
      </c>
      <c r="D1246" s="431" t="s">
        <v>1106</v>
      </c>
      <c r="E1246" s="431" t="s">
        <v>199</v>
      </c>
      <c r="F1246" s="96">
        <v>20016</v>
      </c>
      <c r="G1246" s="431" t="s">
        <v>270</v>
      </c>
      <c r="H1246" s="118" t="str">
        <f>IFERROR(VLOOKUP(E1246,名称!A:E,4,0),"")</f>
        <v>三代</v>
      </c>
      <c r="I1246" s="418" t="str">
        <f t="shared" si="2077"/>
        <v/>
      </c>
      <c r="J1246" s="418" t="str">
        <f t="shared" si="2078"/>
        <v/>
      </c>
      <c r="K1246" s="418" t="str">
        <f t="shared" si="2079"/>
        <v/>
      </c>
      <c r="L1246" s="418" t="str">
        <f t="shared" si="2080"/>
        <v/>
      </c>
      <c r="M1246" s="418" t="str">
        <f t="shared" si="2081"/>
        <v/>
      </c>
      <c r="N1246" s="418" t="str">
        <f t="shared" si="2082"/>
        <v/>
      </c>
      <c r="O1246" s="418" t="str">
        <f t="shared" si="2083"/>
        <v/>
      </c>
      <c r="P1246" s="418" t="str">
        <f t="shared" si="2084"/>
        <v/>
      </c>
      <c r="Q1246" s="418" t="str">
        <f t="shared" si="2085"/>
        <v/>
      </c>
      <c r="R1246" s="418" t="str">
        <f t="shared" si="2086"/>
        <v/>
      </c>
      <c r="S1246" s="418" t="str">
        <f t="shared" si="2087"/>
        <v/>
      </c>
      <c r="T1246" s="418" t="str">
        <f t="shared" si="2088"/>
        <v/>
      </c>
      <c r="U1246" s="418" t="str">
        <f t="shared" si="2089"/>
        <v/>
      </c>
      <c r="V1246" s="418" t="str">
        <f t="shared" si="2090"/>
        <v/>
      </c>
      <c r="W1246" s="418" t="str">
        <f t="shared" si="2091"/>
        <v/>
      </c>
      <c r="X1246" s="418" t="str">
        <f t="shared" si="2092"/>
        <v/>
      </c>
      <c r="Y1246" s="418" t="str">
        <f t="shared" si="2093"/>
        <v/>
      </c>
      <c r="Z1246" s="418" t="str">
        <f t="shared" si="2094"/>
        <v/>
      </c>
      <c r="AA1246" s="418" t="str">
        <f t="shared" si="2095"/>
        <v/>
      </c>
      <c r="AB1246" s="418" t="str">
        <f t="shared" si="2096"/>
        <v/>
      </c>
      <c r="AC1246" s="418" t="str">
        <f t="shared" si="2097"/>
        <v/>
      </c>
      <c r="AD1246" s="418" t="str">
        <f t="shared" si="2098"/>
        <v/>
      </c>
      <c r="AE1246" s="418" t="str">
        <f t="shared" si="2099"/>
        <v/>
      </c>
      <c r="AF1246" s="418" t="str">
        <f t="shared" si="2100"/>
        <v/>
      </c>
      <c r="AG1246" s="418" t="str">
        <f t="shared" si="2101"/>
        <v/>
      </c>
      <c r="AH1246" s="418" t="str">
        <f t="shared" si="2102"/>
        <v/>
      </c>
      <c r="AI1246" s="418" t="str">
        <f t="shared" si="2103"/>
        <v/>
      </c>
      <c r="AJ1246" s="418" t="str">
        <f t="shared" si="2104"/>
        <v/>
      </c>
      <c r="AK1246" s="418" t="str">
        <f t="shared" si="2105"/>
        <v/>
      </c>
      <c r="AL1246" s="418" t="str">
        <f t="shared" si="2106"/>
        <v/>
      </c>
      <c r="AM1246" s="418" t="str">
        <f t="shared" si="2107"/>
        <v/>
      </c>
      <c r="AN1246" s="418" t="str">
        <f t="shared" si="2108"/>
        <v/>
      </c>
      <c r="AO1246" s="418" t="str">
        <f t="shared" si="2109"/>
        <v/>
      </c>
      <c r="AP1246" s="418" t="str">
        <f t="shared" si="2110"/>
        <v/>
      </c>
      <c r="AQ1246" s="418" t="str">
        <f t="shared" si="2111"/>
        <v/>
      </c>
      <c r="AR1246" s="418" t="str">
        <f t="shared" si="2112"/>
        <v/>
      </c>
      <c r="AS1246" s="418" t="str">
        <f t="shared" si="2113"/>
        <v/>
      </c>
      <c r="AT1246" s="418" t="str">
        <f t="shared" si="2114"/>
        <v/>
      </c>
      <c r="AU1246" s="418" t="str">
        <f t="shared" si="2115"/>
        <v/>
      </c>
      <c r="AV1246" s="418" t="str">
        <f t="shared" si="2116"/>
        <v/>
      </c>
      <c r="AW1246" s="418" t="str">
        <f t="shared" si="2117"/>
        <v/>
      </c>
      <c r="AX1246" s="418" t="str">
        <f t="shared" si="2118"/>
        <v/>
      </c>
      <c r="AY1246" s="418" t="str">
        <f t="shared" si="2119"/>
        <v/>
      </c>
      <c r="AZ1246" s="418" t="str">
        <f t="shared" si="2120"/>
        <v/>
      </c>
      <c r="BA1246" s="418" t="str">
        <f t="shared" si="2121"/>
        <v/>
      </c>
      <c r="BB1246" s="418" t="str">
        <f t="shared" si="2122"/>
        <v/>
      </c>
      <c r="BC1246" s="418" t="str">
        <f t="shared" si="2123"/>
        <v/>
      </c>
      <c r="BD1246" s="418" t="str">
        <f t="shared" si="2124"/>
        <v/>
      </c>
      <c r="BE1246" s="418" t="str">
        <f t="shared" si="2125"/>
        <v/>
      </c>
      <c r="BF1246" s="418" t="str">
        <f t="shared" si="2126"/>
        <v/>
      </c>
      <c r="BG1246" s="418" t="str">
        <f t="shared" si="2127"/>
        <v/>
      </c>
      <c r="BH1246" s="418" t="str">
        <f t="shared" si="2128"/>
        <v/>
      </c>
      <c r="BI1246" s="418" t="str">
        <f t="shared" si="2129"/>
        <v/>
      </c>
      <c r="BJ1246" s="418" t="str">
        <f t="shared" si="2130"/>
        <v/>
      </c>
      <c r="BK1246" s="418" t="str">
        <f t="shared" si="2131"/>
        <v/>
      </c>
      <c r="BL1246" s="418" t="str">
        <f t="shared" si="2132"/>
        <v/>
      </c>
      <c r="BM1246" s="418" t="str">
        <f t="shared" si="2133"/>
        <v/>
      </c>
      <c r="BN1246" s="418" t="str">
        <f t="shared" si="2134"/>
        <v/>
      </c>
      <c r="BO1246" s="418" t="str">
        <f t="shared" si="2135"/>
        <v/>
      </c>
      <c r="BP1246" s="418">
        <f t="shared" si="2136"/>
        <v>20016</v>
      </c>
      <c r="BQ1246" s="418" t="str">
        <f t="shared" si="2137"/>
        <v/>
      </c>
      <c r="BR1246" s="418" t="str">
        <f t="shared" si="2138"/>
        <v/>
      </c>
      <c r="BS1246" s="418" t="str">
        <f t="shared" si="2139"/>
        <v/>
      </c>
      <c r="BT1246" s="418" t="str">
        <f t="shared" si="2140"/>
        <v/>
      </c>
      <c r="BU1246" s="418" t="str">
        <f t="shared" si="2141"/>
        <v/>
      </c>
      <c r="BV1246" s="624">
        <v>0.88</v>
      </c>
      <c r="BW1246" s="723">
        <f t="shared" si="2142"/>
        <v>17614.08</v>
      </c>
      <c r="BX1246" s="724">
        <f t="shared" si="2143"/>
        <v>136509.12</v>
      </c>
      <c r="BY1246" s="725" t="str">
        <f t="shared" si="2144"/>
        <v>SR</v>
      </c>
    </row>
    <row r="1247" s="697" customFormat="1" customHeight="1" spans="1:77">
      <c r="A1247" s="362">
        <v>46240</v>
      </c>
      <c r="B1247" s="362">
        <v>46332</v>
      </c>
      <c r="C1247" s="431" t="s">
        <v>1107</v>
      </c>
      <c r="D1247" s="431" t="s">
        <v>1108</v>
      </c>
      <c r="E1247" s="431" t="s">
        <v>59</v>
      </c>
      <c r="F1247" s="96">
        <v>17592</v>
      </c>
      <c r="G1247" s="431" t="s">
        <v>270</v>
      </c>
      <c r="H1247" s="118" t="str">
        <f>IFERROR(VLOOKUP(E1247,名称!A:E,4,0),"")</f>
        <v>三代</v>
      </c>
      <c r="I1247" s="418" t="str">
        <f t="shared" si="2077"/>
        <v/>
      </c>
      <c r="J1247" s="418" t="str">
        <f t="shared" si="2078"/>
        <v/>
      </c>
      <c r="K1247" s="418" t="str">
        <f t="shared" si="2079"/>
        <v/>
      </c>
      <c r="L1247" s="418" t="str">
        <f t="shared" si="2080"/>
        <v/>
      </c>
      <c r="M1247" s="418" t="str">
        <f t="shared" si="2081"/>
        <v/>
      </c>
      <c r="N1247" s="418" t="str">
        <f t="shared" si="2082"/>
        <v/>
      </c>
      <c r="O1247" s="418" t="str">
        <f t="shared" si="2083"/>
        <v/>
      </c>
      <c r="P1247" s="418" t="str">
        <f t="shared" si="2084"/>
        <v/>
      </c>
      <c r="Q1247" s="418" t="str">
        <f t="shared" si="2085"/>
        <v/>
      </c>
      <c r="R1247" s="418" t="str">
        <f t="shared" si="2086"/>
        <v/>
      </c>
      <c r="S1247" s="418" t="str">
        <f t="shared" si="2087"/>
        <v/>
      </c>
      <c r="T1247" s="418" t="str">
        <f t="shared" si="2088"/>
        <v/>
      </c>
      <c r="U1247" s="418" t="str">
        <f t="shared" si="2089"/>
        <v/>
      </c>
      <c r="V1247" s="418" t="str">
        <f t="shared" si="2090"/>
        <v/>
      </c>
      <c r="W1247" s="418" t="str">
        <f t="shared" si="2091"/>
        <v/>
      </c>
      <c r="X1247" s="418" t="str">
        <f t="shared" si="2092"/>
        <v/>
      </c>
      <c r="Y1247" s="418" t="str">
        <f t="shared" si="2093"/>
        <v/>
      </c>
      <c r="Z1247" s="418" t="str">
        <f t="shared" si="2094"/>
        <v/>
      </c>
      <c r="AA1247" s="418" t="str">
        <f t="shared" si="2095"/>
        <v/>
      </c>
      <c r="AB1247" s="418" t="str">
        <f t="shared" si="2096"/>
        <v/>
      </c>
      <c r="AC1247" s="418" t="str">
        <f t="shared" si="2097"/>
        <v/>
      </c>
      <c r="AD1247" s="418">
        <f t="shared" si="2098"/>
        <v>17592</v>
      </c>
      <c r="AE1247" s="418" t="str">
        <f t="shared" si="2099"/>
        <v/>
      </c>
      <c r="AF1247" s="418" t="str">
        <f t="shared" si="2100"/>
        <v/>
      </c>
      <c r="AG1247" s="418" t="str">
        <f t="shared" si="2101"/>
        <v/>
      </c>
      <c r="AH1247" s="418" t="str">
        <f t="shared" si="2102"/>
        <v/>
      </c>
      <c r="AI1247" s="418" t="str">
        <f t="shared" si="2103"/>
        <v/>
      </c>
      <c r="AJ1247" s="418" t="str">
        <f t="shared" si="2104"/>
        <v/>
      </c>
      <c r="AK1247" s="418" t="str">
        <f t="shared" si="2105"/>
        <v/>
      </c>
      <c r="AL1247" s="418" t="str">
        <f t="shared" si="2106"/>
        <v/>
      </c>
      <c r="AM1247" s="418" t="str">
        <f t="shared" si="2107"/>
        <v/>
      </c>
      <c r="AN1247" s="418" t="str">
        <f t="shared" si="2108"/>
        <v/>
      </c>
      <c r="AO1247" s="418" t="str">
        <f t="shared" si="2109"/>
        <v/>
      </c>
      <c r="AP1247" s="418" t="str">
        <f t="shared" si="2110"/>
        <v/>
      </c>
      <c r="AQ1247" s="418" t="str">
        <f t="shared" si="2111"/>
        <v/>
      </c>
      <c r="AR1247" s="418" t="str">
        <f t="shared" si="2112"/>
        <v/>
      </c>
      <c r="AS1247" s="418" t="str">
        <f t="shared" si="2113"/>
        <v/>
      </c>
      <c r="AT1247" s="418" t="str">
        <f t="shared" si="2114"/>
        <v/>
      </c>
      <c r="AU1247" s="418" t="str">
        <f t="shared" si="2115"/>
        <v/>
      </c>
      <c r="AV1247" s="418" t="str">
        <f t="shared" si="2116"/>
        <v/>
      </c>
      <c r="AW1247" s="418" t="str">
        <f t="shared" si="2117"/>
        <v/>
      </c>
      <c r="AX1247" s="418" t="str">
        <f t="shared" si="2118"/>
        <v/>
      </c>
      <c r="AY1247" s="418" t="str">
        <f t="shared" si="2119"/>
        <v/>
      </c>
      <c r="AZ1247" s="418" t="str">
        <f t="shared" si="2120"/>
        <v/>
      </c>
      <c r="BA1247" s="418" t="str">
        <f t="shared" si="2121"/>
        <v/>
      </c>
      <c r="BB1247" s="418" t="str">
        <f t="shared" si="2122"/>
        <v/>
      </c>
      <c r="BC1247" s="418" t="str">
        <f t="shared" si="2123"/>
        <v/>
      </c>
      <c r="BD1247" s="418" t="str">
        <f t="shared" si="2124"/>
        <v/>
      </c>
      <c r="BE1247" s="418" t="str">
        <f t="shared" si="2125"/>
        <v/>
      </c>
      <c r="BF1247" s="418" t="str">
        <f t="shared" si="2126"/>
        <v/>
      </c>
      <c r="BG1247" s="418" t="str">
        <f t="shared" si="2127"/>
        <v/>
      </c>
      <c r="BH1247" s="418" t="str">
        <f t="shared" si="2128"/>
        <v/>
      </c>
      <c r="BI1247" s="418" t="str">
        <f t="shared" si="2129"/>
        <v/>
      </c>
      <c r="BJ1247" s="418" t="str">
        <f t="shared" si="2130"/>
        <v/>
      </c>
      <c r="BK1247" s="418" t="str">
        <f t="shared" si="2131"/>
        <v/>
      </c>
      <c r="BL1247" s="418" t="str">
        <f t="shared" si="2132"/>
        <v/>
      </c>
      <c r="BM1247" s="418" t="str">
        <f t="shared" si="2133"/>
        <v/>
      </c>
      <c r="BN1247" s="418" t="str">
        <f t="shared" si="2134"/>
        <v/>
      </c>
      <c r="BO1247" s="418" t="str">
        <f t="shared" si="2135"/>
        <v/>
      </c>
      <c r="BP1247" s="418" t="str">
        <f t="shared" si="2136"/>
        <v/>
      </c>
      <c r="BQ1247" s="418" t="str">
        <f t="shared" si="2137"/>
        <v/>
      </c>
      <c r="BR1247" s="418" t="str">
        <f t="shared" si="2138"/>
        <v/>
      </c>
      <c r="BS1247" s="418" t="str">
        <f t="shared" si="2139"/>
        <v/>
      </c>
      <c r="BT1247" s="418" t="str">
        <f t="shared" si="2140"/>
        <v/>
      </c>
      <c r="BU1247" s="418" t="str">
        <f t="shared" si="2141"/>
        <v/>
      </c>
      <c r="BV1247" s="624">
        <v>0.62</v>
      </c>
      <c r="BW1247" s="723">
        <f t="shared" si="2142"/>
        <v>10907.04</v>
      </c>
      <c r="BX1247" s="724">
        <f t="shared" si="2143"/>
        <v>84529.56</v>
      </c>
      <c r="BY1247" s="725" t="str">
        <f t="shared" si="2144"/>
        <v>SR</v>
      </c>
    </row>
    <row r="1248" s="697" customFormat="1" customHeight="1" spans="1:77">
      <c r="A1248" s="362">
        <v>46240</v>
      </c>
      <c r="B1248" s="362">
        <v>46342</v>
      </c>
      <c r="C1248" s="431" t="s">
        <v>1109</v>
      </c>
      <c r="D1248" s="431" t="s">
        <v>1110</v>
      </c>
      <c r="E1248" s="431" t="s">
        <v>199</v>
      </c>
      <c r="F1248" s="96">
        <v>30000</v>
      </c>
      <c r="G1248" s="431" t="s">
        <v>270</v>
      </c>
      <c r="H1248" s="118" t="str">
        <f>IFERROR(VLOOKUP(E1248,名称!A:E,4,0),"")</f>
        <v>三代</v>
      </c>
      <c r="I1248" s="418" t="str">
        <f t="shared" si="2077"/>
        <v/>
      </c>
      <c r="J1248" s="418" t="str">
        <f t="shared" si="2078"/>
        <v/>
      </c>
      <c r="K1248" s="418" t="str">
        <f t="shared" si="2079"/>
        <v/>
      </c>
      <c r="L1248" s="418" t="str">
        <f t="shared" si="2080"/>
        <v/>
      </c>
      <c r="M1248" s="418" t="str">
        <f t="shared" si="2081"/>
        <v/>
      </c>
      <c r="N1248" s="418" t="str">
        <f t="shared" si="2082"/>
        <v/>
      </c>
      <c r="O1248" s="418" t="str">
        <f t="shared" si="2083"/>
        <v/>
      </c>
      <c r="P1248" s="418" t="str">
        <f t="shared" si="2084"/>
        <v/>
      </c>
      <c r="Q1248" s="418" t="str">
        <f t="shared" si="2085"/>
        <v/>
      </c>
      <c r="R1248" s="418" t="str">
        <f t="shared" si="2086"/>
        <v/>
      </c>
      <c r="S1248" s="418" t="str">
        <f t="shared" si="2087"/>
        <v/>
      </c>
      <c r="T1248" s="418" t="str">
        <f t="shared" si="2088"/>
        <v/>
      </c>
      <c r="U1248" s="418" t="str">
        <f t="shared" si="2089"/>
        <v/>
      </c>
      <c r="V1248" s="418" t="str">
        <f t="shared" si="2090"/>
        <v/>
      </c>
      <c r="W1248" s="418" t="str">
        <f t="shared" si="2091"/>
        <v/>
      </c>
      <c r="X1248" s="418" t="str">
        <f t="shared" si="2092"/>
        <v/>
      </c>
      <c r="Y1248" s="418" t="str">
        <f t="shared" si="2093"/>
        <v/>
      </c>
      <c r="Z1248" s="418" t="str">
        <f t="shared" si="2094"/>
        <v/>
      </c>
      <c r="AA1248" s="418" t="str">
        <f t="shared" si="2095"/>
        <v/>
      </c>
      <c r="AB1248" s="418" t="str">
        <f t="shared" si="2096"/>
        <v/>
      </c>
      <c r="AC1248" s="418" t="str">
        <f t="shared" si="2097"/>
        <v/>
      </c>
      <c r="AD1248" s="418" t="str">
        <f t="shared" si="2098"/>
        <v/>
      </c>
      <c r="AE1248" s="418" t="str">
        <f t="shared" si="2099"/>
        <v/>
      </c>
      <c r="AF1248" s="418" t="str">
        <f t="shared" si="2100"/>
        <v/>
      </c>
      <c r="AG1248" s="418" t="str">
        <f t="shared" si="2101"/>
        <v/>
      </c>
      <c r="AH1248" s="418" t="str">
        <f t="shared" si="2102"/>
        <v/>
      </c>
      <c r="AI1248" s="418" t="str">
        <f t="shared" si="2103"/>
        <v/>
      </c>
      <c r="AJ1248" s="418" t="str">
        <f t="shared" si="2104"/>
        <v/>
      </c>
      <c r="AK1248" s="418" t="str">
        <f t="shared" si="2105"/>
        <v/>
      </c>
      <c r="AL1248" s="418" t="str">
        <f t="shared" si="2106"/>
        <v/>
      </c>
      <c r="AM1248" s="418" t="str">
        <f t="shared" si="2107"/>
        <v/>
      </c>
      <c r="AN1248" s="418" t="str">
        <f t="shared" si="2108"/>
        <v/>
      </c>
      <c r="AO1248" s="418" t="str">
        <f t="shared" si="2109"/>
        <v/>
      </c>
      <c r="AP1248" s="418" t="str">
        <f t="shared" si="2110"/>
        <v/>
      </c>
      <c r="AQ1248" s="418" t="str">
        <f t="shared" si="2111"/>
        <v/>
      </c>
      <c r="AR1248" s="418" t="str">
        <f t="shared" si="2112"/>
        <v/>
      </c>
      <c r="AS1248" s="418" t="str">
        <f t="shared" si="2113"/>
        <v/>
      </c>
      <c r="AT1248" s="418" t="str">
        <f t="shared" si="2114"/>
        <v/>
      </c>
      <c r="AU1248" s="418" t="str">
        <f t="shared" si="2115"/>
        <v/>
      </c>
      <c r="AV1248" s="418" t="str">
        <f t="shared" si="2116"/>
        <v/>
      </c>
      <c r="AW1248" s="418" t="str">
        <f t="shared" si="2117"/>
        <v/>
      </c>
      <c r="AX1248" s="418" t="str">
        <f t="shared" si="2118"/>
        <v/>
      </c>
      <c r="AY1248" s="418" t="str">
        <f t="shared" si="2119"/>
        <v/>
      </c>
      <c r="AZ1248" s="418" t="str">
        <f t="shared" si="2120"/>
        <v/>
      </c>
      <c r="BA1248" s="418" t="str">
        <f t="shared" si="2121"/>
        <v/>
      </c>
      <c r="BB1248" s="418" t="str">
        <f t="shared" si="2122"/>
        <v/>
      </c>
      <c r="BC1248" s="418" t="str">
        <f t="shared" si="2123"/>
        <v/>
      </c>
      <c r="BD1248" s="418" t="str">
        <f t="shared" si="2124"/>
        <v/>
      </c>
      <c r="BE1248" s="418" t="str">
        <f t="shared" si="2125"/>
        <v/>
      </c>
      <c r="BF1248" s="418" t="str">
        <f t="shared" si="2126"/>
        <v/>
      </c>
      <c r="BG1248" s="418" t="str">
        <f t="shared" si="2127"/>
        <v/>
      </c>
      <c r="BH1248" s="418" t="str">
        <f t="shared" si="2128"/>
        <v/>
      </c>
      <c r="BI1248" s="418" t="str">
        <f t="shared" si="2129"/>
        <v/>
      </c>
      <c r="BJ1248" s="418" t="str">
        <f t="shared" si="2130"/>
        <v/>
      </c>
      <c r="BK1248" s="418" t="str">
        <f t="shared" si="2131"/>
        <v/>
      </c>
      <c r="BL1248" s="418" t="str">
        <f t="shared" si="2132"/>
        <v/>
      </c>
      <c r="BM1248" s="418" t="str">
        <f t="shared" si="2133"/>
        <v/>
      </c>
      <c r="BN1248" s="418" t="str">
        <f t="shared" si="2134"/>
        <v/>
      </c>
      <c r="BO1248" s="418" t="str">
        <f t="shared" si="2135"/>
        <v/>
      </c>
      <c r="BP1248" s="418">
        <f t="shared" si="2136"/>
        <v>30000</v>
      </c>
      <c r="BQ1248" s="418" t="str">
        <f t="shared" si="2137"/>
        <v/>
      </c>
      <c r="BR1248" s="418" t="str">
        <f t="shared" si="2138"/>
        <v/>
      </c>
      <c r="BS1248" s="418" t="str">
        <f t="shared" si="2139"/>
        <v/>
      </c>
      <c r="BT1248" s="418" t="str">
        <f t="shared" si="2140"/>
        <v/>
      </c>
      <c r="BU1248" s="418" t="str">
        <f t="shared" si="2141"/>
        <v/>
      </c>
      <c r="BV1248" s="624">
        <v>0.88</v>
      </c>
      <c r="BW1248" s="723">
        <f t="shared" si="2142"/>
        <v>26400</v>
      </c>
      <c r="BX1248" s="724">
        <f t="shared" si="2143"/>
        <v>204600</v>
      </c>
      <c r="BY1248" s="725" t="str">
        <f t="shared" si="2144"/>
        <v>SR</v>
      </c>
    </row>
    <row r="1249" s="697" customFormat="1" customHeight="1" spans="1:77">
      <c r="A1249" s="362">
        <v>46241</v>
      </c>
      <c r="B1249" s="452">
        <v>46270</v>
      </c>
      <c r="C1249" s="431" t="s">
        <v>1111</v>
      </c>
      <c r="D1249" s="431" t="s">
        <v>1112</v>
      </c>
      <c r="E1249" s="431" t="s">
        <v>50</v>
      </c>
      <c r="F1249" s="96">
        <v>50004</v>
      </c>
      <c r="G1249" s="431" t="s">
        <v>510</v>
      </c>
      <c r="H1249" s="118" t="str">
        <f>IFERROR(VLOOKUP(E1249,名称!A:E,4,0),"")</f>
        <v>蛋糕</v>
      </c>
      <c r="I1249" s="418" t="str">
        <f t="shared" si="2077"/>
        <v/>
      </c>
      <c r="J1249" s="418" t="str">
        <f t="shared" si="2078"/>
        <v/>
      </c>
      <c r="K1249" s="418" t="str">
        <f t="shared" si="2079"/>
        <v/>
      </c>
      <c r="L1249" s="418" t="str">
        <f t="shared" si="2080"/>
        <v/>
      </c>
      <c r="M1249" s="418" t="str">
        <f t="shared" si="2081"/>
        <v/>
      </c>
      <c r="N1249" s="418" t="str">
        <f t="shared" si="2082"/>
        <v/>
      </c>
      <c r="O1249" s="418" t="str">
        <f t="shared" si="2083"/>
        <v/>
      </c>
      <c r="P1249" s="418" t="str">
        <f t="shared" si="2084"/>
        <v/>
      </c>
      <c r="Q1249" s="418" t="str">
        <f t="shared" si="2085"/>
        <v/>
      </c>
      <c r="R1249" s="418" t="str">
        <f t="shared" si="2086"/>
        <v/>
      </c>
      <c r="S1249" s="418" t="str">
        <f t="shared" si="2087"/>
        <v/>
      </c>
      <c r="T1249" s="418" t="str">
        <f t="shared" si="2088"/>
        <v/>
      </c>
      <c r="U1249" s="418" t="str">
        <f t="shared" si="2089"/>
        <v/>
      </c>
      <c r="V1249" s="418" t="str">
        <f t="shared" si="2090"/>
        <v/>
      </c>
      <c r="W1249" s="418" t="str">
        <f t="shared" si="2091"/>
        <v/>
      </c>
      <c r="X1249" s="418" t="str">
        <f t="shared" si="2092"/>
        <v/>
      </c>
      <c r="Y1249" s="418" t="str">
        <f t="shared" si="2093"/>
        <v/>
      </c>
      <c r="Z1249" s="418" t="str">
        <f t="shared" si="2094"/>
        <v/>
      </c>
      <c r="AA1249" s="418" t="str">
        <f t="shared" si="2095"/>
        <v/>
      </c>
      <c r="AB1249" s="418" t="str">
        <f t="shared" si="2096"/>
        <v/>
      </c>
      <c r="AC1249" s="418" t="str">
        <f t="shared" si="2097"/>
        <v/>
      </c>
      <c r="AD1249" s="418" t="str">
        <f t="shared" si="2098"/>
        <v/>
      </c>
      <c r="AE1249" s="418" t="str">
        <f t="shared" si="2099"/>
        <v/>
      </c>
      <c r="AF1249" s="418" t="str">
        <f t="shared" si="2100"/>
        <v/>
      </c>
      <c r="AG1249" s="418" t="str">
        <f t="shared" si="2101"/>
        <v/>
      </c>
      <c r="AH1249" s="418" t="str">
        <f t="shared" si="2102"/>
        <v/>
      </c>
      <c r="AI1249" s="418" t="str">
        <f t="shared" si="2103"/>
        <v/>
      </c>
      <c r="AJ1249" s="418" t="str">
        <f t="shared" si="2104"/>
        <v/>
      </c>
      <c r="AK1249" s="418" t="str">
        <f t="shared" si="2105"/>
        <v/>
      </c>
      <c r="AL1249" s="418" t="str">
        <f t="shared" si="2106"/>
        <v/>
      </c>
      <c r="AM1249" s="418" t="str">
        <f t="shared" si="2107"/>
        <v/>
      </c>
      <c r="AN1249" s="418" t="str">
        <f t="shared" si="2108"/>
        <v/>
      </c>
      <c r="AO1249" s="418" t="str">
        <f t="shared" si="2109"/>
        <v/>
      </c>
      <c r="AP1249" s="418" t="str">
        <f t="shared" si="2110"/>
        <v/>
      </c>
      <c r="AQ1249" s="418" t="str">
        <f t="shared" si="2111"/>
        <v/>
      </c>
      <c r="AR1249" s="418" t="str">
        <f t="shared" si="2112"/>
        <v/>
      </c>
      <c r="AS1249" s="418" t="str">
        <f t="shared" si="2113"/>
        <v/>
      </c>
      <c r="AT1249" s="418" t="str">
        <f t="shared" si="2114"/>
        <v/>
      </c>
      <c r="AU1249" s="418" t="str">
        <f t="shared" si="2115"/>
        <v/>
      </c>
      <c r="AV1249" s="418" t="str">
        <f t="shared" si="2116"/>
        <v/>
      </c>
      <c r="AW1249" s="418" t="str">
        <f t="shared" si="2117"/>
        <v/>
      </c>
      <c r="AX1249" s="418" t="str">
        <f t="shared" si="2118"/>
        <v/>
      </c>
      <c r="AY1249" s="418" t="str">
        <f t="shared" si="2119"/>
        <v/>
      </c>
      <c r="AZ1249" s="418" t="str">
        <f t="shared" si="2120"/>
        <v/>
      </c>
      <c r="BA1249" s="418" t="str">
        <f t="shared" si="2121"/>
        <v/>
      </c>
      <c r="BB1249" s="418" t="str">
        <f t="shared" si="2122"/>
        <v/>
      </c>
      <c r="BC1249" s="418" t="str">
        <f t="shared" si="2123"/>
        <v/>
      </c>
      <c r="BD1249" s="418" t="str">
        <f t="shared" si="2124"/>
        <v/>
      </c>
      <c r="BE1249" s="418" t="str">
        <f t="shared" si="2125"/>
        <v/>
      </c>
      <c r="BF1249" s="418" t="str">
        <f t="shared" si="2126"/>
        <v/>
      </c>
      <c r="BG1249" s="418">
        <f t="shared" si="2127"/>
        <v>50004</v>
      </c>
      <c r="BH1249" s="418" t="str">
        <f t="shared" si="2128"/>
        <v/>
      </c>
      <c r="BI1249" s="418" t="str">
        <f t="shared" si="2129"/>
        <v/>
      </c>
      <c r="BJ1249" s="418" t="str">
        <f t="shared" si="2130"/>
        <v/>
      </c>
      <c r="BK1249" s="418" t="str">
        <f t="shared" si="2131"/>
        <v/>
      </c>
      <c r="BL1249" s="418" t="str">
        <f t="shared" si="2132"/>
        <v/>
      </c>
      <c r="BM1249" s="418" t="str">
        <f t="shared" si="2133"/>
        <v/>
      </c>
      <c r="BN1249" s="418" t="str">
        <f t="shared" si="2134"/>
        <v/>
      </c>
      <c r="BO1249" s="418" t="str">
        <f t="shared" si="2135"/>
        <v/>
      </c>
      <c r="BP1249" s="418" t="str">
        <f t="shared" si="2136"/>
        <v/>
      </c>
      <c r="BQ1249" s="418" t="str">
        <f t="shared" si="2137"/>
        <v/>
      </c>
      <c r="BR1249" s="418" t="str">
        <f t="shared" si="2138"/>
        <v/>
      </c>
      <c r="BS1249" s="418" t="str">
        <f t="shared" si="2139"/>
        <v/>
      </c>
      <c r="BT1249" s="418" t="str">
        <f t="shared" si="2140"/>
        <v/>
      </c>
      <c r="BU1249" s="418" t="str">
        <f t="shared" si="2141"/>
        <v/>
      </c>
      <c r="BV1249" s="624">
        <v>1.11</v>
      </c>
      <c r="BW1249" s="723">
        <f t="shared" si="2142"/>
        <v>55504.44</v>
      </c>
      <c r="BX1249" s="724">
        <f t="shared" si="2143"/>
        <v>430159.41</v>
      </c>
      <c r="BY1249" s="725" t="str">
        <f t="shared" si="2144"/>
        <v>JC</v>
      </c>
    </row>
    <row r="1250" s="697" customFormat="1" customHeight="1" spans="1:77">
      <c r="A1250" s="362">
        <v>46241</v>
      </c>
      <c r="B1250" s="452">
        <v>46275</v>
      </c>
      <c r="C1250" s="431" t="s">
        <v>1113</v>
      </c>
      <c r="D1250" s="431" t="s">
        <v>1114</v>
      </c>
      <c r="E1250" s="431" t="s">
        <v>50</v>
      </c>
      <c r="F1250" s="96">
        <v>50004</v>
      </c>
      <c r="G1250" s="431" t="s">
        <v>510</v>
      </c>
      <c r="H1250" s="118" t="str">
        <f>IFERROR(VLOOKUP(E1250,名称!A:E,4,0),"")</f>
        <v>蛋糕</v>
      </c>
      <c r="I1250" s="418" t="str">
        <f t="shared" si="2077"/>
        <v/>
      </c>
      <c r="J1250" s="418" t="str">
        <f t="shared" si="2078"/>
        <v/>
      </c>
      <c r="K1250" s="418" t="str">
        <f t="shared" si="2079"/>
        <v/>
      </c>
      <c r="L1250" s="418" t="str">
        <f t="shared" si="2080"/>
        <v/>
      </c>
      <c r="M1250" s="418" t="str">
        <f t="shared" si="2081"/>
        <v/>
      </c>
      <c r="N1250" s="418" t="str">
        <f t="shared" si="2082"/>
        <v/>
      </c>
      <c r="O1250" s="418" t="str">
        <f t="shared" si="2083"/>
        <v/>
      </c>
      <c r="P1250" s="418" t="str">
        <f t="shared" si="2084"/>
        <v/>
      </c>
      <c r="Q1250" s="418" t="str">
        <f t="shared" si="2085"/>
        <v/>
      </c>
      <c r="R1250" s="418" t="str">
        <f t="shared" si="2086"/>
        <v/>
      </c>
      <c r="S1250" s="418" t="str">
        <f t="shared" si="2087"/>
        <v/>
      </c>
      <c r="T1250" s="418" t="str">
        <f t="shared" si="2088"/>
        <v/>
      </c>
      <c r="U1250" s="418" t="str">
        <f t="shared" si="2089"/>
        <v/>
      </c>
      <c r="V1250" s="418" t="str">
        <f t="shared" si="2090"/>
        <v/>
      </c>
      <c r="W1250" s="418" t="str">
        <f t="shared" si="2091"/>
        <v/>
      </c>
      <c r="X1250" s="418" t="str">
        <f t="shared" si="2092"/>
        <v/>
      </c>
      <c r="Y1250" s="418" t="str">
        <f t="shared" si="2093"/>
        <v/>
      </c>
      <c r="Z1250" s="418" t="str">
        <f t="shared" si="2094"/>
        <v/>
      </c>
      <c r="AA1250" s="418" t="str">
        <f t="shared" si="2095"/>
        <v/>
      </c>
      <c r="AB1250" s="418" t="str">
        <f t="shared" si="2096"/>
        <v/>
      </c>
      <c r="AC1250" s="418" t="str">
        <f t="shared" si="2097"/>
        <v/>
      </c>
      <c r="AD1250" s="418" t="str">
        <f t="shared" si="2098"/>
        <v/>
      </c>
      <c r="AE1250" s="418" t="str">
        <f t="shared" si="2099"/>
        <v/>
      </c>
      <c r="AF1250" s="418" t="str">
        <f t="shared" si="2100"/>
        <v/>
      </c>
      <c r="AG1250" s="418" t="str">
        <f t="shared" si="2101"/>
        <v/>
      </c>
      <c r="AH1250" s="418" t="str">
        <f t="shared" si="2102"/>
        <v/>
      </c>
      <c r="AI1250" s="418" t="str">
        <f t="shared" si="2103"/>
        <v/>
      </c>
      <c r="AJ1250" s="418" t="str">
        <f t="shared" si="2104"/>
        <v/>
      </c>
      <c r="AK1250" s="418" t="str">
        <f t="shared" si="2105"/>
        <v/>
      </c>
      <c r="AL1250" s="418" t="str">
        <f t="shared" si="2106"/>
        <v/>
      </c>
      <c r="AM1250" s="418" t="str">
        <f t="shared" si="2107"/>
        <v/>
      </c>
      <c r="AN1250" s="418" t="str">
        <f t="shared" si="2108"/>
        <v/>
      </c>
      <c r="AO1250" s="418" t="str">
        <f t="shared" si="2109"/>
        <v/>
      </c>
      <c r="AP1250" s="418" t="str">
        <f t="shared" si="2110"/>
        <v/>
      </c>
      <c r="AQ1250" s="418" t="str">
        <f t="shared" si="2111"/>
        <v/>
      </c>
      <c r="AR1250" s="418" t="str">
        <f t="shared" si="2112"/>
        <v/>
      </c>
      <c r="AS1250" s="418" t="str">
        <f t="shared" si="2113"/>
        <v/>
      </c>
      <c r="AT1250" s="418" t="str">
        <f t="shared" si="2114"/>
        <v/>
      </c>
      <c r="AU1250" s="418" t="str">
        <f t="shared" si="2115"/>
        <v/>
      </c>
      <c r="AV1250" s="418" t="str">
        <f t="shared" si="2116"/>
        <v/>
      </c>
      <c r="AW1250" s="418" t="str">
        <f t="shared" si="2117"/>
        <v/>
      </c>
      <c r="AX1250" s="418" t="str">
        <f t="shared" si="2118"/>
        <v/>
      </c>
      <c r="AY1250" s="418" t="str">
        <f t="shared" si="2119"/>
        <v/>
      </c>
      <c r="AZ1250" s="418" t="str">
        <f t="shared" si="2120"/>
        <v/>
      </c>
      <c r="BA1250" s="418" t="str">
        <f t="shared" si="2121"/>
        <v/>
      </c>
      <c r="BB1250" s="418" t="str">
        <f t="shared" si="2122"/>
        <v/>
      </c>
      <c r="BC1250" s="418" t="str">
        <f t="shared" si="2123"/>
        <v/>
      </c>
      <c r="BD1250" s="418" t="str">
        <f t="shared" si="2124"/>
        <v/>
      </c>
      <c r="BE1250" s="418" t="str">
        <f t="shared" si="2125"/>
        <v/>
      </c>
      <c r="BF1250" s="418" t="str">
        <f t="shared" si="2126"/>
        <v/>
      </c>
      <c r="BG1250" s="418">
        <f t="shared" si="2127"/>
        <v>50004</v>
      </c>
      <c r="BH1250" s="418" t="str">
        <f t="shared" si="2128"/>
        <v/>
      </c>
      <c r="BI1250" s="418" t="str">
        <f t="shared" si="2129"/>
        <v/>
      </c>
      <c r="BJ1250" s="418" t="str">
        <f t="shared" si="2130"/>
        <v/>
      </c>
      <c r="BK1250" s="418" t="str">
        <f t="shared" si="2131"/>
        <v/>
      </c>
      <c r="BL1250" s="418" t="str">
        <f t="shared" si="2132"/>
        <v/>
      </c>
      <c r="BM1250" s="418" t="str">
        <f t="shared" si="2133"/>
        <v/>
      </c>
      <c r="BN1250" s="418" t="str">
        <f t="shared" si="2134"/>
        <v/>
      </c>
      <c r="BO1250" s="418" t="str">
        <f t="shared" si="2135"/>
        <v/>
      </c>
      <c r="BP1250" s="418" t="str">
        <f t="shared" si="2136"/>
        <v/>
      </c>
      <c r="BQ1250" s="418" t="str">
        <f t="shared" si="2137"/>
        <v/>
      </c>
      <c r="BR1250" s="418" t="str">
        <f t="shared" si="2138"/>
        <v/>
      </c>
      <c r="BS1250" s="418" t="str">
        <f t="shared" si="2139"/>
        <v/>
      </c>
      <c r="BT1250" s="418" t="str">
        <f t="shared" si="2140"/>
        <v/>
      </c>
      <c r="BU1250" s="418" t="str">
        <f t="shared" si="2141"/>
        <v/>
      </c>
      <c r="BV1250" s="624">
        <v>1.11</v>
      </c>
      <c r="BW1250" s="723">
        <f t="shared" si="2142"/>
        <v>55504.44</v>
      </c>
      <c r="BX1250" s="724">
        <f t="shared" si="2143"/>
        <v>430159.41</v>
      </c>
      <c r="BY1250" s="725" t="str">
        <f t="shared" si="2144"/>
        <v>JC</v>
      </c>
    </row>
    <row r="1251" s="697" customFormat="1" customHeight="1" spans="1:77">
      <c r="A1251" s="362">
        <v>46241</v>
      </c>
      <c r="B1251" s="452">
        <v>46284</v>
      </c>
      <c r="C1251" s="431" t="s">
        <v>1115</v>
      </c>
      <c r="D1251" s="431" t="s">
        <v>1116</v>
      </c>
      <c r="E1251" s="431" t="s">
        <v>50</v>
      </c>
      <c r="F1251" s="96">
        <v>50004</v>
      </c>
      <c r="G1251" s="431" t="s">
        <v>510</v>
      </c>
      <c r="H1251" s="118" t="str">
        <f>IFERROR(VLOOKUP(E1251,名称!A:E,4,0),"")</f>
        <v>蛋糕</v>
      </c>
      <c r="I1251" s="418" t="str">
        <f t="shared" si="2077"/>
        <v/>
      </c>
      <c r="J1251" s="418" t="str">
        <f t="shared" si="2078"/>
        <v/>
      </c>
      <c r="K1251" s="418" t="str">
        <f t="shared" si="2079"/>
        <v/>
      </c>
      <c r="L1251" s="418" t="str">
        <f t="shared" si="2080"/>
        <v/>
      </c>
      <c r="M1251" s="418" t="str">
        <f t="shared" si="2081"/>
        <v/>
      </c>
      <c r="N1251" s="418" t="str">
        <f t="shared" si="2082"/>
        <v/>
      </c>
      <c r="O1251" s="418" t="str">
        <f t="shared" si="2083"/>
        <v/>
      </c>
      <c r="P1251" s="418" t="str">
        <f t="shared" si="2084"/>
        <v/>
      </c>
      <c r="Q1251" s="418" t="str">
        <f t="shared" si="2085"/>
        <v/>
      </c>
      <c r="R1251" s="418" t="str">
        <f t="shared" si="2086"/>
        <v/>
      </c>
      <c r="S1251" s="418" t="str">
        <f t="shared" si="2087"/>
        <v/>
      </c>
      <c r="T1251" s="418" t="str">
        <f t="shared" si="2088"/>
        <v/>
      </c>
      <c r="U1251" s="418" t="str">
        <f t="shared" si="2089"/>
        <v/>
      </c>
      <c r="V1251" s="418" t="str">
        <f t="shared" si="2090"/>
        <v/>
      </c>
      <c r="W1251" s="418" t="str">
        <f t="shared" si="2091"/>
        <v/>
      </c>
      <c r="X1251" s="418" t="str">
        <f t="shared" si="2092"/>
        <v/>
      </c>
      <c r="Y1251" s="418" t="str">
        <f t="shared" si="2093"/>
        <v/>
      </c>
      <c r="Z1251" s="418" t="str">
        <f t="shared" si="2094"/>
        <v/>
      </c>
      <c r="AA1251" s="418" t="str">
        <f t="shared" si="2095"/>
        <v/>
      </c>
      <c r="AB1251" s="418" t="str">
        <f t="shared" si="2096"/>
        <v/>
      </c>
      <c r="AC1251" s="418" t="str">
        <f t="shared" si="2097"/>
        <v/>
      </c>
      <c r="AD1251" s="418" t="str">
        <f t="shared" si="2098"/>
        <v/>
      </c>
      <c r="AE1251" s="418" t="str">
        <f t="shared" si="2099"/>
        <v/>
      </c>
      <c r="AF1251" s="418" t="str">
        <f t="shared" si="2100"/>
        <v/>
      </c>
      <c r="AG1251" s="418" t="str">
        <f t="shared" si="2101"/>
        <v/>
      </c>
      <c r="AH1251" s="418" t="str">
        <f t="shared" si="2102"/>
        <v/>
      </c>
      <c r="AI1251" s="418" t="str">
        <f t="shared" si="2103"/>
        <v/>
      </c>
      <c r="AJ1251" s="418" t="str">
        <f t="shared" si="2104"/>
        <v/>
      </c>
      <c r="AK1251" s="418" t="str">
        <f t="shared" si="2105"/>
        <v/>
      </c>
      <c r="AL1251" s="418" t="str">
        <f t="shared" si="2106"/>
        <v/>
      </c>
      <c r="AM1251" s="418" t="str">
        <f t="shared" si="2107"/>
        <v/>
      </c>
      <c r="AN1251" s="418" t="str">
        <f t="shared" si="2108"/>
        <v/>
      </c>
      <c r="AO1251" s="418" t="str">
        <f t="shared" si="2109"/>
        <v/>
      </c>
      <c r="AP1251" s="418" t="str">
        <f t="shared" si="2110"/>
        <v/>
      </c>
      <c r="AQ1251" s="418" t="str">
        <f t="shared" si="2111"/>
        <v/>
      </c>
      <c r="AR1251" s="418" t="str">
        <f t="shared" si="2112"/>
        <v/>
      </c>
      <c r="AS1251" s="418" t="str">
        <f t="shared" si="2113"/>
        <v/>
      </c>
      <c r="AT1251" s="418" t="str">
        <f t="shared" si="2114"/>
        <v/>
      </c>
      <c r="AU1251" s="418" t="str">
        <f t="shared" si="2115"/>
        <v/>
      </c>
      <c r="AV1251" s="418" t="str">
        <f t="shared" si="2116"/>
        <v/>
      </c>
      <c r="AW1251" s="418" t="str">
        <f t="shared" si="2117"/>
        <v/>
      </c>
      <c r="AX1251" s="418" t="str">
        <f t="shared" si="2118"/>
        <v/>
      </c>
      <c r="AY1251" s="418" t="str">
        <f t="shared" si="2119"/>
        <v/>
      </c>
      <c r="AZ1251" s="418" t="str">
        <f t="shared" si="2120"/>
        <v/>
      </c>
      <c r="BA1251" s="418" t="str">
        <f t="shared" si="2121"/>
        <v/>
      </c>
      <c r="BB1251" s="418" t="str">
        <f t="shared" si="2122"/>
        <v/>
      </c>
      <c r="BC1251" s="418" t="str">
        <f t="shared" si="2123"/>
        <v/>
      </c>
      <c r="BD1251" s="418" t="str">
        <f t="shared" si="2124"/>
        <v/>
      </c>
      <c r="BE1251" s="418" t="str">
        <f t="shared" si="2125"/>
        <v/>
      </c>
      <c r="BF1251" s="418" t="str">
        <f t="shared" si="2126"/>
        <v/>
      </c>
      <c r="BG1251" s="418">
        <f t="shared" si="2127"/>
        <v>50004</v>
      </c>
      <c r="BH1251" s="418" t="str">
        <f t="shared" si="2128"/>
        <v/>
      </c>
      <c r="BI1251" s="418" t="str">
        <f t="shared" si="2129"/>
        <v/>
      </c>
      <c r="BJ1251" s="418" t="str">
        <f t="shared" si="2130"/>
        <v/>
      </c>
      <c r="BK1251" s="418" t="str">
        <f t="shared" si="2131"/>
        <v/>
      </c>
      <c r="BL1251" s="418" t="str">
        <f t="shared" si="2132"/>
        <v/>
      </c>
      <c r="BM1251" s="418" t="str">
        <f t="shared" si="2133"/>
        <v/>
      </c>
      <c r="BN1251" s="418" t="str">
        <f t="shared" si="2134"/>
        <v/>
      </c>
      <c r="BO1251" s="418" t="str">
        <f t="shared" si="2135"/>
        <v/>
      </c>
      <c r="BP1251" s="418" t="str">
        <f t="shared" si="2136"/>
        <v/>
      </c>
      <c r="BQ1251" s="418" t="str">
        <f t="shared" si="2137"/>
        <v/>
      </c>
      <c r="BR1251" s="418" t="str">
        <f t="shared" si="2138"/>
        <v/>
      </c>
      <c r="BS1251" s="418" t="str">
        <f t="shared" si="2139"/>
        <v/>
      </c>
      <c r="BT1251" s="418" t="str">
        <f t="shared" si="2140"/>
        <v/>
      </c>
      <c r="BU1251" s="418" t="str">
        <f t="shared" si="2141"/>
        <v/>
      </c>
      <c r="BV1251" s="624">
        <v>1.11</v>
      </c>
      <c r="BW1251" s="723">
        <f t="shared" si="2142"/>
        <v>55504.44</v>
      </c>
      <c r="BX1251" s="724">
        <f t="shared" si="2143"/>
        <v>430159.41</v>
      </c>
      <c r="BY1251" s="725" t="str">
        <f t="shared" si="2144"/>
        <v>JC</v>
      </c>
    </row>
    <row r="1252" s="697" customFormat="1" customHeight="1" spans="1:77">
      <c r="A1252" s="362">
        <v>46241</v>
      </c>
      <c r="B1252" s="362">
        <v>46307</v>
      </c>
      <c r="C1252" s="431" t="s">
        <v>1117</v>
      </c>
      <c r="D1252" s="431" t="s">
        <v>1118</v>
      </c>
      <c r="E1252" s="431" t="s">
        <v>123</v>
      </c>
      <c r="F1252" s="96">
        <v>18000</v>
      </c>
      <c r="G1252" s="431" t="s">
        <v>510</v>
      </c>
      <c r="H1252" s="118" t="str">
        <f>IFERROR(VLOOKUP(E1252,名称!A:E,4,0),"")</f>
        <v>蛋糕</v>
      </c>
      <c r="I1252" s="418" t="str">
        <f t="shared" si="2077"/>
        <v/>
      </c>
      <c r="J1252" s="418" t="str">
        <f t="shared" si="2078"/>
        <v/>
      </c>
      <c r="K1252" s="418" t="str">
        <f t="shared" si="2079"/>
        <v/>
      </c>
      <c r="L1252" s="418" t="str">
        <f t="shared" si="2080"/>
        <v/>
      </c>
      <c r="M1252" s="418" t="str">
        <f t="shared" si="2081"/>
        <v/>
      </c>
      <c r="N1252" s="418" t="str">
        <f t="shared" si="2082"/>
        <v/>
      </c>
      <c r="O1252" s="418" t="str">
        <f t="shared" si="2083"/>
        <v/>
      </c>
      <c r="P1252" s="418" t="str">
        <f t="shared" si="2084"/>
        <v/>
      </c>
      <c r="Q1252" s="418" t="str">
        <f t="shared" si="2085"/>
        <v/>
      </c>
      <c r="R1252" s="418" t="str">
        <f t="shared" si="2086"/>
        <v/>
      </c>
      <c r="S1252" s="418" t="str">
        <f t="shared" si="2087"/>
        <v/>
      </c>
      <c r="T1252" s="418" t="str">
        <f t="shared" si="2088"/>
        <v/>
      </c>
      <c r="U1252" s="418" t="str">
        <f t="shared" si="2089"/>
        <v/>
      </c>
      <c r="V1252" s="418" t="str">
        <f t="shared" si="2090"/>
        <v/>
      </c>
      <c r="W1252" s="418" t="str">
        <f t="shared" si="2091"/>
        <v/>
      </c>
      <c r="X1252" s="418" t="str">
        <f t="shared" si="2092"/>
        <v/>
      </c>
      <c r="Y1252" s="418" t="str">
        <f t="shared" si="2093"/>
        <v/>
      </c>
      <c r="Z1252" s="418" t="str">
        <f t="shared" si="2094"/>
        <v/>
      </c>
      <c r="AA1252" s="418" t="str">
        <f t="shared" si="2095"/>
        <v/>
      </c>
      <c r="AB1252" s="418" t="str">
        <f t="shared" si="2096"/>
        <v/>
      </c>
      <c r="AC1252" s="418" t="str">
        <f t="shared" si="2097"/>
        <v/>
      </c>
      <c r="AD1252" s="418" t="str">
        <f t="shared" si="2098"/>
        <v/>
      </c>
      <c r="AE1252" s="418" t="str">
        <f t="shared" si="2099"/>
        <v/>
      </c>
      <c r="AF1252" s="418" t="str">
        <f t="shared" si="2100"/>
        <v/>
      </c>
      <c r="AG1252" s="418" t="str">
        <f t="shared" si="2101"/>
        <v/>
      </c>
      <c r="AH1252" s="418" t="str">
        <f t="shared" si="2102"/>
        <v/>
      </c>
      <c r="AI1252" s="418" t="str">
        <f t="shared" si="2103"/>
        <v/>
      </c>
      <c r="AJ1252" s="418" t="str">
        <f t="shared" si="2104"/>
        <v/>
      </c>
      <c r="AK1252" s="418" t="str">
        <f t="shared" si="2105"/>
        <v/>
      </c>
      <c r="AL1252" s="418" t="str">
        <f t="shared" si="2106"/>
        <v/>
      </c>
      <c r="AM1252" s="418" t="str">
        <f t="shared" si="2107"/>
        <v/>
      </c>
      <c r="AN1252" s="418" t="str">
        <f t="shared" si="2108"/>
        <v/>
      </c>
      <c r="AO1252" s="418" t="str">
        <f t="shared" si="2109"/>
        <v/>
      </c>
      <c r="AP1252" s="418" t="str">
        <f t="shared" si="2110"/>
        <v/>
      </c>
      <c r="AQ1252" s="418" t="str">
        <f t="shared" si="2111"/>
        <v/>
      </c>
      <c r="AR1252" s="418" t="str">
        <f t="shared" si="2112"/>
        <v/>
      </c>
      <c r="AS1252" s="418" t="str">
        <f t="shared" si="2113"/>
        <v/>
      </c>
      <c r="AT1252" s="418" t="str">
        <f t="shared" si="2114"/>
        <v/>
      </c>
      <c r="AU1252" s="418" t="str">
        <f t="shared" si="2115"/>
        <v/>
      </c>
      <c r="AV1252" s="418" t="str">
        <f t="shared" si="2116"/>
        <v/>
      </c>
      <c r="AW1252" s="418" t="str">
        <f t="shared" si="2117"/>
        <v/>
      </c>
      <c r="AX1252" s="418" t="str">
        <f t="shared" si="2118"/>
        <v/>
      </c>
      <c r="AY1252" s="418" t="str">
        <f t="shared" si="2119"/>
        <v/>
      </c>
      <c r="AZ1252" s="418" t="str">
        <f t="shared" si="2120"/>
        <v/>
      </c>
      <c r="BA1252" s="418" t="str">
        <f t="shared" si="2121"/>
        <v/>
      </c>
      <c r="BB1252" s="418" t="str">
        <f t="shared" si="2122"/>
        <v/>
      </c>
      <c r="BC1252" s="418" t="str">
        <f t="shared" si="2123"/>
        <v/>
      </c>
      <c r="BD1252" s="418" t="str">
        <f t="shared" si="2124"/>
        <v/>
      </c>
      <c r="BE1252" s="418" t="str">
        <f t="shared" si="2125"/>
        <v/>
      </c>
      <c r="BF1252" s="418">
        <f t="shared" si="2126"/>
        <v>18000</v>
      </c>
      <c r="BG1252" s="418" t="str">
        <f t="shared" si="2127"/>
        <v/>
      </c>
      <c r="BH1252" s="418" t="str">
        <f t="shared" si="2128"/>
        <v/>
      </c>
      <c r="BI1252" s="418" t="str">
        <f t="shared" si="2129"/>
        <v/>
      </c>
      <c r="BJ1252" s="418" t="str">
        <f t="shared" si="2130"/>
        <v/>
      </c>
      <c r="BK1252" s="418" t="str">
        <f t="shared" si="2131"/>
        <v/>
      </c>
      <c r="BL1252" s="418" t="str">
        <f t="shared" si="2132"/>
        <v/>
      </c>
      <c r="BM1252" s="418" t="str">
        <f t="shared" si="2133"/>
        <v/>
      </c>
      <c r="BN1252" s="418" t="str">
        <f t="shared" si="2134"/>
        <v/>
      </c>
      <c r="BO1252" s="418" t="str">
        <f t="shared" si="2135"/>
        <v/>
      </c>
      <c r="BP1252" s="418" t="str">
        <f t="shared" si="2136"/>
        <v/>
      </c>
      <c r="BQ1252" s="418" t="str">
        <f t="shared" si="2137"/>
        <v/>
      </c>
      <c r="BR1252" s="418" t="str">
        <f t="shared" si="2138"/>
        <v/>
      </c>
      <c r="BS1252" s="418" t="str">
        <f t="shared" si="2139"/>
        <v/>
      </c>
      <c r="BT1252" s="418" t="str">
        <f t="shared" si="2140"/>
        <v/>
      </c>
      <c r="BU1252" s="418" t="str">
        <f t="shared" si="2141"/>
        <v/>
      </c>
      <c r="BV1252" s="624">
        <v>0.77</v>
      </c>
      <c r="BW1252" s="723">
        <f t="shared" si="2142"/>
        <v>13860</v>
      </c>
      <c r="BX1252" s="724">
        <f t="shared" si="2143"/>
        <v>107415</v>
      </c>
      <c r="BY1252" s="725" t="str">
        <f t="shared" si="2144"/>
        <v>JC</v>
      </c>
    </row>
    <row r="1253" s="697" customFormat="1" customHeight="1" spans="1:77">
      <c r="A1253" s="362">
        <v>46241</v>
      </c>
      <c r="B1253" s="362">
        <v>46304</v>
      </c>
      <c r="C1253" s="431" t="s">
        <v>1119</v>
      </c>
      <c r="D1253" s="431" t="s">
        <v>1120</v>
      </c>
      <c r="E1253" s="431" t="s">
        <v>59</v>
      </c>
      <c r="F1253" s="96">
        <v>3816</v>
      </c>
      <c r="G1253" s="431" t="s">
        <v>270</v>
      </c>
      <c r="H1253" s="118" t="str">
        <f>IFERROR(VLOOKUP(E1253,名称!A:E,4,0),"")</f>
        <v>三代</v>
      </c>
      <c r="I1253" s="418" t="str">
        <f t="shared" si="2077"/>
        <v/>
      </c>
      <c r="J1253" s="418" t="str">
        <f t="shared" si="2078"/>
        <v/>
      </c>
      <c r="K1253" s="418" t="str">
        <f t="shared" si="2079"/>
        <v/>
      </c>
      <c r="L1253" s="418" t="str">
        <f t="shared" si="2080"/>
        <v/>
      </c>
      <c r="M1253" s="418" t="str">
        <f t="shared" si="2081"/>
        <v/>
      </c>
      <c r="N1253" s="418" t="str">
        <f t="shared" si="2082"/>
        <v/>
      </c>
      <c r="O1253" s="418" t="str">
        <f t="shared" si="2083"/>
        <v/>
      </c>
      <c r="P1253" s="418" t="str">
        <f t="shared" si="2084"/>
        <v/>
      </c>
      <c r="Q1253" s="418" t="str">
        <f t="shared" si="2085"/>
        <v/>
      </c>
      <c r="R1253" s="418" t="str">
        <f t="shared" si="2086"/>
        <v/>
      </c>
      <c r="S1253" s="418" t="str">
        <f t="shared" si="2087"/>
        <v/>
      </c>
      <c r="T1253" s="418" t="str">
        <f t="shared" si="2088"/>
        <v/>
      </c>
      <c r="U1253" s="418" t="str">
        <f t="shared" si="2089"/>
        <v/>
      </c>
      <c r="V1253" s="418" t="str">
        <f t="shared" si="2090"/>
        <v/>
      </c>
      <c r="W1253" s="418" t="str">
        <f t="shared" si="2091"/>
        <v/>
      </c>
      <c r="X1253" s="418" t="str">
        <f t="shared" si="2092"/>
        <v/>
      </c>
      <c r="Y1253" s="418" t="str">
        <f t="shared" si="2093"/>
        <v/>
      </c>
      <c r="Z1253" s="418" t="str">
        <f t="shared" si="2094"/>
        <v/>
      </c>
      <c r="AA1253" s="418" t="str">
        <f t="shared" si="2095"/>
        <v/>
      </c>
      <c r="AB1253" s="418" t="str">
        <f t="shared" si="2096"/>
        <v/>
      </c>
      <c r="AC1253" s="418" t="str">
        <f t="shared" si="2097"/>
        <v/>
      </c>
      <c r="AD1253" s="418">
        <f t="shared" si="2098"/>
        <v>3816</v>
      </c>
      <c r="AE1253" s="418" t="str">
        <f t="shared" si="2099"/>
        <v/>
      </c>
      <c r="AF1253" s="418" t="str">
        <f t="shared" si="2100"/>
        <v/>
      </c>
      <c r="AG1253" s="418" t="str">
        <f t="shared" si="2101"/>
        <v/>
      </c>
      <c r="AH1253" s="418" t="str">
        <f t="shared" si="2102"/>
        <v/>
      </c>
      <c r="AI1253" s="418" t="str">
        <f t="shared" si="2103"/>
        <v/>
      </c>
      <c r="AJ1253" s="418" t="str">
        <f t="shared" si="2104"/>
        <v/>
      </c>
      <c r="AK1253" s="418" t="str">
        <f t="shared" si="2105"/>
        <v/>
      </c>
      <c r="AL1253" s="418" t="str">
        <f t="shared" si="2106"/>
        <v/>
      </c>
      <c r="AM1253" s="418" t="str">
        <f t="shared" si="2107"/>
        <v/>
      </c>
      <c r="AN1253" s="418" t="str">
        <f t="shared" si="2108"/>
        <v/>
      </c>
      <c r="AO1253" s="418" t="str">
        <f t="shared" si="2109"/>
        <v/>
      </c>
      <c r="AP1253" s="418" t="str">
        <f t="shared" si="2110"/>
        <v/>
      </c>
      <c r="AQ1253" s="418" t="str">
        <f t="shared" si="2111"/>
        <v/>
      </c>
      <c r="AR1253" s="418" t="str">
        <f t="shared" si="2112"/>
        <v/>
      </c>
      <c r="AS1253" s="418" t="str">
        <f t="shared" si="2113"/>
        <v/>
      </c>
      <c r="AT1253" s="418" t="str">
        <f t="shared" si="2114"/>
        <v/>
      </c>
      <c r="AU1253" s="418" t="str">
        <f t="shared" si="2115"/>
        <v/>
      </c>
      <c r="AV1253" s="418" t="str">
        <f t="shared" si="2116"/>
        <v/>
      </c>
      <c r="AW1253" s="418" t="str">
        <f t="shared" si="2117"/>
        <v/>
      </c>
      <c r="AX1253" s="418" t="str">
        <f t="shared" si="2118"/>
        <v/>
      </c>
      <c r="AY1253" s="418" t="str">
        <f t="shared" si="2119"/>
        <v/>
      </c>
      <c r="AZ1253" s="418" t="str">
        <f t="shared" si="2120"/>
        <v/>
      </c>
      <c r="BA1253" s="418" t="str">
        <f t="shared" si="2121"/>
        <v/>
      </c>
      <c r="BB1253" s="418" t="str">
        <f t="shared" si="2122"/>
        <v/>
      </c>
      <c r="BC1253" s="418" t="str">
        <f t="shared" si="2123"/>
        <v/>
      </c>
      <c r="BD1253" s="418" t="str">
        <f t="shared" si="2124"/>
        <v/>
      </c>
      <c r="BE1253" s="418" t="str">
        <f t="shared" si="2125"/>
        <v/>
      </c>
      <c r="BF1253" s="418" t="str">
        <f t="shared" si="2126"/>
        <v/>
      </c>
      <c r="BG1253" s="418" t="str">
        <f t="shared" si="2127"/>
        <v/>
      </c>
      <c r="BH1253" s="418" t="str">
        <f t="shared" si="2128"/>
        <v/>
      </c>
      <c r="BI1253" s="418" t="str">
        <f t="shared" si="2129"/>
        <v/>
      </c>
      <c r="BJ1253" s="418" t="str">
        <f t="shared" si="2130"/>
        <v/>
      </c>
      <c r="BK1253" s="418" t="str">
        <f t="shared" si="2131"/>
        <v/>
      </c>
      <c r="BL1253" s="418" t="str">
        <f t="shared" si="2132"/>
        <v/>
      </c>
      <c r="BM1253" s="418" t="str">
        <f t="shared" si="2133"/>
        <v/>
      </c>
      <c r="BN1253" s="418" t="str">
        <f t="shared" si="2134"/>
        <v/>
      </c>
      <c r="BO1253" s="418" t="str">
        <f t="shared" si="2135"/>
        <v/>
      </c>
      <c r="BP1253" s="418" t="str">
        <f t="shared" si="2136"/>
        <v/>
      </c>
      <c r="BQ1253" s="418" t="str">
        <f t="shared" si="2137"/>
        <v/>
      </c>
      <c r="BR1253" s="418" t="str">
        <f t="shared" si="2138"/>
        <v/>
      </c>
      <c r="BS1253" s="418" t="str">
        <f t="shared" si="2139"/>
        <v/>
      </c>
      <c r="BT1253" s="418" t="str">
        <f t="shared" si="2140"/>
        <v/>
      </c>
      <c r="BU1253" s="418" t="str">
        <f t="shared" si="2141"/>
        <v/>
      </c>
      <c r="BV1253" s="624">
        <v>0.62</v>
      </c>
      <c r="BW1253" s="723">
        <f t="shared" si="2142"/>
        <v>2365.92</v>
      </c>
      <c r="BX1253" s="724">
        <f t="shared" si="2143"/>
        <v>18335.88</v>
      </c>
      <c r="BY1253" s="725" t="str">
        <f t="shared" si="2144"/>
        <v>SR</v>
      </c>
    </row>
    <row r="1254" s="697" customFormat="1" customHeight="1" spans="1:77">
      <c r="A1254" s="362">
        <v>46241</v>
      </c>
      <c r="B1254" s="362">
        <v>46318</v>
      </c>
      <c r="C1254" s="431" t="s">
        <v>1121</v>
      </c>
      <c r="D1254" s="431" t="s">
        <v>1122</v>
      </c>
      <c r="E1254" s="431" t="s">
        <v>59</v>
      </c>
      <c r="F1254" s="96">
        <v>5016</v>
      </c>
      <c r="G1254" s="431" t="s">
        <v>270</v>
      </c>
      <c r="H1254" s="118" t="str">
        <f>IFERROR(VLOOKUP(E1254,名称!A:E,4,0),"")</f>
        <v>三代</v>
      </c>
      <c r="I1254" s="418" t="str">
        <f t="shared" si="2077"/>
        <v/>
      </c>
      <c r="J1254" s="418" t="str">
        <f t="shared" si="2078"/>
        <v/>
      </c>
      <c r="K1254" s="418" t="str">
        <f t="shared" si="2079"/>
        <v/>
      </c>
      <c r="L1254" s="418" t="str">
        <f t="shared" si="2080"/>
        <v/>
      </c>
      <c r="M1254" s="418" t="str">
        <f t="shared" si="2081"/>
        <v/>
      </c>
      <c r="N1254" s="418" t="str">
        <f t="shared" si="2082"/>
        <v/>
      </c>
      <c r="O1254" s="418" t="str">
        <f t="shared" si="2083"/>
        <v/>
      </c>
      <c r="P1254" s="418" t="str">
        <f t="shared" si="2084"/>
        <v/>
      </c>
      <c r="Q1254" s="418" t="str">
        <f t="shared" si="2085"/>
        <v/>
      </c>
      <c r="R1254" s="418" t="str">
        <f t="shared" si="2086"/>
        <v/>
      </c>
      <c r="S1254" s="418" t="str">
        <f t="shared" si="2087"/>
        <v/>
      </c>
      <c r="T1254" s="418" t="str">
        <f t="shared" si="2088"/>
        <v/>
      </c>
      <c r="U1254" s="418" t="str">
        <f t="shared" si="2089"/>
        <v/>
      </c>
      <c r="V1254" s="418" t="str">
        <f t="shared" si="2090"/>
        <v/>
      </c>
      <c r="W1254" s="418" t="str">
        <f t="shared" si="2091"/>
        <v/>
      </c>
      <c r="X1254" s="418" t="str">
        <f t="shared" si="2092"/>
        <v/>
      </c>
      <c r="Y1254" s="418" t="str">
        <f t="shared" si="2093"/>
        <v/>
      </c>
      <c r="Z1254" s="418" t="str">
        <f t="shared" si="2094"/>
        <v/>
      </c>
      <c r="AA1254" s="418" t="str">
        <f t="shared" si="2095"/>
        <v/>
      </c>
      <c r="AB1254" s="418" t="str">
        <f t="shared" si="2096"/>
        <v/>
      </c>
      <c r="AC1254" s="418" t="str">
        <f t="shared" si="2097"/>
        <v/>
      </c>
      <c r="AD1254" s="418">
        <f t="shared" si="2098"/>
        <v>5016</v>
      </c>
      <c r="AE1254" s="418" t="str">
        <f t="shared" si="2099"/>
        <v/>
      </c>
      <c r="AF1254" s="418" t="str">
        <f t="shared" si="2100"/>
        <v/>
      </c>
      <c r="AG1254" s="418" t="str">
        <f t="shared" si="2101"/>
        <v/>
      </c>
      <c r="AH1254" s="418" t="str">
        <f t="shared" si="2102"/>
        <v/>
      </c>
      <c r="AI1254" s="418" t="str">
        <f t="shared" si="2103"/>
        <v/>
      </c>
      <c r="AJ1254" s="418" t="str">
        <f t="shared" si="2104"/>
        <v/>
      </c>
      <c r="AK1254" s="418" t="str">
        <f t="shared" si="2105"/>
        <v/>
      </c>
      <c r="AL1254" s="418" t="str">
        <f t="shared" si="2106"/>
        <v/>
      </c>
      <c r="AM1254" s="418" t="str">
        <f t="shared" si="2107"/>
        <v/>
      </c>
      <c r="AN1254" s="418" t="str">
        <f t="shared" si="2108"/>
        <v/>
      </c>
      <c r="AO1254" s="418" t="str">
        <f t="shared" si="2109"/>
        <v/>
      </c>
      <c r="AP1254" s="418" t="str">
        <f t="shared" si="2110"/>
        <v/>
      </c>
      <c r="AQ1254" s="418" t="str">
        <f t="shared" si="2111"/>
        <v/>
      </c>
      <c r="AR1254" s="418" t="str">
        <f t="shared" si="2112"/>
        <v/>
      </c>
      <c r="AS1254" s="418" t="str">
        <f t="shared" si="2113"/>
        <v/>
      </c>
      <c r="AT1254" s="418" t="str">
        <f t="shared" si="2114"/>
        <v/>
      </c>
      <c r="AU1254" s="418" t="str">
        <f t="shared" si="2115"/>
        <v/>
      </c>
      <c r="AV1254" s="418" t="str">
        <f t="shared" si="2116"/>
        <v/>
      </c>
      <c r="AW1254" s="418" t="str">
        <f t="shared" si="2117"/>
        <v/>
      </c>
      <c r="AX1254" s="418" t="str">
        <f t="shared" si="2118"/>
        <v/>
      </c>
      <c r="AY1254" s="418" t="str">
        <f t="shared" si="2119"/>
        <v/>
      </c>
      <c r="AZ1254" s="418" t="str">
        <f t="shared" si="2120"/>
        <v/>
      </c>
      <c r="BA1254" s="418" t="str">
        <f t="shared" si="2121"/>
        <v/>
      </c>
      <c r="BB1254" s="418" t="str">
        <f t="shared" si="2122"/>
        <v/>
      </c>
      <c r="BC1254" s="418" t="str">
        <f t="shared" si="2123"/>
        <v/>
      </c>
      <c r="BD1254" s="418" t="str">
        <f t="shared" si="2124"/>
        <v/>
      </c>
      <c r="BE1254" s="418" t="str">
        <f t="shared" si="2125"/>
        <v/>
      </c>
      <c r="BF1254" s="418" t="str">
        <f t="shared" si="2126"/>
        <v/>
      </c>
      <c r="BG1254" s="418" t="str">
        <f t="shared" si="2127"/>
        <v/>
      </c>
      <c r="BH1254" s="418" t="str">
        <f t="shared" si="2128"/>
        <v/>
      </c>
      <c r="BI1254" s="418" t="str">
        <f t="shared" si="2129"/>
        <v/>
      </c>
      <c r="BJ1254" s="418" t="str">
        <f t="shared" si="2130"/>
        <v/>
      </c>
      <c r="BK1254" s="418" t="str">
        <f t="shared" si="2131"/>
        <v/>
      </c>
      <c r="BL1254" s="418" t="str">
        <f t="shared" si="2132"/>
        <v/>
      </c>
      <c r="BM1254" s="418" t="str">
        <f t="shared" si="2133"/>
        <v/>
      </c>
      <c r="BN1254" s="418" t="str">
        <f t="shared" si="2134"/>
        <v/>
      </c>
      <c r="BO1254" s="418" t="str">
        <f t="shared" si="2135"/>
        <v/>
      </c>
      <c r="BP1254" s="418" t="str">
        <f t="shared" si="2136"/>
        <v/>
      </c>
      <c r="BQ1254" s="418" t="str">
        <f t="shared" si="2137"/>
        <v/>
      </c>
      <c r="BR1254" s="418" t="str">
        <f t="shared" si="2138"/>
        <v/>
      </c>
      <c r="BS1254" s="418" t="str">
        <f t="shared" si="2139"/>
        <v/>
      </c>
      <c r="BT1254" s="418" t="str">
        <f t="shared" si="2140"/>
        <v/>
      </c>
      <c r="BU1254" s="418" t="str">
        <f t="shared" si="2141"/>
        <v/>
      </c>
      <c r="BV1254" s="624">
        <v>0.62</v>
      </c>
      <c r="BW1254" s="723">
        <f t="shared" si="2142"/>
        <v>3109.92</v>
      </c>
      <c r="BX1254" s="724">
        <f t="shared" si="2143"/>
        <v>24101.88</v>
      </c>
      <c r="BY1254" s="725" t="str">
        <f t="shared" si="2144"/>
        <v>SR</v>
      </c>
    </row>
    <row r="1255" s="697" customFormat="1" customHeight="1" spans="1:77">
      <c r="A1255" s="362">
        <v>46241</v>
      </c>
      <c r="B1255" s="362">
        <v>46367</v>
      </c>
      <c r="C1255" s="431" t="s">
        <v>1123</v>
      </c>
      <c r="D1255" s="431" t="s">
        <v>1124</v>
      </c>
      <c r="E1255" s="431" t="s">
        <v>59</v>
      </c>
      <c r="F1255" s="96">
        <v>4008</v>
      </c>
      <c r="G1255" s="431" t="s">
        <v>270</v>
      </c>
      <c r="H1255" s="118" t="str">
        <f>IFERROR(VLOOKUP(E1255,名称!A:E,4,0),"")</f>
        <v>三代</v>
      </c>
      <c r="I1255" s="418" t="str">
        <f t="shared" si="2077"/>
        <v/>
      </c>
      <c r="J1255" s="418" t="str">
        <f t="shared" si="2078"/>
        <v/>
      </c>
      <c r="K1255" s="418" t="str">
        <f t="shared" si="2079"/>
        <v/>
      </c>
      <c r="L1255" s="418" t="str">
        <f t="shared" si="2080"/>
        <v/>
      </c>
      <c r="M1255" s="418" t="str">
        <f t="shared" si="2081"/>
        <v/>
      </c>
      <c r="N1255" s="418" t="str">
        <f t="shared" si="2082"/>
        <v/>
      </c>
      <c r="O1255" s="418" t="str">
        <f t="shared" si="2083"/>
        <v/>
      </c>
      <c r="P1255" s="418" t="str">
        <f t="shared" si="2084"/>
        <v/>
      </c>
      <c r="Q1255" s="418" t="str">
        <f t="shared" si="2085"/>
        <v/>
      </c>
      <c r="R1255" s="418" t="str">
        <f t="shared" si="2086"/>
        <v/>
      </c>
      <c r="S1255" s="418" t="str">
        <f t="shared" si="2087"/>
        <v/>
      </c>
      <c r="T1255" s="418" t="str">
        <f t="shared" si="2088"/>
        <v/>
      </c>
      <c r="U1255" s="418" t="str">
        <f t="shared" si="2089"/>
        <v/>
      </c>
      <c r="V1255" s="418" t="str">
        <f t="shared" si="2090"/>
        <v/>
      </c>
      <c r="W1255" s="418" t="str">
        <f t="shared" si="2091"/>
        <v/>
      </c>
      <c r="X1255" s="418" t="str">
        <f t="shared" si="2092"/>
        <v/>
      </c>
      <c r="Y1255" s="418" t="str">
        <f t="shared" si="2093"/>
        <v/>
      </c>
      <c r="Z1255" s="418" t="str">
        <f t="shared" si="2094"/>
        <v/>
      </c>
      <c r="AA1255" s="418" t="str">
        <f t="shared" si="2095"/>
        <v/>
      </c>
      <c r="AB1255" s="418" t="str">
        <f t="shared" si="2096"/>
        <v/>
      </c>
      <c r="AC1255" s="418" t="str">
        <f t="shared" si="2097"/>
        <v/>
      </c>
      <c r="AD1255" s="418">
        <f t="shared" si="2098"/>
        <v>4008</v>
      </c>
      <c r="AE1255" s="418" t="str">
        <f t="shared" si="2099"/>
        <v/>
      </c>
      <c r="AF1255" s="418" t="str">
        <f t="shared" si="2100"/>
        <v/>
      </c>
      <c r="AG1255" s="418" t="str">
        <f t="shared" si="2101"/>
        <v/>
      </c>
      <c r="AH1255" s="418" t="str">
        <f t="shared" si="2102"/>
        <v/>
      </c>
      <c r="AI1255" s="418" t="str">
        <f t="shared" si="2103"/>
        <v/>
      </c>
      <c r="AJ1255" s="418" t="str">
        <f t="shared" si="2104"/>
        <v/>
      </c>
      <c r="AK1255" s="418" t="str">
        <f t="shared" si="2105"/>
        <v/>
      </c>
      <c r="AL1255" s="418" t="str">
        <f t="shared" si="2106"/>
        <v/>
      </c>
      <c r="AM1255" s="418" t="str">
        <f t="shared" si="2107"/>
        <v/>
      </c>
      <c r="AN1255" s="418" t="str">
        <f t="shared" si="2108"/>
        <v/>
      </c>
      <c r="AO1255" s="418" t="str">
        <f t="shared" si="2109"/>
        <v/>
      </c>
      <c r="AP1255" s="418" t="str">
        <f t="shared" si="2110"/>
        <v/>
      </c>
      <c r="AQ1255" s="418" t="str">
        <f t="shared" si="2111"/>
        <v/>
      </c>
      <c r="AR1255" s="418" t="str">
        <f t="shared" si="2112"/>
        <v/>
      </c>
      <c r="AS1255" s="418" t="str">
        <f t="shared" si="2113"/>
        <v/>
      </c>
      <c r="AT1255" s="418" t="str">
        <f t="shared" si="2114"/>
        <v/>
      </c>
      <c r="AU1255" s="418" t="str">
        <f t="shared" si="2115"/>
        <v/>
      </c>
      <c r="AV1255" s="418" t="str">
        <f t="shared" si="2116"/>
        <v/>
      </c>
      <c r="AW1255" s="418" t="str">
        <f t="shared" si="2117"/>
        <v/>
      </c>
      <c r="AX1255" s="418" t="str">
        <f t="shared" si="2118"/>
        <v/>
      </c>
      <c r="AY1255" s="418" t="str">
        <f t="shared" si="2119"/>
        <v/>
      </c>
      <c r="AZ1255" s="418" t="str">
        <f t="shared" si="2120"/>
        <v/>
      </c>
      <c r="BA1255" s="418" t="str">
        <f t="shared" si="2121"/>
        <v/>
      </c>
      <c r="BB1255" s="418" t="str">
        <f t="shared" si="2122"/>
        <v/>
      </c>
      <c r="BC1255" s="418" t="str">
        <f t="shared" si="2123"/>
        <v/>
      </c>
      <c r="BD1255" s="418" t="str">
        <f t="shared" si="2124"/>
        <v/>
      </c>
      <c r="BE1255" s="418" t="str">
        <f t="shared" si="2125"/>
        <v/>
      </c>
      <c r="BF1255" s="418" t="str">
        <f t="shared" si="2126"/>
        <v/>
      </c>
      <c r="BG1255" s="418" t="str">
        <f t="shared" si="2127"/>
        <v/>
      </c>
      <c r="BH1255" s="418" t="str">
        <f t="shared" si="2128"/>
        <v/>
      </c>
      <c r="BI1255" s="418" t="str">
        <f t="shared" si="2129"/>
        <v/>
      </c>
      <c r="BJ1255" s="418" t="str">
        <f t="shared" si="2130"/>
        <v/>
      </c>
      <c r="BK1255" s="418" t="str">
        <f t="shared" si="2131"/>
        <v/>
      </c>
      <c r="BL1255" s="418" t="str">
        <f t="shared" si="2132"/>
        <v/>
      </c>
      <c r="BM1255" s="418" t="str">
        <f t="shared" si="2133"/>
        <v/>
      </c>
      <c r="BN1255" s="418" t="str">
        <f t="shared" si="2134"/>
        <v/>
      </c>
      <c r="BO1255" s="418" t="str">
        <f t="shared" si="2135"/>
        <v/>
      </c>
      <c r="BP1255" s="418" t="str">
        <f t="shared" si="2136"/>
        <v/>
      </c>
      <c r="BQ1255" s="418" t="str">
        <f t="shared" si="2137"/>
        <v/>
      </c>
      <c r="BR1255" s="418" t="str">
        <f t="shared" si="2138"/>
        <v/>
      </c>
      <c r="BS1255" s="418" t="str">
        <f t="shared" si="2139"/>
        <v/>
      </c>
      <c r="BT1255" s="418" t="str">
        <f t="shared" si="2140"/>
        <v/>
      </c>
      <c r="BU1255" s="418" t="str">
        <f t="shared" si="2141"/>
        <v/>
      </c>
      <c r="BV1255" s="624">
        <v>0.62</v>
      </c>
      <c r="BW1255" s="723">
        <f t="shared" si="2142"/>
        <v>2484.96</v>
      </c>
      <c r="BX1255" s="724">
        <f t="shared" si="2143"/>
        <v>19258.44</v>
      </c>
      <c r="BY1255" s="725" t="str">
        <f t="shared" si="2144"/>
        <v>SR</v>
      </c>
    </row>
    <row r="1256" s="697" customFormat="1" customHeight="1" spans="1:77">
      <c r="A1256" s="362">
        <v>46241</v>
      </c>
      <c r="B1256" s="362">
        <v>46304</v>
      </c>
      <c r="C1256" s="431" t="s">
        <v>1125</v>
      </c>
      <c r="D1256" s="431" t="s">
        <v>1126</v>
      </c>
      <c r="E1256" s="431" t="s">
        <v>59</v>
      </c>
      <c r="F1256" s="96">
        <v>6000</v>
      </c>
      <c r="G1256" s="431" t="s">
        <v>270</v>
      </c>
      <c r="H1256" s="118" t="str">
        <f>IFERROR(VLOOKUP(E1256,名称!A:E,4,0),"")</f>
        <v>三代</v>
      </c>
      <c r="I1256" s="418" t="str">
        <f t="shared" si="2077"/>
        <v/>
      </c>
      <c r="J1256" s="418" t="str">
        <f t="shared" si="2078"/>
        <v/>
      </c>
      <c r="K1256" s="418" t="str">
        <f t="shared" si="2079"/>
        <v/>
      </c>
      <c r="L1256" s="418" t="str">
        <f t="shared" si="2080"/>
        <v/>
      </c>
      <c r="M1256" s="418" t="str">
        <f t="shared" si="2081"/>
        <v/>
      </c>
      <c r="N1256" s="418" t="str">
        <f t="shared" si="2082"/>
        <v/>
      </c>
      <c r="O1256" s="418" t="str">
        <f t="shared" si="2083"/>
        <v/>
      </c>
      <c r="P1256" s="418" t="str">
        <f t="shared" si="2084"/>
        <v/>
      </c>
      <c r="Q1256" s="418" t="str">
        <f t="shared" si="2085"/>
        <v/>
      </c>
      <c r="R1256" s="418" t="str">
        <f t="shared" si="2086"/>
        <v/>
      </c>
      <c r="S1256" s="418" t="str">
        <f t="shared" si="2087"/>
        <v/>
      </c>
      <c r="T1256" s="418" t="str">
        <f t="shared" si="2088"/>
        <v/>
      </c>
      <c r="U1256" s="418" t="str">
        <f t="shared" si="2089"/>
        <v/>
      </c>
      <c r="V1256" s="418" t="str">
        <f t="shared" si="2090"/>
        <v/>
      </c>
      <c r="W1256" s="418" t="str">
        <f t="shared" si="2091"/>
        <v/>
      </c>
      <c r="X1256" s="418" t="str">
        <f t="shared" si="2092"/>
        <v/>
      </c>
      <c r="Y1256" s="418" t="str">
        <f t="shared" si="2093"/>
        <v/>
      </c>
      <c r="Z1256" s="418" t="str">
        <f t="shared" si="2094"/>
        <v/>
      </c>
      <c r="AA1256" s="418" t="str">
        <f t="shared" si="2095"/>
        <v/>
      </c>
      <c r="AB1256" s="418" t="str">
        <f t="shared" si="2096"/>
        <v/>
      </c>
      <c r="AC1256" s="418" t="str">
        <f t="shared" si="2097"/>
        <v/>
      </c>
      <c r="AD1256" s="418">
        <f t="shared" si="2098"/>
        <v>6000</v>
      </c>
      <c r="AE1256" s="418" t="str">
        <f t="shared" si="2099"/>
        <v/>
      </c>
      <c r="AF1256" s="418" t="str">
        <f t="shared" si="2100"/>
        <v/>
      </c>
      <c r="AG1256" s="418" t="str">
        <f t="shared" si="2101"/>
        <v/>
      </c>
      <c r="AH1256" s="418" t="str">
        <f t="shared" si="2102"/>
        <v/>
      </c>
      <c r="AI1256" s="418" t="str">
        <f t="shared" si="2103"/>
        <v/>
      </c>
      <c r="AJ1256" s="418" t="str">
        <f t="shared" si="2104"/>
        <v/>
      </c>
      <c r="AK1256" s="418" t="str">
        <f t="shared" si="2105"/>
        <v/>
      </c>
      <c r="AL1256" s="418" t="str">
        <f t="shared" si="2106"/>
        <v/>
      </c>
      <c r="AM1256" s="418" t="str">
        <f t="shared" si="2107"/>
        <v/>
      </c>
      <c r="AN1256" s="418" t="str">
        <f t="shared" si="2108"/>
        <v/>
      </c>
      <c r="AO1256" s="418" t="str">
        <f t="shared" si="2109"/>
        <v/>
      </c>
      <c r="AP1256" s="418" t="str">
        <f t="shared" si="2110"/>
        <v/>
      </c>
      <c r="AQ1256" s="418" t="str">
        <f t="shared" si="2111"/>
        <v/>
      </c>
      <c r="AR1256" s="418" t="str">
        <f t="shared" si="2112"/>
        <v/>
      </c>
      <c r="AS1256" s="418" t="str">
        <f t="shared" si="2113"/>
        <v/>
      </c>
      <c r="AT1256" s="418" t="str">
        <f t="shared" si="2114"/>
        <v/>
      </c>
      <c r="AU1256" s="418" t="str">
        <f t="shared" si="2115"/>
        <v/>
      </c>
      <c r="AV1256" s="418" t="str">
        <f t="shared" si="2116"/>
        <v/>
      </c>
      <c r="AW1256" s="418" t="str">
        <f t="shared" si="2117"/>
        <v/>
      </c>
      <c r="AX1256" s="418" t="str">
        <f t="shared" si="2118"/>
        <v/>
      </c>
      <c r="AY1256" s="418" t="str">
        <f t="shared" si="2119"/>
        <v/>
      </c>
      <c r="AZ1256" s="418" t="str">
        <f t="shared" si="2120"/>
        <v/>
      </c>
      <c r="BA1256" s="418" t="str">
        <f t="shared" si="2121"/>
        <v/>
      </c>
      <c r="BB1256" s="418" t="str">
        <f t="shared" si="2122"/>
        <v/>
      </c>
      <c r="BC1256" s="418" t="str">
        <f t="shared" si="2123"/>
        <v/>
      </c>
      <c r="BD1256" s="418" t="str">
        <f t="shared" si="2124"/>
        <v/>
      </c>
      <c r="BE1256" s="418" t="str">
        <f t="shared" si="2125"/>
        <v/>
      </c>
      <c r="BF1256" s="418" t="str">
        <f t="shared" si="2126"/>
        <v/>
      </c>
      <c r="BG1256" s="418" t="str">
        <f t="shared" si="2127"/>
        <v/>
      </c>
      <c r="BH1256" s="418" t="str">
        <f t="shared" si="2128"/>
        <v/>
      </c>
      <c r="BI1256" s="418" t="str">
        <f t="shared" si="2129"/>
        <v/>
      </c>
      <c r="BJ1256" s="418" t="str">
        <f t="shared" si="2130"/>
        <v/>
      </c>
      <c r="BK1256" s="418" t="str">
        <f t="shared" si="2131"/>
        <v/>
      </c>
      <c r="BL1256" s="418" t="str">
        <f t="shared" si="2132"/>
        <v/>
      </c>
      <c r="BM1256" s="418" t="str">
        <f t="shared" si="2133"/>
        <v/>
      </c>
      <c r="BN1256" s="418" t="str">
        <f t="shared" si="2134"/>
        <v/>
      </c>
      <c r="BO1256" s="418" t="str">
        <f t="shared" si="2135"/>
        <v/>
      </c>
      <c r="BP1256" s="418" t="str">
        <f t="shared" si="2136"/>
        <v/>
      </c>
      <c r="BQ1256" s="418" t="str">
        <f t="shared" si="2137"/>
        <v/>
      </c>
      <c r="BR1256" s="418" t="str">
        <f t="shared" si="2138"/>
        <v/>
      </c>
      <c r="BS1256" s="418" t="str">
        <f t="shared" si="2139"/>
        <v/>
      </c>
      <c r="BT1256" s="418" t="str">
        <f t="shared" si="2140"/>
        <v/>
      </c>
      <c r="BU1256" s="418" t="str">
        <f t="shared" si="2141"/>
        <v/>
      </c>
      <c r="BV1256" s="624">
        <v>0.62</v>
      </c>
      <c r="BW1256" s="723">
        <f t="shared" si="2142"/>
        <v>3720</v>
      </c>
      <c r="BX1256" s="724">
        <f t="shared" si="2143"/>
        <v>28830</v>
      </c>
      <c r="BY1256" s="725" t="str">
        <f t="shared" si="2144"/>
        <v>SR</v>
      </c>
    </row>
    <row r="1257" s="697" customFormat="1" customHeight="1" spans="1:77">
      <c r="A1257" s="362">
        <v>46241</v>
      </c>
      <c r="B1257" s="362">
        <v>46304</v>
      </c>
      <c r="C1257" s="431" t="s">
        <v>1127</v>
      </c>
      <c r="D1257" s="431" t="s">
        <v>1128</v>
      </c>
      <c r="E1257" s="431" t="s">
        <v>59</v>
      </c>
      <c r="F1257" s="96">
        <v>5016</v>
      </c>
      <c r="G1257" s="431" t="s">
        <v>270</v>
      </c>
      <c r="H1257" s="118" t="str">
        <f>IFERROR(VLOOKUP(E1257,名称!A:E,4,0),"")</f>
        <v>三代</v>
      </c>
      <c r="I1257" s="418" t="str">
        <f t="shared" si="2077"/>
        <v/>
      </c>
      <c r="J1257" s="418" t="str">
        <f t="shared" si="2078"/>
        <v/>
      </c>
      <c r="K1257" s="418" t="str">
        <f t="shared" si="2079"/>
        <v/>
      </c>
      <c r="L1257" s="418" t="str">
        <f t="shared" si="2080"/>
        <v/>
      </c>
      <c r="M1257" s="418" t="str">
        <f t="shared" si="2081"/>
        <v/>
      </c>
      <c r="N1257" s="418" t="str">
        <f t="shared" si="2082"/>
        <v/>
      </c>
      <c r="O1257" s="418" t="str">
        <f t="shared" si="2083"/>
        <v/>
      </c>
      <c r="P1257" s="418" t="str">
        <f t="shared" si="2084"/>
        <v/>
      </c>
      <c r="Q1257" s="418" t="str">
        <f t="shared" si="2085"/>
        <v/>
      </c>
      <c r="R1257" s="418" t="str">
        <f t="shared" si="2086"/>
        <v/>
      </c>
      <c r="S1257" s="418" t="str">
        <f t="shared" si="2087"/>
        <v/>
      </c>
      <c r="T1257" s="418" t="str">
        <f t="shared" si="2088"/>
        <v/>
      </c>
      <c r="U1257" s="418" t="str">
        <f t="shared" si="2089"/>
        <v/>
      </c>
      <c r="V1257" s="418" t="str">
        <f t="shared" si="2090"/>
        <v/>
      </c>
      <c r="W1257" s="418" t="str">
        <f t="shared" si="2091"/>
        <v/>
      </c>
      <c r="X1257" s="418" t="str">
        <f t="shared" si="2092"/>
        <v/>
      </c>
      <c r="Y1257" s="418" t="str">
        <f t="shared" si="2093"/>
        <v/>
      </c>
      <c r="Z1257" s="418" t="str">
        <f t="shared" si="2094"/>
        <v/>
      </c>
      <c r="AA1257" s="418" t="str">
        <f t="shared" si="2095"/>
        <v/>
      </c>
      <c r="AB1257" s="418" t="str">
        <f t="shared" si="2096"/>
        <v/>
      </c>
      <c r="AC1257" s="418" t="str">
        <f t="shared" si="2097"/>
        <v/>
      </c>
      <c r="AD1257" s="418">
        <f t="shared" si="2098"/>
        <v>5016</v>
      </c>
      <c r="AE1257" s="418" t="str">
        <f t="shared" si="2099"/>
        <v/>
      </c>
      <c r="AF1257" s="418" t="str">
        <f t="shared" si="2100"/>
        <v/>
      </c>
      <c r="AG1257" s="418" t="str">
        <f t="shared" si="2101"/>
        <v/>
      </c>
      <c r="AH1257" s="418" t="str">
        <f t="shared" si="2102"/>
        <v/>
      </c>
      <c r="AI1257" s="418" t="str">
        <f t="shared" si="2103"/>
        <v/>
      </c>
      <c r="AJ1257" s="418" t="str">
        <f t="shared" si="2104"/>
        <v/>
      </c>
      <c r="AK1257" s="418" t="str">
        <f t="shared" si="2105"/>
        <v/>
      </c>
      <c r="AL1257" s="418" t="str">
        <f t="shared" si="2106"/>
        <v/>
      </c>
      <c r="AM1257" s="418" t="str">
        <f t="shared" si="2107"/>
        <v/>
      </c>
      <c r="AN1257" s="418" t="str">
        <f t="shared" si="2108"/>
        <v/>
      </c>
      <c r="AO1257" s="418" t="str">
        <f t="shared" si="2109"/>
        <v/>
      </c>
      <c r="AP1257" s="418" t="str">
        <f t="shared" si="2110"/>
        <v/>
      </c>
      <c r="AQ1257" s="418" t="str">
        <f t="shared" si="2111"/>
        <v/>
      </c>
      <c r="AR1257" s="418" t="str">
        <f t="shared" si="2112"/>
        <v/>
      </c>
      <c r="AS1257" s="418" t="str">
        <f t="shared" si="2113"/>
        <v/>
      </c>
      <c r="AT1257" s="418" t="str">
        <f t="shared" si="2114"/>
        <v/>
      </c>
      <c r="AU1257" s="418" t="str">
        <f t="shared" si="2115"/>
        <v/>
      </c>
      <c r="AV1257" s="418" t="str">
        <f t="shared" si="2116"/>
        <v/>
      </c>
      <c r="AW1257" s="418" t="str">
        <f t="shared" si="2117"/>
        <v/>
      </c>
      <c r="AX1257" s="418" t="str">
        <f t="shared" si="2118"/>
        <v/>
      </c>
      <c r="AY1257" s="418" t="str">
        <f t="shared" si="2119"/>
        <v/>
      </c>
      <c r="AZ1257" s="418" t="str">
        <f t="shared" si="2120"/>
        <v/>
      </c>
      <c r="BA1257" s="418" t="str">
        <f t="shared" si="2121"/>
        <v/>
      </c>
      <c r="BB1257" s="418" t="str">
        <f t="shared" si="2122"/>
        <v/>
      </c>
      <c r="BC1257" s="418" t="str">
        <f t="shared" si="2123"/>
        <v/>
      </c>
      <c r="BD1257" s="418" t="str">
        <f t="shared" si="2124"/>
        <v/>
      </c>
      <c r="BE1257" s="418" t="str">
        <f t="shared" si="2125"/>
        <v/>
      </c>
      <c r="BF1257" s="418" t="str">
        <f t="shared" si="2126"/>
        <v/>
      </c>
      <c r="BG1257" s="418" t="str">
        <f t="shared" si="2127"/>
        <v/>
      </c>
      <c r="BH1257" s="418" t="str">
        <f t="shared" si="2128"/>
        <v/>
      </c>
      <c r="BI1257" s="418" t="str">
        <f t="shared" si="2129"/>
        <v/>
      </c>
      <c r="BJ1257" s="418" t="str">
        <f t="shared" si="2130"/>
        <v/>
      </c>
      <c r="BK1257" s="418" t="str">
        <f t="shared" si="2131"/>
        <v/>
      </c>
      <c r="BL1257" s="418" t="str">
        <f t="shared" si="2132"/>
        <v/>
      </c>
      <c r="BM1257" s="418" t="str">
        <f t="shared" si="2133"/>
        <v/>
      </c>
      <c r="BN1257" s="418" t="str">
        <f t="shared" si="2134"/>
        <v/>
      </c>
      <c r="BO1257" s="418" t="str">
        <f t="shared" si="2135"/>
        <v/>
      </c>
      <c r="BP1257" s="418" t="str">
        <f t="shared" si="2136"/>
        <v/>
      </c>
      <c r="BQ1257" s="418" t="str">
        <f t="shared" si="2137"/>
        <v/>
      </c>
      <c r="BR1257" s="418" t="str">
        <f t="shared" si="2138"/>
        <v/>
      </c>
      <c r="BS1257" s="418" t="str">
        <f t="shared" si="2139"/>
        <v/>
      </c>
      <c r="BT1257" s="418" t="str">
        <f t="shared" si="2140"/>
        <v/>
      </c>
      <c r="BU1257" s="418" t="str">
        <f t="shared" si="2141"/>
        <v/>
      </c>
      <c r="BV1257" s="624">
        <v>0.62</v>
      </c>
      <c r="BW1257" s="723">
        <f t="shared" si="2142"/>
        <v>3109.92</v>
      </c>
      <c r="BX1257" s="724">
        <f t="shared" si="2143"/>
        <v>24101.88</v>
      </c>
      <c r="BY1257" s="725" t="str">
        <f t="shared" si="2144"/>
        <v>SR</v>
      </c>
    </row>
    <row r="1258" s="699" customFormat="1" customHeight="1" spans="1:77">
      <c r="A1258" s="566">
        <v>46244</v>
      </c>
      <c r="B1258" s="566">
        <v>46248</v>
      </c>
      <c r="C1258" s="422" t="s">
        <v>839</v>
      </c>
      <c r="D1258" s="422" t="s">
        <v>1129</v>
      </c>
      <c r="E1258" s="422" t="s">
        <v>119</v>
      </c>
      <c r="F1258" s="623">
        <v>50</v>
      </c>
      <c r="G1258" s="422" t="s">
        <v>510</v>
      </c>
      <c r="H1258" s="745" t="str">
        <f>IFERROR(VLOOKUP(E1258,名称!A:E,4,0),"")</f>
        <v>三代</v>
      </c>
      <c r="I1258" s="746" t="str">
        <f t="shared" ref="I1258:BT1258" si="2145">IF(OR($E1258="",I$1=""),"",IF(TRIM(LEFT($E1258,MIN(IFERROR(FIND("CDU",UPPER($E1258)),999),IFERROR(FIND("BULK",UPPER($E1258)),999),IFERROR(FIND("-",$E1258),999),IFERROR(FIND("（",$E1258),999))-1))=I$1,$F1258,""))</f>
        <v/>
      </c>
      <c r="J1258" s="746" t="str">
        <f t="shared" si="2145"/>
        <v/>
      </c>
      <c r="K1258" s="746" t="str">
        <f t="shared" si="2145"/>
        <v/>
      </c>
      <c r="L1258" s="746" t="str">
        <f t="shared" si="2145"/>
        <v/>
      </c>
      <c r="M1258" s="746" t="str">
        <f t="shared" si="2145"/>
        <v/>
      </c>
      <c r="N1258" s="746" t="str">
        <f t="shared" si="2145"/>
        <v/>
      </c>
      <c r="O1258" s="746" t="str">
        <f t="shared" si="2145"/>
        <v/>
      </c>
      <c r="P1258" s="746" t="str">
        <f t="shared" si="2145"/>
        <v/>
      </c>
      <c r="Q1258" s="746" t="str">
        <f t="shared" si="2145"/>
        <v/>
      </c>
      <c r="R1258" s="746" t="str">
        <f t="shared" si="2145"/>
        <v/>
      </c>
      <c r="S1258" s="746" t="str">
        <f t="shared" si="2145"/>
        <v/>
      </c>
      <c r="T1258" s="746" t="str">
        <f t="shared" si="2145"/>
        <v/>
      </c>
      <c r="U1258" s="746" t="str">
        <f t="shared" si="2145"/>
        <v/>
      </c>
      <c r="V1258" s="746" t="str">
        <f t="shared" si="2145"/>
        <v/>
      </c>
      <c r="W1258" s="746" t="str">
        <f t="shared" si="2145"/>
        <v/>
      </c>
      <c r="X1258" s="746" t="str">
        <f t="shared" si="2145"/>
        <v/>
      </c>
      <c r="Y1258" s="746" t="str">
        <f t="shared" si="2145"/>
        <v/>
      </c>
      <c r="Z1258" s="746" t="str">
        <f t="shared" si="2145"/>
        <v/>
      </c>
      <c r="AA1258" s="746" t="str">
        <f t="shared" si="2145"/>
        <v/>
      </c>
      <c r="AB1258" s="746" t="str">
        <f t="shared" si="2145"/>
        <v/>
      </c>
      <c r="AC1258" s="746" t="str">
        <f t="shared" si="2145"/>
        <v/>
      </c>
      <c r="AD1258" s="746" t="str">
        <f t="shared" si="2145"/>
        <v/>
      </c>
      <c r="AE1258" s="746" t="str">
        <f t="shared" si="2145"/>
        <v/>
      </c>
      <c r="AF1258" s="746" t="str">
        <f t="shared" si="2145"/>
        <v/>
      </c>
      <c r="AG1258" s="746" t="str">
        <f t="shared" si="2145"/>
        <v/>
      </c>
      <c r="AH1258" s="746" t="str">
        <f t="shared" si="2145"/>
        <v/>
      </c>
      <c r="AI1258" s="746" t="str">
        <f t="shared" si="2145"/>
        <v/>
      </c>
      <c r="AJ1258" s="746" t="str">
        <f t="shared" si="2145"/>
        <v/>
      </c>
      <c r="AK1258" s="746" t="str">
        <f t="shared" si="2145"/>
        <v/>
      </c>
      <c r="AL1258" s="746" t="str">
        <f t="shared" si="2145"/>
        <v/>
      </c>
      <c r="AM1258" s="746" t="str">
        <f t="shared" si="2145"/>
        <v/>
      </c>
      <c r="AN1258" s="746" t="str">
        <f t="shared" si="2145"/>
        <v/>
      </c>
      <c r="AO1258" s="746" t="str">
        <f t="shared" si="2145"/>
        <v/>
      </c>
      <c r="AP1258" s="746">
        <f t="shared" si="2145"/>
        <v>50</v>
      </c>
      <c r="AQ1258" s="746" t="str">
        <f t="shared" si="2145"/>
        <v/>
      </c>
      <c r="AR1258" s="746" t="str">
        <f t="shared" si="2145"/>
        <v/>
      </c>
      <c r="AS1258" s="746" t="str">
        <f t="shared" si="2145"/>
        <v/>
      </c>
      <c r="AT1258" s="746" t="str">
        <f t="shared" si="2145"/>
        <v/>
      </c>
      <c r="AU1258" s="746" t="str">
        <f t="shared" si="2145"/>
        <v/>
      </c>
      <c r="AV1258" s="746" t="str">
        <f t="shared" si="2145"/>
        <v/>
      </c>
      <c r="AW1258" s="746" t="str">
        <f t="shared" si="2145"/>
        <v/>
      </c>
      <c r="AX1258" s="746" t="str">
        <f t="shared" si="2145"/>
        <v/>
      </c>
      <c r="AY1258" s="746" t="str">
        <f t="shared" si="2145"/>
        <v/>
      </c>
      <c r="AZ1258" s="746" t="str">
        <f t="shared" si="2145"/>
        <v/>
      </c>
      <c r="BA1258" s="746" t="str">
        <f t="shared" si="2145"/>
        <v/>
      </c>
      <c r="BB1258" s="746" t="str">
        <f t="shared" si="2145"/>
        <v/>
      </c>
      <c r="BC1258" s="746" t="str">
        <f t="shared" si="2145"/>
        <v/>
      </c>
      <c r="BD1258" s="746" t="str">
        <f t="shared" si="2145"/>
        <v/>
      </c>
      <c r="BE1258" s="746" t="str">
        <f t="shared" si="2145"/>
        <v/>
      </c>
      <c r="BF1258" s="746" t="str">
        <f t="shared" si="2145"/>
        <v/>
      </c>
      <c r="BG1258" s="746" t="str">
        <f t="shared" si="2145"/>
        <v/>
      </c>
      <c r="BH1258" s="746" t="str">
        <f t="shared" si="2145"/>
        <v/>
      </c>
      <c r="BI1258" s="746" t="str">
        <f t="shared" si="2145"/>
        <v/>
      </c>
      <c r="BJ1258" s="746" t="str">
        <f t="shared" si="2145"/>
        <v/>
      </c>
      <c r="BK1258" s="746" t="str">
        <f t="shared" si="2145"/>
        <v/>
      </c>
      <c r="BL1258" s="746" t="str">
        <f t="shared" si="2145"/>
        <v/>
      </c>
      <c r="BM1258" s="746" t="str">
        <f t="shared" si="2145"/>
        <v/>
      </c>
      <c r="BN1258" s="746" t="str">
        <f t="shared" si="2145"/>
        <v/>
      </c>
      <c r="BO1258" s="746" t="str">
        <f t="shared" si="2145"/>
        <v/>
      </c>
      <c r="BP1258" s="746" t="str">
        <f t="shared" si="2145"/>
        <v/>
      </c>
      <c r="BQ1258" s="746" t="str">
        <f t="shared" si="2145"/>
        <v/>
      </c>
      <c r="BR1258" s="746" t="str">
        <f t="shared" si="2145"/>
        <v/>
      </c>
      <c r="BS1258" s="746" t="str">
        <f t="shared" si="2145"/>
        <v/>
      </c>
      <c r="BT1258" s="746" t="str">
        <f t="shared" si="2145"/>
        <v/>
      </c>
      <c r="BU1258" s="746" t="str">
        <f t="shared" si="2141"/>
        <v/>
      </c>
      <c r="BV1258" s="747"/>
      <c r="BW1258" s="748">
        <f t="shared" si="2142"/>
        <v>0</v>
      </c>
      <c r="BX1258" s="749">
        <f t="shared" si="2143"/>
        <v>0</v>
      </c>
      <c r="BY1258" s="750" t="str">
        <f t="shared" si="2144"/>
        <v>SR</v>
      </c>
    </row>
    <row r="1259" s="699" customFormat="1" customHeight="1" spans="1:77">
      <c r="A1259" s="566">
        <v>46244</v>
      </c>
      <c r="B1259" s="566">
        <v>46248</v>
      </c>
      <c r="C1259" s="422" t="s">
        <v>839</v>
      </c>
      <c r="D1259" s="604" t="s">
        <v>1130</v>
      </c>
      <c r="E1259" s="604" t="s">
        <v>125</v>
      </c>
      <c r="F1259" s="623">
        <v>26</v>
      </c>
      <c r="G1259" s="422" t="s">
        <v>510</v>
      </c>
      <c r="H1259" s="745" t="str">
        <f>IFERROR(VLOOKUP(E1259,名称!A:E,4,0),"")</f>
        <v>三代</v>
      </c>
      <c r="I1259" s="746" t="str">
        <f t="shared" ref="I1259:BT1259" si="2146">IF(OR($E1259="",I$1=""),"",IF(TRIM(LEFT($E1259,MIN(IFERROR(FIND("CDU",UPPER($E1259)),999),IFERROR(FIND("BULK",UPPER($E1259)),999),IFERROR(FIND("-",$E1259),999),IFERROR(FIND("（",$E1259),999))-1))=I$1,$F1259,""))</f>
        <v/>
      </c>
      <c r="J1259" s="746" t="str">
        <f t="shared" si="2146"/>
        <v/>
      </c>
      <c r="K1259" s="746" t="str">
        <f t="shared" si="2146"/>
        <v/>
      </c>
      <c r="L1259" s="746" t="str">
        <f t="shared" si="2146"/>
        <v/>
      </c>
      <c r="M1259" s="746" t="str">
        <f t="shared" si="2146"/>
        <v/>
      </c>
      <c r="N1259" s="746" t="str">
        <f t="shared" si="2146"/>
        <v/>
      </c>
      <c r="O1259" s="746" t="str">
        <f t="shared" si="2146"/>
        <v/>
      </c>
      <c r="P1259" s="746" t="str">
        <f t="shared" si="2146"/>
        <v/>
      </c>
      <c r="Q1259" s="746" t="str">
        <f t="shared" si="2146"/>
        <v/>
      </c>
      <c r="R1259" s="746" t="str">
        <f t="shared" si="2146"/>
        <v/>
      </c>
      <c r="S1259" s="746" t="str">
        <f t="shared" si="2146"/>
        <v/>
      </c>
      <c r="T1259" s="746" t="str">
        <f t="shared" si="2146"/>
        <v/>
      </c>
      <c r="U1259" s="746" t="str">
        <f t="shared" si="2146"/>
        <v/>
      </c>
      <c r="V1259" s="746" t="str">
        <f t="shared" si="2146"/>
        <v/>
      </c>
      <c r="W1259" s="746" t="str">
        <f t="shared" si="2146"/>
        <v/>
      </c>
      <c r="X1259" s="746" t="str">
        <f t="shared" si="2146"/>
        <v/>
      </c>
      <c r="Y1259" s="746" t="str">
        <f t="shared" si="2146"/>
        <v/>
      </c>
      <c r="Z1259" s="746" t="str">
        <f t="shared" si="2146"/>
        <v/>
      </c>
      <c r="AA1259" s="746" t="str">
        <f t="shared" si="2146"/>
        <v/>
      </c>
      <c r="AB1259" s="746" t="str">
        <f t="shared" si="2146"/>
        <v/>
      </c>
      <c r="AC1259" s="746" t="str">
        <f t="shared" si="2146"/>
        <v/>
      </c>
      <c r="AD1259" s="746" t="str">
        <f t="shared" si="2146"/>
        <v/>
      </c>
      <c r="AE1259" s="746" t="str">
        <f t="shared" si="2146"/>
        <v/>
      </c>
      <c r="AF1259" s="746" t="str">
        <f t="shared" si="2146"/>
        <v/>
      </c>
      <c r="AG1259" s="746" t="str">
        <f t="shared" si="2146"/>
        <v/>
      </c>
      <c r="AH1259" s="746" t="str">
        <f t="shared" si="2146"/>
        <v/>
      </c>
      <c r="AI1259" s="746" t="str">
        <f t="shared" si="2146"/>
        <v/>
      </c>
      <c r="AJ1259" s="746" t="str">
        <f t="shared" si="2146"/>
        <v/>
      </c>
      <c r="AK1259" s="746" t="str">
        <f t="shared" si="2146"/>
        <v/>
      </c>
      <c r="AL1259" s="746" t="str">
        <f t="shared" si="2146"/>
        <v/>
      </c>
      <c r="AM1259" s="746" t="str">
        <f t="shared" si="2146"/>
        <v/>
      </c>
      <c r="AN1259" s="746" t="str">
        <f t="shared" si="2146"/>
        <v/>
      </c>
      <c r="AO1259" s="746" t="str">
        <f t="shared" si="2146"/>
        <v/>
      </c>
      <c r="AP1259" s="746" t="str">
        <f t="shared" si="2146"/>
        <v/>
      </c>
      <c r="AQ1259" s="746" t="str">
        <f t="shared" si="2146"/>
        <v/>
      </c>
      <c r="AR1259" s="746">
        <f t="shared" si="2146"/>
        <v>26</v>
      </c>
      <c r="AS1259" s="746" t="str">
        <f t="shared" si="2146"/>
        <v/>
      </c>
      <c r="AT1259" s="746" t="str">
        <f t="shared" si="2146"/>
        <v/>
      </c>
      <c r="AU1259" s="746" t="str">
        <f t="shared" si="2146"/>
        <v/>
      </c>
      <c r="AV1259" s="746" t="str">
        <f t="shared" si="2146"/>
        <v/>
      </c>
      <c r="AW1259" s="746" t="str">
        <f t="shared" si="2146"/>
        <v/>
      </c>
      <c r="AX1259" s="746" t="str">
        <f t="shared" si="2146"/>
        <v/>
      </c>
      <c r="AY1259" s="746" t="str">
        <f t="shared" si="2146"/>
        <v/>
      </c>
      <c r="AZ1259" s="746" t="str">
        <f t="shared" si="2146"/>
        <v/>
      </c>
      <c r="BA1259" s="746" t="str">
        <f t="shared" si="2146"/>
        <v/>
      </c>
      <c r="BB1259" s="746" t="str">
        <f t="shared" si="2146"/>
        <v/>
      </c>
      <c r="BC1259" s="746" t="str">
        <f t="shared" si="2146"/>
        <v/>
      </c>
      <c r="BD1259" s="746" t="str">
        <f t="shared" si="2146"/>
        <v/>
      </c>
      <c r="BE1259" s="746" t="str">
        <f t="shared" si="2146"/>
        <v/>
      </c>
      <c r="BF1259" s="746" t="str">
        <f t="shared" si="2146"/>
        <v/>
      </c>
      <c r="BG1259" s="746" t="str">
        <f t="shared" si="2146"/>
        <v/>
      </c>
      <c r="BH1259" s="746" t="str">
        <f t="shared" si="2146"/>
        <v/>
      </c>
      <c r="BI1259" s="746" t="str">
        <f t="shared" si="2146"/>
        <v/>
      </c>
      <c r="BJ1259" s="746" t="str">
        <f t="shared" si="2146"/>
        <v/>
      </c>
      <c r="BK1259" s="746" t="str">
        <f t="shared" si="2146"/>
        <v/>
      </c>
      <c r="BL1259" s="746" t="str">
        <f t="shared" si="2146"/>
        <v/>
      </c>
      <c r="BM1259" s="746" t="str">
        <f t="shared" si="2146"/>
        <v/>
      </c>
      <c r="BN1259" s="746" t="str">
        <f t="shared" si="2146"/>
        <v/>
      </c>
      <c r="BO1259" s="746" t="str">
        <f t="shared" si="2146"/>
        <v/>
      </c>
      <c r="BP1259" s="746" t="str">
        <f t="shared" si="2146"/>
        <v/>
      </c>
      <c r="BQ1259" s="746" t="str">
        <f t="shared" si="2146"/>
        <v/>
      </c>
      <c r="BR1259" s="746" t="str">
        <f t="shared" si="2146"/>
        <v/>
      </c>
      <c r="BS1259" s="746" t="str">
        <f t="shared" si="2146"/>
        <v/>
      </c>
      <c r="BT1259" s="746" t="str">
        <f t="shared" si="2146"/>
        <v/>
      </c>
      <c r="BU1259" s="746" t="str">
        <f t="shared" si="2141"/>
        <v/>
      </c>
      <c r="BV1259" s="747"/>
      <c r="BW1259" s="748">
        <f t="shared" si="2142"/>
        <v>0</v>
      </c>
      <c r="BX1259" s="749">
        <f t="shared" si="2143"/>
        <v>0</v>
      </c>
      <c r="BY1259" s="750" t="str">
        <f t="shared" si="2144"/>
        <v>SR</v>
      </c>
    </row>
    <row r="1260" s="699" customFormat="1" customHeight="1" spans="1:77">
      <c r="A1260" s="566">
        <v>46244</v>
      </c>
      <c r="B1260" s="566">
        <v>46248</v>
      </c>
      <c r="C1260" s="422" t="s">
        <v>839</v>
      </c>
      <c r="D1260" s="604" t="s">
        <v>1131</v>
      </c>
      <c r="E1260" s="604" t="s">
        <v>117</v>
      </c>
      <c r="F1260" s="623">
        <v>2</v>
      </c>
      <c r="G1260" s="422" t="s">
        <v>334</v>
      </c>
      <c r="H1260" s="745" t="str">
        <f>IFERROR(VLOOKUP(E1260,名称!A:E,4,0),"")</f>
        <v>三代</v>
      </c>
      <c r="I1260" s="746" t="str">
        <f t="shared" ref="I1260:BT1260" si="2147">IF(OR($E1260="",I$1=""),"",IF(TRIM(LEFT($E1260,MIN(IFERROR(FIND("CDU",UPPER($E1260)),999),IFERROR(FIND("BULK",UPPER($E1260)),999),IFERROR(FIND("-",$E1260),999),IFERROR(FIND("（",$E1260),999))-1))=I$1,$F1260,""))</f>
        <v/>
      </c>
      <c r="J1260" s="746" t="str">
        <f t="shared" si="2147"/>
        <v/>
      </c>
      <c r="K1260" s="746" t="str">
        <f t="shared" si="2147"/>
        <v/>
      </c>
      <c r="L1260" s="746" t="str">
        <f t="shared" si="2147"/>
        <v/>
      </c>
      <c r="M1260" s="746" t="str">
        <f t="shared" si="2147"/>
        <v/>
      </c>
      <c r="N1260" s="746" t="str">
        <f t="shared" si="2147"/>
        <v/>
      </c>
      <c r="O1260" s="746" t="str">
        <f t="shared" si="2147"/>
        <v/>
      </c>
      <c r="P1260" s="746" t="str">
        <f t="shared" si="2147"/>
        <v/>
      </c>
      <c r="Q1260" s="746" t="str">
        <f t="shared" si="2147"/>
        <v/>
      </c>
      <c r="R1260" s="746" t="str">
        <f t="shared" si="2147"/>
        <v/>
      </c>
      <c r="S1260" s="746" t="str">
        <f t="shared" si="2147"/>
        <v/>
      </c>
      <c r="T1260" s="746" t="str">
        <f t="shared" si="2147"/>
        <v/>
      </c>
      <c r="U1260" s="746" t="str">
        <f t="shared" si="2147"/>
        <v/>
      </c>
      <c r="V1260" s="746" t="str">
        <f t="shared" si="2147"/>
        <v/>
      </c>
      <c r="W1260" s="746" t="str">
        <f t="shared" si="2147"/>
        <v/>
      </c>
      <c r="X1260" s="746" t="str">
        <f t="shared" si="2147"/>
        <v/>
      </c>
      <c r="Y1260" s="746" t="str">
        <f t="shared" si="2147"/>
        <v/>
      </c>
      <c r="Z1260" s="746" t="str">
        <f t="shared" si="2147"/>
        <v/>
      </c>
      <c r="AA1260" s="746" t="str">
        <f t="shared" si="2147"/>
        <v/>
      </c>
      <c r="AB1260" s="746" t="str">
        <f t="shared" si="2147"/>
        <v/>
      </c>
      <c r="AC1260" s="746" t="str">
        <f t="shared" si="2147"/>
        <v/>
      </c>
      <c r="AD1260" s="746" t="str">
        <f t="shared" si="2147"/>
        <v/>
      </c>
      <c r="AE1260" s="746" t="str">
        <f t="shared" si="2147"/>
        <v/>
      </c>
      <c r="AF1260" s="746" t="str">
        <f t="shared" si="2147"/>
        <v/>
      </c>
      <c r="AG1260" s="746" t="str">
        <f t="shared" si="2147"/>
        <v/>
      </c>
      <c r="AH1260" s="746" t="str">
        <f t="shared" si="2147"/>
        <v/>
      </c>
      <c r="AI1260" s="746" t="str">
        <f t="shared" si="2147"/>
        <v/>
      </c>
      <c r="AJ1260" s="746" t="str">
        <f t="shared" si="2147"/>
        <v/>
      </c>
      <c r="AK1260" s="746" t="str">
        <f t="shared" si="2147"/>
        <v/>
      </c>
      <c r="AL1260" s="746" t="str">
        <f t="shared" si="2147"/>
        <v/>
      </c>
      <c r="AM1260" s="746" t="str">
        <f t="shared" si="2147"/>
        <v/>
      </c>
      <c r="AN1260" s="746" t="str">
        <f t="shared" si="2147"/>
        <v/>
      </c>
      <c r="AO1260" s="746" t="str">
        <f t="shared" si="2147"/>
        <v/>
      </c>
      <c r="AP1260" s="746" t="str">
        <f t="shared" si="2147"/>
        <v/>
      </c>
      <c r="AQ1260" s="746">
        <f t="shared" si="2147"/>
        <v>2</v>
      </c>
      <c r="AR1260" s="746" t="str">
        <f t="shared" si="2147"/>
        <v/>
      </c>
      <c r="AS1260" s="746" t="str">
        <f t="shared" si="2147"/>
        <v/>
      </c>
      <c r="AT1260" s="746" t="str">
        <f t="shared" si="2147"/>
        <v/>
      </c>
      <c r="AU1260" s="746" t="str">
        <f t="shared" si="2147"/>
        <v/>
      </c>
      <c r="AV1260" s="746" t="str">
        <f t="shared" si="2147"/>
        <v/>
      </c>
      <c r="AW1260" s="746" t="str">
        <f t="shared" si="2147"/>
        <v/>
      </c>
      <c r="AX1260" s="746" t="str">
        <f t="shared" si="2147"/>
        <v/>
      </c>
      <c r="AY1260" s="746" t="str">
        <f t="shared" si="2147"/>
        <v/>
      </c>
      <c r="AZ1260" s="746" t="str">
        <f t="shared" si="2147"/>
        <v/>
      </c>
      <c r="BA1260" s="746" t="str">
        <f t="shared" si="2147"/>
        <v/>
      </c>
      <c r="BB1260" s="746" t="str">
        <f t="shared" si="2147"/>
        <v/>
      </c>
      <c r="BC1260" s="746" t="str">
        <f t="shared" si="2147"/>
        <v/>
      </c>
      <c r="BD1260" s="746" t="str">
        <f t="shared" si="2147"/>
        <v/>
      </c>
      <c r="BE1260" s="746" t="str">
        <f t="shared" si="2147"/>
        <v/>
      </c>
      <c r="BF1260" s="746" t="str">
        <f t="shared" si="2147"/>
        <v/>
      </c>
      <c r="BG1260" s="746" t="str">
        <f t="shared" si="2147"/>
        <v/>
      </c>
      <c r="BH1260" s="746" t="str">
        <f t="shared" si="2147"/>
        <v/>
      </c>
      <c r="BI1260" s="746" t="str">
        <f t="shared" si="2147"/>
        <v/>
      </c>
      <c r="BJ1260" s="746" t="str">
        <f t="shared" si="2147"/>
        <v/>
      </c>
      <c r="BK1260" s="746" t="str">
        <f t="shared" si="2147"/>
        <v/>
      </c>
      <c r="BL1260" s="746" t="str">
        <f t="shared" si="2147"/>
        <v/>
      </c>
      <c r="BM1260" s="746" t="str">
        <f t="shared" si="2147"/>
        <v/>
      </c>
      <c r="BN1260" s="746" t="str">
        <f t="shared" si="2147"/>
        <v/>
      </c>
      <c r="BO1260" s="746" t="str">
        <f t="shared" si="2147"/>
        <v/>
      </c>
      <c r="BP1260" s="746" t="str">
        <f t="shared" si="2147"/>
        <v/>
      </c>
      <c r="BQ1260" s="746" t="str">
        <f t="shared" si="2147"/>
        <v/>
      </c>
      <c r="BR1260" s="746" t="str">
        <f t="shared" si="2147"/>
        <v/>
      </c>
      <c r="BS1260" s="746" t="str">
        <f t="shared" si="2147"/>
        <v/>
      </c>
      <c r="BT1260" s="746" t="str">
        <f t="shared" si="2147"/>
        <v/>
      </c>
      <c r="BU1260" s="746" t="str">
        <f t="shared" si="2141"/>
        <v/>
      </c>
      <c r="BV1260" s="747"/>
      <c r="BW1260" s="748">
        <f t="shared" si="2142"/>
        <v>0</v>
      </c>
      <c r="BX1260" s="749">
        <f t="shared" si="2143"/>
        <v>0</v>
      </c>
      <c r="BY1260" s="750" t="str">
        <f t="shared" si="2144"/>
        <v>SR</v>
      </c>
    </row>
    <row r="1261" s="699" customFormat="1" customHeight="1" spans="1:77">
      <c r="A1261" s="566">
        <v>46244</v>
      </c>
      <c r="B1261" s="566">
        <v>46251</v>
      </c>
      <c r="C1261" s="422" t="s">
        <v>839</v>
      </c>
      <c r="D1261" s="422" t="s">
        <v>1132</v>
      </c>
      <c r="E1261" s="422" t="s">
        <v>1085</v>
      </c>
      <c r="F1261" s="623">
        <v>500</v>
      </c>
      <c r="G1261" s="422" t="s">
        <v>1133</v>
      </c>
      <c r="H1261" s="745" t="str">
        <f>IFERROR(VLOOKUP(E1261,名称!A:E,4,0),"")</f>
        <v/>
      </c>
      <c r="I1261" s="746" t="str">
        <f t="shared" ref="I1261:BT1261" si="2148">IF(OR($E1261="",I$1=""),"",IF(TRIM(LEFT($E1261,MIN(IFERROR(FIND("CDU",UPPER($E1261)),999),IFERROR(FIND("BULK",UPPER($E1261)),999),IFERROR(FIND("-",$E1261),999),IFERROR(FIND("（",$E1261),999))-1))=I$1,$F1261,""))</f>
        <v/>
      </c>
      <c r="J1261" s="746" t="str">
        <f t="shared" si="2148"/>
        <v/>
      </c>
      <c r="K1261" s="746" t="str">
        <f t="shared" si="2148"/>
        <v/>
      </c>
      <c r="L1261" s="746" t="str">
        <f t="shared" si="2148"/>
        <v/>
      </c>
      <c r="M1261" s="746" t="str">
        <f t="shared" si="2148"/>
        <v/>
      </c>
      <c r="N1261" s="746" t="str">
        <f t="shared" si="2148"/>
        <v/>
      </c>
      <c r="O1261" s="746" t="str">
        <f t="shared" si="2148"/>
        <v/>
      </c>
      <c r="P1261" s="746" t="str">
        <f t="shared" si="2148"/>
        <v/>
      </c>
      <c r="Q1261" s="746" t="str">
        <f t="shared" si="2148"/>
        <v/>
      </c>
      <c r="R1261" s="746" t="str">
        <f t="shared" si="2148"/>
        <v/>
      </c>
      <c r="S1261" s="746" t="str">
        <f t="shared" si="2148"/>
        <v/>
      </c>
      <c r="T1261" s="746" t="str">
        <f t="shared" si="2148"/>
        <v/>
      </c>
      <c r="U1261" s="746" t="str">
        <f t="shared" si="2148"/>
        <v/>
      </c>
      <c r="V1261" s="746" t="str">
        <f t="shared" si="2148"/>
        <v/>
      </c>
      <c r="W1261" s="746" t="str">
        <f t="shared" si="2148"/>
        <v/>
      </c>
      <c r="X1261" s="746" t="str">
        <f t="shared" si="2148"/>
        <v/>
      </c>
      <c r="Y1261" s="746" t="str">
        <f t="shared" si="2148"/>
        <v/>
      </c>
      <c r="Z1261" s="746" t="str">
        <f t="shared" si="2148"/>
        <v/>
      </c>
      <c r="AA1261" s="746" t="str">
        <f t="shared" si="2148"/>
        <v/>
      </c>
      <c r="AB1261" s="746" t="str">
        <f t="shared" si="2148"/>
        <v/>
      </c>
      <c r="AC1261" s="746" t="str">
        <f t="shared" si="2148"/>
        <v/>
      </c>
      <c r="AD1261" s="746">
        <f t="shared" si="2148"/>
        <v>500</v>
      </c>
      <c r="AE1261" s="746" t="str">
        <f t="shared" si="2148"/>
        <v/>
      </c>
      <c r="AF1261" s="746" t="str">
        <f t="shared" si="2148"/>
        <v/>
      </c>
      <c r="AG1261" s="746" t="str">
        <f t="shared" si="2148"/>
        <v/>
      </c>
      <c r="AH1261" s="746" t="str">
        <f t="shared" si="2148"/>
        <v/>
      </c>
      <c r="AI1261" s="746" t="str">
        <f t="shared" si="2148"/>
        <v/>
      </c>
      <c r="AJ1261" s="746" t="str">
        <f t="shared" si="2148"/>
        <v/>
      </c>
      <c r="AK1261" s="746" t="str">
        <f t="shared" si="2148"/>
        <v/>
      </c>
      <c r="AL1261" s="746" t="str">
        <f t="shared" si="2148"/>
        <v/>
      </c>
      <c r="AM1261" s="746" t="str">
        <f t="shared" si="2148"/>
        <v/>
      </c>
      <c r="AN1261" s="746" t="str">
        <f t="shared" si="2148"/>
        <v/>
      </c>
      <c r="AO1261" s="746" t="str">
        <f t="shared" si="2148"/>
        <v/>
      </c>
      <c r="AP1261" s="746" t="str">
        <f t="shared" si="2148"/>
        <v/>
      </c>
      <c r="AQ1261" s="746" t="str">
        <f t="shared" si="2148"/>
        <v/>
      </c>
      <c r="AR1261" s="746" t="str">
        <f t="shared" si="2148"/>
        <v/>
      </c>
      <c r="AS1261" s="746" t="str">
        <f t="shared" si="2148"/>
        <v/>
      </c>
      <c r="AT1261" s="746" t="str">
        <f t="shared" si="2148"/>
        <v/>
      </c>
      <c r="AU1261" s="746" t="str">
        <f t="shared" si="2148"/>
        <v/>
      </c>
      <c r="AV1261" s="746" t="str">
        <f t="shared" si="2148"/>
        <v/>
      </c>
      <c r="AW1261" s="746" t="str">
        <f t="shared" si="2148"/>
        <v/>
      </c>
      <c r="AX1261" s="746" t="str">
        <f t="shared" si="2148"/>
        <v/>
      </c>
      <c r="AY1261" s="746" t="str">
        <f t="shared" si="2148"/>
        <v/>
      </c>
      <c r="AZ1261" s="746" t="str">
        <f t="shared" si="2148"/>
        <v/>
      </c>
      <c r="BA1261" s="746" t="str">
        <f t="shared" si="2148"/>
        <v/>
      </c>
      <c r="BB1261" s="746" t="str">
        <f t="shared" si="2148"/>
        <v/>
      </c>
      <c r="BC1261" s="746" t="str">
        <f t="shared" si="2148"/>
        <v/>
      </c>
      <c r="BD1261" s="746" t="str">
        <f t="shared" si="2148"/>
        <v/>
      </c>
      <c r="BE1261" s="746" t="str">
        <f t="shared" si="2148"/>
        <v/>
      </c>
      <c r="BF1261" s="746" t="str">
        <f t="shared" si="2148"/>
        <v/>
      </c>
      <c r="BG1261" s="746" t="str">
        <f t="shared" si="2148"/>
        <v/>
      </c>
      <c r="BH1261" s="746" t="str">
        <f t="shared" si="2148"/>
        <v/>
      </c>
      <c r="BI1261" s="746" t="str">
        <f t="shared" si="2148"/>
        <v/>
      </c>
      <c r="BJ1261" s="746" t="str">
        <f t="shared" si="2148"/>
        <v/>
      </c>
      <c r="BK1261" s="746" t="str">
        <f t="shared" si="2148"/>
        <v/>
      </c>
      <c r="BL1261" s="746" t="str">
        <f t="shared" si="2148"/>
        <v/>
      </c>
      <c r="BM1261" s="746" t="str">
        <f t="shared" si="2148"/>
        <v/>
      </c>
      <c r="BN1261" s="746" t="str">
        <f t="shared" si="2148"/>
        <v/>
      </c>
      <c r="BO1261" s="746" t="str">
        <f t="shared" si="2148"/>
        <v/>
      </c>
      <c r="BP1261" s="746" t="str">
        <f t="shared" si="2148"/>
        <v/>
      </c>
      <c r="BQ1261" s="746" t="str">
        <f t="shared" si="2148"/>
        <v/>
      </c>
      <c r="BR1261" s="746" t="str">
        <f t="shared" si="2148"/>
        <v/>
      </c>
      <c r="BS1261" s="746" t="str">
        <f t="shared" si="2148"/>
        <v/>
      </c>
      <c r="BT1261" s="746" t="str">
        <f t="shared" si="2148"/>
        <v/>
      </c>
      <c r="BU1261" s="746" t="str">
        <f t="shared" si="2141"/>
        <v/>
      </c>
      <c r="BV1261" s="747"/>
      <c r="BW1261" s="748">
        <f t="shared" si="2142"/>
        <v>0</v>
      </c>
      <c r="BX1261" s="749">
        <f t="shared" si="2143"/>
        <v>0</v>
      </c>
      <c r="BY1261" s="750" t="str">
        <f t="shared" si="2144"/>
        <v>SR</v>
      </c>
    </row>
    <row r="1262" s="699" customFormat="1" customHeight="1" spans="1:77">
      <c r="A1262" s="566">
        <v>46244</v>
      </c>
      <c r="B1262" s="566">
        <v>46251</v>
      </c>
      <c r="C1262" s="422" t="s">
        <v>839</v>
      </c>
      <c r="D1262" s="604" t="s">
        <v>1134</v>
      </c>
      <c r="E1262" s="604" t="s">
        <v>1094</v>
      </c>
      <c r="F1262" s="623">
        <v>204</v>
      </c>
      <c r="G1262" s="422" t="s">
        <v>510</v>
      </c>
      <c r="H1262" s="745" t="str">
        <f>IFERROR(VLOOKUP(E1262,名称!A:E,4,0),"")</f>
        <v/>
      </c>
      <c r="I1262" s="746" t="str">
        <f t="shared" ref="I1262:BT1262" si="2149">IF(OR($E1262="",I$1=""),"",IF(TRIM(LEFT($E1262,MIN(IFERROR(FIND("CDU",UPPER($E1262)),999),IFERROR(FIND("BULK",UPPER($E1262)),999),IFERROR(FIND("-",$E1262),999),IFERROR(FIND("（",$E1262),999))-1))=I$1,$F1262,""))</f>
        <v/>
      </c>
      <c r="J1262" s="746" t="str">
        <f t="shared" si="2149"/>
        <v/>
      </c>
      <c r="K1262" s="746" t="str">
        <f t="shared" si="2149"/>
        <v/>
      </c>
      <c r="L1262" s="746" t="str">
        <f t="shared" si="2149"/>
        <v/>
      </c>
      <c r="M1262" s="746" t="str">
        <f t="shared" si="2149"/>
        <v/>
      </c>
      <c r="N1262" s="746" t="str">
        <f t="shared" si="2149"/>
        <v/>
      </c>
      <c r="O1262" s="746" t="str">
        <f t="shared" si="2149"/>
        <v/>
      </c>
      <c r="P1262" s="746" t="str">
        <f t="shared" si="2149"/>
        <v/>
      </c>
      <c r="Q1262" s="746" t="str">
        <f t="shared" si="2149"/>
        <v/>
      </c>
      <c r="R1262" s="746" t="str">
        <f t="shared" si="2149"/>
        <v/>
      </c>
      <c r="S1262" s="746" t="str">
        <f t="shared" si="2149"/>
        <v/>
      </c>
      <c r="T1262" s="746" t="str">
        <f t="shared" si="2149"/>
        <v/>
      </c>
      <c r="U1262" s="746" t="str">
        <f t="shared" si="2149"/>
        <v/>
      </c>
      <c r="V1262" s="746" t="str">
        <f t="shared" si="2149"/>
        <v/>
      </c>
      <c r="W1262" s="746" t="str">
        <f t="shared" si="2149"/>
        <v/>
      </c>
      <c r="X1262" s="746" t="str">
        <f t="shared" si="2149"/>
        <v/>
      </c>
      <c r="Y1262" s="746" t="str">
        <f t="shared" si="2149"/>
        <v/>
      </c>
      <c r="Z1262" s="746" t="str">
        <f t="shared" si="2149"/>
        <v/>
      </c>
      <c r="AA1262" s="746" t="str">
        <f t="shared" si="2149"/>
        <v/>
      </c>
      <c r="AB1262" s="746" t="str">
        <f t="shared" si="2149"/>
        <v/>
      </c>
      <c r="AC1262" s="746" t="str">
        <f t="shared" si="2149"/>
        <v/>
      </c>
      <c r="AD1262" s="746" t="str">
        <f t="shared" si="2149"/>
        <v/>
      </c>
      <c r="AE1262" s="746" t="str">
        <f t="shared" si="2149"/>
        <v/>
      </c>
      <c r="AF1262" s="746" t="str">
        <f t="shared" si="2149"/>
        <v/>
      </c>
      <c r="AG1262" s="746" t="str">
        <f t="shared" si="2149"/>
        <v/>
      </c>
      <c r="AH1262" s="746" t="str">
        <f t="shared" si="2149"/>
        <v/>
      </c>
      <c r="AI1262" s="746" t="str">
        <f t="shared" si="2149"/>
        <v/>
      </c>
      <c r="AJ1262" s="746" t="str">
        <f t="shared" si="2149"/>
        <v/>
      </c>
      <c r="AK1262" s="746" t="str">
        <f t="shared" si="2149"/>
        <v/>
      </c>
      <c r="AL1262" s="746" t="str">
        <f t="shared" si="2149"/>
        <v/>
      </c>
      <c r="AM1262" s="746" t="str">
        <f t="shared" si="2149"/>
        <v/>
      </c>
      <c r="AN1262" s="746" t="str">
        <f t="shared" si="2149"/>
        <v/>
      </c>
      <c r="AO1262" s="746" t="str">
        <f t="shared" si="2149"/>
        <v/>
      </c>
      <c r="AP1262" s="746" t="str">
        <f t="shared" si="2149"/>
        <v/>
      </c>
      <c r="AQ1262" s="746" t="str">
        <f t="shared" si="2149"/>
        <v/>
      </c>
      <c r="AR1262" s="746" t="str">
        <f t="shared" si="2149"/>
        <v/>
      </c>
      <c r="AS1262" s="746" t="str">
        <f t="shared" si="2149"/>
        <v/>
      </c>
      <c r="AT1262" s="746" t="str">
        <f t="shared" si="2149"/>
        <v/>
      </c>
      <c r="AU1262" s="746" t="str">
        <f t="shared" si="2149"/>
        <v/>
      </c>
      <c r="AV1262" s="746" t="str">
        <f t="shared" si="2149"/>
        <v/>
      </c>
      <c r="AW1262" s="746" t="str">
        <f t="shared" si="2149"/>
        <v/>
      </c>
      <c r="AX1262" s="746" t="str">
        <f t="shared" si="2149"/>
        <v/>
      </c>
      <c r="AY1262" s="746" t="str">
        <f t="shared" si="2149"/>
        <v/>
      </c>
      <c r="AZ1262" s="746" t="str">
        <f t="shared" si="2149"/>
        <v/>
      </c>
      <c r="BA1262" s="746" t="str">
        <f t="shared" si="2149"/>
        <v/>
      </c>
      <c r="BB1262" s="746" t="str">
        <f t="shared" si="2149"/>
        <v/>
      </c>
      <c r="BC1262" s="746" t="str">
        <f t="shared" si="2149"/>
        <v/>
      </c>
      <c r="BD1262" s="746" t="str">
        <f t="shared" si="2149"/>
        <v/>
      </c>
      <c r="BE1262" s="746" t="str">
        <f t="shared" si="2149"/>
        <v/>
      </c>
      <c r="BF1262" s="746" t="str">
        <f t="shared" si="2149"/>
        <v/>
      </c>
      <c r="BG1262" s="746">
        <f t="shared" si="2149"/>
        <v>204</v>
      </c>
      <c r="BH1262" s="746" t="str">
        <f t="shared" si="2149"/>
        <v/>
      </c>
      <c r="BI1262" s="746" t="str">
        <f t="shared" si="2149"/>
        <v/>
      </c>
      <c r="BJ1262" s="746" t="str">
        <f t="shared" si="2149"/>
        <v/>
      </c>
      <c r="BK1262" s="746" t="str">
        <f t="shared" si="2149"/>
        <v/>
      </c>
      <c r="BL1262" s="746" t="str">
        <f t="shared" si="2149"/>
        <v/>
      </c>
      <c r="BM1262" s="746" t="str">
        <f t="shared" si="2149"/>
        <v/>
      </c>
      <c r="BN1262" s="746" t="str">
        <f t="shared" si="2149"/>
        <v/>
      </c>
      <c r="BO1262" s="746" t="str">
        <f t="shared" si="2149"/>
        <v/>
      </c>
      <c r="BP1262" s="746" t="str">
        <f t="shared" si="2149"/>
        <v/>
      </c>
      <c r="BQ1262" s="746" t="str">
        <f t="shared" si="2149"/>
        <v/>
      </c>
      <c r="BR1262" s="746" t="str">
        <f t="shared" si="2149"/>
        <v/>
      </c>
      <c r="BS1262" s="746" t="str">
        <f t="shared" si="2149"/>
        <v/>
      </c>
      <c r="BT1262" s="746" t="str">
        <f t="shared" si="2149"/>
        <v/>
      </c>
      <c r="BU1262" s="746" t="str">
        <f t="shared" si="2141"/>
        <v/>
      </c>
      <c r="BV1262" s="747"/>
      <c r="BW1262" s="748">
        <f t="shared" si="2142"/>
        <v>0</v>
      </c>
      <c r="BX1262" s="749">
        <f t="shared" si="2143"/>
        <v>0</v>
      </c>
      <c r="BY1262" s="750" t="str">
        <f t="shared" si="2144"/>
        <v>JC</v>
      </c>
    </row>
    <row r="1263" s="699" customFormat="1" customHeight="1" spans="1:77">
      <c r="A1263" s="566">
        <v>46244</v>
      </c>
      <c r="B1263" s="566">
        <v>46251</v>
      </c>
      <c r="C1263" s="422" t="s">
        <v>839</v>
      </c>
      <c r="D1263" s="604" t="s">
        <v>1135</v>
      </c>
      <c r="E1263" s="604" t="s">
        <v>89</v>
      </c>
      <c r="F1263" s="623">
        <v>40</v>
      </c>
      <c r="G1263" s="422" t="s">
        <v>510</v>
      </c>
      <c r="H1263" s="745" t="str">
        <f>IFERROR(VLOOKUP(E1263,名称!A:E,4,0),"")</f>
        <v>三代</v>
      </c>
      <c r="I1263" s="746" t="str">
        <f t="shared" ref="I1263:BT1263" si="2150">IF(OR($E1263="",I$1=""),"",IF(TRIM(LEFT($E1263,MIN(IFERROR(FIND("CDU",UPPER($E1263)),999),IFERROR(FIND("BULK",UPPER($E1263)),999),IFERROR(FIND("-",$E1263),999),IFERROR(FIND("（",$E1263),999))-1))=I$1,$F1263,""))</f>
        <v/>
      </c>
      <c r="J1263" s="746" t="str">
        <f t="shared" si="2150"/>
        <v/>
      </c>
      <c r="K1263" s="746" t="str">
        <f t="shared" si="2150"/>
        <v/>
      </c>
      <c r="L1263" s="746" t="str">
        <f t="shared" si="2150"/>
        <v/>
      </c>
      <c r="M1263" s="746" t="str">
        <f t="shared" si="2150"/>
        <v/>
      </c>
      <c r="N1263" s="746" t="str">
        <f t="shared" si="2150"/>
        <v/>
      </c>
      <c r="O1263" s="746" t="str">
        <f t="shared" si="2150"/>
        <v/>
      </c>
      <c r="P1263" s="746" t="str">
        <f t="shared" si="2150"/>
        <v/>
      </c>
      <c r="Q1263" s="746" t="str">
        <f t="shared" si="2150"/>
        <v/>
      </c>
      <c r="R1263" s="746" t="str">
        <f t="shared" si="2150"/>
        <v/>
      </c>
      <c r="S1263" s="746" t="str">
        <f t="shared" si="2150"/>
        <v/>
      </c>
      <c r="T1263" s="746" t="str">
        <f t="shared" si="2150"/>
        <v/>
      </c>
      <c r="U1263" s="746" t="str">
        <f t="shared" si="2150"/>
        <v/>
      </c>
      <c r="V1263" s="746" t="str">
        <f t="shared" si="2150"/>
        <v/>
      </c>
      <c r="W1263" s="746" t="str">
        <f t="shared" si="2150"/>
        <v/>
      </c>
      <c r="X1263" s="746" t="str">
        <f t="shared" si="2150"/>
        <v/>
      </c>
      <c r="Y1263" s="746" t="str">
        <f t="shared" si="2150"/>
        <v/>
      </c>
      <c r="Z1263" s="746" t="str">
        <f t="shared" si="2150"/>
        <v/>
      </c>
      <c r="AA1263" s="746" t="str">
        <f t="shared" si="2150"/>
        <v/>
      </c>
      <c r="AB1263" s="746" t="str">
        <f t="shared" si="2150"/>
        <v/>
      </c>
      <c r="AC1263" s="746" t="str">
        <f t="shared" si="2150"/>
        <v/>
      </c>
      <c r="AD1263" s="746" t="str">
        <f t="shared" si="2150"/>
        <v/>
      </c>
      <c r="AE1263" s="746" t="str">
        <f t="shared" si="2150"/>
        <v/>
      </c>
      <c r="AF1263" s="746" t="str">
        <f t="shared" si="2150"/>
        <v/>
      </c>
      <c r="AG1263" s="746" t="str">
        <f t="shared" si="2150"/>
        <v/>
      </c>
      <c r="AH1263" s="746" t="str">
        <f t="shared" si="2150"/>
        <v/>
      </c>
      <c r="AI1263" s="746" t="str">
        <f t="shared" si="2150"/>
        <v/>
      </c>
      <c r="AJ1263" s="746" t="str">
        <f t="shared" si="2150"/>
        <v/>
      </c>
      <c r="AK1263" s="746" t="str">
        <f t="shared" si="2150"/>
        <v/>
      </c>
      <c r="AL1263" s="746" t="str">
        <f t="shared" si="2150"/>
        <v/>
      </c>
      <c r="AM1263" s="746" t="str">
        <f t="shared" si="2150"/>
        <v/>
      </c>
      <c r="AN1263" s="746" t="str">
        <f t="shared" si="2150"/>
        <v/>
      </c>
      <c r="AO1263" s="746" t="str">
        <f t="shared" si="2150"/>
        <v/>
      </c>
      <c r="AP1263" s="746" t="str">
        <f t="shared" si="2150"/>
        <v/>
      </c>
      <c r="AQ1263" s="746" t="str">
        <f t="shared" si="2150"/>
        <v/>
      </c>
      <c r="AR1263" s="746" t="str">
        <f t="shared" si="2150"/>
        <v/>
      </c>
      <c r="AS1263" s="746" t="str">
        <f t="shared" si="2150"/>
        <v/>
      </c>
      <c r="AT1263" s="746" t="str">
        <f t="shared" si="2150"/>
        <v/>
      </c>
      <c r="AU1263" s="746">
        <f t="shared" si="2150"/>
        <v>40</v>
      </c>
      <c r="AV1263" s="746" t="str">
        <f t="shared" si="2150"/>
        <v/>
      </c>
      <c r="AW1263" s="746" t="str">
        <f t="shared" si="2150"/>
        <v/>
      </c>
      <c r="AX1263" s="746" t="str">
        <f t="shared" si="2150"/>
        <v/>
      </c>
      <c r="AY1263" s="746" t="str">
        <f t="shared" si="2150"/>
        <v/>
      </c>
      <c r="AZ1263" s="746" t="str">
        <f t="shared" si="2150"/>
        <v/>
      </c>
      <c r="BA1263" s="746" t="str">
        <f t="shared" si="2150"/>
        <v/>
      </c>
      <c r="BB1263" s="746" t="str">
        <f t="shared" si="2150"/>
        <v/>
      </c>
      <c r="BC1263" s="746" t="str">
        <f t="shared" si="2150"/>
        <v/>
      </c>
      <c r="BD1263" s="746" t="str">
        <f t="shared" si="2150"/>
        <v/>
      </c>
      <c r="BE1263" s="746" t="str">
        <f t="shared" si="2150"/>
        <v/>
      </c>
      <c r="BF1263" s="746" t="str">
        <f t="shared" si="2150"/>
        <v/>
      </c>
      <c r="BG1263" s="746" t="str">
        <f t="shared" si="2150"/>
        <v/>
      </c>
      <c r="BH1263" s="746" t="str">
        <f t="shared" si="2150"/>
        <v/>
      </c>
      <c r="BI1263" s="746" t="str">
        <f t="shared" si="2150"/>
        <v/>
      </c>
      <c r="BJ1263" s="746" t="str">
        <f t="shared" si="2150"/>
        <v/>
      </c>
      <c r="BK1263" s="746" t="str">
        <f t="shared" si="2150"/>
        <v/>
      </c>
      <c r="BL1263" s="746" t="str">
        <f t="shared" si="2150"/>
        <v/>
      </c>
      <c r="BM1263" s="746" t="str">
        <f t="shared" si="2150"/>
        <v/>
      </c>
      <c r="BN1263" s="746" t="str">
        <f t="shared" si="2150"/>
        <v/>
      </c>
      <c r="BO1263" s="746" t="str">
        <f t="shared" si="2150"/>
        <v/>
      </c>
      <c r="BP1263" s="746" t="str">
        <f t="shared" si="2150"/>
        <v/>
      </c>
      <c r="BQ1263" s="746" t="str">
        <f t="shared" si="2150"/>
        <v/>
      </c>
      <c r="BR1263" s="746" t="str">
        <f t="shared" si="2150"/>
        <v/>
      </c>
      <c r="BS1263" s="746" t="str">
        <f t="shared" si="2150"/>
        <v/>
      </c>
      <c r="BT1263" s="746" t="str">
        <f t="shared" si="2150"/>
        <v/>
      </c>
      <c r="BU1263" s="746" t="str">
        <f t="shared" si="2141"/>
        <v/>
      </c>
      <c r="BV1263" s="747"/>
      <c r="BW1263" s="748">
        <f t="shared" si="2142"/>
        <v>0</v>
      </c>
      <c r="BX1263" s="749">
        <f t="shared" si="2143"/>
        <v>0</v>
      </c>
      <c r="BY1263" s="750" t="str">
        <f t="shared" si="2144"/>
        <v>SR</v>
      </c>
    </row>
    <row r="1264" s="699" customFormat="1" customHeight="1" spans="1:77">
      <c r="A1264" s="566">
        <v>46244</v>
      </c>
      <c r="B1264" s="566">
        <v>46251</v>
      </c>
      <c r="C1264" s="422" t="s">
        <v>839</v>
      </c>
      <c r="D1264" s="604" t="s">
        <v>1136</v>
      </c>
      <c r="E1264" s="604" t="s">
        <v>204</v>
      </c>
      <c r="F1264" s="623">
        <v>40</v>
      </c>
      <c r="G1264" s="422" t="s">
        <v>510</v>
      </c>
      <c r="H1264" s="745" t="str">
        <f>IFERROR(VLOOKUP(E1264,名称!A:E,4,0),"")</f>
        <v>三代</v>
      </c>
      <c r="I1264" s="746" t="str">
        <f t="shared" ref="I1264:BT1264" si="2151">IF(OR($E1264="",I$1=""),"",IF(TRIM(LEFT($E1264,MIN(IFERROR(FIND("CDU",UPPER($E1264)),999),IFERROR(FIND("BULK",UPPER($E1264)),999),IFERROR(FIND("-",$E1264),999),IFERROR(FIND("（",$E1264),999))-1))=I$1,$F1264,""))</f>
        <v/>
      </c>
      <c r="J1264" s="746" t="str">
        <f t="shared" si="2151"/>
        <v/>
      </c>
      <c r="K1264" s="746" t="str">
        <f t="shared" si="2151"/>
        <v/>
      </c>
      <c r="L1264" s="746" t="str">
        <f t="shared" si="2151"/>
        <v/>
      </c>
      <c r="M1264" s="746" t="str">
        <f t="shared" si="2151"/>
        <v/>
      </c>
      <c r="N1264" s="746" t="str">
        <f t="shared" si="2151"/>
        <v/>
      </c>
      <c r="O1264" s="746" t="str">
        <f t="shared" si="2151"/>
        <v/>
      </c>
      <c r="P1264" s="746" t="str">
        <f t="shared" si="2151"/>
        <v/>
      </c>
      <c r="Q1264" s="746" t="str">
        <f t="shared" si="2151"/>
        <v/>
      </c>
      <c r="R1264" s="746" t="str">
        <f t="shared" si="2151"/>
        <v/>
      </c>
      <c r="S1264" s="746" t="str">
        <f t="shared" si="2151"/>
        <v/>
      </c>
      <c r="T1264" s="746" t="str">
        <f t="shared" si="2151"/>
        <v/>
      </c>
      <c r="U1264" s="746" t="str">
        <f t="shared" si="2151"/>
        <v/>
      </c>
      <c r="V1264" s="746" t="str">
        <f t="shared" si="2151"/>
        <v/>
      </c>
      <c r="W1264" s="746" t="str">
        <f t="shared" si="2151"/>
        <v/>
      </c>
      <c r="X1264" s="746" t="str">
        <f t="shared" si="2151"/>
        <v/>
      </c>
      <c r="Y1264" s="746" t="str">
        <f t="shared" si="2151"/>
        <v/>
      </c>
      <c r="Z1264" s="746" t="str">
        <f t="shared" si="2151"/>
        <v/>
      </c>
      <c r="AA1264" s="746" t="str">
        <f t="shared" si="2151"/>
        <v/>
      </c>
      <c r="AB1264" s="746" t="str">
        <f t="shared" si="2151"/>
        <v/>
      </c>
      <c r="AC1264" s="746" t="str">
        <f t="shared" si="2151"/>
        <v/>
      </c>
      <c r="AD1264" s="746" t="str">
        <f t="shared" si="2151"/>
        <v/>
      </c>
      <c r="AE1264" s="746" t="str">
        <f t="shared" si="2151"/>
        <v/>
      </c>
      <c r="AF1264" s="746" t="str">
        <f t="shared" si="2151"/>
        <v/>
      </c>
      <c r="AG1264" s="746" t="str">
        <f t="shared" si="2151"/>
        <v/>
      </c>
      <c r="AH1264" s="746" t="str">
        <f t="shared" si="2151"/>
        <v/>
      </c>
      <c r="AI1264" s="746" t="str">
        <f t="shared" si="2151"/>
        <v/>
      </c>
      <c r="AJ1264" s="746" t="str">
        <f t="shared" si="2151"/>
        <v/>
      </c>
      <c r="AK1264" s="746" t="str">
        <f t="shared" si="2151"/>
        <v/>
      </c>
      <c r="AL1264" s="746" t="str">
        <f t="shared" si="2151"/>
        <v/>
      </c>
      <c r="AM1264" s="746" t="str">
        <f t="shared" si="2151"/>
        <v/>
      </c>
      <c r="AN1264" s="746" t="str">
        <f t="shared" si="2151"/>
        <v/>
      </c>
      <c r="AO1264" s="746" t="str">
        <f t="shared" si="2151"/>
        <v/>
      </c>
      <c r="AP1264" s="746" t="str">
        <f t="shared" si="2151"/>
        <v/>
      </c>
      <c r="AQ1264" s="746" t="str">
        <f t="shared" si="2151"/>
        <v/>
      </c>
      <c r="AR1264" s="746" t="str">
        <f t="shared" si="2151"/>
        <v/>
      </c>
      <c r="AS1264" s="746" t="str">
        <f t="shared" si="2151"/>
        <v/>
      </c>
      <c r="AT1264" s="746">
        <f t="shared" si="2151"/>
        <v>40</v>
      </c>
      <c r="AU1264" s="746" t="str">
        <f t="shared" si="2151"/>
        <v/>
      </c>
      <c r="AV1264" s="746" t="str">
        <f t="shared" si="2151"/>
        <v/>
      </c>
      <c r="AW1264" s="746" t="str">
        <f t="shared" si="2151"/>
        <v/>
      </c>
      <c r="AX1264" s="746" t="str">
        <f t="shared" si="2151"/>
        <v/>
      </c>
      <c r="AY1264" s="746" t="str">
        <f t="shared" si="2151"/>
        <v/>
      </c>
      <c r="AZ1264" s="746" t="str">
        <f t="shared" si="2151"/>
        <v/>
      </c>
      <c r="BA1264" s="746" t="str">
        <f t="shared" si="2151"/>
        <v/>
      </c>
      <c r="BB1264" s="746" t="str">
        <f t="shared" si="2151"/>
        <v/>
      </c>
      <c r="BC1264" s="746" t="str">
        <f t="shared" si="2151"/>
        <v/>
      </c>
      <c r="BD1264" s="746" t="str">
        <f t="shared" si="2151"/>
        <v/>
      </c>
      <c r="BE1264" s="746" t="str">
        <f t="shared" si="2151"/>
        <v/>
      </c>
      <c r="BF1264" s="746" t="str">
        <f t="shared" si="2151"/>
        <v/>
      </c>
      <c r="BG1264" s="746" t="str">
        <f t="shared" si="2151"/>
        <v/>
      </c>
      <c r="BH1264" s="746" t="str">
        <f t="shared" si="2151"/>
        <v/>
      </c>
      <c r="BI1264" s="746" t="str">
        <f t="shared" si="2151"/>
        <v/>
      </c>
      <c r="BJ1264" s="746" t="str">
        <f t="shared" si="2151"/>
        <v/>
      </c>
      <c r="BK1264" s="746" t="str">
        <f t="shared" si="2151"/>
        <v/>
      </c>
      <c r="BL1264" s="746" t="str">
        <f t="shared" si="2151"/>
        <v/>
      </c>
      <c r="BM1264" s="746" t="str">
        <f t="shared" si="2151"/>
        <v/>
      </c>
      <c r="BN1264" s="746" t="str">
        <f t="shared" si="2151"/>
        <v/>
      </c>
      <c r="BO1264" s="746" t="str">
        <f t="shared" si="2151"/>
        <v/>
      </c>
      <c r="BP1264" s="746" t="str">
        <f t="shared" si="2151"/>
        <v/>
      </c>
      <c r="BQ1264" s="746" t="str">
        <f t="shared" si="2151"/>
        <v/>
      </c>
      <c r="BR1264" s="746" t="str">
        <f t="shared" si="2151"/>
        <v/>
      </c>
      <c r="BS1264" s="746" t="str">
        <f t="shared" si="2151"/>
        <v/>
      </c>
      <c r="BT1264" s="746" t="str">
        <f t="shared" si="2151"/>
        <v/>
      </c>
      <c r="BU1264" s="746" t="str">
        <f t="shared" si="2141"/>
        <v/>
      </c>
      <c r="BV1264" s="747"/>
      <c r="BW1264" s="748">
        <f t="shared" si="2142"/>
        <v>0</v>
      </c>
      <c r="BX1264" s="749">
        <f t="shared" si="2143"/>
        <v>0</v>
      </c>
      <c r="BY1264" s="750" t="str">
        <f t="shared" si="2144"/>
        <v>SR</v>
      </c>
    </row>
    <row r="1265" s="699" customFormat="1" customHeight="1" spans="1:77">
      <c r="A1265" s="751">
        <v>46244</v>
      </c>
      <c r="B1265" s="751">
        <v>46307</v>
      </c>
      <c r="C1265" s="422" t="s">
        <v>1137</v>
      </c>
      <c r="D1265" s="422" t="s">
        <v>1138</v>
      </c>
      <c r="E1265" s="422" t="s">
        <v>119</v>
      </c>
      <c r="F1265" s="643">
        <v>2616</v>
      </c>
      <c r="G1265" s="422" t="s">
        <v>510</v>
      </c>
      <c r="H1265" s="745" t="str">
        <f>IFERROR(VLOOKUP(E1265,名称!A:E,4,0),"")</f>
        <v>三代</v>
      </c>
      <c r="I1265" s="746" t="str">
        <f t="shared" ref="I1265:BT1265" si="2152">IF(OR($E1265="",I$1=""),"",IF(TRIM(LEFT($E1265,MIN(IFERROR(FIND("CDU",UPPER($E1265)),999),IFERROR(FIND("BULK",UPPER($E1265)),999),IFERROR(FIND("-",$E1265),999),IFERROR(FIND("（",$E1265),999))-1))=I$1,$F1265,""))</f>
        <v/>
      </c>
      <c r="J1265" s="746" t="str">
        <f t="shared" si="2152"/>
        <v/>
      </c>
      <c r="K1265" s="746" t="str">
        <f t="shared" si="2152"/>
        <v/>
      </c>
      <c r="L1265" s="746" t="str">
        <f t="shared" si="2152"/>
        <v/>
      </c>
      <c r="M1265" s="746" t="str">
        <f t="shared" si="2152"/>
        <v/>
      </c>
      <c r="N1265" s="746" t="str">
        <f t="shared" si="2152"/>
        <v/>
      </c>
      <c r="O1265" s="746" t="str">
        <f t="shared" si="2152"/>
        <v/>
      </c>
      <c r="P1265" s="746" t="str">
        <f t="shared" si="2152"/>
        <v/>
      </c>
      <c r="Q1265" s="746" t="str">
        <f t="shared" si="2152"/>
        <v/>
      </c>
      <c r="R1265" s="746" t="str">
        <f t="shared" si="2152"/>
        <v/>
      </c>
      <c r="S1265" s="746" t="str">
        <f t="shared" si="2152"/>
        <v/>
      </c>
      <c r="T1265" s="746" t="str">
        <f t="shared" si="2152"/>
        <v/>
      </c>
      <c r="U1265" s="746" t="str">
        <f t="shared" si="2152"/>
        <v/>
      </c>
      <c r="V1265" s="746" t="str">
        <f t="shared" si="2152"/>
        <v/>
      </c>
      <c r="W1265" s="746" t="str">
        <f t="shared" si="2152"/>
        <v/>
      </c>
      <c r="X1265" s="746" t="str">
        <f t="shared" si="2152"/>
        <v/>
      </c>
      <c r="Y1265" s="746" t="str">
        <f t="shared" si="2152"/>
        <v/>
      </c>
      <c r="Z1265" s="746" t="str">
        <f t="shared" si="2152"/>
        <v/>
      </c>
      <c r="AA1265" s="746" t="str">
        <f t="shared" si="2152"/>
        <v/>
      </c>
      <c r="AB1265" s="746" t="str">
        <f t="shared" si="2152"/>
        <v/>
      </c>
      <c r="AC1265" s="746" t="str">
        <f t="shared" si="2152"/>
        <v/>
      </c>
      <c r="AD1265" s="746" t="str">
        <f t="shared" si="2152"/>
        <v/>
      </c>
      <c r="AE1265" s="746" t="str">
        <f t="shared" si="2152"/>
        <v/>
      </c>
      <c r="AF1265" s="746" t="str">
        <f t="shared" si="2152"/>
        <v/>
      </c>
      <c r="AG1265" s="746" t="str">
        <f t="shared" si="2152"/>
        <v/>
      </c>
      <c r="AH1265" s="746" t="str">
        <f t="shared" si="2152"/>
        <v/>
      </c>
      <c r="AI1265" s="746" t="str">
        <f t="shared" si="2152"/>
        <v/>
      </c>
      <c r="AJ1265" s="746" t="str">
        <f t="shared" si="2152"/>
        <v/>
      </c>
      <c r="AK1265" s="746" t="str">
        <f t="shared" si="2152"/>
        <v/>
      </c>
      <c r="AL1265" s="746" t="str">
        <f t="shared" si="2152"/>
        <v/>
      </c>
      <c r="AM1265" s="746" t="str">
        <f t="shared" si="2152"/>
        <v/>
      </c>
      <c r="AN1265" s="746" t="str">
        <f t="shared" si="2152"/>
        <v/>
      </c>
      <c r="AO1265" s="746" t="str">
        <f t="shared" si="2152"/>
        <v/>
      </c>
      <c r="AP1265" s="746">
        <f t="shared" si="2152"/>
        <v>2616</v>
      </c>
      <c r="AQ1265" s="746" t="str">
        <f t="shared" si="2152"/>
        <v/>
      </c>
      <c r="AR1265" s="746" t="str">
        <f t="shared" si="2152"/>
        <v/>
      </c>
      <c r="AS1265" s="746" t="str">
        <f t="shared" si="2152"/>
        <v/>
      </c>
      <c r="AT1265" s="746" t="str">
        <f t="shared" si="2152"/>
        <v/>
      </c>
      <c r="AU1265" s="746" t="str">
        <f t="shared" si="2152"/>
        <v/>
      </c>
      <c r="AV1265" s="746" t="str">
        <f t="shared" si="2152"/>
        <v/>
      </c>
      <c r="AW1265" s="746" t="str">
        <f t="shared" si="2152"/>
        <v/>
      </c>
      <c r="AX1265" s="746" t="str">
        <f t="shared" si="2152"/>
        <v/>
      </c>
      <c r="AY1265" s="746" t="str">
        <f t="shared" si="2152"/>
        <v/>
      </c>
      <c r="AZ1265" s="746" t="str">
        <f t="shared" si="2152"/>
        <v/>
      </c>
      <c r="BA1265" s="746" t="str">
        <f t="shared" si="2152"/>
        <v/>
      </c>
      <c r="BB1265" s="746" t="str">
        <f t="shared" si="2152"/>
        <v/>
      </c>
      <c r="BC1265" s="746" t="str">
        <f t="shared" si="2152"/>
        <v/>
      </c>
      <c r="BD1265" s="746" t="str">
        <f t="shared" si="2152"/>
        <v/>
      </c>
      <c r="BE1265" s="746" t="str">
        <f t="shared" si="2152"/>
        <v/>
      </c>
      <c r="BF1265" s="746" t="str">
        <f t="shared" si="2152"/>
        <v/>
      </c>
      <c r="BG1265" s="746" t="str">
        <f t="shared" si="2152"/>
        <v/>
      </c>
      <c r="BH1265" s="746" t="str">
        <f t="shared" si="2152"/>
        <v/>
      </c>
      <c r="BI1265" s="746" t="str">
        <f t="shared" si="2152"/>
        <v/>
      </c>
      <c r="BJ1265" s="746" t="str">
        <f t="shared" si="2152"/>
        <v/>
      </c>
      <c r="BK1265" s="746" t="str">
        <f t="shared" si="2152"/>
        <v/>
      </c>
      <c r="BL1265" s="746" t="str">
        <f t="shared" si="2152"/>
        <v/>
      </c>
      <c r="BM1265" s="746" t="str">
        <f t="shared" si="2152"/>
        <v/>
      </c>
      <c r="BN1265" s="746" t="str">
        <f t="shared" si="2152"/>
        <v/>
      </c>
      <c r="BO1265" s="746" t="str">
        <f t="shared" si="2152"/>
        <v/>
      </c>
      <c r="BP1265" s="746" t="str">
        <f t="shared" si="2152"/>
        <v/>
      </c>
      <c r="BQ1265" s="746" t="str">
        <f t="shared" si="2152"/>
        <v/>
      </c>
      <c r="BR1265" s="746" t="str">
        <f t="shared" si="2152"/>
        <v/>
      </c>
      <c r="BS1265" s="746" t="str">
        <f t="shared" si="2152"/>
        <v/>
      </c>
      <c r="BT1265" s="746" t="str">
        <f t="shared" si="2152"/>
        <v/>
      </c>
      <c r="BU1265" s="746" t="str">
        <f t="shared" si="2141"/>
        <v/>
      </c>
      <c r="BV1265" s="644">
        <v>0.64</v>
      </c>
      <c r="BW1265" s="748">
        <f t="shared" si="2142"/>
        <v>1674.24</v>
      </c>
      <c r="BX1265" s="749">
        <f t="shared" si="2143"/>
        <v>12975.36</v>
      </c>
      <c r="BY1265" s="750" t="str">
        <f t="shared" si="2144"/>
        <v>SR</v>
      </c>
    </row>
    <row r="1266" s="699" customFormat="1" customHeight="1" spans="1:77">
      <c r="A1266" s="751">
        <v>46244</v>
      </c>
      <c r="B1266" s="751">
        <v>46307</v>
      </c>
      <c r="C1266" s="422" t="s">
        <v>1137</v>
      </c>
      <c r="D1266" s="422" t="s">
        <v>1138</v>
      </c>
      <c r="E1266" s="422" t="s">
        <v>55</v>
      </c>
      <c r="F1266" s="643">
        <v>1376</v>
      </c>
      <c r="G1266" s="422" t="s">
        <v>510</v>
      </c>
      <c r="H1266" s="745" t="str">
        <f>IFERROR(VLOOKUP(E1266,名称!A:E,4,0),"")</f>
        <v>三代</v>
      </c>
      <c r="I1266" s="746" t="str">
        <f t="shared" ref="I1266:I1274" si="2153">IF(OR($E1266="",I$1=""),"",IF(TRIM(LEFT($E1266,MIN(IFERROR(FIND("CDU",UPPER($E1266)),999),IFERROR(FIND("BULK",UPPER($E1266)),999),IFERROR(FIND("-",$E1266),999),IFERROR(FIND("（",$E1266),999))-1))=I$1,$F1266,""))</f>
        <v/>
      </c>
      <c r="J1266" s="746" t="str">
        <f t="shared" ref="J1266:J1274" si="2154">IF(OR($E1266="",J$1=""),"",IF(TRIM(LEFT($E1266,MIN(IFERROR(FIND("CDU",UPPER($E1266)),999),IFERROR(FIND("BULK",UPPER($E1266)),999),IFERROR(FIND("-",$E1266),999),IFERROR(FIND("（",$E1266),999))-1))=J$1,$F1266,""))</f>
        <v/>
      </c>
      <c r="K1266" s="746" t="str">
        <f t="shared" ref="K1266:K1274" si="2155">IF(OR($E1266="",K$1=""),"",IF(TRIM(LEFT($E1266,MIN(IFERROR(FIND("CDU",UPPER($E1266)),999),IFERROR(FIND("BULK",UPPER($E1266)),999),IFERROR(FIND("-",$E1266),999),IFERROR(FIND("（",$E1266),999))-1))=K$1,$F1266,""))</f>
        <v/>
      </c>
      <c r="L1266" s="746" t="str">
        <f t="shared" ref="L1266:L1274" si="2156">IF(OR($E1266="",L$1=""),"",IF(TRIM(LEFT($E1266,MIN(IFERROR(FIND("CDU",UPPER($E1266)),999),IFERROR(FIND("BULK",UPPER($E1266)),999),IFERROR(FIND("-",$E1266),999),IFERROR(FIND("（",$E1266),999))-1))=L$1,$F1266,""))</f>
        <v/>
      </c>
      <c r="M1266" s="746" t="str">
        <f t="shared" ref="M1266:M1274" si="2157">IF(OR($E1266="",M$1=""),"",IF(TRIM(LEFT($E1266,MIN(IFERROR(FIND("CDU",UPPER($E1266)),999),IFERROR(FIND("BULK",UPPER($E1266)),999),IFERROR(FIND("-",$E1266),999),IFERROR(FIND("（",$E1266),999))-1))=M$1,$F1266,""))</f>
        <v/>
      </c>
      <c r="N1266" s="746" t="str">
        <f t="shared" ref="N1266:N1274" si="2158">IF(OR($E1266="",N$1=""),"",IF(TRIM(LEFT($E1266,MIN(IFERROR(FIND("CDU",UPPER($E1266)),999),IFERROR(FIND("BULK",UPPER($E1266)),999),IFERROR(FIND("-",$E1266),999),IFERROR(FIND("（",$E1266),999))-1))=N$1,$F1266,""))</f>
        <v/>
      </c>
      <c r="O1266" s="746" t="str">
        <f t="shared" ref="O1266:O1274" si="2159">IF(OR($E1266="",O$1=""),"",IF(TRIM(LEFT($E1266,MIN(IFERROR(FIND("CDU",UPPER($E1266)),999),IFERROR(FIND("BULK",UPPER($E1266)),999),IFERROR(FIND("-",$E1266),999),IFERROR(FIND("（",$E1266),999))-1))=O$1,$F1266,""))</f>
        <v/>
      </c>
      <c r="P1266" s="746" t="str">
        <f t="shared" ref="P1266:P1274" si="2160">IF(OR($E1266="",P$1=""),"",IF(TRIM(LEFT($E1266,MIN(IFERROR(FIND("CDU",UPPER($E1266)),999),IFERROR(FIND("BULK",UPPER($E1266)),999),IFERROR(FIND("-",$E1266),999),IFERROR(FIND("（",$E1266),999))-1))=P$1,$F1266,""))</f>
        <v/>
      </c>
      <c r="Q1266" s="746" t="str">
        <f t="shared" ref="Q1266:Q1274" si="2161">IF(OR($E1266="",Q$1=""),"",IF(TRIM(LEFT($E1266,MIN(IFERROR(FIND("CDU",UPPER($E1266)),999),IFERROR(FIND("BULK",UPPER($E1266)),999),IFERROR(FIND("-",$E1266),999),IFERROR(FIND("（",$E1266),999))-1))=Q$1,$F1266,""))</f>
        <v/>
      </c>
      <c r="R1266" s="746" t="str">
        <f t="shared" ref="R1266:R1274" si="2162">IF(OR($E1266="",R$1=""),"",IF(TRIM(LEFT($E1266,MIN(IFERROR(FIND("CDU",UPPER($E1266)),999),IFERROR(FIND("BULK",UPPER($E1266)),999),IFERROR(FIND("-",$E1266),999),IFERROR(FIND("（",$E1266),999))-1))=R$1,$F1266,""))</f>
        <v/>
      </c>
      <c r="S1266" s="746" t="str">
        <f t="shared" ref="S1266:S1274" si="2163">IF(OR($E1266="",S$1=""),"",IF(TRIM(LEFT($E1266,MIN(IFERROR(FIND("CDU",UPPER($E1266)),999),IFERROR(FIND("BULK",UPPER($E1266)),999),IFERROR(FIND("-",$E1266),999),IFERROR(FIND("（",$E1266),999))-1))=S$1,$F1266,""))</f>
        <v/>
      </c>
      <c r="T1266" s="746" t="str">
        <f t="shared" ref="T1266:T1274" si="2164">IF(OR($E1266="",T$1=""),"",IF(TRIM(LEFT($E1266,MIN(IFERROR(FIND("CDU",UPPER($E1266)),999),IFERROR(FIND("BULK",UPPER($E1266)),999),IFERROR(FIND("-",$E1266),999),IFERROR(FIND("（",$E1266),999))-1))=T$1,$F1266,""))</f>
        <v/>
      </c>
      <c r="U1266" s="746" t="str">
        <f t="shared" ref="U1266:U1274" si="2165">IF(OR($E1266="",U$1=""),"",IF(TRIM(LEFT($E1266,MIN(IFERROR(FIND("CDU",UPPER($E1266)),999),IFERROR(FIND("BULK",UPPER($E1266)),999),IFERROR(FIND("-",$E1266),999),IFERROR(FIND("（",$E1266),999))-1))=U$1,$F1266,""))</f>
        <v/>
      </c>
      <c r="V1266" s="746" t="str">
        <f t="shared" ref="V1266:V1274" si="2166">IF(OR($E1266="",V$1=""),"",IF(TRIM(LEFT($E1266,MIN(IFERROR(FIND("CDU",UPPER($E1266)),999),IFERROR(FIND("BULK",UPPER($E1266)),999),IFERROR(FIND("-",$E1266),999),IFERROR(FIND("（",$E1266),999))-1))=V$1,$F1266,""))</f>
        <v/>
      </c>
      <c r="W1266" s="746" t="str">
        <f t="shared" ref="W1266:W1274" si="2167">IF(OR($E1266="",W$1=""),"",IF(TRIM(LEFT($E1266,MIN(IFERROR(FIND("CDU",UPPER($E1266)),999),IFERROR(FIND("BULK",UPPER($E1266)),999),IFERROR(FIND("-",$E1266),999),IFERROR(FIND("（",$E1266),999))-1))=W$1,$F1266,""))</f>
        <v/>
      </c>
      <c r="X1266" s="746" t="str">
        <f t="shared" ref="X1266:X1274" si="2168">IF(OR($E1266="",X$1=""),"",IF(TRIM(LEFT($E1266,MIN(IFERROR(FIND("CDU",UPPER($E1266)),999),IFERROR(FIND("BULK",UPPER($E1266)),999),IFERROR(FIND("-",$E1266),999),IFERROR(FIND("（",$E1266),999))-1))=X$1,$F1266,""))</f>
        <v/>
      </c>
      <c r="Y1266" s="746" t="str">
        <f t="shared" ref="Y1266:Y1274" si="2169">IF(OR($E1266="",Y$1=""),"",IF(TRIM(LEFT($E1266,MIN(IFERROR(FIND("CDU",UPPER($E1266)),999),IFERROR(FIND("BULK",UPPER($E1266)),999),IFERROR(FIND("-",$E1266),999),IFERROR(FIND("（",$E1266),999))-1))=Y$1,$F1266,""))</f>
        <v/>
      </c>
      <c r="Z1266" s="746" t="str">
        <f t="shared" ref="Z1266:Z1274" si="2170">IF(OR($E1266="",Z$1=""),"",IF(TRIM(LEFT($E1266,MIN(IFERROR(FIND("CDU",UPPER($E1266)),999),IFERROR(FIND("BULK",UPPER($E1266)),999),IFERROR(FIND("-",$E1266),999),IFERROR(FIND("（",$E1266),999))-1))=Z$1,$F1266,""))</f>
        <v/>
      </c>
      <c r="AA1266" s="746" t="str">
        <f t="shared" ref="AA1266:AA1274" si="2171">IF(OR($E1266="",AA$1=""),"",IF(TRIM(LEFT($E1266,MIN(IFERROR(FIND("CDU",UPPER($E1266)),999),IFERROR(FIND("BULK",UPPER($E1266)),999),IFERROR(FIND("-",$E1266),999),IFERROR(FIND("（",$E1266),999))-1))=AA$1,$F1266,""))</f>
        <v/>
      </c>
      <c r="AB1266" s="746" t="str">
        <f t="shared" ref="AB1266:AB1274" si="2172">IF(OR($E1266="",AB$1=""),"",IF(TRIM(LEFT($E1266,MIN(IFERROR(FIND("CDU",UPPER($E1266)),999),IFERROR(FIND("BULK",UPPER($E1266)),999),IFERROR(FIND("-",$E1266),999),IFERROR(FIND("（",$E1266),999))-1))=AB$1,$F1266,""))</f>
        <v/>
      </c>
      <c r="AC1266" s="746">
        <f t="shared" ref="AC1266:AC1274" si="2173">IF(OR($E1266="",AC$1=""),"",IF(TRIM(LEFT($E1266,MIN(IFERROR(FIND("CDU",UPPER($E1266)),999),IFERROR(FIND("BULK",UPPER($E1266)),999),IFERROR(FIND("-",$E1266),999),IFERROR(FIND("（",$E1266),999))-1))=AC$1,$F1266,""))</f>
        <v>1376</v>
      </c>
      <c r="AD1266" s="746" t="str">
        <f t="shared" ref="AD1266:AD1274" si="2174">IF(OR($E1266="",AD$1=""),"",IF(TRIM(LEFT($E1266,MIN(IFERROR(FIND("CDU",UPPER($E1266)),999),IFERROR(FIND("BULK",UPPER($E1266)),999),IFERROR(FIND("-",$E1266),999),IFERROR(FIND("（",$E1266),999))-1))=AD$1,$F1266,""))</f>
        <v/>
      </c>
      <c r="AE1266" s="746" t="str">
        <f t="shared" ref="AE1266:AE1274" si="2175">IF(OR($E1266="",AE$1=""),"",IF(TRIM(LEFT($E1266,MIN(IFERROR(FIND("CDU",UPPER($E1266)),999),IFERROR(FIND("BULK",UPPER($E1266)),999),IFERROR(FIND("-",$E1266),999),IFERROR(FIND("（",$E1266),999))-1))=AE$1,$F1266,""))</f>
        <v/>
      </c>
      <c r="AF1266" s="746" t="str">
        <f t="shared" ref="AF1266:AF1274" si="2176">IF(OR($E1266="",AF$1=""),"",IF(TRIM(LEFT($E1266,MIN(IFERROR(FIND("CDU",UPPER($E1266)),999),IFERROR(FIND("BULK",UPPER($E1266)),999),IFERROR(FIND("-",$E1266),999),IFERROR(FIND("（",$E1266),999))-1))=AF$1,$F1266,""))</f>
        <v/>
      </c>
      <c r="AG1266" s="746" t="str">
        <f t="shared" ref="AG1266:AG1274" si="2177">IF(OR($E1266="",AG$1=""),"",IF(TRIM(LEFT($E1266,MIN(IFERROR(FIND("CDU",UPPER($E1266)),999),IFERROR(FIND("BULK",UPPER($E1266)),999),IFERROR(FIND("-",$E1266),999),IFERROR(FIND("（",$E1266),999))-1))=AG$1,$F1266,""))</f>
        <v/>
      </c>
      <c r="AH1266" s="746" t="str">
        <f t="shared" ref="AH1266:AH1274" si="2178">IF(OR($E1266="",AH$1=""),"",IF(TRIM(LEFT($E1266,MIN(IFERROR(FIND("CDU",UPPER($E1266)),999),IFERROR(FIND("BULK",UPPER($E1266)),999),IFERROR(FIND("-",$E1266),999),IFERROR(FIND("（",$E1266),999))-1))=AH$1,$F1266,""))</f>
        <v/>
      </c>
      <c r="AI1266" s="746" t="str">
        <f t="shared" ref="AI1266:AI1274" si="2179">IF(OR($E1266="",AI$1=""),"",IF(TRIM(LEFT($E1266,MIN(IFERROR(FIND("CDU",UPPER($E1266)),999),IFERROR(FIND("BULK",UPPER($E1266)),999),IFERROR(FIND("-",$E1266),999),IFERROR(FIND("（",$E1266),999))-1))=AI$1,$F1266,""))</f>
        <v/>
      </c>
      <c r="AJ1266" s="746" t="str">
        <f t="shared" ref="AJ1266:AJ1274" si="2180">IF(OR($E1266="",AJ$1=""),"",IF(TRIM(LEFT($E1266,MIN(IFERROR(FIND("CDU",UPPER($E1266)),999),IFERROR(FIND("BULK",UPPER($E1266)),999),IFERROR(FIND("-",$E1266),999),IFERROR(FIND("（",$E1266),999))-1))=AJ$1,$F1266,""))</f>
        <v/>
      </c>
      <c r="AK1266" s="746" t="str">
        <f t="shared" ref="AK1266:AK1274" si="2181">IF(OR($E1266="",AK$1=""),"",IF(TRIM(LEFT($E1266,MIN(IFERROR(FIND("CDU",UPPER($E1266)),999),IFERROR(FIND("BULK",UPPER($E1266)),999),IFERROR(FIND("-",$E1266),999),IFERROR(FIND("（",$E1266),999))-1))=AK$1,$F1266,""))</f>
        <v/>
      </c>
      <c r="AL1266" s="746" t="str">
        <f t="shared" ref="AL1266:AL1274" si="2182">IF(OR($E1266="",AL$1=""),"",IF(TRIM(LEFT($E1266,MIN(IFERROR(FIND("CDU",UPPER($E1266)),999),IFERROR(FIND("BULK",UPPER($E1266)),999),IFERROR(FIND("-",$E1266),999),IFERROR(FIND("（",$E1266),999))-1))=AL$1,$F1266,""))</f>
        <v/>
      </c>
      <c r="AM1266" s="746" t="str">
        <f t="shared" ref="AM1266:AM1274" si="2183">IF(OR($E1266="",AM$1=""),"",IF(TRIM(LEFT($E1266,MIN(IFERROR(FIND("CDU",UPPER($E1266)),999),IFERROR(FIND("BULK",UPPER($E1266)),999),IFERROR(FIND("-",$E1266),999),IFERROR(FIND("（",$E1266),999))-1))=AM$1,$F1266,""))</f>
        <v/>
      </c>
      <c r="AN1266" s="746" t="str">
        <f t="shared" ref="AN1266:AN1274" si="2184">IF(OR($E1266="",AN$1=""),"",IF(TRIM(LEFT($E1266,MIN(IFERROR(FIND("CDU",UPPER($E1266)),999),IFERROR(FIND("BULK",UPPER($E1266)),999),IFERROR(FIND("-",$E1266),999),IFERROR(FIND("（",$E1266),999))-1))=AN$1,$F1266,""))</f>
        <v/>
      </c>
      <c r="AO1266" s="746" t="str">
        <f t="shared" ref="AO1266:AO1274" si="2185">IF(OR($E1266="",AO$1=""),"",IF(TRIM(LEFT($E1266,MIN(IFERROR(FIND("CDU",UPPER($E1266)),999),IFERROR(FIND("BULK",UPPER($E1266)),999),IFERROR(FIND("-",$E1266),999),IFERROR(FIND("（",$E1266),999))-1))=AO$1,$F1266,""))</f>
        <v/>
      </c>
      <c r="AP1266" s="746" t="str">
        <f t="shared" ref="AP1266:AP1274" si="2186">IF(OR($E1266="",AP$1=""),"",IF(TRIM(LEFT($E1266,MIN(IFERROR(FIND("CDU",UPPER($E1266)),999),IFERROR(FIND("BULK",UPPER($E1266)),999),IFERROR(FIND("-",$E1266),999),IFERROR(FIND("（",$E1266),999))-1))=AP$1,$F1266,""))</f>
        <v/>
      </c>
      <c r="AQ1266" s="746" t="str">
        <f t="shared" ref="AQ1266:AQ1274" si="2187">IF(OR($E1266="",AQ$1=""),"",IF(TRIM(LEFT($E1266,MIN(IFERROR(FIND("CDU",UPPER($E1266)),999),IFERROR(FIND("BULK",UPPER($E1266)),999),IFERROR(FIND("-",$E1266),999),IFERROR(FIND("（",$E1266),999))-1))=AQ$1,$F1266,""))</f>
        <v/>
      </c>
      <c r="AR1266" s="746" t="str">
        <f t="shared" ref="AR1266:AR1274" si="2188">IF(OR($E1266="",AR$1=""),"",IF(TRIM(LEFT($E1266,MIN(IFERROR(FIND("CDU",UPPER($E1266)),999),IFERROR(FIND("BULK",UPPER($E1266)),999),IFERROR(FIND("-",$E1266),999),IFERROR(FIND("（",$E1266),999))-1))=AR$1,$F1266,""))</f>
        <v/>
      </c>
      <c r="AS1266" s="746" t="str">
        <f t="shared" ref="AS1266:AS1274" si="2189">IF(OR($E1266="",AS$1=""),"",IF(TRIM(LEFT($E1266,MIN(IFERROR(FIND("CDU",UPPER($E1266)),999),IFERROR(FIND("BULK",UPPER($E1266)),999),IFERROR(FIND("-",$E1266),999),IFERROR(FIND("（",$E1266),999))-1))=AS$1,$F1266,""))</f>
        <v/>
      </c>
      <c r="AT1266" s="746" t="str">
        <f t="shared" ref="AT1266:AT1274" si="2190">IF(OR($E1266="",AT$1=""),"",IF(TRIM(LEFT($E1266,MIN(IFERROR(FIND("CDU",UPPER($E1266)),999),IFERROR(FIND("BULK",UPPER($E1266)),999),IFERROR(FIND("-",$E1266),999),IFERROR(FIND("（",$E1266),999))-1))=AT$1,$F1266,""))</f>
        <v/>
      </c>
      <c r="AU1266" s="746" t="str">
        <f t="shared" ref="AU1266:AU1274" si="2191">IF(OR($E1266="",AU$1=""),"",IF(TRIM(LEFT($E1266,MIN(IFERROR(FIND("CDU",UPPER($E1266)),999),IFERROR(FIND("BULK",UPPER($E1266)),999),IFERROR(FIND("-",$E1266),999),IFERROR(FIND("（",$E1266),999))-1))=AU$1,$F1266,""))</f>
        <v/>
      </c>
      <c r="AV1266" s="746" t="str">
        <f t="shared" ref="AV1266:AV1274" si="2192">IF(OR($E1266="",AV$1=""),"",IF(TRIM(LEFT($E1266,MIN(IFERROR(FIND("CDU",UPPER($E1266)),999),IFERROR(FIND("BULK",UPPER($E1266)),999),IFERROR(FIND("-",$E1266),999),IFERROR(FIND("（",$E1266),999))-1))=AV$1,$F1266,""))</f>
        <v/>
      </c>
      <c r="AW1266" s="746" t="str">
        <f t="shared" ref="AW1266:AW1274" si="2193">IF(OR($E1266="",AW$1=""),"",IF(TRIM(LEFT($E1266,MIN(IFERROR(FIND("CDU",UPPER($E1266)),999),IFERROR(FIND("BULK",UPPER($E1266)),999),IFERROR(FIND("-",$E1266),999),IFERROR(FIND("（",$E1266),999))-1))=AW$1,$F1266,""))</f>
        <v/>
      </c>
      <c r="AX1266" s="746" t="str">
        <f t="shared" ref="AX1266:AX1274" si="2194">IF(OR($E1266="",AX$1=""),"",IF(TRIM(LEFT($E1266,MIN(IFERROR(FIND("CDU",UPPER($E1266)),999),IFERROR(FIND("BULK",UPPER($E1266)),999),IFERROR(FIND("-",$E1266),999),IFERROR(FIND("（",$E1266),999))-1))=AX$1,$F1266,""))</f>
        <v/>
      </c>
      <c r="AY1266" s="746" t="str">
        <f t="shared" ref="AY1266:AY1274" si="2195">IF(OR($E1266="",AY$1=""),"",IF(TRIM(LEFT($E1266,MIN(IFERROR(FIND("CDU",UPPER($E1266)),999),IFERROR(FIND("BULK",UPPER($E1266)),999),IFERROR(FIND("-",$E1266),999),IFERROR(FIND("（",$E1266),999))-1))=AY$1,$F1266,""))</f>
        <v/>
      </c>
      <c r="AZ1266" s="746" t="str">
        <f t="shared" ref="AZ1266:AZ1274" si="2196">IF(OR($E1266="",AZ$1=""),"",IF(TRIM(LEFT($E1266,MIN(IFERROR(FIND("CDU",UPPER($E1266)),999),IFERROR(FIND("BULK",UPPER($E1266)),999),IFERROR(FIND("-",$E1266),999),IFERROR(FIND("（",$E1266),999))-1))=AZ$1,$F1266,""))</f>
        <v/>
      </c>
      <c r="BA1266" s="746" t="str">
        <f t="shared" ref="BA1266:BA1274" si="2197">IF(OR($E1266="",BA$1=""),"",IF(TRIM(LEFT($E1266,MIN(IFERROR(FIND("CDU",UPPER($E1266)),999),IFERROR(FIND("BULK",UPPER($E1266)),999),IFERROR(FIND("-",$E1266),999),IFERROR(FIND("（",$E1266),999))-1))=BA$1,$F1266,""))</f>
        <v/>
      </c>
      <c r="BB1266" s="746" t="str">
        <f t="shared" ref="BB1266:BB1274" si="2198">IF(OR($E1266="",BB$1=""),"",IF(TRIM(LEFT($E1266,MIN(IFERROR(FIND("CDU",UPPER($E1266)),999),IFERROR(FIND("BULK",UPPER($E1266)),999),IFERROR(FIND("-",$E1266),999),IFERROR(FIND("（",$E1266),999))-1))=BB$1,$F1266,""))</f>
        <v/>
      </c>
      <c r="BC1266" s="746" t="str">
        <f t="shared" ref="BC1266:BC1274" si="2199">IF(OR($E1266="",BC$1=""),"",IF(TRIM(LEFT($E1266,MIN(IFERROR(FIND("CDU",UPPER($E1266)),999),IFERROR(FIND("BULK",UPPER($E1266)),999),IFERROR(FIND("-",$E1266),999),IFERROR(FIND("（",$E1266),999))-1))=BC$1,$F1266,""))</f>
        <v/>
      </c>
      <c r="BD1266" s="746" t="str">
        <f t="shared" ref="BD1266:BD1274" si="2200">IF(OR($E1266="",BD$1=""),"",IF(TRIM(LEFT($E1266,MIN(IFERROR(FIND("CDU",UPPER($E1266)),999),IFERROR(FIND("BULK",UPPER($E1266)),999),IFERROR(FIND("-",$E1266),999),IFERROR(FIND("（",$E1266),999))-1))=BD$1,$F1266,""))</f>
        <v/>
      </c>
      <c r="BE1266" s="746" t="str">
        <f t="shared" ref="BE1266:BE1274" si="2201">IF(OR($E1266="",BE$1=""),"",IF(TRIM(LEFT($E1266,MIN(IFERROR(FIND("CDU",UPPER($E1266)),999),IFERROR(FIND("BULK",UPPER($E1266)),999),IFERROR(FIND("-",$E1266),999),IFERROR(FIND("（",$E1266),999))-1))=BE$1,$F1266,""))</f>
        <v/>
      </c>
      <c r="BF1266" s="746" t="str">
        <f t="shared" ref="BF1266:BF1274" si="2202">IF(OR($E1266="",BF$1=""),"",IF(TRIM(LEFT($E1266,MIN(IFERROR(FIND("CDU",UPPER($E1266)),999),IFERROR(FIND("BULK",UPPER($E1266)),999),IFERROR(FIND("-",$E1266),999),IFERROR(FIND("（",$E1266),999))-1))=BF$1,$F1266,""))</f>
        <v/>
      </c>
      <c r="BG1266" s="746" t="str">
        <f t="shared" ref="BG1266:BG1274" si="2203">IF(OR($E1266="",BG$1=""),"",IF(TRIM(LEFT($E1266,MIN(IFERROR(FIND("CDU",UPPER($E1266)),999),IFERROR(FIND("BULK",UPPER($E1266)),999),IFERROR(FIND("-",$E1266),999),IFERROR(FIND("（",$E1266),999))-1))=BG$1,$F1266,""))</f>
        <v/>
      </c>
      <c r="BH1266" s="746" t="str">
        <f t="shared" ref="BH1266:BH1274" si="2204">IF(OR($E1266="",BH$1=""),"",IF(TRIM(LEFT($E1266,MIN(IFERROR(FIND("CDU",UPPER($E1266)),999),IFERROR(FIND("BULK",UPPER($E1266)),999),IFERROR(FIND("-",$E1266),999),IFERROR(FIND("（",$E1266),999))-1))=BH$1,$F1266,""))</f>
        <v/>
      </c>
      <c r="BI1266" s="746" t="str">
        <f t="shared" ref="BI1266:BI1274" si="2205">IF(OR($E1266="",BI$1=""),"",IF(TRIM(LEFT($E1266,MIN(IFERROR(FIND("CDU",UPPER($E1266)),999),IFERROR(FIND("BULK",UPPER($E1266)),999),IFERROR(FIND("-",$E1266),999),IFERROR(FIND("（",$E1266),999))-1))=BI$1,$F1266,""))</f>
        <v/>
      </c>
      <c r="BJ1266" s="746" t="str">
        <f t="shared" ref="BJ1266:BJ1274" si="2206">IF(OR($E1266="",BJ$1=""),"",IF(TRIM(LEFT($E1266,MIN(IFERROR(FIND("CDU",UPPER($E1266)),999),IFERROR(FIND("BULK",UPPER($E1266)),999),IFERROR(FIND("-",$E1266),999),IFERROR(FIND("（",$E1266),999))-1))=BJ$1,$F1266,""))</f>
        <v/>
      </c>
      <c r="BK1266" s="746" t="str">
        <f t="shared" ref="BK1266:BK1274" si="2207">IF(OR($E1266="",BK$1=""),"",IF(TRIM(LEFT($E1266,MIN(IFERROR(FIND("CDU",UPPER($E1266)),999),IFERROR(FIND("BULK",UPPER($E1266)),999),IFERROR(FIND("-",$E1266),999),IFERROR(FIND("（",$E1266),999))-1))=BK$1,$F1266,""))</f>
        <v/>
      </c>
      <c r="BL1266" s="746" t="str">
        <f t="shared" ref="BL1266:BL1274" si="2208">IF(OR($E1266="",BL$1=""),"",IF(TRIM(LEFT($E1266,MIN(IFERROR(FIND("CDU",UPPER($E1266)),999),IFERROR(FIND("BULK",UPPER($E1266)),999),IFERROR(FIND("-",$E1266),999),IFERROR(FIND("（",$E1266),999))-1))=BL$1,$F1266,""))</f>
        <v/>
      </c>
      <c r="BM1266" s="746" t="str">
        <f t="shared" ref="BM1266:BM1274" si="2209">IF(OR($E1266="",BM$1=""),"",IF(TRIM(LEFT($E1266,MIN(IFERROR(FIND("CDU",UPPER($E1266)),999),IFERROR(FIND("BULK",UPPER($E1266)),999),IFERROR(FIND("-",$E1266),999),IFERROR(FIND("（",$E1266),999))-1))=BM$1,$F1266,""))</f>
        <v/>
      </c>
      <c r="BN1266" s="746" t="str">
        <f t="shared" ref="BN1266:BN1274" si="2210">IF(OR($E1266="",BN$1=""),"",IF(TRIM(LEFT($E1266,MIN(IFERROR(FIND("CDU",UPPER($E1266)),999),IFERROR(FIND("BULK",UPPER($E1266)),999),IFERROR(FIND("-",$E1266),999),IFERROR(FIND("（",$E1266),999))-1))=BN$1,$F1266,""))</f>
        <v/>
      </c>
      <c r="BO1266" s="746" t="str">
        <f t="shared" ref="BO1266:BO1274" si="2211">IF(OR($E1266="",BO$1=""),"",IF(TRIM(LEFT($E1266,MIN(IFERROR(FIND("CDU",UPPER($E1266)),999),IFERROR(FIND("BULK",UPPER($E1266)),999),IFERROR(FIND("-",$E1266),999),IFERROR(FIND("（",$E1266),999))-1))=BO$1,$F1266,""))</f>
        <v/>
      </c>
      <c r="BP1266" s="746" t="str">
        <f t="shared" ref="BP1266:BP1274" si="2212">IF(OR($E1266="",BP$1=""),"",IF(TRIM(LEFT($E1266,MIN(IFERROR(FIND("CDU",UPPER($E1266)),999),IFERROR(FIND("BULK",UPPER($E1266)),999),IFERROR(FIND("-",$E1266),999),IFERROR(FIND("（",$E1266),999))-1))=BP$1,$F1266,""))</f>
        <v/>
      </c>
      <c r="BQ1266" s="746" t="str">
        <f t="shared" ref="BQ1266:BQ1274" si="2213">IF(OR($E1266="",BQ$1=""),"",IF(TRIM(LEFT($E1266,MIN(IFERROR(FIND("CDU",UPPER($E1266)),999),IFERROR(FIND("BULK",UPPER($E1266)),999),IFERROR(FIND("-",$E1266),999),IFERROR(FIND("（",$E1266),999))-1))=BQ$1,$F1266,""))</f>
        <v/>
      </c>
      <c r="BR1266" s="746" t="str">
        <f t="shared" ref="BR1266:BR1274" si="2214">IF(OR($E1266="",BR$1=""),"",IF(TRIM(LEFT($E1266,MIN(IFERROR(FIND("CDU",UPPER($E1266)),999),IFERROR(FIND("BULK",UPPER($E1266)),999),IFERROR(FIND("-",$E1266),999),IFERROR(FIND("（",$E1266),999))-1))=BR$1,$F1266,""))</f>
        <v/>
      </c>
      <c r="BS1266" s="746" t="str">
        <f t="shared" ref="BS1266:BS1274" si="2215">IF(OR($E1266="",BS$1=""),"",IF(TRIM(LEFT($E1266,MIN(IFERROR(FIND("CDU",UPPER($E1266)),999),IFERROR(FIND("BULK",UPPER($E1266)),999),IFERROR(FIND("-",$E1266),999),IFERROR(FIND("（",$E1266),999))-1))=BS$1,$F1266,""))</f>
        <v/>
      </c>
      <c r="BT1266" s="746" t="str">
        <f t="shared" ref="BT1266:BT1274" si="2216">IF(OR($E1266="",BT$1=""),"",IF(TRIM(LEFT($E1266,MIN(IFERROR(FIND("CDU",UPPER($E1266)),999),IFERROR(FIND("BULK",UPPER($E1266)),999),IFERROR(FIND("-",$E1266),999),IFERROR(FIND("（",$E1266),999))-1))=BT$1,$F1266,""))</f>
        <v/>
      </c>
      <c r="BU1266" s="746" t="str">
        <f t="shared" ref="BU1266:BU1290" si="2217">IF(OR($E1266="",BU$1=""),"",IF(TRIM(LEFT($E1266,MIN(IFERROR(FIND("CDU",UPPER($E1266)),999),IFERROR(FIND("BULK",UPPER($E1266)),999),IFERROR(FIND("-",$E1266),999),IFERROR(FIND("（",$E1266),999))-1))=BU$1,$F1266,""))</f>
        <v/>
      </c>
      <c r="BV1266" s="644">
        <v>0.9</v>
      </c>
      <c r="BW1266" s="748">
        <f t="shared" ref="BW1266:BW1290" si="2218">SUM(I1266:BU1266)*BV1266</f>
        <v>1238.4</v>
      </c>
      <c r="BX1266" s="749">
        <f t="shared" ref="BX1266:BX1290" si="2219">BW1266*7.75</f>
        <v>9597.6</v>
      </c>
      <c r="BY1266" s="750" t="str">
        <f t="shared" ref="BY1266:BY1290" si="2220">MID(E1266,1,2)</f>
        <v>SR</v>
      </c>
    </row>
    <row r="1267" s="699" customFormat="1" customHeight="1" spans="1:77">
      <c r="A1267" s="751">
        <v>46244</v>
      </c>
      <c r="B1267" s="751">
        <v>46307</v>
      </c>
      <c r="C1267" s="422" t="s">
        <v>1137</v>
      </c>
      <c r="D1267" s="422" t="s">
        <v>1138</v>
      </c>
      <c r="E1267" s="422" t="s">
        <v>59</v>
      </c>
      <c r="F1267" s="643">
        <v>2544</v>
      </c>
      <c r="G1267" s="422" t="s">
        <v>510</v>
      </c>
      <c r="H1267" s="745" t="str">
        <f>IFERROR(VLOOKUP(E1267,名称!A:E,4,0),"")</f>
        <v>三代</v>
      </c>
      <c r="I1267" s="746" t="str">
        <f t="shared" si="2153"/>
        <v/>
      </c>
      <c r="J1267" s="746" t="str">
        <f t="shared" si="2154"/>
        <v/>
      </c>
      <c r="K1267" s="746" t="str">
        <f t="shared" si="2155"/>
        <v/>
      </c>
      <c r="L1267" s="746" t="str">
        <f t="shared" si="2156"/>
        <v/>
      </c>
      <c r="M1267" s="746" t="str">
        <f t="shared" si="2157"/>
        <v/>
      </c>
      <c r="N1267" s="746" t="str">
        <f t="shared" si="2158"/>
        <v/>
      </c>
      <c r="O1267" s="746" t="str">
        <f t="shared" si="2159"/>
        <v/>
      </c>
      <c r="P1267" s="746" t="str">
        <f t="shared" si="2160"/>
        <v/>
      </c>
      <c r="Q1267" s="746" t="str">
        <f t="shared" si="2161"/>
        <v/>
      </c>
      <c r="R1267" s="746" t="str">
        <f t="shared" si="2162"/>
        <v/>
      </c>
      <c r="S1267" s="746" t="str">
        <f t="shared" si="2163"/>
        <v/>
      </c>
      <c r="T1267" s="746" t="str">
        <f t="shared" si="2164"/>
        <v/>
      </c>
      <c r="U1267" s="746" t="str">
        <f t="shared" si="2165"/>
        <v/>
      </c>
      <c r="V1267" s="746" t="str">
        <f t="shared" si="2166"/>
        <v/>
      </c>
      <c r="W1267" s="746" t="str">
        <f t="shared" si="2167"/>
        <v/>
      </c>
      <c r="X1267" s="746" t="str">
        <f t="shared" si="2168"/>
        <v/>
      </c>
      <c r="Y1267" s="746" t="str">
        <f t="shared" si="2169"/>
        <v/>
      </c>
      <c r="Z1267" s="746" t="str">
        <f t="shared" si="2170"/>
        <v/>
      </c>
      <c r="AA1267" s="746" t="str">
        <f t="shared" si="2171"/>
        <v/>
      </c>
      <c r="AB1267" s="746" t="str">
        <f t="shared" si="2172"/>
        <v/>
      </c>
      <c r="AC1267" s="746" t="str">
        <f t="shared" si="2173"/>
        <v/>
      </c>
      <c r="AD1267" s="746">
        <f t="shared" si="2174"/>
        <v>2544</v>
      </c>
      <c r="AE1267" s="746" t="str">
        <f t="shared" si="2175"/>
        <v/>
      </c>
      <c r="AF1267" s="746" t="str">
        <f t="shared" si="2176"/>
        <v/>
      </c>
      <c r="AG1267" s="746" t="str">
        <f t="shared" si="2177"/>
        <v/>
      </c>
      <c r="AH1267" s="746" t="str">
        <f t="shared" si="2178"/>
        <v/>
      </c>
      <c r="AI1267" s="746" t="str">
        <f t="shared" si="2179"/>
        <v/>
      </c>
      <c r="AJ1267" s="746" t="str">
        <f t="shared" si="2180"/>
        <v/>
      </c>
      <c r="AK1267" s="746" t="str">
        <f t="shared" si="2181"/>
        <v/>
      </c>
      <c r="AL1267" s="746" t="str">
        <f t="shared" si="2182"/>
        <v/>
      </c>
      <c r="AM1267" s="746" t="str">
        <f t="shared" si="2183"/>
        <v/>
      </c>
      <c r="AN1267" s="746" t="str">
        <f t="shared" si="2184"/>
        <v/>
      </c>
      <c r="AO1267" s="746" t="str">
        <f t="shared" si="2185"/>
        <v/>
      </c>
      <c r="AP1267" s="746" t="str">
        <f t="shared" si="2186"/>
        <v/>
      </c>
      <c r="AQ1267" s="746" t="str">
        <f t="shared" si="2187"/>
        <v/>
      </c>
      <c r="AR1267" s="746" t="str">
        <f t="shared" si="2188"/>
        <v/>
      </c>
      <c r="AS1267" s="746" t="str">
        <f t="shared" si="2189"/>
        <v/>
      </c>
      <c r="AT1267" s="746" t="str">
        <f t="shared" si="2190"/>
        <v/>
      </c>
      <c r="AU1267" s="746" t="str">
        <f t="shared" si="2191"/>
        <v/>
      </c>
      <c r="AV1267" s="746" t="str">
        <f t="shared" si="2192"/>
        <v/>
      </c>
      <c r="AW1267" s="746" t="str">
        <f t="shared" si="2193"/>
        <v/>
      </c>
      <c r="AX1267" s="746" t="str">
        <f t="shared" si="2194"/>
        <v/>
      </c>
      <c r="AY1267" s="746" t="str">
        <f t="shared" si="2195"/>
        <v/>
      </c>
      <c r="AZ1267" s="746" t="str">
        <f t="shared" si="2196"/>
        <v/>
      </c>
      <c r="BA1267" s="746" t="str">
        <f t="shared" si="2197"/>
        <v/>
      </c>
      <c r="BB1267" s="746" t="str">
        <f t="shared" si="2198"/>
        <v/>
      </c>
      <c r="BC1267" s="746" t="str">
        <f t="shared" si="2199"/>
        <v/>
      </c>
      <c r="BD1267" s="746" t="str">
        <f t="shared" si="2200"/>
        <v/>
      </c>
      <c r="BE1267" s="746" t="str">
        <f t="shared" si="2201"/>
        <v/>
      </c>
      <c r="BF1267" s="746" t="str">
        <f t="shared" si="2202"/>
        <v/>
      </c>
      <c r="BG1267" s="746" t="str">
        <f t="shared" si="2203"/>
        <v/>
      </c>
      <c r="BH1267" s="746" t="str">
        <f t="shared" si="2204"/>
        <v/>
      </c>
      <c r="BI1267" s="746" t="str">
        <f t="shared" si="2205"/>
        <v/>
      </c>
      <c r="BJ1267" s="746" t="str">
        <f t="shared" si="2206"/>
        <v/>
      </c>
      <c r="BK1267" s="746" t="str">
        <f t="shared" si="2207"/>
        <v/>
      </c>
      <c r="BL1267" s="746" t="str">
        <f t="shared" si="2208"/>
        <v/>
      </c>
      <c r="BM1267" s="746" t="str">
        <f t="shared" si="2209"/>
        <v/>
      </c>
      <c r="BN1267" s="746" t="str">
        <f t="shared" si="2210"/>
        <v/>
      </c>
      <c r="BO1267" s="746" t="str">
        <f t="shared" si="2211"/>
        <v/>
      </c>
      <c r="BP1267" s="746" t="str">
        <f t="shared" si="2212"/>
        <v/>
      </c>
      <c r="BQ1267" s="746" t="str">
        <f t="shared" si="2213"/>
        <v/>
      </c>
      <c r="BR1267" s="746" t="str">
        <f t="shared" si="2214"/>
        <v/>
      </c>
      <c r="BS1267" s="746" t="str">
        <f t="shared" si="2215"/>
        <v/>
      </c>
      <c r="BT1267" s="746" t="str">
        <f t="shared" si="2216"/>
        <v/>
      </c>
      <c r="BU1267" s="746" t="str">
        <f t="shared" si="2217"/>
        <v/>
      </c>
      <c r="BV1267" s="644">
        <v>0.64</v>
      </c>
      <c r="BW1267" s="748">
        <f t="shared" si="2218"/>
        <v>1628.16</v>
      </c>
      <c r="BX1267" s="749">
        <f t="shared" si="2219"/>
        <v>12618.24</v>
      </c>
      <c r="BY1267" s="750" t="str">
        <f t="shared" si="2220"/>
        <v>SR</v>
      </c>
    </row>
    <row r="1268" s="699" customFormat="1" customHeight="1" spans="1:77">
      <c r="A1268" s="751">
        <v>46244</v>
      </c>
      <c r="B1268" s="751">
        <v>46307</v>
      </c>
      <c r="C1268" s="422" t="s">
        <v>1137</v>
      </c>
      <c r="D1268" s="422" t="s">
        <v>1138</v>
      </c>
      <c r="E1268" s="422" t="s">
        <v>66</v>
      </c>
      <c r="F1268" s="643">
        <v>1182</v>
      </c>
      <c r="G1268" s="422" t="s">
        <v>510</v>
      </c>
      <c r="H1268" s="745" t="str">
        <f>IFERROR(VLOOKUP(E1268,名称!A:E,4,0),"")</f>
        <v>三代</v>
      </c>
      <c r="I1268" s="746" t="str">
        <f t="shared" si="2153"/>
        <v/>
      </c>
      <c r="J1268" s="746" t="str">
        <f t="shared" si="2154"/>
        <v/>
      </c>
      <c r="K1268" s="746" t="str">
        <f t="shared" si="2155"/>
        <v/>
      </c>
      <c r="L1268" s="746" t="str">
        <f t="shared" si="2156"/>
        <v/>
      </c>
      <c r="M1268" s="746" t="str">
        <f t="shared" si="2157"/>
        <v/>
      </c>
      <c r="N1268" s="746" t="str">
        <f t="shared" si="2158"/>
        <v/>
      </c>
      <c r="O1268" s="746" t="str">
        <f t="shared" si="2159"/>
        <v/>
      </c>
      <c r="P1268" s="746" t="str">
        <f t="shared" si="2160"/>
        <v/>
      </c>
      <c r="Q1268" s="746" t="str">
        <f t="shared" si="2161"/>
        <v/>
      </c>
      <c r="R1268" s="746" t="str">
        <f t="shared" si="2162"/>
        <v/>
      </c>
      <c r="S1268" s="746" t="str">
        <f t="shared" si="2163"/>
        <v/>
      </c>
      <c r="T1268" s="746" t="str">
        <f t="shared" si="2164"/>
        <v/>
      </c>
      <c r="U1268" s="746" t="str">
        <f t="shared" si="2165"/>
        <v/>
      </c>
      <c r="V1268" s="746" t="str">
        <f t="shared" si="2166"/>
        <v/>
      </c>
      <c r="W1268" s="746" t="str">
        <f t="shared" si="2167"/>
        <v/>
      </c>
      <c r="X1268" s="746" t="str">
        <f t="shared" si="2168"/>
        <v/>
      </c>
      <c r="Y1268" s="746" t="str">
        <f t="shared" si="2169"/>
        <v/>
      </c>
      <c r="Z1268" s="746" t="str">
        <f t="shared" si="2170"/>
        <v/>
      </c>
      <c r="AA1268" s="746" t="str">
        <f t="shared" si="2171"/>
        <v/>
      </c>
      <c r="AB1268" s="746" t="str">
        <f t="shared" si="2172"/>
        <v/>
      </c>
      <c r="AC1268" s="746" t="str">
        <f t="shared" si="2173"/>
        <v/>
      </c>
      <c r="AD1268" s="746" t="str">
        <f t="shared" si="2174"/>
        <v/>
      </c>
      <c r="AE1268" s="746" t="str">
        <f t="shared" si="2175"/>
        <v/>
      </c>
      <c r="AF1268" s="746" t="str">
        <f t="shared" si="2176"/>
        <v/>
      </c>
      <c r="AG1268" s="746">
        <f t="shared" si="2177"/>
        <v>1182</v>
      </c>
      <c r="AH1268" s="746" t="str">
        <f t="shared" si="2178"/>
        <v/>
      </c>
      <c r="AI1268" s="746" t="str">
        <f t="shared" si="2179"/>
        <v/>
      </c>
      <c r="AJ1268" s="746" t="str">
        <f t="shared" si="2180"/>
        <v/>
      </c>
      <c r="AK1268" s="746" t="str">
        <f t="shared" si="2181"/>
        <v/>
      </c>
      <c r="AL1268" s="746" t="str">
        <f t="shared" si="2182"/>
        <v/>
      </c>
      <c r="AM1268" s="746" t="str">
        <f t="shared" si="2183"/>
        <v/>
      </c>
      <c r="AN1268" s="746" t="str">
        <f t="shared" si="2184"/>
        <v/>
      </c>
      <c r="AO1268" s="746" t="str">
        <f t="shared" si="2185"/>
        <v/>
      </c>
      <c r="AP1268" s="746" t="str">
        <f t="shared" si="2186"/>
        <v/>
      </c>
      <c r="AQ1268" s="746" t="str">
        <f t="shared" si="2187"/>
        <v/>
      </c>
      <c r="AR1268" s="746" t="str">
        <f t="shared" si="2188"/>
        <v/>
      </c>
      <c r="AS1268" s="746" t="str">
        <f t="shared" si="2189"/>
        <v/>
      </c>
      <c r="AT1268" s="746" t="str">
        <f t="shared" si="2190"/>
        <v/>
      </c>
      <c r="AU1268" s="746" t="str">
        <f t="shared" si="2191"/>
        <v/>
      </c>
      <c r="AV1268" s="746" t="str">
        <f t="shared" si="2192"/>
        <v/>
      </c>
      <c r="AW1268" s="746" t="str">
        <f t="shared" si="2193"/>
        <v/>
      </c>
      <c r="AX1268" s="746" t="str">
        <f t="shared" si="2194"/>
        <v/>
      </c>
      <c r="AY1268" s="746" t="str">
        <f t="shared" si="2195"/>
        <v/>
      </c>
      <c r="AZ1268" s="746" t="str">
        <f t="shared" si="2196"/>
        <v/>
      </c>
      <c r="BA1268" s="746" t="str">
        <f t="shared" si="2197"/>
        <v/>
      </c>
      <c r="BB1268" s="746" t="str">
        <f t="shared" si="2198"/>
        <v/>
      </c>
      <c r="BC1268" s="746" t="str">
        <f t="shared" si="2199"/>
        <v/>
      </c>
      <c r="BD1268" s="746" t="str">
        <f t="shared" si="2200"/>
        <v/>
      </c>
      <c r="BE1268" s="746" t="str">
        <f t="shared" si="2201"/>
        <v/>
      </c>
      <c r="BF1268" s="746" t="str">
        <f t="shared" si="2202"/>
        <v/>
      </c>
      <c r="BG1268" s="746" t="str">
        <f t="shared" si="2203"/>
        <v/>
      </c>
      <c r="BH1268" s="746" t="str">
        <f t="shared" si="2204"/>
        <v/>
      </c>
      <c r="BI1268" s="746" t="str">
        <f t="shared" si="2205"/>
        <v/>
      </c>
      <c r="BJ1268" s="746" t="str">
        <f t="shared" si="2206"/>
        <v/>
      </c>
      <c r="BK1268" s="746" t="str">
        <f t="shared" si="2207"/>
        <v/>
      </c>
      <c r="BL1268" s="746" t="str">
        <f t="shared" si="2208"/>
        <v/>
      </c>
      <c r="BM1268" s="746" t="str">
        <f t="shared" si="2209"/>
        <v/>
      </c>
      <c r="BN1268" s="746" t="str">
        <f t="shared" si="2210"/>
        <v/>
      </c>
      <c r="BO1268" s="746" t="str">
        <f t="shared" si="2211"/>
        <v/>
      </c>
      <c r="BP1268" s="746" t="str">
        <f t="shared" si="2212"/>
        <v/>
      </c>
      <c r="BQ1268" s="746" t="str">
        <f t="shared" si="2213"/>
        <v/>
      </c>
      <c r="BR1268" s="746" t="str">
        <f t="shared" si="2214"/>
        <v/>
      </c>
      <c r="BS1268" s="746" t="str">
        <f t="shared" si="2215"/>
        <v/>
      </c>
      <c r="BT1268" s="746" t="str">
        <f t="shared" si="2216"/>
        <v/>
      </c>
      <c r="BU1268" s="746" t="str">
        <f t="shared" si="2217"/>
        <v/>
      </c>
      <c r="BV1268" s="644">
        <v>2.04</v>
      </c>
      <c r="BW1268" s="748">
        <f t="shared" si="2218"/>
        <v>2411.28</v>
      </c>
      <c r="BX1268" s="749">
        <f t="shared" si="2219"/>
        <v>18687.42</v>
      </c>
      <c r="BY1268" s="750" t="str">
        <f t="shared" si="2220"/>
        <v>SR</v>
      </c>
    </row>
    <row r="1269" s="699" customFormat="1" customHeight="1" spans="1:77">
      <c r="A1269" s="751">
        <v>46244</v>
      </c>
      <c r="B1269" s="751">
        <v>46307</v>
      </c>
      <c r="C1269" s="422" t="s">
        <v>1137</v>
      </c>
      <c r="D1269" s="422" t="s">
        <v>1138</v>
      </c>
      <c r="E1269" s="422" t="s">
        <v>68</v>
      </c>
      <c r="F1269" s="643">
        <v>408</v>
      </c>
      <c r="G1269" s="422" t="s">
        <v>510</v>
      </c>
      <c r="H1269" s="745" t="str">
        <f>IFERROR(VLOOKUP(E1269,名称!A:E,4,0),"")</f>
        <v>三代</v>
      </c>
      <c r="I1269" s="746" t="str">
        <f t="shared" si="2153"/>
        <v/>
      </c>
      <c r="J1269" s="746" t="str">
        <f t="shared" si="2154"/>
        <v/>
      </c>
      <c r="K1269" s="746" t="str">
        <f t="shared" si="2155"/>
        <v/>
      </c>
      <c r="L1269" s="746" t="str">
        <f t="shared" si="2156"/>
        <v/>
      </c>
      <c r="M1269" s="746" t="str">
        <f t="shared" si="2157"/>
        <v/>
      </c>
      <c r="N1269" s="746" t="str">
        <f t="shared" si="2158"/>
        <v/>
      </c>
      <c r="O1269" s="746" t="str">
        <f t="shared" si="2159"/>
        <v/>
      </c>
      <c r="P1269" s="746" t="str">
        <f t="shared" si="2160"/>
        <v/>
      </c>
      <c r="Q1269" s="746" t="str">
        <f t="shared" si="2161"/>
        <v/>
      </c>
      <c r="R1269" s="746" t="str">
        <f t="shared" si="2162"/>
        <v/>
      </c>
      <c r="S1269" s="746" t="str">
        <f t="shared" si="2163"/>
        <v/>
      </c>
      <c r="T1269" s="746" t="str">
        <f t="shared" si="2164"/>
        <v/>
      </c>
      <c r="U1269" s="746" t="str">
        <f t="shared" si="2165"/>
        <v/>
      </c>
      <c r="V1269" s="746" t="str">
        <f t="shared" si="2166"/>
        <v/>
      </c>
      <c r="W1269" s="746" t="str">
        <f t="shared" si="2167"/>
        <v/>
      </c>
      <c r="X1269" s="746" t="str">
        <f t="shared" si="2168"/>
        <v/>
      </c>
      <c r="Y1269" s="746" t="str">
        <f t="shared" si="2169"/>
        <v/>
      </c>
      <c r="Z1269" s="746" t="str">
        <f t="shared" si="2170"/>
        <v/>
      </c>
      <c r="AA1269" s="746" t="str">
        <f t="shared" si="2171"/>
        <v/>
      </c>
      <c r="AB1269" s="746" t="str">
        <f t="shared" si="2172"/>
        <v/>
      </c>
      <c r="AC1269" s="746" t="str">
        <f t="shared" si="2173"/>
        <v/>
      </c>
      <c r="AD1269" s="746" t="str">
        <f t="shared" si="2174"/>
        <v/>
      </c>
      <c r="AE1269" s="746" t="str">
        <f t="shared" si="2175"/>
        <v/>
      </c>
      <c r="AF1269" s="746" t="str">
        <f t="shared" si="2176"/>
        <v/>
      </c>
      <c r="AG1269" s="746" t="str">
        <f t="shared" si="2177"/>
        <v/>
      </c>
      <c r="AH1269" s="746">
        <f t="shared" si="2178"/>
        <v>408</v>
      </c>
      <c r="AI1269" s="746" t="str">
        <f t="shared" si="2179"/>
        <v/>
      </c>
      <c r="AJ1269" s="746" t="str">
        <f t="shared" si="2180"/>
        <v/>
      </c>
      <c r="AK1269" s="746" t="str">
        <f t="shared" si="2181"/>
        <v/>
      </c>
      <c r="AL1269" s="746" t="str">
        <f t="shared" si="2182"/>
        <v/>
      </c>
      <c r="AM1269" s="746" t="str">
        <f t="shared" si="2183"/>
        <v/>
      </c>
      <c r="AN1269" s="746" t="str">
        <f t="shared" si="2184"/>
        <v/>
      </c>
      <c r="AO1269" s="746" t="str">
        <f t="shared" si="2185"/>
        <v/>
      </c>
      <c r="AP1269" s="746" t="str">
        <f t="shared" si="2186"/>
        <v/>
      </c>
      <c r="AQ1269" s="746" t="str">
        <f t="shared" si="2187"/>
        <v/>
      </c>
      <c r="AR1269" s="746" t="str">
        <f t="shared" si="2188"/>
        <v/>
      </c>
      <c r="AS1269" s="746" t="str">
        <f t="shared" si="2189"/>
        <v/>
      </c>
      <c r="AT1269" s="746" t="str">
        <f t="shared" si="2190"/>
        <v/>
      </c>
      <c r="AU1269" s="746" t="str">
        <f t="shared" si="2191"/>
        <v/>
      </c>
      <c r="AV1269" s="746" t="str">
        <f t="shared" si="2192"/>
        <v/>
      </c>
      <c r="AW1269" s="746" t="str">
        <f t="shared" si="2193"/>
        <v/>
      </c>
      <c r="AX1269" s="746" t="str">
        <f t="shared" si="2194"/>
        <v/>
      </c>
      <c r="AY1269" s="746" t="str">
        <f t="shared" si="2195"/>
        <v/>
      </c>
      <c r="AZ1269" s="746" t="str">
        <f t="shared" si="2196"/>
        <v/>
      </c>
      <c r="BA1269" s="746" t="str">
        <f t="shared" si="2197"/>
        <v/>
      </c>
      <c r="BB1269" s="746" t="str">
        <f t="shared" si="2198"/>
        <v/>
      </c>
      <c r="BC1269" s="746" t="str">
        <f t="shared" si="2199"/>
        <v/>
      </c>
      <c r="BD1269" s="746" t="str">
        <f t="shared" si="2200"/>
        <v/>
      </c>
      <c r="BE1269" s="746" t="str">
        <f t="shared" si="2201"/>
        <v/>
      </c>
      <c r="BF1269" s="746" t="str">
        <f t="shared" si="2202"/>
        <v/>
      </c>
      <c r="BG1269" s="746" t="str">
        <f t="shared" si="2203"/>
        <v/>
      </c>
      <c r="BH1269" s="746" t="str">
        <f t="shared" si="2204"/>
        <v/>
      </c>
      <c r="BI1269" s="746" t="str">
        <f t="shared" si="2205"/>
        <v/>
      </c>
      <c r="BJ1269" s="746" t="str">
        <f t="shared" si="2206"/>
        <v/>
      </c>
      <c r="BK1269" s="746" t="str">
        <f t="shared" si="2207"/>
        <v/>
      </c>
      <c r="BL1269" s="746" t="str">
        <f t="shared" si="2208"/>
        <v/>
      </c>
      <c r="BM1269" s="746" t="str">
        <f t="shared" si="2209"/>
        <v/>
      </c>
      <c r="BN1269" s="746" t="str">
        <f t="shared" si="2210"/>
        <v/>
      </c>
      <c r="BO1269" s="746" t="str">
        <f t="shared" si="2211"/>
        <v/>
      </c>
      <c r="BP1269" s="746" t="str">
        <f t="shared" si="2212"/>
        <v/>
      </c>
      <c r="BQ1269" s="746" t="str">
        <f t="shared" si="2213"/>
        <v/>
      </c>
      <c r="BR1269" s="746" t="str">
        <f t="shared" si="2214"/>
        <v/>
      </c>
      <c r="BS1269" s="746" t="str">
        <f t="shared" si="2215"/>
        <v/>
      </c>
      <c r="BT1269" s="746" t="str">
        <f t="shared" si="2216"/>
        <v/>
      </c>
      <c r="BU1269" s="746" t="str">
        <f t="shared" si="2217"/>
        <v/>
      </c>
      <c r="BV1269" s="644">
        <v>3.12</v>
      </c>
      <c r="BW1269" s="748">
        <f t="shared" si="2218"/>
        <v>1272.96</v>
      </c>
      <c r="BX1269" s="749">
        <f t="shared" si="2219"/>
        <v>9865.44</v>
      </c>
      <c r="BY1269" s="750" t="str">
        <f t="shared" si="2220"/>
        <v>SR</v>
      </c>
    </row>
    <row r="1270" s="699" customFormat="1" customHeight="1" spans="1:77">
      <c r="A1270" s="751">
        <v>46244</v>
      </c>
      <c r="B1270" s="751">
        <v>46307</v>
      </c>
      <c r="C1270" s="422" t="s">
        <v>1137</v>
      </c>
      <c r="D1270" s="422" t="s">
        <v>1138</v>
      </c>
      <c r="E1270" s="422" t="s">
        <v>72</v>
      </c>
      <c r="F1270" s="643">
        <v>1056</v>
      </c>
      <c r="G1270" s="422" t="s">
        <v>510</v>
      </c>
      <c r="H1270" s="745" t="str">
        <f>IFERROR(VLOOKUP(E1270,名称!A:E,4,0),"")</f>
        <v>三代</v>
      </c>
      <c r="I1270" s="746" t="str">
        <f t="shared" si="2153"/>
        <v/>
      </c>
      <c r="J1270" s="746" t="str">
        <f t="shared" si="2154"/>
        <v/>
      </c>
      <c r="K1270" s="746" t="str">
        <f t="shared" si="2155"/>
        <v/>
      </c>
      <c r="L1270" s="746" t="str">
        <f t="shared" si="2156"/>
        <v/>
      </c>
      <c r="M1270" s="746" t="str">
        <f t="shared" si="2157"/>
        <v/>
      </c>
      <c r="N1270" s="746" t="str">
        <f t="shared" si="2158"/>
        <v/>
      </c>
      <c r="O1270" s="746" t="str">
        <f t="shared" si="2159"/>
        <v/>
      </c>
      <c r="P1270" s="746" t="str">
        <f t="shared" si="2160"/>
        <v/>
      </c>
      <c r="Q1270" s="746" t="str">
        <f t="shared" si="2161"/>
        <v/>
      </c>
      <c r="R1270" s="746" t="str">
        <f t="shared" si="2162"/>
        <v/>
      </c>
      <c r="S1270" s="746" t="str">
        <f t="shared" si="2163"/>
        <v/>
      </c>
      <c r="T1270" s="746" t="str">
        <f t="shared" si="2164"/>
        <v/>
      </c>
      <c r="U1270" s="746" t="str">
        <f t="shared" si="2165"/>
        <v/>
      </c>
      <c r="V1270" s="746" t="str">
        <f t="shared" si="2166"/>
        <v/>
      </c>
      <c r="W1270" s="746" t="str">
        <f t="shared" si="2167"/>
        <v/>
      </c>
      <c r="X1270" s="746" t="str">
        <f t="shared" si="2168"/>
        <v/>
      </c>
      <c r="Y1270" s="746" t="str">
        <f t="shared" si="2169"/>
        <v/>
      </c>
      <c r="Z1270" s="746" t="str">
        <f t="shared" si="2170"/>
        <v/>
      </c>
      <c r="AA1270" s="746" t="str">
        <f t="shared" si="2171"/>
        <v/>
      </c>
      <c r="AB1270" s="746" t="str">
        <f t="shared" si="2172"/>
        <v/>
      </c>
      <c r="AC1270" s="746" t="str">
        <f t="shared" si="2173"/>
        <v/>
      </c>
      <c r="AD1270" s="746" t="str">
        <f t="shared" si="2174"/>
        <v/>
      </c>
      <c r="AE1270" s="746" t="str">
        <f t="shared" si="2175"/>
        <v/>
      </c>
      <c r="AF1270" s="746" t="str">
        <f t="shared" si="2176"/>
        <v/>
      </c>
      <c r="AG1270" s="746" t="str">
        <f t="shared" si="2177"/>
        <v/>
      </c>
      <c r="AH1270" s="746" t="str">
        <f t="shared" si="2178"/>
        <v/>
      </c>
      <c r="AI1270" s="746" t="str">
        <f t="shared" si="2179"/>
        <v/>
      </c>
      <c r="AJ1270" s="746" t="str">
        <f t="shared" si="2180"/>
        <v/>
      </c>
      <c r="AK1270" s="746" t="str">
        <f t="shared" si="2181"/>
        <v/>
      </c>
      <c r="AL1270" s="746">
        <f t="shared" si="2182"/>
        <v>1056</v>
      </c>
      <c r="AM1270" s="746" t="str">
        <f t="shared" si="2183"/>
        <v/>
      </c>
      <c r="AN1270" s="746" t="str">
        <f t="shared" si="2184"/>
        <v/>
      </c>
      <c r="AO1270" s="746" t="str">
        <f t="shared" si="2185"/>
        <v/>
      </c>
      <c r="AP1270" s="746" t="str">
        <f t="shared" si="2186"/>
        <v/>
      </c>
      <c r="AQ1270" s="746" t="str">
        <f t="shared" si="2187"/>
        <v/>
      </c>
      <c r="AR1270" s="746" t="str">
        <f t="shared" si="2188"/>
        <v/>
      </c>
      <c r="AS1270" s="746" t="str">
        <f t="shared" si="2189"/>
        <v/>
      </c>
      <c r="AT1270" s="746" t="str">
        <f t="shared" si="2190"/>
        <v/>
      </c>
      <c r="AU1270" s="746" t="str">
        <f t="shared" si="2191"/>
        <v/>
      </c>
      <c r="AV1270" s="746" t="str">
        <f t="shared" si="2192"/>
        <v/>
      </c>
      <c r="AW1270" s="746" t="str">
        <f t="shared" si="2193"/>
        <v/>
      </c>
      <c r="AX1270" s="746" t="str">
        <f t="shared" si="2194"/>
        <v/>
      </c>
      <c r="AY1270" s="746" t="str">
        <f t="shared" si="2195"/>
        <v/>
      </c>
      <c r="AZ1270" s="746" t="str">
        <f t="shared" si="2196"/>
        <v/>
      </c>
      <c r="BA1270" s="746" t="str">
        <f t="shared" si="2197"/>
        <v/>
      </c>
      <c r="BB1270" s="746" t="str">
        <f t="shared" si="2198"/>
        <v/>
      </c>
      <c r="BC1270" s="746" t="str">
        <f t="shared" si="2199"/>
        <v/>
      </c>
      <c r="BD1270" s="746" t="str">
        <f t="shared" si="2200"/>
        <v/>
      </c>
      <c r="BE1270" s="746" t="str">
        <f t="shared" si="2201"/>
        <v/>
      </c>
      <c r="BF1270" s="746" t="str">
        <f t="shared" si="2202"/>
        <v/>
      </c>
      <c r="BG1270" s="746" t="str">
        <f t="shared" si="2203"/>
        <v/>
      </c>
      <c r="BH1270" s="746" t="str">
        <f t="shared" si="2204"/>
        <v/>
      </c>
      <c r="BI1270" s="746" t="str">
        <f t="shared" si="2205"/>
        <v/>
      </c>
      <c r="BJ1270" s="746" t="str">
        <f t="shared" si="2206"/>
        <v/>
      </c>
      <c r="BK1270" s="746" t="str">
        <f t="shared" si="2207"/>
        <v/>
      </c>
      <c r="BL1270" s="746" t="str">
        <f t="shared" si="2208"/>
        <v/>
      </c>
      <c r="BM1270" s="746" t="str">
        <f t="shared" si="2209"/>
        <v/>
      </c>
      <c r="BN1270" s="746" t="str">
        <f t="shared" si="2210"/>
        <v/>
      </c>
      <c r="BO1270" s="746" t="str">
        <f t="shared" si="2211"/>
        <v/>
      </c>
      <c r="BP1270" s="746" t="str">
        <f t="shared" si="2212"/>
        <v/>
      </c>
      <c r="BQ1270" s="746" t="str">
        <f t="shared" si="2213"/>
        <v/>
      </c>
      <c r="BR1270" s="746" t="str">
        <f t="shared" si="2214"/>
        <v/>
      </c>
      <c r="BS1270" s="746" t="str">
        <f t="shared" si="2215"/>
        <v/>
      </c>
      <c r="BT1270" s="746" t="str">
        <f t="shared" si="2216"/>
        <v/>
      </c>
      <c r="BU1270" s="746" t="str">
        <f t="shared" si="2217"/>
        <v/>
      </c>
      <c r="BV1270" s="644">
        <v>1.51</v>
      </c>
      <c r="BW1270" s="748">
        <f t="shared" si="2218"/>
        <v>1594.56</v>
      </c>
      <c r="BX1270" s="749">
        <f t="shared" si="2219"/>
        <v>12357.84</v>
      </c>
      <c r="BY1270" s="750" t="str">
        <f t="shared" si="2220"/>
        <v>SR</v>
      </c>
    </row>
    <row r="1271" s="699" customFormat="1" customHeight="1" spans="1:77">
      <c r="A1271" s="751">
        <v>46244</v>
      </c>
      <c r="B1271" s="751">
        <v>46307</v>
      </c>
      <c r="C1271" s="422" t="s">
        <v>1137</v>
      </c>
      <c r="D1271" s="422" t="s">
        <v>1138</v>
      </c>
      <c r="E1271" s="422" t="s">
        <v>112</v>
      </c>
      <c r="F1271" s="643">
        <v>330</v>
      </c>
      <c r="G1271" s="422" t="s">
        <v>510</v>
      </c>
      <c r="H1271" s="745" t="str">
        <f>IFERROR(VLOOKUP(E1271,名称!A:E,4,0),"")</f>
        <v>三代</v>
      </c>
      <c r="I1271" s="746" t="str">
        <f t="shared" si="2153"/>
        <v/>
      </c>
      <c r="J1271" s="746" t="str">
        <f t="shared" si="2154"/>
        <v/>
      </c>
      <c r="K1271" s="746" t="str">
        <f t="shared" si="2155"/>
        <v/>
      </c>
      <c r="L1271" s="746" t="str">
        <f t="shared" si="2156"/>
        <v/>
      </c>
      <c r="M1271" s="746" t="str">
        <f t="shared" si="2157"/>
        <v/>
      </c>
      <c r="N1271" s="746" t="str">
        <f t="shared" si="2158"/>
        <v/>
      </c>
      <c r="O1271" s="746" t="str">
        <f t="shared" si="2159"/>
        <v/>
      </c>
      <c r="P1271" s="746" t="str">
        <f t="shared" si="2160"/>
        <v/>
      </c>
      <c r="Q1271" s="746" t="str">
        <f t="shared" si="2161"/>
        <v/>
      </c>
      <c r="R1271" s="746" t="str">
        <f t="shared" si="2162"/>
        <v/>
      </c>
      <c r="S1271" s="746" t="str">
        <f t="shared" si="2163"/>
        <v/>
      </c>
      <c r="T1271" s="746" t="str">
        <f t="shared" si="2164"/>
        <v/>
      </c>
      <c r="U1271" s="746" t="str">
        <f t="shared" si="2165"/>
        <v/>
      </c>
      <c r="V1271" s="746" t="str">
        <f t="shared" si="2166"/>
        <v/>
      </c>
      <c r="W1271" s="746" t="str">
        <f t="shared" si="2167"/>
        <v/>
      </c>
      <c r="X1271" s="746" t="str">
        <f t="shared" si="2168"/>
        <v/>
      </c>
      <c r="Y1271" s="746" t="str">
        <f t="shared" si="2169"/>
        <v/>
      </c>
      <c r="Z1271" s="746" t="str">
        <f t="shared" si="2170"/>
        <v/>
      </c>
      <c r="AA1271" s="746" t="str">
        <f t="shared" si="2171"/>
        <v/>
      </c>
      <c r="AB1271" s="746" t="str">
        <f t="shared" si="2172"/>
        <v/>
      </c>
      <c r="AC1271" s="746" t="str">
        <f t="shared" si="2173"/>
        <v/>
      </c>
      <c r="AD1271" s="746" t="str">
        <f t="shared" si="2174"/>
        <v/>
      </c>
      <c r="AE1271" s="746" t="str">
        <f t="shared" si="2175"/>
        <v/>
      </c>
      <c r="AF1271" s="746" t="str">
        <f t="shared" si="2176"/>
        <v/>
      </c>
      <c r="AG1271" s="746" t="str">
        <f t="shared" si="2177"/>
        <v/>
      </c>
      <c r="AH1271" s="746" t="str">
        <f t="shared" si="2178"/>
        <v/>
      </c>
      <c r="AI1271" s="746">
        <f t="shared" si="2179"/>
        <v>330</v>
      </c>
      <c r="AJ1271" s="746" t="str">
        <f t="shared" si="2180"/>
        <v/>
      </c>
      <c r="AK1271" s="746" t="str">
        <f t="shared" si="2181"/>
        <v/>
      </c>
      <c r="AL1271" s="746" t="str">
        <f t="shared" si="2182"/>
        <v/>
      </c>
      <c r="AM1271" s="746" t="str">
        <f t="shared" si="2183"/>
        <v/>
      </c>
      <c r="AN1271" s="746" t="str">
        <f t="shared" si="2184"/>
        <v/>
      </c>
      <c r="AO1271" s="746" t="str">
        <f t="shared" si="2185"/>
        <v/>
      </c>
      <c r="AP1271" s="746" t="str">
        <f t="shared" si="2186"/>
        <v/>
      </c>
      <c r="AQ1271" s="746" t="str">
        <f t="shared" si="2187"/>
        <v/>
      </c>
      <c r="AR1271" s="746" t="str">
        <f t="shared" si="2188"/>
        <v/>
      </c>
      <c r="AS1271" s="746" t="str">
        <f t="shared" si="2189"/>
        <v/>
      </c>
      <c r="AT1271" s="746" t="str">
        <f t="shared" si="2190"/>
        <v/>
      </c>
      <c r="AU1271" s="746" t="str">
        <f t="shared" si="2191"/>
        <v/>
      </c>
      <c r="AV1271" s="746" t="str">
        <f t="shared" si="2192"/>
        <v/>
      </c>
      <c r="AW1271" s="746" t="str">
        <f t="shared" si="2193"/>
        <v/>
      </c>
      <c r="AX1271" s="746" t="str">
        <f t="shared" si="2194"/>
        <v/>
      </c>
      <c r="AY1271" s="746" t="str">
        <f t="shared" si="2195"/>
        <v/>
      </c>
      <c r="AZ1271" s="746" t="str">
        <f t="shared" si="2196"/>
        <v/>
      </c>
      <c r="BA1271" s="746" t="str">
        <f t="shared" si="2197"/>
        <v/>
      </c>
      <c r="BB1271" s="746" t="str">
        <f t="shared" si="2198"/>
        <v/>
      </c>
      <c r="BC1271" s="746" t="str">
        <f t="shared" si="2199"/>
        <v/>
      </c>
      <c r="BD1271" s="746" t="str">
        <f t="shared" si="2200"/>
        <v/>
      </c>
      <c r="BE1271" s="746" t="str">
        <f t="shared" si="2201"/>
        <v/>
      </c>
      <c r="BF1271" s="746" t="str">
        <f t="shared" si="2202"/>
        <v/>
      </c>
      <c r="BG1271" s="746" t="str">
        <f t="shared" si="2203"/>
        <v/>
      </c>
      <c r="BH1271" s="746" t="str">
        <f t="shared" si="2204"/>
        <v/>
      </c>
      <c r="BI1271" s="746" t="str">
        <f t="shared" si="2205"/>
        <v/>
      </c>
      <c r="BJ1271" s="746" t="str">
        <f t="shared" si="2206"/>
        <v/>
      </c>
      <c r="BK1271" s="746" t="str">
        <f t="shared" si="2207"/>
        <v/>
      </c>
      <c r="BL1271" s="746" t="str">
        <f t="shared" si="2208"/>
        <v/>
      </c>
      <c r="BM1271" s="746" t="str">
        <f t="shared" si="2209"/>
        <v/>
      </c>
      <c r="BN1271" s="746" t="str">
        <f t="shared" si="2210"/>
        <v/>
      </c>
      <c r="BO1271" s="746" t="str">
        <f t="shared" si="2211"/>
        <v/>
      </c>
      <c r="BP1271" s="746" t="str">
        <f t="shared" si="2212"/>
        <v/>
      </c>
      <c r="BQ1271" s="746" t="str">
        <f t="shared" si="2213"/>
        <v/>
      </c>
      <c r="BR1271" s="746" t="str">
        <f t="shared" si="2214"/>
        <v/>
      </c>
      <c r="BS1271" s="746" t="str">
        <f t="shared" si="2215"/>
        <v/>
      </c>
      <c r="BT1271" s="746" t="str">
        <f t="shared" si="2216"/>
        <v/>
      </c>
      <c r="BU1271" s="746" t="str">
        <f t="shared" si="2217"/>
        <v/>
      </c>
      <c r="BV1271" s="644">
        <v>9.39</v>
      </c>
      <c r="BW1271" s="748">
        <f t="shared" si="2218"/>
        <v>3098.7</v>
      </c>
      <c r="BX1271" s="749">
        <f t="shared" si="2219"/>
        <v>24014.93</v>
      </c>
      <c r="BY1271" s="750" t="str">
        <f t="shared" si="2220"/>
        <v>SR</v>
      </c>
    </row>
    <row r="1272" s="699" customFormat="1" customHeight="1" spans="1:77">
      <c r="A1272" s="751">
        <v>46244</v>
      </c>
      <c r="B1272" s="751">
        <v>46307</v>
      </c>
      <c r="C1272" s="422" t="s">
        <v>1137</v>
      </c>
      <c r="D1272" s="422" t="s">
        <v>1138</v>
      </c>
      <c r="E1272" s="422" t="s">
        <v>85</v>
      </c>
      <c r="F1272" s="643">
        <v>3672</v>
      </c>
      <c r="G1272" s="422" t="s">
        <v>510</v>
      </c>
      <c r="H1272" s="745" t="str">
        <f>IFERROR(VLOOKUP(E1272,名称!A:E,4,0),"")</f>
        <v>三代</v>
      </c>
      <c r="I1272" s="746" t="str">
        <f t="shared" si="2153"/>
        <v/>
      </c>
      <c r="J1272" s="746" t="str">
        <f t="shared" si="2154"/>
        <v/>
      </c>
      <c r="K1272" s="746" t="str">
        <f t="shared" si="2155"/>
        <v/>
      </c>
      <c r="L1272" s="746" t="str">
        <f t="shared" si="2156"/>
        <v/>
      </c>
      <c r="M1272" s="746" t="str">
        <f t="shared" si="2157"/>
        <v/>
      </c>
      <c r="N1272" s="746" t="str">
        <f t="shared" si="2158"/>
        <v/>
      </c>
      <c r="O1272" s="746" t="str">
        <f t="shared" si="2159"/>
        <v/>
      </c>
      <c r="P1272" s="746" t="str">
        <f t="shared" si="2160"/>
        <v/>
      </c>
      <c r="Q1272" s="746" t="str">
        <f t="shared" si="2161"/>
        <v/>
      </c>
      <c r="R1272" s="746" t="str">
        <f t="shared" si="2162"/>
        <v/>
      </c>
      <c r="S1272" s="746" t="str">
        <f t="shared" si="2163"/>
        <v/>
      </c>
      <c r="T1272" s="746" t="str">
        <f t="shared" si="2164"/>
        <v/>
      </c>
      <c r="U1272" s="746" t="str">
        <f t="shared" si="2165"/>
        <v/>
      </c>
      <c r="V1272" s="746" t="str">
        <f t="shared" si="2166"/>
        <v/>
      </c>
      <c r="W1272" s="746" t="str">
        <f t="shared" si="2167"/>
        <v/>
      </c>
      <c r="X1272" s="746" t="str">
        <f t="shared" si="2168"/>
        <v/>
      </c>
      <c r="Y1272" s="746" t="str">
        <f t="shared" si="2169"/>
        <v/>
      </c>
      <c r="Z1272" s="746" t="str">
        <f t="shared" si="2170"/>
        <v/>
      </c>
      <c r="AA1272" s="746" t="str">
        <f t="shared" si="2171"/>
        <v/>
      </c>
      <c r="AB1272" s="746" t="str">
        <f t="shared" si="2172"/>
        <v/>
      </c>
      <c r="AC1272" s="746" t="str">
        <f t="shared" si="2173"/>
        <v/>
      </c>
      <c r="AD1272" s="746" t="str">
        <f t="shared" si="2174"/>
        <v/>
      </c>
      <c r="AE1272" s="746" t="str">
        <f t="shared" si="2175"/>
        <v/>
      </c>
      <c r="AF1272" s="746" t="str">
        <f t="shared" si="2176"/>
        <v/>
      </c>
      <c r="AG1272" s="746" t="str">
        <f t="shared" si="2177"/>
        <v/>
      </c>
      <c r="AH1272" s="746" t="str">
        <f t="shared" si="2178"/>
        <v/>
      </c>
      <c r="AI1272" s="746" t="str">
        <f t="shared" si="2179"/>
        <v/>
      </c>
      <c r="AJ1272" s="746" t="str">
        <f t="shared" si="2180"/>
        <v/>
      </c>
      <c r="AK1272" s="746" t="str">
        <f t="shared" si="2181"/>
        <v/>
      </c>
      <c r="AL1272" s="746" t="str">
        <f t="shared" si="2182"/>
        <v/>
      </c>
      <c r="AM1272" s="746" t="str">
        <f t="shared" si="2183"/>
        <v/>
      </c>
      <c r="AN1272" s="746">
        <f t="shared" si="2184"/>
        <v>3672</v>
      </c>
      <c r="AO1272" s="746" t="str">
        <f t="shared" si="2185"/>
        <v/>
      </c>
      <c r="AP1272" s="746" t="str">
        <f t="shared" si="2186"/>
        <v/>
      </c>
      <c r="AQ1272" s="746" t="str">
        <f t="shared" si="2187"/>
        <v/>
      </c>
      <c r="AR1272" s="746" t="str">
        <f t="shared" si="2188"/>
        <v/>
      </c>
      <c r="AS1272" s="746" t="str">
        <f t="shared" si="2189"/>
        <v/>
      </c>
      <c r="AT1272" s="746" t="str">
        <f t="shared" si="2190"/>
        <v/>
      </c>
      <c r="AU1272" s="746" t="str">
        <f t="shared" si="2191"/>
        <v/>
      </c>
      <c r="AV1272" s="746" t="str">
        <f t="shared" si="2192"/>
        <v/>
      </c>
      <c r="AW1272" s="746" t="str">
        <f t="shared" si="2193"/>
        <v/>
      </c>
      <c r="AX1272" s="746" t="str">
        <f t="shared" si="2194"/>
        <v/>
      </c>
      <c r="AY1272" s="746" t="str">
        <f t="shared" si="2195"/>
        <v/>
      </c>
      <c r="AZ1272" s="746" t="str">
        <f t="shared" si="2196"/>
        <v/>
      </c>
      <c r="BA1272" s="746" t="str">
        <f t="shared" si="2197"/>
        <v/>
      </c>
      <c r="BB1272" s="746" t="str">
        <f t="shared" si="2198"/>
        <v/>
      </c>
      <c r="BC1272" s="746" t="str">
        <f t="shared" si="2199"/>
        <v/>
      </c>
      <c r="BD1272" s="746" t="str">
        <f t="shared" si="2200"/>
        <v/>
      </c>
      <c r="BE1272" s="746" t="str">
        <f t="shared" si="2201"/>
        <v/>
      </c>
      <c r="BF1272" s="746" t="str">
        <f t="shared" si="2202"/>
        <v/>
      </c>
      <c r="BG1272" s="746" t="str">
        <f t="shared" si="2203"/>
        <v/>
      </c>
      <c r="BH1272" s="746" t="str">
        <f t="shared" si="2204"/>
        <v/>
      </c>
      <c r="BI1272" s="746" t="str">
        <f t="shared" si="2205"/>
        <v/>
      </c>
      <c r="BJ1272" s="746" t="str">
        <f t="shared" si="2206"/>
        <v/>
      </c>
      <c r="BK1272" s="746" t="str">
        <f t="shared" si="2207"/>
        <v/>
      </c>
      <c r="BL1272" s="746" t="str">
        <f t="shared" si="2208"/>
        <v/>
      </c>
      <c r="BM1272" s="746" t="str">
        <f t="shared" si="2209"/>
        <v/>
      </c>
      <c r="BN1272" s="746" t="str">
        <f t="shared" si="2210"/>
        <v/>
      </c>
      <c r="BO1272" s="746" t="str">
        <f t="shared" si="2211"/>
        <v/>
      </c>
      <c r="BP1272" s="746" t="str">
        <f t="shared" si="2212"/>
        <v/>
      </c>
      <c r="BQ1272" s="746" t="str">
        <f t="shared" si="2213"/>
        <v/>
      </c>
      <c r="BR1272" s="746" t="str">
        <f t="shared" si="2214"/>
        <v/>
      </c>
      <c r="BS1272" s="746" t="str">
        <f t="shared" si="2215"/>
        <v/>
      </c>
      <c r="BT1272" s="746" t="str">
        <f t="shared" si="2216"/>
        <v/>
      </c>
      <c r="BU1272" s="746" t="str">
        <f t="shared" si="2217"/>
        <v/>
      </c>
      <c r="BV1272" s="644">
        <v>0.89</v>
      </c>
      <c r="BW1272" s="748">
        <f t="shared" si="2218"/>
        <v>3268.08</v>
      </c>
      <c r="BX1272" s="749">
        <f t="shared" si="2219"/>
        <v>25327.62</v>
      </c>
      <c r="BY1272" s="750" t="str">
        <f t="shared" si="2220"/>
        <v>SR</v>
      </c>
    </row>
    <row r="1273" s="699" customFormat="1" customHeight="1" spans="1:77">
      <c r="A1273" s="751">
        <v>46244</v>
      </c>
      <c r="B1273" s="751">
        <v>46307</v>
      </c>
      <c r="C1273" s="422" t="s">
        <v>1137</v>
      </c>
      <c r="D1273" s="422" t="s">
        <v>1138</v>
      </c>
      <c r="E1273" s="422" t="s">
        <v>97</v>
      </c>
      <c r="F1273" s="643">
        <v>2088</v>
      </c>
      <c r="G1273" s="422" t="s">
        <v>510</v>
      </c>
      <c r="H1273" s="745" t="str">
        <f>IFERROR(VLOOKUP(E1273,名称!A:E,4,0),"")</f>
        <v>三代</v>
      </c>
      <c r="I1273" s="746" t="str">
        <f t="shared" si="2153"/>
        <v/>
      </c>
      <c r="J1273" s="746" t="str">
        <f t="shared" si="2154"/>
        <v/>
      </c>
      <c r="K1273" s="746" t="str">
        <f t="shared" si="2155"/>
        <v/>
      </c>
      <c r="L1273" s="746" t="str">
        <f t="shared" si="2156"/>
        <v/>
      </c>
      <c r="M1273" s="746" t="str">
        <f t="shared" si="2157"/>
        <v/>
      </c>
      <c r="N1273" s="746" t="str">
        <f t="shared" si="2158"/>
        <v/>
      </c>
      <c r="O1273" s="746" t="str">
        <f t="shared" si="2159"/>
        <v/>
      </c>
      <c r="P1273" s="746" t="str">
        <f t="shared" si="2160"/>
        <v/>
      </c>
      <c r="Q1273" s="746" t="str">
        <f t="shared" si="2161"/>
        <v/>
      </c>
      <c r="R1273" s="746" t="str">
        <f t="shared" si="2162"/>
        <v/>
      </c>
      <c r="S1273" s="746" t="str">
        <f t="shared" si="2163"/>
        <v/>
      </c>
      <c r="T1273" s="746" t="str">
        <f t="shared" si="2164"/>
        <v/>
      </c>
      <c r="U1273" s="746" t="str">
        <f t="shared" si="2165"/>
        <v/>
      </c>
      <c r="V1273" s="746" t="str">
        <f t="shared" si="2166"/>
        <v/>
      </c>
      <c r="W1273" s="746" t="str">
        <f t="shared" si="2167"/>
        <v/>
      </c>
      <c r="X1273" s="746" t="str">
        <f t="shared" si="2168"/>
        <v/>
      </c>
      <c r="Y1273" s="746" t="str">
        <f t="shared" si="2169"/>
        <v/>
      </c>
      <c r="Z1273" s="746" t="str">
        <f t="shared" si="2170"/>
        <v/>
      </c>
      <c r="AA1273" s="746" t="str">
        <f t="shared" si="2171"/>
        <v/>
      </c>
      <c r="AB1273" s="746" t="str">
        <f t="shared" si="2172"/>
        <v/>
      </c>
      <c r="AC1273" s="746" t="str">
        <f t="shared" si="2173"/>
        <v/>
      </c>
      <c r="AD1273" s="746" t="str">
        <f t="shared" si="2174"/>
        <v/>
      </c>
      <c r="AE1273" s="746" t="str">
        <f t="shared" si="2175"/>
        <v/>
      </c>
      <c r="AF1273" s="746" t="str">
        <f t="shared" si="2176"/>
        <v/>
      </c>
      <c r="AG1273" s="746" t="str">
        <f t="shared" si="2177"/>
        <v/>
      </c>
      <c r="AH1273" s="746" t="str">
        <f t="shared" si="2178"/>
        <v/>
      </c>
      <c r="AI1273" s="746" t="str">
        <f t="shared" si="2179"/>
        <v/>
      </c>
      <c r="AJ1273" s="746" t="str">
        <f t="shared" si="2180"/>
        <v/>
      </c>
      <c r="AK1273" s="746" t="str">
        <f t="shared" si="2181"/>
        <v/>
      </c>
      <c r="AL1273" s="746" t="str">
        <f t="shared" si="2182"/>
        <v/>
      </c>
      <c r="AM1273" s="746" t="str">
        <f t="shared" si="2183"/>
        <v/>
      </c>
      <c r="AN1273" s="746" t="str">
        <f t="shared" si="2184"/>
        <v/>
      </c>
      <c r="AO1273" s="746" t="str">
        <f t="shared" si="2185"/>
        <v/>
      </c>
      <c r="AP1273" s="746" t="str">
        <f t="shared" si="2186"/>
        <v/>
      </c>
      <c r="AQ1273" s="746" t="str">
        <f t="shared" si="2187"/>
        <v/>
      </c>
      <c r="AR1273" s="746" t="str">
        <f t="shared" si="2188"/>
        <v/>
      </c>
      <c r="AS1273" s="746" t="str">
        <f t="shared" si="2189"/>
        <v/>
      </c>
      <c r="AT1273" s="746" t="str">
        <f t="shared" si="2190"/>
        <v/>
      </c>
      <c r="AU1273" s="746" t="str">
        <f t="shared" si="2191"/>
        <v/>
      </c>
      <c r="AV1273" s="746" t="str">
        <f t="shared" si="2192"/>
        <v/>
      </c>
      <c r="AW1273" s="746" t="str">
        <f t="shared" si="2193"/>
        <v/>
      </c>
      <c r="AX1273" s="746" t="str">
        <f t="shared" si="2194"/>
        <v/>
      </c>
      <c r="AY1273" s="746" t="str">
        <f t="shared" si="2195"/>
        <v/>
      </c>
      <c r="AZ1273" s="746" t="str">
        <f t="shared" si="2196"/>
        <v/>
      </c>
      <c r="BA1273" s="746">
        <f t="shared" si="2197"/>
        <v>2088</v>
      </c>
      <c r="BB1273" s="746" t="str">
        <f t="shared" si="2198"/>
        <v/>
      </c>
      <c r="BC1273" s="746" t="str">
        <f t="shared" si="2199"/>
        <v/>
      </c>
      <c r="BD1273" s="746" t="str">
        <f t="shared" si="2200"/>
        <v/>
      </c>
      <c r="BE1273" s="746" t="str">
        <f t="shared" si="2201"/>
        <v/>
      </c>
      <c r="BF1273" s="746" t="str">
        <f t="shared" si="2202"/>
        <v/>
      </c>
      <c r="BG1273" s="746" t="str">
        <f t="shared" si="2203"/>
        <v/>
      </c>
      <c r="BH1273" s="746" t="str">
        <f t="shared" si="2204"/>
        <v/>
      </c>
      <c r="BI1273" s="746" t="str">
        <f t="shared" si="2205"/>
        <v/>
      </c>
      <c r="BJ1273" s="746" t="str">
        <f t="shared" si="2206"/>
        <v/>
      </c>
      <c r="BK1273" s="746" t="str">
        <f t="shared" si="2207"/>
        <v/>
      </c>
      <c r="BL1273" s="746" t="str">
        <f t="shared" si="2208"/>
        <v/>
      </c>
      <c r="BM1273" s="746" t="str">
        <f t="shared" si="2209"/>
        <v/>
      </c>
      <c r="BN1273" s="746" t="str">
        <f t="shared" si="2210"/>
        <v/>
      </c>
      <c r="BO1273" s="746" t="str">
        <f t="shared" si="2211"/>
        <v/>
      </c>
      <c r="BP1273" s="746" t="str">
        <f t="shared" si="2212"/>
        <v/>
      </c>
      <c r="BQ1273" s="746" t="str">
        <f t="shared" si="2213"/>
        <v/>
      </c>
      <c r="BR1273" s="746" t="str">
        <f t="shared" si="2214"/>
        <v/>
      </c>
      <c r="BS1273" s="746" t="str">
        <f t="shared" si="2215"/>
        <v/>
      </c>
      <c r="BT1273" s="746" t="str">
        <f t="shared" si="2216"/>
        <v/>
      </c>
      <c r="BU1273" s="746" t="str">
        <f t="shared" si="2217"/>
        <v/>
      </c>
      <c r="BV1273" s="644">
        <v>0.64</v>
      </c>
      <c r="BW1273" s="748">
        <f t="shared" si="2218"/>
        <v>1336.32</v>
      </c>
      <c r="BX1273" s="749">
        <f t="shared" si="2219"/>
        <v>10356.48</v>
      </c>
      <c r="BY1273" s="750" t="str">
        <f t="shared" si="2220"/>
        <v>SR</v>
      </c>
    </row>
    <row r="1274" s="699" customFormat="1" customHeight="1" spans="1:77">
      <c r="A1274" s="751">
        <v>46244</v>
      </c>
      <c r="B1274" s="751">
        <v>46307</v>
      </c>
      <c r="C1274" s="422" t="s">
        <v>1137</v>
      </c>
      <c r="D1274" s="422" t="s">
        <v>1138</v>
      </c>
      <c r="E1274" s="422" t="s">
        <v>98</v>
      </c>
      <c r="F1274" s="643">
        <v>528</v>
      </c>
      <c r="G1274" s="422" t="s">
        <v>510</v>
      </c>
      <c r="H1274" s="745" t="str">
        <f>IFERROR(VLOOKUP(E1274,名称!A:E,4,0),"")</f>
        <v>三代</v>
      </c>
      <c r="I1274" s="746" t="str">
        <f t="shared" si="2153"/>
        <v/>
      </c>
      <c r="J1274" s="746" t="str">
        <f t="shared" si="2154"/>
        <v/>
      </c>
      <c r="K1274" s="746" t="str">
        <f t="shared" si="2155"/>
        <v/>
      </c>
      <c r="L1274" s="746" t="str">
        <f t="shared" si="2156"/>
        <v/>
      </c>
      <c r="M1274" s="746" t="str">
        <f t="shared" si="2157"/>
        <v/>
      </c>
      <c r="N1274" s="746" t="str">
        <f t="shared" si="2158"/>
        <v/>
      </c>
      <c r="O1274" s="746" t="str">
        <f t="shared" si="2159"/>
        <v/>
      </c>
      <c r="P1274" s="746" t="str">
        <f t="shared" si="2160"/>
        <v/>
      </c>
      <c r="Q1274" s="746" t="str">
        <f t="shared" si="2161"/>
        <v/>
      </c>
      <c r="R1274" s="746" t="str">
        <f t="shared" si="2162"/>
        <v/>
      </c>
      <c r="S1274" s="746" t="str">
        <f t="shared" si="2163"/>
        <v/>
      </c>
      <c r="T1274" s="746" t="str">
        <f t="shared" si="2164"/>
        <v/>
      </c>
      <c r="U1274" s="746" t="str">
        <f t="shared" si="2165"/>
        <v/>
      </c>
      <c r="V1274" s="746" t="str">
        <f t="shared" si="2166"/>
        <v/>
      </c>
      <c r="W1274" s="746" t="str">
        <f t="shared" si="2167"/>
        <v/>
      </c>
      <c r="X1274" s="746" t="str">
        <f t="shared" si="2168"/>
        <v/>
      </c>
      <c r="Y1274" s="746" t="str">
        <f t="shared" si="2169"/>
        <v/>
      </c>
      <c r="Z1274" s="746" t="str">
        <f t="shared" si="2170"/>
        <v/>
      </c>
      <c r="AA1274" s="746" t="str">
        <f t="shared" si="2171"/>
        <v/>
      </c>
      <c r="AB1274" s="746" t="str">
        <f t="shared" si="2172"/>
        <v/>
      </c>
      <c r="AC1274" s="746" t="str">
        <f t="shared" si="2173"/>
        <v/>
      </c>
      <c r="AD1274" s="746" t="str">
        <f t="shared" si="2174"/>
        <v/>
      </c>
      <c r="AE1274" s="746" t="str">
        <f t="shared" si="2175"/>
        <v/>
      </c>
      <c r="AF1274" s="746" t="str">
        <f t="shared" si="2176"/>
        <v/>
      </c>
      <c r="AG1274" s="746" t="str">
        <f t="shared" si="2177"/>
        <v/>
      </c>
      <c r="AH1274" s="746" t="str">
        <f t="shared" si="2178"/>
        <v/>
      </c>
      <c r="AI1274" s="746" t="str">
        <f t="shared" si="2179"/>
        <v/>
      </c>
      <c r="AJ1274" s="746" t="str">
        <f t="shared" si="2180"/>
        <v/>
      </c>
      <c r="AK1274" s="746" t="str">
        <f t="shared" si="2181"/>
        <v/>
      </c>
      <c r="AL1274" s="746" t="str">
        <f t="shared" si="2182"/>
        <v/>
      </c>
      <c r="AM1274" s="746" t="str">
        <f t="shared" si="2183"/>
        <v/>
      </c>
      <c r="AN1274" s="746" t="str">
        <f t="shared" si="2184"/>
        <v/>
      </c>
      <c r="AO1274" s="746" t="str">
        <f t="shared" si="2185"/>
        <v/>
      </c>
      <c r="AP1274" s="746" t="str">
        <f t="shared" si="2186"/>
        <v/>
      </c>
      <c r="AQ1274" s="746" t="str">
        <f t="shared" si="2187"/>
        <v/>
      </c>
      <c r="AR1274" s="746" t="str">
        <f t="shared" si="2188"/>
        <v/>
      </c>
      <c r="AS1274" s="746" t="str">
        <f t="shared" si="2189"/>
        <v/>
      </c>
      <c r="AT1274" s="746" t="str">
        <f t="shared" si="2190"/>
        <v/>
      </c>
      <c r="AU1274" s="746" t="str">
        <f t="shared" si="2191"/>
        <v/>
      </c>
      <c r="AV1274" s="746" t="str">
        <f t="shared" si="2192"/>
        <v/>
      </c>
      <c r="AW1274" s="746" t="str">
        <f t="shared" si="2193"/>
        <v/>
      </c>
      <c r="AX1274" s="746" t="str">
        <f t="shared" si="2194"/>
        <v/>
      </c>
      <c r="AY1274" s="746" t="str">
        <f t="shared" si="2195"/>
        <v/>
      </c>
      <c r="AZ1274" s="746" t="str">
        <f t="shared" si="2196"/>
        <v/>
      </c>
      <c r="BA1274" s="746" t="str">
        <f t="shared" si="2197"/>
        <v/>
      </c>
      <c r="BB1274" s="746">
        <f t="shared" si="2198"/>
        <v>528</v>
      </c>
      <c r="BC1274" s="746" t="str">
        <f t="shared" si="2199"/>
        <v/>
      </c>
      <c r="BD1274" s="746" t="str">
        <f t="shared" si="2200"/>
        <v/>
      </c>
      <c r="BE1274" s="746" t="str">
        <f t="shared" si="2201"/>
        <v/>
      </c>
      <c r="BF1274" s="746" t="str">
        <f t="shared" si="2202"/>
        <v/>
      </c>
      <c r="BG1274" s="746" t="str">
        <f t="shared" si="2203"/>
        <v/>
      </c>
      <c r="BH1274" s="746" t="str">
        <f t="shared" si="2204"/>
        <v/>
      </c>
      <c r="BI1274" s="746" t="str">
        <f t="shared" si="2205"/>
        <v/>
      </c>
      <c r="BJ1274" s="746" t="str">
        <f t="shared" si="2206"/>
        <v/>
      </c>
      <c r="BK1274" s="746" t="str">
        <f t="shared" si="2207"/>
        <v/>
      </c>
      <c r="BL1274" s="746" t="str">
        <f t="shared" si="2208"/>
        <v/>
      </c>
      <c r="BM1274" s="746" t="str">
        <f t="shared" si="2209"/>
        <v/>
      </c>
      <c r="BN1274" s="746" t="str">
        <f t="shared" si="2210"/>
        <v/>
      </c>
      <c r="BO1274" s="746" t="str">
        <f t="shared" si="2211"/>
        <v/>
      </c>
      <c r="BP1274" s="746" t="str">
        <f t="shared" si="2212"/>
        <v/>
      </c>
      <c r="BQ1274" s="746" t="str">
        <f t="shared" si="2213"/>
        <v/>
      </c>
      <c r="BR1274" s="746" t="str">
        <f t="shared" si="2214"/>
        <v/>
      </c>
      <c r="BS1274" s="746" t="str">
        <f t="shared" si="2215"/>
        <v/>
      </c>
      <c r="BT1274" s="746" t="str">
        <f t="shared" si="2216"/>
        <v/>
      </c>
      <c r="BU1274" s="746" t="str">
        <f t="shared" si="2217"/>
        <v/>
      </c>
      <c r="BV1274" s="644">
        <v>1.51</v>
      </c>
      <c r="BW1274" s="748">
        <f t="shared" si="2218"/>
        <v>797.28</v>
      </c>
      <c r="BX1274" s="749">
        <f t="shared" si="2219"/>
        <v>6178.92</v>
      </c>
      <c r="BY1274" s="750" t="str">
        <f t="shared" si="2220"/>
        <v>SR</v>
      </c>
    </row>
    <row r="1275" s="699" customFormat="1" customHeight="1" spans="1:77">
      <c r="A1275" s="751">
        <v>46245</v>
      </c>
      <c r="B1275" s="751">
        <v>46346</v>
      </c>
      <c r="C1275" s="422" t="s">
        <v>1139</v>
      </c>
      <c r="D1275" s="422" t="s">
        <v>1140</v>
      </c>
      <c r="E1275" s="422" t="s">
        <v>59</v>
      </c>
      <c r="F1275" s="643">
        <v>40008</v>
      </c>
      <c r="G1275" s="422" t="s">
        <v>270</v>
      </c>
      <c r="H1275" s="745" t="str">
        <f>IFERROR(VLOOKUP(E1275,名称!A:E,4,0),"")</f>
        <v>三代</v>
      </c>
      <c r="I1275" s="746" t="str">
        <f t="shared" ref="I1275:BT1275" si="2221">IF(OR($E1275="",I$1=""),"",IF(TRIM(LEFT($E1275,MIN(IFERROR(FIND("CDU",UPPER($E1275)),999),IFERROR(FIND("BULK",UPPER($E1275)),999),IFERROR(FIND("-",$E1275),999),IFERROR(FIND("（",$E1275),999))-1))=I$1,$F1275,""))</f>
        <v/>
      </c>
      <c r="J1275" s="746" t="str">
        <f t="shared" si="2221"/>
        <v/>
      </c>
      <c r="K1275" s="746" t="str">
        <f t="shared" si="2221"/>
        <v/>
      </c>
      <c r="L1275" s="746" t="str">
        <f t="shared" si="2221"/>
        <v/>
      </c>
      <c r="M1275" s="746" t="str">
        <f t="shared" si="2221"/>
        <v/>
      </c>
      <c r="N1275" s="746" t="str">
        <f t="shared" si="2221"/>
        <v/>
      </c>
      <c r="O1275" s="746" t="str">
        <f t="shared" si="2221"/>
        <v/>
      </c>
      <c r="P1275" s="746" t="str">
        <f t="shared" si="2221"/>
        <v/>
      </c>
      <c r="Q1275" s="746" t="str">
        <f t="shared" si="2221"/>
        <v/>
      </c>
      <c r="R1275" s="746" t="str">
        <f t="shared" si="2221"/>
        <v/>
      </c>
      <c r="S1275" s="746" t="str">
        <f t="shared" si="2221"/>
        <v/>
      </c>
      <c r="T1275" s="746" t="str">
        <f t="shared" si="2221"/>
        <v/>
      </c>
      <c r="U1275" s="746" t="str">
        <f t="shared" si="2221"/>
        <v/>
      </c>
      <c r="V1275" s="746" t="str">
        <f t="shared" si="2221"/>
        <v/>
      </c>
      <c r="W1275" s="746" t="str">
        <f t="shared" si="2221"/>
        <v/>
      </c>
      <c r="X1275" s="746" t="str">
        <f t="shared" si="2221"/>
        <v/>
      </c>
      <c r="Y1275" s="746" t="str">
        <f t="shared" si="2221"/>
        <v/>
      </c>
      <c r="Z1275" s="746" t="str">
        <f t="shared" si="2221"/>
        <v/>
      </c>
      <c r="AA1275" s="746" t="str">
        <f t="shared" si="2221"/>
        <v/>
      </c>
      <c r="AB1275" s="746" t="str">
        <f t="shared" si="2221"/>
        <v/>
      </c>
      <c r="AC1275" s="746" t="str">
        <f t="shared" si="2221"/>
        <v/>
      </c>
      <c r="AD1275" s="746">
        <f t="shared" si="2221"/>
        <v>40008</v>
      </c>
      <c r="AE1275" s="746" t="str">
        <f t="shared" si="2221"/>
        <v/>
      </c>
      <c r="AF1275" s="746" t="str">
        <f t="shared" si="2221"/>
        <v/>
      </c>
      <c r="AG1275" s="746" t="str">
        <f t="shared" si="2221"/>
        <v/>
      </c>
      <c r="AH1275" s="746" t="str">
        <f t="shared" si="2221"/>
        <v/>
      </c>
      <c r="AI1275" s="746" t="str">
        <f t="shared" si="2221"/>
        <v/>
      </c>
      <c r="AJ1275" s="746" t="str">
        <f t="shared" si="2221"/>
        <v/>
      </c>
      <c r="AK1275" s="746" t="str">
        <f t="shared" si="2221"/>
        <v/>
      </c>
      <c r="AL1275" s="746" t="str">
        <f t="shared" si="2221"/>
        <v/>
      </c>
      <c r="AM1275" s="746" t="str">
        <f t="shared" si="2221"/>
        <v/>
      </c>
      <c r="AN1275" s="746" t="str">
        <f t="shared" si="2221"/>
        <v/>
      </c>
      <c r="AO1275" s="746" t="str">
        <f t="shared" si="2221"/>
        <v/>
      </c>
      <c r="AP1275" s="746" t="str">
        <f t="shared" si="2221"/>
        <v/>
      </c>
      <c r="AQ1275" s="746" t="str">
        <f t="shared" si="2221"/>
        <v/>
      </c>
      <c r="AR1275" s="746" t="str">
        <f t="shared" si="2221"/>
        <v/>
      </c>
      <c r="AS1275" s="746" t="str">
        <f t="shared" si="2221"/>
        <v/>
      </c>
      <c r="AT1275" s="746" t="str">
        <f t="shared" si="2221"/>
        <v/>
      </c>
      <c r="AU1275" s="746" t="str">
        <f t="shared" si="2221"/>
        <v/>
      </c>
      <c r="AV1275" s="746" t="str">
        <f t="shared" si="2221"/>
        <v/>
      </c>
      <c r="AW1275" s="746" t="str">
        <f t="shared" si="2221"/>
        <v/>
      </c>
      <c r="AX1275" s="746" t="str">
        <f t="shared" si="2221"/>
        <v/>
      </c>
      <c r="AY1275" s="746" t="str">
        <f t="shared" si="2221"/>
        <v/>
      </c>
      <c r="AZ1275" s="746" t="str">
        <f t="shared" si="2221"/>
        <v/>
      </c>
      <c r="BA1275" s="746" t="str">
        <f t="shared" si="2221"/>
        <v/>
      </c>
      <c r="BB1275" s="746" t="str">
        <f t="shared" si="2221"/>
        <v/>
      </c>
      <c r="BC1275" s="746" t="str">
        <f t="shared" si="2221"/>
        <v/>
      </c>
      <c r="BD1275" s="746" t="str">
        <f t="shared" si="2221"/>
        <v/>
      </c>
      <c r="BE1275" s="746" t="str">
        <f t="shared" si="2221"/>
        <v/>
      </c>
      <c r="BF1275" s="746" t="str">
        <f t="shared" si="2221"/>
        <v/>
      </c>
      <c r="BG1275" s="746" t="str">
        <f t="shared" si="2221"/>
        <v/>
      </c>
      <c r="BH1275" s="746" t="str">
        <f t="shared" si="2221"/>
        <v/>
      </c>
      <c r="BI1275" s="746" t="str">
        <f t="shared" si="2221"/>
        <v/>
      </c>
      <c r="BJ1275" s="746" t="str">
        <f t="shared" si="2221"/>
        <v/>
      </c>
      <c r="BK1275" s="746" t="str">
        <f t="shared" si="2221"/>
        <v/>
      </c>
      <c r="BL1275" s="746" t="str">
        <f t="shared" si="2221"/>
        <v/>
      </c>
      <c r="BM1275" s="746" t="str">
        <f t="shared" si="2221"/>
        <v/>
      </c>
      <c r="BN1275" s="746" t="str">
        <f t="shared" si="2221"/>
        <v/>
      </c>
      <c r="BO1275" s="746" t="str">
        <f t="shared" si="2221"/>
        <v/>
      </c>
      <c r="BP1275" s="746" t="str">
        <f t="shared" si="2221"/>
        <v/>
      </c>
      <c r="BQ1275" s="746" t="str">
        <f t="shared" si="2221"/>
        <v/>
      </c>
      <c r="BR1275" s="746" t="str">
        <f t="shared" si="2221"/>
        <v/>
      </c>
      <c r="BS1275" s="746" t="str">
        <f t="shared" si="2221"/>
        <v/>
      </c>
      <c r="BT1275" s="746" t="str">
        <f t="shared" si="2221"/>
        <v/>
      </c>
      <c r="BU1275" s="746" t="str">
        <f t="shared" si="2217"/>
        <v/>
      </c>
      <c r="BV1275" s="644">
        <v>0.62</v>
      </c>
      <c r="BW1275" s="748">
        <f t="shared" si="2218"/>
        <v>24804.96</v>
      </c>
      <c r="BX1275" s="749">
        <f t="shared" si="2219"/>
        <v>192238.44</v>
      </c>
      <c r="BY1275" s="750" t="str">
        <f t="shared" si="2220"/>
        <v>SR</v>
      </c>
    </row>
    <row r="1276" s="699" customFormat="1" customHeight="1" spans="1:77">
      <c r="A1276" s="751">
        <v>46245</v>
      </c>
      <c r="B1276" s="751">
        <v>46384</v>
      </c>
      <c r="C1276" s="422" t="s">
        <v>1141</v>
      </c>
      <c r="D1276" s="422" t="s">
        <v>1142</v>
      </c>
      <c r="E1276" s="422" t="s">
        <v>199</v>
      </c>
      <c r="F1276" s="643">
        <v>15000</v>
      </c>
      <c r="G1276" s="422" t="s">
        <v>270</v>
      </c>
      <c r="H1276" s="745" t="str">
        <f>IFERROR(VLOOKUP(E1276,名称!A:E,4,0),"")</f>
        <v>三代</v>
      </c>
      <c r="I1276" s="746" t="str">
        <f t="shared" ref="I1276:BT1276" si="2222">IF(OR($E1276="",I$1=""),"",IF(TRIM(LEFT($E1276,MIN(IFERROR(FIND("CDU",UPPER($E1276)),999),IFERROR(FIND("BULK",UPPER($E1276)),999),IFERROR(FIND("-",$E1276),999),IFERROR(FIND("（",$E1276),999))-1))=I$1,$F1276,""))</f>
        <v/>
      </c>
      <c r="J1276" s="746" t="str">
        <f t="shared" si="2222"/>
        <v/>
      </c>
      <c r="K1276" s="746" t="str">
        <f t="shared" si="2222"/>
        <v/>
      </c>
      <c r="L1276" s="746" t="str">
        <f t="shared" si="2222"/>
        <v/>
      </c>
      <c r="M1276" s="746" t="str">
        <f t="shared" si="2222"/>
        <v/>
      </c>
      <c r="N1276" s="746" t="str">
        <f t="shared" si="2222"/>
        <v/>
      </c>
      <c r="O1276" s="746" t="str">
        <f t="shared" si="2222"/>
        <v/>
      </c>
      <c r="P1276" s="746" t="str">
        <f t="shared" si="2222"/>
        <v/>
      </c>
      <c r="Q1276" s="746" t="str">
        <f t="shared" si="2222"/>
        <v/>
      </c>
      <c r="R1276" s="746" t="str">
        <f t="shared" si="2222"/>
        <v/>
      </c>
      <c r="S1276" s="746" t="str">
        <f t="shared" si="2222"/>
        <v/>
      </c>
      <c r="T1276" s="746" t="str">
        <f t="shared" si="2222"/>
        <v/>
      </c>
      <c r="U1276" s="746" t="str">
        <f t="shared" si="2222"/>
        <v/>
      </c>
      <c r="V1276" s="746" t="str">
        <f t="shared" si="2222"/>
        <v/>
      </c>
      <c r="W1276" s="746" t="str">
        <f t="shared" si="2222"/>
        <v/>
      </c>
      <c r="X1276" s="746" t="str">
        <f t="shared" si="2222"/>
        <v/>
      </c>
      <c r="Y1276" s="746" t="str">
        <f t="shared" si="2222"/>
        <v/>
      </c>
      <c r="Z1276" s="746" t="str">
        <f t="shared" si="2222"/>
        <v/>
      </c>
      <c r="AA1276" s="746" t="str">
        <f t="shared" si="2222"/>
        <v/>
      </c>
      <c r="AB1276" s="746" t="str">
        <f t="shared" si="2222"/>
        <v/>
      </c>
      <c r="AC1276" s="746" t="str">
        <f t="shared" si="2222"/>
        <v/>
      </c>
      <c r="AD1276" s="746" t="str">
        <f t="shared" si="2222"/>
        <v/>
      </c>
      <c r="AE1276" s="746" t="str">
        <f t="shared" si="2222"/>
        <v/>
      </c>
      <c r="AF1276" s="746" t="str">
        <f t="shared" si="2222"/>
        <v/>
      </c>
      <c r="AG1276" s="746" t="str">
        <f t="shared" si="2222"/>
        <v/>
      </c>
      <c r="AH1276" s="746" t="str">
        <f t="shared" si="2222"/>
        <v/>
      </c>
      <c r="AI1276" s="746" t="str">
        <f t="shared" si="2222"/>
        <v/>
      </c>
      <c r="AJ1276" s="746" t="str">
        <f t="shared" si="2222"/>
        <v/>
      </c>
      <c r="AK1276" s="746" t="str">
        <f t="shared" si="2222"/>
        <v/>
      </c>
      <c r="AL1276" s="746" t="str">
        <f t="shared" si="2222"/>
        <v/>
      </c>
      <c r="AM1276" s="746" t="str">
        <f t="shared" si="2222"/>
        <v/>
      </c>
      <c r="AN1276" s="746" t="str">
        <f t="shared" si="2222"/>
        <v/>
      </c>
      <c r="AO1276" s="746" t="str">
        <f t="shared" si="2222"/>
        <v/>
      </c>
      <c r="AP1276" s="746" t="str">
        <f t="shared" si="2222"/>
        <v/>
      </c>
      <c r="AQ1276" s="746" t="str">
        <f t="shared" si="2222"/>
        <v/>
      </c>
      <c r="AR1276" s="746" t="str">
        <f t="shared" si="2222"/>
        <v/>
      </c>
      <c r="AS1276" s="746" t="str">
        <f t="shared" si="2222"/>
        <v/>
      </c>
      <c r="AT1276" s="746" t="str">
        <f t="shared" si="2222"/>
        <v/>
      </c>
      <c r="AU1276" s="746" t="str">
        <f t="shared" si="2222"/>
        <v/>
      </c>
      <c r="AV1276" s="746" t="str">
        <f t="shared" si="2222"/>
        <v/>
      </c>
      <c r="AW1276" s="746" t="str">
        <f t="shared" si="2222"/>
        <v/>
      </c>
      <c r="AX1276" s="746" t="str">
        <f t="shared" si="2222"/>
        <v/>
      </c>
      <c r="AY1276" s="746" t="str">
        <f t="shared" si="2222"/>
        <v/>
      </c>
      <c r="AZ1276" s="746" t="str">
        <f t="shared" si="2222"/>
        <v/>
      </c>
      <c r="BA1276" s="746" t="str">
        <f t="shared" si="2222"/>
        <v/>
      </c>
      <c r="BB1276" s="746" t="str">
        <f t="shared" si="2222"/>
        <v/>
      </c>
      <c r="BC1276" s="746" t="str">
        <f t="shared" si="2222"/>
        <v/>
      </c>
      <c r="BD1276" s="746" t="str">
        <f t="shared" si="2222"/>
        <v/>
      </c>
      <c r="BE1276" s="746" t="str">
        <f t="shared" si="2222"/>
        <v/>
      </c>
      <c r="BF1276" s="746" t="str">
        <f t="shared" si="2222"/>
        <v/>
      </c>
      <c r="BG1276" s="746" t="str">
        <f t="shared" si="2222"/>
        <v/>
      </c>
      <c r="BH1276" s="746" t="str">
        <f t="shared" si="2222"/>
        <v/>
      </c>
      <c r="BI1276" s="746" t="str">
        <f t="shared" si="2222"/>
        <v/>
      </c>
      <c r="BJ1276" s="746" t="str">
        <f t="shared" si="2222"/>
        <v/>
      </c>
      <c r="BK1276" s="746" t="str">
        <f t="shared" si="2222"/>
        <v/>
      </c>
      <c r="BL1276" s="746" t="str">
        <f t="shared" si="2222"/>
        <v/>
      </c>
      <c r="BM1276" s="746" t="str">
        <f t="shared" si="2222"/>
        <v/>
      </c>
      <c r="BN1276" s="746" t="str">
        <f t="shared" si="2222"/>
        <v/>
      </c>
      <c r="BO1276" s="746" t="str">
        <f t="shared" si="2222"/>
        <v/>
      </c>
      <c r="BP1276" s="746">
        <f t="shared" si="2222"/>
        <v>15000</v>
      </c>
      <c r="BQ1276" s="746" t="str">
        <f t="shared" si="2222"/>
        <v/>
      </c>
      <c r="BR1276" s="746" t="str">
        <f t="shared" si="2222"/>
        <v/>
      </c>
      <c r="BS1276" s="746" t="str">
        <f t="shared" si="2222"/>
        <v/>
      </c>
      <c r="BT1276" s="746" t="str">
        <f t="shared" si="2222"/>
        <v/>
      </c>
      <c r="BU1276" s="746" t="str">
        <f t="shared" si="2217"/>
        <v/>
      </c>
      <c r="BV1276" s="644">
        <v>0.88</v>
      </c>
      <c r="BW1276" s="748">
        <f t="shared" si="2218"/>
        <v>13200</v>
      </c>
      <c r="BX1276" s="749">
        <f t="shared" si="2219"/>
        <v>102300</v>
      </c>
      <c r="BY1276" s="750" t="str">
        <f t="shared" si="2220"/>
        <v>SR</v>
      </c>
    </row>
    <row r="1277" s="700" customFormat="1" customHeight="1" spans="1:77">
      <c r="A1277" s="752">
        <v>46246</v>
      </c>
      <c r="B1277" s="752">
        <v>46338</v>
      </c>
      <c r="C1277" s="652" t="s">
        <v>1143</v>
      </c>
      <c r="D1277" s="652" t="s">
        <v>1144</v>
      </c>
      <c r="E1277" s="653" t="s">
        <v>107</v>
      </c>
      <c r="F1277" s="656">
        <v>5000</v>
      </c>
      <c r="G1277" s="653" t="s">
        <v>253</v>
      </c>
      <c r="H1277" s="753" t="str">
        <f>IFERROR(VLOOKUP(E1277,名称!A:E,4,0),"")</f>
        <v>三代</v>
      </c>
      <c r="I1277" s="754" t="str">
        <f t="shared" ref="I1277:BT1277" si="2223">IF(OR($E1277="",I$1=""),"",IF(TRIM(LEFT($E1277,MIN(IFERROR(FIND("CDU",UPPER($E1277)),999),IFERROR(FIND("BULK",UPPER($E1277)),999),IFERROR(FIND("-",$E1277),999),IFERROR(FIND("（",$E1277),999))-1))=I$1,$F1277,""))</f>
        <v/>
      </c>
      <c r="J1277" s="754" t="str">
        <f t="shared" si="2223"/>
        <v/>
      </c>
      <c r="K1277" s="754" t="str">
        <f t="shared" si="2223"/>
        <v/>
      </c>
      <c r="L1277" s="754" t="str">
        <f t="shared" si="2223"/>
        <v/>
      </c>
      <c r="M1277" s="754" t="str">
        <f t="shared" si="2223"/>
        <v/>
      </c>
      <c r="N1277" s="754" t="str">
        <f t="shared" si="2223"/>
        <v/>
      </c>
      <c r="O1277" s="754" t="str">
        <f t="shared" si="2223"/>
        <v/>
      </c>
      <c r="P1277" s="754" t="str">
        <f t="shared" si="2223"/>
        <v/>
      </c>
      <c r="Q1277" s="754" t="str">
        <f t="shared" si="2223"/>
        <v/>
      </c>
      <c r="R1277" s="754" t="str">
        <f t="shared" si="2223"/>
        <v/>
      </c>
      <c r="S1277" s="754" t="str">
        <f t="shared" si="2223"/>
        <v/>
      </c>
      <c r="T1277" s="754" t="str">
        <f t="shared" si="2223"/>
        <v/>
      </c>
      <c r="U1277" s="754" t="str">
        <f t="shared" si="2223"/>
        <v/>
      </c>
      <c r="V1277" s="754" t="str">
        <f t="shared" si="2223"/>
        <v/>
      </c>
      <c r="W1277" s="754" t="str">
        <f t="shared" si="2223"/>
        <v/>
      </c>
      <c r="X1277" s="754" t="str">
        <f t="shared" si="2223"/>
        <v/>
      </c>
      <c r="Y1277" s="754" t="str">
        <f t="shared" si="2223"/>
        <v/>
      </c>
      <c r="Z1277" s="754" t="str">
        <f t="shared" si="2223"/>
        <v/>
      </c>
      <c r="AA1277" s="754" t="str">
        <f t="shared" si="2223"/>
        <v/>
      </c>
      <c r="AB1277" s="754" t="str">
        <f t="shared" si="2223"/>
        <v/>
      </c>
      <c r="AC1277" s="754" t="str">
        <f t="shared" si="2223"/>
        <v/>
      </c>
      <c r="AD1277" s="754" t="str">
        <f t="shared" si="2223"/>
        <v/>
      </c>
      <c r="AE1277" s="754" t="str">
        <f t="shared" si="2223"/>
        <v/>
      </c>
      <c r="AF1277" s="754" t="str">
        <f t="shared" si="2223"/>
        <v/>
      </c>
      <c r="AG1277" s="754">
        <f t="shared" si="2223"/>
        <v>5000</v>
      </c>
      <c r="AH1277" s="754" t="str">
        <f t="shared" si="2223"/>
        <v/>
      </c>
      <c r="AI1277" s="754" t="str">
        <f t="shared" si="2223"/>
        <v/>
      </c>
      <c r="AJ1277" s="754" t="str">
        <f t="shared" si="2223"/>
        <v/>
      </c>
      <c r="AK1277" s="754" t="str">
        <f t="shared" si="2223"/>
        <v/>
      </c>
      <c r="AL1277" s="754" t="str">
        <f t="shared" si="2223"/>
        <v/>
      </c>
      <c r="AM1277" s="754" t="str">
        <f t="shared" si="2223"/>
        <v/>
      </c>
      <c r="AN1277" s="754" t="str">
        <f t="shared" si="2223"/>
        <v/>
      </c>
      <c r="AO1277" s="754" t="str">
        <f t="shared" si="2223"/>
        <v/>
      </c>
      <c r="AP1277" s="754" t="str">
        <f t="shared" si="2223"/>
        <v/>
      </c>
      <c r="AQ1277" s="754" t="str">
        <f t="shared" si="2223"/>
        <v/>
      </c>
      <c r="AR1277" s="754" t="str">
        <f t="shared" si="2223"/>
        <v/>
      </c>
      <c r="AS1277" s="754" t="str">
        <f t="shared" si="2223"/>
        <v/>
      </c>
      <c r="AT1277" s="754" t="str">
        <f t="shared" si="2223"/>
        <v/>
      </c>
      <c r="AU1277" s="754" t="str">
        <f t="shared" si="2223"/>
        <v/>
      </c>
      <c r="AV1277" s="754" t="str">
        <f t="shared" si="2223"/>
        <v/>
      </c>
      <c r="AW1277" s="754" t="str">
        <f t="shared" si="2223"/>
        <v/>
      </c>
      <c r="AX1277" s="754" t="str">
        <f t="shared" si="2223"/>
        <v/>
      </c>
      <c r="AY1277" s="754" t="str">
        <f t="shared" si="2223"/>
        <v/>
      </c>
      <c r="AZ1277" s="754" t="str">
        <f t="shared" si="2223"/>
        <v/>
      </c>
      <c r="BA1277" s="754" t="str">
        <f t="shared" si="2223"/>
        <v/>
      </c>
      <c r="BB1277" s="754" t="str">
        <f t="shared" si="2223"/>
        <v/>
      </c>
      <c r="BC1277" s="754" t="str">
        <f t="shared" si="2223"/>
        <v/>
      </c>
      <c r="BD1277" s="754" t="str">
        <f t="shared" si="2223"/>
        <v/>
      </c>
      <c r="BE1277" s="754" t="str">
        <f t="shared" si="2223"/>
        <v/>
      </c>
      <c r="BF1277" s="754" t="str">
        <f t="shared" si="2223"/>
        <v/>
      </c>
      <c r="BG1277" s="754" t="str">
        <f t="shared" si="2223"/>
        <v/>
      </c>
      <c r="BH1277" s="754" t="str">
        <f t="shared" si="2223"/>
        <v/>
      </c>
      <c r="BI1277" s="754" t="str">
        <f t="shared" si="2223"/>
        <v/>
      </c>
      <c r="BJ1277" s="754" t="str">
        <f t="shared" si="2223"/>
        <v/>
      </c>
      <c r="BK1277" s="754" t="str">
        <f t="shared" si="2223"/>
        <v/>
      </c>
      <c r="BL1277" s="754" t="str">
        <f t="shared" si="2223"/>
        <v/>
      </c>
      <c r="BM1277" s="754" t="str">
        <f t="shared" si="2223"/>
        <v/>
      </c>
      <c r="BN1277" s="754" t="str">
        <f t="shared" si="2223"/>
        <v/>
      </c>
      <c r="BO1277" s="754" t="str">
        <f t="shared" si="2223"/>
        <v/>
      </c>
      <c r="BP1277" s="754" t="str">
        <f t="shared" si="2223"/>
        <v/>
      </c>
      <c r="BQ1277" s="754" t="str">
        <f t="shared" si="2223"/>
        <v/>
      </c>
      <c r="BR1277" s="754" t="str">
        <f t="shared" si="2223"/>
        <v/>
      </c>
      <c r="BS1277" s="754" t="str">
        <f t="shared" si="2223"/>
        <v/>
      </c>
      <c r="BT1277" s="754" t="str">
        <f t="shared" si="2223"/>
        <v/>
      </c>
      <c r="BU1277" s="754" t="str">
        <f t="shared" si="2217"/>
        <v/>
      </c>
      <c r="BV1277" s="755">
        <v>2.12</v>
      </c>
      <c r="BW1277" s="756">
        <f t="shared" si="2218"/>
        <v>10600</v>
      </c>
      <c r="BX1277" s="757">
        <f t="shared" si="2219"/>
        <v>82150</v>
      </c>
      <c r="BY1277" s="758" t="str">
        <f t="shared" si="2220"/>
        <v>SR</v>
      </c>
    </row>
    <row r="1278" s="700" customFormat="1" customHeight="1" spans="1:77">
      <c r="A1278" s="752">
        <v>46246</v>
      </c>
      <c r="B1278" s="752">
        <v>46338</v>
      </c>
      <c r="C1278" s="652" t="s">
        <v>1143</v>
      </c>
      <c r="D1278" s="652" t="s">
        <v>1144</v>
      </c>
      <c r="E1278" s="651" t="s">
        <v>60</v>
      </c>
      <c r="F1278" s="654">
        <v>5004</v>
      </c>
      <c r="G1278" s="651" t="s">
        <v>253</v>
      </c>
      <c r="H1278" s="753" t="str">
        <f>IFERROR(VLOOKUP(E1278,名称!A:E,4,0),"")</f>
        <v>三代</v>
      </c>
      <c r="I1278" s="754" t="str">
        <f t="shared" ref="I1278:BT1278" si="2224">IF(OR($E1278="",I$1=""),"",IF(TRIM(LEFT($E1278,MIN(IFERROR(FIND("CDU",UPPER($E1278)),999),IFERROR(FIND("BULK",UPPER($E1278)),999),IFERROR(FIND("-",$E1278),999),IFERROR(FIND("（",$E1278),999))-1))=I$1,$F1278,""))</f>
        <v/>
      </c>
      <c r="J1278" s="754" t="str">
        <f t="shared" si="2224"/>
        <v/>
      </c>
      <c r="K1278" s="754" t="str">
        <f t="shared" si="2224"/>
        <v/>
      </c>
      <c r="L1278" s="754" t="str">
        <f t="shared" si="2224"/>
        <v/>
      </c>
      <c r="M1278" s="754" t="str">
        <f t="shared" si="2224"/>
        <v/>
      </c>
      <c r="N1278" s="754" t="str">
        <f t="shared" si="2224"/>
        <v/>
      </c>
      <c r="O1278" s="754" t="str">
        <f t="shared" si="2224"/>
        <v/>
      </c>
      <c r="P1278" s="754" t="str">
        <f t="shared" si="2224"/>
        <v/>
      </c>
      <c r="Q1278" s="754" t="str">
        <f t="shared" si="2224"/>
        <v/>
      </c>
      <c r="R1278" s="754" t="str">
        <f t="shared" si="2224"/>
        <v/>
      </c>
      <c r="S1278" s="754" t="str">
        <f t="shared" si="2224"/>
        <v/>
      </c>
      <c r="T1278" s="754" t="str">
        <f t="shared" si="2224"/>
        <v/>
      </c>
      <c r="U1278" s="754" t="str">
        <f t="shared" si="2224"/>
        <v/>
      </c>
      <c r="V1278" s="754" t="str">
        <f t="shared" si="2224"/>
        <v/>
      </c>
      <c r="W1278" s="754" t="str">
        <f t="shared" si="2224"/>
        <v/>
      </c>
      <c r="X1278" s="754" t="str">
        <f t="shared" si="2224"/>
        <v/>
      </c>
      <c r="Y1278" s="754" t="str">
        <f t="shared" si="2224"/>
        <v/>
      </c>
      <c r="Z1278" s="754" t="str">
        <f t="shared" si="2224"/>
        <v/>
      </c>
      <c r="AA1278" s="754" t="str">
        <f t="shared" si="2224"/>
        <v/>
      </c>
      <c r="AB1278" s="754" t="str">
        <f t="shared" si="2224"/>
        <v/>
      </c>
      <c r="AC1278" s="754" t="str">
        <f t="shared" si="2224"/>
        <v/>
      </c>
      <c r="AD1278" s="754" t="str">
        <f t="shared" si="2224"/>
        <v/>
      </c>
      <c r="AE1278" s="754">
        <f t="shared" si="2224"/>
        <v>5004</v>
      </c>
      <c r="AF1278" s="754" t="str">
        <f t="shared" si="2224"/>
        <v/>
      </c>
      <c r="AG1278" s="754" t="str">
        <f t="shared" si="2224"/>
        <v/>
      </c>
      <c r="AH1278" s="754" t="str">
        <f t="shared" si="2224"/>
        <v/>
      </c>
      <c r="AI1278" s="754" t="str">
        <f t="shared" si="2224"/>
        <v/>
      </c>
      <c r="AJ1278" s="754" t="str">
        <f t="shared" si="2224"/>
        <v/>
      </c>
      <c r="AK1278" s="754" t="str">
        <f t="shared" si="2224"/>
        <v/>
      </c>
      <c r="AL1278" s="754" t="str">
        <f t="shared" si="2224"/>
        <v/>
      </c>
      <c r="AM1278" s="754" t="str">
        <f t="shared" si="2224"/>
        <v/>
      </c>
      <c r="AN1278" s="754" t="str">
        <f t="shared" si="2224"/>
        <v/>
      </c>
      <c r="AO1278" s="754" t="str">
        <f t="shared" si="2224"/>
        <v/>
      </c>
      <c r="AP1278" s="754" t="str">
        <f t="shared" si="2224"/>
        <v/>
      </c>
      <c r="AQ1278" s="754" t="str">
        <f t="shared" si="2224"/>
        <v/>
      </c>
      <c r="AR1278" s="754" t="str">
        <f t="shared" si="2224"/>
        <v/>
      </c>
      <c r="AS1278" s="754" t="str">
        <f t="shared" si="2224"/>
        <v/>
      </c>
      <c r="AT1278" s="754" t="str">
        <f t="shared" si="2224"/>
        <v/>
      </c>
      <c r="AU1278" s="754" t="str">
        <f t="shared" si="2224"/>
        <v/>
      </c>
      <c r="AV1278" s="754" t="str">
        <f t="shared" si="2224"/>
        <v/>
      </c>
      <c r="AW1278" s="754" t="str">
        <f t="shared" si="2224"/>
        <v/>
      </c>
      <c r="AX1278" s="754" t="str">
        <f t="shared" si="2224"/>
        <v/>
      </c>
      <c r="AY1278" s="754" t="str">
        <f t="shared" si="2224"/>
        <v/>
      </c>
      <c r="AZ1278" s="754" t="str">
        <f t="shared" si="2224"/>
        <v/>
      </c>
      <c r="BA1278" s="754" t="str">
        <f t="shared" si="2224"/>
        <v/>
      </c>
      <c r="BB1278" s="754" t="str">
        <f t="shared" si="2224"/>
        <v/>
      </c>
      <c r="BC1278" s="754" t="str">
        <f t="shared" si="2224"/>
        <v/>
      </c>
      <c r="BD1278" s="754" t="str">
        <f t="shared" si="2224"/>
        <v/>
      </c>
      <c r="BE1278" s="754" t="str">
        <f t="shared" si="2224"/>
        <v/>
      </c>
      <c r="BF1278" s="754" t="str">
        <f t="shared" si="2224"/>
        <v/>
      </c>
      <c r="BG1278" s="754" t="str">
        <f t="shared" si="2224"/>
        <v/>
      </c>
      <c r="BH1278" s="754" t="str">
        <f t="shared" si="2224"/>
        <v/>
      </c>
      <c r="BI1278" s="754" t="str">
        <f t="shared" si="2224"/>
        <v/>
      </c>
      <c r="BJ1278" s="754" t="str">
        <f t="shared" si="2224"/>
        <v/>
      </c>
      <c r="BK1278" s="754" t="str">
        <f t="shared" si="2224"/>
        <v/>
      </c>
      <c r="BL1278" s="754" t="str">
        <f t="shared" si="2224"/>
        <v/>
      </c>
      <c r="BM1278" s="754" t="str">
        <f t="shared" si="2224"/>
        <v/>
      </c>
      <c r="BN1278" s="754" t="str">
        <f t="shared" si="2224"/>
        <v/>
      </c>
      <c r="BO1278" s="754" t="str">
        <f t="shared" si="2224"/>
        <v/>
      </c>
      <c r="BP1278" s="754" t="str">
        <f t="shared" si="2224"/>
        <v/>
      </c>
      <c r="BQ1278" s="754" t="str">
        <f t="shared" si="2224"/>
        <v/>
      </c>
      <c r="BR1278" s="754" t="str">
        <f t="shared" si="2224"/>
        <v/>
      </c>
      <c r="BS1278" s="754" t="str">
        <f t="shared" si="2224"/>
        <v/>
      </c>
      <c r="BT1278" s="754" t="str">
        <f t="shared" si="2224"/>
        <v/>
      </c>
      <c r="BU1278" s="754" t="str">
        <f t="shared" si="2217"/>
        <v/>
      </c>
      <c r="BV1278" s="658">
        <v>0.61</v>
      </c>
      <c r="BW1278" s="756">
        <f t="shared" si="2218"/>
        <v>3052.44</v>
      </c>
      <c r="BX1278" s="757">
        <f t="shared" si="2219"/>
        <v>23656.41</v>
      </c>
      <c r="BY1278" s="758" t="str">
        <f t="shared" si="2220"/>
        <v>SR</v>
      </c>
    </row>
    <row r="1279" s="700" customFormat="1" customHeight="1" spans="1:77">
      <c r="A1279" s="752">
        <v>46246</v>
      </c>
      <c r="B1279" s="752">
        <v>46338</v>
      </c>
      <c r="C1279" s="652" t="s">
        <v>1143</v>
      </c>
      <c r="D1279" s="652" t="s">
        <v>1144</v>
      </c>
      <c r="E1279" s="653" t="s">
        <v>102</v>
      </c>
      <c r="F1279" s="656">
        <v>4992</v>
      </c>
      <c r="G1279" s="651" t="s">
        <v>253</v>
      </c>
      <c r="H1279" s="753" t="str">
        <f>IFERROR(VLOOKUP(E1279,名称!A:E,4,0),"")</f>
        <v>三代</v>
      </c>
      <c r="I1279" s="754" t="str">
        <f t="shared" ref="I1279:BT1279" si="2225">IF(OR($E1279="",I$1=""),"",IF(TRIM(LEFT($E1279,MIN(IFERROR(FIND("CDU",UPPER($E1279)),999),IFERROR(FIND("BULK",UPPER($E1279)),999),IFERROR(FIND("-",$E1279),999),IFERROR(FIND("（",$E1279),999))-1))=I$1,$F1279,""))</f>
        <v/>
      </c>
      <c r="J1279" s="754" t="str">
        <f t="shared" si="2225"/>
        <v/>
      </c>
      <c r="K1279" s="754" t="str">
        <f t="shared" si="2225"/>
        <v/>
      </c>
      <c r="L1279" s="754" t="str">
        <f t="shared" si="2225"/>
        <v/>
      </c>
      <c r="M1279" s="754" t="str">
        <f t="shared" si="2225"/>
        <v/>
      </c>
      <c r="N1279" s="754" t="str">
        <f t="shared" si="2225"/>
        <v/>
      </c>
      <c r="O1279" s="754" t="str">
        <f t="shared" si="2225"/>
        <v/>
      </c>
      <c r="P1279" s="754" t="str">
        <f t="shared" si="2225"/>
        <v/>
      </c>
      <c r="Q1279" s="754" t="str">
        <f t="shared" si="2225"/>
        <v/>
      </c>
      <c r="R1279" s="754" t="str">
        <f t="shared" si="2225"/>
        <v/>
      </c>
      <c r="S1279" s="754" t="str">
        <f t="shared" si="2225"/>
        <v/>
      </c>
      <c r="T1279" s="754" t="str">
        <f t="shared" si="2225"/>
        <v/>
      </c>
      <c r="U1279" s="754" t="str">
        <f t="shared" si="2225"/>
        <v/>
      </c>
      <c r="V1279" s="754" t="str">
        <f t="shared" si="2225"/>
        <v/>
      </c>
      <c r="W1279" s="754" t="str">
        <f t="shared" si="2225"/>
        <v/>
      </c>
      <c r="X1279" s="754" t="str">
        <f t="shared" si="2225"/>
        <v/>
      </c>
      <c r="Y1279" s="754" t="str">
        <f t="shared" si="2225"/>
        <v/>
      </c>
      <c r="Z1279" s="754" t="str">
        <f t="shared" si="2225"/>
        <v/>
      </c>
      <c r="AA1279" s="754" t="str">
        <f t="shared" si="2225"/>
        <v/>
      </c>
      <c r="AB1279" s="754" t="str">
        <f t="shared" si="2225"/>
        <v/>
      </c>
      <c r="AC1279" s="754" t="str">
        <f t="shared" si="2225"/>
        <v/>
      </c>
      <c r="AD1279" s="754">
        <f t="shared" si="2225"/>
        <v>4992</v>
      </c>
      <c r="AE1279" s="754" t="str">
        <f t="shared" si="2225"/>
        <v/>
      </c>
      <c r="AF1279" s="754" t="str">
        <f t="shared" si="2225"/>
        <v/>
      </c>
      <c r="AG1279" s="754" t="str">
        <f t="shared" si="2225"/>
        <v/>
      </c>
      <c r="AH1279" s="754" t="str">
        <f t="shared" si="2225"/>
        <v/>
      </c>
      <c r="AI1279" s="754" t="str">
        <f t="shared" si="2225"/>
        <v/>
      </c>
      <c r="AJ1279" s="754" t="str">
        <f t="shared" si="2225"/>
        <v/>
      </c>
      <c r="AK1279" s="754" t="str">
        <f t="shared" si="2225"/>
        <v/>
      </c>
      <c r="AL1279" s="754" t="str">
        <f t="shared" si="2225"/>
        <v/>
      </c>
      <c r="AM1279" s="754" t="str">
        <f t="shared" si="2225"/>
        <v/>
      </c>
      <c r="AN1279" s="754" t="str">
        <f t="shared" si="2225"/>
        <v/>
      </c>
      <c r="AO1279" s="754" t="str">
        <f t="shared" si="2225"/>
        <v/>
      </c>
      <c r="AP1279" s="754" t="str">
        <f t="shared" si="2225"/>
        <v/>
      </c>
      <c r="AQ1279" s="754" t="str">
        <f t="shared" si="2225"/>
        <v/>
      </c>
      <c r="AR1279" s="754" t="str">
        <f t="shared" si="2225"/>
        <v/>
      </c>
      <c r="AS1279" s="754" t="str">
        <f t="shared" si="2225"/>
        <v/>
      </c>
      <c r="AT1279" s="754" t="str">
        <f t="shared" si="2225"/>
        <v/>
      </c>
      <c r="AU1279" s="754" t="str">
        <f t="shared" si="2225"/>
        <v/>
      </c>
      <c r="AV1279" s="754" t="str">
        <f t="shared" si="2225"/>
        <v/>
      </c>
      <c r="AW1279" s="754" t="str">
        <f t="shared" si="2225"/>
        <v/>
      </c>
      <c r="AX1279" s="754" t="str">
        <f t="shared" si="2225"/>
        <v/>
      </c>
      <c r="AY1279" s="754" t="str">
        <f t="shared" si="2225"/>
        <v/>
      </c>
      <c r="AZ1279" s="754" t="str">
        <f t="shared" si="2225"/>
        <v/>
      </c>
      <c r="BA1279" s="754" t="str">
        <f t="shared" si="2225"/>
        <v/>
      </c>
      <c r="BB1279" s="754" t="str">
        <f t="shared" si="2225"/>
        <v/>
      </c>
      <c r="BC1279" s="754" t="str">
        <f t="shared" si="2225"/>
        <v/>
      </c>
      <c r="BD1279" s="754" t="str">
        <f t="shared" si="2225"/>
        <v/>
      </c>
      <c r="BE1279" s="754" t="str">
        <f t="shared" si="2225"/>
        <v/>
      </c>
      <c r="BF1279" s="754" t="str">
        <f t="shared" si="2225"/>
        <v/>
      </c>
      <c r="BG1279" s="754" t="str">
        <f t="shared" si="2225"/>
        <v/>
      </c>
      <c r="BH1279" s="754" t="str">
        <f t="shared" si="2225"/>
        <v/>
      </c>
      <c r="BI1279" s="754" t="str">
        <f t="shared" si="2225"/>
        <v/>
      </c>
      <c r="BJ1279" s="754" t="str">
        <f t="shared" si="2225"/>
        <v/>
      </c>
      <c r="BK1279" s="754" t="str">
        <f t="shared" si="2225"/>
        <v/>
      </c>
      <c r="BL1279" s="754" t="str">
        <f t="shared" si="2225"/>
        <v/>
      </c>
      <c r="BM1279" s="754" t="str">
        <f t="shared" si="2225"/>
        <v/>
      </c>
      <c r="BN1279" s="754" t="str">
        <f t="shared" si="2225"/>
        <v/>
      </c>
      <c r="BO1279" s="754" t="str">
        <f t="shared" si="2225"/>
        <v/>
      </c>
      <c r="BP1279" s="754" t="str">
        <f t="shared" si="2225"/>
        <v/>
      </c>
      <c r="BQ1279" s="754" t="str">
        <f t="shared" si="2225"/>
        <v/>
      </c>
      <c r="BR1279" s="754" t="str">
        <f t="shared" si="2225"/>
        <v/>
      </c>
      <c r="BS1279" s="754" t="str">
        <f t="shared" si="2225"/>
        <v/>
      </c>
      <c r="BT1279" s="754" t="str">
        <f t="shared" si="2225"/>
        <v/>
      </c>
      <c r="BU1279" s="754" t="str">
        <f t="shared" si="2217"/>
        <v/>
      </c>
      <c r="BV1279" s="658">
        <v>0.61</v>
      </c>
      <c r="BW1279" s="756">
        <f t="shared" si="2218"/>
        <v>3045.12</v>
      </c>
      <c r="BX1279" s="757">
        <f t="shared" si="2219"/>
        <v>23599.68</v>
      </c>
      <c r="BY1279" s="758" t="str">
        <f t="shared" si="2220"/>
        <v>SR</v>
      </c>
    </row>
    <row r="1280" s="699" customFormat="1" customHeight="1" spans="1:77">
      <c r="A1280" s="566">
        <v>46247</v>
      </c>
      <c r="B1280" s="566">
        <v>46330</v>
      </c>
      <c r="C1280" s="422" t="s">
        <v>1064</v>
      </c>
      <c r="D1280" s="422" t="s">
        <v>1065</v>
      </c>
      <c r="E1280" s="422" t="s">
        <v>200</v>
      </c>
      <c r="F1280" s="623">
        <v>84</v>
      </c>
      <c r="G1280" s="604" t="s">
        <v>270</v>
      </c>
      <c r="H1280" s="745" t="str">
        <f>IFERROR(VLOOKUP(E1280,名称!A:E,4,0),"")</f>
        <v>三代</v>
      </c>
      <c r="I1280" s="746" t="str">
        <f t="shared" ref="I1280:BT1280" si="2226">IF(OR($E1280="",I$1=""),"",IF(TRIM(LEFT($E1280,MIN(IFERROR(FIND("CDU",UPPER($E1280)),999),IFERROR(FIND("BULK",UPPER($E1280)),999),IFERROR(FIND("-",$E1280),999),IFERROR(FIND("（",$E1280),999))-1))=I$1,$F1280,""))</f>
        <v/>
      </c>
      <c r="J1280" s="746" t="str">
        <f t="shared" si="2226"/>
        <v/>
      </c>
      <c r="K1280" s="746" t="str">
        <f t="shared" si="2226"/>
        <v/>
      </c>
      <c r="L1280" s="746" t="str">
        <f t="shared" si="2226"/>
        <v/>
      </c>
      <c r="M1280" s="746" t="str">
        <f t="shared" si="2226"/>
        <v/>
      </c>
      <c r="N1280" s="746" t="str">
        <f t="shared" si="2226"/>
        <v/>
      </c>
      <c r="O1280" s="746" t="str">
        <f t="shared" si="2226"/>
        <v/>
      </c>
      <c r="P1280" s="746" t="str">
        <f t="shared" si="2226"/>
        <v/>
      </c>
      <c r="Q1280" s="746" t="str">
        <f t="shared" si="2226"/>
        <v/>
      </c>
      <c r="R1280" s="746" t="str">
        <f t="shared" si="2226"/>
        <v/>
      </c>
      <c r="S1280" s="746" t="str">
        <f t="shared" si="2226"/>
        <v/>
      </c>
      <c r="T1280" s="746" t="str">
        <f t="shared" si="2226"/>
        <v/>
      </c>
      <c r="U1280" s="746" t="str">
        <f t="shared" si="2226"/>
        <v/>
      </c>
      <c r="V1280" s="746" t="str">
        <f t="shared" si="2226"/>
        <v/>
      </c>
      <c r="W1280" s="746" t="str">
        <f t="shared" si="2226"/>
        <v/>
      </c>
      <c r="X1280" s="746" t="str">
        <f t="shared" si="2226"/>
        <v/>
      </c>
      <c r="Y1280" s="746" t="str">
        <f t="shared" si="2226"/>
        <v/>
      </c>
      <c r="Z1280" s="746" t="str">
        <f t="shared" si="2226"/>
        <v/>
      </c>
      <c r="AA1280" s="746" t="str">
        <f t="shared" si="2226"/>
        <v/>
      </c>
      <c r="AB1280" s="746" t="str">
        <f t="shared" si="2226"/>
        <v/>
      </c>
      <c r="AC1280" s="746" t="str">
        <f t="shared" si="2226"/>
        <v/>
      </c>
      <c r="AD1280" s="746" t="str">
        <f t="shared" si="2226"/>
        <v/>
      </c>
      <c r="AE1280" s="746" t="str">
        <f t="shared" si="2226"/>
        <v/>
      </c>
      <c r="AF1280" s="746" t="str">
        <f t="shared" si="2226"/>
        <v/>
      </c>
      <c r="AG1280" s="746" t="str">
        <f t="shared" si="2226"/>
        <v/>
      </c>
      <c r="AH1280" s="746" t="str">
        <f t="shared" si="2226"/>
        <v/>
      </c>
      <c r="AI1280" s="746" t="str">
        <f t="shared" si="2226"/>
        <v/>
      </c>
      <c r="AJ1280" s="746" t="str">
        <f t="shared" si="2226"/>
        <v/>
      </c>
      <c r="AK1280" s="746" t="str">
        <f t="shared" si="2226"/>
        <v/>
      </c>
      <c r="AL1280" s="746" t="str">
        <f t="shared" si="2226"/>
        <v/>
      </c>
      <c r="AM1280" s="746" t="str">
        <f t="shared" si="2226"/>
        <v/>
      </c>
      <c r="AN1280" s="746" t="str">
        <f t="shared" si="2226"/>
        <v/>
      </c>
      <c r="AO1280" s="746" t="str">
        <f t="shared" si="2226"/>
        <v/>
      </c>
      <c r="AP1280" s="746" t="str">
        <f t="shared" si="2226"/>
        <v/>
      </c>
      <c r="AQ1280" s="746" t="str">
        <f t="shared" si="2226"/>
        <v/>
      </c>
      <c r="AR1280" s="746" t="str">
        <f t="shared" si="2226"/>
        <v/>
      </c>
      <c r="AS1280" s="746" t="str">
        <f t="shared" si="2226"/>
        <v/>
      </c>
      <c r="AT1280" s="746" t="str">
        <f t="shared" si="2226"/>
        <v/>
      </c>
      <c r="AU1280" s="746" t="str">
        <f t="shared" si="2226"/>
        <v/>
      </c>
      <c r="AV1280" s="746" t="str">
        <f t="shared" si="2226"/>
        <v/>
      </c>
      <c r="AW1280" s="746" t="str">
        <f t="shared" si="2226"/>
        <v/>
      </c>
      <c r="AX1280" s="746" t="str">
        <f t="shared" si="2226"/>
        <v/>
      </c>
      <c r="AY1280" s="746" t="str">
        <f t="shared" si="2226"/>
        <v/>
      </c>
      <c r="AZ1280" s="746" t="str">
        <f t="shared" si="2226"/>
        <v/>
      </c>
      <c r="BA1280" s="746" t="str">
        <f t="shared" si="2226"/>
        <v/>
      </c>
      <c r="BB1280" s="746" t="str">
        <f t="shared" si="2226"/>
        <v/>
      </c>
      <c r="BC1280" s="746" t="str">
        <f t="shared" si="2226"/>
        <v/>
      </c>
      <c r="BD1280" s="746" t="str">
        <f t="shared" si="2226"/>
        <v/>
      </c>
      <c r="BE1280" s="746" t="str">
        <f t="shared" si="2226"/>
        <v/>
      </c>
      <c r="BF1280" s="746" t="str">
        <f t="shared" si="2226"/>
        <v/>
      </c>
      <c r="BG1280" s="746" t="str">
        <f t="shared" si="2226"/>
        <v/>
      </c>
      <c r="BH1280" s="746" t="str">
        <f t="shared" si="2226"/>
        <v/>
      </c>
      <c r="BI1280" s="746" t="str">
        <f t="shared" si="2226"/>
        <v/>
      </c>
      <c r="BJ1280" s="746" t="str">
        <f t="shared" si="2226"/>
        <v/>
      </c>
      <c r="BK1280" s="746" t="str">
        <f t="shared" si="2226"/>
        <v/>
      </c>
      <c r="BL1280" s="746" t="str">
        <f t="shared" si="2226"/>
        <v/>
      </c>
      <c r="BM1280" s="746" t="str">
        <f t="shared" si="2226"/>
        <v/>
      </c>
      <c r="BN1280" s="746" t="str">
        <f t="shared" si="2226"/>
        <v/>
      </c>
      <c r="BO1280" s="746" t="str">
        <f t="shared" si="2226"/>
        <v/>
      </c>
      <c r="BP1280" s="746">
        <f t="shared" si="2226"/>
        <v>84</v>
      </c>
      <c r="BQ1280" s="746" t="str">
        <f t="shared" si="2226"/>
        <v/>
      </c>
      <c r="BR1280" s="746" t="str">
        <f t="shared" si="2226"/>
        <v/>
      </c>
      <c r="BS1280" s="746" t="str">
        <f t="shared" si="2226"/>
        <v/>
      </c>
      <c r="BT1280" s="746" t="str">
        <f t="shared" si="2226"/>
        <v/>
      </c>
      <c r="BU1280" s="746" t="str">
        <f t="shared" si="2217"/>
        <v/>
      </c>
      <c r="BV1280" s="644">
        <v>0.91</v>
      </c>
      <c r="BW1280" s="748">
        <f t="shared" si="2218"/>
        <v>76.44</v>
      </c>
      <c r="BX1280" s="749">
        <f t="shared" si="2219"/>
        <v>592.41</v>
      </c>
      <c r="BY1280" s="750" t="str">
        <f t="shared" si="2220"/>
        <v>SR</v>
      </c>
    </row>
    <row r="1281" s="699" customFormat="1" customHeight="1" spans="1:77">
      <c r="A1281" s="566">
        <v>46247</v>
      </c>
      <c r="B1281" s="566">
        <v>46349</v>
      </c>
      <c r="C1281" s="422" t="s">
        <v>1064</v>
      </c>
      <c r="D1281" s="422" t="s">
        <v>1065</v>
      </c>
      <c r="E1281" s="422" t="s">
        <v>199</v>
      </c>
      <c r="F1281" s="623">
        <v>20712</v>
      </c>
      <c r="G1281" s="604" t="s">
        <v>270</v>
      </c>
      <c r="H1281" s="745" t="str">
        <f>IFERROR(VLOOKUP(E1281,名称!A:E,4,0),"")</f>
        <v>三代</v>
      </c>
      <c r="I1281" s="746" t="str">
        <f t="shared" ref="I1281:BT1281" si="2227">IF(OR($E1281="",I$1=""),"",IF(TRIM(LEFT($E1281,MIN(IFERROR(FIND("CDU",UPPER($E1281)),999),IFERROR(FIND("BULK",UPPER($E1281)),999),IFERROR(FIND("-",$E1281),999),IFERROR(FIND("（",$E1281),999))-1))=I$1,$F1281,""))</f>
        <v/>
      </c>
      <c r="J1281" s="746" t="str">
        <f t="shared" si="2227"/>
        <v/>
      </c>
      <c r="K1281" s="746" t="str">
        <f t="shared" si="2227"/>
        <v/>
      </c>
      <c r="L1281" s="746" t="str">
        <f t="shared" si="2227"/>
        <v/>
      </c>
      <c r="M1281" s="746" t="str">
        <f t="shared" si="2227"/>
        <v/>
      </c>
      <c r="N1281" s="746" t="str">
        <f t="shared" si="2227"/>
        <v/>
      </c>
      <c r="O1281" s="746" t="str">
        <f t="shared" si="2227"/>
        <v/>
      </c>
      <c r="P1281" s="746" t="str">
        <f t="shared" si="2227"/>
        <v/>
      </c>
      <c r="Q1281" s="746" t="str">
        <f t="shared" si="2227"/>
        <v/>
      </c>
      <c r="R1281" s="746" t="str">
        <f t="shared" si="2227"/>
        <v/>
      </c>
      <c r="S1281" s="746" t="str">
        <f t="shared" si="2227"/>
        <v/>
      </c>
      <c r="T1281" s="746" t="str">
        <f t="shared" si="2227"/>
        <v/>
      </c>
      <c r="U1281" s="746" t="str">
        <f t="shared" si="2227"/>
        <v/>
      </c>
      <c r="V1281" s="746" t="str">
        <f t="shared" si="2227"/>
        <v/>
      </c>
      <c r="W1281" s="746" t="str">
        <f t="shared" si="2227"/>
        <v/>
      </c>
      <c r="X1281" s="746" t="str">
        <f t="shared" si="2227"/>
        <v/>
      </c>
      <c r="Y1281" s="746" t="str">
        <f t="shared" si="2227"/>
        <v/>
      </c>
      <c r="Z1281" s="746" t="str">
        <f t="shared" si="2227"/>
        <v/>
      </c>
      <c r="AA1281" s="746" t="str">
        <f t="shared" si="2227"/>
        <v/>
      </c>
      <c r="AB1281" s="746" t="str">
        <f t="shared" si="2227"/>
        <v/>
      </c>
      <c r="AC1281" s="746" t="str">
        <f t="shared" si="2227"/>
        <v/>
      </c>
      <c r="AD1281" s="746" t="str">
        <f t="shared" si="2227"/>
        <v/>
      </c>
      <c r="AE1281" s="746" t="str">
        <f t="shared" si="2227"/>
        <v/>
      </c>
      <c r="AF1281" s="746" t="str">
        <f t="shared" si="2227"/>
        <v/>
      </c>
      <c r="AG1281" s="746" t="str">
        <f t="shared" si="2227"/>
        <v/>
      </c>
      <c r="AH1281" s="746" t="str">
        <f t="shared" si="2227"/>
        <v/>
      </c>
      <c r="AI1281" s="746" t="str">
        <f t="shared" si="2227"/>
        <v/>
      </c>
      <c r="AJ1281" s="746" t="str">
        <f t="shared" si="2227"/>
        <v/>
      </c>
      <c r="AK1281" s="746" t="str">
        <f t="shared" si="2227"/>
        <v/>
      </c>
      <c r="AL1281" s="746" t="str">
        <f t="shared" si="2227"/>
        <v/>
      </c>
      <c r="AM1281" s="746" t="str">
        <f t="shared" si="2227"/>
        <v/>
      </c>
      <c r="AN1281" s="746" t="str">
        <f t="shared" si="2227"/>
        <v/>
      </c>
      <c r="AO1281" s="746" t="str">
        <f t="shared" si="2227"/>
        <v/>
      </c>
      <c r="AP1281" s="746" t="str">
        <f t="shared" si="2227"/>
        <v/>
      </c>
      <c r="AQ1281" s="746" t="str">
        <f t="shared" si="2227"/>
        <v/>
      </c>
      <c r="AR1281" s="746" t="str">
        <f t="shared" si="2227"/>
        <v/>
      </c>
      <c r="AS1281" s="746" t="str">
        <f t="shared" si="2227"/>
        <v/>
      </c>
      <c r="AT1281" s="746" t="str">
        <f t="shared" si="2227"/>
        <v/>
      </c>
      <c r="AU1281" s="746" t="str">
        <f t="shared" si="2227"/>
        <v/>
      </c>
      <c r="AV1281" s="746" t="str">
        <f t="shared" si="2227"/>
        <v/>
      </c>
      <c r="AW1281" s="746" t="str">
        <f t="shared" si="2227"/>
        <v/>
      </c>
      <c r="AX1281" s="746" t="str">
        <f t="shared" si="2227"/>
        <v/>
      </c>
      <c r="AY1281" s="746" t="str">
        <f t="shared" si="2227"/>
        <v/>
      </c>
      <c r="AZ1281" s="746" t="str">
        <f t="shared" si="2227"/>
        <v/>
      </c>
      <c r="BA1281" s="746" t="str">
        <f t="shared" si="2227"/>
        <v/>
      </c>
      <c r="BB1281" s="746" t="str">
        <f t="shared" si="2227"/>
        <v/>
      </c>
      <c r="BC1281" s="746" t="str">
        <f t="shared" si="2227"/>
        <v/>
      </c>
      <c r="BD1281" s="746" t="str">
        <f t="shared" si="2227"/>
        <v/>
      </c>
      <c r="BE1281" s="746" t="str">
        <f t="shared" si="2227"/>
        <v/>
      </c>
      <c r="BF1281" s="746" t="str">
        <f t="shared" si="2227"/>
        <v/>
      </c>
      <c r="BG1281" s="746" t="str">
        <f t="shared" si="2227"/>
        <v/>
      </c>
      <c r="BH1281" s="746" t="str">
        <f t="shared" si="2227"/>
        <v/>
      </c>
      <c r="BI1281" s="746" t="str">
        <f t="shared" si="2227"/>
        <v/>
      </c>
      <c r="BJ1281" s="746" t="str">
        <f t="shared" si="2227"/>
        <v/>
      </c>
      <c r="BK1281" s="746" t="str">
        <f t="shared" si="2227"/>
        <v/>
      </c>
      <c r="BL1281" s="746" t="str">
        <f t="shared" si="2227"/>
        <v/>
      </c>
      <c r="BM1281" s="746" t="str">
        <f t="shared" si="2227"/>
        <v/>
      </c>
      <c r="BN1281" s="746" t="str">
        <f t="shared" si="2227"/>
        <v/>
      </c>
      <c r="BO1281" s="746" t="str">
        <f t="shared" si="2227"/>
        <v/>
      </c>
      <c r="BP1281" s="746">
        <f t="shared" si="2227"/>
        <v>20712</v>
      </c>
      <c r="BQ1281" s="746" t="str">
        <f t="shared" si="2227"/>
        <v/>
      </c>
      <c r="BR1281" s="746" t="str">
        <f t="shared" si="2227"/>
        <v/>
      </c>
      <c r="BS1281" s="746" t="str">
        <f t="shared" si="2227"/>
        <v/>
      </c>
      <c r="BT1281" s="746" t="str">
        <f t="shared" si="2227"/>
        <v/>
      </c>
      <c r="BU1281" s="746" t="str">
        <f t="shared" si="2217"/>
        <v/>
      </c>
      <c r="BV1281" s="644">
        <v>0.88</v>
      </c>
      <c r="BW1281" s="748">
        <f t="shared" si="2218"/>
        <v>18226.56</v>
      </c>
      <c r="BX1281" s="749">
        <f t="shared" si="2219"/>
        <v>141255.84</v>
      </c>
      <c r="BY1281" s="750" t="str">
        <f t="shared" si="2220"/>
        <v>SR</v>
      </c>
    </row>
    <row r="1282" s="697" customFormat="1" customHeight="1" spans="1:77">
      <c r="A1282" s="116"/>
      <c r="B1282" s="116"/>
      <c r="C1282" s="118"/>
      <c r="D1282" s="118"/>
      <c r="E1282" s="118"/>
      <c r="F1282" s="722"/>
      <c r="G1282" s="418"/>
      <c r="H1282" s="118" t="str">
        <f>IFERROR(VLOOKUP(E1282,名称!A:E,4,0),"")</f>
        <v/>
      </c>
      <c r="I1282" s="418" t="str">
        <f t="shared" ref="I1282:BT1282" si="2228">IF(OR($E1282="",I$1=""),"",IF(TRIM(LEFT($E1282,MIN(IFERROR(FIND("CDU",UPPER($E1282)),999),IFERROR(FIND("BULK",UPPER($E1282)),999),IFERROR(FIND("-",$E1282),999),IFERROR(FIND("（",$E1282),999))-1))=I$1,$F1282,""))</f>
        <v/>
      </c>
      <c r="J1282" s="418" t="str">
        <f t="shared" si="2228"/>
        <v/>
      </c>
      <c r="K1282" s="418" t="str">
        <f t="shared" si="2228"/>
        <v/>
      </c>
      <c r="L1282" s="418" t="str">
        <f t="shared" si="2228"/>
        <v/>
      </c>
      <c r="M1282" s="418" t="str">
        <f t="shared" si="2228"/>
        <v/>
      </c>
      <c r="N1282" s="418" t="str">
        <f t="shared" si="2228"/>
        <v/>
      </c>
      <c r="O1282" s="418" t="str">
        <f t="shared" si="2228"/>
        <v/>
      </c>
      <c r="P1282" s="418" t="str">
        <f t="shared" si="2228"/>
        <v/>
      </c>
      <c r="Q1282" s="418" t="str">
        <f t="shared" si="2228"/>
        <v/>
      </c>
      <c r="R1282" s="418" t="str">
        <f t="shared" si="2228"/>
        <v/>
      </c>
      <c r="S1282" s="418" t="str">
        <f t="shared" si="2228"/>
        <v/>
      </c>
      <c r="T1282" s="418" t="str">
        <f t="shared" si="2228"/>
        <v/>
      </c>
      <c r="U1282" s="418" t="str">
        <f t="shared" si="2228"/>
        <v/>
      </c>
      <c r="V1282" s="418" t="str">
        <f t="shared" si="2228"/>
        <v/>
      </c>
      <c r="W1282" s="418" t="str">
        <f t="shared" si="2228"/>
        <v/>
      </c>
      <c r="X1282" s="418" t="str">
        <f t="shared" si="2228"/>
        <v/>
      </c>
      <c r="Y1282" s="418" t="str">
        <f t="shared" si="2228"/>
        <v/>
      </c>
      <c r="Z1282" s="418" t="str">
        <f t="shared" si="2228"/>
        <v/>
      </c>
      <c r="AA1282" s="418" t="str">
        <f t="shared" si="2228"/>
        <v/>
      </c>
      <c r="AB1282" s="418" t="str">
        <f t="shared" si="2228"/>
        <v/>
      </c>
      <c r="AC1282" s="418" t="str">
        <f t="shared" si="2228"/>
        <v/>
      </c>
      <c r="AD1282" s="418" t="str">
        <f t="shared" si="2228"/>
        <v/>
      </c>
      <c r="AE1282" s="418" t="str">
        <f t="shared" si="2228"/>
        <v/>
      </c>
      <c r="AF1282" s="418" t="str">
        <f t="shared" si="2228"/>
        <v/>
      </c>
      <c r="AG1282" s="418" t="str">
        <f t="shared" si="2228"/>
        <v/>
      </c>
      <c r="AH1282" s="418" t="str">
        <f t="shared" si="2228"/>
        <v/>
      </c>
      <c r="AI1282" s="418" t="str">
        <f t="shared" si="2228"/>
        <v/>
      </c>
      <c r="AJ1282" s="418" t="str">
        <f t="shared" si="2228"/>
        <v/>
      </c>
      <c r="AK1282" s="418" t="str">
        <f t="shared" si="2228"/>
        <v/>
      </c>
      <c r="AL1282" s="418" t="str">
        <f t="shared" si="2228"/>
        <v/>
      </c>
      <c r="AM1282" s="418" t="str">
        <f t="shared" si="2228"/>
        <v/>
      </c>
      <c r="AN1282" s="418" t="str">
        <f t="shared" si="2228"/>
        <v/>
      </c>
      <c r="AO1282" s="418" t="str">
        <f t="shared" si="2228"/>
        <v/>
      </c>
      <c r="AP1282" s="418" t="str">
        <f t="shared" si="2228"/>
        <v/>
      </c>
      <c r="AQ1282" s="418" t="str">
        <f t="shared" si="2228"/>
        <v/>
      </c>
      <c r="AR1282" s="418" t="str">
        <f t="shared" si="2228"/>
        <v/>
      </c>
      <c r="AS1282" s="418" t="str">
        <f t="shared" si="2228"/>
        <v/>
      </c>
      <c r="AT1282" s="418" t="str">
        <f t="shared" si="2228"/>
        <v/>
      </c>
      <c r="AU1282" s="418" t="str">
        <f t="shared" si="2228"/>
        <v/>
      </c>
      <c r="AV1282" s="418" t="str">
        <f t="shared" si="2228"/>
        <v/>
      </c>
      <c r="AW1282" s="418" t="str">
        <f t="shared" si="2228"/>
        <v/>
      </c>
      <c r="AX1282" s="418" t="str">
        <f t="shared" si="2228"/>
        <v/>
      </c>
      <c r="AY1282" s="418" t="str">
        <f t="shared" si="2228"/>
        <v/>
      </c>
      <c r="AZ1282" s="418" t="str">
        <f t="shared" si="2228"/>
        <v/>
      </c>
      <c r="BA1282" s="418" t="str">
        <f t="shared" si="2228"/>
        <v/>
      </c>
      <c r="BB1282" s="418" t="str">
        <f t="shared" si="2228"/>
        <v/>
      </c>
      <c r="BC1282" s="418" t="str">
        <f t="shared" si="2228"/>
        <v/>
      </c>
      <c r="BD1282" s="418" t="str">
        <f t="shared" si="2228"/>
        <v/>
      </c>
      <c r="BE1282" s="418" t="str">
        <f t="shared" si="2228"/>
        <v/>
      </c>
      <c r="BF1282" s="418" t="str">
        <f t="shared" si="2228"/>
        <v/>
      </c>
      <c r="BG1282" s="418" t="str">
        <f t="shared" si="2228"/>
        <v/>
      </c>
      <c r="BH1282" s="418" t="str">
        <f t="shared" si="2228"/>
        <v/>
      </c>
      <c r="BI1282" s="418" t="str">
        <f t="shared" si="2228"/>
        <v/>
      </c>
      <c r="BJ1282" s="418" t="str">
        <f t="shared" si="2228"/>
        <v/>
      </c>
      <c r="BK1282" s="418" t="str">
        <f t="shared" si="2228"/>
        <v/>
      </c>
      <c r="BL1282" s="418" t="str">
        <f t="shared" si="2228"/>
        <v/>
      </c>
      <c r="BM1282" s="418" t="str">
        <f t="shared" si="2228"/>
        <v/>
      </c>
      <c r="BN1282" s="418" t="str">
        <f t="shared" si="2228"/>
        <v/>
      </c>
      <c r="BO1282" s="418" t="str">
        <f t="shared" si="2228"/>
        <v/>
      </c>
      <c r="BP1282" s="418" t="str">
        <f t="shared" si="2228"/>
        <v/>
      </c>
      <c r="BQ1282" s="418" t="str">
        <f t="shared" si="2228"/>
        <v/>
      </c>
      <c r="BR1282" s="418" t="str">
        <f t="shared" si="2228"/>
        <v/>
      </c>
      <c r="BS1282" s="418" t="str">
        <f t="shared" si="2228"/>
        <v/>
      </c>
      <c r="BT1282" s="418" t="str">
        <f t="shared" si="2228"/>
        <v/>
      </c>
      <c r="BU1282" s="418" t="str">
        <f t="shared" si="2217"/>
        <v/>
      </c>
      <c r="BV1282" s="544"/>
      <c r="BW1282" s="723">
        <f t="shared" si="2218"/>
        <v>0</v>
      </c>
      <c r="BX1282" s="724">
        <f t="shared" si="2219"/>
        <v>0</v>
      </c>
      <c r="BY1282" s="725" t="str">
        <f t="shared" si="2220"/>
        <v/>
      </c>
    </row>
    <row r="1283" s="697" customFormat="1" customHeight="1" spans="1:77">
      <c r="A1283" s="116"/>
      <c r="B1283" s="116"/>
      <c r="C1283" s="118"/>
      <c r="D1283" s="118"/>
      <c r="E1283" s="118"/>
      <c r="F1283" s="722"/>
      <c r="G1283" s="418"/>
      <c r="H1283" s="118" t="str">
        <f>IFERROR(VLOOKUP(E1283,名称!A:E,4,0),"")</f>
        <v/>
      </c>
      <c r="I1283" s="418" t="str">
        <f t="shared" ref="I1283:BT1283" si="2229">IF(OR($E1283="",I$1=""),"",IF(TRIM(LEFT($E1283,MIN(IFERROR(FIND("CDU",UPPER($E1283)),999),IFERROR(FIND("BULK",UPPER($E1283)),999),IFERROR(FIND("-",$E1283),999),IFERROR(FIND("（",$E1283),999))-1))=I$1,$F1283,""))</f>
        <v/>
      </c>
      <c r="J1283" s="418" t="str">
        <f t="shared" si="2229"/>
        <v/>
      </c>
      <c r="K1283" s="418" t="str">
        <f t="shared" si="2229"/>
        <v/>
      </c>
      <c r="L1283" s="418" t="str">
        <f t="shared" si="2229"/>
        <v/>
      </c>
      <c r="M1283" s="418" t="str">
        <f t="shared" si="2229"/>
        <v/>
      </c>
      <c r="N1283" s="418" t="str">
        <f t="shared" si="2229"/>
        <v/>
      </c>
      <c r="O1283" s="418" t="str">
        <f t="shared" si="2229"/>
        <v/>
      </c>
      <c r="P1283" s="418" t="str">
        <f t="shared" si="2229"/>
        <v/>
      </c>
      <c r="Q1283" s="418" t="str">
        <f t="shared" si="2229"/>
        <v/>
      </c>
      <c r="R1283" s="418" t="str">
        <f t="shared" si="2229"/>
        <v/>
      </c>
      <c r="S1283" s="418" t="str">
        <f t="shared" si="2229"/>
        <v/>
      </c>
      <c r="T1283" s="418" t="str">
        <f t="shared" si="2229"/>
        <v/>
      </c>
      <c r="U1283" s="418" t="str">
        <f t="shared" si="2229"/>
        <v/>
      </c>
      <c r="V1283" s="418" t="str">
        <f t="shared" si="2229"/>
        <v/>
      </c>
      <c r="W1283" s="418" t="str">
        <f t="shared" si="2229"/>
        <v/>
      </c>
      <c r="X1283" s="418" t="str">
        <f t="shared" si="2229"/>
        <v/>
      </c>
      <c r="Y1283" s="418" t="str">
        <f t="shared" si="2229"/>
        <v/>
      </c>
      <c r="Z1283" s="418" t="str">
        <f t="shared" si="2229"/>
        <v/>
      </c>
      <c r="AA1283" s="418" t="str">
        <f t="shared" si="2229"/>
        <v/>
      </c>
      <c r="AB1283" s="418" t="str">
        <f t="shared" si="2229"/>
        <v/>
      </c>
      <c r="AC1283" s="418" t="str">
        <f t="shared" si="2229"/>
        <v/>
      </c>
      <c r="AD1283" s="418" t="str">
        <f t="shared" si="2229"/>
        <v/>
      </c>
      <c r="AE1283" s="418" t="str">
        <f t="shared" si="2229"/>
        <v/>
      </c>
      <c r="AF1283" s="418" t="str">
        <f t="shared" si="2229"/>
        <v/>
      </c>
      <c r="AG1283" s="418" t="str">
        <f t="shared" si="2229"/>
        <v/>
      </c>
      <c r="AH1283" s="418" t="str">
        <f t="shared" si="2229"/>
        <v/>
      </c>
      <c r="AI1283" s="418" t="str">
        <f t="shared" si="2229"/>
        <v/>
      </c>
      <c r="AJ1283" s="418" t="str">
        <f t="shared" si="2229"/>
        <v/>
      </c>
      <c r="AK1283" s="418" t="str">
        <f t="shared" si="2229"/>
        <v/>
      </c>
      <c r="AL1283" s="418" t="str">
        <f t="shared" si="2229"/>
        <v/>
      </c>
      <c r="AM1283" s="418" t="str">
        <f t="shared" si="2229"/>
        <v/>
      </c>
      <c r="AN1283" s="418" t="str">
        <f t="shared" si="2229"/>
        <v/>
      </c>
      <c r="AO1283" s="418" t="str">
        <f t="shared" si="2229"/>
        <v/>
      </c>
      <c r="AP1283" s="418" t="str">
        <f t="shared" si="2229"/>
        <v/>
      </c>
      <c r="AQ1283" s="418" t="str">
        <f t="shared" si="2229"/>
        <v/>
      </c>
      <c r="AR1283" s="418" t="str">
        <f t="shared" si="2229"/>
        <v/>
      </c>
      <c r="AS1283" s="418" t="str">
        <f t="shared" si="2229"/>
        <v/>
      </c>
      <c r="AT1283" s="418" t="str">
        <f t="shared" si="2229"/>
        <v/>
      </c>
      <c r="AU1283" s="418" t="str">
        <f t="shared" si="2229"/>
        <v/>
      </c>
      <c r="AV1283" s="418" t="str">
        <f t="shared" si="2229"/>
        <v/>
      </c>
      <c r="AW1283" s="418" t="str">
        <f t="shared" si="2229"/>
        <v/>
      </c>
      <c r="AX1283" s="418" t="str">
        <f t="shared" si="2229"/>
        <v/>
      </c>
      <c r="AY1283" s="418" t="str">
        <f t="shared" si="2229"/>
        <v/>
      </c>
      <c r="AZ1283" s="418" t="str">
        <f t="shared" si="2229"/>
        <v/>
      </c>
      <c r="BA1283" s="418" t="str">
        <f t="shared" si="2229"/>
        <v/>
      </c>
      <c r="BB1283" s="418" t="str">
        <f t="shared" si="2229"/>
        <v/>
      </c>
      <c r="BC1283" s="418" t="str">
        <f t="shared" si="2229"/>
        <v/>
      </c>
      <c r="BD1283" s="418" t="str">
        <f t="shared" si="2229"/>
        <v/>
      </c>
      <c r="BE1283" s="418" t="str">
        <f t="shared" si="2229"/>
        <v/>
      </c>
      <c r="BF1283" s="418" t="str">
        <f t="shared" si="2229"/>
        <v/>
      </c>
      <c r="BG1283" s="418" t="str">
        <f t="shared" si="2229"/>
        <v/>
      </c>
      <c r="BH1283" s="418" t="str">
        <f t="shared" si="2229"/>
        <v/>
      </c>
      <c r="BI1283" s="418" t="str">
        <f t="shared" si="2229"/>
        <v/>
      </c>
      <c r="BJ1283" s="418" t="str">
        <f t="shared" si="2229"/>
        <v/>
      </c>
      <c r="BK1283" s="418" t="str">
        <f t="shared" si="2229"/>
        <v/>
      </c>
      <c r="BL1283" s="418" t="str">
        <f t="shared" si="2229"/>
        <v/>
      </c>
      <c r="BM1283" s="418" t="str">
        <f t="shared" si="2229"/>
        <v/>
      </c>
      <c r="BN1283" s="418" t="str">
        <f t="shared" si="2229"/>
        <v/>
      </c>
      <c r="BO1283" s="418" t="str">
        <f t="shared" si="2229"/>
        <v/>
      </c>
      <c r="BP1283" s="418" t="str">
        <f t="shared" si="2229"/>
        <v/>
      </c>
      <c r="BQ1283" s="418" t="str">
        <f t="shared" si="2229"/>
        <v/>
      </c>
      <c r="BR1283" s="418" t="str">
        <f t="shared" si="2229"/>
        <v/>
      </c>
      <c r="BS1283" s="418" t="str">
        <f t="shared" si="2229"/>
        <v/>
      </c>
      <c r="BT1283" s="418" t="str">
        <f t="shared" si="2229"/>
        <v/>
      </c>
      <c r="BU1283" s="418" t="str">
        <f t="shared" si="2217"/>
        <v/>
      </c>
      <c r="BV1283" s="544"/>
      <c r="BW1283" s="723">
        <f t="shared" si="2218"/>
        <v>0</v>
      </c>
      <c r="BX1283" s="724">
        <f t="shared" si="2219"/>
        <v>0</v>
      </c>
      <c r="BY1283" s="725" t="str">
        <f t="shared" si="2220"/>
        <v/>
      </c>
    </row>
    <row r="1284" s="697" customFormat="1" customHeight="1" spans="1:77">
      <c r="A1284" s="116"/>
      <c r="B1284" s="116"/>
      <c r="C1284" s="118"/>
      <c r="D1284" s="118"/>
      <c r="E1284" s="118"/>
      <c r="F1284" s="722"/>
      <c r="G1284" s="418"/>
      <c r="H1284" s="118" t="str">
        <f>IFERROR(VLOOKUP(E1284,名称!A:E,4,0),"")</f>
        <v/>
      </c>
      <c r="I1284" s="418" t="str">
        <f t="shared" ref="I1284:BT1284" si="2230">IF(OR($E1284="",I$1=""),"",IF(TRIM(LEFT($E1284,MIN(IFERROR(FIND("CDU",UPPER($E1284)),999),IFERROR(FIND("BULK",UPPER($E1284)),999),IFERROR(FIND("-",$E1284),999),IFERROR(FIND("（",$E1284),999))-1))=I$1,$F1284,""))</f>
        <v/>
      </c>
      <c r="J1284" s="418" t="str">
        <f t="shared" si="2230"/>
        <v/>
      </c>
      <c r="K1284" s="418" t="str">
        <f t="shared" si="2230"/>
        <v/>
      </c>
      <c r="L1284" s="418" t="str">
        <f t="shared" si="2230"/>
        <v/>
      </c>
      <c r="M1284" s="418" t="str">
        <f t="shared" si="2230"/>
        <v/>
      </c>
      <c r="N1284" s="418" t="str">
        <f t="shared" si="2230"/>
        <v/>
      </c>
      <c r="O1284" s="418" t="str">
        <f t="shared" si="2230"/>
        <v/>
      </c>
      <c r="P1284" s="418" t="str">
        <f t="shared" si="2230"/>
        <v/>
      </c>
      <c r="Q1284" s="418" t="str">
        <f t="shared" si="2230"/>
        <v/>
      </c>
      <c r="R1284" s="418" t="str">
        <f t="shared" si="2230"/>
        <v/>
      </c>
      <c r="S1284" s="418" t="str">
        <f t="shared" si="2230"/>
        <v/>
      </c>
      <c r="T1284" s="418" t="str">
        <f t="shared" si="2230"/>
        <v/>
      </c>
      <c r="U1284" s="418" t="str">
        <f t="shared" si="2230"/>
        <v/>
      </c>
      <c r="V1284" s="418" t="str">
        <f t="shared" si="2230"/>
        <v/>
      </c>
      <c r="W1284" s="418" t="str">
        <f t="shared" si="2230"/>
        <v/>
      </c>
      <c r="X1284" s="418" t="str">
        <f t="shared" si="2230"/>
        <v/>
      </c>
      <c r="Y1284" s="418" t="str">
        <f t="shared" si="2230"/>
        <v/>
      </c>
      <c r="Z1284" s="418" t="str">
        <f t="shared" si="2230"/>
        <v/>
      </c>
      <c r="AA1284" s="418" t="str">
        <f t="shared" si="2230"/>
        <v/>
      </c>
      <c r="AB1284" s="418" t="str">
        <f t="shared" si="2230"/>
        <v/>
      </c>
      <c r="AC1284" s="418" t="str">
        <f t="shared" si="2230"/>
        <v/>
      </c>
      <c r="AD1284" s="418" t="str">
        <f t="shared" si="2230"/>
        <v/>
      </c>
      <c r="AE1284" s="418" t="str">
        <f t="shared" si="2230"/>
        <v/>
      </c>
      <c r="AF1284" s="418" t="str">
        <f t="shared" si="2230"/>
        <v/>
      </c>
      <c r="AG1284" s="418" t="str">
        <f t="shared" si="2230"/>
        <v/>
      </c>
      <c r="AH1284" s="418" t="str">
        <f t="shared" si="2230"/>
        <v/>
      </c>
      <c r="AI1284" s="418" t="str">
        <f t="shared" si="2230"/>
        <v/>
      </c>
      <c r="AJ1284" s="418" t="str">
        <f t="shared" si="2230"/>
        <v/>
      </c>
      <c r="AK1284" s="418" t="str">
        <f t="shared" si="2230"/>
        <v/>
      </c>
      <c r="AL1284" s="418" t="str">
        <f t="shared" si="2230"/>
        <v/>
      </c>
      <c r="AM1284" s="418" t="str">
        <f t="shared" si="2230"/>
        <v/>
      </c>
      <c r="AN1284" s="418" t="str">
        <f t="shared" si="2230"/>
        <v/>
      </c>
      <c r="AO1284" s="418" t="str">
        <f t="shared" si="2230"/>
        <v/>
      </c>
      <c r="AP1284" s="418" t="str">
        <f t="shared" si="2230"/>
        <v/>
      </c>
      <c r="AQ1284" s="418" t="str">
        <f t="shared" si="2230"/>
        <v/>
      </c>
      <c r="AR1284" s="418" t="str">
        <f t="shared" si="2230"/>
        <v/>
      </c>
      <c r="AS1284" s="418" t="str">
        <f t="shared" si="2230"/>
        <v/>
      </c>
      <c r="AT1284" s="418" t="str">
        <f t="shared" si="2230"/>
        <v/>
      </c>
      <c r="AU1284" s="418" t="str">
        <f t="shared" si="2230"/>
        <v/>
      </c>
      <c r="AV1284" s="418" t="str">
        <f t="shared" si="2230"/>
        <v/>
      </c>
      <c r="AW1284" s="418" t="str">
        <f t="shared" si="2230"/>
        <v/>
      </c>
      <c r="AX1284" s="418" t="str">
        <f t="shared" si="2230"/>
        <v/>
      </c>
      <c r="AY1284" s="418" t="str">
        <f t="shared" si="2230"/>
        <v/>
      </c>
      <c r="AZ1284" s="418" t="str">
        <f t="shared" si="2230"/>
        <v/>
      </c>
      <c r="BA1284" s="418" t="str">
        <f t="shared" si="2230"/>
        <v/>
      </c>
      <c r="BB1284" s="418" t="str">
        <f t="shared" si="2230"/>
        <v/>
      </c>
      <c r="BC1284" s="418" t="str">
        <f t="shared" si="2230"/>
        <v/>
      </c>
      <c r="BD1284" s="418" t="str">
        <f t="shared" si="2230"/>
        <v/>
      </c>
      <c r="BE1284" s="418" t="str">
        <f t="shared" si="2230"/>
        <v/>
      </c>
      <c r="BF1284" s="418" t="str">
        <f t="shared" si="2230"/>
        <v/>
      </c>
      <c r="BG1284" s="418" t="str">
        <f t="shared" si="2230"/>
        <v/>
      </c>
      <c r="BH1284" s="418" t="str">
        <f t="shared" si="2230"/>
        <v/>
      </c>
      <c r="BI1284" s="418" t="str">
        <f t="shared" si="2230"/>
        <v/>
      </c>
      <c r="BJ1284" s="418" t="str">
        <f t="shared" si="2230"/>
        <v/>
      </c>
      <c r="BK1284" s="418" t="str">
        <f t="shared" si="2230"/>
        <v/>
      </c>
      <c r="BL1284" s="418" t="str">
        <f t="shared" si="2230"/>
        <v/>
      </c>
      <c r="BM1284" s="418" t="str">
        <f t="shared" si="2230"/>
        <v/>
      </c>
      <c r="BN1284" s="418" t="str">
        <f t="shared" si="2230"/>
        <v/>
      </c>
      <c r="BO1284" s="418" t="str">
        <f t="shared" si="2230"/>
        <v/>
      </c>
      <c r="BP1284" s="418" t="str">
        <f t="shared" si="2230"/>
        <v/>
      </c>
      <c r="BQ1284" s="418" t="str">
        <f t="shared" si="2230"/>
        <v/>
      </c>
      <c r="BR1284" s="418" t="str">
        <f t="shared" si="2230"/>
        <v/>
      </c>
      <c r="BS1284" s="418" t="str">
        <f t="shared" si="2230"/>
        <v/>
      </c>
      <c r="BT1284" s="418" t="str">
        <f t="shared" si="2230"/>
        <v/>
      </c>
      <c r="BU1284" s="418" t="str">
        <f t="shared" si="2217"/>
        <v/>
      </c>
      <c r="BV1284" s="544"/>
      <c r="BW1284" s="723">
        <f t="shared" si="2218"/>
        <v>0</v>
      </c>
      <c r="BX1284" s="724">
        <f t="shared" si="2219"/>
        <v>0</v>
      </c>
      <c r="BY1284" s="725" t="str">
        <f t="shared" si="2220"/>
        <v/>
      </c>
    </row>
    <row r="1285" s="697" customFormat="1" customHeight="1" spans="1:77">
      <c r="A1285" s="116"/>
      <c r="B1285" s="116"/>
      <c r="C1285" s="118"/>
      <c r="D1285" s="118"/>
      <c r="E1285" s="118"/>
      <c r="F1285" s="722"/>
      <c r="G1285" s="418"/>
      <c r="H1285" s="118" t="str">
        <f>IFERROR(VLOOKUP(E1285,名称!A:E,4,0),"")</f>
        <v/>
      </c>
      <c r="I1285" s="418" t="str">
        <f t="shared" ref="I1285:BT1285" si="2231">IF(OR($E1285="",I$1=""),"",IF(TRIM(LEFT($E1285,MIN(IFERROR(FIND("CDU",UPPER($E1285)),999),IFERROR(FIND("BULK",UPPER($E1285)),999),IFERROR(FIND("-",$E1285),999),IFERROR(FIND("（",$E1285),999))-1))=I$1,$F1285,""))</f>
        <v/>
      </c>
      <c r="J1285" s="418" t="str">
        <f t="shared" si="2231"/>
        <v/>
      </c>
      <c r="K1285" s="418" t="str">
        <f t="shared" si="2231"/>
        <v/>
      </c>
      <c r="L1285" s="418" t="str">
        <f t="shared" si="2231"/>
        <v/>
      </c>
      <c r="M1285" s="418" t="str">
        <f t="shared" si="2231"/>
        <v/>
      </c>
      <c r="N1285" s="418" t="str">
        <f t="shared" si="2231"/>
        <v/>
      </c>
      <c r="O1285" s="418" t="str">
        <f t="shared" si="2231"/>
        <v/>
      </c>
      <c r="P1285" s="418" t="str">
        <f t="shared" si="2231"/>
        <v/>
      </c>
      <c r="Q1285" s="418" t="str">
        <f t="shared" si="2231"/>
        <v/>
      </c>
      <c r="R1285" s="418" t="str">
        <f t="shared" si="2231"/>
        <v/>
      </c>
      <c r="S1285" s="418" t="str">
        <f t="shared" si="2231"/>
        <v/>
      </c>
      <c r="T1285" s="418" t="str">
        <f t="shared" si="2231"/>
        <v/>
      </c>
      <c r="U1285" s="418" t="str">
        <f t="shared" si="2231"/>
        <v/>
      </c>
      <c r="V1285" s="418" t="str">
        <f t="shared" si="2231"/>
        <v/>
      </c>
      <c r="W1285" s="418" t="str">
        <f t="shared" si="2231"/>
        <v/>
      </c>
      <c r="X1285" s="418" t="str">
        <f t="shared" si="2231"/>
        <v/>
      </c>
      <c r="Y1285" s="418" t="str">
        <f t="shared" si="2231"/>
        <v/>
      </c>
      <c r="Z1285" s="418" t="str">
        <f t="shared" si="2231"/>
        <v/>
      </c>
      <c r="AA1285" s="418" t="str">
        <f t="shared" si="2231"/>
        <v/>
      </c>
      <c r="AB1285" s="418" t="str">
        <f t="shared" si="2231"/>
        <v/>
      </c>
      <c r="AC1285" s="418" t="str">
        <f t="shared" si="2231"/>
        <v/>
      </c>
      <c r="AD1285" s="418" t="str">
        <f t="shared" si="2231"/>
        <v/>
      </c>
      <c r="AE1285" s="418" t="str">
        <f t="shared" si="2231"/>
        <v/>
      </c>
      <c r="AF1285" s="418" t="str">
        <f t="shared" si="2231"/>
        <v/>
      </c>
      <c r="AG1285" s="418" t="str">
        <f t="shared" si="2231"/>
        <v/>
      </c>
      <c r="AH1285" s="418" t="str">
        <f t="shared" si="2231"/>
        <v/>
      </c>
      <c r="AI1285" s="418" t="str">
        <f t="shared" si="2231"/>
        <v/>
      </c>
      <c r="AJ1285" s="418" t="str">
        <f t="shared" si="2231"/>
        <v/>
      </c>
      <c r="AK1285" s="418" t="str">
        <f t="shared" si="2231"/>
        <v/>
      </c>
      <c r="AL1285" s="418" t="str">
        <f t="shared" si="2231"/>
        <v/>
      </c>
      <c r="AM1285" s="418" t="str">
        <f t="shared" si="2231"/>
        <v/>
      </c>
      <c r="AN1285" s="418" t="str">
        <f t="shared" si="2231"/>
        <v/>
      </c>
      <c r="AO1285" s="418" t="str">
        <f t="shared" si="2231"/>
        <v/>
      </c>
      <c r="AP1285" s="418" t="str">
        <f t="shared" si="2231"/>
        <v/>
      </c>
      <c r="AQ1285" s="418" t="str">
        <f t="shared" si="2231"/>
        <v/>
      </c>
      <c r="AR1285" s="418" t="str">
        <f t="shared" si="2231"/>
        <v/>
      </c>
      <c r="AS1285" s="418" t="str">
        <f t="shared" si="2231"/>
        <v/>
      </c>
      <c r="AT1285" s="418" t="str">
        <f t="shared" si="2231"/>
        <v/>
      </c>
      <c r="AU1285" s="418" t="str">
        <f t="shared" si="2231"/>
        <v/>
      </c>
      <c r="AV1285" s="418" t="str">
        <f t="shared" si="2231"/>
        <v/>
      </c>
      <c r="AW1285" s="418" t="str">
        <f t="shared" si="2231"/>
        <v/>
      </c>
      <c r="AX1285" s="418" t="str">
        <f t="shared" si="2231"/>
        <v/>
      </c>
      <c r="AY1285" s="418" t="str">
        <f t="shared" si="2231"/>
        <v/>
      </c>
      <c r="AZ1285" s="418" t="str">
        <f t="shared" si="2231"/>
        <v/>
      </c>
      <c r="BA1285" s="418" t="str">
        <f t="shared" si="2231"/>
        <v/>
      </c>
      <c r="BB1285" s="418" t="str">
        <f t="shared" si="2231"/>
        <v/>
      </c>
      <c r="BC1285" s="418" t="str">
        <f t="shared" si="2231"/>
        <v/>
      </c>
      <c r="BD1285" s="418" t="str">
        <f t="shared" si="2231"/>
        <v/>
      </c>
      <c r="BE1285" s="418" t="str">
        <f t="shared" si="2231"/>
        <v/>
      </c>
      <c r="BF1285" s="418" t="str">
        <f t="shared" si="2231"/>
        <v/>
      </c>
      <c r="BG1285" s="418" t="str">
        <f t="shared" si="2231"/>
        <v/>
      </c>
      <c r="BH1285" s="418" t="str">
        <f t="shared" si="2231"/>
        <v/>
      </c>
      <c r="BI1285" s="418" t="str">
        <f t="shared" si="2231"/>
        <v/>
      </c>
      <c r="BJ1285" s="418" t="str">
        <f t="shared" si="2231"/>
        <v/>
      </c>
      <c r="BK1285" s="418" t="str">
        <f t="shared" si="2231"/>
        <v/>
      </c>
      <c r="BL1285" s="418" t="str">
        <f t="shared" si="2231"/>
        <v/>
      </c>
      <c r="BM1285" s="418" t="str">
        <f t="shared" si="2231"/>
        <v/>
      </c>
      <c r="BN1285" s="418" t="str">
        <f t="shared" si="2231"/>
        <v/>
      </c>
      <c r="BO1285" s="418" t="str">
        <f t="shared" si="2231"/>
        <v/>
      </c>
      <c r="BP1285" s="418" t="str">
        <f t="shared" si="2231"/>
        <v/>
      </c>
      <c r="BQ1285" s="418" t="str">
        <f t="shared" si="2231"/>
        <v/>
      </c>
      <c r="BR1285" s="418" t="str">
        <f t="shared" si="2231"/>
        <v/>
      </c>
      <c r="BS1285" s="418" t="str">
        <f t="shared" si="2231"/>
        <v/>
      </c>
      <c r="BT1285" s="418" t="str">
        <f t="shared" si="2231"/>
        <v/>
      </c>
      <c r="BU1285" s="418" t="str">
        <f t="shared" si="2217"/>
        <v/>
      </c>
      <c r="BV1285" s="544"/>
      <c r="BW1285" s="723">
        <f t="shared" si="2218"/>
        <v>0</v>
      </c>
      <c r="BX1285" s="724">
        <f t="shared" si="2219"/>
        <v>0</v>
      </c>
      <c r="BY1285" s="725" t="str">
        <f t="shared" si="2220"/>
        <v/>
      </c>
    </row>
    <row r="1286" s="697" customFormat="1" customHeight="1" spans="1:77">
      <c r="A1286" s="116"/>
      <c r="B1286" s="116"/>
      <c r="C1286" s="118"/>
      <c r="D1286" s="118"/>
      <c r="E1286" s="118"/>
      <c r="F1286" s="722"/>
      <c r="G1286" s="418"/>
      <c r="H1286" s="118" t="str">
        <f>IFERROR(VLOOKUP(E1286,名称!A:E,4,0),"")</f>
        <v/>
      </c>
      <c r="I1286" s="418" t="str">
        <f t="shared" ref="I1286:BT1286" si="2232">IF(OR($E1286="",I$1=""),"",IF(TRIM(LEFT($E1286,MIN(IFERROR(FIND("CDU",UPPER($E1286)),999),IFERROR(FIND("BULK",UPPER($E1286)),999),IFERROR(FIND("-",$E1286),999),IFERROR(FIND("（",$E1286),999))-1))=I$1,$F1286,""))</f>
        <v/>
      </c>
      <c r="J1286" s="418" t="str">
        <f t="shared" si="2232"/>
        <v/>
      </c>
      <c r="K1286" s="418" t="str">
        <f t="shared" si="2232"/>
        <v/>
      </c>
      <c r="L1286" s="418" t="str">
        <f t="shared" si="2232"/>
        <v/>
      </c>
      <c r="M1286" s="418" t="str">
        <f t="shared" si="2232"/>
        <v/>
      </c>
      <c r="N1286" s="418" t="str">
        <f t="shared" si="2232"/>
        <v/>
      </c>
      <c r="O1286" s="418" t="str">
        <f t="shared" si="2232"/>
        <v/>
      </c>
      <c r="P1286" s="418" t="str">
        <f t="shared" si="2232"/>
        <v/>
      </c>
      <c r="Q1286" s="418" t="str">
        <f t="shared" si="2232"/>
        <v/>
      </c>
      <c r="R1286" s="418" t="str">
        <f t="shared" si="2232"/>
        <v/>
      </c>
      <c r="S1286" s="418" t="str">
        <f t="shared" si="2232"/>
        <v/>
      </c>
      <c r="T1286" s="418" t="str">
        <f t="shared" si="2232"/>
        <v/>
      </c>
      <c r="U1286" s="418" t="str">
        <f t="shared" si="2232"/>
        <v/>
      </c>
      <c r="V1286" s="418" t="str">
        <f t="shared" si="2232"/>
        <v/>
      </c>
      <c r="W1286" s="418" t="str">
        <f t="shared" si="2232"/>
        <v/>
      </c>
      <c r="X1286" s="418" t="str">
        <f t="shared" si="2232"/>
        <v/>
      </c>
      <c r="Y1286" s="418" t="str">
        <f t="shared" si="2232"/>
        <v/>
      </c>
      <c r="Z1286" s="418" t="str">
        <f t="shared" si="2232"/>
        <v/>
      </c>
      <c r="AA1286" s="418" t="str">
        <f t="shared" si="2232"/>
        <v/>
      </c>
      <c r="AB1286" s="418" t="str">
        <f t="shared" si="2232"/>
        <v/>
      </c>
      <c r="AC1286" s="418" t="str">
        <f t="shared" si="2232"/>
        <v/>
      </c>
      <c r="AD1286" s="418" t="str">
        <f t="shared" si="2232"/>
        <v/>
      </c>
      <c r="AE1286" s="418" t="str">
        <f t="shared" si="2232"/>
        <v/>
      </c>
      <c r="AF1286" s="418" t="str">
        <f t="shared" si="2232"/>
        <v/>
      </c>
      <c r="AG1286" s="418" t="str">
        <f t="shared" si="2232"/>
        <v/>
      </c>
      <c r="AH1286" s="418" t="str">
        <f t="shared" si="2232"/>
        <v/>
      </c>
      <c r="AI1286" s="418" t="str">
        <f t="shared" si="2232"/>
        <v/>
      </c>
      <c r="AJ1286" s="418" t="str">
        <f t="shared" si="2232"/>
        <v/>
      </c>
      <c r="AK1286" s="418" t="str">
        <f t="shared" si="2232"/>
        <v/>
      </c>
      <c r="AL1286" s="418" t="str">
        <f t="shared" si="2232"/>
        <v/>
      </c>
      <c r="AM1286" s="418" t="str">
        <f t="shared" si="2232"/>
        <v/>
      </c>
      <c r="AN1286" s="418" t="str">
        <f t="shared" si="2232"/>
        <v/>
      </c>
      <c r="AO1286" s="418" t="str">
        <f t="shared" si="2232"/>
        <v/>
      </c>
      <c r="AP1286" s="418" t="str">
        <f t="shared" si="2232"/>
        <v/>
      </c>
      <c r="AQ1286" s="418" t="str">
        <f t="shared" si="2232"/>
        <v/>
      </c>
      <c r="AR1286" s="418" t="str">
        <f t="shared" si="2232"/>
        <v/>
      </c>
      <c r="AS1286" s="418" t="str">
        <f t="shared" si="2232"/>
        <v/>
      </c>
      <c r="AT1286" s="418" t="str">
        <f t="shared" si="2232"/>
        <v/>
      </c>
      <c r="AU1286" s="418" t="str">
        <f t="shared" si="2232"/>
        <v/>
      </c>
      <c r="AV1286" s="418" t="str">
        <f t="shared" si="2232"/>
        <v/>
      </c>
      <c r="AW1286" s="418" t="str">
        <f t="shared" si="2232"/>
        <v/>
      </c>
      <c r="AX1286" s="418" t="str">
        <f t="shared" si="2232"/>
        <v/>
      </c>
      <c r="AY1286" s="418" t="str">
        <f t="shared" si="2232"/>
        <v/>
      </c>
      <c r="AZ1286" s="418" t="str">
        <f t="shared" si="2232"/>
        <v/>
      </c>
      <c r="BA1286" s="418" t="str">
        <f t="shared" si="2232"/>
        <v/>
      </c>
      <c r="BB1286" s="418" t="str">
        <f t="shared" si="2232"/>
        <v/>
      </c>
      <c r="BC1286" s="418" t="str">
        <f t="shared" si="2232"/>
        <v/>
      </c>
      <c r="BD1286" s="418" t="str">
        <f t="shared" si="2232"/>
        <v/>
      </c>
      <c r="BE1286" s="418" t="str">
        <f t="shared" si="2232"/>
        <v/>
      </c>
      <c r="BF1286" s="418" t="str">
        <f t="shared" si="2232"/>
        <v/>
      </c>
      <c r="BG1286" s="418" t="str">
        <f t="shared" si="2232"/>
        <v/>
      </c>
      <c r="BH1286" s="418" t="str">
        <f t="shared" si="2232"/>
        <v/>
      </c>
      <c r="BI1286" s="418" t="str">
        <f t="shared" si="2232"/>
        <v/>
      </c>
      <c r="BJ1286" s="418" t="str">
        <f t="shared" si="2232"/>
        <v/>
      </c>
      <c r="BK1286" s="418" t="str">
        <f t="shared" si="2232"/>
        <v/>
      </c>
      <c r="BL1286" s="418" t="str">
        <f t="shared" si="2232"/>
        <v/>
      </c>
      <c r="BM1286" s="418" t="str">
        <f t="shared" si="2232"/>
        <v/>
      </c>
      <c r="BN1286" s="418" t="str">
        <f t="shared" si="2232"/>
        <v/>
      </c>
      <c r="BO1286" s="418" t="str">
        <f t="shared" si="2232"/>
        <v/>
      </c>
      <c r="BP1286" s="418" t="str">
        <f t="shared" si="2232"/>
        <v/>
      </c>
      <c r="BQ1286" s="418" t="str">
        <f t="shared" si="2232"/>
        <v/>
      </c>
      <c r="BR1286" s="418" t="str">
        <f t="shared" si="2232"/>
        <v/>
      </c>
      <c r="BS1286" s="418" t="str">
        <f t="shared" si="2232"/>
        <v/>
      </c>
      <c r="BT1286" s="418" t="str">
        <f t="shared" si="2232"/>
        <v/>
      </c>
      <c r="BU1286" s="418" t="str">
        <f t="shared" si="2217"/>
        <v/>
      </c>
      <c r="BV1286" s="544"/>
      <c r="BW1286" s="723">
        <f t="shared" si="2218"/>
        <v>0</v>
      </c>
      <c r="BX1286" s="724">
        <f t="shared" si="2219"/>
        <v>0</v>
      </c>
      <c r="BY1286" s="725" t="str">
        <f t="shared" si="2220"/>
        <v/>
      </c>
    </row>
    <row r="1287" s="697" customFormat="1" customHeight="1" spans="1:77">
      <c r="A1287" s="116"/>
      <c r="B1287" s="116"/>
      <c r="C1287" s="118"/>
      <c r="D1287" s="118"/>
      <c r="E1287" s="118"/>
      <c r="F1287" s="722"/>
      <c r="G1287" s="418"/>
      <c r="H1287" s="118" t="str">
        <f>IFERROR(VLOOKUP(E1287,名称!A:E,4,0),"")</f>
        <v/>
      </c>
      <c r="I1287" s="418" t="str">
        <f t="shared" ref="I1287:BT1287" si="2233">IF(OR($E1287="",I$1=""),"",IF(TRIM(LEFT($E1287,MIN(IFERROR(FIND("CDU",UPPER($E1287)),999),IFERROR(FIND("BULK",UPPER($E1287)),999),IFERROR(FIND("-",$E1287),999),IFERROR(FIND("（",$E1287),999))-1))=I$1,$F1287,""))</f>
        <v/>
      </c>
      <c r="J1287" s="418" t="str">
        <f t="shared" si="2233"/>
        <v/>
      </c>
      <c r="K1287" s="418" t="str">
        <f t="shared" si="2233"/>
        <v/>
      </c>
      <c r="L1287" s="418" t="str">
        <f t="shared" si="2233"/>
        <v/>
      </c>
      <c r="M1287" s="418" t="str">
        <f t="shared" si="2233"/>
        <v/>
      </c>
      <c r="N1287" s="418" t="str">
        <f t="shared" si="2233"/>
        <v/>
      </c>
      <c r="O1287" s="418" t="str">
        <f t="shared" si="2233"/>
        <v/>
      </c>
      <c r="P1287" s="418" t="str">
        <f t="shared" si="2233"/>
        <v/>
      </c>
      <c r="Q1287" s="418" t="str">
        <f t="shared" si="2233"/>
        <v/>
      </c>
      <c r="R1287" s="418" t="str">
        <f t="shared" si="2233"/>
        <v/>
      </c>
      <c r="S1287" s="418" t="str">
        <f t="shared" si="2233"/>
        <v/>
      </c>
      <c r="T1287" s="418" t="str">
        <f t="shared" si="2233"/>
        <v/>
      </c>
      <c r="U1287" s="418" t="str">
        <f t="shared" si="2233"/>
        <v/>
      </c>
      <c r="V1287" s="418" t="str">
        <f t="shared" si="2233"/>
        <v/>
      </c>
      <c r="W1287" s="418" t="str">
        <f t="shared" si="2233"/>
        <v/>
      </c>
      <c r="X1287" s="418" t="str">
        <f t="shared" si="2233"/>
        <v/>
      </c>
      <c r="Y1287" s="418" t="str">
        <f t="shared" si="2233"/>
        <v/>
      </c>
      <c r="Z1287" s="418" t="str">
        <f t="shared" si="2233"/>
        <v/>
      </c>
      <c r="AA1287" s="418" t="str">
        <f t="shared" si="2233"/>
        <v/>
      </c>
      <c r="AB1287" s="418" t="str">
        <f t="shared" si="2233"/>
        <v/>
      </c>
      <c r="AC1287" s="418" t="str">
        <f t="shared" si="2233"/>
        <v/>
      </c>
      <c r="AD1287" s="418" t="str">
        <f t="shared" si="2233"/>
        <v/>
      </c>
      <c r="AE1287" s="418" t="str">
        <f t="shared" si="2233"/>
        <v/>
      </c>
      <c r="AF1287" s="418" t="str">
        <f t="shared" si="2233"/>
        <v/>
      </c>
      <c r="AG1287" s="418" t="str">
        <f t="shared" si="2233"/>
        <v/>
      </c>
      <c r="AH1287" s="418" t="str">
        <f t="shared" si="2233"/>
        <v/>
      </c>
      <c r="AI1287" s="418" t="str">
        <f t="shared" si="2233"/>
        <v/>
      </c>
      <c r="AJ1287" s="418" t="str">
        <f t="shared" si="2233"/>
        <v/>
      </c>
      <c r="AK1287" s="418" t="str">
        <f t="shared" si="2233"/>
        <v/>
      </c>
      <c r="AL1287" s="418" t="str">
        <f t="shared" si="2233"/>
        <v/>
      </c>
      <c r="AM1287" s="418" t="str">
        <f t="shared" si="2233"/>
        <v/>
      </c>
      <c r="AN1287" s="418" t="str">
        <f t="shared" si="2233"/>
        <v/>
      </c>
      <c r="AO1287" s="418" t="str">
        <f t="shared" si="2233"/>
        <v/>
      </c>
      <c r="AP1287" s="418" t="str">
        <f t="shared" si="2233"/>
        <v/>
      </c>
      <c r="AQ1287" s="418" t="str">
        <f t="shared" si="2233"/>
        <v/>
      </c>
      <c r="AR1287" s="418" t="str">
        <f t="shared" si="2233"/>
        <v/>
      </c>
      <c r="AS1287" s="418" t="str">
        <f t="shared" si="2233"/>
        <v/>
      </c>
      <c r="AT1287" s="418" t="str">
        <f t="shared" si="2233"/>
        <v/>
      </c>
      <c r="AU1287" s="418" t="str">
        <f t="shared" si="2233"/>
        <v/>
      </c>
      <c r="AV1287" s="418" t="str">
        <f t="shared" si="2233"/>
        <v/>
      </c>
      <c r="AW1287" s="418" t="str">
        <f t="shared" si="2233"/>
        <v/>
      </c>
      <c r="AX1287" s="418" t="str">
        <f t="shared" si="2233"/>
        <v/>
      </c>
      <c r="AY1287" s="418" t="str">
        <f t="shared" si="2233"/>
        <v/>
      </c>
      <c r="AZ1287" s="418" t="str">
        <f t="shared" si="2233"/>
        <v/>
      </c>
      <c r="BA1287" s="418" t="str">
        <f t="shared" si="2233"/>
        <v/>
      </c>
      <c r="BB1287" s="418" t="str">
        <f t="shared" si="2233"/>
        <v/>
      </c>
      <c r="BC1287" s="418" t="str">
        <f t="shared" si="2233"/>
        <v/>
      </c>
      <c r="BD1287" s="418" t="str">
        <f t="shared" si="2233"/>
        <v/>
      </c>
      <c r="BE1287" s="418" t="str">
        <f t="shared" si="2233"/>
        <v/>
      </c>
      <c r="BF1287" s="418" t="str">
        <f t="shared" si="2233"/>
        <v/>
      </c>
      <c r="BG1287" s="418" t="str">
        <f t="shared" si="2233"/>
        <v/>
      </c>
      <c r="BH1287" s="418" t="str">
        <f t="shared" si="2233"/>
        <v/>
      </c>
      <c r="BI1287" s="418" t="str">
        <f t="shared" si="2233"/>
        <v/>
      </c>
      <c r="BJ1287" s="418" t="str">
        <f t="shared" si="2233"/>
        <v/>
      </c>
      <c r="BK1287" s="418" t="str">
        <f t="shared" si="2233"/>
        <v/>
      </c>
      <c r="BL1287" s="418" t="str">
        <f t="shared" si="2233"/>
        <v/>
      </c>
      <c r="BM1287" s="418" t="str">
        <f t="shared" si="2233"/>
        <v/>
      </c>
      <c r="BN1287" s="418" t="str">
        <f t="shared" si="2233"/>
        <v/>
      </c>
      <c r="BO1287" s="418" t="str">
        <f t="shared" si="2233"/>
        <v/>
      </c>
      <c r="BP1287" s="418" t="str">
        <f t="shared" si="2233"/>
        <v/>
      </c>
      <c r="BQ1287" s="418" t="str">
        <f t="shared" si="2233"/>
        <v/>
      </c>
      <c r="BR1287" s="418" t="str">
        <f t="shared" si="2233"/>
        <v/>
      </c>
      <c r="BS1287" s="418" t="str">
        <f t="shared" si="2233"/>
        <v/>
      </c>
      <c r="BT1287" s="418" t="str">
        <f t="shared" si="2233"/>
        <v/>
      </c>
      <c r="BU1287" s="418" t="str">
        <f t="shared" si="2217"/>
        <v/>
      </c>
      <c r="BV1287" s="544"/>
      <c r="BW1287" s="723">
        <f t="shared" si="2218"/>
        <v>0</v>
      </c>
      <c r="BX1287" s="724">
        <f t="shared" si="2219"/>
        <v>0</v>
      </c>
      <c r="BY1287" s="725" t="str">
        <f t="shared" si="2220"/>
        <v/>
      </c>
    </row>
    <row r="1288" s="697" customFormat="1" customHeight="1" spans="1:77">
      <c r="A1288" s="116"/>
      <c r="B1288" s="116"/>
      <c r="C1288" s="118"/>
      <c r="D1288" s="118"/>
      <c r="E1288" s="118"/>
      <c r="F1288" s="722"/>
      <c r="G1288" s="418"/>
      <c r="H1288" s="118" t="str">
        <f>IFERROR(VLOOKUP(E1288,名称!A:E,4,0),"")</f>
        <v/>
      </c>
      <c r="I1288" s="418" t="str">
        <f t="shared" ref="I1288:BT1288" si="2234">IF(OR($E1288="",I$1=""),"",IF(TRIM(LEFT($E1288,MIN(IFERROR(FIND("CDU",UPPER($E1288)),999),IFERROR(FIND("BULK",UPPER($E1288)),999),IFERROR(FIND("-",$E1288),999),IFERROR(FIND("（",$E1288),999))-1))=I$1,$F1288,""))</f>
        <v/>
      </c>
      <c r="J1288" s="418" t="str">
        <f t="shared" si="2234"/>
        <v/>
      </c>
      <c r="K1288" s="418" t="str">
        <f t="shared" si="2234"/>
        <v/>
      </c>
      <c r="L1288" s="418" t="str">
        <f t="shared" si="2234"/>
        <v/>
      </c>
      <c r="M1288" s="418" t="str">
        <f t="shared" si="2234"/>
        <v/>
      </c>
      <c r="N1288" s="418" t="str">
        <f t="shared" si="2234"/>
        <v/>
      </c>
      <c r="O1288" s="418" t="str">
        <f t="shared" si="2234"/>
        <v/>
      </c>
      <c r="P1288" s="418" t="str">
        <f t="shared" si="2234"/>
        <v/>
      </c>
      <c r="Q1288" s="418" t="str">
        <f t="shared" si="2234"/>
        <v/>
      </c>
      <c r="R1288" s="418" t="str">
        <f t="shared" si="2234"/>
        <v/>
      </c>
      <c r="S1288" s="418" t="str">
        <f t="shared" si="2234"/>
        <v/>
      </c>
      <c r="T1288" s="418" t="str">
        <f t="shared" si="2234"/>
        <v/>
      </c>
      <c r="U1288" s="418" t="str">
        <f t="shared" si="2234"/>
        <v/>
      </c>
      <c r="V1288" s="418" t="str">
        <f t="shared" si="2234"/>
        <v/>
      </c>
      <c r="W1288" s="418" t="str">
        <f t="shared" si="2234"/>
        <v/>
      </c>
      <c r="X1288" s="418" t="str">
        <f t="shared" si="2234"/>
        <v/>
      </c>
      <c r="Y1288" s="418" t="str">
        <f t="shared" si="2234"/>
        <v/>
      </c>
      <c r="Z1288" s="418" t="str">
        <f t="shared" si="2234"/>
        <v/>
      </c>
      <c r="AA1288" s="418" t="str">
        <f t="shared" si="2234"/>
        <v/>
      </c>
      <c r="AB1288" s="418" t="str">
        <f t="shared" si="2234"/>
        <v/>
      </c>
      <c r="AC1288" s="418" t="str">
        <f t="shared" si="2234"/>
        <v/>
      </c>
      <c r="AD1288" s="418" t="str">
        <f t="shared" si="2234"/>
        <v/>
      </c>
      <c r="AE1288" s="418" t="str">
        <f t="shared" si="2234"/>
        <v/>
      </c>
      <c r="AF1288" s="418" t="str">
        <f t="shared" si="2234"/>
        <v/>
      </c>
      <c r="AG1288" s="418" t="str">
        <f t="shared" si="2234"/>
        <v/>
      </c>
      <c r="AH1288" s="418" t="str">
        <f t="shared" si="2234"/>
        <v/>
      </c>
      <c r="AI1288" s="418" t="str">
        <f t="shared" si="2234"/>
        <v/>
      </c>
      <c r="AJ1288" s="418" t="str">
        <f t="shared" si="2234"/>
        <v/>
      </c>
      <c r="AK1288" s="418" t="str">
        <f t="shared" si="2234"/>
        <v/>
      </c>
      <c r="AL1288" s="418" t="str">
        <f t="shared" si="2234"/>
        <v/>
      </c>
      <c r="AM1288" s="418" t="str">
        <f t="shared" si="2234"/>
        <v/>
      </c>
      <c r="AN1288" s="418" t="str">
        <f t="shared" si="2234"/>
        <v/>
      </c>
      <c r="AO1288" s="418" t="str">
        <f t="shared" si="2234"/>
        <v/>
      </c>
      <c r="AP1288" s="418" t="str">
        <f t="shared" si="2234"/>
        <v/>
      </c>
      <c r="AQ1288" s="418" t="str">
        <f t="shared" si="2234"/>
        <v/>
      </c>
      <c r="AR1288" s="418" t="str">
        <f t="shared" si="2234"/>
        <v/>
      </c>
      <c r="AS1288" s="418" t="str">
        <f t="shared" si="2234"/>
        <v/>
      </c>
      <c r="AT1288" s="418" t="str">
        <f t="shared" si="2234"/>
        <v/>
      </c>
      <c r="AU1288" s="418" t="str">
        <f t="shared" si="2234"/>
        <v/>
      </c>
      <c r="AV1288" s="418" t="str">
        <f t="shared" si="2234"/>
        <v/>
      </c>
      <c r="AW1288" s="418" t="str">
        <f t="shared" si="2234"/>
        <v/>
      </c>
      <c r="AX1288" s="418" t="str">
        <f t="shared" si="2234"/>
        <v/>
      </c>
      <c r="AY1288" s="418" t="str">
        <f t="shared" si="2234"/>
        <v/>
      </c>
      <c r="AZ1288" s="418" t="str">
        <f t="shared" si="2234"/>
        <v/>
      </c>
      <c r="BA1288" s="418" t="str">
        <f t="shared" si="2234"/>
        <v/>
      </c>
      <c r="BB1288" s="418" t="str">
        <f t="shared" si="2234"/>
        <v/>
      </c>
      <c r="BC1288" s="418" t="str">
        <f t="shared" si="2234"/>
        <v/>
      </c>
      <c r="BD1288" s="418" t="str">
        <f t="shared" si="2234"/>
        <v/>
      </c>
      <c r="BE1288" s="418" t="str">
        <f t="shared" si="2234"/>
        <v/>
      </c>
      <c r="BF1288" s="418" t="str">
        <f t="shared" si="2234"/>
        <v/>
      </c>
      <c r="BG1288" s="418" t="str">
        <f t="shared" si="2234"/>
        <v/>
      </c>
      <c r="BH1288" s="418" t="str">
        <f t="shared" si="2234"/>
        <v/>
      </c>
      <c r="BI1288" s="418" t="str">
        <f t="shared" si="2234"/>
        <v/>
      </c>
      <c r="BJ1288" s="418" t="str">
        <f t="shared" si="2234"/>
        <v/>
      </c>
      <c r="BK1288" s="418" t="str">
        <f t="shared" si="2234"/>
        <v/>
      </c>
      <c r="BL1288" s="418" t="str">
        <f t="shared" si="2234"/>
        <v/>
      </c>
      <c r="BM1288" s="418" t="str">
        <f t="shared" si="2234"/>
        <v/>
      </c>
      <c r="BN1288" s="418" t="str">
        <f t="shared" si="2234"/>
        <v/>
      </c>
      <c r="BO1288" s="418" t="str">
        <f t="shared" si="2234"/>
        <v/>
      </c>
      <c r="BP1288" s="418" t="str">
        <f t="shared" si="2234"/>
        <v/>
      </c>
      <c r="BQ1288" s="418" t="str">
        <f t="shared" si="2234"/>
        <v/>
      </c>
      <c r="BR1288" s="418" t="str">
        <f t="shared" si="2234"/>
        <v/>
      </c>
      <c r="BS1288" s="418" t="str">
        <f t="shared" si="2234"/>
        <v/>
      </c>
      <c r="BT1288" s="418" t="str">
        <f t="shared" si="2234"/>
        <v/>
      </c>
      <c r="BU1288" s="418" t="str">
        <f t="shared" si="2217"/>
        <v/>
      </c>
      <c r="BV1288" s="544"/>
      <c r="BW1288" s="723">
        <f t="shared" si="2218"/>
        <v>0</v>
      </c>
      <c r="BX1288" s="724">
        <f t="shared" si="2219"/>
        <v>0</v>
      </c>
      <c r="BY1288" s="725" t="str">
        <f t="shared" si="2220"/>
        <v/>
      </c>
    </row>
    <row r="1289" s="697" customFormat="1" customHeight="1" spans="1:77">
      <c r="A1289" s="116"/>
      <c r="B1289" s="116"/>
      <c r="C1289" s="118"/>
      <c r="D1289" s="118"/>
      <c r="E1289" s="118"/>
      <c r="F1289" s="722"/>
      <c r="G1289" s="418"/>
      <c r="H1289" s="118" t="str">
        <f>IFERROR(VLOOKUP(E1289,名称!A:E,4,0),"")</f>
        <v/>
      </c>
      <c r="I1289" s="418" t="str">
        <f t="shared" ref="I1289:BT1289" si="2235">IF(OR($E1289="",I$1=""),"",IF(TRIM(LEFT($E1289,MIN(IFERROR(FIND("CDU",UPPER($E1289)),999),IFERROR(FIND("BULK",UPPER($E1289)),999),IFERROR(FIND("-",$E1289),999),IFERROR(FIND("（",$E1289),999))-1))=I$1,$F1289,""))</f>
        <v/>
      </c>
      <c r="J1289" s="418" t="str">
        <f t="shared" si="2235"/>
        <v/>
      </c>
      <c r="K1289" s="418" t="str">
        <f t="shared" si="2235"/>
        <v/>
      </c>
      <c r="L1289" s="418" t="str">
        <f t="shared" si="2235"/>
        <v/>
      </c>
      <c r="M1289" s="418" t="str">
        <f t="shared" si="2235"/>
        <v/>
      </c>
      <c r="N1289" s="418" t="str">
        <f t="shared" si="2235"/>
        <v/>
      </c>
      <c r="O1289" s="418" t="str">
        <f t="shared" si="2235"/>
        <v/>
      </c>
      <c r="P1289" s="418" t="str">
        <f t="shared" si="2235"/>
        <v/>
      </c>
      <c r="Q1289" s="418" t="str">
        <f t="shared" si="2235"/>
        <v/>
      </c>
      <c r="R1289" s="418" t="str">
        <f t="shared" si="2235"/>
        <v/>
      </c>
      <c r="S1289" s="418" t="str">
        <f t="shared" si="2235"/>
        <v/>
      </c>
      <c r="T1289" s="418" t="str">
        <f t="shared" si="2235"/>
        <v/>
      </c>
      <c r="U1289" s="418" t="str">
        <f t="shared" si="2235"/>
        <v/>
      </c>
      <c r="V1289" s="418" t="str">
        <f t="shared" si="2235"/>
        <v/>
      </c>
      <c r="W1289" s="418" t="str">
        <f t="shared" si="2235"/>
        <v/>
      </c>
      <c r="X1289" s="418" t="str">
        <f t="shared" si="2235"/>
        <v/>
      </c>
      <c r="Y1289" s="418" t="str">
        <f t="shared" si="2235"/>
        <v/>
      </c>
      <c r="Z1289" s="418" t="str">
        <f t="shared" si="2235"/>
        <v/>
      </c>
      <c r="AA1289" s="418" t="str">
        <f t="shared" si="2235"/>
        <v/>
      </c>
      <c r="AB1289" s="418" t="str">
        <f t="shared" si="2235"/>
        <v/>
      </c>
      <c r="AC1289" s="418" t="str">
        <f t="shared" si="2235"/>
        <v/>
      </c>
      <c r="AD1289" s="418" t="str">
        <f t="shared" si="2235"/>
        <v/>
      </c>
      <c r="AE1289" s="418" t="str">
        <f t="shared" si="2235"/>
        <v/>
      </c>
      <c r="AF1289" s="418" t="str">
        <f t="shared" si="2235"/>
        <v/>
      </c>
      <c r="AG1289" s="418" t="str">
        <f t="shared" si="2235"/>
        <v/>
      </c>
      <c r="AH1289" s="418" t="str">
        <f t="shared" si="2235"/>
        <v/>
      </c>
      <c r="AI1289" s="418" t="str">
        <f t="shared" si="2235"/>
        <v/>
      </c>
      <c r="AJ1289" s="418" t="str">
        <f t="shared" si="2235"/>
        <v/>
      </c>
      <c r="AK1289" s="418" t="str">
        <f t="shared" si="2235"/>
        <v/>
      </c>
      <c r="AL1289" s="418" t="str">
        <f t="shared" si="2235"/>
        <v/>
      </c>
      <c r="AM1289" s="418" t="str">
        <f t="shared" si="2235"/>
        <v/>
      </c>
      <c r="AN1289" s="418" t="str">
        <f t="shared" si="2235"/>
        <v/>
      </c>
      <c r="AO1289" s="418" t="str">
        <f t="shared" si="2235"/>
        <v/>
      </c>
      <c r="AP1289" s="418" t="str">
        <f t="shared" si="2235"/>
        <v/>
      </c>
      <c r="AQ1289" s="418" t="str">
        <f t="shared" si="2235"/>
        <v/>
      </c>
      <c r="AR1289" s="418" t="str">
        <f t="shared" si="2235"/>
        <v/>
      </c>
      <c r="AS1289" s="418" t="str">
        <f t="shared" si="2235"/>
        <v/>
      </c>
      <c r="AT1289" s="418" t="str">
        <f t="shared" si="2235"/>
        <v/>
      </c>
      <c r="AU1289" s="418" t="str">
        <f t="shared" si="2235"/>
        <v/>
      </c>
      <c r="AV1289" s="418" t="str">
        <f t="shared" si="2235"/>
        <v/>
      </c>
      <c r="AW1289" s="418" t="str">
        <f t="shared" si="2235"/>
        <v/>
      </c>
      <c r="AX1289" s="418" t="str">
        <f t="shared" si="2235"/>
        <v/>
      </c>
      <c r="AY1289" s="418" t="str">
        <f t="shared" si="2235"/>
        <v/>
      </c>
      <c r="AZ1289" s="418" t="str">
        <f t="shared" si="2235"/>
        <v/>
      </c>
      <c r="BA1289" s="418" t="str">
        <f t="shared" si="2235"/>
        <v/>
      </c>
      <c r="BB1289" s="418" t="str">
        <f t="shared" si="2235"/>
        <v/>
      </c>
      <c r="BC1289" s="418" t="str">
        <f t="shared" si="2235"/>
        <v/>
      </c>
      <c r="BD1289" s="418" t="str">
        <f t="shared" si="2235"/>
        <v/>
      </c>
      <c r="BE1289" s="418" t="str">
        <f t="shared" si="2235"/>
        <v/>
      </c>
      <c r="BF1289" s="418" t="str">
        <f t="shared" si="2235"/>
        <v/>
      </c>
      <c r="BG1289" s="418" t="str">
        <f t="shared" si="2235"/>
        <v/>
      </c>
      <c r="BH1289" s="418" t="str">
        <f t="shared" si="2235"/>
        <v/>
      </c>
      <c r="BI1289" s="418" t="str">
        <f t="shared" si="2235"/>
        <v/>
      </c>
      <c r="BJ1289" s="418" t="str">
        <f t="shared" si="2235"/>
        <v/>
      </c>
      <c r="BK1289" s="418" t="str">
        <f t="shared" si="2235"/>
        <v/>
      </c>
      <c r="BL1289" s="418" t="str">
        <f t="shared" si="2235"/>
        <v/>
      </c>
      <c r="BM1289" s="418" t="str">
        <f t="shared" si="2235"/>
        <v/>
      </c>
      <c r="BN1289" s="418" t="str">
        <f t="shared" si="2235"/>
        <v/>
      </c>
      <c r="BO1289" s="418" t="str">
        <f t="shared" si="2235"/>
        <v/>
      </c>
      <c r="BP1289" s="418" t="str">
        <f t="shared" si="2235"/>
        <v/>
      </c>
      <c r="BQ1289" s="418" t="str">
        <f t="shared" si="2235"/>
        <v/>
      </c>
      <c r="BR1289" s="418" t="str">
        <f t="shared" si="2235"/>
        <v/>
      </c>
      <c r="BS1289" s="418" t="str">
        <f t="shared" si="2235"/>
        <v/>
      </c>
      <c r="BT1289" s="418" t="str">
        <f t="shared" si="2235"/>
        <v/>
      </c>
      <c r="BU1289" s="418" t="str">
        <f t="shared" si="2217"/>
        <v/>
      </c>
      <c r="BV1289" s="544"/>
      <c r="BW1289" s="723">
        <f t="shared" si="2218"/>
        <v>0</v>
      </c>
      <c r="BX1289" s="724">
        <f t="shared" si="2219"/>
        <v>0</v>
      </c>
      <c r="BY1289" s="725" t="str">
        <f t="shared" si="2220"/>
        <v/>
      </c>
    </row>
    <row r="1290" s="697" customFormat="1" customHeight="1" spans="1:77">
      <c r="A1290" s="116"/>
      <c r="B1290" s="116"/>
      <c r="C1290" s="118"/>
      <c r="D1290" s="118"/>
      <c r="E1290" s="118"/>
      <c r="F1290" s="722"/>
      <c r="G1290" s="418"/>
      <c r="H1290" s="118" t="str">
        <f>IFERROR(VLOOKUP(E1290,名称!A:E,4,0),"")</f>
        <v/>
      </c>
      <c r="I1290" s="418" t="str">
        <f t="shared" ref="I1290:BT1290" si="2236">IF(OR($E1290="",I$1=""),"",IF(TRIM(LEFT($E1290,MIN(IFERROR(FIND("CDU",UPPER($E1290)),999),IFERROR(FIND("BULK",UPPER($E1290)),999),IFERROR(FIND("-",$E1290),999),IFERROR(FIND("（",$E1290),999))-1))=I$1,$F1290,""))</f>
        <v/>
      </c>
      <c r="J1290" s="418" t="str">
        <f t="shared" si="2236"/>
        <v/>
      </c>
      <c r="K1290" s="418" t="str">
        <f t="shared" si="2236"/>
        <v/>
      </c>
      <c r="L1290" s="418" t="str">
        <f t="shared" si="2236"/>
        <v/>
      </c>
      <c r="M1290" s="418" t="str">
        <f t="shared" si="2236"/>
        <v/>
      </c>
      <c r="N1290" s="418" t="str">
        <f t="shared" si="2236"/>
        <v/>
      </c>
      <c r="O1290" s="418" t="str">
        <f t="shared" si="2236"/>
        <v/>
      </c>
      <c r="P1290" s="418" t="str">
        <f t="shared" si="2236"/>
        <v/>
      </c>
      <c r="Q1290" s="418" t="str">
        <f t="shared" si="2236"/>
        <v/>
      </c>
      <c r="R1290" s="418" t="str">
        <f t="shared" si="2236"/>
        <v/>
      </c>
      <c r="S1290" s="418" t="str">
        <f t="shared" si="2236"/>
        <v/>
      </c>
      <c r="T1290" s="418" t="str">
        <f t="shared" si="2236"/>
        <v/>
      </c>
      <c r="U1290" s="418" t="str">
        <f t="shared" si="2236"/>
        <v/>
      </c>
      <c r="V1290" s="418" t="str">
        <f t="shared" si="2236"/>
        <v/>
      </c>
      <c r="W1290" s="418" t="str">
        <f t="shared" si="2236"/>
        <v/>
      </c>
      <c r="X1290" s="418" t="str">
        <f t="shared" si="2236"/>
        <v/>
      </c>
      <c r="Y1290" s="418" t="str">
        <f t="shared" si="2236"/>
        <v/>
      </c>
      <c r="Z1290" s="418" t="str">
        <f t="shared" si="2236"/>
        <v/>
      </c>
      <c r="AA1290" s="418" t="str">
        <f t="shared" si="2236"/>
        <v/>
      </c>
      <c r="AB1290" s="418" t="str">
        <f t="shared" si="2236"/>
        <v/>
      </c>
      <c r="AC1290" s="418" t="str">
        <f t="shared" si="2236"/>
        <v/>
      </c>
      <c r="AD1290" s="418" t="str">
        <f t="shared" si="2236"/>
        <v/>
      </c>
      <c r="AE1290" s="418" t="str">
        <f t="shared" si="2236"/>
        <v/>
      </c>
      <c r="AF1290" s="418" t="str">
        <f t="shared" si="2236"/>
        <v/>
      </c>
      <c r="AG1290" s="418" t="str">
        <f t="shared" si="2236"/>
        <v/>
      </c>
      <c r="AH1290" s="418" t="str">
        <f t="shared" si="2236"/>
        <v/>
      </c>
      <c r="AI1290" s="418" t="str">
        <f t="shared" si="2236"/>
        <v/>
      </c>
      <c r="AJ1290" s="418" t="str">
        <f t="shared" si="2236"/>
        <v/>
      </c>
      <c r="AK1290" s="418" t="str">
        <f t="shared" si="2236"/>
        <v/>
      </c>
      <c r="AL1290" s="418" t="str">
        <f t="shared" si="2236"/>
        <v/>
      </c>
      <c r="AM1290" s="418" t="str">
        <f t="shared" si="2236"/>
        <v/>
      </c>
      <c r="AN1290" s="418" t="str">
        <f t="shared" si="2236"/>
        <v/>
      </c>
      <c r="AO1290" s="418" t="str">
        <f t="shared" si="2236"/>
        <v/>
      </c>
      <c r="AP1290" s="418" t="str">
        <f t="shared" si="2236"/>
        <v/>
      </c>
      <c r="AQ1290" s="418" t="str">
        <f t="shared" si="2236"/>
        <v/>
      </c>
      <c r="AR1290" s="418" t="str">
        <f t="shared" si="2236"/>
        <v/>
      </c>
      <c r="AS1290" s="418" t="str">
        <f t="shared" si="2236"/>
        <v/>
      </c>
      <c r="AT1290" s="418" t="str">
        <f t="shared" si="2236"/>
        <v/>
      </c>
      <c r="AU1290" s="418" t="str">
        <f t="shared" si="2236"/>
        <v/>
      </c>
      <c r="AV1290" s="418" t="str">
        <f t="shared" si="2236"/>
        <v/>
      </c>
      <c r="AW1290" s="418" t="str">
        <f t="shared" si="2236"/>
        <v/>
      </c>
      <c r="AX1290" s="418" t="str">
        <f t="shared" si="2236"/>
        <v/>
      </c>
      <c r="AY1290" s="418" t="str">
        <f t="shared" si="2236"/>
        <v/>
      </c>
      <c r="AZ1290" s="418" t="str">
        <f t="shared" si="2236"/>
        <v/>
      </c>
      <c r="BA1290" s="418" t="str">
        <f t="shared" si="2236"/>
        <v/>
      </c>
      <c r="BB1290" s="418" t="str">
        <f t="shared" si="2236"/>
        <v/>
      </c>
      <c r="BC1290" s="418" t="str">
        <f t="shared" si="2236"/>
        <v/>
      </c>
      <c r="BD1290" s="418" t="str">
        <f t="shared" si="2236"/>
        <v/>
      </c>
      <c r="BE1290" s="418" t="str">
        <f t="shared" si="2236"/>
        <v/>
      </c>
      <c r="BF1290" s="418" t="str">
        <f t="shared" si="2236"/>
        <v/>
      </c>
      <c r="BG1290" s="418" t="str">
        <f t="shared" si="2236"/>
        <v/>
      </c>
      <c r="BH1290" s="418" t="str">
        <f t="shared" si="2236"/>
        <v/>
      </c>
      <c r="BI1290" s="418" t="str">
        <f t="shared" si="2236"/>
        <v/>
      </c>
      <c r="BJ1290" s="418" t="str">
        <f t="shared" si="2236"/>
        <v/>
      </c>
      <c r="BK1290" s="418" t="str">
        <f t="shared" si="2236"/>
        <v/>
      </c>
      <c r="BL1290" s="418" t="str">
        <f t="shared" si="2236"/>
        <v/>
      </c>
      <c r="BM1290" s="418" t="str">
        <f t="shared" si="2236"/>
        <v/>
      </c>
      <c r="BN1290" s="418" t="str">
        <f t="shared" si="2236"/>
        <v/>
      </c>
      <c r="BO1290" s="418" t="str">
        <f t="shared" si="2236"/>
        <v/>
      </c>
      <c r="BP1290" s="418" t="str">
        <f t="shared" si="2236"/>
        <v/>
      </c>
      <c r="BQ1290" s="418" t="str">
        <f t="shared" si="2236"/>
        <v/>
      </c>
      <c r="BR1290" s="418" t="str">
        <f t="shared" si="2236"/>
        <v/>
      </c>
      <c r="BS1290" s="418" t="str">
        <f t="shared" si="2236"/>
        <v/>
      </c>
      <c r="BT1290" s="418" t="str">
        <f t="shared" si="2236"/>
        <v/>
      </c>
      <c r="BU1290" s="418" t="str">
        <f t="shared" si="2217"/>
        <v/>
      </c>
      <c r="BV1290" s="544"/>
      <c r="BW1290" s="723">
        <f t="shared" si="2218"/>
        <v>0</v>
      </c>
      <c r="BX1290" s="724">
        <f t="shared" si="2219"/>
        <v>0</v>
      </c>
      <c r="BY1290" s="725" t="str">
        <f t="shared" si="2220"/>
        <v/>
      </c>
    </row>
    <row r="1291" s="701" customFormat="1" customHeight="1" spans="1:77">
      <c r="A1291" s="759"/>
      <c r="B1291" s="759"/>
      <c r="C1291" s="760"/>
      <c r="D1291" s="760"/>
      <c r="E1291" s="760" t="s">
        <v>1145</v>
      </c>
      <c r="F1291" s="761">
        <f>SUM(F3:F1290)</f>
        <v>10091593</v>
      </c>
      <c r="G1291" s="761">
        <f>SUM(I1291:BU1291)-F1291</f>
        <v>0</v>
      </c>
      <c r="H1291" s="761"/>
      <c r="I1291" s="761">
        <f>SUM(I3:I1290)</f>
        <v>1005000</v>
      </c>
      <c r="J1291" s="761">
        <f t="shared" ref="J1291:O1291" si="2237">SUM(J3:J1290)</f>
        <v>27000</v>
      </c>
      <c r="K1291" s="761">
        <f t="shared" si="2237"/>
        <v>127262</v>
      </c>
      <c r="L1291" s="761">
        <f t="shared" si="2237"/>
        <v>5600</v>
      </c>
      <c r="M1291" s="761">
        <f t="shared" si="2237"/>
        <v>223944</v>
      </c>
      <c r="N1291" s="761">
        <f t="shared" si="2237"/>
        <v>225840</v>
      </c>
      <c r="O1291" s="761">
        <f t="shared" si="2237"/>
        <v>11160</v>
      </c>
      <c r="P1291" s="761">
        <f t="shared" ref="P1291:BA1291" si="2238">SUM(P3:P1290)</f>
        <v>3600</v>
      </c>
      <c r="Q1291" s="761">
        <f t="shared" si="2238"/>
        <v>35520</v>
      </c>
      <c r="R1291" s="761">
        <f t="shared" si="2238"/>
        <v>73440</v>
      </c>
      <c r="S1291" s="761">
        <f t="shared" si="2238"/>
        <v>94090</v>
      </c>
      <c r="T1291" s="761">
        <f t="shared" si="2238"/>
        <v>28028</v>
      </c>
      <c r="U1291" s="761">
        <f t="shared" si="2238"/>
        <v>7590</v>
      </c>
      <c r="V1291" s="761">
        <f t="shared" si="2238"/>
        <v>16480</v>
      </c>
      <c r="W1291" s="761">
        <f t="shared" si="2238"/>
        <v>15348</v>
      </c>
      <c r="X1291" s="761">
        <f t="shared" si="2238"/>
        <v>23580</v>
      </c>
      <c r="Y1291" s="761">
        <f t="shared" si="2238"/>
        <v>18390</v>
      </c>
      <c r="Z1291" s="761">
        <f t="shared" si="2238"/>
        <v>50118</v>
      </c>
      <c r="AA1291" s="761">
        <f t="shared" si="2238"/>
        <v>27051</v>
      </c>
      <c r="AB1291" s="761">
        <f t="shared" si="2238"/>
        <v>5160</v>
      </c>
      <c r="AC1291" s="761">
        <f t="shared" si="2238"/>
        <v>569560</v>
      </c>
      <c r="AD1291" s="761">
        <f t="shared" si="2238"/>
        <v>1038936</v>
      </c>
      <c r="AE1291" s="761">
        <f t="shared" si="2238"/>
        <v>524208</v>
      </c>
      <c r="AF1291" s="761">
        <f t="shared" si="2238"/>
        <v>69846</v>
      </c>
      <c r="AG1291" s="761">
        <f t="shared" si="2238"/>
        <v>567771</v>
      </c>
      <c r="AH1291" s="761">
        <f t="shared" si="2238"/>
        <v>156795</v>
      </c>
      <c r="AI1291" s="761">
        <f t="shared" si="2238"/>
        <v>74250</v>
      </c>
      <c r="AJ1291" s="761">
        <f t="shared" si="2238"/>
        <v>17886</v>
      </c>
      <c r="AK1291" s="761">
        <f t="shared" si="2238"/>
        <v>20016</v>
      </c>
      <c r="AL1291" s="761">
        <f t="shared" si="2238"/>
        <v>71628</v>
      </c>
      <c r="AM1291" s="761">
        <f t="shared" si="2238"/>
        <v>37836</v>
      </c>
      <c r="AN1291" s="761">
        <f t="shared" si="2238"/>
        <v>1293108</v>
      </c>
      <c r="AO1291" s="761">
        <f t="shared" si="2238"/>
        <v>43416</v>
      </c>
      <c r="AP1291" s="761">
        <f t="shared" si="2238"/>
        <v>305170</v>
      </c>
      <c r="AQ1291" s="761">
        <f t="shared" si="2238"/>
        <v>35804</v>
      </c>
      <c r="AR1291" s="761">
        <f t="shared" si="2238"/>
        <v>75911</v>
      </c>
      <c r="AS1291" s="761">
        <f t="shared" si="2238"/>
        <v>6620</v>
      </c>
      <c r="AT1291" s="761">
        <f t="shared" si="2238"/>
        <v>510628</v>
      </c>
      <c r="AU1291" s="761">
        <f t="shared" si="2238"/>
        <v>153028</v>
      </c>
      <c r="AV1291" s="761">
        <f t="shared" si="2238"/>
        <v>6448</v>
      </c>
      <c r="AW1291" s="761">
        <f t="shared" si="2238"/>
        <v>114954</v>
      </c>
      <c r="AX1291" s="761">
        <f t="shared" si="2238"/>
        <v>97816</v>
      </c>
      <c r="AY1291" s="761">
        <f t="shared" si="2238"/>
        <v>465006</v>
      </c>
      <c r="AZ1291" s="761">
        <f t="shared" si="2238"/>
        <v>45139</v>
      </c>
      <c r="BA1291" s="761">
        <f t="shared" si="2238"/>
        <v>84996</v>
      </c>
      <c r="BB1291" s="761">
        <f t="shared" ref="BA1291:BU1291" si="2239">SUM(BB3:BB1290)</f>
        <v>26976</v>
      </c>
      <c r="BC1291" s="761">
        <f t="shared" si="2239"/>
        <v>193467</v>
      </c>
      <c r="BD1291" s="761">
        <f t="shared" si="2239"/>
        <v>7824</v>
      </c>
      <c r="BE1291" s="761">
        <f t="shared" si="2239"/>
        <v>92424</v>
      </c>
      <c r="BF1291" s="761">
        <f t="shared" si="2239"/>
        <v>116398</v>
      </c>
      <c r="BG1291" s="761">
        <f t="shared" si="2239"/>
        <v>687480</v>
      </c>
      <c r="BH1291" s="761">
        <f t="shared" si="2239"/>
        <v>37591</v>
      </c>
      <c r="BI1291" s="761">
        <f t="shared" si="2239"/>
        <v>0</v>
      </c>
      <c r="BJ1291" s="761">
        <f t="shared" si="2239"/>
        <v>0</v>
      </c>
      <c r="BK1291" s="761">
        <f t="shared" si="2239"/>
        <v>4020</v>
      </c>
      <c r="BL1291" s="761">
        <f t="shared" si="2239"/>
        <v>38016</v>
      </c>
      <c r="BM1291" s="761">
        <f t="shared" si="2239"/>
        <v>9600</v>
      </c>
      <c r="BN1291" s="761">
        <f t="shared" si="2239"/>
        <v>0</v>
      </c>
      <c r="BO1291" s="761">
        <f t="shared" si="2239"/>
        <v>23976</v>
      </c>
      <c r="BP1291" s="761">
        <f t="shared" si="2239"/>
        <v>307844</v>
      </c>
      <c r="BQ1291" s="761">
        <f t="shared" si="2239"/>
        <v>36000</v>
      </c>
      <c r="BR1291" s="761">
        <f t="shared" si="2239"/>
        <v>10050</v>
      </c>
      <c r="BS1291" s="761">
        <f t="shared" si="2239"/>
        <v>40104</v>
      </c>
      <c r="BT1291" s="761">
        <f t="shared" si="2239"/>
        <v>0</v>
      </c>
      <c r="BU1291" s="761">
        <f t="shared" si="2239"/>
        <v>48846</v>
      </c>
      <c r="BV1291" s="761"/>
      <c r="BW1291" s="761">
        <f>SUM(BW3:BW1290)</f>
        <v>10280418.6</v>
      </c>
      <c r="BX1291" s="762">
        <f>SUM(BX3:BX1290)</f>
        <v>79673244.36</v>
      </c>
      <c r="BY1291" s="725"/>
    </row>
    <row r="1292" customFormat="1" customHeight="1" spans="1:77">
      <c r="A1292" s="697"/>
      <c r="B1292" s="697"/>
      <c r="C1292" s="763"/>
      <c r="D1292" s="763"/>
      <c r="E1292" s="763"/>
      <c r="F1292" s="764">
        <f>F1291-一二代排期!J34-三代排期!J458-蛋糕系列!J54-已走货!J776</f>
        <v>0</v>
      </c>
      <c r="I1292" s="697"/>
      <c r="J1292" s="697"/>
      <c r="K1292" s="697"/>
      <c r="L1292" s="697"/>
      <c r="M1292" s="697"/>
      <c r="N1292" s="697"/>
      <c r="O1292" s="697"/>
      <c r="P1292" s="697"/>
      <c r="Q1292" s="697"/>
      <c r="R1292" s="697"/>
      <c r="S1292" s="697"/>
      <c r="T1292" s="697"/>
      <c r="U1292" s="697"/>
      <c r="V1292" s="697"/>
      <c r="W1292" s="697"/>
      <c r="X1292" s="697"/>
      <c r="Y1292" s="697"/>
      <c r="Z1292" s="697"/>
      <c r="AA1292" s="697"/>
      <c r="AB1292" s="697"/>
      <c r="AC1292" s="697"/>
      <c r="AD1292" s="697"/>
      <c r="AE1292" s="697"/>
      <c r="AF1292" s="697"/>
      <c r="AG1292" s="697"/>
      <c r="AH1292" s="697"/>
      <c r="AI1292" s="697"/>
      <c r="AJ1292" s="697"/>
      <c r="AK1292" s="697"/>
      <c r="AL1292" s="697"/>
      <c r="AM1292" s="697"/>
      <c r="AN1292" s="697"/>
      <c r="AO1292" s="697"/>
      <c r="AP1292" s="697"/>
      <c r="AQ1292" s="697"/>
      <c r="AR1292" s="697"/>
      <c r="AS1292" s="697"/>
      <c r="AT1292" s="697"/>
      <c r="AU1292" s="697"/>
      <c r="AV1292" s="697"/>
      <c r="AW1292" s="697"/>
      <c r="AX1292" s="697"/>
      <c r="AY1292" s="697"/>
      <c r="AZ1292" s="697"/>
      <c r="BA1292" s="697"/>
      <c r="BB1292" s="697"/>
      <c r="BC1292" s="697"/>
      <c r="BD1292" s="697"/>
      <c r="BE1292" s="697"/>
      <c r="BF1292" s="697"/>
      <c r="BG1292" s="697"/>
      <c r="BH1292" s="697"/>
      <c r="BI1292" s="697"/>
      <c r="BJ1292" s="697"/>
      <c r="BK1292" s="697"/>
      <c r="BL1292" s="697"/>
      <c r="BM1292" s="697"/>
      <c r="BN1292" s="697"/>
      <c r="BO1292" s="697"/>
      <c r="BP1292" s="697"/>
      <c r="BQ1292" s="697"/>
      <c r="BR1292" s="697"/>
      <c r="BS1292" s="697"/>
      <c r="BT1292" s="697"/>
      <c r="BU1292" s="697"/>
      <c r="BV1292" s="765"/>
      <c r="BW1292" s="766"/>
      <c r="BX1292" s="766"/>
      <c r="BY1292" s="697" t="str">
        <f>MID(E1292,1,2)</f>
        <v/>
      </c>
    </row>
    <row r="1293" customFormat="1" customHeight="1" spans="1:77">
      <c r="A1293" s="767"/>
      <c r="B1293" s="767"/>
      <c r="C1293" s="767"/>
      <c r="D1293" s="767"/>
      <c r="E1293" s="763"/>
      <c r="F1293" s="768"/>
      <c r="G1293" s="697"/>
      <c r="H1293" s="697"/>
      <c r="I1293" s="697"/>
      <c r="J1293" s="697"/>
      <c r="K1293" s="697"/>
      <c r="L1293" s="697"/>
      <c r="M1293" s="697"/>
      <c r="N1293" s="697"/>
      <c r="O1293" s="697"/>
      <c r="P1293" s="697"/>
      <c r="Q1293" s="697"/>
      <c r="R1293" s="697"/>
      <c r="S1293" s="697"/>
      <c r="T1293" s="697"/>
      <c r="U1293" s="697"/>
      <c r="V1293" s="697"/>
      <c r="W1293" s="697"/>
      <c r="X1293" s="697"/>
      <c r="Y1293" s="697"/>
      <c r="Z1293" s="697"/>
      <c r="AA1293" s="697"/>
      <c r="AB1293" s="697"/>
      <c r="AC1293" s="697"/>
      <c r="AD1293" s="697"/>
      <c r="AE1293" s="697"/>
      <c r="AF1293" s="697"/>
      <c r="AG1293" s="697"/>
      <c r="AH1293" s="697"/>
      <c r="AI1293" s="697"/>
      <c r="AJ1293" s="697"/>
      <c r="AK1293" s="697"/>
      <c r="AL1293" s="697"/>
      <c r="AM1293" s="697"/>
      <c r="AN1293" s="697"/>
      <c r="AO1293" s="697"/>
      <c r="AP1293" s="697"/>
      <c r="AQ1293" s="697"/>
      <c r="AR1293" s="697"/>
      <c r="AS1293" s="697"/>
      <c r="AT1293" s="697"/>
      <c r="AU1293" s="697"/>
      <c r="AV1293" s="697"/>
      <c r="AW1293" s="697"/>
      <c r="AX1293" s="697"/>
      <c r="AY1293" s="697"/>
      <c r="AZ1293" s="697"/>
      <c r="BA1293" s="697"/>
      <c r="BB1293" s="697"/>
      <c r="BC1293" s="697"/>
      <c r="BD1293" s="697"/>
      <c r="BE1293" s="697"/>
      <c r="BF1293" s="697"/>
      <c r="BG1293" s="697"/>
      <c r="BH1293" s="697"/>
      <c r="BI1293" s="697"/>
      <c r="BJ1293" s="697"/>
      <c r="BK1293" s="697"/>
      <c r="BL1293" s="697"/>
      <c r="BM1293" s="697"/>
      <c r="BN1293" s="697"/>
      <c r="BO1293" s="697"/>
      <c r="BP1293" s="697"/>
      <c r="BQ1293" s="697"/>
      <c r="BR1293" s="697"/>
      <c r="BS1293" s="697"/>
      <c r="BT1293" s="697"/>
      <c r="BU1293" s="697"/>
      <c r="BV1293" s="697"/>
      <c r="BW1293" s="766"/>
      <c r="BX1293" s="766"/>
    </row>
    <row r="1294" customFormat="1" customHeight="1" spans="1:77">
      <c r="A1294" s="767"/>
      <c r="B1294" s="767"/>
      <c r="C1294" s="767"/>
      <c r="D1294" s="767"/>
      <c r="E1294" s="763"/>
      <c r="F1294" s="768"/>
      <c r="G1294" s="697"/>
      <c r="H1294" s="697"/>
      <c r="I1294" s="697"/>
      <c r="J1294" s="697"/>
      <c r="K1294" s="697"/>
      <c r="L1294" s="697"/>
      <c r="M1294" s="697"/>
      <c r="N1294" s="697"/>
      <c r="O1294" s="697"/>
      <c r="P1294" s="697"/>
      <c r="Q1294" s="697"/>
      <c r="R1294" s="697"/>
      <c r="S1294" s="697"/>
      <c r="T1294" s="697"/>
      <c r="U1294" s="697"/>
      <c r="V1294" s="697"/>
      <c r="W1294" s="697"/>
      <c r="X1294" s="697"/>
      <c r="Y1294" s="697"/>
      <c r="Z1294" s="697"/>
      <c r="AA1294" s="697"/>
      <c r="AB1294" s="697"/>
      <c r="AC1294" s="697"/>
      <c r="AD1294" s="697"/>
      <c r="AE1294" s="697"/>
      <c r="AF1294" s="697"/>
      <c r="AG1294" s="697"/>
      <c r="AH1294" s="697"/>
      <c r="AI1294" s="697"/>
      <c r="AJ1294" s="697"/>
      <c r="AK1294" s="697"/>
      <c r="AL1294" s="697"/>
      <c r="AM1294" s="697"/>
      <c r="AN1294" s="697"/>
      <c r="AO1294" s="697"/>
      <c r="AP1294" s="697"/>
      <c r="AQ1294" s="697"/>
      <c r="AR1294" s="697"/>
      <c r="AS1294" s="697"/>
      <c r="AT1294" s="697"/>
      <c r="AU1294" s="697"/>
      <c r="AV1294" s="697"/>
      <c r="AW1294" s="697"/>
      <c r="AX1294" s="697"/>
      <c r="AY1294" s="697"/>
      <c r="AZ1294" s="697"/>
      <c r="BA1294" s="697"/>
      <c r="BB1294" s="697"/>
      <c r="BC1294" s="697"/>
      <c r="BD1294" s="697"/>
      <c r="BE1294" s="697"/>
      <c r="BF1294" s="697"/>
      <c r="BG1294" s="697"/>
      <c r="BH1294" s="697"/>
      <c r="BI1294" s="697"/>
      <c r="BJ1294" s="697"/>
      <c r="BK1294" s="697"/>
      <c r="BL1294" s="697"/>
      <c r="BM1294" s="697"/>
      <c r="BN1294" s="697"/>
      <c r="BO1294" s="697"/>
      <c r="BP1294" s="697"/>
      <c r="BQ1294" s="697"/>
      <c r="BR1294" s="697"/>
      <c r="BS1294" s="697"/>
      <c r="BT1294" s="697"/>
      <c r="BU1294" s="697"/>
      <c r="BV1294" s="697"/>
      <c r="BW1294" s="766"/>
      <c r="BX1294" s="766"/>
    </row>
    <row r="1295" customFormat="1" customHeight="1" spans="1:77">
      <c r="A1295" s="769" t="s">
        <v>1146</v>
      </c>
      <c r="B1295" s="770">
        <v>7824960.49</v>
      </c>
      <c r="C1295" s="771"/>
      <c r="D1295" s="767" t="s">
        <v>1147</v>
      </c>
      <c r="E1295" s="763"/>
      <c r="F1295" s="768"/>
      <c r="G1295" s="697"/>
      <c r="H1295" s="697"/>
      <c r="I1295" s="697"/>
      <c r="J1295" s="697"/>
      <c r="K1295" s="697"/>
      <c r="L1295" s="697"/>
      <c r="M1295" s="697"/>
      <c r="N1295" s="697"/>
      <c r="O1295" s="697"/>
      <c r="P1295" s="697"/>
      <c r="Q1295" s="697"/>
      <c r="R1295" s="697"/>
      <c r="S1295" s="697"/>
      <c r="T1295" s="697"/>
      <c r="U1295" s="697"/>
      <c r="V1295" s="697"/>
      <c r="W1295" s="697"/>
      <c r="X1295" s="697"/>
      <c r="Y1295" s="697"/>
      <c r="Z1295" s="697"/>
      <c r="AA1295" s="697"/>
      <c r="AB1295" s="697"/>
      <c r="AC1295" s="697"/>
      <c r="AD1295" s="697"/>
      <c r="AE1295" s="697"/>
      <c r="AF1295" s="697"/>
      <c r="AG1295" s="697"/>
      <c r="AH1295" s="697"/>
      <c r="AI1295" s="697"/>
      <c r="AJ1295" s="697"/>
      <c r="AK1295" s="697"/>
      <c r="AL1295" s="697"/>
      <c r="AM1295" s="697"/>
      <c r="AN1295" s="697"/>
      <c r="AO1295" s="697"/>
      <c r="AP1295" s="697"/>
      <c r="AQ1295" s="697"/>
      <c r="AR1295" s="697"/>
      <c r="AS1295" s="697"/>
      <c r="AT1295" s="697"/>
      <c r="AU1295" s="697"/>
      <c r="AV1295" s="697"/>
      <c r="AW1295" s="697"/>
      <c r="AX1295" s="697"/>
      <c r="AY1295" s="697"/>
      <c r="AZ1295" s="697"/>
      <c r="BA1295" s="697"/>
      <c r="BB1295" s="697"/>
      <c r="BC1295" s="697"/>
      <c r="BD1295" s="697"/>
      <c r="BE1295" s="697"/>
      <c r="BF1295" s="697"/>
      <c r="BG1295" s="697"/>
      <c r="BH1295" s="697"/>
      <c r="BI1295" s="697"/>
      <c r="BJ1295" s="697"/>
      <c r="BK1295" s="697"/>
      <c r="BL1295" s="697"/>
      <c r="BM1295" s="697"/>
      <c r="BN1295" s="697"/>
      <c r="BO1295" s="697"/>
      <c r="BP1295" s="697"/>
      <c r="BQ1295" s="697"/>
      <c r="BR1295" s="697"/>
      <c r="BS1295" s="697"/>
      <c r="BT1295" s="697"/>
      <c r="BU1295" s="697"/>
      <c r="BV1295" s="765"/>
      <c r="BW1295" s="766"/>
      <c r="BX1295" s="766"/>
    </row>
    <row r="1296" customFormat="1" customHeight="1" spans="1:77">
      <c r="A1296" s="772" t="s">
        <v>1148</v>
      </c>
      <c r="B1296" s="767">
        <f>BX1291</f>
        <v>79673244.36</v>
      </c>
      <c r="C1296" s="772" t="s">
        <v>1148</v>
      </c>
      <c r="D1296" s="767">
        <f>D1297+D1298</f>
        <v>34402329.01</v>
      </c>
      <c r="E1296" s="763"/>
      <c r="F1296" s="768"/>
      <c r="G1296" s="697"/>
      <c r="H1296" s="697"/>
      <c r="I1296" s="697"/>
      <c r="J1296" s="697"/>
      <c r="K1296" s="697"/>
      <c r="L1296" s="697"/>
      <c r="M1296" s="697"/>
      <c r="N1296" s="697"/>
      <c r="O1296" s="697"/>
      <c r="P1296" s="697"/>
      <c r="Q1296" s="697"/>
      <c r="R1296" s="697"/>
      <c r="S1296" s="697"/>
      <c r="T1296" s="697"/>
      <c r="U1296" s="697"/>
      <c r="V1296" s="697"/>
      <c r="W1296" s="697"/>
      <c r="X1296" s="697"/>
      <c r="Y1296" s="697"/>
      <c r="Z1296" s="697"/>
      <c r="AA1296" s="697"/>
      <c r="AB1296" s="697"/>
      <c r="AC1296" s="697"/>
      <c r="AD1296" s="697"/>
      <c r="AE1296" s="697"/>
      <c r="AF1296" s="697"/>
      <c r="AG1296" s="697"/>
      <c r="AH1296" s="697"/>
      <c r="AI1296" s="697"/>
      <c r="AJ1296" s="697"/>
      <c r="AK1296" s="697"/>
      <c r="AL1296" s="697"/>
      <c r="AM1296" s="697"/>
      <c r="AN1296" s="697"/>
      <c r="AO1296" s="697"/>
      <c r="AP1296" s="697"/>
      <c r="AQ1296" s="697"/>
      <c r="AR1296" s="697"/>
      <c r="AS1296" s="697"/>
      <c r="AT1296" s="697"/>
      <c r="AU1296" s="697"/>
      <c r="AV1296" s="697"/>
      <c r="AW1296" s="697"/>
      <c r="AX1296" s="697"/>
      <c r="AY1296" s="697"/>
      <c r="AZ1296" s="697"/>
      <c r="BA1296" s="697"/>
      <c r="BB1296" s="697"/>
      <c r="BC1296" s="697"/>
      <c r="BD1296" s="697"/>
      <c r="BE1296" s="697"/>
      <c r="BF1296" s="697"/>
      <c r="BG1296" s="697"/>
      <c r="BH1296" s="697"/>
      <c r="BI1296" s="697"/>
      <c r="BJ1296" s="697"/>
      <c r="BK1296" s="697"/>
      <c r="BL1296" s="697"/>
      <c r="BM1296" s="697"/>
      <c r="BN1296" s="697"/>
      <c r="BO1296" s="697"/>
      <c r="BP1296" s="697"/>
      <c r="BQ1296" s="697"/>
      <c r="BR1296" s="697"/>
      <c r="BS1296" s="697"/>
      <c r="BT1296" s="697"/>
      <c r="BU1296" s="697"/>
      <c r="BV1296" s="765"/>
      <c r="BW1296" s="766"/>
      <c r="BX1296" s="766"/>
    </row>
    <row r="1297" s="702" customFormat="1" customHeight="1" spans="1:76">
      <c r="A1297" s="773" t="s">
        <v>1149</v>
      </c>
      <c r="B1297" s="767">
        <f>一二代排期!AQ34</f>
        <v>1606577.79</v>
      </c>
      <c r="C1297" s="773" t="s">
        <v>1150</v>
      </c>
      <c r="D1297" s="767">
        <f>SUMIF(一二代排期!E:E,D1295,一二代排期!AQ:AQ)+SUMIF(三代排期!E:E,D1295,三代排期!AQ:AQ)</f>
        <v>17124324.91</v>
      </c>
      <c r="E1297" s="774"/>
      <c r="F1297" s="775"/>
      <c r="G1297" s="776"/>
      <c r="H1297" s="776"/>
      <c r="I1297" s="776"/>
      <c r="J1297" s="776"/>
      <c r="K1297" s="776"/>
      <c r="L1297" s="776"/>
      <c r="M1297" s="776"/>
      <c r="N1297" s="776"/>
      <c r="O1297" s="776"/>
      <c r="P1297" s="776"/>
      <c r="Q1297" s="776"/>
      <c r="R1297" s="776"/>
      <c r="S1297" s="776"/>
      <c r="T1297" s="776"/>
      <c r="U1297" s="776"/>
      <c r="V1297" s="776"/>
      <c r="W1297" s="776"/>
      <c r="X1297" s="776"/>
      <c r="Y1297" s="776"/>
      <c r="Z1297" s="776"/>
      <c r="AA1297" s="776"/>
      <c r="AB1297" s="776"/>
      <c r="AC1297" s="776"/>
      <c r="AD1297" s="776"/>
      <c r="AE1297" s="776"/>
      <c r="AF1297" s="776"/>
      <c r="AG1297" s="776"/>
      <c r="AH1297" s="776"/>
      <c r="AI1297" s="776"/>
      <c r="AJ1297" s="776"/>
      <c r="AK1297" s="776"/>
      <c r="AL1297" s="776"/>
      <c r="AM1297" s="776"/>
      <c r="AN1297" s="776"/>
      <c r="AO1297" s="776"/>
      <c r="AP1297" s="776"/>
      <c r="AQ1297" s="776"/>
      <c r="AR1297" s="776"/>
      <c r="AS1297" s="776"/>
      <c r="AT1297" s="776"/>
      <c r="AU1297" s="776"/>
      <c r="AV1297" s="776"/>
      <c r="AW1297" s="776"/>
      <c r="AX1297" s="776"/>
      <c r="AY1297" s="776"/>
      <c r="AZ1297" s="776"/>
      <c r="BA1297" s="776"/>
      <c r="BB1297" s="776"/>
      <c r="BC1297" s="776"/>
      <c r="BD1297" s="776"/>
      <c r="BE1297" s="776"/>
      <c r="BF1297" s="776"/>
      <c r="BG1297" s="776"/>
      <c r="BH1297" s="776"/>
      <c r="BI1297" s="776"/>
      <c r="BJ1297" s="776"/>
      <c r="BK1297" s="776"/>
      <c r="BL1297" s="776"/>
      <c r="BM1297" s="776"/>
      <c r="BN1297" s="776"/>
      <c r="BO1297" s="776"/>
      <c r="BP1297" s="776"/>
      <c r="BQ1297" s="776"/>
      <c r="BR1297" s="776"/>
      <c r="BS1297" s="776"/>
      <c r="BT1297" s="776"/>
      <c r="BU1297" s="776"/>
      <c r="BV1297" s="777"/>
      <c r="BW1297" s="778"/>
      <c r="BX1297" s="778"/>
    </row>
    <row r="1298" s="702" customFormat="1" customHeight="1" spans="1:76">
      <c r="A1298" s="773" t="s">
        <v>1151</v>
      </c>
      <c r="B1298" s="767">
        <f>三代排期!AQ458</f>
        <v>27754589.12</v>
      </c>
      <c r="C1298" s="773" t="s">
        <v>1152</v>
      </c>
      <c r="D1298" s="767">
        <f>SUMIF(已走货!E:E,D1295,已走货!AQ:AQ)</f>
        <v>17278004.1</v>
      </c>
      <c r="E1298" s="774"/>
      <c r="F1298" s="775"/>
      <c r="G1298" s="776"/>
      <c r="H1298" s="776"/>
      <c r="I1298" s="776"/>
      <c r="J1298" s="776"/>
      <c r="K1298" s="776"/>
      <c r="L1298" s="776"/>
      <c r="M1298" s="776"/>
      <c r="N1298" s="776"/>
      <c r="O1298" s="776"/>
      <c r="P1298" s="776"/>
      <c r="Q1298" s="776"/>
      <c r="R1298" s="776"/>
      <c r="S1298" s="776"/>
      <c r="T1298" s="776"/>
      <c r="U1298" s="776"/>
      <c r="V1298" s="776"/>
      <c r="W1298" s="776"/>
      <c r="X1298" s="776"/>
      <c r="Y1298" s="776"/>
      <c r="Z1298" s="776"/>
      <c r="AA1298" s="776"/>
      <c r="AB1298" s="776"/>
      <c r="AC1298" s="776"/>
      <c r="AD1298" s="776"/>
      <c r="AE1298" s="776"/>
      <c r="AF1298" s="776"/>
      <c r="AG1298" s="776"/>
      <c r="AH1298" s="776"/>
      <c r="AI1298" s="776"/>
      <c r="AJ1298" s="776"/>
      <c r="AK1298" s="776"/>
      <c r="AL1298" s="776"/>
      <c r="AM1298" s="776"/>
      <c r="AN1298" s="776"/>
      <c r="AO1298" s="776"/>
      <c r="AP1298" s="776"/>
      <c r="AQ1298" s="776"/>
      <c r="AR1298" s="776"/>
      <c r="AS1298" s="776"/>
      <c r="AT1298" s="776"/>
      <c r="AU1298" s="776"/>
      <c r="AV1298" s="776"/>
      <c r="AW1298" s="776"/>
      <c r="AX1298" s="776"/>
      <c r="AY1298" s="776"/>
      <c r="AZ1298" s="776"/>
      <c r="BA1298" s="776"/>
      <c r="BB1298" s="776"/>
      <c r="BC1298" s="776"/>
      <c r="BD1298" s="776"/>
      <c r="BE1298" s="776"/>
      <c r="BF1298" s="776"/>
      <c r="BG1298" s="776"/>
      <c r="BH1298" s="776"/>
      <c r="BI1298" s="776"/>
      <c r="BJ1298" s="776"/>
      <c r="BK1298" s="776"/>
      <c r="BL1298" s="776"/>
      <c r="BM1298" s="776"/>
      <c r="BN1298" s="776"/>
      <c r="BO1298" s="776"/>
      <c r="BP1298" s="776"/>
      <c r="BQ1298" s="776"/>
      <c r="BR1298" s="776"/>
      <c r="BS1298" s="776"/>
      <c r="BT1298" s="776"/>
      <c r="BU1298" s="776"/>
      <c r="BV1298" s="777"/>
      <c r="BW1298" s="778"/>
      <c r="BX1298" s="778"/>
    </row>
    <row r="1299" s="702" customFormat="1" customHeight="1" spans="1:76">
      <c r="A1299" s="773" t="s">
        <v>1153</v>
      </c>
      <c r="B1299" s="767">
        <f>蛋糕系列!AQ54</f>
        <v>3888901.05</v>
      </c>
      <c r="C1299" s="773"/>
      <c r="D1299" s="767"/>
      <c r="E1299" s="774"/>
      <c r="F1299" s="775"/>
      <c r="G1299" s="776"/>
      <c r="H1299" s="776"/>
      <c r="I1299" s="776"/>
      <c r="J1299" s="776"/>
      <c r="K1299" s="776"/>
      <c r="L1299" s="776"/>
      <c r="M1299" s="776"/>
      <c r="N1299" s="776"/>
      <c r="O1299" s="776"/>
      <c r="P1299" s="776"/>
      <c r="Q1299" s="776"/>
      <c r="R1299" s="776"/>
      <c r="S1299" s="776"/>
      <c r="T1299" s="776"/>
      <c r="U1299" s="776"/>
      <c r="V1299" s="776"/>
      <c r="W1299" s="776"/>
      <c r="X1299" s="776"/>
      <c r="Y1299" s="776"/>
      <c r="Z1299" s="776"/>
      <c r="AA1299" s="776"/>
      <c r="AB1299" s="776"/>
      <c r="AC1299" s="776"/>
      <c r="AD1299" s="776"/>
      <c r="AE1299" s="776"/>
      <c r="AF1299" s="776"/>
      <c r="AG1299" s="776"/>
      <c r="AH1299" s="776"/>
      <c r="AI1299" s="776"/>
      <c r="AJ1299" s="776"/>
      <c r="AK1299" s="776"/>
      <c r="AL1299" s="776"/>
      <c r="AM1299" s="776"/>
      <c r="AN1299" s="776"/>
      <c r="AO1299" s="776"/>
      <c r="AP1299" s="776"/>
      <c r="AQ1299" s="776"/>
      <c r="AR1299" s="776"/>
      <c r="AS1299" s="776"/>
      <c r="AT1299" s="776"/>
      <c r="AU1299" s="776"/>
      <c r="AV1299" s="776"/>
      <c r="AW1299" s="776"/>
      <c r="AX1299" s="776"/>
      <c r="AY1299" s="776"/>
      <c r="AZ1299" s="776"/>
      <c r="BA1299" s="776"/>
      <c r="BB1299" s="776"/>
      <c r="BC1299" s="776"/>
      <c r="BD1299" s="776"/>
      <c r="BE1299" s="776"/>
      <c r="BF1299" s="776"/>
      <c r="BG1299" s="776"/>
      <c r="BH1299" s="776"/>
      <c r="BI1299" s="776"/>
      <c r="BJ1299" s="776"/>
      <c r="BK1299" s="776"/>
      <c r="BL1299" s="776"/>
      <c r="BM1299" s="776"/>
      <c r="BN1299" s="776"/>
      <c r="BO1299" s="776"/>
      <c r="BP1299" s="776"/>
      <c r="BQ1299" s="776"/>
      <c r="BR1299" s="776"/>
      <c r="BS1299" s="776"/>
      <c r="BT1299" s="776"/>
      <c r="BU1299" s="776"/>
      <c r="BV1299" s="777"/>
      <c r="BW1299" s="778"/>
      <c r="BX1299" s="778"/>
    </row>
    <row r="1300" s="702" customFormat="1" customHeight="1" spans="1:76">
      <c r="A1300" s="773" t="s">
        <v>1154</v>
      </c>
      <c r="B1300" s="767">
        <f>已走货!AQ776</f>
        <v>46423176.4</v>
      </c>
      <c r="C1300" s="767"/>
      <c r="D1300" s="767"/>
      <c r="E1300" s="774"/>
      <c r="F1300" s="775"/>
      <c r="G1300" s="776"/>
      <c r="H1300" s="776"/>
      <c r="I1300" s="776"/>
      <c r="J1300" s="776"/>
      <c r="K1300" s="776"/>
      <c r="L1300" s="776"/>
      <c r="M1300" s="776"/>
      <c r="N1300" s="776"/>
      <c r="O1300" s="776"/>
      <c r="P1300" s="776"/>
      <c r="Q1300" s="776"/>
      <c r="R1300" s="776"/>
      <c r="S1300" s="776"/>
      <c r="T1300" s="776"/>
      <c r="U1300" s="776"/>
      <c r="V1300" s="776"/>
      <c r="W1300" s="776"/>
      <c r="X1300" s="776"/>
      <c r="Y1300" s="776"/>
      <c r="Z1300" s="776"/>
      <c r="AA1300" s="776"/>
      <c r="AB1300" s="776"/>
      <c r="AC1300" s="776"/>
      <c r="AD1300" s="776"/>
      <c r="AE1300" s="776"/>
      <c r="AF1300" s="776"/>
      <c r="AG1300" s="776"/>
      <c r="AH1300" s="776"/>
      <c r="AI1300" s="776"/>
      <c r="AJ1300" s="776"/>
      <c r="AK1300" s="776"/>
      <c r="AL1300" s="776"/>
      <c r="AM1300" s="776"/>
      <c r="AN1300" s="776"/>
      <c r="AO1300" s="776"/>
      <c r="AP1300" s="776"/>
      <c r="AQ1300" s="776"/>
      <c r="AR1300" s="776"/>
      <c r="AS1300" s="776"/>
      <c r="AT1300" s="776"/>
      <c r="AU1300" s="776"/>
      <c r="AV1300" s="776"/>
      <c r="AW1300" s="776"/>
      <c r="AX1300" s="776"/>
      <c r="AY1300" s="776"/>
      <c r="AZ1300" s="776"/>
      <c r="BA1300" s="776"/>
      <c r="BB1300" s="776"/>
      <c r="BC1300" s="776"/>
      <c r="BD1300" s="776"/>
      <c r="BE1300" s="776"/>
      <c r="BF1300" s="776"/>
      <c r="BG1300" s="776"/>
      <c r="BH1300" s="776"/>
      <c r="BI1300" s="776"/>
      <c r="BJ1300" s="776"/>
      <c r="BK1300" s="776"/>
      <c r="BL1300" s="776"/>
      <c r="BM1300" s="776"/>
      <c r="BN1300" s="776"/>
      <c r="BO1300" s="776"/>
      <c r="BP1300" s="776"/>
      <c r="BQ1300" s="776"/>
      <c r="BR1300" s="776"/>
      <c r="BS1300" s="776"/>
      <c r="BT1300" s="776"/>
      <c r="BU1300" s="776"/>
      <c r="BV1300" s="777"/>
      <c r="BW1300" s="778"/>
      <c r="BX1300" s="778"/>
    </row>
    <row r="1301" s="703" customFormat="1" customHeight="1" spans="1:76">
      <c r="A1301" s="772"/>
      <c r="B1301" s="767">
        <f>B1296-B1297-B1298-B1299-B1300</f>
        <v>0</v>
      </c>
      <c r="C1301" s="763"/>
      <c r="D1301" s="763"/>
      <c r="E1301" s="763"/>
      <c r="F1301" s="779"/>
      <c r="G1301" s="697"/>
      <c r="H1301" s="697"/>
      <c r="I1301" s="697"/>
      <c r="J1301" s="697"/>
      <c r="K1301" s="697"/>
      <c r="L1301" s="697"/>
      <c r="M1301" s="697"/>
      <c r="N1301" s="697"/>
      <c r="O1301" s="697"/>
      <c r="P1301" s="697"/>
      <c r="Q1301" s="697"/>
      <c r="R1301" s="697"/>
      <c r="S1301" s="697"/>
      <c r="T1301" s="697"/>
      <c r="U1301" s="697"/>
      <c r="V1301" s="697"/>
      <c r="W1301" s="697"/>
      <c r="X1301" s="697"/>
      <c r="Y1301" s="697"/>
      <c r="Z1301" s="697"/>
      <c r="AA1301" s="697"/>
      <c r="AB1301" s="697"/>
      <c r="AC1301" s="697"/>
      <c r="AD1301" s="697"/>
      <c r="AE1301" s="697"/>
      <c r="AF1301" s="697"/>
      <c r="AG1301" s="697"/>
      <c r="AH1301" s="697"/>
      <c r="AI1301" s="697"/>
      <c r="AJ1301" s="697"/>
      <c r="AK1301" s="697"/>
      <c r="AL1301" s="697"/>
      <c r="AM1301" s="697"/>
      <c r="AN1301" s="697"/>
      <c r="AO1301" s="697"/>
      <c r="AP1301" s="697"/>
      <c r="AQ1301" s="697"/>
      <c r="AR1301" s="697"/>
      <c r="AS1301" s="697"/>
      <c r="AT1301" s="697"/>
      <c r="AU1301" s="697"/>
      <c r="AV1301" s="697"/>
      <c r="AW1301" s="697"/>
      <c r="AX1301" s="697"/>
      <c r="AY1301" s="697"/>
      <c r="AZ1301" s="697"/>
      <c r="BA1301" s="697"/>
      <c r="BB1301" s="697"/>
      <c r="BC1301" s="697"/>
      <c r="BD1301" s="697"/>
      <c r="BE1301" s="697"/>
      <c r="BF1301" s="697"/>
      <c r="BG1301" s="697"/>
      <c r="BH1301" s="697"/>
      <c r="BI1301" s="697"/>
      <c r="BJ1301" s="697"/>
      <c r="BK1301" s="697"/>
      <c r="BL1301" s="697"/>
      <c r="BM1301" s="697"/>
      <c r="BN1301" s="697"/>
      <c r="BO1301" s="697"/>
      <c r="BP1301" s="697"/>
      <c r="BQ1301" s="697"/>
      <c r="BR1301" s="697"/>
      <c r="BS1301" s="697"/>
      <c r="BT1301" s="697"/>
      <c r="BU1301" s="697"/>
      <c r="BV1301" s="707"/>
      <c r="BW1301" s="766"/>
      <c r="BX1301" s="766"/>
    </row>
    <row r="1302" s="703" customFormat="1" customHeight="1" spans="1:76">
      <c r="A1302" s="780"/>
      <c r="B1302" s="781"/>
      <c r="C1302" s="763"/>
      <c r="D1302" s="763"/>
      <c r="E1302" s="763"/>
      <c r="F1302" s="779"/>
      <c r="G1302" s="697"/>
      <c r="H1302" s="697"/>
      <c r="I1302" s="697"/>
      <c r="J1302" s="697"/>
      <c r="K1302" s="697"/>
      <c r="L1302" s="697"/>
      <c r="M1302" s="697"/>
      <c r="N1302" s="697"/>
      <c r="O1302" s="697"/>
      <c r="P1302" s="697"/>
      <c r="Q1302" s="697"/>
      <c r="R1302" s="697"/>
      <c r="S1302" s="697"/>
      <c r="T1302" s="697"/>
      <c r="U1302" s="697"/>
      <c r="V1302" s="697"/>
      <c r="W1302" s="697"/>
      <c r="X1302" s="697"/>
      <c r="Y1302" s="697"/>
      <c r="Z1302" s="697"/>
      <c r="AA1302" s="697"/>
      <c r="AB1302" s="697"/>
      <c r="AC1302" s="697"/>
      <c r="AD1302" s="697"/>
      <c r="AE1302" s="697"/>
      <c r="AF1302" s="697"/>
      <c r="AG1302" s="697"/>
      <c r="AH1302" s="697"/>
      <c r="AI1302" s="697"/>
      <c r="AJ1302" s="697"/>
      <c r="AK1302" s="697"/>
      <c r="AL1302" s="697"/>
      <c r="AM1302" s="697"/>
      <c r="AN1302" s="697"/>
      <c r="AO1302" s="697"/>
      <c r="AP1302" s="697"/>
      <c r="AQ1302" s="697"/>
      <c r="AR1302" s="697"/>
      <c r="AS1302" s="697"/>
      <c r="AT1302" s="697"/>
      <c r="AU1302" s="697"/>
      <c r="AV1302" s="697"/>
      <c r="AW1302" s="697"/>
      <c r="AX1302" s="697"/>
      <c r="AY1302" s="697"/>
      <c r="AZ1302" s="697"/>
      <c r="BA1302" s="697"/>
      <c r="BB1302" s="697"/>
      <c r="BC1302" s="697"/>
      <c r="BD1302" s="697"/>
      <c r="BE1302" s="697"/>
      <c r="BF1302" s="697"/>
      <c r="BG1302" s="697"/>
      <c r="BH1302" s="697"/>
      <c r="BI1302" s="697"/>
      <c r="BJ1302" s="697"/>
      <c r="BK1302" s="697"/>
      <c r="BL1302" s="697"/>
      <c r="BM1302" s="697"/>
      <c r="BN1302" s="697"/>
      <c r="BO1302" s="697"/>
      <c r="BP1302" s="697"/>
      <c r="BQ1302" s="697"/>
      <c r="BR1302" s="697"/>
      <c r="BS1302" s="697"/>
      <c r="BT1302" s="697"/>
      <c r="BU1302" s="697"/>
      <c r="BV1302" s="707"/>
      <c r="BW1302" s="766"/>
      <c r="BX1302" s="766"/>
    </row>
    <row r="1303" s="703" customFormat="1" customHeight="1" spans="1:76">
      <c r="A1303" s="782" t="s">
        <v>1155</v>
      </c>
      <c r="B1303" s="783"/>
      <c r="C1303" s="763"/>
      <c r="D1303" s="763"/>
      <c r="E1303" s="763"/>
      <c r="F1303" s="779"/>
      <c r="G1303" s="697"/>
      <c r="H1303" s="697"/>
      <c r="I1303" s="697"/>
      <c r="J1303" s="697"/>
      <c r="K1303" s="697"/>
      <c r="L1303" s="697"/>
      <c r="M1303" s="697"/>
      <c r="N1303" s="697"/>
      <c r="O1303" s="697"/>
      <c r="P1303" s="697"/>
      <c r="Q1303" s="697"/>
      <c r="R1303" s="697"/>
      <c r="S1303" s="697"/>
      <c r="T1303" s="697"/>
      <c r="U1303" s="697"/>
      <c r="V1303" s="697"/>
      <c r="W1303" s="697"/>
      <c r="X1303" s="697"/>
      <c r="Y1303" s="697"/>
      <c r="Z1303" s="697"/>
      <c r="AA1303" s="697"/>
      <c r="AB1303" s="697"/>
      <c r="AC1303" s="697"/>
      <c r="AD1303" s="697"/>
      <c r="AE1303" s="697"/>
      <c r="AF1303" s="697"/>
      <c r="AG1303" s="697"/>
      <c r="AH1303" s="697"/>
      <c r="AI1303" s="697"/>
      <c r="AJ1303" s="697"/>
      <c r="AK1303" s="697"/>
      <c r="AL1303" s="697"/>
      <c r="AM1303" s="697"/>
      <c r="AN1303" s="697"/>
      <c r="AO1303" s="697"/>
      <c r="AP1303" s="697"/>
      <c r="AQ1303" s="697"/>
      <c r="AR1303" s="697"/>
      <c r="AS1303" s="697"/>
      <c r="AT1303" s="697"/>
      <c r="AU1303" s="697"/>
      <c r="AV1303" s="697"/>
      <c r="AW1303" s="697"/>
      <c r="AX1303" s="697"/>
      <c r="AY1303" s="697"/>
      <c r="AZ1303" s="697"/>
      <c r="BA1303" s="697"/>
      <c r="BB1303" s="697"/>
      <c r="BC1303" s="697"/>
      <c r="BD1303" s="697"/>
      <c r="BE1303" s="697"/>
      <c r="BF1303" s="697"/>
      <c r="BG1303" s="697"/>
      <c r="BH1303" s="697"/>
      <c r="BI1303" s="697"/>
      <c r="BJ1303" s="697"/>
      <c r="BK1303" s="697"/>
      <c r="BL1303" s="697"/>
      <c r="BM1303" s="697"/>
      <c r="BN1303" s="697"/>
      <c r="BO1303" s="697"/>
      <c r="BP1303" s="697"/>
      <c r="BQ1303" s="697"/>
      <c r="BR1303" s="697"/>
      <c r="BS1303" s="697"/>
      <c r="BT1303" s="697"/>
      <c r="BU1303" s="697"/>
      <c r="BV1303" s="707"/>
      <c r="BW1303" s="766"/>
      <c r="BX1303" s="766"/>
    </row>
    <row r="1304" s="703" customFormat="1" customHeight="1" spans="1:76">
      <c r="A1304" s="140" t="s">
        <v>1156</v>
      </c>
      <c r="B1304" s="123" t="s">
        <v>1157</v>
      </c>
      <c r="C1304" s="763"/>
      <c r="D1304" s="763"/>
      <c r="E1304" s="763"/>
      <c r="F1304" s="779"/>
      <c r="G1304" s="697"/>
      <c r="H1304" s="697"/>
      <c r="I1304" s="697"/>
      <c r="J1304" s="697"/>
      <c r="K1304" s="697"/>
      <c r="L1304" s="697"/>
      <c r="M1304" s="697"/>
      <c r="N1304" s="697"/>
      <c r="O1304" s="697"/>
      <c r="P1304" s="697"/>
      <c r="Q1304" s="697"/>
      <c r="R1304" s="697"/>
      <c r="S1304" s="697"/>
      <c r="T1304" s="697"/>
      <c r="U1304" s="697"/>
      <c r="V1304" s="697"/>
      <c r="W1304" s="697"/>
      <c r="X1304" s="697"/>
      <c r="Y1304" s="697"/>
      <c r="Z1304" s="697"/>
      <c r="AA1304" s="697"/>
      <c r="AB1304" s="697"/>
      <c r="AC1304" s="697"/>
      <c r="AD1304" s="697"/>
      <c r="AE1304" s="697"/>
      <c r="AF1304" s="697"/>
      <c r="AG1304" s="697"/>
      <c r="AH1304" s="697"/>
      <c r="AI1304" s="697"/>
      <c r="AJ1304" s="697"/>
      <c r="AK1304" s="697"/>
      <c r="AL1304" s="697"/>
      <c r="AM1304" s="697"/>
      <c r="AN1304" s="697"/>
      <c r="AO1304" s="697"/>
      <c r="AP1304" s="697"/>
      <c r="AQ1304" s="697"/>
      <c r="AR1304" s="697"/>
      <c r="AS1304" s="697"/>
      <c r="AT1304" s="697"/>
      <c r="AU1304" s="697"/>
      <c r="AV1304" s="697"/>
      <c r="AW1304" s="697"/>
      <c r="AX1304" s="697"/>
      <c r="AY1304" s="697"/>
      <c r="AZ1304" s="697"/>
      <c r="BA1304" s="697"/>
      <c r="BB1304" s="697"/>
      <c r="BC1304" s="697"/>
      <c r="BD1304" s="697"/>
      <c r="BE1304" s="697"/>
      <c r="BF1304" s="697"/>
      <c r="BG1304" s="697"/>
      <c r="BH1304" s="697"/>
      <c r="BI1304" s="697"/>
      <c r="BJ1304" s="697"/>
      <c r="BK1304" s="697"/>
      <c r="BL1304" s="697"/>
      <c r="BM1304" s="697"/>
      <c r="BN1304" s="697"/>
      <c r="BO1304" s="697"/>
      <c r="BP1304" s="697"/>
      <c r="BQ1304" s="697"/>
      <c r="BR1304" s="697"/>
      <c r="BS1304" s="697"/>
      <c r="BT1304" s="697"/>
      <c r="BU1304" s="697"/>
      <c r="BV1304" s="707"/>
      <c r="BW1304" s="766"/>
      <c r="BX1304" s="766"/>
    </row>
    <row r="1305" s="703" customFormat="1" customHeight="1" spans="1:76">
      <c r="A1305" s="784" t="s">
        <v>1158</v>
      </c>
      <c r="B1305" s="785" t="s">
        <v>1159</v>
      </c>
      <c r="C1305" s="763"/>
      <c r="D1305" s="763"/>
      <c r="E1305" s="763"/>
      <c r="F1305" s="779"/>
      <c r="G1305" s="697"/>
      <c r="H1305" s="697"/>
      <c r="I1305" s="697"/>
      <c r="J1305" s="697"/>
      <c r="K1305" s="697"/>
      <c r="L1305" s="697"/>
      <c r="M1305" s="697"/>
      <c r="N1305" s="697"/>
      <c r="O1305" s="697"/>
      <c r="P1305" s="697"/>
      <c r="Q1305" s="697"/>
      <c r="R1305" s="697"/>
      <c r="S1305" s="697"/>
      <c r="T1305" s="697"/>
      <c r="U1305" s="697"/>
      <c r="V1305" s="697"/>
      <c r="W1305" s="697"/>
      <c r="X1305" s="697"/>
      <c r="Y1305" s="697"/>
      <c r="Z1305" s="697"/>
      <c r="AA1305" s="697"/>
      <c r="AB1305" s="697"/>
      <c r="AC1305" s="697"/>
      <c r="AD1305" s="697"/>
      <c r="AE1305" s="697"/>
      <c r="AF1305" s="697"/>
      <c r="AG1305" s="697"/>
      <c r="AH1305" s="697"/>
      <c r="AI1305" s="697"/>
      <c r="AJ1305" s="697"/>
      <c r="AK1305" s="697"/>
      <c r="AL1305" s="697"/>
      <c r="AM1305" s="697"/>
      <c r="AN1305" s="697"/>
      <c r="AO1305" s="697"/>
      <c r="AP1305" s="697"/>
      <c r="AQ1305" s="697"/>
      <c r="AR1305" s="697"/>
      <c r="AS1305" s="697"/>
      <c r="AT1305" s="697"/>
      <c r="AU1305" s="697"/>
      <c r="AV1305" s="697"/>
      <c r="AW1305" s="697"/>
      <c r="AX1305" s="697"/>
      <c r="AY1305" s="697"/>
      <c r="AZ1305" s="697"/>
      <c r="BA1305" s="697"/>
      <c r="BB1305" s="697"/>
      <c r="BC1305" s="697"/>
      <c r="BD1305" s="697"/>
      <c r="BE1305" s="697"/>
      <c r="BF1305" s="697"/>
      <c r="BG1305" s="697"/>
      <c r="BH1305" s="697"/>
      <c r="BI1305" s="697"/>
      <c r="BJ1305" s="697"/>
      <c r="BK1305" s="697"/>
      <c r="BL1305" s="697"/>
      <c r="BM1305" s="697"/>
      <c r="BN1305" s="697"/>
      <c r="BO1305" s="697"/>
      <c r="BP1305" s="697"/>
      <c r="BQ1305" s="697"/>
      <c r="BR1305" s="697"/>
      <c r="BS1305" s="697"/>
      <c r="BT1305" s="697"/>
      <c r="BU1305" s="697"/>
      <c r="BV1305" s="707"/>
      <c r="BW1305" s="766"/>
      <c r="BX1305" s="766"/>
    </row>
    <row r="1306" s="703" customFormat="1" customHeight="1" spans="1:76">
      <c r="A1306" s="786" t="s">
        <v>1160</v>
      </c>
      <c r="B1306" s="787" t="s">
        <v>1161</v>
      </c>
      <c r="C1306" s="763"/>
      <c r="D1306" s="763"/>
      <c r="E1306" s="763"/>
      <c r="F1306" s="779"/>
      <c r="G1306" s="697"/>
      <c r="H1306" s="697"/>
      <c r="I1306" s="697"/>
      <c r="J1306" s="697"/>
      <c r="K1306" s="697"/>
      <c r="L1306" s="697"/>
      <c r="M1306" s="697"/>
      <c r="N1306" s="697"/>
      <c r="O1306" s="697"/>
      <c r="P1306" s="697"/>
      <c r="Q1306" s="697"/>
      <c r="R1306" s="697"/>
      <c r="S1306" s="697"/>
      <c r="T1306" s="697"/>
      <c r="U1306" s="697"/>
      <c r="V1306" s="697"/>
      <c r="W1306" s="697"/>
      <c r="X1306" s="697"/>
      <c r="Y1306" s="697"/>
      <c r="Z1306" s="697"/>
      <c r="AA1306" s="697"/>
      <c r="AB1306" s="697"/>
      <c r="AC1306" s="697"/>
      <c r="AD1306" s="697"/>
      <c r="AE1306" s="697"/>
      <c r="AF1306" s="697"/>
      <c r="AG1306" s="697"/>
      <c r="AH1306" s="697"/>
      <c r="AI1306" s="697"/>
      <c r="AJ1306" s="697"/>
      <c r="AK1306" s="697"/>
      <c r="AL1306" s="697"/>
      <c r="AM1306" s="697"/>
      <c r="AN1306" s="697"/>
      <c r="AO1306" s="697"/>
      <c r="AP1306" s="697"/>
      <c r="AQ1306" s="697"/>
      <c r="AR1306" s="697"/>
      <c r="AS1306" s="697"/>
      <c r="AT1306" s="697"/>
      <c r="AU1306" s="697"/>
      <c r="AV1306" s="697"/>
      <c r="AW1306" s="697"/>
      <c r="AX1306" s="697"/>
      <c r="AY1306" s="697"/>
      <c r="AZ1306" s="697"/>
      <c r="BA1306" s="697"/>
      <c r="BB1306" s="697"/>
      <c r="BC1306" s="697"/>
      <c r="BD1306" s="697"/>
      <c r="BE1306" s="697"/>
      <c r="BF1306" s="697"/>
      <c r="BG1306" s="697"/>
      <c r="BH1306" s="697"/>
      <c r="BI1306" s="697"/>
      <c r="BJ1306" s="697"/>
      <c r="BK1306" s="697"/>
      <c r="BL1306" s="697"/>
      <c r="BM1306" s="697"/>
      <c r="BN1306" s="697"/>
      <c r="BO1306" s="697"/>
      <c r="BP1306" s="697"/>
      <c r="BQ1306" s="697"/>
      <c r="BR1306" s="697"/>
      <c r="BS1306" s="697"/>
      <c r="BT1306" s="697"/>
      <c r="BU1306" s="697"/>
      <c r="BV1306" s="707"/>
      <c r="BW1306" s="766"/>
      <c r="BX1306" s="766"/>
    </row>
    <row r="1307" s="703" customFormat="1" customHeight="1" spans="1:76">
      <c r="A1307" s="587" t="s">
        <v>1162</v>
      </c>
      <c r="B1307" s="587" t="s">
        <v>1163</v>
      </c>
      <c r="C1307" s="763"/>
      <c r="D1307" s="763"/>
      <c r="E1307" s="763"/>
      <c r="F1307" s="779"/>
      <c r="G1307" s="697"/>
      <c r="H1307" s="697"/>
      <c r="I1307" s="697"/>
      <c r="J1307" s="697"/>
      <c r="K1307" s="697"/>
      <c r="L1307" s="697"/>
      <c r="M1307" s="697"/>
      <c r="N1307" s="697"/>
      <c r="O1307" s="697"/>
      <c r="P1307" s="697"/>
      <c r="Q1307" s="697"/>
      <c r="R1307" s="697"/>
      <c r="S1307" s="697"/>
      <c r="T1307" s="697"/>
      <c r="U1307" s="697"/>
      <c r="V1307" s="697"/>
      <c r="W1307" s="697"/>
      <c r="X1307" s="697"/>
      <c r="Y1307" s="697"/>
      <c r="Z1307" s="697"/>
      <c r="AA1307" s="697"/>
      <c r="AB1307" s="697"/>
      <c r="AC1307" s="697"/>
      <c r="AD1307" s="697"/>
      <c r="AE1307" s="697"/>
      <c r="AF1307" s="697"/>
      <c r="AG1307" s="697"/>
      <c r="AH1307" s="697"/>
      <c r="AI1307" s="697"/>
      <c r="AJ1307" s="697"/>
      <c r="AK1307" s="697"/>
      <c r="AL1307" s="697"/>
      <c r="AM1307" s="697"/>
      <c r="AN1307" s="697"/>
      <c r="AO1307" s="697"/>
      <c r="AP1307" s="697"/>
      <c r="AQ1307" s="697"/>
      <c r="AR1307" s="697"/>
      <c r="AS1307" s="697"/>
      <c r="AT1307" s="697"/>
      <c r="AU1307" s="697"/>
      <c r="AV1307" s="697"/>
      <c r="AW1307" s="697"/>
      <c r="AX1307" s="697"/>
      <c r="AY1307" s="697"/>
      <c r="AZ1307" s="697"/>
      <c r="BA1307" s="697"/>
      <c r="BB1307" s="697"/>
      <c r="BC1307" s="697"/>
      <c r="BD1307" s="697"/>
      <c r="BE1307" s="697"/>
      <c r="BF1307" s="697"/>
      <c r="BG1307" s="697"/>
      <c r="BH1307" s="697"/>
      <c r="BI1307" s="697"/>
      <c r="BJ1307" s="697"/>
      <c r="BK1307" s="697"/>
      <c r="BL1307" s="697"/>
      <c r="BM1307" s="697"/>
      <c r="BN1307" s="697"/>
      <c r="BO1307" s="697"/>
      <c r="BP1307" s="697"/>
      <c r="BQ1307" s="697"/>
      <c r="BR1307" s="697"/>
      <c r="BS1307" s="697"/>
      <c r="BT1307" s="697"/>
      <c r="BU1307" s="697"/>
      <c r="BV1307" s="707"/>
      <c r="BW1307" s="766"/>
      <c r="BX1307" s="766"/>
    </row>
    <row r="1308" s="703" customFormat="1" customHeight="1" spans="1:76">
      <c r="A1308" s="271" t="s">
        <v>1164</v>
      </c>
      <c r="B1308" s="220" t="s">
        <v>1165</v>
      </c>
      <c r="C1308" s="763"/>
      <c r="D1308" s="763"/>
      <c r="E1308" s="763"/>
      <c r="F1308" s="779"/>
      <c r="G1308" s="697"/>
      <c r="H1308" s="697"/>
      <c r="I1308" s="697"/>
      <c r="J1308" s="697"/>
      <c r="K1308" s="697"/>
      <c r="L1308" s="697"/>
      <c r="M1308" s="697"/>
      <c r="N1308" s="697"/>
      <c r="O1308" s="697"/>
      <c r="P1308" s="697"/>
      <c r="Q1308" s="697"/>
      <c r="R1308" s="697"/>
      <c r="S1308" s="697"/>
      <c r="T1308" s="697"/>
      <c r="U1308" s="697"/>
      <c r="V1308" s="697"/>
      <c r="W1308" s="697"/>
      <c r="X1308" s="697"/>
      <c r="Y1308" s="697"/>
      <c r="Z1308" s="697"/>
      <c r="AA1308" s="697"/>
      <c r="AB1308" s="697"/>
      <c r="AC1308" s="697"/>
      <c r="AD1308" s="697"/>
      <c r="AE1308" s="697"/>
      <c r="AF1308" s="697"/>
      <c r="AG1308" s="697"/>
      <c r="AH1308" s="697"/>
      <c r="AI1308" s="697"/>
      <c r="AJ1308" s="697"/>
      <c r="AK1308" s="697"/>
      <c r="AL1308" s="697"/>
      <c r="AM1308" s="697"/>
      <c r="AN1308" s="697"/>
      <c r="AO1308" s="697"/>
      <c r="AP1308" s="697"/>
      <c r="AQ1308" s="697"/>
      <c r="AR1308" s="697"/>
      <c r="AS1308" s="697"/>
      <c r="AT1308" s="697"/>
      <c r="AU1308" s="697"/>
      <c r="AV1308" s="697"/>
      <c r="AW1308" s="697"/>
      <c r="AX1308" s="697"/>
      <c r="AY1308" s="697"/>
      <c r="AZ1308" s="697"/>
      <c r="BA1308" s="697"/>
      <c r="BB1308" s="697"/>
      <c r="BC1308" s="697"/>
      <c r="BD1308" s="697"/>
      <c r="BE1308" s="697"/>
      <c r="BF1308" s="697"/>
      <c r="BG1308" s="697"/>
      <c r="BH1308" s="697"/>
      <c r="BI1308" s="697"/>
      <c r="BJ1308" s="697"/>
      <c r="BK1308" s="697"/>
      <c r="BL1308" s="697"/>
      <c r="BM1308" s="697"/>
      <c r="BN1308" s="697"/>
      <c r="BO1308" s="697"/>
      <c r="BP1308" s="697"/>
      <c r="BQ1308" s="697"/>
      <c r="BR1308" s="697"/>
      <c r="BS1308" s="697"/>
      <c r="BT1308" s="697"/>
      <c r="BU1308" s="697"/>
      <c r="BV1308" s="707"/>
      <c r="BW1308" s="766"/>
      <c r="BX1308" s="766"/>
    </row>
    <row r="1309" s="703" customFormat="1" customHeight="1" spans="1:76">
      <c r="A1309" s="75" t="s">
        <v>1166</v>
      </c>
      <c r="B1309" s="73" t="s">
        <v>1167</v>
      </c>
      <c r="C1309" s="763"/>
      <c r="D1309" s="763"/>
      <c r="E1309" s="763"/>
      <c r="F1309" s="779"/>
      <c r="G1309" s="697"/>
      <c r="H1309" s="697"/>
      <c r="I1309" s="697"/>
      <c r="J1309" s="697"/>
      <c r="K1309" s="697"/>
      <c r="L1309" s="697"/>
      <c r="M1309" s="697"/>
      <c r="N1309" s="697"/>
      <c r="O1309" s="697"/>
      <c r="P1309" s="697"/>
      <c r="Q1309" s="697"/>
      <c r="R1309" s="697"/>
      <c r="S1309" s="697"/>
      <c r="T1309" s="697"/>
      <c r="U1309" s="697"/>
      <c r="V1309" s="697"/>
      <c r="W1309" s="697"/>
      <c r="X1309" s="697"/>
      <c r="Y1309" s="697"/>
      <c r="Z1309" s="697"/>
      <c r="AA1309" s="697"/>
      <c r="AB1309" s="697"/>
      <c r="AC1309" s="697"/>
      <c r="AD1309" s="697"/>
      <c r="AE1309" s="697"/>
      <c r="AF1309" s="697"/>
      <c r="AG1309" s="697"/>
      <c r="AH1309" s="697"/>
      <c r="AI1309" s="697"/>
      <c r="AJ1309" s="697"/>
      <c r="AK1309" s="697"/>
      <c r="AL1309" s="697"/>
      <c r="AM1309" s="697"/>
      <c r="AN1309" s="697"/>
      <c r="AO1309" s="697"/>
      <c r="AP1309" s="697"/>
      <c r="AQ1309" s="697"/>
      <c r="AR1309" s="697"/>
      <c r="AS1309" s="697"/>
      <c r="AT1309" s="697"/>
      <c r="AU1309" s="697"/>
      <c r="AV1309" s="697"/>
      <c r="AW1309" s="697"/>
      <c r="AX1309" s="697"/>
      <c r="AY1309" s="697"/>
      <c r="AZ1309" s="697"/>
      <c r="BA1309" s="697"/>
      <c r="BB1309" s="697"/>
      <c r="BC1309" s="697"/>
      <c r="BD1309" s="697"/>
      <c r="BE1309" s="697"/>
      <c r="BF1309" s="697"/>
      <c r="BG1309" s="697"/>
      <c r="BH1309" s="697"/>
      <c r="BI1309" s="697"/>
      <c r="BJ1309" s="697"/>
      <c r="BK1309" s="697"/>
      <c r="BL1309" s="697"/>
      <c r="BM1309" s="697"/>
      <c r="BN1309" s="697"/>
      <c r="BO1309" s="697"/>
      <c r="BP1309" s="697"/>
      <c r="BQ1309" s="697"/>
      <c r="BR1309" s="697"/>
      <c r="BS1309" s="697"/>
      <c r="BT1309" s="697"/>
      <c r="BU1309" s="697"/>
      <c r="BV1309" s="707"/>
      <c r="BW1309" s="766"/>
      <c r="BX1309" s="766"/>
    </row>
    <row r="1311" customHeight="1" spans="1:76">
      <c r="A1311" s="788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2:BY1309" etc:filterBottomFollowUsedRange="0">
    <extLst/>
  </autoFilter>
  <mergeCells count="1">
    <mergeCell ref="A1:H1"/>
  </mergeCells>
  <conditionalFormatting sqref="H2">
    <cfRule type="containsText" dxfId="0" priority="281" operator="between" text="欠">
      <formula>NOT(ISERROR(SEARCH("欠",H2)))</formula>
    </cfRule>
  </conditionalFormatting>
  <conditionalFormatting sqref="G30">
    <cfRule type="containsText" dxfId="0" priority="315" operator="between" text="欠">
      <formula>NOT(ISERROR(SEARCH("欠",G30)))</formula>
    </cfRule>
  </conditionalFormatting>
  <conditionalFormatting sqref="G31">
    <cfRule type="containsText" dxfId="0" priority="314" operator="between" text="欠">
      <formula>NOT(ISERROR(SEARCH("欠",G31)))</formula>
    </cfRule>
  </conditionalFormatting>
  <conditionalFormatting sqref="G32">
    <cfRule type="containsText" dxfId="0" priority="313" operator="between" text="欠">
      <formula>NOT(ISERROR(SEARCH("欠",G32)))</formula>
    </cfRule>
  </conditionalFormatting>
  <conditionalFormatting sqref="G33">
    <cfRule type="containsText" dxfId="0" priority="312" operator="between" text="欠">
      <formula>NOT(ISERROR(SEARCH("欠",G33)))</formula>
    </cfRule>
  </conditionalFormatting>
  <conditionalFormatting sqref="G34">
    <cfRule type="containsText" dxfId="0" priority="311" operator="between" text="欠">
      <formula>NOT(ISERROR(SEARCH("欠",G34)))</formula>
    </cfRule>
  </conditionalFormatting>
  <conditionalFormatting sqref="G35">
    <cfRule type="containsText" dxfId="0" priority="310" operator="between" text="欠">
      <formula>NOT(ISERROR(SEARCH("欠",G35)))</formula>
    </cfRule>
  </conditionalFormatting>
  <conditionalFormatting sqref="G36">
    <cfRule type="containsText" dxfId="0" priority="309" operator="between" text="欠">
      <formula>NOT(ISERROR(SEARCH("欠",G36)))</formula>
    </cfRule>
  </conditionalFormatting>
  <conditionalFormatting sqref="G37">
    <cfRule type="containsText" dxfId="0" priority="308" operator="between" text="欠">
      <formula>NOT(ISERROR(SEARCH("欠",G37)))</formula>
    </cfRule>
  </conditionalFormatting>
  <conditionalFormatting sqref="G38">
    <cfRule type="containsText" dxfId="0" priority="307" operator="between" text="欠">
      <formula>NOT(ISERROR(SEARCH("欠",G38)))</formula>
    </cfRule>
  </conditionalFormatting>
  <conditionalFormatting sqref="G39">
    <cfRule type="containsText" dxfId="0" priority="306" operator="between" text="欠">
      <formula>NOT(ISERROR(SEARCH("欠",G39)))</formula>
    </cfRule>
  </conditionalFormatting>
  <conditionalFormatting sqref="G40">
    <cfRule type="containsText" dxfId="0" priority="305" operator="between" text="欠">
      <formula>NOT(ISERROR(SEARCH("欠",G40)))</formula>
    </cfRule>
  </conditionalFormatting>
  <conditionalFormatting sqref="G41">
    <cfRule type="containsText" dxfId="0" priority="304" operator="between" text="欠">
      <formula>NOT(ISERROR(SEARCH("欠",G41)))</formula>
    </cfRule>
  </conditionalFormatting>
  <conditionalFormatting sqref="G42">
    <cfRule type="containsText" dxfId="0" priority="303" operator="between" text="欠">
      <formula>NOT(ISERROR(SEARCH("欠",G42)))</formula>
    </cfRule>
  </conditionalFormatting>
  <conditionalFormatting sqref="G43">
    <cfRule type="containsText" dxfId="0" priority="302" operator="between" text="欠">
      <formula>NOT(ISERROR(SEARCH("欠",G43)))</formula>
    </cfRule>
  </conditionalFormatting>
  <conditionalFormatting sqref="G44">
    <cfRule type="containsText" dxfId="0" priority="301" operator="between" text="欠">
      <formula>NOT(ISERROR(SEARCH("欠",G44)))</formula>
    </cfRule>
  </conditionalFormatting>
  <conditionalFormatting sqref="G55">
    <cfRule type="containsText" dxfId="0" priority="299" operator="between" text="欠">
      <formula>NOT(ISERROR(SEARCH("欠",G55)))</formula>
    </cfRule>
  </conditionalFormatting>
  <conditionalFormatting sqref="G74">
    <cfRule type="containsText" dxfId="0" priority="294" operator="between" text="欠">
      <formula>NOT(ISERROR(SEARCH("欠",G74)))</formula>
    </cfRule>
  </conditionalFormatting>
  <conditionalFormatting sqref="G179">
    <cfRule type="containsText" dxfId="0" priority="288" operator="between" text="欠">
      <formula>NOT(ISERROR(SEARCH("欠",G179)))</formula>
    </cfRule>
  </conditionalFormatting>
  <conditionalFormatting sqref="H197">
    <cfRule type="containsText" dxfId="0" priority="27" operator="between" text="欠">
      <formula>NOT(ISERROR(SEARCH("欠",H197)))</formula>
    </cfRule>
  </conditionalFormatting>
  <conditionalFormatting sqref="H199">
    <cfRule type="containsText" dxfId="0" priority="28" operator="between" text="欠">
      <formula>NOT(ISERROR(SEARCH("欠",H199)))</formula>
    </cfRule>
  </conditionalFormatting>
  <conditionalFormatting sqref="H201">
    <cfRule type="containsText" dxfId="0" priority="26" operator="between" text="欠">
      <formula>NOT(ISERROR(SEARCH("欠",H201)))</formula>
    </cfRule>
  </conditionalFormatting>
  <conditionalFormatting sqref="G204">
    <cfRule type="containsText" dxfId="0" priority="286" operator="between" text="欠">
      <formula>NOT(ISERROR(SEARCH("欠",G204)))</formula>
    </cfRule>
  </conditionalFormatting>
  <conditionalFormatting sqref="G205">
    <cfRule type="containsText" dxfId="0" priority="285" operator="between" text="欠">
      <formula>NOT(ISERROR(SEARCH("欠",G205)))</formula>
    </cfRule>
  </conditionalFormatting>
  <conditionalFormatting sqref="H207">
    <cfRule type="containsText" dxfId="0" priority="122" operator="between" text="欠">
      <formula>NOT(ISERROR(SEARCH("欠",H207)))</formula>
    </cfRule>
  </conditionalFormatting>
  <conditionalFormatting sqref="H213">
    <cfRule type="containsText" dxfId="0" priority="123" operator="between" text="欠">
      <formula>NOT(ISERROR(SEARCH("欠",H213)))</formula>
    </cfRule>
  </conditionalFormatting>
  <conditionalFormatting sqref="H259">
    <cfRule type="containsText" dxfId="0" priority="105" operator="between" text="欠">
      <formula>NOT(ISERROR(SEARCH("欠",H259)))</formula>
    </cfRule>
  </conditionalFormatting>
  <conditionalFormatting sqref="G263">
    <cfRule type="containsText" dxfId="0" priority="36" operator="between" text="欠">
      <formula>NOT(ISERROR(SEARCH("欠",G263)))</formula>
    </cfRule>
  </conditionalFormatting>
  <conditionalFormatting sqref="H263">
    <cfRule type="containsText" dxfId="0" priority="37" operator="between" text="欠">
      <formula>NOT(ISERROR(SEARCH("欠",H263)))</formula>
    </cfRule>
  </conditionalFormatting>
  <conditionalFormatting sqref="G267">
    <cfRule type="containsText" dxfId="0" priority="18" operator="between" text="欠">
      <formula>NOT(ISERROR(SEARCH("欠",G267)))</formula>
    </cfRule>
  </conditionalFormatting>
  <conditionalFormatting sqref="H267">
    <cfRule type="containsText" dxfId="0" priority="17" operator="between" text="欠">
      <formula>NOT(ISERROR(SEARCH("欠",H267)))</formula>
    </cfRule>
  </conditionalFormatting>
  <conditionalFormatting sqref="G271">
    <cfRule type="containsText" dxfId="0" priority="277" operator="between" text="欠">
      <formula>NOT(ISERROR(SEARCH("欠",G271)))</formula>
    </cfRule>
  </conditionalFormatting>
  <conditionalFormatting sqref="G272">
    <cfRule type="containsText" dxfId="0" priority="276" operator="between" text="欠">
      <formula>NOT(ISERROR(SEARCH("欠",G272)))</formula>
    </cfRule>
  </conditionalFormatting>
  <conditionalFormatting sqref="G273">
    <cfRule type="containsText" dxfId="0" priority="275" operator="between" text="欠">
      <formula>NOT(ISERROR(SEARCH("欠",G273)))</formula>
    </cfRule>
  </conditionalFormatting>
  <conditionalFormatting sqref="G274">
    <cfRule type="containsText" dxfId="0" priority="274" operator="between" text="欠">
      <formula>NOT(ISERROR(SEARCH("欠",G274)))</formula>
    </cfRule>
  </conditionalFormatting>
  <conditionalFormatting sqref="G275">
    <cfRule type="containsText" dxfId="0" priority="273" operator="between" text="欠">
      <formula>NOT(ISERROR(SEARCH("欠",G275)))</formula>
    </cfRule>
  </conditionalFormatting>
  <conditionalFormatting sqref="G281">
    <cfRule type="containsText" dxfId="0" priority="268" operator="between" text="欠">
      <formula>NOT(ISERROR(SEARCH("欠",G281)))</formula>
    </cfRule>
  </conditionalFormatting>
  <conditionalFormatting sqref="G287">
    <cfRule type="containsText" dxfId="0" priority="264" operator="between" text="欠">
      <formula>NOT(ISERROR(SEARCH("欠",G287)))</formula>
    </cfRule>
  </conditionalFormatting>
  <conditionalFormatting sqref="G288">
    <cfRule type="containsText" dxfId="0" priority="263" operator="between" text="欠">
      <formula>NOT(ISERROR(SEARCH("欠",G288)))</formula>
    </cfRule>
  </conditionalFormatting>
  <conditionalFormatting sqref="G307">
    <cfRule type="containsText" dxfId="0" priority="262" operator="between" text="欠">
      <formula>NOT(ISERROR(SEARCH("欠",G307)))</formula>
    </cfRule>
  </conditionalFormatting>
  <conditionalFormatting sqref="G322">
    <cfRule type="containsText" dxfId="0" priority="260" operator="between" text="欠">
      <formula>NOT(ISERROR(SEARCH("欠",G322)))</formula>
    </cfRule>
  </conditionalFormatting>
  <conditionalFormatting sqref="G330">
    <cfRule type="containsText" dxfId="0" priority="257" operator="between" text="欠">
      <formula>NOT(ISERROR(SEARCH("欠",G330)))</formula>
    </cfRule>
  </conditionalFormatting>
  <conditionalFormatting sqref="G332">
    <cfRule type="containsText" dxfId="0" priority="56" operator="between" text="欠">
      <formula>NOT(ISERROR(SEARCH("欠",G332)))</formula>
    </cfRule>
  </conditionalFormatting>
  <conditionalFormatting sqref="H332">
    <cfRule type="containsText" dxfId="0" priority="55" operator="between" text="欠">
      <formula>NOT(ISERROR(SEARCH("欠",H332)))</formula>
    </cfRule>
  </conditionalFormatting>
  <conditionalFormatting sqref="G403">
    <cfRule type="containsText" dxfId="0" priority="253" operator="between" text="欠">
      <formula>NOT(ISERROR(SEARCH("欠",G403)))</formula>
    </cfRule>
  </conditionalFormatting>
  <conditionalFormatting sqref="G404">
    <cfRule type="containsText" dxfId="0" priority="252" operator="between" text="欠">
      <formula>NOT(ISERROR(SEARCH("欠",G404)))</formula>
    </cfRule>
  </conditionalFormatting>
  <conditionalFormatting sqref="G412">
    <cfRule type="containsText" dxfId="0" priority="250" operator="between" text="欠">
      <formula>NOT(ISERROR(SEARCH("欠",G412)))</formula>
    </cfRule>
  </conditionalFormatting>
  <conditionalFormatting sqref="G428">
    <cfRule type="containsText" dxfId="0" priority="102" operator="between" text="欠">
      <formula>NOT(ISERROR(SEARCH("欠",G428)))</formula>
    </cfRule>
  </conditionalFormatting>
  <conditionalFormatting sqref="G466">
    <cfRule type="containsText" dxfId="0" priority="227" operator="between" text="欠">
      <formula>NOT(ISERROR(SEARCH("欠",G466)))</formula>
    </cfRule>
  </conditionalFormatting>
  <conditionalFormatting sqref="H467">
    <cfRule type="containsText" dxfId="0" priority="235" operator="between" text="欠">
      <formula>NOT(ISERROR(SEARCH("欠",H467)))</formula>
    </cfRule>
  </conditionalFormatting>
  <conditionalFormatting sqref="H468">
    <cfRule type="containsText" dxfId="0" priority="231" operator="between" text="欠">
      <formula>NOT(ISERROR(SEARCH("欠",H468)))</formula>
    </cfRule>
  </conditionalFormatting>
  <conditionalFormatting sqref="G480">
    <cfRule type="containsText" dxfId="0" priority="186" operator="between" text="欠">
      <formula>NOT(ISERROR(SEARCH("欠",G480)))</formula>
    </cfRule>
  </conditionalFormatting>
  <conditionalFormatting sqref="H480">
    <cfRule type="containsText" dxfId="0" priority="189" operator="between" text="欠">
      <formula>NOT(ISERROR(SEARCH("欠",H480)))</formula>
    </cfRule>
  </conditionalFormatting>
  <conditionalFormatting sqref="G485">
    <cfRule type="containsText" dxfId="0" priority="188" operator="between" text="欠">
      <formula>NOT(ISERROR(SEARCH("欠",G485)))</formula>
    </cfRule>
  </conditionalFormatting>
  <conditionalFormatting sqref="H485">
    <cfRule type="containsText" dxfId="0" priority="191" operator="between" text="欠">
      <formula>NOT(ISERROR(SEARCH("欠",H485)))</formula>
    </cfRule>
  </conditionalFormatting>
  <conditionalFormatting sqref="H486">
    <cfRule type="containsText" dxfId="0" priority="194" operator="between" text="欠">
      <formula>NOT(ISERROR(SEARCH("欠",H486)))</formula>
    </cfRule>
  </conditionalFormatting>
  <conditionalFormatting sqref="H491">
    <cfRule type="containsText" dxfId="0" priority="196" operator="between" text="欠">
      <formula>NOT(ISERROR(SEARCH("欠",H491)))</formula>
    </cfRule>
  </conditionalFormatting>
  <conditionalFormatting sqref="G496">
    <cfRule type="containsText" dxfId="0" priority="225" operator="between" text="欠">
      <formula>NOT(ISERROR(SEARCH("欠",G496)))</formula>
    </cfRule>
  </conditionalFormatting>
  <conditionalFormatting sqref="H496">
    <cfRule type="containsText" dxfId="0" priority="224" operator="between" text="欠">
      <formula>NOT(ISERROR(SEARCH("欠",H496)))</formula>
    </cfRule>
  </conditionalFormatting>
  <conditionalFormatting sqref="G497">
    <cfRule type="containsText" dxfId="0" priority="219" operator="between" text="欠">
      <formula>NOT(ISERROR(SEARCH("欠",G497)))</formula>
    </cfRule>
  </conditionalFormatting>
  <conditionalFormatting sqref="H497">
    <cfRule type="containsText" dxfId="0" priority="208" operator="between" text="欠">
      <formula>NOT(ISERROR(SEARCH("欠",H497)))</formula>
    </cfRule>
  </conditionalFormatting>
  <conditionalFormatting sqref="G498">
    <cfRule type="containsText" dxfId="0" priority="218" operator="between" text="欠">
      <formula>NOT(ISERROR(SEARCH("欠",G498)))</formula>
    </cfRule>
  </conditionalFormatting>
  <conditionalFormatting sqref="H498">
    <cfRule type="containsText" dxfId="0" priority="207" operator="between" text="欠">
      <formula>NOT(ISERROR(SEARCH("欠",H498)))</formula>
    </cfRule>
  </conditionalFormatting>
  <conditionalFormatting sqref="G499">
    <cfRule type="containsText" dxfId="0" priority="217" operator="between" text="欠">
      <formula>NOT(ISERROR(SEARCH("欠",G499)))</formula>
    </cfRule>
  </conditionalFormatting>
  <conditionalFormatting sqref="H499">
    <cfRule type="containsText" dxfId="0" priority="206" operator="between" text="欠">
      <formula>NOT(ISERROR(SEARCH("欠",H499)))</formula>
    </cfRule>
  </conditionalFormatting>
  <conditionalFormatting sqref="G500">
    <cfRule type="containsText" dxfId="0" priority="216" operator="between" text="欠">
      <formula>NOT(ISERROR(SEARCH("欠",G500)))</formula>
    </cfRule>
  </conditionalFormatting>
  <conditionalFormatting sqref="H500">
    <cfRule type="containsText" dxfId="0" priority="205" operator="between" text="欠">
      <formula>NOT(ISERROR(SEARCH("欠",H500)))</formula>
    </cfRule>
  </conditionalFormatting>
  <conditionalFormatting sqref="G501">
    <cfRule type="containsText" dxfId="0" priority="215" operator="between" text="欠">
      <formula>NOT(ISERROR(SEARCH("欠",G501)))</formula>
    </cfRule>
  </conditionalFormatting>
  <conditionalFormatting sqref="H501">
    <cfRule type="containsText" dxfId="0" priority="204" operator="between" text="欠">
      <formula>NOT(ISERROR(SEARCH("欠",H501)))</formula>
    </cfRule>
  </conditionalFormatting>
  <conditionalFormatting sqref="G502">
    <cfRule type="containsText" dxfId="0" priority="214" operator="between" text="欠">
      <formula>NOT(ISERROR(SEARCH("欠",G502)))</formula>
    </cfRule>
  </conditionalFormatting>
  <conditionalFormatting sqref="H502">
    <cfRule type="containsText" dxfId="0" priority="203" operator="between" text="欠">
      <formula>NOT(ISERROR(SEARCH("欠",H502)))</formula>
    </cfRule>
  </conditionalFormatting>
  <conditionalFormatting sqref="G503">
    <cfRule type="containsText" dxfId="0" priority="213" operator="between" text="欠">
      <formula>NOT(ISERROR(SEARCH("欠",G503)))</formula>
    </cfRule>
  </conditionalFormatting>
  <conditionalFormatting sqref="H503">
    <cfRule type="containsText" dxfId="0" priority="202" operator="between" text="欠">
      <formula>NOT(ISERROR(SEARCH("欠",H503)))</formula>
    </cfRule>
  </conditionalFormatting>
  <conditionalFormatting sqref="G504">
    <cfRule type="containsText" dxfId="0" priority="212" operator="between" text="欠">
      <formula>NOT(ISERROR(SEARCH("欠",G504)))</formula>
    </cfRule>
  </conditionalFormatting>
  <conditionalFormatting sqref="H504">
    <cfRule type="containsText" dxfId="0" priority="201" operator="between" text="欠">
      <formula>NOT(ISERROR(SEARCH("欠",H504)))</formula>
    </cfRule>
  </conditionalFormatting>
  <conditionalFormatting sqref="G505">
    <cfRule type="containsText" dxfId="0" priority="211" operator="between" text="欠">
      <formula>NOT(ISERROR(SEARCH("欠",G505)))</formula>
    </cfRule>
  </conditionalFormatting>
  <conditionalFormatting sqref="H505">
    <cfRule type="containsText" dxfId="0" priority="200" operator="between" text="欠">
      <formula>NOT(ISERROR(SEARCH("欠",H505)))</formula>
    </cfRule>
  </conditionalFormatting>
  <conditionalFormatting sqref="G506">
    <cfRule type="containsText" dxfId="0" priority="210" operator="between" text="欠">
      <formula>NOT(ISERROR(SEARCH("欠",G506)))</formula>
    </cfRule>
  </conditionalFormatting>
  <conditionalFormatting sqref="H506">
    <cfRule type="containsText" dxfId="0" priority="199" operator="between" text="欠">
      <formula>NOT(ISERROR(SEARCH("欠",H506)))</formula>
    </cfRule>
  </conditionalFormatting>
  <conditionalFormatting sqref="G507">
    <cfRule type="containsText" dxfId="0" priority="209" operator="between" text="欠">
      <formula>NOT(ISERROR(SEARCH("欠",G507)))</formula>
    </cfRule>
  </conditionalFormatting>
  <conditionalFormatting sqref="H507">
    <cfRule type="containsText" dxfId="0" priority="198" operator="between" text="欠">
      <formula>NOT(ISERROR(SEARCH("欠",H507)))</formula>
    </cfRule>
  </conditionalFormatting>
  <conditionalFormatting sqref="G508">
    <cfRule type="containsText" dxfId="0" priority="173" operator="between" text="欠">
      <formula>NOT(ISERROR(SEARCH("欠",G508)))</formula>
    </cfRule>
  </conditionalFormatting>
  <conditionalFormatting sqref="G509">
    <cfRule type="containsText" dxfId="0" priority="175" operator="between" text="欠">
      <formula>NOT(ISERROR(SEARCH("欠",G509)))</formula>
    </cfRule>
  </conditionalFormatting>
  <conditionalFormatting sqref="G510">
    <cfRule type="containsText" dxfId="0" priority="174" operator="between" text="欠">
      <formula>NOT(ISERROR(SEARCH("欠",G510)))</formula>
    </cfRule>
  </conditionalFormatting>
  <conditionalFormatting sqref="H512">
    <cfRule type="containsText" dxfId="0" priority="178" operator="between" text="欠">
      <formula>NOT(ISERROR(SEARCH("欠",H512)))</formula>
    </cfRule>
  </conditionalFormatting>
  <conditionalFormatting sqref="G516">
    <cfRule type="containsText" dxfId="0" priority="15" operator="between" text="欠">
      <formula>NOT(ISERROR(SEARCH("欠",G516)))</formula>
    </cfRule>
  </conditionalFormatting>
  <conditionalFormatting sqref="H516">
    <cfRule type="containsText" dxfId="0" priority="16" operator="between" text="欠">
      <formula>NOT(ISERROR(SEARCH("欠",H516)))</formula>
    </cfRule>
  </conditionalFormatting>
  <conditionalFormatting sqref="H520">
    <cfRule type="containsText" dxfId="0" priority="181" operator="between" text="欠">
      <formula>NOT(ISERROR(SEARCH("欠",H520)))</formula>
    </cfRule>
  </conditionalFormatting>
  <conditionalFormatting sqref="G527">
    <cfRule type="containsText" dxfId="0" priority="172" operator="between" text="欠">
      <formula>NOT(ISERROR(SEARCH("欠",G527)))</formula>
    </cfRule>
  </conditionalFormatting>
  <conditionalFormatting sqref="H528">
    <cfRule type="containsText" dxfId="0" priority="184" operator="between" text="欠">
      <formula>NOT(ISERROR(SEARCH("欠",H528)))</formula>
    </cfRule>
  </conditionalFormatting>
  <conditionalFormatting sqref="G530">
    <cfRule type="containsText" dxfId="0" priority="171" operator="between" text="欠">
      <formula>NOT(ISERROR(SEARCH("欠",G530)))</formula>
    </cfRule>
  </conditionalFormatting>
  <conditionalFormatting sqref="H534">
    <cfRule type="containsText" dxfId="0" priority="166" operator="between" text="欠">
      <formula>NOT(ISERROR(SEARCH("欠",H534)))</formula>
    </cfRule>
  </conditionalFormatting>
  <conditionalFormatting sqref="H535">
    <cfRule type="containsText" dxfId="0" priority="167" operator="between" text="欠">
      <formula>NOT(ISERROR(SEARCH("欠",H535)))</formula>
    </cfRule>
  </conditionalFormatting>
  <conditionalFormatting sqref="H540">
    <cfRule type="containsText" dxfId="0" priority="169" operator="between" text="欠">
      <formula>NOT(ISERROR(SEARCH("欠",H540)))</formula>
    </cfRule>
  </conditionalFormatting>
  <conditionalFormatting sqref="H543">
    <cfRule type="containsText" dxfId="0" priority="147" operator="between" text="欠">
      <formula>NOT(ISERROR(SEARCH("欠",H543)))</formula>
    </cfRule>
  </conditionalFormatting>
  <conditionalFormatting sqref="H544">
    <cfRule type="containsText" dxfId="0" priority="146" operator="between" text="欠">
      <formula>NOT(ISERROR(SEARCH("欠",H544)))</formula>
    </cfRule>
  </conditionalFormatting>
  <conditionalFormatting sqref="H545">
    <cfRule type="containsText" dxfId="0" priority="145" operator="between" text="欠">
      <formula>NOT(ISERROR(SEARCH("欠",H545)))</formula>
    </cfRule>
  </conditionalFormatting>
  <conditionalFormatting sqref="H546">
    <cfRule type="containsText" dxfId="0" priority="144" operator="between" text="欠">
      <formula>NOT(ISERROR(SEARCH("欠",H546)))</formula>
    </cfRule>
  </conditionalFormatting>
  <conditionalFormatting sqref="H547">
    <cfRule type="containsText" dxfId="0" priority="143" operator="between" text="欠">
      <formula>NOT(ISERROR(SEARCH("欠",H547)))</formula>
    </cfRule>
  </conditionalFormatting>
  <conditionalFormatting sqref="H548">
    <cfRule type="containsText" dxfId="0" priority="142" operator="between" text="欠">
      <formula>NOT(ISERROR(SEARCH("欠",H548)))</formula>
    </cfRule>
  </conditionalFormatting>
  <conditionalFormatting sqref="H549">
    <cfRule type="containsText" dxfId="0" priority="141" operator="between" text="欠">
      <formula>NOT(ISERROR(SEARCH("欠",H549)))</formula>
    </cfRule>
  </conditionalFormatting>
  <conditionalFormatting sqref="H550">
    <cfRule type="containsText" dxfId="0" priority="140" operator="between" text="欠">
      <formula>NOT(ISERROR(SEARCH("欠",H550)))</formula>
    </cfRule>
  </conditionalFormatting>
  <conditionalFormatting sqref="H551">
    <cfRule type="containsText" dxfId="0" priority="139" operator="between" text="欠">
      <formula>NOT(ISERROR(SEARCH("欠",H551)))</formula>
    </cfRule>
  </conditionalFormatting>
  <conditionalFormatting sqref="H552">
    <cfRule type="containsText" dxfId="0" priority="138" operator="between" text="欠">
      <formula>NOT(ISERROR(SEARCH("欠",H552)))</formula>
    </cfRule>
  </conditionalFormatting>
  <conditionalFormatting sqref="H553">
    <cfRule type="containsText" dxfId="0" priority="157" operator="between" text="欠">
      <formula>NOT(ISERROR(SEARCH("欠",H553)))</formula>
    </cfRule>
  </conditionalFormatting>
  <conditionalFormatting sqref="H554">
    <cfRule type="containsText" dxfId="0" priority="156" operator="between" text="欠">
      <formula>NOT(ISERROR(SEARCH("欠",H554)))</formula>
    </cfRule>
  </conditionalFormatting>
  <conditionalFormatting sqref="H555">
    <cfRule type="containsText" dxfId="0" priority="155" operator="between" text="欠">
      <formula>NOT(ISERROR(SEARCH("欠",H555)))</formula>
    </cfRule>
  </conditionalFormatting>
  <conditionalFormatting sqref="H556">
    <cfRule type="containsText" dxfId="0" priority="154" operator="between" text="欠">
      <formula>NOT(ISERROR(SEARCH("欠",H556)))</formula>
    </cfRule>
  </conditionalFormatting>
  <conditionalFormatting sqref="H557">
    <cfRule type="containsText" dxfId="0" priority="153" operator="between" text="欠">
      <formula>NOT(ISERROR(SEARCH("欠",H557)))</formula>
    </cfRule>
  </conditionalFormatting>
  <conditionalFormatting sqref="H558">
    <cfRule type="containsText" dxfId="0" priority="152" operator="between" text="欠">
      <formula>NOT(ISERROR(SEARCH("欠",H558)))</formula>
    </cfRule>
  </conditionalFormatting>
  <conditionalFormatting sqref="H559">
    <cfRule type="containsText" dxfId="0" priority="151" operator="between" text="欠">
      <formula>NOT(ISERROR(SEARCH("欠",H559)))</formula>
    </cfRule>
  </conditionalFormatting>
  <conditionalFormatting sqref="H560">
    <cfRule type="containsText" dxfId="0" priority="150" operator="between" text="欠">
      <formula>NOT(ISERROR(SEARCH("欠",H560)))</formula>
    </cfRule>
  </conditionalFormatting>
  <conditionalFormatting sqref="H561">
    <cfRule type="containsText" dxfId="0" priority="149" operator="between" text="欠">
      <formula>NOT(ISERROR(SEARCH("欠",H561)))</formula>
    </cfRule>
  </conditionalFormatting>
  <conditionalFormatting sqref="H562">
    <cfRule type="containsText" dxfId="0" priority="148" operator="between" text="欠">
      <formula>NOT(ISERROR(SEARCH("欠",H562)))</formula>
    </cfRule>
  </conditionalFormatting>
  <conditionalFormatting sqref="G568">
    <cfRule type="containsText" dxfId="0" priority="20" operator="between" text="欠">
      <formula>NOT(ISERROR(SEARCH("欠",G568)))</formula>
    </cfRule>
  </conditionalFormatting>
  <conditionalFormatting sqref="H568">
    <cfRule type="containsText" dxfId="0" priority="19" operator="between" text="欠">
      <formula>NOT(ISERROR(SEARCH("欠",H568)))</formula>
    </cfRule>
  </conditionalFormatting>
  <conditionalFormatting sqref="H569">
    <cfRule type="containsText" dxfId="0" priority="128" operator="between" text="欠">
      <formula>NOT(ISERROR(SEARCH("欠",H569)))</formula>
    </cfRule>
  </conditionalFormatting>
  <conditionalFormatting sqref="H575">
    <cfRule type="containsText" dxfId="0" priority="131" operator="between" text="欠">
      <formula>NOT(ISERROR(SEARCH("欠",H575)))</formula>
    </cfRule>
  </conditionalFormatting>
  <conditionalFormatting sqref="H579">
    <cfRule type="containsText" dxfId="0" priority="133" operator="between" text="欠">
      <formula>NOT(ISERROR(SEARCH("欠",H579)))</formula>
    </cfRule>
  </conditionalFormatting>
  <conditionalFormatting sqref="H583">
    <cfRule type="containsText" dxfId="0" priority="135" operator="between" text="欠">
      <formula>NOT(ISERROR(SEARCH("欠",H583)))</formula>
    </cfRule>
  </conditionalFormatting>
  <conditionalFormatting sqref="H587">
    <cfRule type="containsText" dxfId="0" priority="124" operator="between" text="欠">
      <formula>NOT(ISERROR(SEARCH("欠",H587)))</formula>
    </cfRule>
  </conditionalFormatting>
  <conditionalFormatting sqref="H592">
    <cfRule type="containsText" dxfId="0" priority="126" operator="between" text="欠">
      <formula>NOT(ISERROR(SEARCH("欠",H592)))</formula>
    </cfRule>
  </conditionalFormatting>
  <conditionalFormatting sqref="G596">
    <cfRule type="containsText" dxfId="0" priority="119" operator="between" text="欠">
      <formula>NOT(ISERROR(SEARCH("欠",G596)))</formula>
    </cfRule>
  </conditionalFormatting>
  <conditionalFormatting sqref="H596">
    <cfRule type="containsText" dxfId="0" priority="120" operator="between" text="欠">
      <formula>NOT(ISERROR(SEARCH("欠",H596)))</formula>
    </cfRule>
  </conditionalFormatting>
  <conditionalFormatting sqref="H597">
    <cfRule type="containsText" dxfId="0" priority="229" operator="between" text="欠">
      <formula>NOT(ISERROR(SEARCH("欠",H597)))</formula>
    </cfRule>
  </conditionalFormatting>
  <conditionalFormatting sqref="H604">
    <cfRule type="containsText" dxfId="0" priority="116" operator="between" text="欠">
      <formula>NOT(ISERROR(SEARCH("欠",H604)))</formula>
    </cfRule>
  </conditionalFormatting>
  <conditionalFormatting sqref="H661">
    <cfRule type="containsText" dxfId="0" priority="59" operator="between" text="欠">
      <formula>NOT(ISERROR(SEARCH("欠",H661)))</formula>
    </cfRule>
  </conditionalFormatting>
  <conditionalFormatting sqref="H711">
    <cfRule type="containsText" dxfId="0" priority="58" operator="between" text="欠">
      <formula>NOT(ISERROR(SEARCH("欠",H711)))</formula>
    </cfRule>
  </conditionalFormatting>
  <conditionalFormatting sqref="H766">
    <cfRule type="containsText" dxfId="0" priority="57" operator="between" text="欠">
      <formula>NOT(ISERROR(SEARCH("欠",H766)))</formula>
    </cfRule>
  </conditionalFormatting>
  <conditionalFormatting sqref="H900">
    <cfRule type="containsText" dxfId="0" priority="100" operator="between" text="欠">
      <formula>NOT(ISERROR(SEARCH("欠",H900)))</formula>
    </cfRule>
  </conditionalFormatting>
  <conditionalFormatting sqref="H901">
    <cfRule type="containsText" dxfId="0" priority="99" operator="between" text="欠">
      <formula>NOT(ISERROR(SEARCH("欠",H901)))</formula>
    </cfRule>
  </conditionalFormatting>
  <conditionalFormatting sqref="H902">
    <cfRule type="containsText" dxfId="0" priority="98" operator="between" text="欠">
      <formula>NOT(ISERROR(SEARCH("欠",H902)))</formula>
    </cfRule>
  </conditionalFormatting>
  <conditionalFormatting sqref="H903">
    <cfRule type="containsText" dxfId="0" priority="97" operator="between" text="欠">
      <formula>NOT(ISERROR(SEARCH("欠",H903)))</formula>
    </cfRule>
  </conditionalFormatting>
  <conditionalFormatting sqref="H904">
    <cfRule type="containsText" dxfId="0" priority="96" operator="between" text="欠">
      <formula>NOT(ISERROR(SEARCH("欠",H904)))</formula>
    </cfRule>
  </conditionalFormatting>
  <conditionalFormatting sqref="H905">
    <cfRule type="containsText" dxfId="0" priority="95" operator="between" text="欠">
      <formula>NOT(ISERROR(SEARCH("欠",H905)))</formula>
    </cfRule>
  </conditionalFormatting>
  <conditionalFormatting sqref="H906">
    <cfRule type="containsText" dxfId="0" priority="94" operator="between" text="欠">
      <formula>NOT(ISERROR(SEARCH("欠",H906)))</formula>
    </cfRule>
  </conditionalFormatting>
  <conditionalFormatting sqref="H907">
    <cfRule type="containsText" dxfId="0" priority="93" operator="between" text="欠">
      <formula>NOT(ISERROR(SEARCH("欠",H907)))</formula>
    </cfRule>
  </conditionalFormatting>
  <conditionalFormatting sqref="H908">
    <cfRule type="containsText" dxfId="0" priority="92" operator="between" text="欠">
      <formula>NOT(ISERROR(SEARCH("欠",H908)))</formula>
    </cfRule>
  </conditionalFormatting>
  <conditionalFormatting sqref="H909">
    <cfRule type="containsText" dxfId="0" priority="91" operator="between" text="欠">
      <formula>NOT(ISERROR(SEARCH("欠",H909)))</formula>
    </cfRule>
  </conditionalFormatting>
  <conditionalFormatting sqref="H910">
    <cfRule type="containsText" dxfId="0" priority="90" operator="between" text="欠">
      <formula>NOT(ISERROR(SEARCH("欠",H910)))</formula>
    </cfRule>
  </conditionalFormatting>
  <conditionalFormatting sqref="H911">
    <cfRule type="containsText" dxfId="0" priority="89" operator="between" text="欠">
      <formula>NOT(ISERROR(SEARCH("欠",H911)))</formula>
    </cfRule>
  </conditionalFormatting>
  <conditionalFormatting sqref="H916">
    <cfRule type="containsText" dxfId="0" priority="87" operator="between" text="欠">
      <formula>NOT(ISERROR(SEARCH("欠",H916)))</formula>
    </cfRule>
  </conditionalFormatting>
  <conditionalFormatting sqref="H917">
    <cfRule type="containsText" dxfId="0" priority="86" operator="between" text="欠">
      <formula>NOT(ISERROR(SEARCH("欠",H917)))</formula>
    </cfRule>
  </conditionalFormatting>
  <conditionalFormatting sqref="H918">
    <cfRule type="containsText" dxfId="0" priority="85" operator="between" text="欠">
      <formula>NOT(ISERROR(SEARCH("欠",H918)))</formula>
    </cfRule>
  </conditionalFormatting>
  <conditionalFormatting sqref="H919">
    <cfRule type="containsText" dxfId="0" priority="84" operator="between" text="欠">
      <formula>NOT(ISERROR(SEARCH("欠",H919)))</formula>
    </cfRule>
  </conditionalFormatting>
  <conditionalFormatting sqref="H920">
    <cfRule type="containsText" dxfId="0" priority="83" operator="between" text="欠">
      <formula>NOT(ISERROR(SEARCH("欠",H920)))</formula>
    </cfRule>
  </conditionalFormatting>
  <conditionalFormatting sqref="H921">
    <cfRule type="containsText" dxfId="0" priority="82" operator="between" text="欠">
      <formula>NOT(ISERROR(SEARCH("欠",H921)))</formula>
    </cfRule>
  </conditionalFormatting>
  <conditionalFormatting sqref="H922">
    <cfRule type="containsText" dxfId="0" priority="81" operator="between" text="欠">
      <formula>NOT(ISERROR(SEARCH("欠",H922)))</formula>
    </cfRule>
  </conditionalFormatting>
  <conditionalFormatting sqref="H923">
    <cfRule type="containsText" dxfId="0" priority="80" operator="between" text="欠">
      <formula>NOT(ISERROR(SEARCH("欠",H923)))</formula>
    </cfRule>
  </conditionalFormatting>
  <conditionalFormatting sqref="H924">
    <cfRule type="containsText" dxfId="0" priority="79" operator="between" text="欠">
      <formula>NOT(ISERROR(SEARCH("欠",H924)))</formula>
    </cfRule>
  </conditionalFormatting>
  <conditionalFormatting sqref="H925">
    <cfRule type="containsText" dxfId="0" priority="78" operator="between" text="欠">
      <formula>NOT(ISERROR(SEARCH("欠",H925)))</formula>
    </cfRule>
  </conditionalFormatting>
  <conditionalFormatting sqref="H926">
    <cfRule type="containsText" dxfId="0" priority="77" operator="between" text="欠">
      <formula>NOT(ISERROR(SEARCH("欠",H926)))</formula>
    </cfRule>
  </conditionalFormatting>
  <conditionalFormatting sqref="H927">
    <cfRule type="containsText" dxfId="0" priority="76" operator="between" text="欠">
      <formula>NOT(ISERROR(SEARCH("欠",H927)))</formula>
    </cfRule>
  </conditionalFormatting>
  <conditionalFormatting sqref="H928">
    <cfRule type="containsText" dxfId="0" priority="75" operator="between" text="欠">
      <formula>NOT(ISERROR(SEARCH("欠",H928)))</formula>
    </cfRule>
  </conditionalFormatting>
  <conditionalFormatting sqref="H929">
    <cfRule type="containsText" dxfId="0" priority="74" operator="between" text="欠">
      <formula>NOT(ISERROR(SEARCH("欠",H929)))</formula>
    </cfRule>
  </conditionalFormatting>
  <conditionalFormatting sqref="H930">
    <cfRule type="containsText" dxfId="0" priority="73" operator="between" text="欠">
      <formula>NOT(ISERROR(SEARCH("欠",H930)))</formula>
    </cfRule>
  </conditionalFormatting>
  <conditionalFormatting sqref="H931">
    <cfRule type="containsText" dxfId="0" priority="72" operator="between" text="欠">
      <formula>NOT(ISERROR(SEARCH("欠",H931)))</formula>
    </cfRule>
  </conditionalFormatting>
  <conditionalFormatting sqref="H932">
    <cfRule type="containsText" dxfId="0" priority="71" operator="between" text="欠">
      <formula>NOT(ISERROR(SEARCH("欠",H932)))</formula>
    </cfRule>
  </conditionalFormatting>
  <conditionalFormatting sqref="G935">
    <cfRule type="containsText" dxfId="0" priority="63" operator="between" text="欠">
      <formula>NOT(ISERROR(SEARCH("欠",G935)))</formula>
    </cfRule>
  </conditionalFormatting>
  <conditionalFormatting sqref="G936">
    <cfRule type="containsText" dxfId="0" priority="62" operator="between" text="欠">
      <formula>NOT(ISERROR(SEARCH("欠",G936)))</formula>
    </cfRule>
  </conditionalFormatting>
  <conditionalFormatting sqref="H938">
    <cfRule type="containsText" dxfId="0" priority="60" operator="between" text="欠">
      <formula>NOT(ISERROR(SEARCH("欠",H938)))</formula>
    </cfRule>
  </conditionalFormatting>
  <conditionalFormatting sqref="H941">
    <cfRule type="containsText" dxfId="0" priority="52" operator="between" text="欠">
      <formula>NOT(ISERROR(SEARCH("欠",H941)))</formula>
    </cfRule>
  </conditionalFormatting>
  <conditionalFormatting sqref="G973">
    <cfRule type="containsText" dxfId="0" priority="44" operator="between" text="欠">
      <formula>NOT(ISERROR(SEARCH("欠",G973)))</formula>
    </cfRule>
  </conditionalFormatting>
  <conditionalFormatting sqref="H985">
    <cfRule type="containsText" dxfId="0" priority="31" operator="between" text="欠">
      <formula>NOT(ISERROR(SEARCH("欠",H985)))</formula>
    </cfRule>
  </conditionalFormatting>
  <conditionalFormatting sqref="H988">
    <cfRule type="containsText" dxfId="0" priority="33" operator="between" text="欠">
      <formula>NOT(ISERROR(SEARCH("欠",H988)))</formula>
    </cfRule>
  </conditionalFormatting>
  <conditionalFormatting sqref="H989">
    <cfRule type="containsText" dxfId="0" priority="34" operator="between" text="欠">
      <formula>NOT(ISERROR(SEARCH("欠",H989)))</formula>
    </cfRule>
  </conditionalFormatting>
  <conditionalFormatting sqref="H994">
    <cfRule type="containsText" dxfId="0" priority="24" operator="between" text="欠">
      <formula>NOT(ISERROR(SEARCH("欠",H994)))</formula>
    </cfRule>
  </conditionalFormatting>
  <conditionalFormatting sqref="H997">
    <cfRule type="containsText" dxfId="0" priority="21" operator="between" text="欠">
      <formula>NOT(ISERROR(SEARCH("欠",H997)))</formula>
    </cfRule>
  </conditionalFormatting>
  <conditionalFormatting sqref="H998">
    <cfRule type="containsText" dxfId="0" priority="22" operator="between" text="欠">
      <formula>NOT(ISERROR(SEARCH("欠",H998)))</formula>
    </cfRule>
  </conditionalFormatting>
  <conditionalFormatting sqref="H1003">
    <cfRule type="containsText" dxfId="0" priority="9" operator="between" text="欠">
      <formula>NOT(ISERROR(SEARCH("欠",H1003)))</formula>
    </cfRule>
  </conditionalFormatting>
  <conditionalFormatting sqref="H1006">
    <cfRule type="containsText" dxfId="0" priority="11" operator="between" text="欠">
      <formula>NOT(ISERROR(SEARCH("欠",H1006)))</formula>
    </cfRule>
  </conditionalFormatting>
  <conditionalFormatting sqref="H1009">
    <cfRule type="containsText" dxfId="0" priority="13" operator="between" text="欠">
      <formula>NOT(ISERROR(SEARCH("欠",H1009)))</formula>
    </cfRule>
  </conditionalFormatting>
  <conditionalFormatting sqref="G17:G27">
    <cfRule type="containsText" dxfId="0" priority="317" operator="between" text="欠">
      <formula>NOT(ISERROR(SEARCH("欠",G17)))</formula>
    </cfRule>
  </conditionalFormatting>
  <conditionalFormatting sqref="G28:G29">
    <cfRule type="containsText" dxfId="0" priority="316" operator="between" text="欠">
      <formula>NOT(ISERROR(SEARCH("欠",G28)))</formula>
    </cfRule>
  </conditionalFormatting>
  <conditionalFormatting sqref="G46:G50">
    <cfRule type="containsText" dxfId="0" priority="300" operator="between" text="欠">
      <formula>NOT(ISERROR(SEARCH("欠",G46)))</formula>
    </cfRule>
  </conditionalFormatting>
  <conditionalFormatting sqref="G52:G54">
    <cfRule type="containsText" dxfId="0" priority="298" operator="between" text="欠">
      <formula>NOT(ISERROR(SEARCH("欠",G52)))</formula>
    </cfRule>
  </conditionalFormatting>
  <conditionalFormatting sqref="G57:G67">
    <cfRule type="containsText" dxfId="0" priority="297" operator="between" text="欠">
      <formula>NOT(ISERROR(SEARCH("欠",G57)))</formula>
    </cfRule>
  </conditionalFormatting>
  <conditionalFormatting sqref="G68:G73">
    <cfRule type="containsText" dxfId="0" priority="296" operator="between" text="欠">
      <formula>NOT(ISERROR(SEARCH("欠",G68)))</formula>
    </cfRule>
  </conditionalFormatting>
  <conditionalFormatting sqref="G75:G78">
    <cfRule type="containsText" dxfId="0" priority="295" operator="between" text="欠">
      <formula>NOT(ISERROR(SEARCH("欠",G75)))</formula>
    </cfRule>
  </conditionalFormatting>
  <conditionalFormatting sqref="G81:G108">
    <cfRule type="containsText" dxfId="0" priority="293" operator="between" text="欠">
      <formula>NOT(ISERROR(SEARCH("欠",G81)))</formula>
    </cfRule>
  </conditionalFormatting>
  <conditionalFormatting sqref="G109:G118">
    <cfRule type="containsText" dxfId="0" priority="292" operator="between" text="欠">
      <formula>NOT(ISERROR(SEARCH("欠",G109)))</formula>
    </cfRule>
  </conditionalFormatting>
  <conditionalFormatting sqref="G122:G156">
    <cfRule type="containsText" dxfId="0" priority="291" operator="between" text="欠">
      <formula>NOT(ISERROR(SEARCH("欠",G122)))</formula>
    </cfRule>
  </conditionalFormatting>
  <conditionalFormatting sqref="G157:G178">
    <cfRule type="containsText" dxfId="0" priority="290" operator="between" text="欠">
      <formula>NOT(ISERROR(SEARCH("欠",G157)))</formula>
    </cfRule>
  </conditionalFormatting>
  <conditionalFormatting sqref="G180:G181">
    <cfRule type="containsText" dxfId="0" priority="289" operator="between" text="欠">
      <formula>NOT(ISERROR(SEARCH("欠",G180)))</formula>
    </cfRule>
  </conditionalFormatting>
  <conditionalFormatting sqref="G182:G196">
    <cfRule type="containsText" dxfId="0" priority="287" operator="between" text="欠">
      <formula>NOT(ISERROR(SEARCH("欠",G182)))</formula>
    </cfRule>
  </conditionalFormatting>
  <conditionalFormatting sqref="G217:G224">
    <cfRule type="containsText" dxfId="0" priority="284" operator="between" text="欠">
      <formula>NOT(ISERROR(SEARCH("欠",G217)))</formula>
    </cfRule>
  </conditionalFormatting>
  <conditionalFormatting sqref="G231:G242">
    <cfRule type="containsText" dxfId="0" priority="283" operator="between" text="欠">
      <formula>NOT(ISERROR(SEARCH("欠",G231)))</formula>
    </cfRule>
  </conditionalFormatting>
  <conditionalFormatting sqref="G244:G247">
    <cfRule type="containsText" dxfId="0" priority="104" operator="between" text="欠">
      <formula>NOT(ISERROR(SEARCH("欠",G244)))</formula>
    </cfRule>
  </conditionalFormatting>
  <conditionalFormatting sqref="G276:G280">
    <cfRule type="containsText" dxfId="0" priority="272" operator="between" text="欠">
      <formula>NOT(ISERROR(SEARCH("欠",G276)))</formula>
    </cfRule>
  </conditionalFormatting>
  <conditionalFormatting sqref="G308:G321">
    <cfRule type="containsText" dxfId="0" priority="259" operator="between" text="欠">
      <formula>NOT(ISERROR(SEARCH("欠",G308)))</formula>
    </cfRule>
  </conditionalFormatting>
  <conditionalFormatting sqref="G337:G351">
    <cfRule type="containsText" dxfId="0" priority="256" operator="between" text="欠">
      <formula>NOT(ISERROR(SEARCH("欠",G337)))</formula>
    </cfRule>
  </conditionalFormatting>
  <conditionalFormatting sqref="G365:G402">
    <cfRule type="containsText" dxfId="0" priority="254" operator="between" text="欠">
      <formula>NOT(ISERROR(SEARCH("欠",G365)))</formula>
    </cfRule>
  </conditionalFormatting>
  <conditionalFormatting sqref="G420:G421">
    <cfRule type="containsText" dxfId="0" priority="249" operator="between" text="欠">
      <formula>NOT(ISERROR(SEARCH("欠",G420)))</formula>
    </cfRule>
  </conditionalFormatting>
  <conditionalFormatting sqref="G422:G427">
    <cfRule type="containsText" dxfId="0" priority="246" operator="between" text="欠">
      <formula>NOT(ISERROR(SEARCH("欠",G422)))</formula>
    </cfRule>
  </conditionalFormatting>
  <conditionalFormatting sqref="G429:G440">
    <cfRule type="containsText" dxfId="0" priority="243" operator="between" text="欠">
      <formula>NOT(ISERROR(SEARCH("欠",G429)))</formula>
    </cfRule>
  </conditionalFormatting>
  <conditionalFormatting sqref="G441:G444">
    <cfRule type="containsText" dxfId="0" priority="242" operator="between" text="欠">
      <formula>NOT(ISERROR(SEARCH("欠",G441)))</formula>
    </cfRule>
  </conditionalFormatting>
  <conditionalFormatting sqref="G445:G460">
    <cfRule type="containsText" dxfId="0" priority="240" operator="between" text="欠">
      <formula>NOT(ISERROR(SEARCH("欠",G445)))</formula>
    </cfRule>
  </conditionalFormatting>
  <conditionalFormatting sqref="G461:G462">
    <cfRule type="containsText" dxfId="0" priority="238" operator="between" text="欠">
      <formula>NOT(ISERROR(SEARCH("欠",G461)))</formula>
    </cfRule>
  </conditionalFormatting>
  <conditionalFormatting sqref="G463:G465">
    <cfRule type="containsText" dxfId="0" priority="237" operator="between" text="欠">
      <formula>NOT(ISERROR(SEARCH("欠",G463)))</formula>
    </cfRule>
  </conditionalFormatting>
  <conditionalFormatting sqref="G468:G476">
    <cfRule type="containsText" dxfId="0" priority="230" operator="between" text="欠">
      <formula>NOT(ISERROR(SEARCH("欠",G468)))</formula>
    </cfRule>
  </conditionalFormatting>
  <conditionalFormatting sqref="G477:G479">
    <cfRule type="containsText" dxfId="0" priority="226" operator="between" text="欠">
      <formula>NOT(ISERROR(SEARCH("欠",G477)))</formula>
    </cfRule>
  </conditionalFormatting>
  <conditionalFormatting sqref="G481:G484">
    <cfRule type="containsText" dxfId="0" priority="187" operator="between" text="欠">
      <formula>NOT(ISERROR(SEARCH("欠",G481)))</formula>
    </cfRule>
  </conditionalFormatting>
  <conditionalFormatting sqref="G486:G495">
    <cfRule type="containsText" dxfId="0" priority="193" operator="between" text="欠">
      <formula>NOT(ISERROR(SEARCH("欠",G486)))</formula>
    </cfRule>
  </conditionalFormatting>
  <conditionalFormatting sqref="G531:G537">
    <cfRule type="containsText" dxfId="0" priority="164" operator="between" text="欠">
      <formula>NOT(ISERROR(SEARCH("欠",G531)))</formula>
    </cfRule>
  </conditionalFormatting>
  <conditionalFormatting sqref="G538:G542">
    <cfRule type="containsText" dxfId="0" priority="163" operator="between" text="欠">
      <formula>NOT(ISERROR(SEARCH("欠",G538)))</formula>
    </cfRule>
  </conditionalFormatting>
  <conditionalFormatting sqref="G564:G567">
    <cfRule type="containsText" dxfId="0" priority="245" operator="between" text="欠">
      <formula>NOT(ISERROR(SEARCH("欠",G564)))</formula>
    </cfRule>
  </conditionalFormatting>
  <conditionalFormatting sqref="G916:G918">
    <cfRule type="containsText" dxfId="0" priority="69" operator="between" text="欠">
      <formula>NOT(ISERROR(SEARCH("欠",G916)))</formula>
    </cfRule>
  </conditionalFormatting>
  <conditionalFormatting sqref="G919:G921">
    <cfRule type="containsText" dxfId="0" priority="70" operator="between" text="欠">
      <formula>NOT(ISERROR(SEARCH("欠",G919)))</formula>
    </cfRule>
  </conditionalFormatting>
  <conditionalFormatting sqref="G922:G932">
    <cfRule type="containsText" dxfId="0" priority="68" operator="between" text="欠">
      <formula>NOT(ISERROR(SEARCH("欠",G922)))</formula>
    </cfRule>
  </conditionalFormatting>
  <conditionalFormatting sqref="G933:G934">
    <cfRule type="containsText" dxfId="0" priority="54" operator="between" text="欠">
      <formula>NOT(ISERROR(SEARCH("欠",G933)))</formula>
    </cfRule>
  </conditionalFormatting>
  <conditionalFormatting sqref="G946:G947">
    <cfRule type="containsText" dxfId="0" priority="47" operator="between" text="欠">
      <formula>NOT(ISERROR(SEARCH("欠",G946)))</formula>
    </cfRule>
  </conditionalFormatting>
  <conditionalFormatting sqref="G948:G950">
    <cfRule type="containsText" dxfId="0" priority="46" operator="between" text="欠">
      <formula>NOT(ISERROR(SEARCH("欠",G948)))</formula>
    </cfRule>
  </conditionalFormatting>
  <conditionalFormatting sqref="G951:G969">
    <cfRule type="containsText" dxfId="0" priority="137" operator="between" text="欠">
      <formula>NOT(ISERROR(SEARCH("欠",G951)))</formula>
    </cfRule>
  </conditionalFormatting>
  <conditionalFormatting sqref="G1010:G1012">
    <cfRule type="containsText" dxfId="0" priority="8" operator="between" text="欠">
      <formula>NOT(ISERROR(SEARCH("欠",G1010)))</formula>
    </cfRule>
  </conditionalFormatting>
  <conditionalFormatting sqref="H469:H470">
    <cfRule type="containsText" dxfId="0" priority="232" operator="between" text="欠">
      <formula>NOT(ISERROR(SEARCH("欠",H469)))</formula>
    </cfRule>
  </conditionalFormatting>
  <conditionalFormatting sqref="H471:H472">
    <cfRule type="containsText" dxfId="0" priority="233" operator="between" text="欠">
      <formula>NOT(ISERROR(SEARCH("欠",H471)))</formula>
    </cfRule>
  </conditionalFormatting>
  <conditionalFormatting sqref="H473:H474">
    <cfRule type="containsText" dxfId="0" priority="234" operator="between" text="欠">
      <formula>NOT(ISERROR(SEARCH("欠",H473)))</formula>
    </cfRule>
  </conditionalFormatting>
  <conditionalFormatting sqref="H481:H484">
    <cfRule type="containsText" dxfId="0" priority="190" operator="between" text="欠">
      <formula>NOT(ISERROR(SEARCH("欠",H481)))</formula>
    </cfRule>
  </conditionalFormatting>
  <conditionalFormatting sqref="H487:H490">
    <cfRule type="containsText" dxfId="0" priority="195" operator="between" text="欠">
      <formula>NOT(ISERROR(SEARCH("欠",H487)))</formula>
    </cfRule>
  </conditionalFormatting>
  <conditionalFormatting sqref="H492:H495">
    <cfRule type="containsText" dxfId="0" priority="197" operator="between" text="欠">
      <formula>NOT(ISERROR(SEARCH("欠",H492)))</formula>
    </cfRule>
  </conditionalFormatting>
  <conditionalFormatting sqref="H508:H511">
    <cfRule type="containsText" dxfId="0" priority="177" operator="between" text="欠">
      <formula>NOT(ISERROR(SEARCH("欠",H508)))</formula>
    </cfRule>
  </conditionalFormatting>
  <conditionalFormatting sqref="H513:H514">
    <cfRule type="containsText" dxfId="0" priority="179" operator="between" text="欠">
      <formula>NOT(ISERROR(SEARCH("欠",H513)))</formula>
    </cfRule>
  </conditionalFormatting>
  <conditionalFormatting sqref="H521:H522">
    <cfRule type="containsText" dxfId="0" priority="182" operator="between" text="欠">
      <formula>NOT(ISERROR(SEARCH("欠",H521)))</formula>
    </cfRule>
  </conditionalFormatting>
  <conditionalFormatting sqref="H523:H527">
    <cfRule type="containsText" dxfId="0" priority="183" operator="between" text="欠">
      <formula>NOT(ISERROR(SEARCH("欠",H523)))</formula>
    </cfRule>
  </conditionalFormatting>
  <conditionalFormatting sqref="H529:H530">
    <cfRule type="containsText" dxfId="0" priority="185" operator="between" text="欠">
      <formula>NOT(ISERROR(SEARCH("欠",H529)))</formula>
    </cfRule>
  </conditionalFormatting>
  <conditionalFormatting sqref="H531:H533">
    <cfRule type="containsText" dxfId="0" priority="165" operator="between" text="欠">
      <formula>NOT(ISERROR(SEARCH("欠",H531)))</formula>
    </cfRule>
  </conditionalFormatting>
  <conditionalFormatting sqref="H536:H539">
    <cfRule type="containsText" dxfId="0" priority="168" operator="between" text="欠">
      <formula>NOT(ISERROR(SEARCH("欠",H536)))</formula>
    </cfRule>
  </conditionalFormatting>
  <conditionalFormatting sqref="H541:H542">
    <cfRule type="containsText" dxfId="0" priority="170" operator="between" text="欠">
      <formula>NOT(ISERROR(SEARCH("欠",H541)))</formula>
    </cfRule>
  </conditionalFormatting>
  <conditionalFormatting sqref="H570:H572">
    <cfRule type="containsText" dxfId="0" priority="129" operator="between" text="欠">
      <formula>NOT(ISERROR(SEARCH("欠",H570)))</formula>
    </cfRule>
  </conditionalFormatting>
  <conditionalFormatting sqref="H576:H578">
    <cfRule type="containsText" dxfId="0" priority="132" operator="between" text="欠">
      <formula>NOT(ISERROR(SEARCH("欠",H576)))</formula>
    </cfRule>
  </conditionalFormatting>
  <conditionalFormatting sqref="H580:H582">
    <cfRule type="containsText" dxfId="0" priority="134" operator="between" text="欠">
      <formula>NOT(ISERROR(SEARCH("欠",H580)))</formula>
    </cfRule>
  </conditionalFormatting>
  <conditionalFormatting sqref="H584:H586">
    <cfRule type="containsText" dxfId="0" priority="136" operator="between" text="欠">
      <formula>NOT(ISERROR(SEARCH("欠",H584)))</formula>
    </cfRule>
  </conditionalFormatting>
  <conditionalFormatting sqref="H588:H591">
    <cfRule type="containsText" dxfId="0" priority="125" operator="between" text="欠">
      <formula>NOT(ISERROR(SEARCH("欠",H588)))</formula>
    </cfRule>
  </conditionalFormatting>
  <conditionalFormatting sqref="H593:H595">
    <cfRule type="containsText" dxfId="0" priority="127" operator="between" text="欠">
      <formula>NOT(ISERROR(SEARCH("欠",H593)))</formula>
    </cfRule>
  </conditionalFormatting>
  <conditionalFormatting sqref="H598:H599">
    <cfRule type="containsText" dxfId="0" priority="118" operator="between" text="欠">
      <formula>NOT(ISERROR(SEARCH("欠",H598)))</formula>
    </cfRule>
  </conditionalFormatting>
  <conditionalFormatting sqref="H601:H603">
    <cfRule type="containsText" dxfId="0" priority="115" operator="between" text="欠">
      <formula>NOT(ISERROR(SEARCH("欠",H601)))</formula>
    </cfRule>
  </conditionalFormatting>
  <conditionalFormatting sqref="H769:H772">
    <cfRule type="containsText" dxfId="0" priority="113" operator="between" text="欠">
      <formula>NOT(ISERROR(SEARCH("欠",H769)))</formula>
    </cfRule>
  </conditionalFormatting>
  <conditionalFormatting sqref="H774:H777">
    <cfRule type="containsText" dxfId="0" priority="110" operator="between" text="欠">
      <formula>NOT(ISERROR(SEARCH("欠",H774)))</formula>
    </cfRule>
  </conditionalFormatting>
  <conditionalFormatting sqref="H778:H781">
    <cfRule type="containsText" dxfId="0" priority="111" operator="between" text="欠">
      <formula>NOT(ISERROR(SEARCH("欠",H778)))</formula>
    </cfRule>
  </conditionalFormatting>
  <conditionalFormatting sqref="H782:H785">
    <cfRule type="containsText" dxfId="0" priority="112" operator="between" text="欠">
      <formula>NOT(ISERROR(SEARCH("欠",H782)))</formula>
    </cfRule>
  </conditionalFormatting>
  <conditionalFormatting sqref="H786:H787">
    <cfRule type="containsText" dxfId="0" priority="108" operator="between" text="欠">
      <formula>NOT(ISERROR(SEARCH("欠",H786)))</formula>
    </cfRule>
  </conditionalFormatting>
  <conditionalFormatting sqref="H788:H792">
    <cfRule type="containsText" dxfId="0" priority="109" operator="between" text="欠">
      <formula>NOT(ISERROR(SEARCH("欠",H788)))</formula>
    </cfRule>
  </conditionalFormatting>
  <conditionalFormatting sqref="H912:H914">
    <cfRule type="containsText" dxfId="0" priority="101" operator="between" text="欠">
      <formula>NOT(ISERROR(SEARCH("欠",H912)))</formula>
    </cfRule>
  </conditionalFormatting>
  <conditionalFormatting sqref="H933:H934">
    <cfRule type="containsText" dxfId="0" priority="66" operator="between" text="欠">
      <formula>NOT(ISERROR(SEARCH("欠",H933)))</formula>
    </cfRule>
  </conditionalFormatting>
  <conditionalFormatting sqref="H935:H936">
    <cfRule type="containsText" dxfId="0" priority="67" operator="between" text="欠">
      <formula>NOT(ISERROR(SEARCH("欠",H935)))</formula>
    </cfRule>
  </conditionalFormatting>
  <conditionalFormatting sqref="H942:H945">
    <cfRule type="containsText" dxfId="0" priority="53" operator="between" text="欠">
      <formula>NOT(ISERROR(SEARCH("欠",H942)))</formula>
    </cfRule>
  </conditionalFormatting>
  <conditionalFormatting sqref="H946:H948">
    <cfRule type="containsText" dxfId="0" priority="50" operator="between" text="欠">
      <formula>NOT(ISERROR(SEARCH("欠",H946)))</formula>
    </cfRule>
  </conditionalFormatting>
  <conditionalFormatting sqref="H971:H972">
    <cfRule type="containsText" dxfId="0" priority="45" operator="between" text="欠">
      <formula>NOT(ISERROR(SEARCH("欠",H971)))</formula>
    </cfRule>
  </conditionalFormatting>
  <conditionalFormatting sqref="H974:H975">
    <cfRule type="containsText" dxfId="0" priority="38" operator="between" text="欠">
      <formula>NOT(ISERROR(SEARCH("欠",H974)))</formula>
    </cfRule>
  </conditionalFormatting>
  <conditionalFormatting sqref="H976:H977">
    <cfRule type="containsText" dxfId="0" priority="39" operator="between" text="欠">
      <formula>NOT(ISERROR(SEARCH("欠",H976)))</formula>
    </cfRule>
  </conditionalFormatting>
  <conditionalFormatting sqref="H978:H979">
    <cfRule type="containsText" dxfId="0" priority="40" operator="between" text="欠">
      <formula>NOT(ISERROR(SEARCH("欠",H978)))</formula>
    </cfRule>
  </conditionalFormatting>
  <conditionalFormatting sqref="H980:H981">
    <cfRule type="containsText" dxfId="0" priority="41" operator="between" text="欠">
      <formula>NOT(ISERROR(SEARCH("欠",H980)))</formula>
    </cfRule>
  </conditionalFormatting>
  <conditionalFormatting sqref="H982:H983">
    <cfRule type="containsText" dxfId="0" priority="35" operator="between" text="欠">
      <formula>NOT(ISERROR(SEARCH("欠",H982)))</formula>
    </cfRule>
  </conditionalFormatting>
  <conditionalFormatting sqref="H986:H987">
    <cfRule type="containsText" dxfId="0" priority="32" operator="between" text="欠">
      <formula>NOT(ISERROR(SEARCH("欠",H986)))</formula>
    </cfRule>
  </conditionalFormatting>
  <conditionalFormatting sqref="H991:H992">
    <cfRule type="containsText" dxfId="0" priority="30" operator="between" text="欠">
      <formula>NOT(ISERROR(SEARCH("欠",H991)))</formula>
    </cfRule>
  </conditionalFormatting>
  <conditionalFormatting sqref="H999:H1001">
    <cfRule type="containsText" dxfId="0" priority="23" operator="between" text="欠">
      <formula>NOT(ISERROR(SEARCH("欠",H999)))</formula>
    </cfRule>
  </conditionalFormatting>
  <conditionalFormatting sqref="H1004:H1005">
    <cfRule type="containsText" dxfId="0" priority="10" operator="between" text="欠">
      <formula>NOT(ISERROR(SEARCH("欠",H1004)))</formula>
    </cfRule>
  </conditionalFormatting>
  <conditionalFormatting sqref="H1007:H1008">
    <cfRule type="containsText" dxfId="0" priority="12" operator="between" text="欠">
      <formula>NOT(ISERROR(SEARCH("欠",H1007)))</formula>
    </cfRule>
  </conditionalFormatting>
  <conditionalFormatting sqref="H1010:H1011">
    <cfRule type="containsText" dxfId="0" priority="14" operator="between" text="欠">
      <formula>NOT(ISERROR(SEARCH("欠",H1010)))</formula>
    </cfRule>
  </conditionalFormatting>
  <conditionalFormatting sqref="H1013:H1024">
    <cfRule type="containsText" dxfId="0" priority="7" operator="between" text="欠">
      <formula>NOT(ISERROR(SEARCH("欠",H1013)))</formula>
    </cfRule>
  </conditionalFormatting>
  <conditionalFormatting sqref="H1078:H1082">
    <cfRule type="containsText" dxfId="0" priority="4" operator="between" text="欠">
      <formula>NOT(ISERROR(SEARCH("欠",H1078)))</formula>
    </cfRule>
  </conditionalFormatting>
  <conditionalFormatting sqref="H1083:H1088">
    <cfRule type="containsText" dxfId="0" priority="2" operator="between" text="欠">
      <formula>NOT(ISERROR(SEARCH("欠",H1083)))</formula>
    </cfRule>
  </conditionalFormatting>
  <conditionalFormatting sqref="H1089:H1094">
    <cfRule type="containsText" dxfId="0" priority="3" operator="between" text="欠">
      <formula>NOT(ISERROR(SEARCH("欠",H1089)))</formula>
    </cfRule>
  </conditionalFormatting>
  <conditionalFormatting sqref="H1095:H1097">
    <cfRule type="containsText" dxfId="0" priority="1" operator="between" text="欠">
      <formula>NOT(ISERROR(SEARCH("欠",H1095)))</formula>
    </cfRule>
  </conditionalFormatting>
  <conditionalFormatting sqref="H3:H196 H198 H200 H202:H206 H208:H212 H214:H258 H260:H262 H264:H266 H268:H331 H333:H465 H475:H476 H564:H567">
    <cfRule type="containsText" dxfId="0" priority="236" operator="between" text="欠">
      <formula>NOT(ISERROR(SEARCH("欠",H3)))</formula>
    </cfRule>
  </conditionalFormatting>
  <conditionalFormatting sqref="G243 G248">
    <cfRule type="containsText" dxfId="0" priority="282" operator="between" text="欠">
      <formula>NOT(ISERROR(SEARCH("欠",G243)))</formula>
    </cfRule>
  </conditionalFormatting>
  <conditionalFormatting sqref="G249:G262 G264">
    <cfRule type="containsText" dxfId="0" priority="103" operator="between" text="欠">
      <formula>NOT(ISERROR(SEARCH("欠",G249)))</formula>
    </cfRule>
  </conditionalFormatting>
  <conditionalFormatting sqref="G265:G266 G268:G270">
    <cfRule type="containsText" dxfId="0" priority="279" operator="between" text="欠">
      <formula>NOT(ISERROR(SEARCH("欠",G265)))</formula>
    </cfRule>
  </conditionalFormatting>
  <conditionalFormatting sqref="G282:G286 G289:G305">
    <cfRule type="containsText" dxfId="0" priority="267" operator="between" text="欠">
      <formula>NOT(ISERROR(SEARCH("欠",G282)))</formula>
    </cfRule>
  </conditionalFormatting>
  <conditionalFormatting sqref="G323:G329 G331 G333:G336">
    <cfRule type="containsText" dxfId="0" priority="258" operator="between" text="欠">
      <formula>NOT(ISERROR(SEARCH("欠",G323)))</formula>
    </cfRule>
  </conditionalFormatting>
  <conditionalFormatting sqref="G405:G411 G413:G419">
    <cfRule type="containsText" dxfId="0" priority="251" operator="between" text="欠">
      <formula>NOT(ISERROR(SEARCH("欠",G405)))</formula>
    </cfRule>
  </conditionalFormatting>
  <conditionalFormatting sqref="H466 H477:H479">
    <cfRule type="containsText" dxfId="0" priority="228" operator="between" text="欠">
      <formula>NOT(ISERROR(SEARCH("欠",H466)))</formula>
    </cfRule>
  </conditionalFormatting>
  <conditionalFormatting sqref="G511:G515 G517:G526 G528:G529">
    <cfRule type="containsText" dxfId="0" priority="176" operator="between" text="欠">
      <formula>NOT(ISERROR(SEARCH("欠",G511)))</formula>
    </cfRule>
  </conditionalFormatting>
  <conditionalFormatting sqref="H515 H517:H519">
    <cfRule type="containsText" dxfId="0" priority="180" operator="between" text="欠">
      <formula>NOT(ISERROR(SEARCH("欠",H515)))</formula>
    </cfRule>
  </conditionalFormatting>
  <conditionalFormatting sqref="H563 H951:H969">
    <cfRule type="containsText" dxfId="0" priority="192" operator="between" text="欠">
      <formula>NOT(ISERROR(SEARCH("欠",H563)))</formula>
    </cfRule>
  </conditionalFormatting>
  <conditionalFormatting sqref="H600 H1290">
    <cfRule type="containsText" dxfId="0" priority="255" operator="between" text="欠">
      <formula>NOT(ISERROR(SEARCH("欠",H600)))</formula>
    </cfRule>
  </conditionalFormatting>
  <conditionalFormatting sqref="H605:H660 H662:H710 H712:H765 H767:H768 H793:H794">
    <cfRule type="containsText" dxfId="0" priority="117" operator="between" text="欠">
      <formula>NOT(ISERROR(SEARCH("欠",H605)))</formula>
    </cfRule>
  </conditionalFormatting>
  <conditionalFormatting sqref="H792:H896 H912 H967 H970 H1022:H1030 H1032:H1074 H1095:H1289">
    <cfRule type="containsText" dxfId="0" priority="107" operator="between" text="欠">
      <formula>NOT(ISERROR(SEARCH("欠",H792)))</formula>
    </cfRule>
  </conditionalFormatting>
  <conditionalFormatting sqref="H937 H950">
    <cfRule type="containsText" dxfId="0" priority="88" operator="between" text="欠">
      <formula>NOT(ISERROR(SEARCH("欠",H937)))</formula>
    </cfRule>
  </conditionalFormatting>
  <conditionalFormatting sqref="H939:H940 H949">
    <cfRule type="containsText" dxfId="0" priority="61" operator="between" text="欠">
      <formula>NOT(ISERROR(SEARCH("欠",H939)))</formula>
    </cfRule>
  </conditionalFormatting>
  <conditionalFormatting sqref="H984 H990">
    <cfRule type="containsText" dxfId="0" priority="42" operator="between" text="欠">
      <formula>NOT(ISERROR(SEARCH("欠",H984)))</formula>
    </cfRule>
  </conditionalFormatting>
  <conditionalFormatting sqref="H993 H1012">
    <cfRule type="containsText" dxfId="0" priority="29" operator="between" text="欠">
      <formula>NOT(ISERROR(SEARCH("欠",H993)))</formula>
    </cfRule>
  </conditionalFormatting>
  <conditionalFormatting sqref="H995:H996 H1002">
    <cfRule type="containsText" dxfId="0" priority="25" operator="between" text="欠">
      <formula>NOT(ISERROR(SEARCH("欠",H995)))</formula>
    </cfRule>
  </conditionalFormatting>
  <pageMargins left="0.75" right="0.75" top="1" bottom="1" header="0.5" footer="0.5"/>
  <pageSetup paperSize="9" orientation="portrait"/>
  <headerFooter/>
  <ignoredErrors>
    <ignoredError sqref="F633:F634 F667" formula="1"/>
    <ignoredError sqref="C214:C215 C208:C212 C205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BC34"/>
  <sheetViews>
    <sheetView workbookViewId="0">
      <pane xSplit="15" ySplit="2" topLeftCell="AM27" activePane="bottomRight" state="frozen"/>
      <selection/>
      <selection pane="topRight"/>
      <selection pane="bottomLeft"/>
      <selection pane="bottomRight" activeCell="Z16" sqref="Z16"/>
    </sheetView>
  </sheetViews>
  <sheetFormatPr defaultColWidth="9" defaultRowHeight="25" customHeight="1"/>
  <cols>
    <col min="1" max="1" width="12.625" style="17" customWidth="1"/>
    <col min="2" max="2" width="3.625" style="672" customWidth="1"/>
    <col min="3" max="3" width="3.625" style="17" customWidth="1"/>
    <col min="4" max="4" width="10.625" style="12" customWidth="1"/>
    <col min="5" max="5" width="8.625" style="12" customWidth="1"/>
    <col min="6" max="8" width="12.625" style="12" customWidth="1"/>
    <col min="9" max="9" width="3.50833333333333" style="12" customWidth="1"/>
    <col min="10" max="10" width="6.625" style="18" customWidth="1"/>
    <col min="11" max="11" width="5.625" style="18" hidden="1" customWidth="1"/>
    <col min="12" max="12" width="6.625" style="18" hidden="1" customWidth="1"/>
    <col min="13" max="13" width="5.625" style="12" customWidth="1"/>
    <col min="14" max="14" width="5.625" style="18" customWidth="1"/>
    <col min="15" max="17" width="12.625" style="17" customWidth="1"/>
    <col min="18" max="18" width="6.625" style="17" customWidth="1"/>
    <col min="19" max="19" width="12.625" style="17" customWidth="1"/>
    <col min="20" max="20" width="8.625" style="12" customWidth="1"/>
    <col min="21" max="21" width="8.625" style="17" customWidth="1"/>
    <col min="22" max="22" width="10.625" style="17" customWidth="1"/>
    <col min="23" max="23" width="4.61666666666667" style="17" customWidth="1"/>
    <col min="24" max="24" width="12.625" style="12" customWidth="1"/>
    <col min="25" max="25" width="6.625" style="12" customWidth="1"/>
    <col min="26" max="26" width="8.625" style="12" customWidth="1"/>
    <col min="27" max="27" width="8.625" style="673" customWidth="1"/>
    <col min="28" max="28" width="8.625" style="12" customWidth="1"/>
    <col min="29" max="29" width="10.625" style="12" customWidth="1"/>
    <col min="30" max="30" width="4.625" style="12" customWidth="1"/>
    <col min="31" max="31" width="10.625" style="12" customWidth="1"/>
    <col min="32" max="32" width="4.625" style="12" customWidth="1"/>
    <col min="33" max="34" width="10.625" style="12" customWidth="1"/>
    <col min="35" max="35" width="4.625" style="12" customWidth="1"/>
    <col min="36" max="37" width="10.625" style="12" customWidth="1"/>
    <col min="38" max="38" width="6.625" style="12" customWidth="1"/>
    <col min="39" max="39" width="10.625" style="12" customWidth="1"/>
    <col min="40" max="40" width="15.625" style="18" customWidth="1"/>
    <col min="41" max="41" width="8.625" style="20" customWidth="1"/>
    <col min="42" max="43" width="12.625" style="21" customWidth="1"/>
    <col min="44" max="44" width="10.625" style="507" customWidth="1"/>
    <col min="45" max="45" width="10.625" style="17" customWidth="1"/>
    <col min="46" max="46" width="8.625" style="17" customWidth="1"/>
    <col min="47" max="50" width="7.7" style="17" customWidth="1"/>
    <col min="51" max="53" width="8.625" style="17" customWidth="1"/>
    <col min="54" max="55" width="8.625" style="18" customWidth="1"/>
    <col min="56" max="16384" width="9" style="381"/>
  </cols>
  <sheetData>
    <row r="1" s="12" customFormat="1" customHeight="1" spans="1:55">
      <c r="A1" s="25" t="s">
        <v>208</v>
      </c>
      <c r="B1" s="26" t="s">
        <v>1168</v>
      </c>
      <c r="C1" s="27" t="s">
        <v>3</v>
      </c>
      <c r="D1" s="25" t="s">
        <v>1169</v>
      </c>
      <c r="E1" s="25" t="s">
        <v>1170</v>
      </c>
      <c r="F1" s="25" t="s">
        <v>210</v>
      </c>
      <c r="G1" s="25" t="s">
        <v>211</v>
      </c>
      <c r="H1" s="25" t="s">
        <v>0</v>
      </c>
      <c r="I1" s="25" t="s">
        <v>207</v>
      </c>
      <c r="J1" s="205" t="s">
        <v>212</v>
      </c>
      <c r="K1" s="25" t="s">
        <v>1</v>
      </c>
      <c r="L1" s="25" t="s">
        <v>1171</v>
      </c>
      <c r="M1" s="25" t="s">
        <v>1172</v>
      </c>
      <c r="N1" s="25" t="s">
        <v>1173</v>
      </c>
      <c r="O1" s="25" t="s">
        <v>1174</v>
      </c>
      <c r="P1" s="28" t="s">
        <v>1175</v>
      </c>
      <c r="Q1" s="25" t="s">
        <v>1176</v>
      </c>
      <c r="R1" s="29" t="s">
        <v>1177</v>
      </c>
      <c r="S1" s="25" t="s">
        <v>1178</v>
      </c>
      <c r="T1" s="29" t="s">
        <v>1179</v>
      </c>
      <c r="U1" s="30" t="s">
        <v>1180</v>
      </c>
      <c r="V1" s="25" t="s">
        <v>1181</v>
      </c>
      <c r="W1" s="25" t="s">
        <v>1182</v>
      </c>
      <c r="X1" s="29" t="s">
        <v>1183</v>
      </c>
      <c r="Y1" s="29"/>
      <c r="Z1" s="29" t="s">
        <v>1184</v>
      </c>
      <c r="AA1" s="31"/>
      <c r="AB1" s="29"/>
      <c r="AC1" s="29" t="s">
        <v>1185</v>
      </c>
      <c r="AD1" s="29"/>
      <c r="AE1" s="29" t="s">
        <v>1186</v>
      </c>
      <c r="AF1" s="29"/>
      <c r="AG1" s="29" t="s">
        <v>1187</v>
      </c>
      <c r="AH1" s="29"/>
      <c r="AI1" s="29"/>
      <c r="AJ1" s="29" t="s">
        <v>1188</v>
      </c>
      <c r="AK1" s="29" t="s">
        <v>1189</v>
      </c>
      <c r="AL1" s="29" t="s">
        <v>1190</v>
      </c>
      <c r="AM1" s="29" t="s">
        <v>1191</v>
      </c>
      <c r="AN1" s="32" t="s">
        <v>1192</v>
      </c>
      <c r="AO1" s="32" t="s">
        <v>243</v>
      </c>
      <c r="AP1" s="32" t="s">
        <v>244</v>
      </c>
      <c r="AQ1" s="32" t="s">
        <v>245</v>
      </c>
      <c r="AR1" s="33" t="s">
        <v>1193</v>
      </c>
      <c r="AS1" s="32" t="s">
        <v>1194</v>
      </c>
      <c r="AT1" s="32" t="s">
        <v>1195</v>
      </c>
      <c r="AU1" s="34" t="s">
        <v>1196</v>
      </c>
      <c r="AV1" s="34" t="s">
        <v>1197</v>
      </c>
      <c r="AW1" s="34" t="s">
        <v>1198</v>
      </c>
      <c r="AX1" s="35" t="s">
        <v>1199</v>
      </c>
      <c r="AY1" s="32" t="s">
        <v>1200</v>
      </c>
      <c r="AZ1" s="32" t="s">
        <v>1201</v>
      </c>
      <c r="BA1" s="32" t="s">
        <v>1202</v>
      </c>
      <c r="BB1" s="205" t="s">
        <v>1169</v>
      </c>
      <c r="BC1" s="205" t="s">
        <v>1170</v>
      </c>
    </row>
    <row r="2" s="12" customFormat="1" customHeight="1" spans="1:55">
      <c r="A2" s="25"/>
      <c r="B2" s="26"/>
      <c r="C2" s="36"/>
      <c r="D2" s="25"/>
      <c r="E2" s="25"/>
      <c r="F2" s="25"/>
      <c r="G2" s="25"/>
      <c r="H2" s="25"/>
      <c r="I2" s="25"/>
      <c r="J2" s="205"/>
      <c r="K2" s="25"/>
      <c r="L2" s="25"/>
      <c r="M2" s="25"/>
      <c r="N2" s="25"/>
      <c r="O2" s="25"/>
      <c r="P2" s="28"/>
      <c r="Q2" s="25"/>
      <c r="R2" s="29"/>
      <c r="S2" s="25"/>
      <c r="T2" s="29"/>
      <c r="U2" s="37"/>
      <c r="V2" s="25"/>
      <c r="W2" s="25"/>
      <c r="X2" s="29" t="s">
        <v>1203</v>
      </c>
      <c r="Y2" s="29" t="s">
        <v>1204</v>
      </c>
      <c r="Z2" s="29" t="s">
        <v>1205</v>
      </c>
      <c r="AA2" s="31" t="s">
        <v>1206</v>
      </c>
      <c r="AB2" s="29" t="s">
        <v>1207</v>
      </c>
      <c r="AC2" s="29" t="s">
        <v>1208</v>
      </c>
      <c r="AD2" s="29" t="s">
        <v>1204</v>
      </c>
      <c r="AE2" s="29" t="s">
        <v>1209</v>
      </c>
      <c r="AF2" s="29" t="s">
        <v>1204</v>
      </c>
      <c r="AG2" s="29" t="s">
        <v>1210</v>
      </c>
      <c r="AH2" s="29" t="s">
        <v>1211</v>
      </c>
      <c r="AI2" s="29" t="s">
        <v>1204</v>
      </c>
      <c r="AJ2" s="29"/>
      <c r="AK2" s="29"/>
      <c r="AL2" s="29"/>
      <c r="AM2" s="29"/>
      <c r="AN2" s="32"/>
      <c r="AO2" s="32"/>
      <c r="AP2" s="32"/>
      <c r="AQ2" s="32"/>
      <c r="AR2" s="33"/>
      <c r="AS2" s="32"/>
      <c r="AT2" s="32"/>
      <c r="AU2" s="38"/>
      <c r="AV2" s="38"/>
      <c r="AW2" s="38"/>
      <c r="AX2" s="39"/>
      <c r="AY2" s="32"/>
      <c r="AZ2" s="32"/>
      <c r="BA2" s="32"/>
      <c r="BB2" s="205"/>
      <c r="BC2" s="205"/>
    </row>
    <row r="3" s="496" customFormat="1" hidden="1" customHeight="1" spans="1:55">
      <c r="A3" s="116">
        <v>45744</v>
      </c>
      <c r="B3" s="40" t="str">
        <f ca="1" t="shared" ref="B3:B26" si="0">IF(TODAY()-5&gt;=A3,IF(AB3="","异常",""),"")</f>
        <v>异常</v>
      </c>
      <c r="C3" s="175" t="str">
        <f>VLOOKUP(H3,名称!A:E,4,0)</f>
        <v>二代</v>
      </c>
      <c r="D3" s="117" t="s">
        <v>1212</v>
      </c>
      <c r="E3" s="117" t="s">
        <v>1213</v>
      </c>
      <c r="F3" s="118" t="s">
        <v>1133</v>
      </c>
      <c r="G3" s="118" t="s">
        <v>246</v>
      </c>
      <c r="H3" s="118" t="s">
        <v>49</v>
      </c>
      <c r="I3" s="119"/>
      <c r="J3" s="92">
        <f>150000-90000-5440-5440-5440-5440-5440-5440-5440-5440</f>
        <v>16480</v>
      </c>
      <c r="K3" s="92">
        <f>VLOOKUP(H3,名称!A:C,2,0)</f>
        <v>50</v>
      </c>
      <c r="L3" s="92">
        <f t="shared" ref="L3:L20" si="1">K3*J3</f>
        <v>824000</v>
      </c>
      <c r="M3" s="118">
        <f>VLOOKUP(H3,名称!A:E,3,0)</f>
        <v>4</v>
      </c>
      <c r="N3" s="32">
        <f t="shared" ref="N3:N26" si="2">J3/M3</f>
        <v>4120</v>
      </c>
      <c r="O3" s="116">
        <v>45839</v>
      </c>
      <c r="P3" s="116">
        <v>45839</v>
      </c>
      <c r="Q3" s="116">
        <v>45839</v>
      </c>
      <c r="R3" s="116"/>
      <c r="S3" s="116">
        <f>Q3+1</f>
        <v>45840</v>
      </c>
      <c r="T3" s="29"/>
      <c r="U3" s="116"/>
      <c r="V3" s="116"/>
      <c r="W3" s="462" t="str">
        <f>IFERROR(VLOOKUP(H3,名称!A:F,6,0),"")</f>
        <v>东莞</v>
      </c>
      <c r="X3" s="118" t="s">
        <v>1133</v>
      </c>
      <c r="Y3" s="118" t="s">
        <v>1133</v>
      </c>
      <c r="Z3" s="118" t="s">
        <v>1214</v>
      </c>
      <c r="AA3" s="674"/>
      <c r="AB3" s="118"/>
      <c r="AC3" s="118" t="s">
        <v>1133</v>
      </c>
      <c r="AD3" s="118" t="s">
        <v>1133</v>
      </c>
      <c r="AE3" s="118" t="s">
        <v>1215</v>
      </c>
      <c r="AF3" s="118" t="s">
        <v>1216</v>
      </c>
      <c r="AG3" s="118" t="s">
        <v>1217</v>
      </c>
      <c r="AH3" s="118" t="s">
        <v>1133</v>
      </c>
      <c r="AI3" s="118" t="s">
        <v>1218</v>
      </c>
      <c r="AJ3" s="118" t="s">
        <v>253</v>
      </c>
      <c r="AK3" s="118" t="s">
        <v>1133</v>
      </c>
      <c r="AL3" s="118"/>
      <c r="AM3" s="118" t="s">
        <v>1219</v>
      </c>
      <c r="AN3" s="32"/>
      <c r="AO3" s="124">
        <v>6.93</v>
      </c>
      <c r="AP3" s="125">
        <f t="shared" ref="AP3:AP33" si="3">J3*AO3</f>
        <v>114206.4</v>
      </c>
      <c r="AQ3" s="125">
        <f t="shared" ref="AQ3:AQ33" si="4">AP3*7.75</f>
        <v>885099.6</v>
      </c>
      <c r="AR3" s="51"/>
      <c r="AS3" s="116"/>
      <c r="AT3" s="116" t="s">
        <v>1220</v>
      </c>
      <c r="AU3" s="218"/>
      <c r="AV3" s="219"/>
      <c r="AW3" s="116"/>
      <c r="AX3" s="116"/>
      <c r="AY3" s="116" t="s">
        <v>1221</v>
      </c>
      <c r="AZ3" s="116" t="s">
        <v>1222</v>
      </c>
      <c r="BA3" s="116"/>
      <c r="BB3" s="32" t="str">
        <f t="shared" ref="BB3:BB34" si="5">D3</f>
        <v>Jazwares – Costco</v>
      </c>
      <c r="BC3" s="32" t="str">
        <f t="shared" ref="BC3:BC24" si="6">IFERROR(E3,"")</f>
        <v>美国Costco</v>
      </c>
    </row>
    <row r="4" s="12" customFormat="1" hidden="1" customHeight="1" spans="1:55">
      <c r="A4" s="116">
        <v>45807</v>
      </c>
      <c r="B4" s="40" t="str">
        <f ca="1" t="shared" si="0"/>
        <v/>
      </c>
      <c r="C4" s="175" t="str">
        <f>VLOOKUP(H4,名称!A:E,4,0)</f>
        <v>二代</v>
      </c>
      <c r="D4" s="117" t="s">
        <v>1223</v>
      </c>
      <c r="E4" s="117" t="s">
        <v>1224</v>
      </c>
      <c r="F4" s="118" t="s">
        <v>251</v>
      </c>
      <c r="G4" s="118" t="s">
        <v>252</v>
      </c>
      <c r="H4" s="118" t="s">
        <v>37</v>
      </c>
      <c r="I4" s="118"/>
      <c r="J4" s="32">
        <v>1002</v>
      </c>
      <c r="K4" s="92">
        <f>VLOOKUP(H4,名称!A:C,2,0)</f>
        <v>12</v>
      </c>
      <c r="L4" s="92">
        <f t="shared" si="1"/>
        <v>12024</v>
      </c>
      <c r="M4" s="118">
        <f>VLOOKUP(H4,名称!A:E,3,0)</f>
        <v>6</v>
      </c>
      <c r="N4" s="32">
        <f t="shared" si="2"/>
        <v>167</v>
      </c>
      <c r="O4" s="116">
        <v>45863</v>
      </c>
      <c r="P4" s="116" t="s">
        <v>1225</v>
      </c>
      <c r="Q4" s="116" t="s">
        <v>1225</v>
      </c>
      <c r="R4" s="118"/>
      <c r="S4" s="116" t="s">
        <v>1225</v>
      </c>
      <c r="T4" s="118"/>
      <c r="U4" s="118"/>
      <c r="V4" s="118" t="s">
        <v>1226</v>
      </c>
      <c r="W4" s="462" t="str">
        <f>IFERROR(VLOOKUP(H4,名称!A:F,6,0),"")</f>
        <v>湖南</v>
      </c>
      <c r="X4" s="118" t="s">
        <v>1133</v>
      </c>
      <c r="Y4" s="118" t="s">
        <v>1133</v>
      </c>
      <c r="Z4" s="675">
        <v>46106</v>
      </c>
      <c r="AA4" s="674">
        <v>46109</v>
      </c>
      <c r="AB4" s="675">
        <v>46111</v>
      </c>
      <c r="AC4" s="118" t="s">
        <v>1227</v>
      </c>
      <c r="AD4" s="118" t="s">
        <v>1228</v>
      </c>
      <c r="AE4" s="118" t="s">
        <v>253</v>
      </c>
      <c r="AF4" s="118" t="s">
        <v>1228</v>
      </c>
      <c r="AG4" s="118" t="s">
        <v>253</v>
      </c>
      <c r="AH4" s="118" t="s">
        <v>1229</v>
      </c>
      <c r="AI4" s="118" t="s">
        <v>1228</v>
      </c>
      <c r="AJ4" s="118" t="s">
        <v>253</v>
      </c>
      <c r="AK4" s="118" t="s">
        <v>1133</v>
      </c>
      <c r="AL4" s="118"/>
      <c r="AM4" s="118" t="s">
        <v>1230</v>
      </c>
      <c r="AN4" s="32" t="s">
        <v>1231</v>
      </c>
      <c r="AO4" s="124">
        <v>2.1</v>
      </c>
      <c r="AP4" s="125">
        <f t="shared" si="3"/>
        <v>2104.2</v>
      </c>
      <c r="AQ4" s="125">
        <f t="shared" si="4"/>
        <v>16307.55</v>
      </c>
      <c r="AR4" s="51"/>
      <c r="AS4" s="116"/>
      <c r="AT4" s="116" t="s">
        <v>1220</v>
      </c>
      <c r="AU4" s="218"/>
      <c r="AV4" s="219"/>
      <c r="AW4" s="116"/>
      <c r="AX4" s="116"/>
      <c r="AY4" s="116" t="s">
        <v>1232</v>
      </c>
      <c r="AZ4" s="116" t="s">
        <v>1222</v>
      </c>
      <c r="BA4" s="116"/>
      <c r="BB4" s="32" t="str">
        <f t="shared" si="5"/>
        <v>JAZWARES INTERNATIONAL</v>
      </c>
      <c r="BC4" s="32" t="str">
        <f t="shared" si="6"/>
        <v>美国</v>
      </c>
    </row>
    <row r="5" s="496" customFormat="1" hidden="1" customHeight="1" spans="1:55">
      <c r="A5" s="116">
        <v>45807</v>
      </c>
      <c r="B5" s="40" t="str">
        <f ca="1" t="shared" si="0"/>
        <v/>
      </c>
      <c r="C5" s="175" t="str">
        <f>VLOOKUP(H5,名称!A:E,4,0)</f>
        <v>二代</v>
      </c>
      <c r="D5" s="117" t="s">
        <v>1223</v>
      </c>
      <c r="E5" s="117" t="s">
        <v>1224</v>
      </c>
      <c r="F5" s="118" t="s">
        <v>254</v>
      </c>
      <c r="G5" s="118" t="s">
        <v>255</v>
      </c>
      <c r="H5" s="118" t="s">
        <v>37</v>
      </c>
      <c r="I5" s="118"/>
      <c r="J5" s="32">
        <f>1800-1500</f>
        <v>300</v>
      </c>
      <c r="K5" s="92">
        <f>VLOOKUP(H5,名称!A:C,2,0)</f>
        <v>12</v>
      </c>
      <c r="L5" s="92">
        <f t="shared" si="1"/>
        <v>3600</v>
      </c>
      <c r="M5" s="118">
        <f>VLOOKUP(H5,名称!A:E,3,0)</f>
        <v>6</v>
      </c>
      <c r="N5" s="32">
        <f t="shared" si="2"/>
        <v>50</v>
      </c>
      <c r="O5" s="116">
        <v>45863</v>
      </c>
      <c r="P5" s="116" t="s">
        <v>1225</v>
      </c>
      <c r="Q5" s="116" t="s">
        <v>1225</v>
      </c>
      <c r="R5" s="118"/>
      <c r="S5" s="116" t="s">
        <v>1225</v>
      </c>
      <c r="T5" s="118"/>
      <c r="U5" s="118"/>
      <c r="V5" s="118" t="s">
        <v>1226</v>
      </c>
      <c r="W5" s="462" t="str">
        <f>IFERROR(VLOOKUP(H5,名称!A:F,6,0),"")</f>
        <v>湖南</v>
      </c>
      <c r="X5" s="118" t="s">
        <v>1133</v>
      </c>
      <c r="Y5" s="118" t="s">
        <v>1133</v>
      </c>
      <c r="Z5" s="675">
        <v>46106</v>
      </c>
      <c r="AA5" s="674">
        <v>46109</v>
      </c>
      <c r="AB5" s="675">
        <v>46111</v>
      </c>
      <c r="AC5" s="118" t="s">
        <v>1227</v>
      </c>
      <c r="AD5" s="118" t="s">
        <v>1228</v>
      </c>
      <c r="AE5" s="118" t="s">
        <v>253</v>
      </c>
      <c r="AF5" s="118" t="s">
        <v>1228</v>
      </c>
      <c r="AG5" s="118" t="s">
        <v>253</v>
      </c>
      <c r="AH5" s="118" t="s">
        <v>1229</v>
      </c>
      <c r="AI5" s="118" t="s">
        <v>1228</v>
      </c>
      <c r="AJ5" s="118" t="s">
        <v>253</v>
      </c>
      <c r="AK5" s="118" t="s">
        <v>1133</v>
      </c>
      <c r="AL5" s="118"/>
      <c r="AM5" s="118" t="s">
        <v>1230</v>
      </c>
      <c r="AN5" s="32" t="s">
        <v>1231</v>
      </c>
      <c r="AO5" s="124">
        <v>2.1</v>
      </c>
      <c r="AP5" s="125">
        <f t="shared" si="3"/>
        <v>630</v>
      </c>
      <c r="AQ5" s="125">
        <f t="shared" si="4"/>
        <v>4882.5</v>
      </c>
      <c r="AR5" s="51"/>
      <c r="AS5" s="116"/>
      <c r="AT5" s="116" t="s">
        <v>1220</v>
      </c>
      <c r="AU5" s="218">
        <v>300</v>
      </c>
      <c r="AV5" s="219"/>
      <c r="AW5" s="116"/>
      <c r="AX5" s="116"/>
      <c r="AY5" s="116" t="s">
        <v>1232</v>
      </c>
      <c r="AZ5" s="116" t="s">
        <v>1222</v>
      </c>
      <c r="BA5" s="116"/>
      <c r="BB5" s="32" t="str">
        <f t="shared" si="5"/>
        <v>JAZWARES INTERNATIONAL</v>
      </c>
      <c r="BC5" s="32" t="str">
        <f t="shared" si="6"/>
        <v>美国</v>
      </c>
    </row>
    <row r="6" s="496" customFormat="1" hidden="1" customHeight="1" spans="1:55">
      <c r="A6" s="116">
        <v>45807</v>
      </c>
      <c r="B6" s="40" t="str">
        <f ca="1" t="shared" si="0"/>
        <v/>
      </c>
      <c r="C6" s="175" t="str">
        <f>VLOOKUP(H6,名称!A:E,4,0)</f>
        <v>二代</v>
      </c>
      <c r="D6" s="117" t="s">
        <v>1223</v>
      </c>
      <c r="E6" s="117" t="s">
        <v>1224</v>
      </c>
      <c r="F6" s="118" t="s">
        <v>256</v>
      </c>
      <c r="G6" s="118" t="s">
        <v>257</v>
      </c>
      <c r="H6" s="118" t="s">
        <v>37</v>
      </c>
      <c r="I6" s="118"/>
      <c r="J6" s="32">
        <v>2004</v>
      </c>
      <c r="K6" s="92">
        <f>VLOOKUP(H6,名称!A:C,2,0)</f>
        <v>12</v>
      </c>
      <c r="L6" s="92">
        <f t="shared" si="1"/>
        <v>24048</v>
      </c>
      <c r="M6" s="118">
        <f>VLOOKUP(H6,名称!A:E,3,0)</f>
        <v>6</v>
      </c>
      <c r="N6" s="32">
        <f t="shared" si="2"/>
        <v>334</v>
      </c>
      <c r="O6" s="116">
        <v>45863</v>
      </c>
      <c r="P6" s="116" t="s">
        <v>1225</v>
      </c>
      <c r="Q6" s="116" t="s">
        <v>1225</v>
      </c>
      <c r="R6" s="118"/>
      <c r="S6" s="116" t="s">
        <v>1225</v>
      </c>
      <c r="T6" s="118"/>
      <c r="U6" s="118"/>
      <c r="V6" s="118" t="s">
        <v>1226</v>
      </c>
      <c r="W6" s="462" t="str">
        <f>IFERROR(VLOOKUP(H6,名称!A:F,6,0),"")</f>
        <v>湖南</v>
      </c>
      <c r="X6" s="118" t="s">
        <v>1133</v>
      </c>
      <c r="Y6" s="118" t="s">
        <v>1133</v>
      </c>
      <c r="Z6" s="675">
        <v>46106</v>
      </c>
      <c r="AA6" s="674">
        <v>46109</v>
      </c>
      <c r="AB6" s="675">
        <v>46111</v>
      </c>
      <c r="AC6" s="118" t="s">
        <v>1227</v>
      </c>
      <c r="AD6" s="118" t="s">
        <v>1228</v>
      </c>
      <c r="AE6" s="118" t="s">
        <v>253</v>
      </c>
      <c r="AF6" s="118" t="s">
        <v>1228</v>
      </c>
      <c r="AG6" s="118" t="s">
        <v>253</v>
      </c>
      <c r="AH6" s="118" t="s">
        <v>1229</v>
      </c>
      <c r="AI6" s="118" t="s">
        <v>1228</v>
      </c>
      <c r="AJ6" s="118" t="s">
        <v>253</v>
      </c>
      <c r="AK6" s="118" t="s">
        <v>1133</v>
      </c>
      <c r="AL6" s="118"/>
      <c r="AM6" s="118" t="s">
        <v>1230</v>
      </c>
      <c r="AN6" s="32" t="s">
        <v>1231</v>
      </c>
      <c r="AO6" s="124">
        <v>2.1</v>
      </c>
      <c r="AP6" s="125">
        <f t="shared" si="3"/>
        <v>4208.4</v>
      </c>
      <c r="AQ6" s="125">
        <f t="shared" si="4"/>
        <v>32615.1</v>
      </c>
      <c r="AR6" s="51"/>
      <c r="AS6" s="116"/>
      <c r="AT6" s="116" t="s">
        <v>1220</v>
      </c>
      <c r="AU6" s="218">
        <v>2004</v>
      </c>
      <c r="AV6" s="219"/>
      <c r="AW6" s="116"/>
      <c r="AX6" s="116"/>
      <c r="AY6" s="116" t="s">
        <v>1232</v>
      </c>
      <c r="AZ6" s="116" t="s">
        <v>1222</v>
      </c>
      <c r="BA6" s="116"/>
      <c r="BB6" s="32" t="str">
        <f t="shared" si="5"/>
        <v>JAZWARES INTERNATIONAL</v>
      </c>
      <c r="BC6" s="32" t="str">
        <f t="shared" si="6"/>
        <v>美国</v>
      </c>
    </row>
    <row r="7" s="496" customFormat="1" hidden="1" customHeight="1" spans="1:55">
      <c r="A7" s="116">
        <v>45807</v>
      </c>
      <c r="B7" s="40" t="str">
        <f ca="1" t="shared" si="0"/>
        <v/>
      </c>
      <c r="C7" s="175" t="str">
        <f>VLOOKUP(H7,名称!A:E,4,0)</f>
        <v>二代</v>
      </c>
      <c r="D7" s="117" t="s">
        <v>1223</v>
      </c>
      <c r="E7" s="117" t="s">
        <v>1224</v>
      </c>
      <c r="F7" s="118" t="s">
        <v>256</v>
      </c>
      <c r="G7" s="118" t="s">
        <v>257</v>
      </c>
      <c r="H7" s="118" t="s">
        <v>37</v>
      </c>
      <c r="I7" s="118"/>
      <c r="J7" s="32">
        <v>1200</v>
      </c>
      <c r="K7" s="92">
        <f>VLOOKUP(H7,名称!A:C,2,0)</f>
        <v>12</v>
      </c>
      <c r="L7" s="92">
        <f t="shared" si="1"/>
        <v>14400</v>
      </c>
      <c r="M7" s="118">
        <f>VLOOKUP(H7,名称!A:E,3,0)</f>
        <v>6</v>
      </c>
      <c r="N7" s="32">
        <f t="shared" si="2"/>
        <v>200</v>
      </c>
      <c r="O7" s="116">
        <v>45863</v>
      </c>
      <c r="P7" s="116" t="s">
        <v>1225</v>
      </c>
      <c r="Q7" s="116" t="s">
        <v>1225</v>
      </c>
      <c r="R7" s="118"/>
      <c r="S7" s="116" t="s">
        <v>1225</v>
      </c>
      <c r="T7" s="118"/>
      <c r="U7" s="118"/>
      <c r="V7" s="118" t="s">
        <v>1226</v>
      </c>
      <c r="W7" s="462" t="str">
        <f>IFERROR(VLOOKUP(H7,名称!A:F,6,0),"")</f>
        <v>湖南</v>
      </c>
      <c r="X7" s="118" t="s">
        <v>1133</v>
      </c>
      <c r="Y7" s="118" t="s">
        <v>1133</v>
      </c>
      <c r="Z7" s="675">
        <v>46106</v>
      </c>
      <c r="AA7" s="674">
        <v>46109</v>
      </c>
      <c r="AB7" s="675">
        <v>46111</v>
      </c>
      <c r="AC7" s="118" t="s">
        <v>1227</v>
      </c>
      <c r="AD7" s="118" t="s">
        <v>1228</v>
      </c>
      <c r="AE7" s="118" t="s">
        <v>253</v>
      </c>
      <c r="AF7" s="118" t="s">
        <v>1228</v>
      </c>
      <c r="AG7" s="118" t="s">
        <v>253</v>
      </c>
      <c r="AH7" s="118" t="s">
        <v>1229</v>
      </c>
      <c r="AI7" s="118" t="s">
        <v>1228</v>
      </c>
      <c r="AJ7" s="118" t="s">
        <v>253</v>
      </c>
      <c r="AK7" s="118" t="s">
        <v>1133</v>
      </c>
      <c r="AL7" s="118"/>
      <c r="AM7" s="118" t="s">
        <v>1230</v>
      </c>
      <c r="AN7" s="32" t="s">
        <v>1231</v>
      </c>
      <c r="AO7" s="124">
        <v>2.1</v>
      </c>
      <c r="AP7" s="125">
        <f t="shared" si="3"/>
        <v>2520</v>
      </c>
      <c r="AQ7" s="125">
        <f t="shared" si="4"/>
        <v>19530</v>
      </c>
      <c r="AR7" s="51"/>
      <c r="AS7" s="116"/>
      <c r="AT7" s="116" t="s">
        <v>1220</v>
      </c>
      <c r="AU7" s="218">
        <v>1200</v>
      </c>
      <c r="AV7" s="219"/>
      <c r="AW7" s="116"/>
      <c r="AX7" s="116"/>
      <c r="AY7" s="116" t="s">
        <v>1232</v>
      </c>
      <c r="AZ7" s="116" t="s">
        <v>1222</v>
      </c>
      <c r="BA7" s="116"/>
      <c r="BB7" s="32" t="str">
        <f t="shared" si="5"/>
        <v>JAZWARES INTERNATIONAL</v>
      </c>
      <c r="BC7" s="32" t="str">
        <f t="shared" si="6"/>
        <v>美国</v>
      </c>
    </row>
    <row r="8" s="496" customFormat="1" hidden="1" customHeight="1" spans="1:55">
      <c r="A8" s="116">
        <v>45807</v>
      </c>
      <c r="B8" s="40" t="str">
        <f ca="1" t="shared" si="0"/>
        <v/>
      </c>
      <c r="C8" s="175" t="str">
        <f>VLOOKUP(H8,名称!A:E,4,0)</f>
        <v>二代</v>
      </c>
      <c r="D8" s="117" t="s">
        <v>1223</v>
      </c>
      <c r="E8" s="117" t="s">
        <v>1224</v>
      </c>
      <c r="F8" s="118" t="s">
        <v>258</v>
      </c>
      <c r="G8" s="118" t="s">
        <v>259</v>
      </c>
      <c r="H8" s="118" t="s">
        <v>57</v>
      </c>
      <c r="I8" s="118"/>
      <c r="J8" s="32">
        <v>2000</v>
      </c>
      <c r="K8" s="92">
        <f>VLOOKUP(H8,名称!A:C,2,0)</f>
        <v>10</v>
      </c>
      <c r="L8" s="92">
        <f t="shared" si="1"/>
        <v>20000</v>
      </c>
      <c r="M8" s="118">
        <f>VLOOKUP(H8,名称!A:E,3,0)</f>
        <v>16</v>
      </c>
      <c r="N8" s="32">
        <f t="shared" si="2"/>
        <v>125</v>
      </c>
      <c r="O8" s="116">
        <v>45863</v>
      </c>
      <c r="P8" s="116" t="s">
        <v>1225</v>
      </c>
      <c r="Q8" s="116" t="s">
        <v>1225</v>
      </c>
      <c r="R8" s="118"/>
      <c r="S8" s="116" t="s">
        <v>1225</v>
      </c>
      <c r="T8" s="118"/>
      <c r="U8" s="118"/>
      <c r="V8" s="118" t="s">
        <v>1226</v>
      </c>
      <c r="W8" s="462" t="str">
        <f>IFERROR(VLOOKUP(H8,名称!A:F,6,0),"")</f>
        <v>湖南</v>
      </c>
      <c r="X8" s="118" t="s">
        <v>1133</v>
      </c>
      <c r="Y8" s="118" t="s">
        <v>1133</v>
      </c>
      <c r="Z8" s="675">
        <v>46106</v>
      </c>
      <c r="AA8" s="674">
        <v>46109</v>
      </c>
      <c r="AB8" s="675">
        <v>46111</v>
      </c>
      <c r="AC8" s="118" t="s">
        <v>1227</v>
      </c>
      <c r="AD8" s="118" t="s">
        <v>1228</v>
      </c>
      <c r="AE8" s="118" t="s">
        <v>253</v>
      </c>
      <c r="AF8" s="118" t="s">
        <v>1228</v>
      </c>
      <c r="AG8" s="118" t="s">
        <v>253</v>
      </c>
      <c r="AH8" s="118" t="s">
        <v>1229</v>
      </c>
      <c r="AI8" s="118" t="s">
        <v>1228</v>
      </c>
      <c r="AJ8" s="118" t="s">
        <v>1133</v>
      </c>
      <c r="AK8" s="118" t="s">
        <v>1133</v>
      </c>
      <c r="AL8" s="118" t="s">
        <v>1233</v>
      </c>
      <c r="AM8" s="118" t="s">
        <v>1230</v>
      </c>
      <c r="AN8" s="32" t="s">
        <v>1234</v>
      </c>
      <c r="AO8" s="124">
        <v>0.98</v>
      </c>
      <c r="AP8" s="125">
        <f t="shared" si="3"/>
        <v>1960</v>
      </c>
      <c r="AQ8" s="125">
        <f t="shared" si="4"/>
        <v>15190</v>
      </c>
      <c r="AR8" s="51"/>
      <c r="AS8" s="116"/>
      <c r="AT8" s="116" t="s">
        <v>1220</v>
      </c>
      <c r="AU8" s="218">
        <v>2000</v>
      </c>
      <c r="AV8" s="219"/>
      <c r="AW8" s="116"/>
      <c r="AX8" s="116"/>
      <c r="AY8" s="116" t="s">
        <v>1232</v>
      </c>
      <c r="AZ8" s="116" t="s">
        <v>1222</v>
      </c>
      <c r="BA8" s="116"/>
      <c r="BB8" s="32" t="str">
        <f t="shared" si="5"/>
        <v>JAZWARES INTERNATIONAL</v>
      </c>
      <c r="BC8" s="32" t="str">
        <f t="shared" si="6"/>
        <v>美国</v>
      </c>
    </row>
    <row r="9" s="496" customFormat="1" hidden="1" customHeight="1" spans="1:55">
      <c r="A9" s="116">
        <v>45807</v>
      </c>
      <c r="B9" s="40" t="str">
        <f ca="1" t="shared" si="0"/>
        <v/>
      </c>
      <c r="C9" s="175" t="str">
        <f>VLOOKUP(H9,名称!A:E,4,0)</f>
        <v>二代</v>
      </c>
      <c r="D9" s="117" t="s">
        <v>1223</v>
      </c>
      <c r="E9" s="117" t="s">
        <v>1224</v>
      </c>
      <c r="F9" s="118" t="s">
        <v>258</v>
      </c>
      <c r="G9" s="118" t="s">
        <v>259</v>
      </c>
      <c r="H9" s="118" t="s">
        <v>57</v>
      </c>
      <c r="I9" s="118"/>
      <c r="J9" s="32">
        <v>3600</v>
      </c>
      <c r="K9" s="92">
        <f>VLOOKUP(H9,名称!A:C,2,0)</f>
        <v>10</v>
      </c>
      <c r="L9" s="92">
        <f t="shared" si="1"/>
        <v>36000</v>
      </c>
      <c r="M9" s="118">
        <f>VLOOKUP(H9,名称!A:E,3,0)</f>
        <v>16</v>
      </c>
      <c r="N9" s="32">
        <f t="shared" si="2"/>
        <v>225</v>
      </c>
      <c r="O9" s="116">
        <v>45863</v>
      </c>
      <c r="P9" s="116" t="s">
        <v>1225</v>
      </c>
      <c r="Q9" s="116" t="s">
        <v>1225</v>
      </c>
      <c r="R9" s="118"/>
      <c r="S9" s="116" t="s">
        <v>1225</v>
      </c>
      <c r="T9" s="118"/>
      <c r="U9" s="118"/>
      <c r="V9" s="118" t="s">
        <v>1226</v>
      </c>
      <c r="W9" s="462" t="str">
        <f>IFERROR(VLOOKUP(H9,名称!A:F,6,0),"")</f>
        <v>湖南</v>
      </c>
      <c r="X9" s="118" t="s">
        <v>1133</v>
      </c>
      <c r="Y9" s="118" t="s">
        <v>1133</v>
      </c>
      <c r="Z9" s="675">
        <v>46106</v>
      </c>
      <c r="AA9" s="674">
        <v>46109</v>
      </c>
      <c r="AB9" s="675">
        <v>46111</v>
      </c>
      <c r="AC9" s="118" t="s">
        <v>1227</v>
      </c>
      <c r="AD9" s="118" t="s">
        <v>1228</v>
      </c>
      <c r="AE9" s="118" t="s">
        <v>253</v>
      </c>
      <c r="AF9" s="118" t="s">
        <v>1228</v>
      </c>
      <c r="AG9" s="118" t="s">
        <v>253</v>
      </c>
      <c r="AH9" s="118" t="s">
        <v>1229</v>
      </c>
      <c r="AI9" s="118" t="s">
        <v>1228</v>
      </c>
      <c r="AJ9" s="118" t="s">
        <v>1133</v>
      </c>
      <c r="AK9" s="118" t="s">
        <v>1133</v>
      </c>
      <c r="AL9" s="118" t="s">
        <v>1233</v>
      </c>
      <c r="AM9" s="118" t="s">
        <v>1230</v>
      </c>
      <c r="AN9" s="32" t="s">
        <v>1234</v>
      </c>
      <c r="AO9" s="124">
        <v>0.98</v>
      </c>
      <c r="AP9" s="125">
        <f t="shared" si="3"/>
        <v>3528</v>
      </c>
      <c r="AQ9" s="125">
        <f t="shared" si="4"/>
        <v>27342</v>
      </c>
      <c r="AR9" s="51"/>
      <c r="AS9" s="116"/>
      <c r="AT9" s="116" t="s">
        <v>1220</v>
      </c>
      <c r="AU9" s="218">
        <v>3600</v>
      </c>
      <c r="AV9" s="219"/>
      <c r="AW9" s="116"/>
      <c r="AX9" s="116"/>
      <c r="AY9" s="116" t="s">
        <v>1232</v>
      </c>
      <c r="AZ9" s="116" t="s">
        <v>1222</v>
      </c>
      <c r="BA9" s="116"/>
      <c r="BB9" s="32" t="str">
        <f t="shared" si="5"/>
        <v>JAZWARES INTERNATIONAL</v>
      </c>
      <c r="BC9" s="32" t="str">
        <f t="shared" si="6"/>
        <v>美国</v>
      </c>
    </row>
    <row r="10" s="496" customFormat="1" hidden="1" customHeight="1" spans="1:55">
      <c r="A10" s="116">
        <v>45807</v>
      </c>
      <c r="B10" s="40" t="str">
        <f ca="1" t="shared" si="0"/>
        <v/>
      </c>
      <c r="C10" s="175" t="str">
        <f>VLOOKUP(H10,名称!A:E,4,0)</f>
        <v>二代</v>
      </c>
      <c r="D10" s="117" t="s">
        <v>1223</v>
      </c>
      <c r="E10" s="117" t="s">
        <v>1224</v>
      </c>
      <c r="F10" s="118" t="s">
        <v>260</v>
      </c>
      <c r="G10" s="118" t="s">
        <v>261</v>
      </c>
      <c r="H10" s="118" t="s">
        <v>40</v>
      </c>
      <c r="I10" s="118"/>
      <c r="J10" s="32">
        <v>1800</v>
      </c>
      <c r="K10" s="92">
        <f>VLOOKUP(H10,名称!A:C,2,0)</f>
        <v>7</v>
      </c>
      <c r="L10" s="92">
        <f t="shared" si="1"/>
        <v>12600</v>
      </c>
      <c r="M10" s="118">
        <f>VLOOKUP(H10,名称!A:E,3,0)</f>
        <v>12</v>
      </c>
      <c r="N10" s="32">
        <f t="shared" si="2"/>
        <v>150</v>
      </c>
      <c r="O10" s="116">
        <v>45863</v>
      </c>
      <c r="P10" s="116" t="s">
        <v>1225</v>
      </c>
      <c r="Q10" s="116" t="s">
        <v>1225</v>
      </c>
      <c r="R10" s="12"/>
      <c r="S10" s="116" t="s">
        <v>1225</v>
      </c>
      <c r="T10" s="118"/>
      <c r="U10" s="118"/>
      <c r="V10" s="118" t="s">
        <v>1226</v>
      </c>
      <c r="W10" s="462" t="str">
        <f>IFERROR(VLOOKUP(H10,名称!A:F,6,0),"")</f>
        <v>湖南</v>
      </c>
      <c r="X10" s="118" t="s">
        <v>1133</v>
      </c>
      <c r="Y10" s="118" t="s">
        <v>1133</v>
      </c>
      <c r="Z10" s="675">
        <v>46106</v>
      </c>
      <c r="AA10" s="674">
        <v>46109</v>
      </c>
      <c r="AB10" s="675">
        <v>46111</v>
      </c>
      <c r="AC10" s="118" t="s">
        <v>1227</v>
      </c>
      <c r="AD10" s="118" t="s">
        <v>1228</v>
      </c>
      <c r="AE10" s="118" t="s">
        <v>253</v>
      </c>
      <c r="AF10" s="118" t="s">
        <v>1228</v>
      </c>
      <c r="AG10" s="118" t="s">
        <v>253</v>
      </c>
      <c r="AH10" s="118" t="s">
        <v>1229</v>
      </c>
      <c r="AI10" s="118" t="s">
        <v>1228</v>
      </c>
      <c r="AJ10" s="118" t="s">
        <v>1133</v>
      </c>
      <c r="AK10" s="118" t="s">
        <v>1133</v>
      </c>
      <c r="AL10" s="118" t="s">
        <v>1228</v>
      </c>
      <c r="AM10" s="118" t="s">
        <v>1230</v>
      </c>
      <c r="AN10" s="32" t="s">
        <v>1234</v>
      </c>
      <c r="AO10" s="124">
        <v>0.87</v>
      </c>
      <c r="AP10" s="125">
        <f t="shared" si="3"/>
        <v>1566</v>
      </c>
      <c r="AQ10" s="125">
        <f t="shared" si="4"/>
        <v>12136.5</v>
      </c>
      <c r="AR10" s="51"/>
      <c r="AS10" s="116"/>
      <c r="AT10" s="116" t="s">
        <v>1220</v>
      </c>
      <c r="AU10" s="218">
        <v>1800</v>
      </c>
      <c r="AV10" s="219"/>
      <c r="AW10" s="116"/>
      <c r="AX10" s="116"/>
      <c r="AY10" s="116" t="s">
        <v>1232</v>
      </c>
      <c r="AZ10" s="116" t="s">
        <v>1222</v>
      </c>
      <c r="BA10" s="116"/>
      <c r="BB10" s="32" t="str">
        <f t="shared" si="5"/>
        <v>JAZWARES INTERNATIONAL</v>
      </c>
      <c r="BC10" s="32" t="str">
        <f t="shared" si="6"/>
        <v>美国</v>
      </c>
    </row>
    <row r="11" s="496" customFormat="1" hidden="1" customHeight="1" spans="1:55">
      <c r="A11" s="116">
        <v>45807</v>
      </c>
      <c r="B11" s="40" t="str">
        <f ca="1" t="shared" si="0"/>
        <v/>
      </c>
      <c r="C11" s="175" t="str">
        <f>VLOOKUP(H11,名称!A:E,4,0)</f>
        <v>二代</v>
      </c>
      <c r="D11" s="117" t="s">
        <v>1223</v>
      </c>
      <c r="E11" s="117" t="s">
        <v>1224</v>
      </c>
      <c r="F11" s="118" t="s">
        <v>260</v>
      </c>
      <c r="G11" s="118" t="s">
        <v>261</v>
      </c>
      <c r="H11" s="118" t="s">
        <v>40</v>
      </c>
      <c r="I11" s="118"/>
      <c r="J11" s="32">
        <v>384</v>
      </c>
      <c r="K11" s="92">
        <f>VLOOKUP(H11,名称!A:C,2,0)</f>
        <v>7</v>
      </c>
      <c r="L11" s="92">
        <f t="shared" si="1"/>
        <v>2688</v>
      </c>
      <c r="M11" s="118">
        <f>VLOOKUP(H11,名称!A:E,3,0)</f>
        <v>12</v>
      </c>
      <c r="N11" s="32">
        <f t="shared" si="2"/>
        <v>32</v>
      </c>
      <c r="O11" s="116">
        <v>45863</v>
      </c>
      <c r="P11" s="116" t="s">
        <v>1225</v>
      </c>
      <c r="Q11" s="116" t="s">
        <v>1225</v>
      </c>
      <c r="R11" s="118"/>
      <c r="S11" s="116" t="s">
        <v>1225</v>
      </c>
      <c r="T11" s="118"/>
      <c r="U11" s="118"/>
      <c r="V11" s="118" t="s">
        <v>1226</v>
      </c>
      <c r="W11" s="462" t="str">
        <f>IFERROR(VLOOKUP(H11,名称!A:F,6,0),"")</f>
        <v>湖南</v>
      </c>
      <c r="X11" s="118" t="s">
        <v>1133</v>
      </c>
      <c r="Y11" s="118" t="s">
        <v>1133</v>
      </c>
      <c r="Z11" s="675">
        <v>46106</v>
      </c>
      <c r="AA11" s="674">
        <v>46109</v>
      </c>
      <c r="AB11" s="675">
        <v>46111</v>
      </c>
      <c r="AC11" s="118" t="s">
        <v>1227</v>
      </c>
      <c r="AD11" s="118" t="s">
        <v>1228</v>
      </c>
      <c r="AE11" s="118" t="s">
        <v>253</v>
      </c>
      <c r="AF11" s="118" t="s">
        <v>1228</v>
      </c>
      <c r="AG11" s="118" t="s">
        <v>253</v>
      </c>
      <c r="AH11" s="118" t="s">
        <v>1229</v>
      </c>
      <c r="AI11" s="118" t="s">
        <v>1228</v>
      </c>
      <c r="AJ11" s="118" t="s">
        <v>1133</v>
      </c>
      <c r="AK11" s="118" t="s">
        <v>1133</v>
      </c>
      <c r="AL11" s="118" t="s">
        <v>1228</v>
      </c>
      <c r="AM11" s="118" t="s">
        <v>1230</v>
      </c>
      <c r="AN11" s="32" t="s">
        <v>1234</v>
      </c>
      <c r="AO11" s="124">
        <v>0.87</v>
      </c>
      <c r="AP11" s="125">
        <f t="shared" si="3"/>
        <v>334.08</v>
      </c>
      <c r="AQ11" s="125">
        <f t="shared" si="4"/>
        <v>2589.12</v>
      </c>
      <c r="AR11" s="51"/>
      <c r="AS11" s="116"/>
      <c r="AT11" s="116" t="s">
        <v>1220</v>
      </c>
      <c r="AU11" s="218">
        <v>384</v>
      </c>
      <c r="AV11" s="219"/>
      <c r="AW11" s="116"/>
      <c r="AX11" s="116"/>
      <c r="AY11" s="116" t="s">
        <v>1232</v>
      </c>
      <c r="AZ11" s="116" t="s">
        <v>1222</v>
      </c>
      <c r="BA11" s="116"/>
      <c r="BB11" s="32" t="str">
        <f t="shared" si="5"/>
        <v>JAZWARES INTERNATIONAL</v>
      </c>
      <c r="BC11" s="32" t="str">
        <f t="shared" si="6"/>
        <v>美国</v>
      </c>
    </row>
    <row r="12" s="193" customFormat="1" hidden="1" customHeight="1" spans="1:55">
      <c r="A12" s="116">
        <v>45807</v>
      </c>
      <c r="B12" s="40" t="str">
        <f ca="1" t="shared" si="0"/>
        <v/>
      </c>
      <c r="C12" s="175" t="str">
        <f>VLOOKUP(H12,名称!A:E,4,0)</f>
        <v>二代</v>
      </c>
      <c r="D12" s="117" t="s">
        <v>1223</v>
      </c>
      <c r="E12" s="117" t="s">
        <v>1224</v>
      </c>
      <c r="F12" s="118" t="s">
        <v>262</v>
      </c>
      <c r="G12" s="118" t="s">
        <v>263</v>
      </c>
      <c r="H12" s="118" t="s">
        <v>40</v>
      </c>
      <c r="I12" s="118"/>
      <c r="J12" s="32">
        <v>1800</v>
      </c>
      <c r="K12" s="92">
        <f>VLOOKUP(H12,名称!A:C,2,0)</f>
        <v>7</v>
      </c>
      <c r="L12" s="92">
        <f t="shared" si="1"/>
        <v>12600</v>
      </c>
      <c r="M12" s="118">
        <f>VLOOKUP(H12,名称!A:E,3,0)</f>
        <v>12</v>
      </c>
      <c r="N12" s="32">
        <f t="shared" si="2"/>
        <v>150</v>
      </c>
      <c r="O12" s="116">
        <v>45863</v>
      </c>
      <c r="P12" s="116" t="s">
        <v>1225</v>
      </c>
      <c r="Q12" s="116" t="s">
        <v>1225</v>
      </c>
      <c r="R12" s="118"/>
      <c r="S12" s="116" t="s">
        <v>1225</v>
      </c>
      <c r="T12" s="118"/>
      <c r="U12" s="118"/>
      <c r="V12" s="118" t="s">
        <v>1226</v>
      </c>
      <c r="W12" s="462" t="str">
        <f>IFERROR(VLOOKUP(H12,名称!A:F,6,0),"")</f>
        <v>湖南</v>
      </c>
      <c r="X12" s="118" t="s">
        <v>1133</v>
      </c>
      <c r="Y12" s="118" t="s">
        <v>1133</v>
      </c>
      <c r="Z12" s="675">
        <v>46106</v>
      </c>
      <c r="AA12" s="674">
        <v>46109</v>
      </c>
      <c r="AB12" s="675">
        <v>46111</v>
      </c>
      <c r="AC12" s="118" t="s">
        <v>1227</v>
      </c>
      <c r="AD12" s="118" t="s">
        <v>1228</v>
      </c>
      <c r="AE12" s="118" t="s">
        <v>253</v>
      </c>
      <c r="AF12" s="118" t="s">
        <v>1228</v>
      </c>
      <c r="AG12" s="118" t="s">
        <v>253</v>
      </c>
      <c r="AH12" s="118" t="s">
        <v>1229</v>
      </c>
      <c r="AI12" s="118" t="s">
        <v>1228</v>
      </c>
      <c r="AJ12" s="118" t="s">
        <v>1133</v>
      </c>
      <c r="AK12" s="118" t="s">
        <v>1133</v>
      </c>
      <c r="AL12" s="118" t="s">
        <v>1228</v>
      </c>
      <c r="AM12" s="118" t="s">
        <v>1230</v>
      </c>
      <c r="AN12" s="32" t="s">
        <v>1234</v>
      </c>
      <c r="AO12" s="124">
        <v>0.87</v>
      </c>
      <c r="AP12" s="125">
        <f t="shared" si="3"/>
        <v>1566</v>
      </c>
      <c r="AQ12" s="125">
        <f t="shared" si="4"/>
        <v>12136.5</v>
      </c>
      <c r="AR12" s="51"/>
      <c r="AS12" s="116"/>
      <c r="AT12" s="116" t="s">
        <v>1220</v>
      </c>
      <c r="AU12" s="218">
        <v>1800</v>
      </c>
      <c r="AV12" s="219"/>
      <c r="AW12" s="116"/>
      <c r="AX12" s="116"/>
      <c r="AY12" s="116" t="s">
        <v>1232</v>
      </c>
      <c r="AZ12" s="116" t="s">
        <v>1222</v>
      </c>
      <c r="BA12" s="116"/>
      <c r="BB12" s="32" t="str">
        <f t="shared" si="5"/>
        <v>JAZWARES INTERNATIONAL</v>
      </c>
      <c r="BC12" s="32" t="str">
        <f t="shared" si="6"/>
        <v>美国</v>
      </c>
    </row>
    <row r="13" s="193" customFormat="1" hidden="1" customHeight="1" spans="1:55">
      <c r="A13" s="116">
        <v>45807</v>
      </c>
      <c r="B13" s="40" t="str">
        <f ca="1" t="shared" si="0"/>
        <v/>
      </c>
      <c r="C13" s="175" t="str">
        <f>VLOOKUP(H13,名称!A:E,4,0)</f>
        <v>二代</v>
      </c>
      <c r="D13" s="117" t="s">
        <v>1223</v>
      </c>
      <c r="E13" s="117" t="s">
        <v>1224</v>
      </c>
      <c r="F13" s="118" t="s">
        <v>264</v>
      </c>
      <c r="G13" s="118" t="s">
        <v>265</v>
      </c>
      <c r="H13" s="118" t="s">
        <v>43</v>
      </c>
      <c r="I13" s="118"/>
      <c r="J13" s="32">
        <f>1800-1200</f>
        <v>600</v>
      </c>
      <c r="K13" s="92">
        <f>VLOOKUP(H13,名称!A:C,2,0)</f>
        <v>5</v>
      </c>
      <c r="L13" s="92">
        <f t="shared" si="1"/>
        <v>3000</v>
      </c>
      <c r="M13" s="118">
        <f>VLOOKUP(H13,名称!A:E,3,0)</f>
        <v>24</v>
      </c>
      <c r="N13" s="32">
        <f t="shared" si="2"/>
        <v>25</v>
      </c>
      <c r="O13" s="116">
        <v>45863</v>
      </c>
      <c r="P13" s="116" t="s">
        <v>1225</v>
      </c>
      <c r="Q13" s="116" t="s">
        <v>1225</v>
      </c>
      <c r="R13" s="118"/>
      <c r="S13" s="116" t="s">
        <v>1225</v>
      </c>
      <c r="T13" s="118"/>
      <c r="U13" s="118"/>
      <c r="V13" s="118"/>
      <c r="W13" s="462" t="str">
        <f>IFERROR(VLOOKUP(H13,名称!A:F,6,0),"")</f>
        <v>湖南</v>
      </c>
      <c r="X13" s="118" t="s">
        <v>1133</v>
      </c>
      <c r="Y13" s="118" t="s">
        <v>1133</v>
      </c>
      <c r="Z13" s="675">
        <v>46106</v>
      </c>
      <c r="AA13" s="674">
        <v>46109</v>
      </c>
      <c r="AB13" s="675">
        <v>46111</v>
      </c>
      <c r="AC13" s="118" t="s">
        <v>1133</v>
      </c>
      <c r="AD13" s="118" t="s">
        <v>1133</v>
      </c>
      <c r="AE13" s="118" t="s">
        <v>253</v>
      </c>
      <c r="AF13" s="118" t="s">
        <v>1228</v>
      </c>
      <c r="AG13" s="118" t="s">
        <v>253</v>
      </c>
      <c r="AH13" s="118" t="s">
        <v>1133</v>
      </c>
      <c r="AI13" s="118" t="s">
        <v>1228</v>
      </c>
      <c r="AJ13" s="118" t="s">
        <v>1133</v>
      </c>
      <c r="AK13" s="118" t="s">
        <v>253</v>
      </c>
      <c r="AL13" s="118" t="s">
        <v>1228</v>
      </c>
      <c r="AM13" s="118" t="s">
        <v>1230</v>
      </c>
      <c r="AN13" s="32" t="s">
        <v>1234</v>
      </c>
      <c r="AO13" s="124">
        <v>0.62</v>
      </c>
      <c r="AP13" s="125">
        <f t="shared" si="3"/>
        <v>372</v>
      </c>
      <c r="AQ13" s="125">
        <f t="shared" si="4"/>
        <v>2883</v>
      </c>
      <c r="AR13" s="51"/>
      <c r="AS13" s="116"/>
      <c r="AT13" s="116" t="s">
        <v>1220</v>
      </c>
      <c r="AU13" s="218">
        <v>600</v>
      </c>
      <c r="AV13" s="219"/>
      <c r="AW13" s="116"/>
      <c r="AX13" s="116"/>
      <c r="AY13" s="116" t="s">
        <v>1232</v>
      </c>
      <c r="AZ13" s="116" t="s">
        <v>1222</v>
      </c>
      <c r="BA13" s="116"/>
      <c r="BB13" s="32" t="str">
        <f t="shared" si="5"/>
        <v>JAZWARES INTERNATIONAL</v>
      </c>
      <c r="BC13" s="32" t="str">
        <f t="shared" si="6"/>
        <v>美国</v>
      </c>
    </row>
    <row r="14" s="12" customFormat="1" hidden="1" customHeight="1" spans="1:55">
      <c r="A14" s="116">
        <v>45807</v>
      </c>
      <c r="B14" s="40" t="str">
        <f ca="1" t="shared" si="0"/>
        <v/>
      </c>
      <c r="C14" s="175" t="str">
        <f>VLOOKUP(H14,名称!A:E,4,0)</f>
        <v>二代</v>
      </c>
      <c r="D14" s="117" t="s">
        <v>1223</v>
      </c>
      <c r="E14" s="117" t="s">
        <v>1224</v>
      </c>
      <c r="F14" s="118" t="s">
        <v>264</v>
      </c>
      <c r="G14" s="118" t="s">
        <v>265</v>
      </c>
      <c r="H14" s="118" t="s">
        <v>43</v>
      </c>
      <c r="I14" s="118"/>
      <c r="J14" s="32">
        <v>2280</v>
      </c>
      <c r="K14" s="92">
        <f>VLOOKUP(H14,名称!A:C,2,0)</f>
        <v>5</v>
      </c>
      <c r="L14" s="92">
        <f t="shared" si="1"/>
        <v>11400</v>
      </c>
      <c r="M14" s="118">
        <f>VLOOKUP(H14,名称!A:E,3,0)</f>
        <v>24</v>
      </c>
      <c r="N14" s="32">
        <f t="shared" si="2"/>
        <v>95</v>
      </c>
      <c r="O14" s="116">
        <v>45863</v>
      </c>
      <c r="P14" s="116" t="s">
        <v>1225</v>
      </c>
      <c r="Q14" s="116" t="s">
        <v>1225</v>
      </c>
      <c r="R14" s="118"/>
      <c r="S14" s="116" t="s">
        <v>1225</v>
      </c>
      <c r="T14" s="118"/>
      <c r="U14" s="118"/>
      <c r="V14" s="118"/>
      <c r="W14" s="462" t="str">
        <f>IFERROR(VLOOKUP(H14,名称!A:F,6,0),"")</f>
        <v>湖南</v>
      </c>
      <c r="X14" s="118" t="s">
        <v>1133</v>
      </c>
      <c r="Y14" s="118" t="s">
        <v>1133</v>
      </c>
      <c r="Z14" s="675">
        <v>46106</v>
      </c>
      <c r="AA14" s="674">
        <v>46109</v>
      </c>
      <c r="AB14" s="675">
        <v>46111</v>
      </c>
      <c r="AC14" s="118" t="s">
        <v>1133</v>
      </c>
      <c r="AD14" s="118" t="s">
        <v>1133</v>
      </c>
      <c r="AE14" s="118" t="s">
        <v>253</v>
      </c>
      <c r="AF14" s="118" t="s">
        <v>1228</v>
      </c>
      <c r="AG14" s="118" t="s">
        <v>253</v>
      </c>
      <c r="AH14" s="118" t="s">
        <v>1133</v>
      </c>
      <c r="AI14" s="118" t="s">
        <v>1228</v>
      </c>
      <c r="AJ14" s="118" t="s">
        <v>1133</v>
      </c>
      <c r="AK14" s="118" t="s">
        <v>253</v>
      </c>
      <c r="AL14" s="118" t="s">
        <v>1228</v>
      </c>
      <c r="AM14" s="118" t="s">
        <v>1230</v>
      </c>
      <c r="AN14" s="32" t="s">
        <v>1234</v>
      </c>
      <c r="AO14" s="124">
        <v>0.62</v>
      </c>
      <c r="AP14" s="125">
        <f t="shared" si="3"/>
        <v>1413.6</v>
      </c>
      <c r="AQ14" s="125">
        <f t="shared" si="4"/>
        <v>10955.4</v>
      </c>
      <c r="AR14" s="51"/>
      <c r="AS14" s="116"/>
      <c r="AT14" s="116" t="s">
        <v>1220</v>
      </c>
      <c r="AU14" s="218">
        <v>2280</v>
      </c>
      <c r="AV14" s="219"/>
      <c r="AW14" s="116"/>
      <c r="AX14" s="116"/>
      <c r="AY14" s="116" t="s">
        <v>1232</v>
      </c>
      <c r="AZ14" s="116" t="s">
        <v>1222</v>
      </c>
      <c r="BA14" s="116"/>
      <c r="BB14" s="32" t="str">
        <f t="shared" si="5"/>
        <v>JAZWARES INTERNATIONAL</v>
      </c>
      <c r="BC14" s="32" t="str">
        <f t="shared" si="6"/>
        <v>美国</v>
      </c>
    </row>
    <row r="15" s="12" customFormat="1" hidden="1" customHeight="1" spans="1:55">
      <c r="A15" s="116">
        <v>45807</v>
      </c>
      <c r="B15" s="40" t="str">
        <f ca="1" t="shared" si="0"/>
        <v/>
      </c>
      <c r="C15" s="175" t="str">
        <f>VLOOKUP(H15,名称!A:E,4,0)</f>
        <v>二代</v>
      </c>
      <c r="D15" s="117" t="s">
        <v>1223</v>
      </c>
      <c r="E15" s="117" t="s">
        <v>1224</v>
      </c>
      <c r="F15" s="118" t="s">
        <v>266</v>
      </c>
      <c r="G15" s="118" t="s">
        <v>267</v>
      </c>
      <c r="H15" s="118" t="s">
        <v>43</v>
      </c>
      <c r="I15" s="118"/>
      <c r="J15" s="32">
        <v>2400</v>
      </c>
      <c r="K15" s="92">
        <f>VLOOKUP(H15,名称!A:C,2,0)</f>
        <v>5</v>
      </c>
      <c r="L15" s="92">
        <f t="shared" si="1"/>
        <v>12000</v>
      </c>
      <c r="M15" s="118">
        <f>VLOOKUP(H15,名称!A:E,3,0)</f>
        <v>24</v>
      </c>
      <c r="N15" s="32">
        <f t="shared" si="2"/>
        <v>100</v>
      </c>
      <c r="O15" s="116">
        <v>45863</v>
      </c>
      <c r="P15" s="116" t="s">
        <v>1225</v>
      </c>
      <c r="Q15" s="116" t="s">
        <v>1225</v>
      </c>
      <c r="R15" s="118"/>
      <c r="S15" s="116" t="s">
        <v>1225</v>
      </c>
      <c r="T15" s="118"/>
      <c r="U15" s="118"/>
      <c r="V15" s="118"/>
      <c r="W15" s="462" t="str">
        <f>IFERROR(VLOOKUP(H15,名称!A:F,6,0),"")</f>
        <v>湖南</v>
      </c>
      <c r="X15" s="118" t="s">
        <v>1133</v>
      </c>
      <c r="Y15" s="118" t="s">
        <v>1133</v>
      </c>
      <c r="Z15" s="675">
        <v>46106</v>
      </c>
      <c r="AA15" s="674">
        <v>46109</v>
      </c>
      <c r="AB15" s="675">
        <v>46111</v>
      </c>
      <c r="AC15" s="118" t="s">
        <v>1133</v>
      </c>
      <c r="AD15" s="118" t="s">
        <v>1133</v>
      </c>
      <c r="AE15" s="118" t="s">
        <v>253</v>
      </c>
      <c r="AF15" s="118" t="s">
        <v>1228</v>
      </c>
      <c r="AG15" s="118" t="s">
        <v>253</v>
      </c>
      <c r="AH15" s="118" t="s">
        <v>1133</v>
      </c>
      <c r="AI15" s="118" t="s">
        <v>1228</v>
      </c>
      <c r="AJ15" s="118" t="s">
        <v>1133</v>
      </c>
      <c r="AK15" s="118" t="s">
        <v>253</v>
      </c>
      <c r="AL15" s="118" t="s">
        <v>1228</v>
      </c>
      <c r="AM15" s="118" t="s">
        <v>1230</v>
      </c>
      <c r="AN15" s="32" t="s">
        <v>1234</v>
      </c>
      <c r="AO15" s="124">
        <v>0.62</v>
      </c>
      <c r="AP15" s="125">
        <f t="shared" si="3"/>
        <v>1488</v>
      </c>
      <c r="AQ15" s="125">
        <f t="shared" si="4"/>
        <v>11532</v>
      </c>
      <c r="AR15" s="51"/>
      <c r="AS15" s="116"/>
      <c r="AT15" s="116" t="s">
        <v>1220</v>
      </c>
      <c r="AU15" s="218">
        <v>2400</v>
      </c>
      <c r="AV15" s="219"/>
      <c r="AW15" s="116"/>
      <c r="AX15" s="116"/>
      <c r="AY15" s="116" t="s">
        <v>1232</v>
      </c>
      <c r="AZ15" s="116" t="s">
        <v>1222</v>
      </c>
      <c r="BA15" s="116"/>
      <c r="BB15" s="32" t="str">
        <f t="shared" si="5"/>
        <v>JAZWARES INTERNATIONAL</v>
      </c>
      <c r="BC15" s="32" t="str">
        <f t="shared" si="6"/>
        <v>美国</v>
      </c>
    </row>
    <row r="16" s="12" customFormat="1" hidden="1" customHeight="1" spans="1:55">
      <c r="A16" s="527">
        <v>45749</v>
      </c>
      <c r="B16" s="40" t="str">
        <f ca="1" t="shared" si="0"/>
        <v/>
      </c>
      <c r="C16" s="175" t="str">
        <f>VLOOKUP(H16,名称!A:E,4,0)</f>
        <v>二代</v>
      </c>
      <c r="D16" s="528" t="s">
        <v>1235</v>
      </c>
      <c r="E16" s="528" t="s">
        <v>1236</v>
      </c>
      <c r="F16" s="346" t="s">
        <v>248</v>
      </c>
      <c r="G16" s="346" t="s">
        <v>249</v>
      </c>
      <c r="H16" s="346" t="s">
        <v>23</v>
      </c>
      <c r="I16" s="676"/>
      <c r="J16" s="347">
        <v>5000</v>
      </c>
      <c r="K16" s="347">
        <f>VLOOKUP(H16,名称!A:C,2,0)</f>
        <v>3</v>
      </c>
      <c r="L16" s="347">
        <f t="shared" si="1"/>
        <v>15000</v>
      </c>
      <c r="M16" s="346">
        <f>VLOOKUP(H16,名称!A:E,3,0)</f>
        <v>250</v>
      </c>
      <c r="N16" s="348">
        <f t="shared" si="2"/>
        <v>20</v>
      </c>
      <c r="O16" s="527">
        <v>45765</v>
      </c>
      <c r="P16" s="527">
        <v>45761</v>
      </c>
      <c r="Q16" s="527">
        <v>45761</v>
      </c>
      <c r="R16" s="527"/>
      <c r="S16" s="527" t="s">
        <v>1133</v>
      </c>
      <c r="T16" s="677"/>
      <c r="U16" s="527"/>
      <c r="V16" s="527"/>
      <c r="W16" s="462" t="str">
        <f>IFERROR(VLOOKUP(H16,名称!A:F,6,0),"")</f>
        <v>湖南</v>
      </c>
      <c r="X16" s="346" t="s">
        <v>1133</v>
      </c>
      <c r="Y16" s="346" t="s">
        <v>1133</v>
      </c>
      <c r="Z16" s="346" t="s">
        <v>1228</v>
      </c>
      <c r="AA16" s="530"/>
      <c r="AB16" s="346" t="s">
        <v>1228</v>
      </c>
      <c r="AC16" s="346" t="s">
        <v>1133</v>
      </c>
      <c r="AD16" s="346" t="s">
        <v>1133</v>
      </c>
      <c r="AE16" s="346" t="s">
        <v>1133</v>
      </c>
      <c r="AF16" s="346" t="s">
        <v>1133</v>
      </c>
      <c r="AG16" s="346" t="s">
        <v>1133</v>
      </c>
      <c r="AH16" s="346" t="s">
        <v>1133</v>
      </c>
      <c r="AI16" s="346" t="s">
        <v>1133</v>
      </c>
      <c r="AJ16" s="346" t="s">
        <v>1133</v>
      </c>
      <c r="AK16" s="346" t="s">
        <v>1133</v>
      </c>
      <c r="AL16" s="346"/>
      <c r="AM16" s="346" t="s">
        <v>1133</v>
      </c>
      <c r="AN16" s="348" t="s">
        <v>1237</v>
      </c>
      <c r="AO16" s="531">
        <v>0.1</v>
      </c>
      <c r="AP16" s="532">
        <f t="shared" si="3"/>
        <v>500</v>
      </c>
      <c r="AQ16" s="532">
        <f t="shared" si="4"/>
        <v>3875</v>
      </c>
      <c r="AR16" s="533"/>
      <c r="AS16" s="527"/>
      <c r="AT16" s="527" t="s">
        <v>1238</v>
      </c>
      <c r="AU16" s="218"/>
      <c r="AV16" s="219"/>
      <c r="AW16" s="116"/>
      <c r="AX16" s="116"/>
      <c r="AY16" s="527" t="s">
        <v>1221</v>
      </c>
      <c r="AZ16" s="527" t="s">
        <v>1239</v>
      </c>
      <c r="BA16" s="527"/>
      <c r="BB16" s="32" t="str">
        <f t="shared" si="5"/>
        <v>Fotorama Mexico</v>
      </c>
      <c r="BC16" s="32" t="str">
        <f t="shared" si="6"/>
        <v>墨西哥</v>
      </c>
    </row>
    <row r="17" s="12" customFormat="1" hidden="1" customHeight="1" spans="1:55">
      <c r="A17" s="527">
        <v>45953</v>
      </c>
      <c r="B17" s="40" t="str">
        <f ca="1" t="shared" si="0"/>
        <v/>
      </c>
      <c r="C17" s="175" t="str">
        <f>VLOOKUP(H17,名称!A:E,4,0)</f>
        <v>二代</v>
      </c>
      <c r="D17" s="528" t="s">
        <v>1240</v>
      </c>
      <c r="E17" s="528" t="s">
        <v>1224</v>
      </c>
      <c r="F17" s="346" t="s">
        <v>319</v>
      </c>
      <c r="G17" s="346" t="s">
        <v>320</v>
      </c>
      <c r="H17" s="346" t="s">
        <v>43</v>
      </c>
      <c r="I17" s="118"/>
      <c r="J17" s="348">
        <v>15000</v>
      </c>
      <c r="K17" s="347">
        <f>VLOOKUP(H17,名称!A:C,2,0)</f>
        <v>5</v>
      </c>
      <c r="L17" s="347">
        <f t="shared" si="1"/>
        <v>75000</v>
      </c>
      <c r="M17" s="346">
        <f>VLOOKUP(H17,名称!A:E,3,0)</f>
        <v>24</v>
      </c>
      <c r="N17" s="348">
        <f t="shared" si="2"/>
        <v>625</v>
      </c>
      <c r="O17" s="527">
        <v>46107</v>
      </c>
      <c r="P17" s="527">
        <v>46107</v>
      </c>
      <c r="Q17" s="527">
        <v>46112</v>
      </c>
      <c r="R17" s="346" t="s">
        <v>1241</v>
      </c>
      <c r="S17" s="527">
        <v>46113</v>
      </c>
      <c r="T17" s="346" t="s">
        <v>1241</v>
      </c>
      <c r="U17" s="346"/>
      <c r="V17" s="346"/>
      <c r="W17" s="462" t="str">
        <f>IFERROR(VLOOKUP(H17,名称!A:F,6,0),"")</f>
        <v>湖南</v>
      </c>
      <c r="X17" s="346" t="s">
        <v>1133</v>
      </c>
      <c r="Y17" s="346" t="s">
        <v>1133</v>
      </c>
      <c r="Z17" s="529">
        <v>46031</v>
      </c>
      <c r="AA17" s="530">
        <v>46032</v>
      </c>
      <c r="AB17" s="529">
        <v>46034</v>
      </c>
      <c r="AC17" s="346" t="s">
        <v>1133</v>
      </c>
      <c r="AD17" s="346" t="s">
        <v>1133</v>
      </c>
      <c r="AE17" s="346" t="s">
        <v>1242</v>
      </c>
      <c r="AF17" s="346" t="s">
        <v>1228</v>
      </c>
      <c r="AG17" s="346" t="s">
        <v>270</v>
      </c>
      <c r="AH17" s="346" t="s">
        <v>1133</v>
      </c>
      <c r="AI17" s="346" t="s">
        <v>1228</v>
      </c>
      <c r="AJ17" s="346" t="s">
        <v>1133</v>
      </c>
      <c r="AK17" s="346" t="s">
        <v>270</v>
      </c>
      <c r="AL17" s="346"/>
      <c r="AM17" s="346" t="s">
        <v>1243</v>
      </c>
      <c r="AN17" s="348"/>
      <c r="AO17" s="531">
        <v>0.61</v>
      </c>
      <c r="AP17" s="532">
        <f t="shared" si="3"/>
        <v>9150</v>
      </c>
      <c r="AQ17" s="532">
        <f t="shared" si="4"/>
        <v>70912.5</v>
      </c>
      <c r="AR17" s="51"/>
      <c r="AS17" s="116"/>
      <c r="AT17" s="527" t="s">
        <v>1220</v>
      </c>
      <c r="AU17" s="218"/>
      <c r="AV17" s="219"/>
      <c r="AW17" s="116"/>
      <c r="AX17" s="116"/>
      <c r="AY17" s="527"/>
      <c r="AZ17" s="527"/>
      <c r="BA17" s="527"/>
      <c r="BB17" s="32" t="str">
        <f t="shared" si="5"/>
        <v>JAZWARES - TARGET US DOM</v>
      </c>
      <c r="BC17" s="32" t="str">
        <f t="shared" si="6"/>
        <v>美国</v>
      </c>
    </row>
    <row r="18" s="12" customFormat="1" hidden="1" customHeight="1" spans="1:55">
      <c r="A18" s="527">
        <v>45953</v>
      </c>
      <c r="B18" s="40" t="str">
        <f ca="1" t="shared" si="0"/>
        <v/>
      </c>
      <c r="C18" s="175" t="str">
        <f>VLOOKUP(H18,名称!A:E,4,0)</f>
        <v>二代</v>
      </c>
      <c r="D18" s="528" t="s">
        <v>1240</v>
      </c>
      <c r="E18" s="528" t="s">
        <v>1224</v>
      </c>
      <c r="F18" s="346" t="s">
        <v>321</v>
      </c>
      <c r="G18" s="346" t="s">
        <v>322</v>
      </c>
      <c r="H18" s="346" t="s">
        <v>44</v>
      </c>
      <c r="I18" s="118"/>
      <c r="J18" s="348">
        <v>14016</v>
      </c>
      <c r="K18" s="347">
        <f>VLOOKUP(H18,名称!A:C,2,0)</f>
        <v>5</v>
      </c>
      <c r="L18" s="347">
        <f t="shared" si="1"/>
        <v>70080</v>
      </c>
      <c r="M18" s="346">
        <f>VLOOKUP(H18,名称!A:E,3,0)</f>
        <v>24</v>
      </c>
      <c r="N18" s="348">
        <f t="shared" si="2"/>
        <v>584</v>
      </c>
      <c r="O18" s="527">
        <v>46107</v>
      </c>
      <c r="P18" s="527">
        <v>46107</v>
      </c>
      <c r="Q18" s="527">
        <v>46106</v>
      </c>
      <c r="R18" s="346" t="s">
        <v>1241</v>
      </c>
      <c r="S18" s="527">
        <v>46113</v>
      </c>
      <c r="T18" s="346" t="s">
        <v>1241</v>
      </c>
      <c r="U18" s="346"/>
      <c r="V18" s="346"/>
      <c r="W18" s="462" t="str">
        <f>IFERROR(VLOOKUP(H18,名称!A:F,6,0),"")</f>
        <v>湖南</v>
      </c>
      <c r="X18" s="346" t="s">
        <v>1133</v>
      </c>
      <c r="Y18" s="346" t="s">
        <v>1133</v>
      </c>
      <c r="Z18" s="529">
        <v>46031</v>
      </c>
      <c r="AA18" s="530">
        <v>46032</v>
      </c>
      <c r="AB18" s="529">
        <v>46034</v>
      </c>
      <c r="AC18" s="346" t="s">
        <v>1133</v>
      </c>
      <c r="AD18" s="346" t="s">
        <v>1133</v>
      </c>
      <c r="AE18" s="346" t="s">
        <v>270</v>
      </c>
      <c r="AF18" s="346" t="s">
        <v>1228</v>
      </c>
      <c r="AG18" s="346" t="s">
        <v>270</v>
      </c>
      <c r="AH18" s="346" t="s">
        <v>1133</v>
      </c>
      <c r="AI18" s="346" t="s">
        <v>1228</v>
      </c>
      <c r="AJ18" s="346" t="s">
        <v>1133</v>
      </c>
      <c r="AK18" s="346" t="s">
        <v>270</v>
      </c>
      <c r="AL18" s="346"/>
      <c r="AM18" s="346" t="s">
        <v>1243</v>
      </c>
      <c r="AN18" s="348"/>
      <c r="AO18" s="531">
        <v>0.61</v>
      </c>
      <c r="AP18" s="532">
        <f t="shared" si="3"/>
        <v>8549.76</v>
      </c>
      <c r="AQ18" s="532">
        <f t="shared" si="4"/>
        <v>66260.64</v>
      </c>
      <c r="AR18" s="51"/>
      <c r="AS18" s="116"/>
      <c r="AT18" s="527" t="s">
        <v>1220</v>
      </c>
      <c r="AU18" s="218"/>
      <c r="AV18" s="219"/>
      <c r="AW18" s="116"/>
      <c r="AX18" s="116"/>
      <c r="AY18" s="527"/>
      <c r="AZ18" s="527"/>
      <c r="BA18" s="527"/>
      <c r="BB18" s="32" t="str">
        <f t="shared" si="5"/>
        <v>JAZWARES - TARGET US DOM</v>
      </c>
      <c r="BC18" s="32" t="str">
        <f t="shared" si="6"/>
        <v>美国</v>
      </c>
    </row>
    <row r="19" s="12" customFormat="1" hidden="1" customHeight="1" spans="1:55">
      <c r="A19" s="527">
        <v>45953</v>
      </c>
      <c r="B19" s="527" t="str">
        <f ca="1" t="shared" si="0"/>
        <v/>
      </c>
      <c r="C19" s="175" t="str">
        <f>VLOOKUP(H19,名称!A:E,4,0)</f>
        <v>二代</v>
      </c>
      <c r="D19" s="528" t="s">
        <v>1240</v>
      </c>
      <c r="E19" s="528" t="s">
        <v>1224</v>
      </c>
      <c r="F19" s="346" t="s">
        <v>323</v>
      </c>
      <c r="G19" s="346" t="s">
        <v>324</v>
      </c>
      <c r="H19" s="346" t="s">
        <v>26</v>
      </c>
      <c r="I19" s="118"/>
      <c r="J19" s="348">
        <f>9000-1500+1500</f>
        <v>9000</v>
      </c>
      <c r="K19" s="347">
        <f>VLOOKUP(H19,名称!A:C,2,0)</f>
        <v>15</v>
      </c>
      <c r="L19" s="347">
        <f t="shared" si="1"/>
        <v>135000</v>
      </c>
      <c r="M19" s="346">
        <f>VLOOKUP(H19,名称!A:E,3,0)</f>
        <v>6</v>
      </c>
      <c r="N19" s="348">
        <f t="shared" si="2"/>
        <v>1500</v>
      </c>
      <c r="O19" s="527">
        <v>46107</v>
      </c>
      <c r="P19" s="527">
        <v>46107</v>
      </c>
      <c r="Q19" s="527">
        <v>46106</v>
      </c>
      <c r="R19" s="346" t="s">
        <v>1241</v>
      </c>
      <c r="S19" s="527">
        <v>46113</v>
      </c>
      <c r="T19" s="346" t="s">
        <v>1241</v>
      </c>
      <c r="U19" s="346"/>
      <c r="V19" s="346"/>
      <c r="W19" s="462" t="str">
        <f>IFERROR(VLOOKUP(H19,名称!A:F,6,0),"")</f>
        <v>湖南</v>
      </c>
      <c r="X19" s="346" t="s">
        <v>1133</v>
      </c>
      <c r="Y19" s="346" t="s">
        <v>1133</v>
      </c>
      <c r="Z19" s="529">
        <v>46031</v>
      </c>
      <c r="AA19" s="530">
        <v>46032</v>
      </c>
      <c r="AB19" s="529">
        <v>46034</v>
      </c>
      <c r="AC19" s="346" t="s">
        <v>1244</v>
      </c>
      <c r="AD19" s="346" t="s">
        <v>1228</v>
      </c>
      <c r="AE19" s="346" t="s">
        <v>270</v>
      </c>
      <c r="AF19" s="346" t="s">
        <v>1228</v>
      </c>
      <c r="AG19" s="346" t="s">
        <v>270</v>
      </c>
      <c r="AH19" s="346" t="s">
        <v>1245</v>
      </c>
      <c r="AI19" s="346" t="s">
        <v>1228</v>
      </c>
      <c r="AJ19" s="346" t="s">
        <v>327</v>
      </c>
      <c r="AK19" s="346" t="s">
        <v>1133</v>
      </c>
      <c r="AL19" s="346"/>
      <c r="AM19" s="346" t="s">
        <v>1243</v>
      </c>
      <c r="AN19" s="348"/>
      <c r="AO19" s="531">
        <v>2.14</v>
      </c>
      <c r="AP19" s="532">
        <f t="shared" si="3"/>
        <v>19260</v>
      </c>
      <c r="AQ19" s="532">
        <f t="shared" si="4"/>
        <v>149265</v>
      </c>
      <c r="AR19" s="533"/>
      <c r="AS19" s="527"/>
      <c r="AT19" s="527" t="s">
        <v>1220</v>
      </c>
      <c r="AU19" s="678"/>
      <c r="AV19" s="219"/>
      <c r="AW19" s="527"/>
      <c r="AX19" s="527"/>
      <c r="AY19" s="527"/>
      <c r="AZ19" s="527"/>
      <c r="BA19" s="527"/>
      <c r="BB19" s="32" t="str">
        <f t="shared" si="5"/>
        <v>JAZWARES - TARGET US DOM</v>
      </c>
      <c r="BC19" s="32" t="str">
        <f t="shared" si="6"/>
        <v>美国</v>
      </c>
    </row>
    <row r="20" s="497" customFormat="1" hidden="1" customHeight="1" spans="1:55">
      <c r="A20" s="553">
        <v>46095</v>
      </c>
      <c r="B20" s="553" t="str">
        <f ca="1" t="shared" si="0"/>
        <v/>
      </c>
      <c r="C20" s="679" t="str">
        <f>VLOOKUP(H20,名称!A:E,4,0)</f>
        <v>二代</v>
      </c>
      <c r="D20" s="555" t="s">
        <v>1246</v>
      </c>
      <c r="E20" s="555" t="s">
        <v>1247</v>
      </c>
      <c r="F20" s="554"/>
      <c r="G20" s="554" t="s">
        <v>571</v>
      </c>
      <c r="H20" s="554" t="s">
        <v>65</v>
      </c>
      <c r="I20" s="554"/>
      <c r="J20" s="556">
        <v>3384</v>
      </c>
      <c r="K20" s="92">
        <f>VLOOKUP(H20,名称!A:C,2,0)</f>
        <v>5</v>
      </c>
      <c r="L20" s="92">
        <f t="shared" si="1"/>
        <v>16920</v>
      </c>
      <c r="M20" s="554">
        <f>VLOOKUP(H20,名称!A:E,3,0)</f>
        <v>24</v>
      </c>
      <c r="N20" s="556">
        <f t="shared" si="2"/>
        <v>141</v>
      </c>
      <c r="O20" s="553">
        <v>46248</v>
      </c>
      <c r="P20" s="553">
        <v>46248</v>
      </c>
      <c r="Q20" s="553">
        <v>46248</v>
      </c>
      <c r="R20" s="435" t="s">
        <v>1241</v>
      </c>
      <c r="S20" s="553" t="s">
        <v>1133</v>
      </c>
      <c r="T20" s="554"/>
      <c r="U20" s="554"/>
      <c r="V20" s="554"/>
      <c r="W20" s="435" t="str">
        <f>IFERROR(VLOOKUP(H20,名称!A:F,6,0),"")</f>
        <v>湖南</v>
      </c>
      <c r="X20" s="554" t="s">
        <v>1248</v>
      </c>
      <c r="Y20" s="554" t="s">
        <v>1228</v>
      </c>
      <c r="Z20" s="554" t="s">
        <v>1249</v>
      </c>
      <c r="AA20" s="559">
        <v>46109</v>
      </c>
      <c r="AB20" s="558">
        <v>46142</v>
      </c>
      <c r="AC20" s="554" t="s">
        <v>1133</v>
      </c>
      <c r="AD20" s="554" t="s">
        <v>1133</v>
      </c>
      <c r="AE20" s="554" t="s">
        <v>327</v>
      </c>
      <c r="AF20" s="554" t="s">
        <v>1228</v>
      </c>
      <c r="AG20" s="554" t="s">
        <v>327</v>
      </c>
      <c r="AH20" s="554" t="s">
        <v>1133</v>
      </c>
      <c r="AI20" s="554" t="s">
        <v>1228</v>
      </c>
      <c r="AJ20" s="554" t="s">
        <v>1133</v>
      </c>
      <c r="AK20" s="554" t="s">
        <v>327</v>
      </c>
      <c r="AL20" s="554" t="s">
        <v>1228</v>
      </c>
      <c r="AM20" s="679" t="s">
        <v>1250</v>
      </c>
      <c r="AN20" s="556" t="s">
        <v>1251</v>
      </c>
      <c r="AO20" s="560">
        <v>0.63</v>
      </c>
      <c r="AP20" s="561">
        <f t="shared" si="3"/>
        <v>2131.92</v>
      </c>
      <c r="AQ20" s="561">
        <f t="shared" si="4"/>
        <v>16522.38</v>
      </c>
      <c r="AR20" s="562"/>
      <c r="AS20" s="553"/>
      <c r="AT20" s="553" t="s">
        <v>1220</v>
      </c>
      <c r="AU20" s="680">
        <f>3360+24</f>
        <v>3384</v>
      </c>
      <c r="AV20" s="628"/>
      <c r="AW20" s="553"/>
      <c r="AX20" s="553"/>
      <c r="AY20" s="553"/>
      <c r="AZ20" s="553"/>
      <c r="BA20" s="553"/>
      <c r="BB20" s="556" t="str">
        <f t="shared" si="5"/>
        <v>Nichi World Co., Ltd</v>
      </c>
      <c r="BC20" s="556" t="str">
        <f t="shared" si="6"/>
        <v>泰国</v>
      </c>
    </row>
    <row r="21" s="496" customFormat="1" hidden="1" customHeight="1" spans="1:55">
      <c r="A21" s="681">
        <v>46177</v>
      </c>
      <c r="B21" s="527" t="str">
        <f ca="1" t="shared" si="0"/>
        <v/>
      </c>
      <c r="C21" s="682" t="str">
        <f>VLOOKUP(H21,名称!A:E,4,0)</f>
        <v>二代</v>
      </c>
      <c r="D21" s="528" t="s">
        <v>1252</v>
      </c>
      <c r="E21" s="528" t="s">
        <v>1224</v>
      </c>
      <c r="F21" s="346" t="s">
        <v>910</v>
      </c>
      <c r="G21" s="346" t="s">
        <v>911</v>
      </c>
      <c r="H21" s="346" t="s">
        <v>44</v>
      </c>
      <c r="I21" s="346"/>
      <c r="J21" s="348">
        <f>288+5016+288</f>
        <v>5592</v>
      </c>
      <c r="K21" s="683">
        <f>VLOOKUP(H21,名称!A:C,2,0)</f>
        <v>5</v>
      </c>
      <c r="L21" s="684">
        <f>J21*K21</f>
        <v>27960</v>
      </c>
      <c r="M21" s="346">
        <f>VLOOKUP(H21,名称!A:E,3,0)</f>
        <v>24</v>
      </c>
      <c r="N21" s="348">
        <f t="shared" si="2"/>
        <v>233</v>
      </c>
      <c r="O21" s="527">
        <v>46244</v>
      </c>
      <c r="P21" s="527">
        <v>46244</v>
      </c>
      <c r="Q21" s="527">
        <v>46244</v>
      </c>
      <c r="R21" s="415" t="s">
        <v>1241</v>
      </c>
      <c r="S21" s="527">
        <v>46244</v>
      </c>
      <c r="T21" s="346"/>
      <c r="U21" s="346"/>
      <c r="V21" s="346" t="s">
        <v>1253</v>
      </c>
      <c r="W21" s="404" t="str">
        <f>IFERROR(VLOOKUP(H21,名称!A:F,6,0),"")</f>
        <v>湖南</v>
      </c>
      <c r="X21" s="346" t="s">
        <v>1133</v>
      </c>
      <c r="Y21" s="346" t="s">
        <v>1133</v>
      </c>
      <c r="Z21" s="529">
        <v>46106</v>
      </c>
      <c r="AA21" s="530">
        <v>46109</v>
      </c>
      <c r="AB21" s="529">
        <v>46111</v>
      </c>
      <c r="AC21" s="346" t="s">
        <v>1133</v>
      </c>
      <c r="AD21" s="346" t="s">
        <v>1133</v>
      </c>
      <c r="AE21" s="346" t="s">
        <v>253</v>
      </c>
      <c r="AF21" s="346" t="s">
        <v>1228</v>
      </c>
      <c r="AG21" s="346" t="s">
        <v>253</v>
      </c>
      <c r="AH21" s="346" t="s">
        <v>1133</v>
      </c>
      <c r="AI21" s="346" t="s">
        <v>1228</v>
      </c>
      <c r="AJ21" s="346" t="s">
        <v>1133</v>
      </c>
      <c r="AK21" s="346" t="s">
        <v>253</v>
      </c>
      <c r="AL21" s="346" t="s">
        <v>1228</v>
      </c>
      <c r="AM21" s="346"/>
      <c r="AN21" s="348" t="s">
        <v>1234</v>
      </c>
      <c r="AO21" s="531">
        <v>0.62</v>
      </c>
      <c r="AP21" s="532">
        <f t="shared" si="3"/>
        <v>3467.04</v>
      </c>
      <c r="AQ21" s="532">
        <f t="shared" si="4"/>
        <v>26869.56</v>
      </c>
      <c r="AR21" s="533"/>
      <c r="AS21" s="527"/>
      <c r="AT21" s="527" t="s">
        <v>1254</v>
      </c>
      <c r="AU21" s="536"/>
      <c r="AV21" s="536"/>
      <c r="AW21" s="527"/>
      <c r="AX21" s="527"/>
      <c r="AY21" s="527" t="s">
        <v>1255</v>
      </c>
      <c r="AZ21" s="527" t="s">
        <v>1256</v>
      </c>
      <c r="BA21" s="527"/>
      <c r="BB21" s="348" t="str">
        <f t="shared" si="5"/>
        <v>JAZWARES CA - LOBLAWS INC. DOM</v>
      </c>
      <c r="BC21" s="348" t="str">
        <f t="shared" si="6"/>
        <v>美国</v>
      </c>
    </row>
    <row r="22" s="496" customFormat="1" hidden="1" customHeight="1" spans="1:55">
      <c r="A22" s="681">
        <v>46177</v>
      </c>
      <c r="B22" s="527" t="str">
        <f ca="1" t="shared" si="0"/>
        <v/>
      </c>
      <c r="C22" s="682" t="str">
        <f>VLOOKUP(H22,名称!A:E,4,0)</f>
        <v>二代</v>
      </c>
      <c r="D22" s="528" t="s">
        <v>1252</v>
      </c>
      <c r="E22" s="528" t="s">
        <v>1224</v>
      </c>
      <c r="F22" s="346" t="s">
        <v>910</v>
      </c>
      <c r="G22" s="346" t="s">
        <v>911</v>
      </c>
      <c r="H22" s="346" t="s">
        <v>44</v>
      </c>
      <c r="I22" s="346"/>
      <c r="J22" s="348">
        <v>408</v>
      </c>
      <c r="K22" s="683">
        <f>VLOOKUP(H22,名称!A:C,2,0)</f>
        <v>5</v>
      </c>
      <c r="L22" s="684">
        <f>J22*K22</f>
        <v>2040</v>
      </c>
      <c r="M22" s="346">
        <f>VLOOKUP(H22,名称!A:E,3,0)</f>
        <v>24</v>
      </c>
      <c r="N22" s="348">
        <f t="shared" si="2"/>
        <v>17</v>
      </c>
      <c r="O22" s="527">
        <v>46244</v>
      </c>
      <c r="P22" s="527">
        <v>46244</v>
      </c>
      <c r="Q22" s="527">
        <v>46244</v>
      </c>
      <c r="R22" s="415" t="s">
        <v>1241</v>
      </c>
      <c r="S22" s="527">
        <v>46244</v>
      </c>
      <c r="T22" s="346"/>
      <c r="U22" s="346"/>
      <c r="V22" s="346"/>
      <c r="W22" s="404" t="str">
        <f>IFERROR(VLOOKUP(H22,名称!A:F,6,0),"")</f>
        <v>湖南</v>
      </c>
      <c r="X22" s="346" t="s">
        <v>1133</v>
      </c>
      <c r="Y22" s="346" t="s">
        <v>1133</v>
      </c>
      <c r="Z22" s="529">
        <v>46176</v>
      </c>
      <c r="AA22" s="530">
        <v>46181</v>
      </c>
      <c r="AB22" s="530">
        <v>46181</v>
      </c>
      <c r="AC22" s="346" t="s">
        <v>1133</v>
      </c>
      <c r="AD22" s="346" t="s">
        <v>1133</v>
      </c>
      <c r="AE22" s="346" t="s">
        <v>253</v>
      </c>
      <c r="AF22" s="346" t="s">
        <v>1228</v>
      </c>
      <c r="AG22" s="346" t="s">
        <v>253</v>
      </c>
      <c r="AH22" s="346" t="s">
        <v>1133</v>
      </c>
      <c r="AI22" s="346" t="s">
        <v>1228</v>
      </c>
      <c r="AJ22" s="346" t="s">
        <v>1133</v>
      </c>
      <c r="AK22" s="346" t="s">
        <v>253</v>
      </c>
      <c r="AL22" s="346" t="s">
        <v>1228</v>
      </c>
      <c r="AM22" s="346"/>
      <c r="AN22" s="348" t="s">
        <v>1234</v>
      </c>
      <c r="AO22" s="531">
        <v>0.62</v>
      </c>
      <c r="AP22" s="532">
        <f t="shared" si="3"/>
        <v>252.96</v>
      </c>
      <c r="AQ22" s="532">
        <f t="shared" si="4"/>
        <v>1960.44</v>
      </c>
      <c r="AR22" s="533"/>
      <c r="AS22" s="527"/>
      <c r="AT22" s="527" t="s">
        <v>1220</v>
      </c>
      <c r="AU22" s="599">
        <f>24+384</f>
        <v>408</v>
      </c>
      <c r="AV22" s="536"/>
      <c r="AW22" s="527"/>
      <c r="AX22" s="527"/>
      <c r="AY22" s="681" t="s">
        <v>1255</v>
      </c>
      <c r="AZ22" s="681" t="s">
        <v>1256</v>
      </c>
      <c r="BA22" s="527"/>
      <c r="BB22" s="348" t="str">
        <f t="shared" si="5"/>
        <v>JAZWARES CA - LOBLAWS INC. DOM</v>
      </c>
      <c r="BC22" s="348" t="str">
        <f t="shared" si="6"/>
        <v>美国</v>
      </c>
    </row>
    <row r="23" s="154" customFormat="1" hidden="1" customHeight="1" spans="1:55">
      <c r="A23" s="174">
        <v>46177</v>
      </c>
      <c r="B23" s="40" t="str">
        <f ca="1" t="shared" si="0"/>
        <v/>
      </c>
      <c r="C23" s="175" t="str">
        <f>VLOOKUP(H23,名称!A:E,4,0)</f>
        <v>二代</v>
      </c>
      <c r="D23" s="117" t="s">
        <v>1252</v>
      </c>
      <c r="E23" s="117" t="s">
        <v>1224</v>
      </c>
      <c r="F23" s="118" t="s">
        <v>912</v>
      </c>
      <c r="G23" s="118" t="s">
        <v>913</v>
      </c>
      <c r="H23" s="118" t="s">
        <v>44</v>
      </c>
      <c r="I23" s="118"/>
      <c r="J23" s="32">
        <v>6000</v>
      </c>
      <c r="K23" s="166">
        <f>VLOOKUP(H23,名称!A:C,2,0)</f>
        <v>5</v>
      </c>
      <c r="L23" s="168">
        <f>J23*K23</f>
        <v>30000</v>
      </c>
      <c r="M23" s="118">
        <f>VLOOKUP(H23,名称!A:E,3,0)</f>
        <v>24</v>
      </c>
      <c r="N23" s="32">
        <f t="shared" si="2"/>
        <v>250</v>
      </c>
      <c r="O23" s="116">
        <v>46367</v>
      </c>
      <c r="P23" s="116">
        <v>46367</v>
      </c>
      <c r="Q23" s="116">
        <v>46366</v>
      </c>
      <c r="R23" s="118"/>
      <c r="S23" s="116">
        <v>46367</v>
      </c>
      <c r="T23" s="118"/>
      <c r="U23" s="118"/>
      <c r="V23" s="118"/>
      <c r="W23" s="462" t="str">
        <f>IFERROR(VLOOKUP(H23,名称!A:F,6,0),"")</f>
        <v>湖南</v>
      </c>
      <c r="X23" s="118" t="s">
        <v>1133</v>
      </c>
      <c r="Y23" s="118" t="s">
        <v>1133</v>
      </c>
      <c r="Z23" s="675">
        <v>46176</v>
      </c>
      <c r="AA23" s="674">
        <v>46181</v>
      </c>
      <c r="AB23" s="674">
        <v>46181</v>
      </c>
      <c r="AC23" s="118" t="s">
        <v>1133</v>
      </c>
      <c r="AD23" s="118" t="s">
        <v>1133</v>
      </c>
      <c r="AE23" s="118" t="s">
        <v>253</v>
      </c>
      <c r="AF23" s="118" t="s">
        <v>1228</v>
      </c>
      <c r="AG23" s="118" t="s">
        <v>253</v>
      </c>
      <c r="AH23" s="118" t="s">
        <v>1133</v>
      </c>
      <c r="AI23" s="118" t="s">
        <v>1228</v>
      </c>
      <c r="AJ23" s="118" t="s">
        <v>1133</v>
      </c>
      <c r="AK23" s="118" t="s">
        <v>253</v>
      </c>
      <c r="AL23" s="118" t="s">
        <v>1228</v>
      </c>
      <c r="AM23" s="118"/>
      <c r="AN23" s="32" t="s">
        <v>1234</v>
      </c>
      <c r="AO23" s="124">
        <v>0.62</v>
      </c>
      <c r="AP23" s="125">
        <f t="shared" si="3"/>
        <v>3720</v>
      </c>
      <c r="AQ23" s="125">
        <f t="shared" si="4"/>
        <v>28830</v>
      </c>
      <c r="AR23" s="685"/>
      <c r="AS23" s="116"/>
      <c r="AT23" s="116" t="s">
        <v>1220</v>
      </c>
      <c r="AU23" s="362"/>
      <c r="AV23" s="362"/>
      <c r="AW23" s="116"/>
      <c r="AX23" s="116"/>
      <c r="AY23" s="174" t="s">
        <v>1255</v>
      </c>
      <c r="AZ23" s="174" t="s">
        <v>1256</v>
      </c>
      <c r="BA23" s="116"/>
      <c r="BB23" s="32" t="str">
        <f t="shared" si="5"/>
        <v>JAZWARES CA - LOBLAWS INC. DOM</v>
      </c>
      <c r="BC23" s="32" t="str">
        <f t="shared" si="6"/>
        <v>美国</v>
      </c>
    </row>
    <row r="24" s="497" customFormat="1" hidden="1" customHeight="1" spans="1:55">
      <c r="A24" s="553">
        <v>46190</v>
      </c>
      <c r="B24" s="553" t="str">
        <f ca="1" t="shared" si="0"/>
        <v/>
      </c>
      <c r="C24" s="554" t="str">
        <f>VLOOKUP(H24,名称!A:E,4,0)</f>
        <v>二代</v>
      </c>
      <c r="D24" s="435" t="s">
        <v>1257</v>
      </c>
      <c r="E24" s="435" t="s">
        <v>1258</v>
      </c>
      <c r="F24" s="435" t="s">
        <v>983</v>
      </c>
      <c r="G24" s="435" t="s">
        <v>984</v>
      </c>
      <c r="H24" s="435" t="s">
        <v>82</v>
      </c>
      <c r="I24" s="554"/>
      <c r="J24" s="556">
        <v>6048</v>
      </c>
      <c r="K24" s="92"/>
      <c r="L24" s="32"/>
      <c r="M24" s="554">
        <f>VLOOKUP(H24,名称!A:E,3,0)</f>
        <v>6</v>
      </c>
      <c r="N24" s="556">
        <f t="shared" si="2"/>
        <v>1008</v>
      </c>
      <c r="O24" s="553">
        <v>46251</v>
      </c>
      <c r="P24" s="553">
        <v>46251</v>
      </c>
      <c r="Q24" s="578">
        <v>46248</v>
      </c>
      <c r="R24" s="435" t="s">
        <v>1241</v>
      </c>
      <c r="S24" s="553">
        <v>46251</v>
      </c>
      <c r="T24" s="435" t="s">
        <v>1241</v>
      </c>
      <c r="U24" s="435" t="s">
        <v>1259</v>
      </c>
      <c r="V24" s="441">
        <v>46254</v>
      </c>
      <c r="W24" s="435" t="str">
        <f>IFERROR(VLOOKUP(H24,名称!A:F,6,0),"")</f>
        <v>湖南</v>
      </c>
      <c r="X24" s="557" t="s">
        <v>1133</v>
      </c>
      <c r="Y24" s="557" t="s">
        <v>1133</v>
      </c>
      <c r="Z24" s="435" t="s">
        <v>1228</v>
      </c>
      <c r="AA24" s="558">
        <v>46207</v>
      </c>
      <c r="AB24" s="558">
        <v>46207</v>
      </c>
      <c r="AC24" s="554"/>
      <c r="AD24" s="554"/>
      <c r="AE24" s="435" t="s">
        <v>334</v>
      </c>
      <c r="AF24" s="557" t="s">
        <v>1228</v>
      </c>
      <c r="AG24" s="435" t="s">
        <v>334</v>
      </c>
      <c r="AH24" s="435" t="s">
        <v>1133</v>
      </c>
      <c r="AI24" s="557" t="s">
        <v>1228</v>
      </c>
      <c r="AJ24" s="435" t="s">
        <v>1133</v>
      </c>
      <c r="AK24" s="435" t="s">
        <v>1133</v>
      </c>
      <c r="AL24" s="557" t="s">
        <v>1228</v>
      </c>
      <c r="AM24" s="435" t="s">
        <v>1260</v>
      </c>
      <c r="AN24" s="435" t="s">
        <v>1261</v>
      </c>
      <c r="AO24" s="560">
        <v>1.49</v>
      </c>
      <c r="AP24" s="561">
        <f t="shared" si="3"/>
        <v>9011.52</v>
      </c>
      <c r="AQ24" s="561">
        <f t="shared" si="4"/>
        <v>69839.28</v>
      </c>
      <c r="AR24" s="562"/>
      <c r="AS24" s="553"/>
      <c r="AT24" s="434" t="s">
        <v>1220</v>
      </c>
      <c r="AU24" s="582">
        <v>6048</v>
      </c>
      <c r="AV24" s="564"/>
      <c r="AW24" s="553"/>
      <c r="AX24" s="553"/>
      <c r="AY24" s="434" t="s">
        <v>1262</v>
      </c>
      <c r="AZ24" s="434" t="s">
        <v>1263</v>
      </c>
      <c r="BA24" s="553"/>
      <c r="BB24" s="556" t="str">
        <f t="shared" si="5"/>
        <v>Character Options</v>
      </c>
      <c r="BC24" s="556" t="str">
        <f t="shared" si="6"/>
        <v>英国</v>
      </c>
    </row>
    <row r="25" s="12" customFormat="1" hidden="1" customHeight="1" spans="1:55">
      <c r="A25" s="362">
        <v>46213</v>
      </c>
      <c r="B25" s="686" t="str">
        <f ca="1" t="shared" si="0"/>
        <v/>
      </c>
      <c r="C25" s="687" t="str">
        <f>VLOOKUP(H25,名称!A:E,4,0)</f>
        <v>二代</v>
      </c>
      <c r="D25" s="431" t="s">
        <v>1264</v>
      </c>
      <c r="E25" s="431" t="s">
        <v>1224</v>
      </c>
      <c r="F25" s="431" t="s">
        <v>1037</v>
      </c>
      <c r="G25" s="431" t="s">
        <v>1038</v>
      </c>
      <c r="H25" s="431" t="s">
        <v>18</v>
      </c>
      <c r="I25" s="129"/>
      <c r="J25" s="96">
        <v>816</v>
      </c>
      <c r="K25" s="95"/>
      <c r="L25" s="96"/>
      <c r="M25" s="129">
        <f>VLOOKUP(H25,名称!A:E,3,0)</f>
        <v>6</v>
      </c>
      <c r="N25" s="96">
        <f t="shared" si="2"/>
        <v>136</v>
      </c>
      <c r="O25" s="362">
        <v>46275</v>
      </c>
      <c r="P25" s="362">
        <v>46275</v>
      </c>
      <c r="Q25" s="362">
        <v>46275</v>
      </c>
      <c r="R25" s="129"/>
      <c r="S25" s="420" t="s">
        <v>1133</v>
      </c>
      <c r="T25" s="129"/>
      <c r="U25" s="431" t="s">
        <v>1265</v>
      </c>
      <c r="V25" s="129"/>
      <c r="W25" s="431" t="str">
        <f>IFERROR(VLOOKUP(H25,名称!A:F,6,0),"")</f>
        <v>湖南</v>
      </c>
      <c r="X25" s="431" t="s">
        <v>1248</v>
      </c>
      <c r="Y25" s="478">
        <v>46224</v>
      </c>
      <c r="Z25" s="431" t="s">
        <v>1249</v>
      </c>
      <c r="AA25" s="688">
        <v>46217</v>
      </c>
      <c r="AB25" s="689">
        <v>46220</v>
      </c>
      <c r="AC25" s="431" t="s">
        <v>1227</v>
      </c>
      <c r="AD25" s="431" t="s">
        <v>1228</v>
      </c>
      <c r="AE25" s="431" t="s">
        <v>510</v>
      </c>
      <c r="AF25" s="129" t="s">
        <v>1228</v>
      </c>
      <c r="AG25" s="431" t="s">
        <v>510</v>
      </c>
      <c r="AH25" s="431" t="s">
        <v>1266</v>
      </c>
      <c r="AI25" s="129" t="s">
        <v>1228</v>
      </c>
      <c r="AJ25" s="431" t="s">
        <v>1133</v>
      </c>
      <c r="AK25" s="431" t="s">
        <v>1133</v>
      </c>
      <c r="AL25" s="129" t="s">
        <v>1228</v>
      </c>
      <c r="AM25" s="422" t="s">
        <v>1267</v>
      </c>
      <c r="AN25" s="431" t="s">
        <v>1268</v>
      </c>
      <c r="AO25" s="690">
        <v>1.47</v>
      </c>
      <c r="AP25" s="360">
        <f t="shared" si="3"/>
        <v>1199.52</v>
      </c>
      <c r="AQ25" s="360">
        <f t="shared" si="4"/>
        <v>9296.28</v>
      </c>
      <c r="AR25" s="87"/>
      <c r="AS25" s="362"/>
      <c r="AT25" s="420" t="s">
        <v>1220</v>
      </c>
      <c r="AU25" s="691"/>
      <c r="AV25" s="691"/>
      <c r="AW25" s="639" t="s">
        <v>1228</v>
      </c>
      <c r="AX25" s="362"/>
      <c r="AY25" s="420" t="s">
        <v>1269</v>
      </c>
      <c r="AZ25" s="362" t="s">
        <v>1256</v>
      </c>
      <c r="BA25" s="362"/>
      <c r="BB25" s="116" t="str">
        <f t="shared" si="5"/>
        <v>PT MAP</v>
      </c>
      <c r="BC25" s="116" t="str">
        <f>E25</f>
        <v>美国</v>
      </c>
    </row>
    <row r="26" s="12" customFormat="1" hidden="1" customHeight="1" spans="1:55">
      <c r="A26" s="362">
        <v>46225</v>
      </c>
      <c r="B26" s="686" t="str">
        <f ca="1" t="shared" si="0"/>
        <v/>
      </c>
      <c r="C26" s="687" t="str">
        <f>VLOOKUP(H26,名称!A:E,4,0)</f>
        <v>二代</v>
      </c>
      <c r="D26" s="431" t="s">
        <v>1257</v>
      </c>
      <c r="E26" s="431" t="s">
        <v>1258</v>
      </c>
      <c r="F26" s="431" t="s">
        <v>1056</v>
      </c>
      <c r="G26" s="431" t="s">
        <v>1057</v>
      </c>
      <c r="H26" s="431" t="s">
        <v>82</v>
      </c>
      <c r="I26" s="129"/>
      <c r="J26" s="96">
        <v>9504</v>
      </c>
      <c r="K26" s="95"/>
      <c r="L26" s="96"/>
      <c r="M26" s="687">
        <f>VLOOKUP(H26,名称!A:E,3,0)</f>
        <v>6</v>
      </c>
      <c r="N26" s="692">
        <f t="shared" si="2"/>
        <v>1584</v>
      </c>
      <c r="O26" s="362">
        <v>46283</v>
      </c>
      <c r="P26" s="362">
        <v>46275</v>
      </c>
      <c r="Q26" s="362">
        <v>46275</v>
      </c>
      <c r="R26" s="129"/>
      <c r="S26" s="362">
        <v>46275</v>
      </c>
      <c r="T26" s="129"/>
      <c r="U26" s="129"/>
      <c r="V26" s="129"/>
      <c r="W26" s="431" t="str">
        <f>IFERROR(VLOOKUP(H26,名称!A:F,6,0),"")</f>
        <v>湖南</v>
      </c>
      <c r="X26" s="431" t="s">
        <v>1133</v>
      </c>
      <c r="Y26" s="431" t="s">
        <v>1133</v>
      </c>
      <c r="Z26" s="431" t="s">
        <v>1249</v>
      </c>
      <c r="AA26" s="688">
        <v>46234</v>
      </c>
      <c r="AB26" s="689">
        <v>46237</v>
      </c>
      <c r="AC26" s="431" t="s">
        <v>1133</v>
      </c>
      <c r="AD26" s="431" t="s">
        <v>1133</v>
      </c>
      <c r="AE26" s="431" t="s">
        <v>334</v>
      </c>
      <c r="AF26" s="129" t="s">
        <v>1228</v>
      </c>
      <c r="AG26" s="431" t="s">
        <v>1270</v>
      </c>
      <c r="AH26" s="431" t="s">
        <v>1133</v>
      </c>
      <c r="AI26" s="129" t="s">
        <v>1228</v>
      </c>
      <c r="AJ26" s="431" t="s">
        <v>1133</v>
      </c>
      <c r="AK26" s="431" t="s">
        <v>1133</v>
      </c>
      <c r="AL26" s="129" t="s">
        <v>1228</v>
      </c>
      <c r="AM26" s="431" t="s">
        <v>1271</v>
      </c>
      <c r="AN26" s="431" t="s">
        <v>1272</v>
      </c>
      <c r="AO26" s="690">
        <v>1.49</v>
      </c>
      <c r="AP26" s="360">
        <f t="shared" si="3"/>
        <v>14160.96</v>
      </c>
      <c r="AQ26" s="360">
        <f t="shared" si="4"/>
        <v>109747.44</v>
      </c>
      <c r="AR26" s="87"/>
      <c r="AS26" s="362"/>
      <c r="AT26" s="420" t="s">
        <v>1220</v>
      </c>
      <c r="AU26" s="691"/>
      <c r="AV26" s="691"/>
      <c r="AW26" s="693"/>
      <c r="AX26" s="362"/>
      <c r="AY26" s="420" t="s">
        <v>1273</v>
      </c>
      <c r="AZ26" s="420" t="s">
        <v>1274</v>
      </c>
      <c r="BA26" s="362"/>
      <c r="BB26" s="116" t="str">
        <f t="shared" si="5"/>
        <v>Character Options</v>
      </c>
      <c r="BC26" s="116" t="str">
        <f>E26</f>
        <v>英国</v>
      </c>
    </row>
    <row r="27" s="12" customFormat="1" hidden="1" customHeight="1" spans="1:55">
      <c r="A27" s="362"/>
      <c r="B27" s="80"/>
      <c r="C27" s="694"/>
      <c r="D27" s="363"/>
      <c r="E27" s="363"/>
      <c r="F27" s="129"/>
      <c r="G27" s="129"/>
      <c r="H27" s="129"/>
      <c r="I27" s="129"/>
      <c r="J27" s="96"/>
      <c r="K27" s="129"/>
      <c r="L27" s="129"/>
      <c r="M27" s="129"/>
      <c r="N27" s="96"/>
      <c r="O27" s="362"/>
      <c r="P27" s="362"/>
      <c r="Q27" s="362"/>
      <c r="R27" s="129"/>
      <c r="S27" s="362"/>
      <c r="T27" s="129"/>
      <c r="U27" s="129"/>
      <c r="V27" s="129"/>
      <c r="W27" s="362"/>
      <c r="X27" s="129"/>
      <c r="Y27" s="129"/>
      <c r="Z27" s="129"/>
      <c r="AA27" s="688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96"/>
      <c r="AO27" s="690"/>
      <c r="AP27" s="360">
        <f t="shared" si="3"/>
        <v>0</v>
      </c>
      <c r="AQ27" s="360">
        <f t="shared" si="4"/>
        <v>0</v>
      </c>
      <c r="AR27" s="87"/>
      <c r="AS27" s="362"/>
      <c r="AT27" s="362"/>
      <c r="AU27" s="367"/>
      <c r="AV27" s="219"/>
      <c r="AW27" s="362"/>
      <c r="AX27" s="362"/>
      <c r="AY27" s="362"/>
      <c r="AZ27" s="362"/>
      <c r="BA27" s="362"/>
      <c r="BB27" s="32">
        <f t="shared" si="5"/>
        <v>0</v>
      </c>
      <c r="BC27" s="32">
        <f t="shared" ref="BC26:BC34" si="7">IFERROR(E27,"")</f>
        <v>0</v>
      </c>
    </row>
    <row r="28" s="12" customFormat="1" hidden="1" customHeight="1" spans="1:55">
      <c r="A28" s="362"/>
      <c r="B28" s="80"/>
      <c r="C28" s="694"/>
      <c r="D28" s="363"/>
      <c r="E28" s="363"/>
      <c r="F28" s="129"/>
      <c r="G28" s="129"/>
      <c r="H28" s="129"/>
      <c r="I28" s="129"/>
      <c r="J28" s="96"/>
      <c r="K28" s="129"/>
      <c r="L28" s="129"/>
      <c r="M28" s="129"/>
      <c r="N28" s="96"/>
      <c r="O28" s="362"/>
      <c r="P28" s="362"/>
      <c r="Q28" s="362"/>
      <c r="R28" s="129"/>
      <c r="S28" s="362"/>
      <c r="T28" s="129"/>
      <c r="U28" s="129"/>
      <c r="V28" s="129"/>
      <c r="W28" s="362"/>
      <c r="X28" s="129"/>
      <c r="Y28" s="129"/>
      <c r="Z28" s="129"/>
      <c r="AA28" s="688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96"/>
      <c r="AO28" s="690"/>
      <c r="AP28" s="360">
        <f t="shared" si="3"/>
        <v>0</v>
      </c>
      <c r="AQ28" s="360">
        <f t="shared" si="4"/>
        <v>0</v>
      </c>
      <c r="AR28" s="87"/>
      <c r="AS28" s="362"/>
      <c r="AT28" s="362"/>
      <c r="AU28" s="367"/>
      <c r="AV28" s="219"/>
      <c r="AW28" s="362"/>
      <c r="AX28" s="362"/>
      <c r="AY28" s="362"/>
      <c r="AZ28" s="362"/>
      <c r="BA28" s="362"/>
      <c r="BB28" s="32">
        <f t="shared" si="5"/>
        <v>0</v>
      </c>
      <c r="BC28" s="32">
        <f t="shared" si="7"/>
        <v>0</v>
      </c>
    </row>
    <row r="29" s="12" customFormat="1" hidden="1" customHeight="1" spans="1:55">
      <c r="A29" s="362"/>
      <c r="B29" s="80"/>
      <c r="C29" s="694"/>
      <c r="D29" s="363"/>
      <c r="E29" s="363"/>
      <c r="F29" s="129"/>
      <c r="G29" s="129"/>
      <c r="H29" s="129"/>
      <c r="I29" s="129"/>
      <c r="J29" s="96"/>
      <c r="K29" s="129"/>
      <c r="L29" s="129"/>
      <c r="M29" s="129"/>
      <c r="N29" s="96"/>
      <c r="O29" s="362"/>
      <c r="P29" s="362"/>
      <c r="Q29" s="362"/>
      <c r="R29" s="129"/>
      <c r="S29" s="362"/>
      <c r="T29" s="129"/>
      <c r="U29" s="129"/>
      <c r="V29" s="129"/>
      <c r="W29" s="362"/>
      <c r="X29" s="129"/>
      <c r="Y29" s="129"/>
      <c r="Z29" s="129"/>
      <c r="AA29" s="688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96"/>
      <c r="AO29" s="690"/>
      <c r="AP29" s="360">
        <f t="shared" si="3"/>
        <v>0</v>
      </c>
      <c r="AQ29" s="360">
        <f t="shared" si="4"/>
        <v>0</v>
      </c>
      <c r="AR29" s="87"/>
      <c r="AS29" s="362"/>
      <c r="AT29" s="362"/>
      <c r="AU29" s="367"/>
      <c r="AV29" s="219"/>
      <c r="AW29" s="362"/>
      <c r="AX29" s="362"/>
      <c r="AY29" s="362"/>
      <c r="AZ29" s="362"/>
      <c r="BA29" s="362"/>
      <c r="BB29" s="32">
        <f t="shared" si="5"/>
        <v>0</v>
      </c>
      <c r="BC29" s="32">
        <f t="shared" si="7"/>
        <v>0</v>
      </c>
    </row>
    <row r="30" s="12" customFormat="1" hidden="1" customHeight="1" spans="1:55">
      <c r="A30" s="362"/>
      <c r="B30" s="80"/>
      <c r="C30" s="694"/>
      <c r="D30" s="363"/>
      <c r="E30" s="363"/>
      <c r="F30" s="129"/>
      <c r="G30" s="129"/>
      <c r="H30" s="129"/>
      <c r="I30" s="129"/>
      <c r="J30" s="96"/>
      <c r="K30" s="129"/>
      <c r="L30" s="129"/>
      <c r="M30" s="129"/>
      <c r="N30" s="96"/>
      <c r="O30" s="362"/>
      <c r="P30" s="362"/>
      <c r="Q30" s="362"/>
      <c r="R30" s="129"/>
      <c r="S30" s="362"/>
      <c r="T30" s="129"/>
      <c r="U30" s="129"/>
      <c r="V30" s="129"/>
      <c r="W30" s="362"/>
      <c r="X30" s="129"/>
      <c r="Y30" s="129"/>
      <c r="Z30" s="129"/>
      <c r="AA30" s="688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96"/>
      <c r="AO30" s="690"/>
      <c r="AP30" s="360">
        <f t="shared" si="3"/>
        <v>0</v>
      </c>
      <c r="AQ30" s="360">
        <f t="shared" si="4"/>
        <v>0</v>
      </c>
      <c r="AR30" s="87"/>
      <c r="AS30" s="362"/>
      <c r="AT30" s="362"/>
      <c r="AU30" s="367"/>
      <c r="AV30" s="219"/>
      <c r="AW30" s="362"/>
      <c r="AX30" s="362"/>
      <c r="AY30" s="362"/>
      <c r="AZ30" s="362"/>
      <c r="BA30" s="362"/>
      <c r="BB30" s="32">
        <f t="shared" si="5"/>
        <v>0</v>
      </c>
      <c r="BC30" s="32">
        <f t="shared" si="7"/>
        <v>0</v>
      </c>
    </row>
    <row r="31" s="12" customFormat="1" hidden="1" customHeight="1" spans="1:55">
      <c r="A31" s="362"/>
      <c r="B31" s="80"/>
      <c r="C31" s="694"/>
      <c r="D31" s="363"/>
      <c r="E31" s="363"/>
      <c r="F31" s="129"/>
      <c r="G31" s="129"/>
      <c r="H31" s="129"/>
      <c r="I31" s="129"/>
      <c r="J31" s="96"/>
      <c r="K31" s="129"/>
      <c r="L31" s="129"/>
      <c r="M31" s="129"/>
      <c r="N31" s="96"/>
      <c r="O31" s="362"/>
      <c r="P31" s="362"/>
      <c r="Q31" s="362"/>
      <c r="R31" s="129"/>
      <c r="S31" s="362"/>
      <c r="T31" s="129"/>
      <c r="U31" s="129"/>
      <c r="V31" s="129"/>
      <c r="W31" s="362"/>
      <c r="X31" s="129"/>
      <c r="Y31" s="129"/>
      <c r="Z31" s="129"/>
      <c r="AA31" s="688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96"/>
      <c r="AO31" s="690"/>
      <c r="AP31" s="360">
        <f t="shared" si="3"/>
        <v>0</v>
      </c>
      <c r="AQ31" s="360">
        <f t="shared" si="4"/>
        <v>0</v>
      </c>
      <c r="AR31" s="87"/>
      <c r="AS31" s="362"/>
      <c r="AT31" s="362"/>
      <c r="AU31" s="367"/>
      <c r="AV31" s="219"/>
      <c r="AW31" s="362"/>
      <c r="AX31" s="362"/>
      <c r="AY31" s="362"/>
      <c r="AZ31" s="362"/>
      <c r="BA31" s="362"/>
      <c r="BB31" s="32">
        <f t="shared" si="5"/>
        <v>0</v>
      </c>
      <c r="BC31" s="32">
        <f t="shared" si="7"/>
        <v>0</v>
      </c>
    </row>
    <row r="32" s="12" customFormat="1" hidden="1" customHeight="1" spans="1:55">
      <c r="A32" s="362"/>
      <c r="B32" s="80"/>
      <c r="C32" s="694"/>
      <c r="D32" s="363"/>
      <c r="E32" s="363"/>
      <c r="F32" s="129"/>
      <c r="G32" s="129"/>
      <c r="H32" s="129"/>
      <c r="I32" s="129"/>
      <c r="J32" s="96"/>
      <c r="K32" s="129"/>
      <c r="L32" s="129"/>
      <c r="M32" s="129"/>
      <c r="N32" s="96"/>
      <c r="O32" s="362"/>
      <c r="P32" s="362"/>
      <c r="Q32" s="362"/>
      <c r="R32" s="129"/>
      <c r="S32" s="362"/>
      <c r="T32" s="129"/>
      <c r="U32" s="129"/>
      <c r="V32" s="129"/>
      <c r="W32" s="362"/>
      <c r="X32" s="129"/>
      <c r="Y32" s="129"/>
      <c r="Z32" s="129"/>
      <c r="AA32" s="688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96"/>
      <c r="AO32" s="690"/>
      <c r="AP32" s="360">
        <f t="shared" si="3"/>
        <v>0</v>
      </c>
      <c r="AQ32" s="360">
        <f t="shared" si="4"/>
        <v>0</v>
      </c>
      <c r="AR32" s="87"/>
      <c r="AS32" s="362"/>
      <c r="AT32" s="362"/>
      <c r="AU32" s="367"/>
      <c r="AV32" s="219"/>
      <c r="AW32" s="362"/>
      <c r="AX32" s="362"/>
      <c r="AY32" s="362"/>
      <c r="AZ32" s="362"/>
      <c r="BA32" s="362"/>
      <c r="BB32" s="32">
        <f t="shared" si="5"/>
        <v>0</v>
      </c>
      <c r="BC32" s="32">
        <f t="shared" si="7"/>
        <v>0</v>
      </c>
    </row>
    <row r="33" s="12" customFormat="1" hidden="1" customHeight="1" spans="1:55">
      <c r="A33" s="116"/>
      <c r="B33" s="40"/>
      <c r="C33" s="175"/>
      <c r="D33" s="117"/>
      <c r="E33" s="117"/>
      <c r="F33" s="118"/>
      <c r="G33" s="118"/>
      <c r="H33" s="118"/>
      <c r="I33" s="118"/>
      <c r="J33" s="32"/>
      <c r="K33" s="118"/>
      <c r="L33" s="118"/>
      <c r="M33" s="118"/>
      <c r="N33" s="118"/>
      <c r="O33" s="116"/>
      <c r="P33" s="116"/>
      <c r="Q33" s="116"/>
      <c r="R33" s="118"/>
      <c r="S33" s="116"/>
      <c r="T33" s="118"/>
      <c r="U33" s="118"/>
      <c r="V33" s="118"/>
      <c r="W33" s="116"/>
      <c r="X33" s="118"/>
      <c r="Y33" s="118"/>
      <c r="Z33" s="118"/>
      <c r="AA33" s="674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32"/>
      <c r="AO33" s="124"/>
      <c r="AP33" s="125">
        <f t="shared" si="3"/>
        <v>0</v>
      </c>
      <c r="AQ33" s="125">
        <f t="shared" si="4"/>
        <v>0</v>
      </c>
      <c r="AR33" s="51"/>
      <c r="AS33" s="116"/>
      <c r="AT33" s="116"/>
      <c r="AU33" s="218"/>
      <c r="AV33" s="219"/>
      <c r="AW33" s="116"/>
      <c r="AX33" s="116"/>
      <c r="AY33" s="116"/>
      <c r="AZ33" s="116"/>
      <c r="BA33" s="116"/>
      <c r="BB33" s="32">
        <f t="shared" si="5"/>
        <v>0</v>
      </c>
      <c r="BC33" s="32">
        <f t="shared" si="7"/>
        <v>0</v>
      </c>
    </row>
    <row r="34" s="671" customFormat="1" hidden="1" customHeight="1" spans="1:55">
      <c r="A34" s="116"/>
      <c r="B34" s="40"/>
      <c r="C34" s="175"/>
      <c r="D34" s="117"/>
      <c r="E34" s="118"/>
      <c r="F34" s="118"/>
      <c r="G34" s="118"/>
      <c r="H34" s="118"/>
      <c r="I34" s="118"/>
      <c r="J34" s="32">
        <f>SUM(J3:J33)</f>
        <v>110618</v>
      </c>
      <c r="K34" s="118"/>
      <c r="L34" s="118"/>
      <c r="M34" s="118"/>
      <c r="N34" s="118"/>
      <c r="O34" s="116"/>
      <c r="P34" s="116"/>
      <c r="Q34" s="116"/>
      <c r="R34" s="118"/>
      <c r="S34" s="116"/>
      <c r="T34" s="118"/>
      <c r="U34" s="118"/>
      <c r="V34" s="118"/>
      <c r="W34" s="116"/>
      <c r="X34" s="118"/>
      <c r="Y34" s="118"/>
      <c r="Z34" s="118"/>
      <c r="AA34" s="674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32"/>
      <c r="AO34" s="124"/>
      <c r="AP34" s="125">
        <f>SUM(AP3:AP33)</f>
        <v>207300.36</v>
      </c>
      <c r="AQ34" s="125">
        <f>SUM(AQ3:AQ33)</f>
        <v>1606577.79</v>
      </c>
      <c r="AR34" s="51"/>
      <c r="AS34" s="116"/>
      <c r="AT34" s="116"/>
      <c r="AU34" s="218"/>
      <c r="AV34" s="219"/>
      <c r="AW34" s="116"/>
      <c r="AX34" s="116"/>
      <c r="AY34" s="116"/>
      <c r="AZ34" s="116"/>
      <c r="BA34" s="116"/>
      <c r="BB34" s="32">
        <f t="shared" si="5"/>
        <v>0</v>
      </c>
      <c r="BC34" s="32">
        <f t="shared" si="7"/>
        <v>0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AU$1:AX$1048576" name="Range2"/>
  </protectedRanges>
  <autoFilter xmlns:etc="http://www.wps.cn/officeDocument/2017/etCustomData" ref="A2:BA34" etc:filterBottomFollowUsedRange="0">
    <filterColumn colId="6">
      <customFilters>
        <customFilter operator="equal" val="PO0000302"/>
      </customFilters>
    </filterColumn>
    <sortState ref="A2:BA34">
      <sortCondition ref="G2"/>
    </sortState>
    <extLst/>
  </autoFilter>
  <sortState ref="A3:BH53">
    <sortCondition ref="Q3:Q53"/>
  </sortState>
  <mergeCells count="48">
    <mergeCell ref="X1:Y1"/>
    <mergeCell ref="Z1:AB1"/>
    <mergeCell ref="AC1:AD1"/>
    <mergeCell ref="AE1:AF1"/>
    <mergeCell ref="AG1:A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</mergeCells>
  <conditionalFormatting sqref="X3:Y3">
    <cfRule type="containsText" dxfId="0" priority="2372" operator="between" text="欠">
      <formula>NOT(ISERROR(SEARCH("欠",X3)))</formula>
    </cfRule>
  </conditionalFormatting>
  <conditionalFormatting sqref="Z3:AB3">
    <cfRule type="containsText" dxfId="0" priority="2371" operator="between" text="欠">
      <formula>NOT(ISERROR(SEARCH("欠",Z3)))</formula>
    </cfRule>
  </conditionalFormatting>
  <conditionalFormatting sqref="AC3:AD3">
    <cfRule type="containsText" dxfId="0" priority="2370" operator="between" text="欠">
      <formula>NOT(ISERROR(SEARCH("欠",AC3)))</formula>
    </cfRule>
  </conditionalFormatting>
  <conditionalFormatting sqref="AE3">
    <cfRule type="containsText" dxfId="0" priority="2308" operator="between" text="欠">
      <formula>NOT(ISERROR(SEARCH("欠",AE3)))</formula>
    </cfRule>
  </conditionalFormatting>
  <conditionalFormatting sqref="AG3">
    <cfRule type="containsText" dxfId="0" priority="2307" operator="between" text="欠">
      <formula>NOT(ISERROR(SEARCH("欠",AG3)))</formula>
    </cfRule>
  </conditionalFormatting>
  <conditionalFormatting sqref="X4:Y4">
    <cfRule type="containsText" dxfId="0" priority="1278" operator="between" text="欠">
      <formula>NOT(ISERROR(SEARCH("欠",X4)))</formula>
    </cfRule>
  </conditionalFormatting>
  <conditionalFormatting sqref="Z4:AB4">
    <cfRule type="containsText" dxfId="0" priority="1277" operator="between" text="欠">
      <formula>NOT(ISERROR(SEARCH("欠",Z4)))</formula>
    </cfRule>
  </conditionalFormatting>
  <conditionalFormatting sqref="AC4:AD4">
    <cfRule type="containsText" dxfId="0" priority="1276" operator="between" text="欠">
      <formula>NOT(ISERROR(SEARCH("欠",AC4)))</formula>
    </cfRule>
  </conditionalFormatting>
  <conditionalFormatting sqref="AE4">
    <cfRule type="containsText" dxfId="0" priority="1275" operator="between" text="欠">
      <formula>NOT(ISERROR(SEARCH("欠",AE4)))</formula>
    </cfRule>
  </conditionalFormatting>
  <conditionalFormatting sqref="AF4">
    <cfRule type="containsText" dxfId="0" priority="1280" operator="between" text="欠">
      <formula>NOT(ISERROR(SEARCH("欠",AF4)))</formula>
    </cfRule>
  </conditionalFormatting>
  <conditionalFormatting sqref="AG4">
    <cfRule type="containsText" dxfId="0" priority="1274" operator="between" text="欠">
      <formula>NOT(ISERROR(SEARCH("欠",AG4)))</formula>
    </cfRule>
  </conditionalFormatting>
  <conditionalFormatting sqref="AH4">
    <cfRule type="containsText" dxfId="0" priority="1273" operator="between" text="欠">
      <formula>NOT(ISERROR(SEARCH("欠",AH4)))</formula>
    </cfRule>
  </conditionalFormatting>
  <conditionalFormatting sqref="AI4">
    <cfRule type="containsText" dxfId="0" priority="1279" operator="between" text="欠">
      <formula>NOT(ISERROR(SEARCH("欠",AI4)))</formula>
    </cfRule>
  </conditionalFormatting>
  <conditionalFormatting sqref="X5:Y5">
    <cfRule type="containsText" dxfId="0" priority="954" operator="between" text="欠">
      <formula>NOT(ISERROR(SEARCH("欠",X5)))</formula>
    </cfRule>
  </conditionalFormatting>
  <conditionalFormatting sqref="Z5">
    <cfRule type="containsText" dxfId="0" priority="508" operator="between" text="欠">
      <formula>NOT(ISERROR(SEARCH("欠",Z5)))</formula>
    </cfRule>
  </conditionalFormatting>
  <conditionalFormatting sqref="AA5:AB5">
    <cfRule type="containsText" dxfId="0" priority="509" operator="between" text="欠">
      <formula>NOT(ISERROR(SEARCH("欠",AA5)))</formula>
    </cfRule>
  </conditionalFormatting>
  <conditionalFormatting sqref="AC5">
    <cfRule type="containsText" dxfId="0" priority="919" operator="between" text="欠">
      <formula>NOT(ISERROR(SEARCH("欠",AC5)))</formula>
    </cfRule>
  </conditionalFormatting>
  <conditionalFormatting sqref="AD5">
    <cfRule type="containsText" dxfId="0" priority="911" operator="between" text="欠">
      <formula>NOT(ISERROR(SEARCH("欠",AD5)))</formula>
    </cfRule>
  </conditionalFormatting>
  <conditionalFormatting sqref="AF5">
    <cfRule type="containsText" dxfId="0" priority="951" operator="between" text="欠">
      <formula>NOT(ISERROR(SEARCH("欠",AF5)))</formula>
    </cfRule>
  </conditionalFormatting>
  <conditionalFormatting sqref="AH5">
    <cfRule type="containsText" dxfId="0" priority="910" operator="between" text="欠">
      <formula>NOT(ISERROR(SEARCH("欠",AH5)))</formula>
    </cfRule>
  </conditionalFormatting>
  <conditionalFormatting sqref="AI5">
    <cfRule type="containsText" dxfId="0" priority="758" operator="between" text="欠">
      <formula>NOT(ISERROR(SEARCH("欠",AI5)))</formula>
    </cfRule>
  </conditionalFormatting>
  <conditionalFormatting sqref="AB6">
    <cfRule type="containsText" dxfId="0" priority="745" operator="between" text="欠">
      <formula>NOT(ISERROR(SEARCH("欠",AB6)))</formula>
    </cfRule>
  </conditionalFormatting>
  <conditionalFormatting sqref="AH6:AI6">
    <cfRule type="containsText" dxfId="0" priority="1014" operator="between" text="欠">
      <formula>NOT(ISERROR(SEARCH("欠",AH6)))</formula>
    </cfRule>
  </conditionalFormatting>
  <conditionalFormatting sqref="AB7">
    <cfRule type="containsText" dxfId="0" priority="746" operator="between" text="欠">
      <formula>NOT(ISERROR(SEARCH("欠",AB7)))</formula>
    </cfRule>
  </conditionalFormatting>
  <conditionalFormatting sqref="AB8">
    <cfRule type="containsText" dxfId="0" priority="743" operator="between" text="欠">
      <formula>NOT(ISERROR(SEARCH("欠",AB8)))</formula>
    </cfRule>
  </conditionalFormatting>
  <conditionalFormatting sqref="AC8">
    <cfRule type="containsText" dxfId="0" priority="967" operator="between" text="欠">
      <formula>NOT(ISERROR(SEARCH("欠",AC8)))</formula>
    </cfRule>
  </conditionalFormatting>
  <conditionalFormatting sqref="U9">
    <cfRule type="containsText" dxfId="0" priority="156" operator="between" text="欠">
      <formula>NOT(ISERROR(SEARCH("欠",U9)))</formula>
    </cfRule>
  </conditionalFormatting>
  <conditionalFormatting sqref="V9">
    <cfRule type="containsText" dxfId="0" priority="241" operator="between" text="欠">
      <formula>NOT(ISERROR(SEARCH("欠",V9)))</formula>
    </cfRule>
  </conditionalFormatting>
  <conditionalFormatting sqref="X9">
    <cfRule type="containsText" dxfId="0" priority="235" operator="between" text="欠">
      <formula>NOT(ISERROR(SEARCH("欠",X9)))</formula>
    </cfRule>
  </conditionalFormatting>
  <conditionalFormatting sqref="Y9:Z9">
    <cfRule type="containsText" dxfId="0" priority="240" operator="between" text="欠">
      <formula>NOT(ISERROR(SEARCH("欠",Y9)))</formula>
    </cfRule>
  </conditionalFormatting>
  <conditionalFormatting sqref="AA9:AB9">
    <cfRule type="containsText" dxfId="0" priority="239" operator="between" text="欠">
      <formula>NOT(ISERROR(SEARCH("欠",AA9)))</formula>
    </cfRule>
  </conditionalFormatting>
  <conditionalFormatting sqref="AC9">
    <cfRule type="containsText" dxfId="0" priority="236" operator="between" text="欠">
      <formula>NOT(ISERROR(SEARCH("欠",AC9)))</formula>
    </cfRule>
  </conditionalFormatting>
  <conditionalFormatting sqref="AE9">
    <cfRule type="containsText" dxfId="0" priority="234" operator="between" text="欠">
      <formula>NOT(ISERROR(SEARCH("欠",AE9)))</formula>
    </cfRule>
  </conditionalFormatting>
  <conditionalFormatting sqref="X10:Y10">
    <cfRule type="containsText" dxfId="0" priority="295" operator="between" text="欠">
      <formula>NOT(ISERROR(SEARCH("欠",X10)))</formula>
    </cfRule>
  </conditionalFormatting>
  <conditionalFormatting sqref="Z10">
    <cfRule type="containsText" dxfId="0" priority="297" operator="between" text="欠">
      <formula>NOT(ISERROR(SEARCH("欠",Z10)))</formula>
    </cfRule>
  </conditionalFormatting>
  <conditionalFormatting sqref="AA10:AB10">
    <cfRule type="containsText" dxfId="0" priority="294" operator="between" text="欠">
      <formula>NOT(ISERROR(SEARCH("欠",AA10)))</formula>
    </cfRule>
  </conditionalFormatting>
  <conditionalFormatting sqref="AC10:AD10">
    <cfRule type="containsText" dxfId="0" priority="293" operator="between" text="欠">
      <formula>NOT(ISERROR(SEARCH("欠",AC10)))</formula>
    </cfRule>
  </conditionalFormatting>
  <conditionalFormatting sqref="AE10">
    <cfRule type="containsText" dxfId="0" priority="298" operator="between" text="欠">
      <formula>NOT(ISERROR(SEARCH("欠",AE10)))</formula>
    </cfRule>
  </conditionalFormatting>
  <conditionalFormatting sqref="AG10">
    <cfRule type="containsText" dxfId="0" priority="291" operator="between" text="欠">
      <formula>NOT(ISERROR(SEARCH("欠",AG10)))</formula>
    </cfRule>
  </conditionalFormatting>
  <conditionalFormatting sqref="X11">
    <cfRule type="containsText" dxfId="0" priority="257" operator="between" text="欠">
      <formula>NOT(ISERROR(SEARCH("欠",X11)))</formula>
    </cfRule>
  </conditionalFormatting>
  <conditionalFormatting sqref="Y11">
    <cfRule type="containsText" dxfId="0" priority="252" operator="between" text="欠">
      <formula>NOT(ISERROR(SEARCH("欠",Y11)))</formula>
    </cfRule>
  </conditionalFormatting>
  <conditionalFormatting sqref="Z11">
    <cfRule type="containsText" dxfId="0" priority="263" operator="between" text="欠">
      <formula>NOT(ISERROR(SEARCH("欠",Z11)))</formula>
    </cfRule>
  </conditionalFormatting>
  <conditionalFormatting sqref="AA11:AB11">
    <cfRule type="containsText" dxfId="0" priority="254" operator="between" text="欠">
      <formula>NOT(ISERROR(SEARCH("欠",AA11)))</formula>
    </cfRule>
  </conditionalFormatting>
  <conditionalFormatting sqref="AC11:AD11">
    <cfRule type="containsText" dxfId="0" priority="253" operator="between" text="欠">
      <formula>NOT(ISERROR(SEARCH("欠",AC11)))</formula>
    </cfRule>
  </conditionalFormatting>
  <conditionalFormatting sqref="AE11">
    <cfRule type="containsText" dxfId="0" priority="260" operator="between" text="欠">
      <formula>NOT(ISERROR(SEARCH("欠",AE11)))</formula>
    </cfRule>
  </conditionalFormatting>
  <conditionalFormatting sqref="AF11">
    <cfRule type="containsText" dxfId="0" priority="272" operator="between" text="欠">
      <formula>NOT(ISERROR(SEARCH("欠",AF11)))</formula>
    </cfRule>
  </conditionalFormatting>
  <conditionalFormatting sqref="AG11">
    <cfRule type="containsText" dxfId="0" priority="259" operator="between" text="欠">
      <formula>NOT(ISERROR(SEARCH("欠",AG11)))</formula>
    </cfRule>
  </conditionalFormatting>
  <conditionalFormatting sqref="AH11">
    <cfRule type="containsText" dxfId="0" priority="261" operator="between" text="欠">
      <formula>NOT(ISERROR(SEARCH("欠",AH11)))</formula>
    </cfRule>
  </conditionalFormatting>
  <conditionalFormatting sqref="AI11">
    <cfRule type="containsText" dxfId="0" priority="273" operator="between" text="欠">
      <formula>NOT(ISERROR(SEARCH("欠",AI11)))</formula>
    </cfRule>
  </conditionalFormatting>
  <conditionalFormatting sqref="X14:Y14">
    <cfRule type="containsText" dxfId="0" priority="909" operator="between" text="欠">
      <formula>NOT(ISERROR(SEARCH("欠",X14)))</formula>
    </cfRule>
  </conditionalFormatting>
  <conditionalFormatting sqref="AC14:AD14">
    <cfRule type="containsText" dxfId="0" priority="907" operator="between" text="欠">
      <formula>NOT(ISERROR(SEARCH("欠",AC14)))</formula>
    </cfRule>
  </conditionalFormatting>
  <conditionalFormatting sqref="AE14:AI14">
    <cfRule type="containsText" dxfId="0" priority="906" operator="between" text="欠">
      <formula>NOT(ISERROR(SEARCH("欠",AE14)))</formula>
    </cfRule>
  </conditionalFormatting>
  <conditionalFormatting sqref="AC15:AD15">
    <cfRule type="containsText" dxfId="0" priority="1044" operator="between" text="欠">
      <formula>NOT(ISERROR(SEARCH("欠",AC15)))</formula>
    </cfRule>
  </conditionalFormatting>
  <conditionalFormatting sqref="AC16:AD16">
    <cfRule type="containsText" dxfId="0" priority="1048" operator="between" text="欠">
      <formula>NOT(ISERROR(SEARCH("欠",AC16)))</formula>
    </cfRule>
  </conditionalFormatting>
  <conditionalFormatting sqref="AC17:AD17">
    <cfRule type="containsText" dxfId="0" priority="1052" operator="between" text="欠">
      <formula>NOT(ISERROR(SEARCH("欠",AC17)))</formula>
    </cfRule>
  </conditionalFormatting>
  <conditionalFormatting sqref="AH17">
    <cfRule type="containsText" dxfId="0" priority="1051" operator="between" text="欠">
      <formula>NOT(ISERROR(SEARCH("欠",AH17)))</formula>
    </cfRule>
  </conditionalFormatting>
  <conditionalFormatting sqref="X19:Y19">
    <cfRule type="containsText" dxfId="0" priority="2633" operator="between" text="欠">
      <formula>NOT(ISERROR(SEARCH("欠",X19)))</formula>
    </cfRule>
  </conditionalFormatting>
  <conditionalFormatting sqref="AC19:AD19">
    <cfRule type="containsText" dxfId="0" priority="2631" operator="between" text="欠">
      <formula>NOT(ISERROR(SEARCH("欠",AC19)))</formula>
    </cfRule>
  </conditionalFormatting>
  <conditionalFormatting sqref="AE19">
    <cfRule type="containsText" dxfId="0" priority="2629" operator="between" text="欠">
      <formula>NOT(ISERROR(SEARCH("欠",AE19)))</formula>
    </cfRule>
  </conditionalFormatting>
  <conditionalFormatting sqref="AF19">
    <cfRule type="containsText" dxfId="0" priority="2627" operator="between" text="欠">
      <formula>NOT(ISERROR(SEARCH("欠",AF19)))</formula>
    </cfRule>
  </conditionalFormatting>
  <conditionalFormatting sqref="AG19">
    <cfRule type="containsText" dxfId="0" priority="2628" operator="between" text="欠">
      <formula>NOT(ISERROR(SEARCH("欠",AG19)))</formula>
    </cfRule>
  </conditionalFormatting>
  <conditionalFormatting sqref="AH19">
    <cfRule type="containsText" dxfId="0" priority="2626" operator="between" text="欠">
      <formula>NOT(ISERROR(SEARCH("欠",AH19)))</formula>
    </cfRule>
  </conditionalFormatting>
  <conditionalFormatting sqref="AI19">
    <cfRule type="containsText" dxfId="0" priority="2625" operator="between" text="欠">
      <formula>NOT(ISERROR(SEARCH("欠",AI19)))</formula>
    </cfRule>
  </conditionalFormatting>
  <conditionalFormatting sqref="Y20">
    <cfRule type="containsText" dxfId="0" priority="227" operator="between" text="欠">
      <formula>NOT(ISERROR(SEARCH("欠",Y20)))</formula>
    </cfRule>
  </conditionalFormatting>
  <conditionalFormatting sqref="Z20">
    <cfRule type="containsText" dxfId="0" priority="233" operator="between" text="欠">
      <formula>NOT(ISERROR(SEARCH("欠",Z20)))</formula>
    </cfRule>
  </conditionalFormatting>
  <conditionalFormatting sqref="AA20:AB20">
    <cfRule type="containsText" dxfId="0" priority="230" operator="between" text="欠">
      <formula>NOT(ISERROR(SEARCH("欠",AA20)))</formula>
    </cfRule>
  </conditionalFormatting>
  <conditionalFormatting sqref="AC20:AD20">
    <cfRule type="containsText" dxfId="0" priority="229" operator="between" text="欠">
      <formula>NOT(ISERROR(SEARCH("欠",AC20)))</formula>
    </cfRule>
  </conditionalFormatting>
  <conditionalFormatting sqref="AF20">
    <cfRule type="containsText" dxfId="0" priority="232" operator="between" text="欠">
      <formula>NOT(ISERROR(SEARCH("欠",AF20)))</formula>
    </cfRule>
  </conditionalFormatting>
  <conditionalFormatting sqref="AH20">
    <cfRule type="containsText" dxfId="0" priority="228" operator="between" text="欠">
      <formula>NOT(ISERROR(SEARCH("欠",AH20)))</formula>
    </cfRule>
  </conditionalFormatting>
  <conditionalFormatting sqref="AI20">
    <cfRule type="containsText" dxfId="0" priority="226" operator="between" text="欠">
      <formula>NOT(ISERROR(SEARCH("欠",AI20)))</formula>
    </cfRule>
  </conditionalFormatting>
  <conditionalFormatting sqref="Z23:AB23">
    <cfRule type="containsText" dxfId="0" priority="26" operator="between" text="欠">
      <formula>NOT(ISERROR(SEARCH("欠",Z23)))</formula>
    </cfRule>
  </conditionalFormatting>
  <conditionalFormatting sqref="AC23:AD23">
    <cfRule type="containsText" dxfId="0" priority="25" operator="between" text="欠">
      <formula>NOT(ISERROR(SEARCH("欠",AC23)))</formula>
    </cfRule>
  </conditionalFormatting>
  <conditionalFormatting sqref="B24">
    <cfRule type="containsText" dxfId="1" priority="18" operator="between" text="异常">
      <formula>NOT(ISERROR(SEARCH("异常",B24)))</formula>
    </cfRule>
  </conditionalFormatting>
  <conditionalFormatting sqref="C24">
    <cfRule type="containsText" dxfId="2" priority="19" operator="between" text="二代">
      <formula>NOT(ISERROR(SEARCH("二代",C24)))</formula>
    </cfRule>
    <cfRule type="containsText" dxfId="3" priority="20" operator="between" text="蛋糕">
      <formula>NOT(ISERROR(SEARCH("蛋糕",C24)))</formula>
    </cfRule>
  </conditionalFormatting>
  <conditionalFormatting sqref="Z24">
    <cfRule type="containsText" dxfId="0" priority="11" operator="between" text="欠">
      <formula>NOT(ISERROR(SEARCH("欠",Z24)))</formula>
    </cfRule>
  </conditionalFormatting>
  <conditionalFormatting sqref="AA24:AB24">
    <cfRule type="containsText" dxfId="0" priority="15" operator="between" text="欠">
      <formula>NOT(ISERROR(SEARCH("欠",AA24)))</formula>
    </cfRule>
  </conditionalFormatting>
  <conditionalFormatting sqref="AC24:AD24">
    <cfRule type="containsText" dxfId="0" priority="14" operator="between" text="欠">
      <formula>NOT(ISERROR(SEARCH("欠",AC24)))</formula>
    </cfRule>
  </conditionalFormatting>
  <conditionalFormatting sqref="AH24">
    <cfRule type="containsText" dxfId="0" priority="13" operator="between" text="欠">
      <formula>NOT(ISERROR(SEARCH("欠",AH24)))</formula>
    </cfRule>
  </conditionalFormatting>
  <conditionalFormatting sqref="B25">
    <cfRule type="containsText" dxfId="1" priority="1" operator="between" text="异常">
      <formula>NOT(ISERROR(SEARCH("异常",B25)))</formula>
    </cfRule>
  </conditionalFormatting>
  <conditionalFormatting sqref="C25">
    <cfRule type="containsText" dxfId="2" priority="2" operator="between" text="二代">
      <formula>NOT(ISERROR(SEARCH("二代",C25)))</formula>
    </cfRule>
    <cfRule type="containsText" dxfId="3" priority="3" operator="between" text="蛋糕">
      <formula>NOT(ISERROR(SEARCH("蛋糕",C25)))</formula>
    </cfRule>
  </conditionalFormatting>
  <conditionalFormatting sqref="Y25">
    <cfRule type="containsText" dxfId="0" priority="4" operator="between" text="欠">
      <formula>NOT(ISERROR(SEARCH("欠",Y25)))</formula>
    </cfRule>
  </conditionalFormatting>
  <conditionalFormatting sqref="AA25:AB25">
    <cfRule type="containsText" dxfId="0" priority="7" operator="between" text="欠">
      <formula>NOT(ISERROR(SEARCH("欠",AA25)))</formula>
    </cfRule>
  </conditionalFormatting>
  <conditionalFormatting sqref="AH25">
    <cfRule type="containsText" dxfId="0" priority="5" operator="between" text="欠">
      <formula>NOT(ISERROR(SEARCH("欠",AH25)))</formula>
    </cfRule>
  </conditionalFormatting>
  <conditionalFormatting sqref="X6:X8">
    <cfRule type="containsText" dxfId="0" priority="1013" operator="between" text="欠">
      <formula>NOT(ISERROR(SEARCH("欠",X6)))</formula>
    </cfRule>
  </conditionalFormatting>
  <conditionalFormatting sqref="Y6:Y8">
    <cfRule type="containsText" dxfId="0" priority="615" operator="between" text="欠">
      <formula>NOT(ISERROR(SEARCH("欠",Y6)))</formula>
    </cfRule>
  </conditionalFormatting>
  <conditionalFormatting sqref="Y12:Y13">
    <cfRule type="containsText" dxfId="0" priority="65" operator="between" text="欠">
      <formula>NOT(ISERROR(SEARCH("欠",Y12)))</formula>
    </cfRule>
  </conditionalFormatting>
  <conditionalFormatting sqref="Z12:Z13">
    <cfRule type="containsText" dxfId="0" priority="71" operator="between" text="欠">
      <formula>NOT(ISERROR(SEARCH("欠",Z12)))</formula>
    </cfRule>
  </conditionalFormatting>
  <conditionalFormatting sqref="Z25:Z26">
    <cfRule type="containsText" dxfId="0" priority="10" operator="between" text="欠">
      <formula>NOT(ISERROR(SEARCH("欠",Z25)))</formula>
    </cfRule>
  </conditionalFormatting>
  <conditionalFormatting sqref="AC6:AC7">
    <cfRule type="containsText" dxfId="0" priority="1019" operator="between" text="欠">
      <formula>NOT(ISERROR(SEARCH("欠",AC6)))</formula>
    </cfRule>
  </conditionalFormatting>
  <conditionalFormatting sqref="AC21:AC22">
    <cfRule type="containsText" dxfId="0" priority="54" operator="between" text="欠">
      <formula>NOT(ISERROR(SEARCH("欠",AC21)))</formula>
    </cfRule>
  </conditionalFormatting>
  <conditionalFormatting sqref="AD6:AD8">
    <cfRule type="containsText" dxfId="0" priority="1011" operator="between" text="欠">
      <formula>NOT(ISERROR(SEARCH("欠",AD6)))</formula>
    </cfRule>
  </conditionalFormatting>
  <conditionalFormatting sqref="AD21:AD22">
    <cfRule type="containsText" dxfId="0" priority="55" operator="between" text="欠">
      <formula>NOT(ISERROR(SEARCH("欠",AD21)))</formula>
    </cfRule>
  </conditionalFormatting>
  <conditionalFormatting sqref="AE6:AE8">
    <cfRule type="containsText" dxfId="0" priority="964" operator="between" text="欠">
      <formula>NOT(ISERROR(SEARCH("欠",AE6)))</formula>
    </cfRule>
  </conditionalFormatting>
  <conditionalFormatting sqref="AE15:AE17">
    <cfRule type="containsText" dxfId="0" priority="1039" operator="between" text="欠">
      <formula>NOT(ISERROR(SEARCH("欠",AE15)))</formula>
    </cfRule>
  </conditionalFormatting>
  <conditionalFormatting sqref="AE21:AE22">
    <cfRule type="containsText" dxfId="0" priority="58" operator="between" text="欠">
      <formula>NOT(ISERROR(SEARCH("欠",AE21)))</formula>
    </cfRule>
  </conditionalFormatting>
  <conditionalFormatting sqref="AF6:AF7">
    <cfRule type="containsText" dxfId="0" priority="1010" operator="between" text="欠">
      <formula>NOT(ISERROR(SEARCH("欠",AF6)))</formula>
    </cfRule>
  </conditionalFormatting>
  <conditionalFormatting sqref="AF12:AF13">
    <cfRule type="containsText" dxfId="0" priority="142" operator="between" text="欠">
      <formula>NOT(ISERROR(SEARCH("欠",AF12)))</formula>
    </cfRule>
  </conditionalFormatting>
  <conditionalFormatting sqref="AF15:AF17">
    <cfRule type="containsText" dxfId="0" priority="1102" operator="between" text="欠">
      <formula>NOT(ISERROR(SEARCH("欠",AF15)))</formula>
    </cfRule>
  </conditionalFormatting>
  <conditionalFormatting sqref="AF21:AF22">
    <cfRule type="containsText" dxfId="0" priority="60" operator="between" text="欠">
      <formula>NOT(ISERROR(SEARCH("欠",AF21)))</formula>
    </cfRule>
  </conditionalFormatting>
  <conditionalFormatting sqref="AG6:AG8">
    <cfRule type="containsText" dxfId="0" priority="965" operator="between" text="欠">
      <formula>NOT(ISERROR(SEARCH("欠",AG6)))</formula>
    </cfRule>
  </conditionalFormatting>
  <conditionalFormatting sqref="AG15:AG17">
    <cfRule type="containsText" dxfId="0" priority="1038" operator="between" text="欠">
      <formula>NOT(ISERROR(SEARCH("欠",AG15)))</formula>
    </cfRule>
  </conditionalFormatting>
  <conditionalFormatting sqref="AG21:AG22">
    <cfRule type="containsText" dxfId="0" priority="57" operator="between" text="欠">
      <formula>NOT(ISERROR(SEARCH("欠",AG21)))</formula>
    </cfRule>
  </conditionalFormatting>
  <conditionalFormatting sqref="AH12:AH13">
    <cfRule type="containsText" dxfId="0" priority="66" operator="between" text="欠">
      <formula>NOT(ISERROR(SEARCH("欠",AH12)))</formula>
    </cfRule>
  </conditionalFormatting>
  <conditionalFormatting sqref="AH15:AH16">
    <cfRule type="containsText" dxfId="0" priority="1043" operator="between" text="欠">
      <formula>NOT(ISERROR(SEARCH("欠",AH15)))</formula>
    </cfRule>
  </conditionalFormatting>
  <conditionalFormatting sqref="AH21:AH22">
    <cfRule type="containsText" dxfId="0" priority="61" operator="between" text="欠">
      <formula>NOT(ISERROR(SEARCH("欠",AH21)))</formula>
    </cfRule>
  </conditionalFormatting>
  <conditionalFormatting sqref="AI12:AI13">
    <cfRule type="containsText" dxfId="0" priority="70" operator="between" text="欠">
      <formula>NOT(ISERROR(SEARCH("欠",AI12)))</formula>
    </cfRule>
  </conditionalFormatting>
  <conditionalFormatting sqref="AI15:AI17">
    <cfRule type="containsText" dxfId="0" priority="1059" operator="between" text="欠">
      <formula>NOT(ISERROR(SEARCH("欠",AI15)))</formula>
    </cfRule>
  </conditionalFormatting>
  <conditionalFormatting sqref="AI21:AI22">
    <cfRule type="containsText" dxfId="0" priority="59" operator="between" text="欠">
      <formula>NOT(ISERROR(SEARCH("欠",AI21)))</formula>
    </cfRule>
  </conditionalFormatting>
  <conditionalFormatting sqref="B1:B11 B14:B20 B33:B1048576">
    <cfRule type="containsText" dxfId="1" priority="158" operator="between" text="异常">
      <formula>NOT(ISERROR(SEARCH("异常",B1)))</formula>
    </cfRule>
  </conditionalFormatting>
  <conditionalFormatting sqref="C1 C3:C11 C14:C20 C33:C34">
    <cfRule type="containsText" dxfId="2" priority="152" operator="between" text="二代">
      <formula>NOT(ISERROR(SEARCH("二代",C1)))</formula>
    </cfRule>
    <cfRule type="containsText" dxfId="3" priority="153" operator="between" text="蛋糕">
      <formula>NOT(ISERROR(SEARCH("蛋糕",C1)))</formula>
    </cfRule>
  </conditionalFormatting>
  <conditionalFormatting sqref="X1:Y2 X18:Y18 X33:Y34">
    <cfRule type="containsText" dxfId="0" priority="2659" operator="between" text="欠">
      <formula>NOT(ISERROR(SEARCH("欠",X1)))</formula>
    </cfRule>
  </conditionalFormatting>
  <conditionalFormatting sqref="Z1:AB2">
    <cfRule type="containsText" dxfId="0" priority="2658" operator="between" text="欠">
      <formula>NOT(ISERROR(SEARCH("欠",Z1)))</formula>
    </cfRule>
  </conditionalFormatting>
  <conditionalFormatting sqref="AC1:AD2 AC18:AD18 AC33:AD34">
    <cfRule type="containsText" dxfId="0" priority="2657" operator="between" text="欠">
      <formula>NOT(ISERROR(SEARCH("欠",AC1)))</formula>
    </cfRule>
  </conditionalFormatting>
  <conditionalFormatting sqref="AE1:AI2 AE18:AI18 AE33:AI34">
    <cfRule type="containsText" dxfId="0" priority="2656" operator="between" text="欠">
      <formula>NOT(ISERROR(SEARCH("欠",AE1)))</formula>
    </cfRule>
  </conditionalFormatting>
  <conditionalFormatting sqref="AF3 AH3:AI3">
    <cfRule type="containsText" dxfId="0" priority="2369" operator="between" text="欠">
      <formula>NOT(ISERROR(SEARCH("欠",AF3)))</formula>
    </cfRule>
  </conditionalFormatting>
  <conditionalFormatting sqref="E6:E8 Z6:AA8">
    <cfRule type="containsText" dxfId="0" priority="1012" operator="between" text="欠">
      <formula>NOT(ISERROR(SEARCH("欠",E6)))</formula>
    </cfRule>
  </conditionalFormatting>
  <conditionalFormatting sqref="AI6 AH7:AI7">
    <cfRule type="containsText" dxfId="0" priority="1018" operator="between" text="欠">
      <formula>NOT(ISERROR(SEARCH("欠",AH6)))</formula>
    </cfRule>
  </conditionalFormatting>
  <conditionalFormatting sqref="AH8:AI8 AF8">
    <cfRule type="containsText" dxfId="0" priority="966" operator="between" text="欠">
      <formula>NOT(ISERROR(SEARCH("欠",AF8)))</formula>
    </cfRule>
  </conditionalFormatting>
  <conditionalFormatting sqref="AF9:AG9 AD9">
    <cfRule type="containsText" dxfId="0" priority="238" operator="between" text="欠">
      <formula>NOT(ISERROR(SEARCH("欠",AD9)))</formula>
    </cfRule>
  </conditionalFormatting>
  <conditionalFormatting sqref="AF10 AH10:AI10">
    <cfRule type="containsText" dxfId="0" priority="292" operator="between" text="欠">
      <formula>NOT(ISERROR(SEARCH("欠",AF10)))</formula>
    </cfRule>
  </conditionalFormatting>
  <conditionalFormatting sqref="B12:B13 B21:B22">
    <cfRule type="containsText" dxfId="1" priority="72" operator="between" text="异常">
      <formula>NOT(ISERROR(SEARCH("异常",B12)))</formula>
    </cfRule>
  </conditionalFormatting>
  <conditionalFormatting sqref="C12:C13 C21:C22">
    <cfRule type="containsText" dxfId="2" priority="73" operator="between" text="二代">
      <formula>NOT(ISERROR(SEARCH("二代",C12)))</formula>
    </cfRule>
    <cfRule type="containsText" dxfId="3" priority="74" operator="between" text="蛋糕">
      <formula>NOT(ISERROR(SEARCH("蛋糕",C12)))</formula>
    </cfRule>
  </conditionalFormatting>
  <conditionalFormatting sqref="AA12:AB13">
    <cfRule type="containsText" dxfId="0" priority="68" operator="between" text="欠">
      <formula>NOT(ISERROR(SEARCH("欠",AA12)))</formula>
    </cfRule>
  </conditionalFormatting>
  <conditionalFormatting sqref="AC12:AD13">
    <cfRule type="containsText" dxfId="0" priority="67" operator="between" text="欠">
      <formula>NOT(ISERROR(SEARCH("欠",AC12)))</formula>
    </cfRule>
  </conditionalFormatting>
  <conditionalFormatting sqref="Z14:AB19">
    <cfRule type="containsText" dxfId="0" priority="908" operator="between" text="欠">
      <formula>NOT(ISERROR(SEARCH("欠",Z14)))</formula>
    </cfRule>
  </conditionalFormatting>
  <conditionalFormatting sqref="X15:Y17">
    <cfRule type="containsText" dxfId="0" priority="1046" operator="between" text="欠">
      <formula>NOT(ISERROR(SEARCH("欠",X15)))</formula>
    </cfRule>
  </conditionalFormatting>
  <conditionalFormatting sqref="X21:Y22">
    <cfRule type="containsText" dxfId="0" priority="56" operator="between" text="欠">
      <formula>NOT(ISERROR(SEARCH("欠",X21)))</formula>
    </cfRule>
  </conditionalFormatting>
  <conditionalFormatting sqref="Z21:AB22">
    <cfRule type="containsText" dxfId="0" priority="53" operator="between" text="欠">
      <formula>NOT(ISERROR(SEARCH("欠",Z21)))</formula>
    </cfRule>
  </conditionalFormatting>
  <conditionalFormatting sqref="B23 B26:B32">
    <cfRule type="containsText" dxfId="1" priority="23" operator="between" text="异常">
      <formula>NOT(ISERROR(SEARCH("异常",B23)))</formula>
    </cfRule>
  </conditionalFormatting>
  <conditionalFormatting sqref="C23 C26:C32">
    <cfRule type="containsText" dxfId="2" priority="21" operator="between" text="二代">
      <formula>NOT(ISERROR(SEARCH("二代",C23)))</formula>
    </cfRule>
    <cfRule type="containsText" dxfId="3" priority="22" operator="between" text="蛋糕">
      <formula>NOT(ISERROR(SEARCH("蛋糕",C23)))</formula>
    </cfRule>
  </conditionalFormatting>
  <conditionalFormatting sqref="X23:Y24">
    <cfRule type="containsText" dxfId="0" priority="27" operator="between" text="欠">
      <formula>NOT(ISERROR(SEARCH("欠",X23)))</formula>
    </cfRule>
  </conditionalFormatting>
  <conditionalFormatting sqref="AE23:AI23 AF24:AF26 AI24:AI26">
    <cfRule type="containsText" dxfId="0" priority="24" operator="between" text="欠">
      <formula>NOT(ISERROR(SEARCH("欠",AE23)))</formula>
    </cfRule>
  </conditionalFormatting>
  <conditionalFormatting sqref="AC25:AD26">
    <cfRule type="containsText" dxfId="0" priority="6" operator="between" text="欠">
      <formula>NOT(ISERROR(SEARCH("欠",AC25)))</formula>
    </cfRule>
  </conditionalFormatting>
  <conditionalFormatting sqref="X26:Y32">
    <cfRule type="containsText" dxfId="0" priority="31" operator="between" text="欠">
      <formula>NOT(ISERROR(SEARCH("欠",X26)))</formula>
    </cfRule>
  </conditionalFormatting>
  <conditionalFormatting sqref="AA26:AB26 Z27:AB32">
    <cfRule type="containsText" dxfId="0" priority="30" operator="between" text="欠">
      <formula>NOT(ISERROR(SEARCH("欠",Z26)))</formula>
    </cfRule>
  </conditionalFormatting>
  <conditionalFormatting sqref="AE26 AG26:AH26 AE27:AI32">
    <cfRule type="containsText" dxfId="0" priority="28" operator="between" text="欠">
      <formula>NOT(ISERROR(SEARCH("欠",AE26)))</formula>
    </cfRule>
  </conditionalFormatting>
  <conditionalFormatting sqref="AC27:AD32">
    <cfRule type="containsText" dxfId="0" priority="29" operator="between" text="欠">
      <formula>NOT(ISERROR(SEARCH("欠",AC27)))</formula>
    </cfRule>
  </conditionalFormatting>
  <pageMargins left="0.196527777777778" right="0.161111111111111" top="0.0152777777777778" bottom="0.2125" header="0.5" footer="0.5"/>
  <pageSetup paperSize="9" scale="26" fitToHeight="0" orientation="landscape" horizontalDpi="6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71"/>
  <sheetViews>
    <sheetView tabSelected="1" workbookViewId="0">
      <pane xSplit="17" ySplit="2" topLeftCell="AT10" activePane="bottomRight" state="frozen"/>
      <selection/>
      <selection pane="topRight"/>
      <selection pane="bottomLeft"/>
      <selection pane="bottomRight" activeCell="A438" sqref="$A438:$XFD444"/>
    </sheetView>
  </sheetViews>
  <sheetFormatPr defaultColWidth="9" defaultRowHeight="25" customHeight="1"/>
  <cols>
    <col min="1" max="1" width="12.625" style="502" customWidth="1"/>
    <col min="2" max="3" width="3.625" style="502" customWidth="1"/>
    <col min="4" max="4" width="10.625" style="495" customWidth="1"/>
    <col min="5" max="5" width="8.625" style="495" customWidth="1"/>
    <col min="6" max="7" width="12.625" style="495" customWidth="1"/>
    <col min="8" max="8" width="18.9166666666667" style="495" customWidth="1"/>
    <col min="9" max="9" width="3.5" style="12" customWidth="1"/>
    <col min="10" max="10" width="6.625" style="503" customWidth="1"/>
    <col min="11" max="11" width="5.625" style="12" hidden="1" customWidth="1"/>
    <col min="12" max="12" width="6.625" style="18" hidden="1" customWidth="1"/>
    <col min="13" max="13" width="5.625" style="495" customWidth="1"/>
    <col min="14" max="14" width="5.8" style="503" customWidth="1"/>
    <col min="15" max="17" width="12.625" style="502" customWidth="1"/>
    <col min="18" max="18" width="8.6" style="502" customWidth="1"/>
    <col min="19" max="19" width="12.625" style="502" customWidth="1"/>
    <col min="20" max="20" width="8" style="502" customWidth="1"/>
    <col min="21" max="21" width="6.66666666666667" style="502" customWidth="1"/>
    <col min="22" max="22" width="11.8" style="502" customWidth="1"/>
    <col min="23" max="23" width="4.625" style="503" customWidth="1"/>
    <col min="24" max="24" width="12.625" style="495" customWidth="1"/>
    <col min="25" max="25" width="6.625" style="495" customWidth="1"/>
    <col min="26" max="26" width="9.225" style="495" customWidth="1"/>
    <col min="27" max="27" width="8.625" style="504" customWidth="1"/>
    <col min="28" max="28" width="8.625" style="495" customWidth="1"/>
    <col min="29" max="29" width="10.625" style="495" customWidth="1"/>
    <col min="30" max="30" width="4.625" style="495" hidden="1" customWidth="1"/>
    <col min="31" max="31" width="10.625" style="495" customWidth="1"/>
    <col min="32" max="32" width="6.625" style="495" hidden="1" customWidth="1"/>
    <col min="33" max="33" width="10.625" style="495" customWidth="1"/>
    <col min="34" max="34" width="10.625" style="495" hidden="1" customWidth="1"/>
    <col min="35" max="35" width="6.625" style="495" hidden="1" customWidth="1"/>
    <col min="36" max="36" width="10.625" style="495" hidden="1" customWidth="1"/>
    <col min="37" max="37" width="10.625" style="495" customWidth="1"/>
    <col min="38" max="38" width="6.625" style="495" customWidth="1"/>
    <col min="39" max="39" width="10.625" style="495" customWidth="1"/>
    <col min="40" max="40" width="12.5583333333333" style="503" customWidth="1"/>
    <col min="41" max="41" width="8.625" style="505" customWidth="1"/>
    <col min="42" max="43" width="12.625" style="506" customWidth="1"/>
    <col min="44" max="44" width="8.625" style="507" customWidth="1"/>
    <col min="45" max="46" width="8.625" style="502" customWidth="1"/>
    <col min="47" max="47" width="8.45" style="508" customWidth="1"/>
    <col min="48" max="48" width="7.7" style="502" customWidth="1"/>
    <col min="49" max="49" width="7.7" style="509" customWidth="1"/>
    <col min="50" max="52" width="8.625" style="502" customWidth="1"/>
    <col min="53" max="53" width="8.875" style="510" customWidth="1"/>
    <col min="54" max="55" width="8.625" style="502" customWidth="1"/>
    <col min="56" max="16384" width="9" style="501"/>
  </cols>
  <sheetData>
    <row r="1" s="495" customFormat="1" customHeight="1" spans="1:55">
      <c r="A1" s="511" t="s">
        <v>208</v>
      </c>
      <c r="B1" s="512" t="s">
        <v>1168</v>
      </c>
      <c r="C1" s="513" t="str">
        <f>VLOOKUP(H1,名称!A:E,4,0)</f>
        <v>系列</v>
      </c>
      <c r="D1" s="511" t="s">
        <v>1169</v>
      </c>
      <c r="E1" s="511" t="s">
        <v>1170</v>
      </c>
      <c r="F1" s="511" t="s">
        <v>210</v>
      </c>
      <c r="G1" s="511" t="s">
        <v>211</v>
      </c>
      <c r="H1" s="511" t="s">
        <v>0</v>
      </c>
      <c r="I1" s="29" t="s">
        <v>207</v>
      </c>
      <c r="J1" s="514" t="s">
        <v>212</v>
      </c>
      <c r="K1" s="29" t="s">
        <v>1</v>
      </c>
      <c r="L1" s="29" t="s">
        <v>1171</v>
      </c>
      <c r="M1" s="511" t="s">
        <v>1172</v>
      </c>
      <c r="N1" s="511" t="s">
        <v>1173</v>
      </c>
      <c r="O1" s="511" t="s">
        <v>1174</v>
      </c>
      <c r="P1" s="511" t="s">
        <v>1175</v>
      </c>
      <c r="Q1" s="511" t="s">
        <v>1176</v>
      </c>
      <c r="R1" s="511" t="s">
        <v>1177</v>
      </c>
      <c r="S1" s="511" t="s">
        <v>1178</v>
      </c>
      <c r="T1" s="511" t="s">
        <v>1179</v>
      </c>
      <c r="U1" s="515" t="s">
        <v>1180</v>
      </c>
      <c r="V1" s="511" t="s">
        <v>1181</v>
      </c>
      <c r="W1" s="516" t="s">
        <v>1182</v>
      </c>
      <c r="X1" s="511" t="s">
        <v>1183</v>
      </c>
      <c r="Y1" s="511"/>
      <c r="Z1" s="511" t="s">
        <v>1184</v>
      </c>
      <c r="AA1" s="517"/>
      <c r="AB1" s="511"/>
      <c r="AC1" s="511" t="s">
        <v>1185</v>
      </c>
      <c r="AD1" s="511"/>
      <c r="AE1" s="511" t="s">
        <v>1186</v>
      </c>
      <c r="AF1" s="511"/>
      <c r="AG1" s="511" t="s">
        <v>1187</v>
      </c>
      <c r="AH1" s="511"/>
      <c r="AI1" s="511"/>
      <c r="AJ1" s="511" t="s">
        <v>1188</v>
      </c>
      <c r="AK1" s="511" t="s">
        <v>1189</v>
      </c>
      <c r="AL1" s="511" t="s">
        <v>1190</v>
      </c>
      <c r="AM1" s="511" t="s">
        <v>1191</v>
      </c>
      <c r="AN1" s="518" t="s">
        <v>1192</v>
      </c>
      <c r="AO1" s="518" t="s">
        <v>243</v>
      </c>
      <c r="AP1" s="518" t="s">
        <v>244</v>
      </c>
      <c r="AQ1" s="518" t="s">
        <v>245</v>
      </c>
      <c r="AR1" s="33" t="s">
        <v>1193</v>
      </c>
      <c r="AS1" s="518" t="s">
        <v>1194</v>
      </c>
      <c r="AT1" s="518" t="s">
        <v>1195</v>
      </c>
      <c r="AU1" s="519" t="s">
        <v>1196</v>
      </c>
      <c r="AV1" s="519" t="s">
        <v>1197</v>
      </c>
      <c r="AW1" s="519" t="s">
        <v>1198</v>
      </c>
      <c r="AX1" s="520" t="s">
        <v>1199</v>
      </c>
      <c r="AY1" s="518" t="s">
        <v>1200</v>
      </c>
      <c r="AZ1" s="518" t="s">
        <v>1201</v>
      </c>
      <c r="BA1" s="518" t="s">
        <v>1202</v>
      </c>
      <c r="BB1" s="518" t="str">
        <f>D1</f>
        <v>客名</v>
      </c>
      <c r="BC1" s="518" t="str">
        <f>E1</f>
        <v>国家</v>
      </c>
    </row>
    <row r="2" s="495" customFormat="1" customHeight="1" spans="1:55">
      <c r="A2" s="511"/>
      <c r="B2" s="521"/>
      <c r="C2" s="522"/>
      <c r="D2" s="511"/>
      <c r="E2" s="511"/>
      <c r="F2" s="511"/>
      <c r="G2" s="511"/>
      <c r="H2" s="511"/>
      <c r="I2" s="29"/>
      <c r="J2" s="514"/>
      <c r="K2" s="29"/>
      <c r="L2" s="29"/>
      <c r="M2" s="511"/>
      <c r="N2" s="511"/>
      <c r="O2" s="511"/>
      <c r="P2" s="511"/>
      <c r="Q2" s="511"/>
      <c r="R2" s="511"/>
      <c r="S2" s="511"/>
      <c r="T2" s="511"/>
      <c r="U2" s="523"/>
      <c r="V2" s="511"/>
      <c r="W2" s="524"/>
      <c r="X2" s="511" t="s">
        <v>1203</v>
      </c>
      <c r="Y2" s="511" t="s">
        <v>1275</v>
      </c>
      <c r="Z2" s="511" t="s">
        <v>1205</v>
      </c>
      <c r="AA2" s="517" t="s">
        <v>1206</v>
      </c>
      <c r="AB2" s="511" t="s">
        <v>1207</v>
      </c>
      <c r="AC2" s="511" t="s">
        <v>1208</v>
      </c>
      <c r="AD2" s="511" t="s">
        <v>1204</v>
      </c>
      <c r="AE2" s="511" t="s">
        <v>1209</v>
      </c>
      <c r="AF2" s="511" t="s">
        <v>1204</v>
      </c>
      <c r="AG2" s="511" t="s">
        <v>1210</v>
      </c>
      <c r="AH2" s="511" t="s">
        <v>1211</v>
      </c>
      <c r="AI2" s="511" t="s">
        <v>1204</v>
      </c>
      <c r="AJ2" s="511"/>
      <c r="AK2" s="511"/>
      <c r="AL2" s="511"/>
      <c r="AM2" s="511"/>
      <c r="AN2" s="518"/>
      <c r="AO2" s="518"/>
      <c r="AP2" s="518"/>
      <c r="AQ2" s="518"/>
      <c r="AR2" s="33"/>
      <c r="AS2" s="518"/>
      <c r="AT2" s="518"/>
      <c r="AU2" s="525"/>
      <c r="AV2" s="525"/>
      <c r="AW2" s="525"/>
      <c r="AX2" s="526"/>
      <c r="AY2" s="518"/>
      <c r="AZ2" s="518"/>
      <c r="BA2" s="518"/>
      <c r="BB2" s="518"/>
      <c r="BC2" s="518"/>
    </row>
    <row r="3" s="496" customFormat="1" customHeight="1" spans="1:55">
      <c r="A3" s="527">
        <v>46031</v>
      </c>
      <c r="B3" s="527" t="str">
        <f ca="1" t="shared" ref="B3:B66" si="0">IF(TODAY()-5&gt;=A3,IF(AB3="","异常",""),"")</f>
        <v/>
      </c>
      <c r="C3" s="346" t="str">
        <f>VLOOKUP(H3,名称!A:E,4,0)</f>
        <v>三代</v>
      </c>
      <c r="D3" s="528" t="s">
        <v>1276</v>
      </c>
      <c r="E3" s="528" t="s">
        <v>1224</v>
      </c>
      <c r="F3" s="346" t="s">
        <v>416</v>
      </c>
      <c r="G3" s="346" t="s">
        <v>417</v>
      </c>
      <c r="H3" s="346" t="s">
        <v>61</v>
      </c>
      <c r="I3" s="346"/>
      <c r="J3" s="348">
        <v>21000</v>
      </c>
      <c r="K3" s="347">
        <f>VLOOKUP(H3,名称!A:C,2,0)</f>
        <v>5</v>
      </c>
      <c r="L3" s="348">
        <f t="shared" ref="L3:L66" si="1">J3*K3</f>
        <v>105000</v>
      </c>
      <c r="M3" s="346">
        <f>VLOOKUP(H3,名称!A:E,3,0)</f>
        <v>24</v>
      </c>
      <c r="N3" s="348">
        <f t="shared" ref="N3:N66" si="2">J3/M3</f>
        <v>875</v>
      </c>
      <c r="O3" s="527">
        <v>46164</v>
      </c>
      <c r="P3" s="527">
        <v>46171</v>
      </c>
      <c r="Q3" s="527">
        <v>46171</v>
      </c>
      <c r="R3" s="346" t="s">
        <v>1277</v>
      </c>
      <c r="S3" s="527">
        <v>46174</v>
      </c>
      <c r="T3" s="346" t="s">
        <v>1241</v>
      </c>
      <c r="U3" s="346"/>
      <c r="V3" s="404" t="s">
        <v>1278</v>
      </c>
      <c r="W3" s="348" t="str">
        <f>IFERROR(VLOOKUP(H3,名称!A:F,6,0),"")</f>
        <v>湖南</v>
      </c>
      <c r="X3" s="346" t="s">
        <v>1133</v>
      </c>
      <c r="Y3" s="346" t="s">
        <v>1133</v>
      </c>
      <c r="Z3" s="529">
        <v>46059</v>
      </c>
      <c r="AA3" s="530">
        <v>46079</v>
      </c>
      <c r="AB3" s="529">
        <v>46080</v>
      </c>
      <c r="AC3" s="346" t="s">
        <v>1133</v>
      </c>
      <c r="AD3" s="346" t="s">
        <v>1133</v>
      </c>
      <c r="AE3" s="346" t="s">
        <v>270</v>
      </c>
      <c r="AF3" s="346" t="s">
        <v>1228</v>
      </c>
      <c r="AG3" s="346" t="s">
        <v>270</v>
      </c>
      <c r="AH3" s="346" t="s">
        <v>1133</v>
      </c>
      <c r="AI3" s="346" t="s">
        <v>1228</v>
      </c>
      <c r="AJ3" s="346" t="s">
        <v>1133</v>
      </c>
      <c r="AK3" s="346" t="s">
        <v>270</v>
      </c>
      <c r="AL3" s="346"/>
      <c r="AM3" s="346" t="s">
        <v>1279</v>
      </c>
      <c r="AN3" s="348"/>
      <c r="AO3" s="531">
        <v>0.61</v>
      </c>
      <c r="AP3" s="532">
        <f t="shared" ref="AP3:AP66" si="3">J3*AO3</f>
        <v>12810</v>
      </c>
      <c r="AQ3" s="532">
        <f t="shared" ref="AQ3:AQ66" si="4">AP3*7.75</f>
        <v>99277.5</v>
      </c>
      <c r="AR3" s="533"/>
      <c r="AS3" s="527"/>
      <c r="AT3" s="527" t="s">
        <v>1220</v>
      </c>
      <c r="AU3" s="534">
        <f>20976+24</f>
        <v>21000</v>
      </c>
      <c r="AV3" s="535">
        <f t="shared" ref="AV3:AV66" si="5">AU3-J3</f>
        <v>0</v>
      </c>
      <c r="AW3" s="535"/>
      <c r="AX3" s="527" t="s">
        <v>1280</v>
      </c>
      <c r="AY3" s="527"/>
      <c r="AZ3" s="403" t="s">
        <v>1256</v>
      </c>
      <c r="BA3" s="527"/>
      <c r="BB3" s="527" t="str">
        <f t="shared" ref="BB3:BB66" si="6">D3</f>
        <v>Jazwares- TARGET US DOM</v>
      </c>
      <c r="BC3" s="527" t="str">
        <f t="shared" ref="BC3:BC66" si="7">E3</f>
        <v>美国</v>
      </c>
    </row>
    <row r="4" s="496" customFormat="1" customHeight="1" spans="1:55">
      <c r="A4" s="527">
        <v>46031</v>
      </c>
      <c r="B4" s="527" t="str">
        <f ca="1" t="shared" si="0"/>
        <v/>
      </c>
      <c r="C4" s="346" t="str">
        <f>VLOOKUP(H4,名称!A:E,4,0)</f>
        <v>三代</v>
      </c>
      <c r="D4" s="528" t="s">
        <v>1281</v>
      </c>
      <c r="E4" s="528" t="s">
        <v>1224</v>
      </c>
      <c r="F4" s="346" t="s">
        <v>418</v>
      </c>
      <c r="G4" s="346" t="s">
        <v>419</v>
      </c>
      <c r="H4" s="346" t="s">
        <v>55</v>
      </c>
      <c r="I4" s="346"/>
      <c r="J4" s="348">
        <v>3008</v>
      </c>
      <c r="K4" s="347">
        <f>VLOOKUP(H4,名称!A:C,2,0)</f>
        <v>7</v>
      </c>
      <c r="L4" s="348">
        <f t="shared" si="1"/>
        <v>21056</v>
      </c>
      <c r="M4" s="346">
        <f>VLOOKUP(H4,名称!A:E,3,0)</f>
        <v>16</v>
      </c>
      <c r="N4" s="348">
        <f t="shared" si="2"/>
        <v>188</v>
      </c>
      <c r="O4" s="527">
        <v>46120</v>
      </c>
      <c r="P4" s="527">
        <v>46120</v>
      </c>
      <c r="Q4" s="527">
        <v>46127</v>
      </c>
      <c r="R4" s="346" t="s">
        <v>1282</v>
      </c>
      <c r="S4" s="527">
        <v>46128</v>
      </c>
      <c r="T4" s="346"/>
      <c r="U4" s="346"/>
      <c r="V4" s="346" t="s">
        <v>1283</v>
      </c>
      <c r="W4" s="348" t="str">
        <f>IFERROR(VLOOKUP(H4,名称!A:F,6,0),"")</f>
        <v>湖南</v>
      </c>
      <c r="X4" s="346" t="s">
        <v>1133</v>
      </c>
      <c r="Y4" s="346" t="s">
        <v>1133</v>
      </c>
      <c r="Z4" s="529">
        <v>46031</v>
      </c>
      <c r="AA4" s="530">
        <v>46034</v>
      </c>
      <c r="AB4" s="529">
        <v>46035</v>
      </c>
      <c r="AC4" s="346" t="s">
        <v>1284</v>
      </c>
      <c r="AD4" s="346" t="s">
        <v>1228</v>
      </c>
      <c r="AE4" s="346" t="s">
        <v>270</v>
      </c>
      <c r="AF4" s="346" t="s">
        <v>1228</v>
      </c>
      <c r="AG4" s="346" t="s">
        <v>270</v>
      </c>
      <c r="AH4" s="346" t="s">
        <v>1285</v>
      </c>
      <c r="AI4" s="346" t="s">
        <v>1228</v>
      </c>
      <c r="AJ4" s="346" t="s">
        <v>1133</v>
      </c>
      <c r="AK4" s="346" t="s">
        <v>1133</v>
      </c>
      <c r="AL4" s="346" t="s">
        <v>1228</v>
      </c>
      <c r="AM4" s="346" t="s">
        <v>1286</v>
      </c>
      <c r="AN4" s="348"/>
      <c r="AO4" s="531">
        <v>0.86</v>
      </c>
      <c r="AP4" s="532">
        <f t="shared" si="3"/>
        <v>2586.88</v>
      </c>
      <c r="AQ4" s="532">
        <f t="shared" si="4"/>
        <v>20048.32</v>
      </c>
      <c r="AR4" s="533"/>
      <c r="AS4" s="527"/>
      <c r="AT4" s="527" t="s">
        <v>1220</v>
      </c>
      <c r="AU4" s="534">
        <f>32+2976</f>
        <v>3008</v>
      </c>
      <c r="AV4" s="535">
        <f t="shared" si="5"/>
        <v>0</v>
      </c>
      <c r="AW4" s="535"/>
      <c r="AX4" s="527" t="s">
        <v>1280</v>
      </c>
      <c r="AY4" s="527"/>
      <c r="AZ4" s="413" t="s">
        <v>1256</v>
      </c>
      <c r="BA4" s="527"/>
      <c r="BB4" s="527" t="str">
        <f t="shared" si="6"/>
        <v>Jazwares, LLC</v>
      </c>
      <c r="BC4" s="527" t="str">
        <f t="shared" si="7"/>
        <v>美国</v>
      </c>
    </row>
    <row r="5" s="496" customFormat="1" customHeight="1" spans="1:55">
      <c r="A5" s="527">
        <v>46035</v>
      </c>
      <c r="B5" s="527" t="str">
        <f ca="1" t="shared" si="0"/>
        <v/>
      </c>
      <c r="C5" s="346" t="str">
        <f>VLOOKUP(H5,名称!A:E,4,0)</f>
        <v>三代</v>
      </c>
      <c r="D5" s="528" t="s">
        <v>1240</v>
      </c>
      <c r="E5" s="528" t="s">
        <v>1224</v>
      </c>
      <c r="F5" s="346" t="s">
        <v>455</v>
      </c>
      <c r="G5" s="346" t="s">
        <v>456</v>
      </c>
      <c r="H5" s="346" t="s">
        <v>61</v>
      </c>
      <c r="I5" s="346"/>
      <c r="J5" s="348">
        <v>6264</v>
      </c>
      <c r="K5" s="92">
        <f>VLOOKUP(H5,名称!A:C,2,0)</f>
        <v>5</v>
      </c>
      <c r="L5" s="32">
        <f t="shared" si="1"/>
        <v>31320</v>
      </c>
      <c r="M5" s="346">
        <f>VLOOKUP(H5,名称!A:E,3,0)</f>
        <v>24</v>
      </c>
      <c r="N5" s="348">
        <f t="shared" si="2"/>
        <v>261</v>
      </c>
      <c r="O5" s="527">
        <v>46164</v>
      </c>
      <c r="P5" s="527">
        <v>46174</v>
      </c>
      <c r="Q5" s="527">
        <v>46174</v>
      </c>
      <c r="R5" s="527" t="s">
        <v>1277</v>
      </c>
      <c r="S5" s="527">
        <v>46178</v>
      </c>
      <c r="T5" s="527" t="s">
        <v>1277</v>
      </c>
      <c r="U5" s="527"/>
      <c r="V5" s="404" t="s">
        <v>1278</v>
      </c>
      <c r="W5" s="348" t="str">
        <f>IFERROR(VLOOKUP(H5,名称!A:F,6,0),"")</f>
        <v>湖南</v>
      </c>
      <c r="X5" s="346" t="s">
        <v>1133</v>
      </c>
      <c r="Y5" s="346" t="s">
        <v>1133</v>
      </c>
      <c r="Z5" s="529">
        <v>46059</v>
      </c>
      <c r="AA5" s="530">
        <v>46079</v>
      </c>
      <c r="AB5" s="529">
        <v>46080</v>
      </c>
      <c r="AC5" s="346" t="s">
        <v>1133</v>
      </c>
      <c r="AD5" s="346" t="s">
        <v>1133</v>
      </c>
      <c r="AE5" s="346" t="s">
        <v>270</v>
      </c>
      <c r="AF5" s="346" t="s">
        <v>1228</v>
      </c>
      <c r="AG5" s="346" t="s">
        <v>270</v>
      </c>
      <c r="AH5" s="346" t="s">
        <v>1133</v>
      </c>
      <c r="AI5" s="346" t="s">
        <v>1228</v>
      </c>
      <c r="AJ5" s="346" t="s">
        <v>1133</v>
      </c>
      <c r="AK5" s="346" t="s">
        <v>270</v>
      </c>
      <c r="AL5" s="346"/>
      <c r="AM5" s="346" t="s">
        <v>1279</v>
      </c>
      <c r="AN5" s="348"/>
      <c r="AO5" s="531">
        <v>0.61</v>
      </c>
      <c r="AP5" s="532">
        <f t="shared" si="3"/>
        <v>3821.04</v>
      </c>
      <c r="AQ5" s="532">
        <f t="shared" si="4"/>
        <v>29613.06</v>
      </c>
      <c r="AR5" s="533"/>
      <c r="AS5" s="527"/>
      <c r="AT5" s="527" t="s">
        <v>1220</v>
      </c>
      <c r="AU5" s="534">
        <f>6240+24</f>
        <v>6264</v>
      </c>
      <c r="AV5" s="535">
        <f t="shared" si="5"/>
        <v>0</v>
      </c>
      <c r="AW5" s="535"/>
      <c r="AX5" s="527" t="s">
        <v>1280</v>
      </c>
      <c r="AY5" s="527"/>
      <c r="AZ5" s="413" t="s">
        <v>1256</v>
      </c>
      <c r="BA5" s="527"/>
      <c r="BB5" s="527" t="str">
        <f t="shared" si="6"/>
        <v>JAZWARES - TARGET US DOM</v>
      </c>
      <c r="BC5" s="527" t="str">
        <f t="shared" si="7"/>
        <v>美国</v>
      </c>
    </row>
    <row r="6" s="496" customFormat="1" customHeight="1" spans="1:55">
      <c r="A6" s="527">
        <v>46049</v>
      </c>
      <c r="B6" s="527" t="str">
        <f ca="1" t="shared" si="0"/>
        <v/>
      </c>
      <c r="C6" s="346" t="str">
        <f>VLOOKUP(H6,名称!A:E,4,0)</f>
        <v>三代</v>
      </c>
      <c r="D6" s="528" t="s">
        <v>1287</v>
      </c>
      <c r="E6" s="528" t="s">
        <v>1224</v>
      </c>
      <c r="F6" s="346" t="s">
        <v>469</v>
      </c>
      <c r="G6" s="346" t="s">
        <v>470</v>
      </c>
      <c r="H6" s="346" t="s">
        <v>83</v>
      </c>
      <c r="I6" s="346"/>
      <c r="J6" s="348">
        <f>90000-20004</f>
        <v>69996</v>
      </c>
      <c r="K6" s="92">
        <f>VLOOKUP(H6,名称!A:C,2,0)</f>
        <v>5</v>
      </c>
      <c r="L6" s="32">
        <f t="shared" si="1"/>
        <v>349980</v>
      </c>
      <c r="M6" s="346">
        <f>VLOOKUP(H6,名称!A:E,3,0)</f>
        <v>12</v>
      </c>
      <c r="N6" s="348">
        <f t="shared" si="2"/>
        <v>5833</v>
      </c>
      <c r="O6" s="527">
        <v>46175</v>
      </c>
      <c r="P6" s="527">
        <v>46183</v>
      </c>
      <c r="Q6" s="536">
        <v>46199</v>
      </c>
      <c r="R6" s="404" t="s">
        <v>1241</v>
      </c>
      <c r="S6" s="403" t="s">
        <v>1288</v>
      </c>
      <c r="T6" s="404" t="s">
        <v>1241</v>
      </c>
      <c r="U6" s="346"/>
      <c r="V6" s="346"/>
      <c r="W6" s="348" t="str">
        <f>IFERROR(VLOOKUP(H6,名称!A:F,6,0),"")</f>
        <v>湖南</v>
      </c>
      <c r="X6" s="346" t="s">
        <v>1133</v>
      </c>
      <c r="Y6" s="346" t="s">
        <v>1133</v>
      </c>
      <c r="Z6" s="529">
        <v>46090</v>
      </c>
      <c r="AA6" s="530">
        <v>46091</v>
      </c>
      <c r="AB6" s="530">
        <v>46091</v>
      </c>
      <c r="AC6" s="346" t="s">
        <v>1133</v>
      </c>
      <c r="AD6" s="346" t="s">
        <v>1133</v>
      </c>
      <c r="AE6" s="346" t="s">
        <v>270</v>
      </c>
      <c r="AF6" s="346" t="s">
        <v>1228</v>
      </c>
      <c r="AG6" s="346" t="s">
        <v>270</v>
      </c>
      <c r="AH6" s="346" t="s">
        <v>1133</v>
      </c>
      <c r="AI6" s="346" t="s">
        <v>1228</v>
      </c>
      <c r="AJ6" s="346" t="s">
        <v>1133</v>
      </c>
      <c r="AK6" s="346" t="s">
        <v>270</v>
      </c>
      <c r="AL6" s="346"/>
      <c r="AM6" s="346" t="s">
        <v>1289</v>
      </c>
      <c r="AN6" s="348"/>
      <c r="AO6" s="531">
        <v>0.83</v>
      </c>
      <c r="AP6" s="532">
        <f t="shared" si="3"/>
        <v>58096.68</v>
      </c>
      <c r="AQ6" s="532">
        <f t="shared" si="4"/>
        <v>450249.27</v>
      </c>
      <c r="AR6" s="533"/>
      <c r="AS6" s="527"/>
      <c r="AT6" s="527" t="s">
        <v>1220</v>
      </c>
      <c r="AU6" s="537"/>
      <c r="AV6" s="535">
        <f t="shared" si="5"/>
        <v>-69996</v>
      </c>
      <c r="AW6" s="535"/>
      <c r="AX6" s="527" t="s">
        <v>1280</v>
      </c>
      <c r="AY6" s="527"/>
      <c r="AZ6" s="413" t="s">
        <v>1256</v>
      </c>
      <c r="BA6" s="527"/>
      <c r="BB6" s="527" t="str">
        <f t="shared" si="6"/>
        <v>WALGREEN</v>
      </c>
      <c r="BC6" s="527" t="str">
        <f t="shared" si="7"/>
        <v>美国</v>
      </c>
    </row>
    <row r="7" s="495" customFormat="1" customHeight="1" spans="1:55">
      <c r="A7" s="538">
        <v>46050</v>
      </c>
      <c r="B7" s="538" t="str">
        <f ca="1" t="shared" si="0"/>
        <v/>
      </c>
      <c r="C7" s="539" t="str">
        <f>VLOOKUP(H7,名称!A:E,4,0)</f>
        <v>三代</v>
      </c>
      <c r="D7" s="540" t="s">
        <v>1276</v>
      </c>
      <c r="E7" s="540" t="s">
        <v>1224</v>
      </c>
      <c r="F7" s="539" t="s">
        <v>477</v>
      </c>
      <c r="G7" s="539" t="s">
        <v>478</v>
      </c>
      <c r="H7" s="539" t="s">
        <v>94</v>
      </c>
      <c r="I7" s="118"/>
      <c r="J7" s="518">
        <v>4296</v>
      </c>
      <c r="K7" s="92">
        <f>VLOOKUP(H7,名称!A:C,2,0)</f>
        <v>5</v>
      </c>
      <c r="L7" s="32">
        <f t="shared" si="1"/>
        <v>21480</v>
      </c>
      <c r="M7" s="539">
        <f>VLOOKUP(H7,名称!A:E,3,0)</f>
        <v>24</v>
      </c>
      <c r="N7" s="518">
        <f t="shared" si="2"/>
        <v>179</v>
      </c>
      <c r="O7" s="538">
        <v>46226</v>
      </c>
      <c r="P7" s="538">
        <v>46288</v>
      </c>
      <c r="Q7" s="538">
        <v>46287</v>
      </c>
      <c r="R7" s="539"/>
      <c r="S7" s="538">
        <v>46288</v>
      </c>
      <c r="T7" s="541"/>
      <c r="U7" s="539"/>
      <c r="V7" s="539"/>
      <c r="W7" s="518" t="str">
        <f>IFERROR(VLOOKUP(H7,名称!A:F,6,0),"")</f>
        <v>湖南</v>
      </c>
      <c r="X7" s="541" t="s">
        <v>1133</v>
      </c>
      <c r="Y7" s="541" t="s">
        <v>1133</v>
      </c>
      <c r="Z7" s="542">
        <v>46133</v>
      </c>
      <c r="AA7" s="543">
        <v>46142</v>
      </c>
      <c r="AB7" s="542">
        <v>46148</v>
      </c>
      <c r="AC7" s="541" t="s">
        <v>1133</v>
      </c>
      <c r="AD7" s="541" t="s">
        <v>1133</v>
      </c>
      <c r="AE7" s="539" t="s">
        <v>270</v>
      </c>
      <c r="AF7" s="541" t="s">
        <v>1228</v>
      </c>
      <c r="AG7" s="541" t="s">
        <v>270</v>
      </c>
      <c r="AH7" s="541" t="s">
        <v>1133</v>
      </c>
      <c r="AI7" s="541" t="s">
        <v>1228</v>
      </c>
      <c r="AJ7" s="541" t="s">
        <v>1133</v>
      </c>
      <c r="AK7" s="541" t="s">
        <v>270</v>
      </c>
      <c r="AL7" s="541"/>
      <c r="AM7" s="539" t="s">
        <v>1290</v>
      </c>
      <c r="AN7" s="518"/>
      <c r="AO7" s="544">
        <v>0.61</v>
      </c>
      <c r="AP7" s="545">
        <f t="shared" si="3"/>
        <v>2620.56</v>
      </c>
      <c r="AQ7" s="545">
        <f t="shared" si="4"/>
        <v>20309.34</v>
      </c>
      <c r="AR7" s="546"/>
      <c r="AS7" s="538"/>
      <c r="AT7" s="538" t="s">
        <v>1220</v>
      </c>
      <c r="AU7" s="547"/>
      <c r="AV7" s="548">
        <f t="shared" si="5"/>
        <v>-4296</v>
      </c>
      <c r="AW7" s="548"/>
      <c r="AX7" s="538" t="s">
        <v>1280</v>
      </c>
      <c r="AY7" s="538"/>
      <c r="AZ7" s="420" t="s">
        <v>1256</v>
      </c>
      <c r="BA7" s="538"/>
      <c r="BB7" s="538" t="str">
        <f t="shared" si="6"/>
        <v>Jazwares- TARGET US DOM</v>
      </c>
      <c r="BC7" s="538" t="str">
        <f t="shared" si="7"/>
        <v>美国</v>
      </c>
    </row>
    <row r="8" s="495" customFormat="1" customHeight="1" spans="1:55">
      <c r="A8" s="538">
        <v>46050</v>
      </c>
      <c r="B8" s="538" t="str">
        <f ca="1" t="shared" si="0"/>
        <v/>
      </c>
      <c r="C8" s="539" t="str">
        <f>VLOOKUP(H8,名称!A:E,4,0)</f>
        <v>三代</v>
      </c>
      <c r="D8" s="540" t="s">
        <v>1276</v>
      </c>
      <c r="E8" s="540" t="s">
        <v>1224</v>
      </c>
      <c r="F8" s="539" t="s">
        <v>475</v>
      </c>
      <c r="G8" s="539" t="s">
        <v>476</v>
      </c>
      <c r="H8" s="539" t="s">
        <v>94</v>
      </c>
      <c r="I8" s="118"/>
      <c r="J8" s="518">
        <v>4296</v>
      </c>
      <c r="K8" s="92">
        <f>VLOOKUP(H8,名称!A:C,2,0)</f>
        <v>5</v>
      </c>
      <c r="L8" s="32">
        <f t="shared" si="1"/>
        <v>21480</v>
      </c>
      <c r="M8" s="539">
        <f>VLOOKUP(H8,名称!A:E,3,0)</f>
        <v>24</v>
      </c>
      <c r="N8" s="518">
        <f t="shared" si="2"/>
        <v>179</v>
      </c>
      <c r="O8" s="538">
        <v>46240</v>
      </c>
      <c r="P8" s="549">
        <v>46288</v>
      </c>
      <c r="Q8" s="549">
        <v>46287</v>
      </c>
      <c r="R8" s="550"/>
      <c r="S8" s="549">
        <v>46288</v>
      </c>
      <c r="T8" s="551"/>
      <c r="U8" s="550"/>
      <c r="V8" s="539"/>
      <c r="W8" s="518" t="str">
        <f>IFERROR(VLOOKUP(H8,名称!A:F,6,0),"")</f>
        <v>湖南</v>
      </c>
      <c r="X8" s="541" t="s">
        <v>1133</v>
      </c>
      <c r="Y8" s="541" t="s">
        <v>1133</v>
      </c>
      <c r="Z8" s="542">
        <v>46247</v>
      </c>
      <c r="AA8" s="543">
        <v>46247</v>
      </c>
      <c r="AB8" s="552">
        <v>46247</v>
      </c>
      <c r="AC8" s="541" t="s">
        <v>1133</v>
      </c>
      <c r="AD8" s="541" t="s">
        <v>1133</v>
      </c>
      <c r="AE8" s="539" t="s">
        <v>270</v>
      </c>
      <c r="AF8" s="541" t="s">
        <v>1228</v>
      </c>
      <c r="AG8" s="541" t="s">
        <v>270</v>
      </c>
      <c r="AH8" s="541" t="s">
        <v>1133</v>
      </c>
      <c r="AI8" s="541" t="s">
        <v>1228</v>
      </c>
      <c r="AJ8" s="541" t="s">
        <v>1133</v>
      </c>
      <c r="AK8" s="541" t="s">
        <v>270</v>
      </c>
      <c r="AL8" s="541"/>
      <c r="AM8" s="462" t="s">
        <v>1250</v>
      </c>
      <c r="AN8" s="518"/>
      <c r="AO8" s="544">
        <v>0.61</v>
      </c>
      <c r="AP8" s="545">
        <f t="shared" si="3"/>
        <v>2620.56</v>
      </c>
      <c r="AQ8" s="545">
        <f t="shared" si="4"/>
        <v>20309.34</v>
      </c>
      <c r="AR8" s="546"/>
      <c r="AS8" s="538"/>
      <c r="AT8" s="538" t="s">
        <v>1220</v>
      </c>
      <c r="AU8" s="547"/>
      <c r="AV8" s="548">
        <f t="shared" si="5"/>
        <v>-4296</v>
      </c>
      <c r="AW8" s="548"/>
      <c r="AX8" s="538" t="s">
        <v>1280</v>
      </c>
      <c r="AY8" s="538"/>
      <c r="AZ8" s="420" t="s">
        <v>1256</v>
      </c>
      <c r="BA8" s="538"/>
      <c r="BB8" s="538" t="str">
        <f t="shared" si="6"/>
        <v>Jazwares- TARGET US DOM</v>
      </c>
      <c r="BC8" s="538" t="str">
        <f t="shared" si="7"/>
        <v>美国</v>
      </c>
    </row>
    <row r="9" s="497" customFormat="1" customHeight="1" spans="1:55">
      <c r="A9" s="553">
        <v>46050</v>
      </c>
      <c r="B9" s="553" t="str">
        <f ca="1" t="shared" si="0"/>
        <v/>
      </c>
      <c r="C9" s="554" t="str">
        <f>VLOOKUP(H9,名称!A:E,4,0)</f>
        <v>三代</v>
      </c>
      <c r="D9" s="555" t="s">
        <v>1276</v>
      </c>
      <c r="E9" s="555" t="s">
        <v>1224</v>
      </c>
      <c r="F9" s="554" t="s">
        <v>473</v>
      </c>
      <c r="G9" s="554" t="s">
        <v>474</v>
      </c>
      <c r="H9" s="554" t="s">
        <v>94</v>
      </c>
      <c r="I9" s="554"/>
      <c r="J9" s="556">
        <v>4296</v>
      </c>
      <c r="K9" s="92">
        <f>VLOOKUP(H9,名称!A:C,2,0)</f>
        <v>5</v>
      </c>
      <c r="L9" s="32">
        <f t="shared" si="1"/>
        <v>21480</v>
      </c>
      <c r="M9" s="554">
        <f>VLOOKUP(H9,名称!A:E,3,0)</f>
        <v>24</v>
      </c>
      <c r="N9" s="556">
        <f t="shared" si="2"/>
        <v>179</v>
      </c>
      <c r="O9" s="553">
        <v>46254</v>
      </c>
      <c r="P9" s="553">
        <f>O9</f>
        <v>46254</v>
      </c>
      <c r="Q9" s="553">
        <v>46253</v>
      </c>
      <c r="R9" s="435" t="s">
        <v>1241</v>
      </c>
      <c r="S9" s="553">
        <v>46261</v>
      </c>
      <c r="T9" s="444" t="s">
        <v>1291</v>
      </c>
      <c r="U9" s="554"/>
      <c r="V9" s="554"/>
      <c r="W9" s="556" t="str">
        <f>IFERROR(VLOOKUP(H9,名称!A:F,6,0),"")</f>
        <v>湖南</v>
      </c>
      <c r="X9" s="557" t="s">
        <v>1133</v>
      </c>
      <c r="Y9" s="557" t="s">
        <v>1133</v>
      </c>
      <c r="Z9" s="558">
        <v>46218</v>
      </c>
      <c r="AA9" s="559">
        <v>46219</v>
      </c>
      <c r="AB9" s="558">
        <v>46219</v>
      </c>
      <c r="AC9" s="557" t="s">
        <v>1133</v>
      </c>
      <c r="AD9" s="541" t="s">
        <v>1133</v>
      </c>
      <c r="AE9" s="554" t="s">
        <v>270</v>
      </c>
      <c r="AF9" s="541" t="s">
        <v>1228</v>
      </c>
      <c r="AG9" s="557" t="s">
        <v>270</v>
      </c>
      <c r="AH9" s="541" t="s">
        <v>1133</v>
      </c>
      <c r="AI9" s="541" t="s">
        <v>1228</v>
      </c>
      <c r="AJ9" s="541" t="s">
        <v>1133</v>
      </c>
      <c r="AK9" s="554" t="s">
        <v>270</v>
      </c>
      <c r="AL9" s="557"/>
      <c r="AM9" s="444" t="s">
        <v>1292</v>
      </c>
      <c r="AN9" s="556"/>
      <c r="AO9" s="560">
        <v>0.61</v>
      </c>
      <c r="AP9" s="561">
        <f t="shared" si="3"/>
        <v>2620.56</v>
      </c>
      <c r="AQ9" s="561">
        <f t="shared" si="4"/>
        <v>20309.34</v>
      </c>
      <c r="AR9" s="562"/>
      <c r="AS9" s="553"/>
      <c r="AT9" s="553" t="s">
        <v>1220</v>
      </c>
      <c r="AU9" s="563"/>
      <c r="AV9" s="564">
        <f t="shared" si="5"/>
        <v>-4296</v>
      </c>
      <c r="AW9" s="564"/>
      <c r="AX9" s="553" t="s">
        <v>1280</v>
      </c>
      <c r="AY9" s="553"/>
      <c r="AZ9" s="440" t="s">
        <v>1256</v>
      </c>
      <c r="BA9" s="553"/>
      <c r="BB9" s="553" t="str">
        <f t="shared" si="6"/>
        <v>Jazwares- TARGET US DOM</v>
      </c>
      <c r="BC9" s="553" t="str">
        <f t="shared" si="7"/>
        <v>美国</v>
      </c>
    </row>
    <row r="10" s="495" customFormat="1" customHeight="1" spans="1:55">
      <c r="A10" s="538">
        <v>46050</v>
      </c>
      <c r="B10" s="538" t="str">
        <f ca="1" t="shared" si="0"/>
        <v/>
      </c>
      <c r="C10" s="539" t="str">
        <f>VLOOKUP(H10,名称!A:E,4,0)</f>
        <v>三代</v>
      </c>
      <c r="D10" s="540" t="s">
        <v>1276</v>
      </c>
      <c r="E10" s="540" t="s">
        <v>1224</v>
      </c>
      <c r="F10" s="539" t="s">
        <v>471</v>
      </c>
      <c r="G10" s="539" t="s">
        <v>472</v>
      </c>
      <c r="H10" s="539" t="s">
        <v>94</v>
      </c>
      <c r="I10" s="118"/>
      <c r="J10" s="518">
        <v>4296</v>
      </c>
      <c r="K10" s="92">
        <f>VLOOKUP(H10,名称!A:C,2,0)</f>
        <v>5</v>
      </c>
      <c r="L10" s="32">
        <f t="shared" si="1"/>
        <v>21480</v>
      </c>
      <c r="M10" s="539">
        <f>VLOOKUP(H10,名称!A:E,3,0)</f>
        <v>24</v>
      </c>
      <c r="N10" s="518">
        <f t="shared" si="2"/>
        <v>179</v>
      </c>
      <c r="O10" s="538">
        <v>46268</v>
      </c>
      <c r="P10" s="538">
        <f>O10</f>
        <v>46268</v>
      </c>
      <c r="Q10" s="565">
        <v>46272</v>
      </c>
      <c r="R10" s="539"/>
      <c r="S10" s="566">
        <v>46275</v>
      </c>
      <c r="T10" s="541"/>
      <c r="U10" s="539"/>
      <c r="V10" s="539"/>
      <c r="W10" s="518" t="str">
        <f>IFERROR(VLOOKUP(H10,名称!A:F,6,0),"")</f>
        <v>湖南</v>
      </c>
      <c r="X10" s="541" t="s">
        <v>1133</v>
      </c>
      <c r="Y10" s="541" t="s">
        <v>1133</v>
      </c>
      <c r="Z10" s="567">
        <v>46240</v>
      </c>
      <c r="AA10" s="552">
        <v>46241</v>
      </c>
      <c r="AB10" s="567">
        <v>46241</v>
      </c>
      <c r="AC10" s="541" t="s">
        <v>1133</v>
      </c>
      <c r="AD10" s="541" t="s">
        <v>1133</v>
      </c>
      <c r="AE10" s="539" t="s">
        <v>270</v>
      </c>
      <c r="AF10" s="541" t="s">
        <v>1228</v>
      </c>
      <c r="AG10" s="541" t="s">
        <v>270</v>
      </c>
      <c r="AH10" s="541" t="s">
        <v>1133</v>
      </c>
      <c r="AI10" s="541" t="s">
        <v>1228</v>
      </c>
      <c r="AJ10" s="541" t="s">
        <v>1133</v>
      </c>
      <c r="AK10" s="541" t="s">
        <v>270</v>
      </c>
      <c r="AL10" s="541"/>
      <c r="AM10" s="431" t="s">
        <v>1293</v>
      </c>
      <c r="AN10" s="518"/>
      <c r="AO10" s="544">
        <v>0.61</v>
      </c>
      <c r="AP10" s="545">
        <f t="shared" si="3"/>
        <v>2620.56</v>
      </c>
      <c r="AQ10" s="545">
        <f t="shared" si="4"/>
        <v>20309.34</v>
      </c>
      <c r="AR10" s="546"/>
      <c r="AS10" s="538"/>
      <c r="AT10" s="538" t="s">
        <v>1220</v>
      </c>
      <c r="AU10" s="547"/>
      <c r="AV10" s="548">
        <f t="shared" si="5"/>
        <v>-4296</v>
      </c>
      <c r="AW10" s="548"/>
      <c r="AX10" s="538" t="s">
        <v>1280</v>
      </c>
      <c r="AY10" s="538"/>
      <c r="AZ10" s="420" t="s">
        <v>1256</v>
      </c>
      <c r="BA10" s="538"/>
      <c r="BB10" s="538" t="str">
        <f t="shared" si="6"/>
        <v>Jazwares- TARGET US DOM</v>
      </c>
      <c r="BC10" s="538" t="str">
        <f t="shared" si="7"/>
        <v>美国</v>
      </c>
    </row>
    <row r="11" s="496" customFormat="1" customHeight="1" spans="1:55">
      <c r="A11" s="527">
        <v>46055</v>
      </c>
      <c r="B11" s="527" t="str">
        <f ca="1" t="shared" si="0"/>
        <v/>
      </c>
      <c r="C11" s="346" t="str">
        <f>VLOOKUP(H11,名称!A:E,4,0)</f>
        <v>三代</v>
      </c>
      <c r="D11" s="528" t="s">
        <v>1281</v>
      </c>
      <c r="E11" s="528" t="s">
        <v>1224</v>
      </c>
      <c r="F11" s="346" t="s">
        <v>489</v>
      </c>
      <c r="G11" s="346" t="s">
        <v>490</v>
      </c>
      <c r="H11" s="346" t="s">
        <v>83</v>
      </c>
      <c r="I11" s="346"/>
      <c r="J11" s="348">
        <v>204</v>
      </c>
      <c r="K11" s="347">
        <f>VLOOKUP(H11,名称!A:C,2,0)</f>
        <v>5</v>
      </c>
      <c r="L11" s="348">
        <f t="shared" si="1"/>
        <v>1020</v>
      </c>
      <c r="M11" s="346">
        <f>VLOOKUP(H11,名称!A:E,3,0)</f>
        <v>12</v>
      </c>
      <c r="N11" s="348">
        <f t="shared" si="2"/>
        <v>17</v>
      </c>
      <c r="O11" s="527">
        <v>46220</v>
      </c>
      <c r="P11" s="536">
        <f>O11</f>
        <v>46220</v>
      </c>
      <c r="Q11" s="536">
        <v>46225</v>
      </c>
      <c r="R11" s="404" t="s">
        <v>1241</v>
      </c>
      <c r="S11" s="536">
        <v>46225</v>
      </c>
      <c r="T11" s="415" t="s">
        <v>1282</v>
      </c>
      <c r="U11" s="346"/>
      <c r="V11" s="404" t="s">
        <v>1278</v>
      </c>
      <c r="W11" s="348" t="str">
        <f>IFERROR(VLOOKUP(H11,名称!A:F,6,0),"")</f>
        <v>湖南</v>
      </c>
      <c r="X11" s="568" t="s">
        <v>1133</v>
      </c>
      <c r="Y11" s="568" t="s">
        <v>1133</v>
      </c>
      <c r="Z11" s="569">
        <v>46077</v>
      </c>
      <c r="AA11" s="570">
        <v>46079</v>
      </c>
      <c r="AB11" s="570">
        <v>46079</v>
      </c>
      <c r="AC11" s="568" t="s">
        <v>1133</v>
      </c>
      <c r="AD11" s="568" t="s">
        <v>1133</v>
      </c>
      <c r="AE11" s="346" t="s">
        <v>270</v>
      </c>
      <c r="AF11" s="568" t="s">
        <v>1228</v>
      </c>
      <c r="AG11" s="568" t="s">
        <v>270</v>
      </c>
      <c r="AH11" s="568" t="s">
        <v>1133</v>
      </c>
      <c r="AI11" s="568" t="s">
        <v>1228</v>
      </c>
      <c r="AJ11" s="568" t="s">
        <v>1133</v>
      </c>
      <c r="AK11" s="346" t="s">
        <v>270</v>
      </c>
      <c r="AL11" s="568"/>
      <c r="AM11" s="568" t="s">
        <v>1294</v>
      </c>
      <c r="AN11" s="408" t="s">
        <v>1295</v>
      </c>
      <c r="AO11" s="531">
        <v>0.83</v>
      </c>
      <c r="AP11" s="532">
        <f t="shared" si="3"/>
        <v>169.32</v>
      </c>
      <c r="AQ11" s="532">
        <f t="shared" si="4"/>
        <v>1312.23</v>
      </c>
      <c r="AR11" s="533"/>
      <c r="AS11" s="527"/>
      <c r="AT11" s="527" t="s">
        <v>1220</v>
      </c>
      <c r="AU11" s="537">
        <v>204</v>
      </c>
      <c r="AV11" s="535">
        <f t="shared" si="5"/>
        <v>0</v>
      </c>
      <c r="AW11" s="535"/>
      <c r="AX11" s="536" t="s">
        <v>1280</v>
      </c>
      <c r="AY11" s="527"/>
      <c r="AZ11" s="413" t="s">
        <v>1256</v>
      </c>
      <c r="BA11" s="527"/>
      <c r="BB11" s="527" t="str">
        <f t="shared" si="6"/>
        <v>Jazwares, LLC</v>
      </c>
      <c r="BC11" s="527" t="str">
        <f t="shared" si="7"/>
        <v>美国</v>
      </c>
    </row>
    <row r="12" s="496" customFormat="1" customHeight="1" spans="1:55">
      <c r="A12" s="527">
        <v>46059</v>
      </c>
      <c r="B12" s="527" t="str">
        <f ca="1" t="shared" si="0"/>
        <v/>
      </c>
      <c r="C12" s="346" t="str">
        <f>VLOOKUP(H12,名称!A:E,4,0)</f>
        <v>三代</v>
      </c>
      <c r="D12" s="528" t="s">
        <v>1281</v>
      </c>
      <c r="E12" s="528" t="s">
        <v>1224</v>
      </c>
      <c r="F12" s="346" t="s">
        <v>507</v>
      </c>
      <c r="G12" s="346" t="s">
        <v>508</v>
      </c>
      <c r="H12" s="346" t="s">
        <v>92</v>
      </c>
      <c r="I12" s="346"/>
      <c r="J12" s="348">
        <f>51200-22256</f>
        <v>28944</v>
      </c>
      <c r="K12" s="92">
        <f>VLOOKUP(H12,名称!A:C,2,0)</f>
        <v>7</v>
      </c>
      <c r="L12" s="32">
        <f t="shared" si="1"/>
        <v>202608</v>
      </c>
      <c r="M12" s="346">
        <f>VLOOKUP(H12,名称!A:E,3,0)</f>
        <v>16</v>
      </c>
      <c r="N12" s="348">
        <f t="shared" si="2"/>
        <v>1809</v>
      </c>
      <c r="O12" s="527">
        <v>46175</v>
      </c>
      <c r="P12" s="527">
        <v>46175</v>
      </c>
      <c r="Q12" s="536">
        <v>46181</v>
      </c>
      <c r="R12" s="346" t="s">
        <v>1241</v>
      </c>
      <c r="S12" s="536">
        <v>46188</v>
      </c>
      <c r="T12" s="415" t="s">
        <v>1241</v>
      </c>
      <c r="U12" s="346"/>
      <c r="V12" s="346"/>
      <c r="W12" s="348" t="str">
        <f>IFERROR(VLOOKUP(H12,名称!A:F,6,0),"")</f>
        <v>湖南</v>
      </c>
      <c r="X12" s="346" t="s">
        <v>1133</v>
      </c>
      <c r="Y12" s="346" t="s">
        <v>1133</v>
      </c>
      <c r="Z12" s="569">
        <v>46090</v>
      </c>
      <c r="AA12" s="570">
        <v>46090</v>
      </c>
      <c r="AB12" s="569">
        <v>46090</v>
      </c>
      <c r="AC12" s="346" t="s">
        <v>1284</v>
      </c>
      <c r="AD12" s="346" t="s">
        <v>1228</v>
      </c>
      <c r="AE12" s="346" t="s">
        <v>270</v>
      </c>
      <c r="AF12" s="346" t="s">
        <v>1228</v>
      </c>
      <c r="AG12" s="346" t="s">
        <v>270</v>
      </c>
      <c r="AH12" s="346" t="s">
        <v>1285</v>
      </c>
      <c r="AI12" s="346" t="s">
        <v>1228</v>
      </c>
      <c r="AJ12" s="346" t="s">
        <v>1133</v>
      </c>
      <c r="AK12" s="346" t="s">
        <v>1133</v>
      </c>
      <c r="AL12" s="346"/>
      <c r="AM12" s="568" t="s">
        <v>1289</v>
      </c>
      <c r="AN12" s="348"/>
      <c r="AO12" s="531">
        <v>0.79</v>
      </c>
      <c r="AP12" s="532">
        <f t="shared" si="3"/>
        <v>22865.76</v>
      </c>
      <c r="AQ12" s="532">
        <f t="shared" si="4"/>
        <v>177209.64</v>
      </c>
      <c r="AR12" s="533"/>
      <c r="AS12" s="527"/>
      <c r="AT12" s="527" t="s">
        <v>1220</v>
      </c>
      <c r="AU12" s="571">
        <f>16320+3632+4320+11040+9120+4368+2400</f>
        <v>51200</v>
      </c>
      <c r="AV12" s="537">
        <f t="shared" si="5"/>
        <v>22256</v>
      </c>
      <c r="AW12" s="537"/>
      <c r="AX12" s="527" t="s">
        <v>1280</v>
      </c>
      <c r="AY12" s="527"/>
      <c r="AZ12" s="413" t="s">
        <v>1256</v>
      </c>
      <c r="BA12" s="527"/>
      <c r="BB12" s="527" t="str">
        <f t="shared" si="6"/>
        <v>Jazwares, LLC</v>
      </c>
      <c r="BC12" s="527" t="str">
        <f t="shared" si="7"/>
        <v>美国</v>
      </c>
    </row>
    <row r="13" s="496" customFormat="1" customHeight="1" spans="1:55">
      <c r="A13" s="527">
        <v>46059</v>
      </c>
      <c r="B13" s="527" t="str">
        <f ca="1" t="shared" si="0"/>
        <v/>
      </c>
      <c r="C13" s="346" t="str">
        <f>VLOOKUP(H13,名称!A:E,4,0)</f>
        <v>三代</v>
      </c>
      <c r="D13" s="528" t="s">
        <v>1281</v>
      </c>
      <c r="E13" s="528" t="s">
        <v>1224</v>
      </c>
      <c r="F13" s="346" t="s">
        <v>495</v>
      </c>
      <c r="G13" s="346" t="s">
        <v>496</v>
      </c>
      <c r="H13" s="346" t="s">
        <v>93</v>
      </c>
      <c r="I13" s="346"/>
      <c r="J13" s="348">
        <v>7500</v>
      </c>
      <c r="K13" s="92">
        <f>VLOOKUP(H13,名称!A:C,2,0)</f>
        <v>5</v>
      </c>
      <c r="L13" s="32">
        <f t="shared" si="1"/>
        <v>37500</v>
      </c>
      <c r="M13" s="346">
        <f>VLOOKUP(H13,名称!A:E,3,0)</f>
        <v>12</v>
      </c>
      <c r="N13" s="348">
        <f t="shared" si="2"/>
        <v>625</v>
      </c>
      <c r="O13" s="527">
        <v>46142</v>
      </c>
      <c r="P13" s="527">
        <v>46175</v>
      </c>
      <c r="Q13" s="536">
        <v>46174</v>
      </c>
      <c r="R13" s="346" t="s">
        <v>1241</v>
      </c>
      <c r="S13" s="536">
        <v>46188</v>
      </c>
      <c r="T13" s="415" t="s">
        <v>1241</v>
      </c>
      <c r="U13" s="346"/>
      <c r="V13" s="404" t="s">
        <v>1278</v>
      </c>
      <c r="W13" s="348" t="str">
        <f>IFERROR(VLOOKUP(H13,名称!A:F,6,0),"")</f>
        <v>湖南</v>
      </c>
      <c r="X13" s="346" t="s">
        <v>1133</v>
      </c>
      <c r="Y13" s="346" t="s">
        <v>1133</v>
      </c>
      <c r="Z13" s="568" t="s">
        <v>1249</v>
      </c>
      <c r="AA13" s="570">
        <v>46079</v>
      </c>
      <c r="AB13" s="569">
        <v>46080</v>
      </c>
      <c r="AC13" s="346" t="s">
        <v>1133</v>
      </c>
      <c r="AD13" s="346" t="s">
        <v>1133</v>
      </c>
      <c r="AE13" s="346" t="s">
        <v>270</v>
      </c>
      <c r="AF13" s="346" t="s">
        <v>1228</v>
      </c>
      <c r="AG13" s="346" t="s">
        <v>270</v>
      </c>
      <c r="AH13" s="346" t="s">
        <v>1133</v>
      </c>
      <c r="AI13" s="346" t="s">
        <v>1228</v>
      </c>
      <c r="AJ13" s="346" t="s">
        <v>1133</v>
      </c>
      <c r="AK13" s="346" t="s">
        <v>270</v>
      </c>
      <c r="AL13" s="346"/>
      <c r="AM13" s="568" t="s">
        <v>1296</v>
      </c>
      <c r="AN13" s="348"/>
      <c r="AO13" s="531">
        <v>0.61</v>
      </c>
      <c r="AP13" s="532">
        <f t="shared" si="3"/>
        <v>4575</v>
      </c>
      <c r="AQ13" s="532">
        <f t="shared" si="4"/>
        <v>35456.25</v>
      </c>
      <c r="AR13" s="533"/>
      <c r="AS13" s="527"/>
      <c r="AT13" s="527" t="s">
        <v>1220</v>
      </c>
      <c r="AU13" s="534">
        <f>7488+12</f>
        <v>7500</v>
      </c>
      <c r="AV13" s="535">
        <f t="shared" si="5"/>
        <v>0</v>
      </c>
      <c r="AW13" s="535"/>
      <c r="AX13" s="527" t="s">
        <v>1280</v>
      </c>
      <c r="AY13" s="527"/>
      <c r="AZ13" s="413" t="s">
        <v>1256</v>
      </c>
      <c r="BA13" s="527"/>
      <c r="BB13" s="527" t="str">
        <f t="shared" si="6"/>
        <v>Jazwares, LLC</v>
      </c>
      <c r="BC13" s="527" t="str">
        <f t="shared" si="7"/>
        <v>美国</v>
      </c>
    </row>
    <row r="14" s="496" customFormat="1" customHeight="1" spans="1:55">
      <c r="A14" s="527">
        <v>46059</v>
      </c>
      <c r="B14" s="527" t="str">
        <f ca="1" t="shared" si="0"/>
        <v/>
      </c>
      <c r="C14" s="346" t="str">
        <f>VLOOKUP(H14,名称!A:E,4,0)</f>
        <v>三代</v>
      </c>
      <c r="D14" s="528" t="s">
        <v>1281</v>
      </c>
      <c r="E14" s="528" t="s">
        <v>1224</v>
      </c>
      <c r="F14" s="346" t="s">
        <v>501</v>
      </c>
      <c r="G14" s="346" t="s">
        <v>502</v>
      </c>
      <c r="H14" s="346" t="s">
        <v>59</v>
      </c>
      <c r="I14" s="346"/>
      <c r="J14" s="348">
        <v>5016</v>
      </c>
      <c r="K14" s="92">
        <f>VLOOKUP(H14,名称!A:C,2,0)</f>
        <v>5</v>
      </c>
      <c r="L14" s="32">
        <f t="shared" si="1"/>
        <v>25080</v>
      </c>
      <c r="M14" s="346">
        <f>VLOOKUP(H14,名称!A:E,3,0)</f>
        <v>24</v>
      </c>
      <c r="N14" s="348">
        <f t="shared" si="2"/>
        <v>209</v>
      </c>
      <c r="O14" s="527">
        <v>46175</v>
      </c>
      <c r="P14" s="527">
        <v>46220</v>
      </c>
      <c r="Q14" s="536">
        <v>46219</v>
      </c>
      <c r="R14" s="404" t="s">
        <v>1241</v>
      </c>
      <c r="S14" s="536">
        <v>46225</v>
      </c>
      <c r="T14" s="415" t="s">
        <v>1241</v>
      </c>
      <c r="U14" s="346"/>
      <c r="V14" s="404" t="s">
        <v>1278</v>
      </c>
      <c r="W14" s="348" t="str">
        <f>IFERROR(VLOOKUP(H14,名称!A:F,6,0),"")</f>
        <v>湖南</v>
      </c>
      <c r="X14" s="568" t="s">
        <v>1133</v>
      </c>
      <c r="Y14" s="568" t="s">
        <v>1133</v>
      </c>
      <c r="Z14" s="569">
        <v>46077</v>
      </c>
      <c r="AA14" s="570">
        <v>46079</v>
      </c>
      <c r="AB14" s="570">
        <v>46079</v>
      </c>
      <c r="AC14" s="568" t="s">
        <v>1133</v>
      </c>
      <c r="AD14" s="568" t="s">
        <v>1133</v>
      </c>
      <c r="AE14" s="346" t="s">
        <v>270</v>
      </c>
      <c r="AF14" s="568" t="s">
        <v>1228</v>
      </c>
      <c r="AG14" s="568" t="s">
        <v>270</v>
      </c>
      <c r="AH14" s="568" t="s">
        <v>1133</v>
      </c>
      <c r="AI14" s="568" t="s">
        <v>1228</v>
      </c>
      <c r="AJ14" s="568" t="s">
        <v>1133</v>
      </c>
      <c r="AK14" s="346" t="s">
        <v>270</v>
      </c>
      <c r="AL14" s="568"/>
      <c r="AM14" s="568" t="s">
        <v>1289</v>
      </c>
      <c r="AN14" s="348"/>
      <c r="AO14" s="531">
        <v>0.61</v>
      </c>
      <c r="AP14" s="532">
        <f t="shared" si="3"/>
        <v>3059.76</v>
      </c>
      <c r="AQ14" s="532">
        <f t="shared" si="4"/>
        <v>23713.14</v>
      </c>
      <c r="AR14" s="533"/>
      <c r="AS14" s="527"/>
      <c r="AT14" s="527" t="s">
        <v>1220</v>
      </c>
      <c r="AU14" s="534">
        <f>4992+24</f>
        <v>5016</v>
      </c>
      <c r="AV14" s="535">
        <f t="shared" si="5"/>
        <v>0</v>
      </c>
      <c r="AW14" s="535"/>
      <c r="AX14" s="527" t="s">
        <v>1280</v>
      </c>
      <c r="AY14" s="527"/>
      <c r="AZ14" s="413" t="s">
        <v>1256</v>
      </c>
      <c r="BA14" s="527"/>
      <c r="BB14" s="527" t="str">
        <f t="shared" si="6"/>
        <v>Jazwares, LLC</v>
      </c>
      <c r="BC14" s="527" t="str">
        <f t="shared" si="7"/>
        <v>美国</v>
      </c>
    </row>
    <row r="15" s="496" customFormat="1" customHeight="1" spans="1:55">
      <c r="A15" s="527">
        <v>46059</v>
      </c>
      <c r="B15" s="527" t="str">
        <f ca="1" t="shared" si="0"/>
        <v/>
      </c>
      <c r="C15" s="346" t="str">
        <f>VLOOKUP(H15,名称!A:E,4,0)</f>
        <v>三代</v>
      </c>
      <c r="D15" s="528" t="s">
        <v>1281</v>
      </c>
      <c r="E15" s="528" t="s">
        <v>1224</v>
      </c>
      <c r="F15" s="346" t="s">
        <v>505</v>
      </c>
      <c r="G15" s="346" t="s">
        <v>506</v>
      </c>
      <c r="H15" s="346" t="s">
        <v>60</v>
      </c>
      <c r="I15" s="346"/>
      <c r="J15" s="348">
        <v>5004</v>
      </c>
      <c r="K15" s="92">
        <f>VLOOKUP(H15,名称!A:C,2,0)</f>
        <v>5</v>
      </c>
      <c r="L15" s="32">
        <f t="shared" si="1"/>
        <v>25020</v>
      </c>
      <c r="M15" s="346">
        <f>VLOOKUP(H15,名称!A:E,3,0)</f>
        <v>12</v>
      </c>
      <c r="N15" s="348">
        <f t="shared" si="2"/>
        <v>417</v>
      </c>
      <c r="O15" s="527">
        <v>46142</v>
      </c>
      <c r="P15" s="527">
        <v>46174</v>
      </c>
      <c r="Q15" s="536">
        <v>46174</v>
      </c>
      <c r="R15" s="346" t="s">
        <v>1241</v>
      </c>
      <c r="S15" s="536">
        <v>46188</v>
      </c>
      <c r="T15" s="415" t="s">
        <v>1241</v>
      </c>
      <c r="U15" s="346"/>
      <c r="V15" s="404" t="s">
        <v>1278</v>
      </c>
      <c r="W15" s="348" t="str">
        <f>IFERROR(VLOOKUP(H15,名称!A:F,6,0),"")</f>
        <v>湖南</v>
      </c>
      <c r="X15" s="346" t="s">
        <v>1133</v>
      </c>
      <c r="Y15" s="346" t="s">
        <v>1133</v>
      </c>
      <c r="Z15" s="568" t="s">
        <v>1249</v>
      </c>
      <c r="AA15" s="570">
        <v>46079</v>
      </c>
      <c r="AB15" s="569">
        <v>46080</v>
      </c>
      <c r="AC15" s="346" t="s">
        <v>1133</v>
      </c>
      <c r="AD15" s="346" t="s">
        <v>1133</v>
      </c>
      <c r="AE15" s="346" t="s">
        <v>270</v>
      </c>
      <c r="AF15" s="346" t="s">
        <v>1228</v>
      </c>
      <c r="AG15" s="346" t="s">
        <v>270</v>
      </c>
      <c r="AH15" s="346" t="s">
        <v>1133</v>
      </c>
      <c r="AI15" s="346" t="s">
        <v>1228</v>
      </c>
      <c r="AJ15" s="346" t="s">
        <v>1133</v>
      </c>
      <c r="AK15" s="346" t="s">
        <v>270</v>
      </c>
      <c r="AL15" s="346"/>
      <c r="AM15" s="568" t="s">
        <v>1296</v>
      </c>
      <c r="AN15" s="348"/>
      <c r="AO15" s="531">
        <v>0.61</v>
      </c>
      <c r="AP15" s="532">
        <f t="shared" si="3"/>
        <v>3052.44</v>
      </c>
      <c r="AQ15" s="532">
        <f t="shared" si="4"/>
        <v>23656.41</v>
      </c>
      <c r="AR15" s="533"/>
      <c r="AS15" s="527"/>
      <c r="AT15" s="527" t="s">
        <v>1220</v>
      </c>
      <c r="AU15" s="534">
        <v>5004</v>
      </c>
      <c r="AV15" s="535">
        <f t="shared" si="5"/>
        <v>0</v>
      </c>
      <c r="AW15" s="535"/>
      <c r="AX15" s="527" t="s">
        <v>1280</v>
      </c>
      <c r="AY15" s="527"/>
      <c r="AZ15" s="413" t="s">
        <v>1256</v>
      </c>
      <c r="BA15" s="527"/>
      <c r="BB15" s="527" t="str">
        <f t="shared" si="6"/>
        <v>Jazwares, LLC</v>
      </c>
      <c r="BC15" s="527" t="str">
        <f t="shared" si="7"/>
        <v>美国</v>
      </c>
    </row>
    <row r="16" s="495" customFormat="1" customHeight="1" spans="1:55">
      <c r="A16" s="538">
        <v>46077</v>
      </c>
      <c r="B16" s="538" t="str">
        <f ca="1" t="shared" si="0"/>
        <v>异常</v>
      </c>
      <c r="C16" s="539" t="str">
        <f>VLOOKUP(H16,名称!A:E,4,0)</f>
        <v>三代</v>
      </c>
      <c r="D16" s="540" t="s">
        <v>1297</v>
      </c>
      <c r="E16" s="540" t="s">
        <v>1224</v>
      </c>
      <c r="F16" s="539" t="s">
        <v>515</v>
      </c>
      <c r="G16" s="539" t="s">
        <v>516</v>
      </c>
      <c r="H16" s="572" t="s">
        <v>59</v>
      </c>
      <c r="I16" s="118"/>
      <c r="J16" s="573">
        <f>24720+2484-4908-4872-600-600-1008-2004-2412-3012-3012-1008-1008-564-12-1992+1992+12-12</f>
        <v>2184</v>
      </c>
      <c r="K16" s="92">
        <f>VLOOKUP(H16,名称!A:C,2,0)</f>
        <v>5</v>
      </c>
      <c r="L16" s="32">
        <f t="shared" si="1"/>
        <v>10920</v>
      </c>
      <c r="M16" s="574">
        <f>VLOOKUP(H16,名称!A:E,3,0)</f>
        <v>24</v>
      </c>
      <c r="N16" s="518">
        <f t="shared" si="2"/>
        <v>91</v>
      </c>
      <c r="O16" s="565">
        <v>46308</v>
      </c>
      <c r="P16" s="565">
        <v>46308</v>
      </c>
      <c r="Q16" s="566">
        <v>46308</v>
      </c>
      <c r="R16" s="539"/>
      <c r="S16" s="566">
        <v>46308</v>
      </c>
      <c r="T16" s="541"/>
      <c r="U16" s="539"/>
      <c r="V16" s="462" t="s">
        <v>1298</v>
      </c>
      <c r="W16" s="518" t="str">
        <f>IFERROR(VLOOKUP(H16,名称!A:F,6,0),"")</f>
        <v>湖南</v>
      </c>
      <c r="X16" s="541" t="s">
        <v>1133</v>
      </c>
      <c r="Y16" s="541" t="s">
        <v>1133</v>
      </c>
      <c r="Z16" s="541" t="s">
        <v>1233</v>
      </c>
      <c r="AA16" s="552"/>
      <c r="AB16" s="567"/>
      <c r="AC16" s="541" t="s">
        <v>1133</v>
      </c>
      <c r="AD16" s="541" t="s">
        <v>1133</v>
      </c>
      <c r="AE16" s="572" t="s">
        <v>270</v>
      </c>
      <c r="AF16" s="541" t="s">
        <v>1228</v>
      </c>
      <c r="AG16" s="422" t="s">
        <v>270</v>
      </c>
      <c r="AH16" s="541" t="s">
        <v>1133</v>
      </c>
      <c r="AI16" s="541" t="s">
        <v>1228</v>
      </c>
      <c r="AJ16" s="541" t="s">
        <v>1133</v>
      </c>
      <c r="AK16" s="422" t="s">
        <v>270</v>
      </c>
      <c r="AL16" s="541"/>
      <c r="AM16" s="541"/>
      <c r="AN16" s="518"/>
      <c r="AO16" s="544">
        <v>0.63</v>
      </c>
      <c r="AP16" s="545">
        <f t="shared" si="3"/>
        <v>1375.92</v>
      </c>
      <c r="AQ16" s="545">
        <f t="shared" si="4"/>
        <v>10663.38</v>
      </c>
      <c r="AR16" s="575"/>
      <c r="AS16" s="576"/>
      <c r="AT16" s="577" t="s">
        <v>1220</v>
      </c>
      <c r="AU16" s="547"/>
      <c r="AV16" s="548">
        <f t="shared" si="5"/>
        <v>-2184</v>
      </c>
      <c r="AW16" s="548"/>
      <c r="AX16" s="538" t="s">
        <v>1280</v>
      </c>
      <c r="AY16" s="538" t="s">
        <v>1255</v>
      </c>
      <c r="AZ16" s="549" t="s">
        <v>1256</v>
      </c>
      <c r="BA16" s="538"/>
      <c r="BB16" s="538" t="str">
        <f t="shared" si="6"/>
        <v>Jazwares Canada</v>
      </c>
      <c r="BC16" s="538" t="str">
        <f t="shared" si="7"/>
        <v>美国</v>
      </c>
    </row>
    <row r="17" s="496" customFormat="1" customHeight="1" spans="1:55">
      <c r="A17" s="527">
        <v>46079</v>
      </c>
      <c r="B17" s="527" t="str">
        <f ca="1" t="shared" si="0"/>
        <v/>
      </c>
      <c r="C17" s="346" t="str">
        <f>VLOOKUP(H17,名称!A:E,4,0)</f>
        <v>三代</v>
      </c>
      <c r="D17" s="528" t="s">
        <v>1281</v>
      </c>
      <c r="E17" s="528" t="s">
        <v>1224</v>
      </c>
      <c r="F17" s="346" t="s">
        <v>520</v>
      </c>
      <c r="G17" s="346" t="s">
        <v>521</v>
      </c>
      <c r="H17" s="346" t="s">
        <v>83</v>
      </c>
      <c r="I17" s="346"/>
      <c r="J17" s="348">
        <f>3948-1836-720</f>
        <v>1392</v>
      </c>
      <c r="K17" s="92">
        <f>VLOOKUP(H17,名称!A:C,2,0)</f>
        <v>5</v>
      </c>
      <c r="L17" s="32">
        <f t="shared" si="1"/>
        <v>6960</v>
      </c>
      <c r="M17" s="346">
        <f>VLOOKUP(H17,名称!A:E,3,0)</f>
        <v>12</v>
      </c>
      <c r="N17" s="348">
        <f t="shared" si="2"/>
        <v>116</v>
      </c>
      <c r="O17" s="527">
        <v>46183</v>
      </c>
      <c r="P17" s="527">
        <v>46183</v>
      </c>
      <c r="Q17" s="536">
        <v>46188</v>
      </c>
      <c r="R17" s="404" t="s">
        <v>1241</v>
      </c>
      <c r="S17" s="536">
        <v>46191</v>
      </c>
      <c r="T17" s="415" t="s">
        <v>1241</v>
      </c>
      <c r="U17" s="346"/>
      <c r="V17" s="409">
        <v>46240</v>
      </c>
      <c r="W17" s="348" t="str">
        <f>IFERROR(VLOOKUP(H17,名称!A:F,6,0),"")</f>
        <v>湖南</v>
      </c>
      <c r="X17" s="346" t="s">
        <v>1133</v>
      </c>
      <c r="Y17" s="346" t="s">
        <v>1133</v>
      </c>
      <c r="Z17" s="569">
        <v>46090</v>
      </c>
      <c r="AA17" s="570">
        <v>46091</v>
      </c>
      <c r="AB17" s="569">
        <v>46091</v>
      </c>
      <c r="AC17" s="346" t="s">
        <v>1133</v>
      </c>
      <c r="AD17" s="346" t="s">
        <v>1133</v>
      </c>
      <c r="AE17" s="346" t="s">
        <v>270</v>
      </c>
      <c r="AF17" s="346" t="s">
        <v>1228</v>
      </c>
      <c r="AG17" s="346" t="s">
        <v>270</v>
      </c>
      <c r="AH17" s="346" t="s">
        <v>1133</v>
      </c>
      <c r="AI17" s="346" t="s">
        <v>1228</v>
      </c>
      <c r="AJ17" s="346" t="s">
        <v>1133</v>
      </c>
      <c r="AK17" s="346" t="s">
        <v>270</v>
      </c>
      <c r="AL17" s="346"/>
      <c r="AM17" s="568" t="s">
        <v>1289</v>
      </c>
      <c r="AN17" s="348"/>
      <c r="AO17" s="531">
        <v>0.83</v>
      </c>
      <c r="AP17" s="532">
        <f t="shared" si="3"/>
        <v>1155.36</v>
      </c>
      <c r="AQ17" s="532">
        <f t="shared" si="4"/>
        <v>8954.04</v>
      </c>
      <c r="AR17" s="533"/>
      <c r="AS17" s="527"/>
      <c r="AT17" s="527" t="s">
        <v>1220</v>
      </c>
      <c r="AU17" s="537">
        <f>3864+84</f>
        <v>3948</v>
      </c>
      <c r="AV17" s="535">
        <f t="shared" si="5"/>
        <v>2556</v>
      </c>
      <c r="AW17" s="535"/>
      <c r="AX17" s="527" t="s">
        <v>1280</v>
      </c>
      <c r="AY17" s="527"/>
      <c r="AZ17" s="413" t="s">
        <v>1256</v>
      </c>
      <c r="BA17" s="527"/>
      <c r="BB17" s="527" t="str">
        <f t="shared" si="6"/>
        <v>Jazwares, LLC</v>
      </c>
      <c r="BC17" s="527" t="str">
        <f t="shared" si="7"/>
        <v>美国</v>
      </c>
    </row>
    <row r="18" s="495" customFormat="1" customHeight="1" spans="1:55">
      <c r="A18" s="538">
        <v>46091</v>
      </c>
      <c r="B18" s="538" t="str">
        <f ca="1" t="shared" si="0"/>
        <v/>
      </c>
      <c r="C18" s="539" t="str">
        <f>VLOOKUP(H18,名称!A:E,4,0)</f>
        <v>三代</v>
      </c>
      <c r="D18" s="540" t="s">
        <v>1276</v>
      </c>
      <c r="E18" s="540" t="s">
        <v>1224</v>
      </c>
      <c r="F18" s="539" t="s">
        <v>543</v>
      </c>
      <c r="G18" s="539" t="s">
        <v>544</v>
      </c>
      <c r="H18" s="539" t="s">
        <v>68</v>
      </c>
      <c r="I18" s="118"/>
      <c r="J18" s="518">
        <v>30400</v>
      </c>
      <c r="K18" s="92">
        <f>VLOOKUP(H18,名称!A:C,2,0)</f>
        <v>32</v>
      </c>
      <c r="L18" s="32">
        <f t="shared" si="1"/>
        <v>972800</v>
      </c>
      <c r="M18" s="539">
        <f>VLOOKUP(H18,名称!A:E,3,0)</f>
        <v>4</v>
      </c>
      <c r="N18" s="518">
        <f t="shared" si="2"/>
        <v>7600</v>
      </c>
      <c r="O18" s="538">
        <v>46266</v>
      </c>
      <c r="P18" s="538">
        <v>46266</v>
      </c>
      <c r="Q18" s="566">
        <v>46272</v>
      </c>
      <c r="R18" s="539"/>
      <c r="S18" s="566">
        <v>46275</v>
      </c>
      <c r="T18" s="541"/>
      <c r="U18" s="572" t="s">
        <v>1299</v>
      </c>
      <c r="V18" s="539"/>
      <c r="W18" s="518" t="str">
        <f>IFERROR(VLOOKUP(H18,名称!A:F,6,0),"")</f>
        <v>湖南</v>
      </c>
      <c r="X18" s="541" t="s">
        <v>1133</v>
      </c>
      <c r="Y18" s="541" t="s">
        <v>1133</v>
      </c>
      <c r="Z18" s="567">
        <v>46240</v>
      </c>
      <c r="AA18" s="552">
        <v>46241</v>
      </c>
      <c r="AB18" s="567">
        <v>46244</v>
      </c>
      <c r="AC18" s="541" t="s">
        <v>1133</v>
      </c>
      <c r="AD18" s="541" t="s">
        <v>1133</v>
      </c>
      <c r="AE18" s="539" t="s">
        <v>270</v>
      </c>
      <c r="AF18" s="541" t="s">
        <v>1228</v>
      </c>
      <c r="AG18" s="541" t="s">
        <v>270</v>
      </c>
      <c r="AH18" s="541" t="s">
        <v>1285</v>
      </c>
      <c r="AI18" s="541" t="s">
        <v>1228</v>
      </c>
      <c r="AJ18" s="541" t="s">
        <v>1133</v>
      </c>
      <c r="AK18" s="539" t="s">
        <v>1133</v>
      </c>
      <c r="AL18" s="541"/>
      <c r="AM18" s="431" t="s">
        <v>1293</v>
      </c>
      <c r="AN18" s="518"/>
      <c r="AO18" s="544">
        <v>3.09</v>
      </c>
      <c r="AP18" s="545">
        <f t="shared" si="3"/>
        <v>93936</v>
      </c>
      <c r="AQ18" s="545">
        <f t="shared" si="4"/>
        <v>728004</v>
      </c>
      <c r="AR18" s="546"/>
      <c r="AS18" s="538"/>
      <c r="AT18" s="455" t="s">
        <v>1220</v>
      </c>
      <c r="AU18" s="547"/>
      <c r="AV18" s="548">
        <f t="shared" si="5"/>
        <v>-30400</v>
      </c>
      <c r="AW18" s="548"/>
      <c r="AX18" s="455" t="s">
        <v>1280</v>
      </c>
      <c r="AY18" s="538"/>
      <c r="AZ18" s="420" t="s">
        <v>1256</v>
      </c>
      <c r="BA18" s="538"/>
      <c r="BB18" s="538" t="str">
        <f t="shared" si="6"/>
        <v>Jazwares- TARGET US DOM</v>
      </c>
      <c r="BC18" s="538" t="str">
        <f t="shared" si="7"/>
        <v>美国</v>
      </c>
    </row>
    <row r="19" s="496" customFormat="1" customHeight="1" spans="1:55">
      <c r="A19" s="527">
        <v>46093</v>
      </c>
      <c r="B19" s="527" t="str">
        <f ca="1" t="shared" si="0"/>
        <v/>
      </c>
      <c r="C19" s="346" t="str">
        <f>VLOOKUP(H19,名称!A:E,4,0)</f>
        <v>三代</v>
      </c>
      <c r="D19" s="528" t="s">
        <v>1300</v>
      </c>
      <c r="E19" s="528" t="s">
        <v>1224</v>
      </c>
      <c r="F19" s="346" t="s">
        <v>561</v>
      </c>
      <c r="G19" s="346" t="s">
        <v>562</v>
      </c>
      <c r="H19" s="346" t="s">
        <v>107</v>
      </c>
      <c r="I19" s="346"/>
      <c r="J19" s="348">
        <f>1365+1140</f>
        <v>2505</v>
      </c>
      <c r="K19" s="347">
        <f>VLOOKUP(H19,名称!A:C,2,0)</f>
        <v>12</v>
      </c>
      <c r="L19" s="348">
        <f t="shared" si="1"/>
        <v>30060</v>
      </c>
      <c r="M19" s="346">
        <f>VLOOKUP(H19,名称!A:E,3,0)</f>
        <v>5</v>
      </c>
      <c r="N19" s="348">
        <f t="shared" si="2"/>
        <v>501</v>
      </c>
      <c r="O19" s="527">
        <v>46232</v>
      </c>
      <c r="P19" s="527">
        <v>46232</v>
      </c>
      <c r="Q19" s="536">
        <v>46232</v>
      </c>
      <c r="R19" s="404" t="s">
        <v>1277</v>
      </c>
      <c r="S19" s="415" t="s">
        <v>1301</v>
      </c>
      <c r="T19" s="415" t="s">
        <v>1241</v>
      </c>
      <c r="U19" s="568"/>
      <c r="V19" s="529">
        <v>46247</v>
      </c>
      <c r="W19" s="348" t="str">
        <f>IFERROR(VLOOKUP(H19,名称!A:F,6,0),"")</f>
        <v>湖南</v>
      </c>
      <c r="X19" s="568" t="s">
        <v>1133</v>
      </c>
      <c r="Y19" s="568" t="s">
        <v>1133</v>
      </c>
      <c r="Z19" s="569">
        <v>46113</v>
      </c>
      <c r="AA19" s="570">
        <v>46120</v>
      </c>
      <c r="AB19" s="570">
        <v>46121</v>
      </c>
      <c r="AC19" s="568" t="s">
        <v>1302</v>
      </c>
      <c r="AD19" s="568" t="s">
        <v>1228</v>
      </c>
      <c r="AE19" s="346" t="s">
        <v>253</v>
      </c>
      <c r="AF19" s="568" t="s">
        <v>1228</v>
      </c>
      <c r="AG19" s="568" t="s">
        <v>253</v>
      </c>
      <c r="AH19" s="568" t="s">
        <v>253</v>
      </c>
      <c r="AI19" s="568" t="s">
        <v>1228</v>
      </c>
      <c r="AJ19" s="568" t="s">
        <v>253</v>
      </c>
      <c r="AK19" s="346" t="s">
        <v>1133</v>
      </c>
      <c r="AL19" s="568"/>
      <c r="AM19" s="568" t="s">
        <v>1303</v>
      </c>
      <c r="AN19" s="348" t="s">
        <v>1231</v>
      </c>
      <c r="AO19" s="531">
        <v>2.12</v>
      </c>
      <c r="AP19" s="532">
        <f t="shared" si="3"/>
        <v>5310.6</v>
      </c>
      <c r="AQ19" s="532">
        <f t="shared" si="4"/>
        <v>41157.15</v>
      </c>
      <c r="AR19" s="533"/>
      <c r="AS19" s="527"/>
      <c r="AT19" s="527" t="s">
        <v>1220</v>
      </c>
      <c r="AU19" s="534">
        <f>750+1755</f>
        <v>2505</v>
      </c>
      <c r="AV19" s="535">
        <f t="shared" si="5"/>
        <v>0</v>
      </c>
      <c r="AW19" s="535"/>
      <c r="AX19" s="536" t="s">
        <v>1280</v>
      </c>
      <c r="AY19" s="527"/>
      <c r="AZ19" s="413" t="s">
        <v>1256</v>
      </c>
      <c r="BA19" s="527"/>
      <c r="BB19" s="527" t="str">
        <f t="shared" si="6"/>
        <v>JAZWARES - WALMART CANADA (IMPORT)</v>
      </c>
      <c r="BC19" s="527" t="str">
        <f t="shared" si="7"/>
        <v>美国</v>
      </c>
    </row>
    <row r="20" s="496" customFormat="1" customHeight="1" spans="1:55">
      <c r="A20" s="527">
        <v>46093</v>
      </c>
      <c r="B20" s="527" t="str">
        <f ca="1" t="shared" si="0"/>
        <v/>
      </c>
      <c r="C20" s="346" t="str">
        <f>VLOOKUP(H20,名称!A:E,4,0)</f>
        <v>三代</v>
      </c>
      <c r="D20" s="528" t="s">
        <v>1300</v>
      </c>
      <c r="E20" s="528" t="s">
        <v>1224</v>
      </c>
      <c r="F20" s="346" t="s">
        <v>561</v>
      </c>
      <c r="G20" s="346" t="s">
        <v>562</v>
      </c>
      <c r="H20" s="346" t="s">
        <v>107</v>
      </c>
      <c r="I20" s="346"/>
      <c r="J20" s="348">
        <v>995</v>
      </c>
      <c r="K20" s="347">
        <f>VLOOKUP(H20,名称!A:C,2,0)</f>
        <v>12</v>
      </c>
      <c r="L20" s="348">
        <f t="shared" si="1"/>
        <v>11940</v>
      </c>
      <c r="M20" s="346">
        <f>VLOOKUP(H20,名称!A:E,3,0)</f>
        <v>5</v>
      </c>
      <c r="N20" s="348">
        <f t="shared" si="2"/>
        <v>199</v>
      </c>
      <c r="O20" s="527">
        <v>46232</v>
      </c>
      <c r="P20" s="527">
        <v>46232</v>
      </c>
      <c r="Q20" s="536">
        <v>46232</v>
      </c>
      <c r="R20" s="415" t="s">
        <v>1277</v>
      </c>
      <c r="S20" s="415" t="s">
        <v>1301</v>
      </c>
      <c r="T20" s="415" t="s">
        <v>1241</v>
      </c>
      <c r="U20" s="568"/>
      <c r="V20" s="569">
        <v>46247</v>
      </c>
      <c r="W20" s="348" t="str">
        <f>IFERROR(VLOOKUP(H20,名称!A:F,6,0),"")</f>
        <v>湖南</v>
      </c>
      <c r="X20" s="568" t="s">
        <v>1133</v>
      </c>
      <c r="Y20" s="568" t="s">
        <v>1133</v>
      </c>
      <c r="Z20" s="569">
        <v>46113</v>
      </c>
      <c r="AA20" s="570">
        <v>46120</v>
      </c>
      <c r="AB20" s="570">
        <v>46121</v>
      </c>
      <c r="AC20" s="568" t="s">
        <v>1302</v>
      </c>
      <c r="AD20" s="568" t="s">
        <v>1228</v>
      </c>
      <c r="AE20" s="346" t="s">
        <v>253</v>
      </c>
      <c r="AF20" s="568" t="s">
        <v>1228</v>
      </c>
      <c r="AG20" s="568" t="s">
        <v>253</v>
      </c>
      <c r="AH20" s="568" t="s">
        <v>253</v>
      </c>
      <c r="AI20" s="568" t="s">
        <v>1228</v>
      </c>
      <c r="AJ20" s="568" t="s">
        <v>253</v>
      </c>
      <c r="AK20" s="346" t="s">
        <v>1133</v>
      </c>
      <c r="AL20" s="568"/>
      <c r="AM20" s="568" t="s">
        <v>1303</v>
      </c>
      <c r="AN20" s="348" t="s">
        <v>1231</v>
      </c>
      <c r="AO20" s="531">
        <v>2.12</v>
      </c>
      <c r="AP20" s="532">
        <f t="shared" si="3"/>
        <v>2109.4</v>
      </c>
      <c r="AQ20" s="532">
        <f t="shared" si="4"/>
        <v>16347.85</v>
      </c>
      <c r="AR20" s="533"/>
      <c r="AS20" s="527"/>
      <c r="AT20" s="527" t="s">
        <v>1220</v>
      </c>
      <c r="AU20" s="534">
        <v>995</v>
      </c>
      <c r="AV20" s="535">
        <f t="shared" si="5"/>
        <v>0</v>
      </c>
      <c r="AW20" s="535"/>
      <c r="AX20" s="536" t="s">
        <v>1280</v>
      </c>
      <c r="AY20" s="527"/>
      <c r="AZ20" s="413" t="s">
        <v>1256</v>
      </c>
      <c r="BA20" s="527"/>
      <c r="BB20" s="527" t="str">
        <f t="shared" si="6"/>
        <v>JAZWARES - WALMART CANADA (IMPORT)</v>
      </c>
      <c r="BC20" s="527" t="str">
        <f t="shared" si="7"/>
        <v>美国</v>
      </c>
    </row>
    <row r="21" s="497" customFormat="1" customHeight="1" spans="1:55">
      <c r="A21" s="553">
        <v>46093</v>
      </c>
      <c r="B21" s="553" t="str">
        <f ca="1" t="shared" si="0"/>
        <v/>
      </c>
      <c r="C21" s="554" t="str">
        <f>VLOOKUP(H21,名称!A:E,4,0)</f>
        <v>三代</v>
      </c>
      <c r="D21" s="555" t="s">
        <v>1297</v>
      </c>
      <c r="E21" s="555" t="s">
        <v>1224</v>
      </c>
      <c r="F21" s="554" t="s">
        <v>650</v>
      </c>
      <c r="G21" s="554" t="s">
        <v>563</v>
      </c>
      <c r="H21" s="554" t="s">
        <v>107</v>
      </c>
      <c r="I21" s="554"/>
      <c r="J21" s="556">
        <v>1710</v>
      </c>
      <c r="K21" s="92">
        <f>VLOOKUP(H21,名称!A:C,2,0)</f>
        <v>12</v>
      </c>
      <c r="L21" s="32">
        <f t="shared" si="1"/>
        <v>20520</v>
      </c>
      <c r="M21" s="554">
        <f>VLOOKUP(H21,名称!A:E,3,0)</f>
        <v>5</v>
      </c>
      <c r="N21" s="556">
        <f t="shared" si="2"/>
        <v>342</v>
      </c>
      <c r="O21" s="553">
        <v>46246</v>
      </c>
      <c r="P21" s="553">
        <v>46246</v>
      </c>
      <c r="Q21" s="578">
        <v>46245</v>
      </c>
      <c r="R21" s="435" t="s">
        <v>1304</v>
      </c>
      <c r="S21" s="579" t="s">
        <v>1305</v>
      </c>
      <c r="T21" s="444" t="s">
        <v>1291</v>
      </c>
      <c r="U21" s="557"/>
      <c r="V21" s="557"/>
      <c r="W21" s="556" t="str">
        <f>IFERROR(VLOOKUP(H21,名称!A:F,6,0),"")</f>
        <v>湖南</v>
      </c>
      <c r="X21" s="557" t="s">
        <v>1133</v>
      </c>
      <c r="Y21" s="557" t="s">
        <v>1133</v>
      </c>
      <c r="Z21" s="580">
        <v>46113</v>
      </c>
      <c r="AA21" s="581">
        <v>46120</v>
      </c>
      <c r="AB21" s="581">
        <v>46121</v>
      </c>
      <c r="AC21" s="557" t="s">
        <v>1302</v>
      </c>
      <c r="AD21" s="541" t="s">
        <v>1228</v>
      </c>
      <c r="AE21" s="554" t="s">
        <v>253</v>
      </c>
      <c r="AF21" s="541" t="s">
        <v>1228</v>
      </c>
      <c r="AG21" s="557" t="s">
        <v>253</v>
      </c>
      <c r="AH21" s="541" t="s">
        <v>253</v>
      </c>
      <c r="AI21" s="541" t="s">
        <v>1228</v>
      </c>
      <c r="AJ21" s="541" t="s">
        <v>253</v>
      </c>
      <c r="AK21" s="554" t="s">
        <v>1133</v>
      </c>
      <c r="AL21" s="557"/>
      <c r="AM21" s="557" t="s">
        <v>1303</v>
      </c>
      <c r="AN21" s="556" t="s">
        <v>1231</v>
      </c>
      <c r="AO21" s="560">
        <v>2.12</v>
      </c>
      <c r="AP21" s="561">
        <f t="shared" si="3"/>
        <v>3625.2</v>
      </c>
      <c r="AQ21" s="561">
        <f t="shared" si="4"/>
        <v>28095.3</v>
      </c>
      <c r="AR21" s="562"/>
      <c r="AS21" s="553"/>
      <c r="AT21" s="553" t="s">
        <v>1220</v>
      </c>
      <c r="AU21" s="582">
        <v>1710</v>
      </c>
      <c r="AV21" s="564">
        <f t="shared" si="5"/>
        <v>0</v>
      </c>
      <c r="AW21" s="564"/>
      <c r="AX21" s="578" t="s">
        <v>1280</v>
      </c>
      <c r="AY21" s="553"/>
      <c r="AZ21" s="440" t="s">
        <v>1256</v>
      </c>
      <c r="BA21" s="553"/>
      <c r="BB21" s="553" t="str">
        <f t="shared" si="6"/>
        <v>Jazwares Canada</v>
      </c>
      <c r="BC21" s="553" t="str">
        <f t="shared" si="7"/>
        <v>美国</v>
      </c>
    </row>
    <row r="22" s="495" customFormat="1" customHeight="1" spans="1:55">
      <c r="A22" s="538">
        <v>46093</v>
      </c>
      <c r="B22" s="538" t="str">
        <f ca="1" t="shared" si="0"/>
        <v/>
      </c>
      <c r="C22" s="539" t="str">
        <f>VLOOKUP(H22,名称!A:E,4,0)</f>
        <v>三代</v>
      </c>
      <c r="D22" s="540" t="s">
        <v>1297</v>
      </c>
      <c r="E22" s="540" t="s">
        <v>1224</v>
      </c>
      <c r="F22" s="539" t="s">
        <v>651</v>
      </c>
      <c r="G22" s="539" t="s">
        <v>564</v>
      </c>
      <c r="H22" s="539" t="s">
        <v>107</v>
      </c>
      <c r="I22" s="118"/>
      <c r="J22" s="518">
        <v>1710</v>
      </c>
      <c r="K22" s="92">
        <f>VLOOKUP(H22,名称!A:C,2,0)</f>
        <v>12</v>
      </c>
      <c r="L22" s="32">
        <f t="shared" si="1"/>
        <v>20520</v>
      </c>
      <c r="M22" s="539">
        <f>VLOOKUP(H22,名称!A:E,3,0)</f>
        <v>5</v>
      </c>
      <c r="N22" s="518">
        <f t="shared" si="2"/>
        <v>342</v>
      </c>
      <c r="O22" s="538">
        <v>46260</v>
      </c>
      <c r="P22" s="538">
        <v>46260</v>
      </c>
      <c r="Q22" s="549">
        <v>46259</v>
      </c>
      <c r="R22" s="539"/>
      <c r="S22" s="549">
        <v>46260</v>
      </c>
      <c r="T22" s="541"/>
      <c r="U22" s="541"/>
      <c r="V22" s="541"/>
      <c r="W22" s="518" t="str">
        <f>IFERROR(VLOOKUP(H22,名称!A:F,6,0),"")</f>
        <v>湖南</v>
      </c>
      <c r="X22" s="541" t="s">
        <v>1133</v>
      </c>
      <c r="Y22" s="541" t="s">
        <v>1133</v>
      </c>
      <c r="Z22" s="567">
        <v>46113</v>
      </c>
      <c r="AA22" s="552">
        <v>46120</v>
      </c>
      <c r="AB22" s="552">
        <v>46121</v>
      </c>
      <c r="AC22" s="541" t="s">
        <v>1302</v>
      </c>
      <c r="AD22" s="541" t="s">
        <v>1228</v>
      </c>
      <c r="AE22" s="539" t="s">
        <v>253</v>
      </c>
      <c r="AF22" s="541" t="s">
        <v>1228</v>
      </c>
      <c r="AG22" s="541" t="s">
        <v>253</v>
      </c>
      <c r="AH22" s="541" t="s">
        <v>253</v>
      </c>
      <c r="AI22" s="541" t="s">
        <v>1228</v>
      </c>
      <c r="AJ22" s="541" t="s">
        <v>253</v>
      </c>
      <c r="AK22" s="539" t="s">
        <v>1133</v>
      </c>
      <c r="AL22" s="541"/>
      <c r="AM22" s="541" t="s">
        <v>1303</v>
      </c>
      <c r="AN22" s="518" t="s">
        <v>1231</v>
      </c>
      <c r="AO22" s="544">
        <v>2.12</v>
      </c>
      <c r="AP22" s="545">
        <f t="shared" si="3"/>
        <v>3625.2</v>
      </c>
      <c r="AQ22" s="545">
        <f t="shared" si="4"/>
        <v>28095.3</v>
      </c>
      <c r="AR22" s="546"/>
      <c r="AS22" s="538"/>
      <c r="AT22" s="538" t="s">
        <v>1220</v>
      </c>
      <c r="AU22" s="547">
        <v>1710</v>
      </c>
      <c r="AV22" s="548">
        <f t="shared" si="5"/>
        <v>0</v>
      </c>
      <c r="AW22" s="548"/>
      <c r="AX22" s="549" t="s">
        <v>1280</v>
      </c>
      <c r="AY22" s="538"/>
      <c r="AZ22" s="420" t="s">
        <v>1256</v>
      </c>
      <c r="BA22" s="538"/>
      <c r="BB22" s="538" t="str">
        <f t="shared" si="6"/>
        <v>Jazwares Canada</v>
      </c>
      <c r="BC22" s="538" t="str">
        <f t="shared" si="7"/>
        <v>美国</v>
      </c>
    </row>
    <row r="23" s="495" customFormat="1" customHeight="1" spans="1:55">
      <c r="A23" s="538">
        <v>46093</v>
      </c>
      <c r="B23" s="538" t="str">
        <f ca="1" t="shared" si="0"/>
        <v/>
      </c>
      <c r="C23" s="539" t="str">
        <f>VLOOKUP(H23,名称!A:E,4,0)</f>
        <v>三代</v>
      </c>
      <c r="D23" s="540" t="s">
        <v>1297</v>
      </c>
      <c r="E23" s="540" t="s">
        <v>1224</v>
      </c>
      <c r="F23" s="539" t="s">
        <v>652</v>
      </c>
      <c r="G23" s="539" t="s">
        <v>565</v>
      </c>
      <c r="H23" s="539" t="s">
        <v>107</v>
      </c>
      <c r="I23" s="118"/>
      <c r="J23" s="518">
        <v>570</v>
      </c>
      <c r="K23" s="92">
        <f>VLOOKUP(H23,名称!A:C,2,0)</f>
        <v>12</v>
      </c>
      <c r="L23" s="32">
        <f t="shared" si="1"/>
        <v>6840</v>
      </c>
      <c r="M23" s="539">
        <f>VLOOKUP(H23,名称!A:E,3,0)</f>
        <v>5</v>
      </c>
      <c r="N23" s="518">
        <f t="shared" si="2"/>
        <v>114</v>
      </c>
      <c r="O23" s="538">
        <v>46274</v>
      </c>
      <c r="P23" s="455">
        <v>46274</v>
      </c>
      <c r="Q23" s="420">
        <v>46274</v>
      </c>
      <c r="R23" s="539"/>
      <c r="S23" s="420">
        <v>46275</v>
      </c>
      <c r="T23" s="541"/>
      <c r="U23" s="541"/>
      <c r="V23" s="541"/>
      <c r="W23" s="518" t="str">
        <f>IFERROR(VLOOKUP(H23,名称!A:F,6,0),"")</f>
        <v>湖南</v>
      </c>
      <c r="X23" s="541" t="s">
        <v>1133</v>
      </c>
      <c r="Y23" s="541" t="s">
        <v>1133</v>
      </c>
      <c r="Z23" s="567">
        <v>46113</v>
      </c>
      <c r="AA23" s="552">
        <v>46120</v>
      </c>
      <c r="AB23" s="552">
        <v>46121</v>
      </c>
      <c r="AC23" s="541" t="s">
        <v>1302</v>
      </c>
      <c r="AD23" s="541" t="s">
        <v>1228</v>
      </c>
      <c r="AE23" s="539" t="s">
        <v>253</v>
      </c>
      <c r="AF23" s="541" t="s">
        <v>1228</v>
      </c>
      <c r="AG23" s="541" t="s">
        <v>253</v>
      </c>
      <c r="AH23" s="541" t="s">
        <v>253</v>
      </c>
      <c r="AI23" s="541" t="s">
        <v>1228</v>
      </c>
      <c r="AJ23" s="541" t="s">
        <v>253</v>
      </c>
      <c r="AK23" s="541" t="s">
        <v>1133</v>
      </c>
      <c r="AL23" s="541"/>
      <c r="AM23" s="541" t="s">
        <v>1303</v>
      </c>
      <c r="AN23" s="518" t="s">
        <v>1231</v>
      </c>
      <c r="AO23" s="544">
        <v>2.12</v>
      </c>
      <c r="AP23" s="545">
        <f t="shared" si="3"/>
        <v>1208.4</v>
      </c>
      <c r="AQ23" s="545">
        <f t="shared" si="4"/>
        <v>9365.1</v>
      </c>
      <c r="AR23" s="546"/>
      <c r="AS23" s="538"/>
      <c r="AT23" s="538" t="s">
        <v>1220</v>
      </c>
      <c r="AU23" s="547"/>
      <c r="AV23" s="548">
        <f t="shared" si="5"/>
        <v>-570</v>
      </c>
      <c r="AW23" s="548"/>
      <c r="AX23" s="549" t="s">
        <v>1280</v>
      </c>
      <c r="AY23" s="538"/>
      <c r="AZ23" s="420" t="s">
        <v>1256</v>
      </c>
      <c r="BA23" s="538"/>
      <c r="BB23" s="538" t="str">
        <f t="shared" si="6"/>
        <v>Jazwares Canada</v>
      </c>
      <c r="BC23" s="538" t="str">
        <f t="shared" si="7"/>
        <v>美国</v>
      </c>
    </row>
    <row r="24" s="495" customFormat="1" customHeight="1" spans="1:55">
      <c r="A24" s="538">
        <v>46093</v>
      </c>
      <c r="B24" s="538" t="str">
        <f ca="1" t="shared" si="0"/>
        <v/>
      </c>
      <c r="C24" s="539" t="str">
        <f>VLOOKUP(H24,名称!A:E,4,0)</f>
        <v>三代</v>
      </c>
      <c r="D24" s="540" t="s">
        <v>1297</v>
      </c>
      <c r="E24" s="540" t="s">
        <v>1224</v>
      </c>
      <c r="F24" s="539" t="s">
        <v>653</v>
      </c>
      <c r="G24" s="539" t="s">
        <v>566</v>
      </c>
      <c r="H24" s="539" t="s">
        <v>107</v>
      </c>
      <c r="I24" s="118"/>
      <c r="J24" s="518">
        <v>570</v>
      </c>
      <c r="K24" s="92">
        <f>VLOOKUP(H24,名称!A:C,2,0)</f>
        <v>12</v>
      </c>
      <c r="L24" s="32">
        <f t="shared" si="1"/>
        <v>6840</v>
      </c>
      <c r="M24" s="539">
        <f>VLOOKUP(H24,名称!A:E,3,0)</f>
        <v>5</v>
      </c>
      <c r="N24" s="518">
        <f t="shared" si="2"/>
        <v>114</v>
      </c>
      <c r="O24" s="538">
        <v>46288</v>
      </c>
      <c r="P24" s="420">
        <v>46288</v>
      </c>
      <c r="Q24" s="420">
        <v>46288</v>
      </c>
      <c r="R24" s="539"/>
      <c r="S24" s="420">
        <v>46289</v>
      </c>
      <c r="T24" s="541"/>
      <c r="U24" s="541"/>
      <c r="V24" s="541"/>
      <c r="W24" s="518" t="str">
        <f>IFERROR(VLOOKUP(H24,名称!A:F,6,0),"")</f>
        <v>湖南</v>
      </c>
      <c r="X24" s="541" t="s">
        <v>1133</v>
      </c>
      <c r="Y24" s="541" t="s">
        <v>1133</v>
      </c>
      <c r="Z24" s="567">
        <v>46113</v>
      </c>
      <c r="AA24" s="552">
        <v>46120</v>
      </c>
      <c r="AB24" s="552">
        <v>46121</v>
      </c>
      <c r="AC24" s="541" t="s">
        <v>1302</v>
      </c>
      <c r="AD24" s="541" t="s">
        <v>1228</v>
      </c>
      <c r="AE24" s="539" t="s">
        <v>253</v>
      </c>
      <c r="AF24" s="541" t="s">
        <v>1228</v>
      </c>
      <c r="AG24" s="541" t="s">
        <v>253</v>
      </c>
      <c r="AH24" s="541" t="s">
        <v>253</v>
      </c>
      <c r="AI24" s="541" t="s">
        <v>1228</v>
      </c>
      <c r="AJ24" s="541" t="s">
        <v>253</v>
      </c>
      <c r="AK24" s="541" t="s">
        <v>1133</v>
      </c>
      <c r="AL24" s="541"/>
      <c r="AM24" s="541" t="s">
        <v>1303</v>
      </c>
      <c r="AN24" s="518" t="s">
        <v>1231</v>
      </c>
      <c r="AO24" s="544">
        <v>2.12</v>
      </c>
      <c r="AP24" s="545">
        <f t="shared" si="3"/>
        <v>1208.4</v>
      </c>
      <c r="AQ24" s="545">
        <f t="shared" si="4"/>
        <v>9365.1</v>
      </c>
      <c r="AR24" s="546"/>
      <c r="AS24" s="538"/>
      <c r="AT24" s="538" t="s">
        <v>1220</v>
      </c>
      <c r="AU24" s="547"/>
      <c r="AV24" s="548">
        <f t="shared" si="5"/>
        <v>-570</v>
      </c>
      <c r="AW24" s="548"/>
      <c r="AX24" s="549" t="s">
        <v>1280</v>
      </c>
      <c r="AY24" s="538"/>
      <c r="AZ24" s="420" t="s">
        <v>1256</v>
      </c>
      <c r="BA24" s="538"/>
      <c r="BB24" s="538" t="str">
        <f t="shared" si="6"/>
        <v>Jazwares Canada</v>
      </c>
      <c r="BC24" s="538" t="str">
        <f t="shared" si="7"/>
        <v>美国</v>
      </c>
    </row>
    <row r="25" s="495" customFormat="1" customHeight="1" spans="1:55">
      <c r="A25" s="538">
        <v>46093</v>
      </c>
      <c r="B25" s="538" t="str">
        <f ca="1" t="shared" si="0"/>
        <v/>
      </c>
      <c r="C25" s="539" t="str">
        <f>VLOOKUP(H25,名称!A:E,4,0)</f>
        <v>三代</v>
      </c>
      <c r="D25" s="540" t="s">
        <v>1297</v>
      </c>
      <c r="E25" s="540" t="s">
        <v>1224</v>
      </c>
      <c r="F25" s="539" t="s">
        <v>654</v>
      </c>
      <c r="G25" s="539" t="s">
        <v>567</v>
      </c>
      <c r="H25" s="539" t="s">
        <v>107</v>
      </c>
      <c r="I25" s="118"/>
      <c r="J25" s="518">
        <v>345</v>
      </c>
      <c r="K25" s="92">
        <f>VLOOKUP(H25,名称!A:C,2,0)</f>
        <v>12</v>
      </c>
      <c r="L25" s="32">
        <f t="shared" si="1"/>
        <v>4140</v>
      </c>
      <c r="M25" s="539">
        <f>VLOOKUP(H25,名称!A:E,3,0)</f>
        <v>5</v>
      </c>
      <c r="N25" s="518">
        <f t="shared" si="2"/>
        <v>69</v>
      </c>
      <c r="O25" s="538">
        <v>46302</v>
      </c>
      <c r="P25" s="420">
        <v>46302</v>
      </c>
      <c r="Q25" s="420">
        <v>46302</v>
      </c>
      <c r="R25" s="539"/>
      <c r="S25" s="420">
        <v>46303</v>
      </c>
      <c r="T25" s="541"/>
      <c r="U25" s="541"/>
      <c r="V25" s="541"/>
      <c r="W25" s="518" t="str">
        <f>IFERROR(VLOOKUP(H25,名称!A:F,6,0),"")</f>
        <v>湖南</v>
      </c>
      <c r="X25" s="541" t="s">
        <v>1133</v>
      </c>
      <c r="Y25" s="541" t="s">
        <v>1133</v>
      </c>
      <c r="Z25" s="567">
        <v>46113</v>
      </c>
      <c r="AA25" s="552">
        <v>46120</v>
      </c>
      <c r="AB25" s="552">
        <v>46121</v>
      </c>
      <c r="AC25" s="541" t="s">
        <v>1302</v>
      </c>
      <c r="AD25" s="541" t="s">
        <v>1228</v>
      </c>
      <c r="AE25" s="539" t="s">
        <v>253</v>
      </c>
      <c r="AF25" s="541" t="s">
        <v>1228</v>
      </c>
      <c r="AG25" s="541" t="s">
        <v>253</v>
      </c>
      <c r="AH25" s="541" t="s">
        <v>253</v>
      </c>
      <c r="AI25" s="541" t="s">
        <v>1228</v>
      </c>
      <c r="AJ25" s="541" t="s">
        <v>253</v>
      </c>
      <c r="AK25" s="541" t="s">
        <v>1133</v>
      </c>
      <c r="AL25" s="541"/>
      <c r="AM25" s="541" t="s">
        <v>1303</v>
      </c>
      <c r="AN25" s="518" t="s">
        <v>1231</v>
      </c>
      <c r="AO25" s="544">
        <v>2.12</v>
      </c>
      <c r="AP25" s="545">
        <f t="shared" si="3"/>
        <v>731.4</v>
      </c>
      <c r="AQ25" s="545">
        <f t="shared" si="4"/>
        <v>5668.35</v>
      </c>
      <c r="AR25" s="546"/>
      <c r="AS25" s="538"/>
      <c r="AT25" s="538" t="s">
        <v>1220</v>
      </c>
      <c r="AU25" s="547"/>
      <c r="AV25" s="548">
        <f t="shared" si="5"/>
        <v>-345</v>
      </c>
      <c r="AW25" s="548"/>
      <c r="AX25" s="549" t="s">
        <v>1280</v>
      </c>
      <c r="AY25" s="538"/>
      <c r="AZ25" s="420" t="s">
        <v>1256</v>
      </c>
      <c r="BA25" s="538"/>
      <c r="BB25" s="538" t="str">
        <f t="shared" si="6"/>
        <v>Jazwares Canada</v>
      </c>
      <c r="BC25" s="538" t="str">
        <f t="shared" si="7"/>
        <v>美国</v>
      </c>
    </row>
    <row r="26" s="497" customFormat="1" customHeight="1" spans="1:55">
      <c r="A26" s="553">
        <v>46095</v>
      </c>
      <c r="B26" s="553" t="str">
        <f ca="1" t="shared" si="0"/>
        <v/>
      </c>
      <c r="C26" s="554" t="str">
        <f>VLOOKUP(H26,名称!A:E,4,0)</f>
        <v>三代</v>
      </c>
      <c r="D26" s="555" t="s">
        <v>1246</v>
      </c>
      <c r="E26" s="555" t="s">
        <v>1247</v>
      </c>
      <c r="F26" s="554"/>
      <c r="G26" s="554" t="s">
        <v>571</v>
      </c>
      <c r="H26" s="554" t="s">
        <v>119</v>
      </c>
      <c r="I26" s="554"/>
      <c r="J26" s="556">
        <v>3240</v>
      </c>
      <c r="K26" s="92">
        <f>VLOOKUP(H26,名称!A:C,2,0)</f>
        <v>5</v>
      </c>
      <c r="L26" s="32">
        <f t="shared" si="1"/>
        <v>16200</v>
      </c>
      <c r="M26" s="554">
        <f>VLOOKUP(H26,名称!A:E,3,0)</f>
        <v>24</v>
      </c>
      <c r="N26" s="556">
        <f t="shared" si="2"/>
        <v>135</v>
      </c>
      <c r="O26" s="553">
        <v>46248</v>
      </c>
      <c r="P26" s="578">
        <v>46178</v>
      </c>
      <c r="Q26" s="578">
        <v>46251</v>
      </c>
      <c r="R26" s="435" t="s">
        <v>1241</v>
      </c>
      <c r="S26" s="578" t="s">
        <v>1133</v>
      </c>
      <c r="T26" s="557"/>
      <c r="U26" s="557"/>
      <c r="V26" s="557"/>
      <c r="W26" s="556" t="str">
        <f>IFERROR(VLOOKUP(H26,名称!A:F,6,0),"")</f>
        <v>湖南</v>
      </c>
      <c r="X26" s="557" t="s">
        <v>1248</v>
      </c>
      <c r="Y26" s="557" t="s">
        <v>1228</v>
      </c>
      <c r="Z26" s="557" t="s">
        <v>1249</v>
      </c>
      <c r="AA26" s="581">
        <v>46109</v>
      </c>
      <c r="AB26" s="580">
        <v>46142</v>
      </c>
      <c r="AC26" s="557" t="s">
        <v>1133</v>
      </c>
      <c r="AD26" s="541" t="s">
        <v>1133</v>
      </c>
      <c r="AE26" s="554" t="s">
        <v>510</v>
      </c>
      <c r="AF26" s="541" t="s">
        <v>1228</v>
      </c>
      <c r="AG26" s="557" t="s">
        <v>510</v>
      </c>
      <c r="AH26" s="541" t="s">
        <v>1133</v>
      </c>
      <c r="AI26" s="541" t="s">
        <v>1228</v>
      </c>
      <c r="AJ26" s="541" t="s">
        <v>1133</v>
      </c>
      <c r="AK26" s="554" t="s">
        <v>510</v>
      </c>
      <c r="AL26" s="557"/>
      <c r="AM26" s="444" t="s">
        <v>1306</v>
      </c>
      <c r="AN26" s="556" t="s">
        <v>1251</v>
      </c>
      <c r="AO26" s="560">
        <v>0.63</v>
      </c>
      <c r="AP26" s="561">
        <f t="shared" si="3"/>
        <v>2041.2</v>
      </c>
      <c r="AQ26" s="561">
        <f t="shared" si="4"/>
        <v>15819.3</v>
      </c>
      <c r="AR26" s="562"/>
      <c r="AS26" s="553"/>
      <c r="AT26" s="553" t="s">
        <v>1220</v>
      </c>
      <c r="AU26" s="582">
        <f>3192</f>
        <v>3192</v>
      </c>
      <c r="AV26" s="564">
        <f t="shared" si="5"/>
        <v>-48</v>
      </c>
      <c r="AW26" s="564"/>
      <c r="AX26" s="578" t="s">
        <v>1280</v>
      </c>
      <c r="AY26" s="553"/>
      <c r="AZ26" s="440" t="s">
        <v>1256</v>
      </c>
      <c r="BA26" s="553"/>
      <c r="BB26" s="553" t="str">
        <f t="shared" si="6"/>
        <v>Nichi World Co., Ltd</v>
      </c>
      <c r="BC26" s="553" t="str">
        <f t="shared" si="7"/>
        <v>泰国</v>
      </c>
    </row>
    <row r="27" s="497" customFormat="1" customHeight="1" spans="1:55">
      <c r="A27" s="553">
        <v>46095</v>
      </c>
      <c r="B27" s="553" t="str">
        <f ca="1" t="shared" si="0"/>
        <v/>
      </c>
      <c r="C27" s="554" t="str">
        <f>VLOOKUP(H27,名称!A:E,4,0)</f>
        <v>三代</v>
      </c>
      <c r="D27" s="555" t="s">
        <v>1246</v>
      </c>
      <c r="E27" s="555" t="s">
        <v>1247</v>
      </c>
      <c r="F27" s="554"/>
      <c r="G27" s="554" t="s">
        <v>571</v>
      </c>
      <c r="H27" s="554" t="s">
        <v>125</v>
      </c>
      <c r="I27" s="554"/>
      <c r="J27" s="556">
        <v>2160</v>
      </c>
      <c r="K27" s="92">
        <f>VLOOKUP(H27,名称!A:C,2,0)</f>
        <v>12</v>
      </c>
      <c r="L27" s="32">
        <f t="shared" si="1"/>
        <v>25920</v>
      </c>
      <c r="M27" s="554">
        <f>VLOOKUP(H27,名称!A:E,3,0)</f>
        <v>12</v>
      </c>
      <c r="N27" s="556">
        <f t="shared" si="2"/>
        <v>180</v>
      </c>
      <c r="O27" s="553">
        <v>46248</v>
      </c>
      <c r="P27" s="578">
        <v>46248</v>
      </c>
      <c r="Q27" s="578">
        <v>46251</v>
      </c>
      <c r="R27" s="435" t="s">
        <v>1241</v>
      </c>
      <c r="S27" s="578" t="s">
        <v>1133</v>
      </c>
      <c r="T27" s="557"/>
      <c r="U27" s="557"/>
      <c r="V27" s="557"/>
      <c r="W27" s="556" t="str">
        <f>IFERROR(VLOOKUP(H27,名称!A:F,6,0),"")</f>
        <v>湖南</v>
      </c>
      <c r="X27" s="557" t="s">
        <v>1248</v>
      </c>
      <c r="Y27" s="557" t="s">
        <v>1228</v>
      </c>
      <c r="Z27" s="557" t="s">
        <v>1249</v>
      </c>
      <c r="AA27" s="581">
        <v>46109</v>
      </c>
      <c r="AB27" s="580">
        <v>46142</v>
      </c>
      <c r="AC27" s="557" t="s">
        <v>1302</v>
      </c>
      <c r="AD27" s="541" t="s">
        <v>1228</v>
      </c>
      <c r="AE27" s="554" t="s">
        <v>510</v>
      </c>
      <c r="AF27" s="541" t="s">
        <v>1228</v>
      </c>
      <c r="AG27" s="557" t="s">
        <v>510</v>
      </c>
      <c r="AH27" s="541" t="s">
        <v>1307</v>
      </c>
      <c r="AI27" s="541" t="s">
        <v>1228</v>
      </c>
      <c r="AJ27" s="541" t="s">
        <v>1133</v>
      </c>
      <c r="AK27" s="554" t="s">
        <v>1133</v>
      </c>
      <c r="AL27" s="557"/>
      <c r="AM27" s="444" t="s">
        <v>1306</v>
      </c>
      <c r="AN27" s="556" t="s">
        <v>1251</v>
      </c>
      <c r="AO27" s="560">
        <v>1.6</v>
      </c>
      <c r="AP27" s="561">
        <f t="shared" si="3"/>
        <v>3456</v>
      </c>
      <c r="AQ27" s="561">
        <f t="shared" si="4"/>
        <v>26784</v>
      </c>
      <c r="AR27" s="562"/>
      <c r="AS27" s="553"/>
      <c r="AT27" s="434" t="s">
        <v>1220</v>
      </c>
      <c r="AU27" s="582">
        <f>2136</f>
        <v>2136</v>
      </c>
      <c r="AV27" s="564">
        <f t="shared" si="5"/>
        <v>-24</v>
      </c>
      <c r="AW27" s="564"/>
      <c r="AX27" s="440" t="s">
        <v>1280</v>
      </c>
      <c r="AY27" s="553"/>
      <c r="AZ27" s="440" t="s">
        <v>1256</v>
      </c>
      <c r="BA27" s="553"/>
      <c r="BB27" s="553" t="str">
        <f t="shared" si="6"/>
        <v>Nichi World Co., Ltd</v>
      </c>
      <c r="BC27" s="553" t="str">
        <f t="shared" si="7"/>
        <v>泰国</v>
      </c>
    </row>
    <row r="28" s="497" customFormat="1" customHeight="1" spans="1:55">
      <c r="A28" s="553">
        <v>46095</v>
      </c>
      <c r="B28" s="553" t="str">
        <f ca="1" t="shared" si="0"/>
        <v/>
      </c>
      <c r="C28" s="554" t="str">
        <f>VLOOKUP(H28,名称!A:E,4,0)</f>
        <v>三代</v>
      </c>
      <c r="D28" s="555" t="s">
        <v>1246</v>
      </c>
      <c r="E28" s="555" t="s">
        <v>1247</v>
      </c>
      <c r="F28" s="554"/>
      <c r="G28" s="554" t="s">
        <v>571</v>
      </c>
      <c r="H28" s="554" t="s">
        <v>92</v>
      </c>
      <c r="I28" s="554"/>
      <c r="J28" s="556">
        <v>2000</v>
      </c>
      <c r="K28" s="92">
        <f>VLOOKUP(H28,名称!A:C,2,0)</f>
        <v>7</v>
      </c>
      <c r="L28" s="32">
        <f t="shared" si="1"/>
        <v>14000</v>
      </c>
      <c r="M28" s="554">
        <f>VLOOKUP(H28,名称!A:E,3,0)</f>
        <v>16</v>
      </c>
      <c r="N28" s="556">
        <f t="shared" si="2"/>
        <v>125</v>
      </c>
      <c r="O28" s="553">
        <v>46248</v>
      </c>
      <c r="P28" s="578">
        <v>46248</v>
      </c>
      <c r="Q28" s="578">
        <v>46251</v>
      </c>
      <c r="R28" s="435" t="s">
        <v>1241</v>
      </c>
      <c r="S28" s="578" t="s">
        <v>1133</v>
      </c>
      <c r="T28" s="557"/>
      <c r="U28" s="557"/>
      <c r="V28" s="557"/>
      <c r="W28" s="556" t="str">
        <f>IFERROR(VLOOKUP(H28,名称!A:F,6,0),"")</f>
        <v>湖南</v>
      </c>
      <c r="X28" s="557" t="s">
        <v>1248</v>
      </c>
      <c r="Y28" s="557" t="s">
        <v>1228</v>
      </c>
      <c r="Z28" s="557" t="s">
        <v>1249</v>
      </c>
      <c r="AA28" s="581">
        <v>46109</v>
      </c>
      <c r="AB28" s="580">
        <v>46142</v>
      </c>
      <c r="AC28" s="557" t="s">
        <v>1284</v>
      </c>
      <c r="AD28" s="541" t="s">
        <v>1228</v>
      </c>
      <c r="AE28" s="554" t="s">
        <v>510</v>
      </c>
      <c r="AF28" s="541" t="s">
        <v>1228</v>
      </c>
      <c r="AG28" s="557" t="s">
        <v>510</v>
      </c>
      <c r="AH28" s="541" t="s">
        <v>1307</v>
      </c>
      <c r="AI28" s="541" t="s">
        <v>1228</v>
      </c>
      <c r="AJ28" s="541" t="s">
        <v>1133</v>
      </c>
      <c r="AK28" s="554" t="s">
        <v>1133</v>
      </c>
      <c r="AL28" s="557"/>
      <c r="AM28" s="444" t="s">
        <v>1306</v>
      </c>
      <c r="AN28" s="556" t="s">
        <v>1251</v>
      </c>
      <c r="AO28" s="560">
        <v>0.87</v>
      </c>
      <c r="AP28" s="561">
        <f t="shared" si="3"/>
        <v>1740</v>
      </c>
      <c r="AQ28" s="561">
        <f t="shared" si="4"/>
        <v>13485</v>
      </c>
      <c r="AR28" s="562"/>
      <c r="AS28" s="553"/>
      <c r="AT28" s="553" t="s">
        <v>1220</v>
      </c>
      <c r="AU28" s="582">
        <f>1856</f>
        <v>1856</v>
      </c>
      <c r="AV28" s="564">
        <f t="shared" si="5"/>
        <v>-144</v>
      </c>
      <c r="AW28" s="564"/>
      <c r="AX28" s="578" t="s">
        <v>1280</v>
      </c>
      <c r="AY28" s="553"/>
      <c r="AZ28" s="440" t="s">
        <v>1256</v>
      </c>
      <c r="BA28" s="553"/>
      <c r="BB28" s="553" t="str">
        <f t="shared" si="6"/>
        <v>Nichi World Co., Ltd</v>
      </c>
      <c r="BC28" s="553" t="str">
        <f t="shared" si="7"/>
        <v>泰国</v>
      </c>
    </row>
    <row r="29" s="497" customFormat="1" customHeight="1" spans="1:55">
      <c r="A29" s="553">
        <v>46095</v>
      </c>
      <c r="B29" s="553" t="str">
        <f ca="1" t="shared" si="0"/>
        <v/>
      </c>
      <c r="C29" s="554" t="str">
        <f>VLOOKUP(H29,名称!A:E,4,0)</f>
        <v>三代</v>
      </c>
      <c r="D29" s="555" t="s">
        <v>1246</v>
      </c>
      <c r="E29" s="555" t="s">
        <v>1247</v>
      </c>
      <c r="F29" s="554"/>
      <c r="G29" s="554" t="s">
        <v>571</v>
      </c>
      <c r="H29" s="554" t="s">
        <v>94</v>
      </c>
      <c r="I29" s="554"/>
      <c r="J29" s="556">
        <v>3552</v>
      </c>
      <c r="K29" s="514">
        <f>VLOOKUP(H29,名称!A:C,2,0)</f>
        <v>5</v>
      </c>
      <c r="L29" s="518">
        <f t="shared" si="1"/>
        <v>17760</v>
      </c>
      <c r="M29" s="554">
        <f>VLOOKUP(H29,名称!A:E,3,0)</f>
        <v>24</v>
      </c>
      <c r="N29" s="556">
        <f t="shared" si="2"/>
        <v>148</v>
      </c>
      <c r="O29" s="553">
        <v>46248</v>
      </c>
      <c r="P29" s="578">
        <v>46248</v>
      </c>
      <c r="Q29" s="578">
        <v>46251</v>
      </c>
      <c r="R29" s="583" t="s">
        <v>1241</v>
      </c>
      <c r="S29" s="578" t="s">
        <v>1133</v>
      </c>
      <c r="T29" s="557"/>
      <c r="U29" s="557"/>
      <c r="V29" s="557"/>
      <c r="W29" s="556" t="str">
        <f>IFERROR(VLOOKUP(H29,名称!A:F,6,0),"")</f>
        <v>湖南</v>
      </c>
      <c r="X29" s="557" t="s">
        <v>1248</v>
      </c>
      <c r="Y29" s="557" t="s">
        <v>1228</v>
      </c>
      <c r="Z29" s="557" t="s">
        <v>1249</v>
      </c>
      <c r="AA29" s="581">
        <v>46109</v>
      </c>
      <c r="AB29" s="580">
        <v>46142</v>
      </c>
      <c r="AC29" s="557" t="s">
        <v>1133</v>
      </c>
      <c r="AD29" s="541" t="s">
        <v>1133</v>
      </c>
      <c r="AE29" s="554" t="s">
        <v>510</v>
      </c>
      <c r="AF29" s="541" t="s">
        <v>1228</v>
      </c>
      <c r="AG29" s="557" t="s">
        <v>510</v>
      </c>
      <c r="AH29" s="541" t="s">
        <v>1133</v>
      </c>
      <c r="AI29" s="541" t="s">
        <v>1228</v>
      </c>
      <c r="AJ29" s="541" t="s">
        <v>1133</v>
      </c>
      <c r="AK29" s="554" t="s">
        <v>510</v>
      </c>
      <c r="AL29" s="557"/>
      <c r="AM29" s="444" t="s">
        <v>1306</v>
      </c>
      <c r="AN29" s="556" t="s">
        <v>1251</v>
      </c>
      <c r="AO29" s="560">
        <v>0.63</v>
      </c>
      <c r="AP29" s="561">
        <f t="shared" si="3"/>
        <v>2237.76</v>
      </c>
      <c r="AQ29" s="561">
        <f t="shared" si="4"/>
        <v>17342.64</v>
      </c>
      <c r="AR29" s="562"/>
      <c r="AS29" s="553"/>
      <c r="AT29" s="553" t="s">
        <v>1220</v>
      </c>
      <c r="AU29" s="582"/>
      <c r="AV29" s="564">
        <f t="shared" si="5"/>
        <v>-3552</v>
      </c>
      <c r="AW29" s="564"/>
      <c r="AX29" s="578" t="s">
        <v>1280</v>
      </c>
      <c r="AY29" s="553"/>
      <c r="AZ29" s="440" t="s">
        <v>1256</v>
      </c>
      <c r="BA29" s="553"/>
      <c r="BB29" s="553" t="str">
        <f t="shared" si="6"/>
        <v>Nichi World Co., Ltd</v>
      </c>
      <c r="BC29" s="553" t="str">
        <f t="shared" si="7"/>
        <v>泰国</v>
      </c>
    </row>
    <row r="30" s="495" customFormat="1" customHeight="1" spans="1:55">
      <c r="A30" s="538">
        <v>46095</v>
      </c>
      <c r="B30" s="538" t="str">
        <f ca="1" t="shared" si="0"/>
        <v/>
      </c>
      <c r="C30" s="539" t="str">
        <f>VLOOKUP(H30,名称!A:E,4,0)</f>
        <v>三代</v>
      </c>
      <c r="D30" s="540" t="s">
        <v>1246</v>
      </c>
      <c r="E30" s="540" t="s">
        <v>1247</v>
      </c>
      <c r="F30" s="539"/>
      <c r="G30" s="539" t="s">
        <v>571</v>
      </c>
      <c r="H30" s="539" t="s">
        <v>95</v>
      </c>
      <c r="I30" s="118"/>
      <c r="J30" s="518">
        <v>1040</v>
      </c>
      <c r="K30" s="92">
        <f>VLOOKUP(H30,名称!A:C,2,0)</f>
        <v>32</v>
      </c>
      <c r="L30" s="32">
        <f t="shared" si="1"/>
        <v>33280</v>
      </c>
      <c r="M30" s="539">
        <f>VLOOKUP(H30,名称!A:E,3,0)</f>
        <v>4</v>
      </c>
      <c r="N30" s="518">
        <f t="shared" si="2"/>
        <v>260</v>
      </c>
      <c r="O30" s="538">
        <v>46248</v>
      </c>
      <c r="P30" s="549">
        <v>46248</v>
      </c>
      <c r="Q30" s="549">
        <v>46251</v>
      </c>
      <c r="R30" s="539"/>
      <c r="S30" s="549" t="s">
        <v>1133</v>
      </c>
      <c r="T30" s="541"/>
      <c r="U30" s="541"/>
      <c r="V30" s="541"/>
      <c r="W30" s="518" t="str">
        <f>IFERROR(VLOOKUP(H30,名称!A:F,6,0),"")</f>
        <v>湖南</v>
      </c>
      <c r="X30" s="541" t="s">
        <v>1248</v>
      </c>
      <c r="Y30" s="541" t="s">
        <v>1228</v>
      </c>
      <c r="Z30" s="541" t="s">
        <v>1249</v>
      </c>
      <c r="AA30" s="552">
        <v>46109</v>
      </c>
      <c r="AB30" s="567">
        <v>46142</v>
      </c>
      <c r="AC30" s="541" t="s">
        <v>1133</v>
      </c>
      <c r="AD30" s="541" t="s">
        <v>1133</v>
      </c>
      <c r="AE30" s="539" t="s">
        <v>510</v>
      </c>
      <c r="AF30" s="541" t="s">
        <v>1228</v>
      </c>
      <c r="AG30" s="541" t="s">
        <v>510</v>
      </c>
      <c r="AH30" s="541" t="s">
        <v>1307</v>
      </c>
      <c r="AI30" s="541" t="s">
        <v>1228</v>
      </c>
      <c r="AJ30" s="541" t="s">
        <v>1133</v>
      </c>
      <c r="AK30" s="539" t="s">
        <v>1133</v>
      </c>
      <c r="AL30" s="541"/>
      <c r="AM30" s="431" t="s">
        <v>1306</v>
      </c>
      <c r="AN30" s="518" t="s">
        <v>1251</v>
      </c>
      <c r="AO30" s="544">
        <v>3.12</v>
      </c>
      <c r="AP30" s="545">
        <f t="shared" si="3"/>
        <v>3244.8</v>
      </c>
      <c r="AQ30" s="545">
        <f t="shared" si="4"/>
        <v>25147.2</v>
      </c>
      <c r="AR30" s="546"/>
      <c r="AS30" s="538"/>
      <c r="AT30" s="538" t="s">
        <v>1220</v>
      </c>
      <c r="AU30" s="584">
        <v>1040</v>
      </c>
      <c r="AV30" s="548">
        <f t="shared" si="5"/>
        <v>0</v>
      </c>
      <c r="AW30" s="548"/>
      <c r="AX30" s="549" t="s">
        <v>1280</v>
      </c>
      <c r="AY30" s="538"/>
      <c r="AZ30" s="420" t="s">
        <v>1256</v>
      </c>
      <c r="BA30" s="538"/>
      <c r="BB30" s="538" t="str">
        <f t="shared" si="6"/>
        <v>Nichi World Co., Ltd</v>
      </c>
      <c r="BC30" s="538" t="str">
        <f t="shared" si="7"/>
        <v>泰国</v>
      </c>
    </row>
    <row r="31" s="496" customFormat="1" customHeight="1" spans="1:55">
      <c r="A31" s="527">
        <v>46095</v>
      </c>
      <c r="B31" s="527" t="str">
        <f ca="1" t="shared" si="0"/>
        <v/>
      </c>
      <c r="C31" s="346" t="str">
        <f>VLOOKUP(H31,名称!A:E,4,0)</f>
        <v>三代</v>
      </c>
      <c r="D31" s="528" t="s">
        <v>1246</v>
      </c>
      <c r="E31" s="528" t="s">
        <v>1247</v>
      </c>
      <c r="F31" s="346"/>
      <c r="G31" s="346" t="s">
        <v>571</v>
      </c>
      <c r="H31" s="346" t="s">
        <v>97</v>
      </c>
      <c r="I31" s="346"/>
      <c r="J31" s="348">
        <v>2688</v>
      </c>
      <c r="K31" s="347">
        <f>VLOOKUP(H31,名称!A:C,2,0)</f>
        <v>5</v>
      </c>
      <c r="L31" s="348">
        <f t="shared" si="1"/>
        <v>13440</v>
      </c>
      <c r="M31" s="346">
        <f>VLOOKUP(H31,名称!A:E,3,0)</f>
        <v>24</v>
      </c>
      <c r="N31" s="348">
        <f t="shared" si="2"/>
        <v>112</v>
      </c>
      <c r="O31" s="527">
        <v>46248</v>
      </c>
      <c r="P31" s="536">
        <v>46248</v>
      </c>
      <c r="Q31" s="536">
        <v>46251</v>
      </c>
      <c r="R31" s="404" t="s">
        <v>1241</v>
      </c>
      <c r="S31" s="536" t="s">
        <v>1133</v>
      </c>
      <c r="T31" s="568"/>
      <c r="U31" s="568"/>
      <c r="V31" s="568"/>
      <c r="W31" s="348" t="str">
        <f>IFERROR(VLOOKUP(H31,名称!A:F,6,0),"")</f>
        <v>湖南</v>
      </c>
      <c r="X31" s="568" t="s">
        <v>1248</v>
      </c>
      <c r="Y31" s="568" t="s">
        <v>1228</v>
      </c>
      <c r="Z31" s="568" t="s">
        <v>1249</v>
      </c>
      <c r="AA31" s="570">
        <v>46109</v>
      </c>
      <c r="AB31" s="569">
        <v>46142</v>
      </c>
      <c r="AC31" s="568" t="s">
        <v>1133</v>
      </c>
      <c r="AD31" s="568" t="s">
        <v>1133</v>
      </c>
      <c r="AE31" s="346" t="s">
        <v>510</v>
      </c>
      <c r="AF31" s="568" t="s">
        <v>1228</v>
      </c>
      <c r="AG31" s="568" t="s">
        <v>510</v>
      </c>
      <c r="AH31" s="568" t="s">
        <v>1133</v>
      </c>
      <c r="AI31" s="568" t="s">
        <v>1228</v>
      </c>
      <c r="AJ31" s="568" t="s">
        <v>1133</v>
      </c>
      <c r="AK31" s="346" t="s">
        <v>510</v>
      </c>
      <c r="AL31" s="568"/>
      <c r="AM31" s="415" t="s">
        <v>1306</v>
      </c>
      <c r="AN31" s="348" t="s">
        <v>1251</v>
      </c>
      <c r="AO31" s="531">
        <v>0.63</v>
      </c>
      <c r="AP31" s="532">
        <f t="shared" si="3"/>
        <v>1693.44</v>
      </c>
      <c r="AQ31" s="532">
        <f t="shared" si="4"/>
        <v>13124.16</v>
      </c>
      <c r="AR31" s="533"/>
      <c r="AS31" s="527"/>
      <c r="AT31" s="527" t="s">
        <v>1220</v>
      </c>
      <c r="AU31" s="537">
        <f>2664+24</f>
        <v>2688</v>
      </c>
      <c r="AV31" s="535">
        <f t="shared" si="5"/>
        <v>0</v>
      </c>
      <c r="AW31" s="535"/>
      <c r="AX31" s="536" t="s">
        <v>1280</v>
      </c>
      <c r="AY31" s="527"/>
      <c r="AZ31" s="413" t="s">
        <v>1256</v>
      </c>
      <c r="BA31" s="527"/>
      <c r="BB31" s="527" t="str">
        <f t="shared" si="6"/>
        <v>Nichi World Co., Ltd</v>
      </c>
      <c r="BC31" s="527" t="str">
        <f t="shared" si="7"/>
        <v>泰国</v>
      </c>
    </row>
    <row r="32" s="496" customFormat="1" customHeight="1" spans="1:55">
      <c r="A32" s="527">
        <v>46095</v>
      </c>
      <c r="B32" s="527" t="str">
        <f ca="1" t="shared" si="0"/>
        <v/>
      </c>
      <c r="C32" s="346" t="str">
        <f>VLOOKUP(H32,名称!A:E,4,0)</f>
        <v>三代</v>
      </c>
      <c r="D32" s="528" t="s">
        <v>1246</v>
      </c>
      <c r="E32" s="528" t="s">
        <v>1247</v>
      </c>
      <c r="F32" s="346"/>
      <c r="G32" s="346" t="s">
        <v>571</v>
      </c>
      <c r="H32" s="346" t="s">
        <v>98</v>
      </c>
      <c r="I32" s="346"/>
      <c r="J32" s="348">
        <v>2160</v>
      </c>
      <c r="K32" s="347">
        <f>VLOOKUP(H32,名称!A:C,2,0)</f>
        <v>12</v>
      </c>
      <c r="L32" s="348">
        <f t="shared" si="1"/>
        <v>25920</v>
      </c>
      <c r="M32" s="346">
        <f>VLOOKUP(H32,名称!A:E,3,0)</f>
        <v>12</v>
      </c>
      <c r="N32" s="348">
        <f t="shared" si="2"/>
        <v>180</v>
      </c>
      <c r="O32" s="527">
        <v>46248</v>
      </c>
      <c r="P32" s="536">
        <v>46248</v>
      </c>
      <c r="Q32" s="536">
        <v>46251</v>
      </c>
      <c r="R32" s="404" t="s">
        <v>1241</v>
      </c>
      <c r="S32" s="536" t="s">
        <v>1133</v>
      </c>
      <c r="T32" s="568"/>
      <c r="U32" s="568"/>
      <c r="V32" s="568"/>
      <c r="W32" s="348" t="str">
        <f>IFERROR(VLOOKUP(H32,名称!A:F,6,0),"")</f>
        <v>湖南</v>
      </c>
      <c r="X32" s="568" t="s">
        <v>1248</v>
      </c>
      <c r="Y32" s="568" t="s">
        <v>1228</v>
      </c>
      <c r="Z32" s="568" t="s">
        <v>1249</v>
      </c>
      <c r="AA32" s="570">
        <v>46109</v>
      </c>
      <c r="AB32" s="569">
        <v>46142</v>
      </c>
      <c r="AC32" s="568" t="s">
        <v>1302</v>
      </c>
      <c r="AD32" s="568" t="s">
        <v>1228</v>
      </c>
      <c r="AE32" s="346" t="s">
        <v>510</v>
      </c>
      <c r="AF32" s="568" t="s">
        <v>1228</v>
      </c>
      <c r="AG32" s="568" t="s">
        <v>510</v>
      </c>
      <c r="AH32" s="568" t="s">
        <v>1307</v>
      </c>
      <c r="AI32" s="568" t="s">
        <v>1228</v>
      </c>
      <c r="AJ32" s="568" t="s">
        <v>1133</v>
      </c>
      <c r="AK32" s="346" t="s">
        <v>1133</v>
      </c>
      <c r="AL32" s="568"/>
      <c r="AM32" s="415" t="s">
        <v>1306</v>
      </c>
      <c r="AN32" s="348" t="s">
        <v>1251</v>
      </c>
      <c r="AO32" s="531">
        <v>1.6</v>
      </c>
      <c r="AP32" s="532">
        <f t="shared" si="3"/>
        <v>3456</v>
      </c>
      <c r="AQ32" s="532">
        <f t="shared" si="4"/>
        <v>26784</v>
      </c>
      <c r="AR32" s="533"/>
      <c r="AS32" s="527"/>
      <c r="AT32" s="527" t="s">
        <v>1220</v>
      </c>
      <c r="AU32" s="537">
        <f>2136+24</f>
        <v>2160</v>
      </c>
      <c r="AV32" s="535">
        <f t="shared" si="5"/>
        <v>0</v>
      </c>
      <c r="AW32" s="535"/>
      <c r="AX32" s="536" t="s">
        <v>1280</v>
      </c>
      <c r="AY32" s="527"/>
      <c r="AZ32" s="413" t="s">
        <v>1256</v>
      </c>
      <c r="BA32" s="527"/>
      <c r="BB32" s="527" t="str">
        <f t="shared" si="6"/>
        <v>Nichi World Co., Ltd</v>
      </c>
      <c r="BC32" s="527" t="str">
        <f t="shared" si="7"/>
        <v>泰国</v>
      </c>
    </row>
    <row r="33" s="496" customFormat="1" customHeight="1" spans="1:55">
      <c r="A33" s="527">
        <v>46113</v>
      </c>
      <c r="B33" s="527" t="str">
        <f ca="1" t="shared" si="0"/>
        <v/>
      </c>
      <c r="C33" s="346" t="str">
        <f>VLOOKUP(H33,名称!A:E,4,0)</f>
        <v>三代</v>
      </c>
      <c r="D33" s="528" t="s">
        <v>1276</v>
      </c>
      <c r="E33" s="528" t="s">
        <v>1224</v>
      </c>
      <c r="F33" s="346" t="s">
        <v>591</v>
      </c>
      <c r="G33" s="346" t="s">
        <v>592</v>
      </c>
      <c r="H33" s="346" t="s">
        <v>59</v>
      </c>
      <c r="I33" s="346"/>
      <c r="J33" s="348">
        <v>20016</v>
      </c>
      <c r="K33" s="347">
        <f>VLOOKUP(H33,名称!A:C,2,0)</f>
        <v>5</v>
      </c>
      <c r="L33" s="348">
        <f t="shared" si="1"/>
        <v>100080</v>
      </c>
      <c r="M33" s="346">
        <f>VLOOKUP(H33,名称!A:E,3,0)</f>
        <v>24</v>
      </c>
      <c r="N33" s="348">
        <f t="shared" si="2"/>
        <v>834</v>
      </c>
      <c r="O33" s="527">
        <v>46225</v>
      </c>
      <c r="P33" s="536">
        <f>O33</f>
        <v>46225</v>
      </c>
      <c r="Q33" s="536">
        <v>46237</v>
      </c>
      <c r="R33" s="404" t="s">
        <v>1241</v>
      </c>
      <c r="S33" s="536">
        <v>46244</v>
      </c>
      <c r="T33" s="415" t="s">
        <v>1291</v>
      </c>
      <c r="U33" s="568"/>
      <c r="V33" s="415" t="s">
        <v>1278</v>
      </c>
      <c r="W33" s="348" t="str">
        <f>IFERROR(VLOOKUP(H33,名称!A:F,6,0),"")</f>
        <v>湖南</v>
      </c>
      <c r="X33" s="568" t="s">
        <v>1133</v>
      </c>
      <c r="Y33" s="568" t="s">
        <v>1133</v>
      </c>
      <c r="Z33" s="569">
        <v>46205</v>
      </c>
      <c r="AA33" s="570">
        <v>46205</v>
      </c>
      <c r="AB33" s="569">
        <v>46206</v>
      </c>
      <c r="AC33" s="568" t="s">
        <v>1133</v>
      </c>
      <c r="AD33" s="568" t="s">
        <v>1133</v>
      </c>
      <c r="AE33" s="346" t="s">
        <v>270</v>
      </c>
      <c r="AF33" s="568" t="s">
        <v>1228</v>
      </c>
      <c r="AG33" s="568" t="s">
        <v>270</v>
      </c>
      <c r="AH33" s="568" t="s">
        <v>1133</v>
      </c>
      <c r="AI33" s="568" t="s">
        <v>1228</v>
      </c>
      <c r="AJ33" s="568" t="s">
        <v>1133</v>
      </c>
      <c r="AK33" s="346" t="s">
        <v>270</v>
      </c>
      <c r="AL33" s="568"/>
      <c r="AM33" s="415" t="s">
        <v>1292</v>
      </c>
      <c r="AN33" s="348"/>
      <c r="AO33" s="531">
        <v>0.61</v>
      </c>
      <c r="AP33" s="532">
        <f t="shared" si="3"/>
        <v>12209.76</v>
      </c>
      <c r="AQ33" s="532">
        <f t="shared" si="4"/>
        <v>94625.64</v>
      </c>
      <c r="AR33" s="533"/>
      <c r="AS33" s="527"/>
      <c r="AT33" s="527" t="s">
        <v>1220</v>
      </c>
      <c r="AU33" s="537">
        <f>19992+24</f>
        <v>20016</v>
      </c>
      <c r="AV33" s="535">
        <f t="shared" si="5"/>
        <v>0</v>
      </c>
      <c r="AW33" s="535"/>
      <c r="AX33" s="536" t="s">
        <v>1280</v>
      </c>
      <c r="AY33" s="527"/>
      <c r="AZ33" s="413" t="s">
        <v>1256</v>
      </c>
      <c r="BA33" s="527"/>
      <c r="BB33" s="527" t="str">
        <f t="shared" si="6"/>
        <v>Jazwares- TARGET US DOM</v>
      </c>
      <c r="BC33" s="527" t="str">
        <f t="shared" si="7"/>
        <v>美国</v>
      </c>
    </row>
    <row r="34" s="496" customFormat="1" customHeight="1" spans="1:55">
      <c r="A34" s="527">
        <v>46113</v>
      </c>
      <c r="B34" s="527" t="str">
        <f ca="1" t="shared" si="0"/>
        <v/>
      </c>
      <c r="C34" s="346" t="str">
        <f>VLOOKUP(H34,名称!A:E,4,0)</f>
        <v>三代</v>
      </c>
      <c r="D34" s="528" t="s">
        <v>1276</v>
      </c>
      <c r="E34" s="528" t="s">
        <v>1224</v>
      </c>
      <c r="F34" s="346" t="s">
        <v>593</v>
      </c>
      <c r="G34" s="346" t="s">
        <v>594</v>
      </c>
      <c r="H34" s="346" t="s">
        <v>59</v>
      </c>
      <c r="I34" s="346"/>
      <c r="J34" s="348">
        <v>20016</v>
      </c>
      <c r="K34" s="347">
        <f>VLOOKUP(H34,名称!A:C,2,0)</f>
        <v>5</v>
      </c>
      <c r="L34" s="348">
        <f t="shared" si="1"/>
        <v>100080</v>
      </c>
      <c r="M34" s="346">
        <f>VLOOKUP(H34,名称!A:E,3,0)</f>
        <v>24</v>
      </c>
      <c r="N34" s="348">
        <f t="shared" si="2"/>
        <v>834</v>
      </c>
      <c r="O34" s="527">
        <v>46225</v>
      </c>
      <c r="P34" s="536">
        <v>46240</v>
      </c>
      <c r="Q34" s="536">
        <v>46239</v>
      </c>
      <c r="R34" s="404" t="s">
        <v>1241</v>
      </c>
      <c r="S34" s="536">
        <v>46248</v>
      </c>
      <c r="T34" s="415" t="s">
        <v>1241</v>
      </c>
      <c r="U34" s="568"/>
      <c r="V34" s="415" t="s">
        <v>1278</v>
      </c>
      <c r="W34" s="348" t="str">
        <f>IFERROR(VLOOKUP(H34,名称!A:F,6,0),"")</f>
        <v>湖南</v>
      </c>
      <c r="X34" s="568" t="s">
        <v>1133</v>
      </c>
      <c r="Y34" s="568" t="s">
        <v>1133</v>
      </c>
      <c r="Z34" s="569">
        <v>46205</v>
      </c>
      <c r="AA34" s="570">
        <v>46205</v>
      </c>
      <c r="AB34" s="569">
        <v>46206</v>
      </c>
      <c r="AC34" s="568" t="s">
        <v>1133</v>
      </c>
      <c r="AD34" s="568" t="s">
        <v>1133</v>
      </c>
      <c r="AE34" s="346" t="s">
        <v>270</v>
      </c>
      <c r="AF34" s="568" t="s">
        <v>1228</v>
      </c>
      <c r="AG34" s="568" t="s">
        <v>270</v>
      </c>
      <c r="AH34" s="568" t="s">
        <v>1133</v>
      </c>
      <c r="AI34" s="568" t="s">
        <v>1228</v>
      </c>
      <c r="AJ34" s="568" t="s">
        <v>1133</v>
      </c>
      <c r="AK34" s="346" t="s">
        <v>270</v>
      </c>
      <c r="AL34" s="568"/>
      <c r="AM34" s="415" t="s">
        <v>1292</v>
      </c>
      <c r="AN34" s="348"/>
      <c r="AO34" s="531">
        <v>0.61</v>
      </c>
      <c r="AP34" s="532">
        <f t="shared" si="3"/>
        <v>12209.76</v>
      </c>
      <c r="AQ34" s="532">
        <f t="shared" si="4"/>
        <v>94625.64</v>
      </c>
      <c r="AR34" s="533"/>
      <c r="AS34" s="527"/>
      <c r="AT34" s="527" t="s">
        <v>1220</v>
      </c>
      <c r="AU34" s="537">
        <f>16776+3240</f>
        <v>20016</v>
      </c>
      <c r="AV34" s="535">
        <f t="shared" si="5"/>
        <v>0</v>
      </c>
      <c r="AW34" s="535"/>
      <c r="AX34" s="536" t="s">
        <v>1280</v>
      </c>
      <c r="AY34" s="527"/>
      <c r="AZ34" s="413" t="s">
        <v>1256</v>
      </c>
      <c r="BA34" s="527"/>
      <c r="BB34" s="527" t="str">
        <f t="shared" si="6"/>
        <v>Jazwares- TARGET US DOM</v>
      </c>
      <c r="BC34" s="527" t="str">
        <f t="shared" si="7"/>
        <v>美国</v>
      </c>
    </row>
    <row r="35" s="496" customFormat="1" customHeight="1" spans="1:55">
      <c r="A35" s="527">
        <v>46113</v>
      </c>
      <c r="B35" s="527" t="str">
        <f ca="1" t="shared" si="0"/>
        <v/>
      </c>
      <c r="C35" s="346" t="str">
        <f>VLOOKUP(H35,名称!A:E,4,0)</f>
        <v>三代</v>
      </c>
      <c r="D35" s="528" t="s">
        <v>1276</v>
      </c>
      <c r="E35" s="528" t="s">
        <v>1224</v>
      </c>
      <c r="F35" s="346" t="s">
        <v>605</v>
      </c>
      <c r="G35" s="346" t="s">
        <v>606</v>
      </c>
      <c r="H35" s="346" t="s">
        <v>94</v>
      </c>
      <c r="I35" s="346"/>
      <c r="J35" s="348">
        <v>20016</v>
      </c>
      <c r="K35" s="347">
        <f>VLOOKUP(H35,名称!A:C,2,0)</f>
        <v>5</v>
      </c>
      <c r="L35" s="348">
        <f t="shared" si="1"/>
        <v>100080</v>
      </c>
      <c r="M35" s="346">
        <f>VLOOKUP(H35,名称!A:E,3,0)</f>
        <v>24</v>
      </c>
      <c r="N35" s="348">
        <f t="shared" si="2"/>
        <v>834</v>
      </c>
      <c r="O35" s="527">
        <v>46225</v>
      </c>
      <c r="P35" s="536">
        <f>O35</f>
        <v>46225</v>
      </c>
      <c r="Q35" s="536">
        <v>46237</v>
      </c>
      <c r="R35" s="404" t="s">
        <v>1241</v>
      </c>
      <c r="S35" s="536">
        <v>46244</v>
      </c>
      <c r="T35" s="415" t="s">
        <v>1291</v>
      </c>
      <c r="U35" s="568"/>
      <c r="V35" s="415" t="s">
        <v>1278</v>
      </c>
      <c r="W35" s="348" t="str">
        <f>IFERROR(VLOOKUP(H35,名称!A:F,6,0),"")</f>
        <v>湖南</v>
      </c>
      <c r="X35" s="568" t="s">
        <v>1133</v>
      </c>
      <c r="Y35" s="568" t="s">
        <v>1133</v>
      </c>
      <c r="Z35" s="569">
        <v>46205</v>
      </c>
      <c r="AA35" s="570">
        <v>46205</v>
      </c>
      <c r="AB35" s="569">
        <v>46206</v>
      </c>
      <c r="AC35" s="568" t="s">
        <v>1133</v>
      </c>
      <c r="AD35" s="568" t="s">
        <v>1133</v>
      </c>
      <c r="AE35" s="346" t="s">
        <v>270</v>
      </c>
      <c r="AF35" s="568" t="s">
        <v>1228</v>
      </c>
      <c r="AG35" s="568" t="s">
        <v>270</v>
      </c>
      <c r="AH35" s="568" t="s">
        <v>1133</v>
      </c>
      <c r="AI35" s="568" t="s">
        <v>1228</v>
      </c>
      <c r="AJ35" s="568" t="s">
        <v>1133</v>
      </c>
      <c r="AK35" s="346" t="s">
        <v>270</v>
      </c>
      <c r="AL35" s="568"/>
      <c r="AM35" s="415" t="s">
        <v>1292</v>
      </c>
      <c r="AN35" s="348"/>
      <c r="AO35" s="531">
        <v>0.61</v>
      </c>
      <c r="AP35" s="532">
        <f t="shared" si="3"/>
        <v>12209.76</v>
      </c>
      <c r="AQ35" s="532">
        <f t="shared" si="4"/>
        <v>94625.64</v>
      </c>
      <c r="AR35" s="533"/>
      <c r="AS35" s="527"/>
      <c r="AT35" s="527" t="s">
        <v>1220</v>
      </c>
      <c r="AU35" s="537">
        <f>19944+72</f>
        <v>20016</v>
      </c>
      <c r="AV35" s="535">
        <f t="shared" si="5"/>
        <v>0</v>
      </c>
      <c r="AW35" s="535"/>
      <c r="AX35" s="536" t="s">
        <v>1280</v>
      </c>
      <c r="AY35" s="527"/>
      <c r="AZ35" s="413" t="s">
        <v>1256</v>
      </c>
      <c r="BA35" s="527"/>
      <c r="BB35" s="527" t="str">
        <f t="shared" si="6"/>
        <v>Jazwares- TARGET US DOM</v>
      </c>
      <c r="BC35" s="527" t="str">
        <f t="shared" si="7"/>
        <v>美国</v>
      </c>
    </row>
    <row r="36" s="496" customFormat="1" customHeight="1" spans="1:55">
      <c r="A36" s="527">
        <v>46113</v>
      </c>
      <c r="B36" s="527" t="str">
        <f ca="1" t="shared" si="0"/>
        <v/>
      </c>
      <c r="C36" s="346" t="str">
        <f>VLOOKUP(H36,名称!A:E,4,0)</f>
        <v>三代</v>
      </c>
      <c r="D36" s="528" t="s">
        <v>1276</v>
      </c>
      <c r="E36" s="528" t="s">
        <v>1224</v>
      </c>
      <c r="F36" s="346" t="s">
        <v>607</v>
      </c>
      <c r="G36" s="346" t="s">
        <v>608</v>
      </c>
      <c r="H36" s="346" t="s">
        <v>94</v>
      </c>
      <c r="I36" s="346"/>
      <c r="J36" s="348">
        <v>40008</v>
      </c>
      <c r="K36" s="347">
        <f>VLOOKUP(H36,名称!A:C,2,0)</f>
        <v>5</v>
      </c>
      <c r="L36" s="348">
        <f t="shared" si="1"/>
        <v>200040</v>
      </c>
      <c r="M36" s="346">
        <f>VLOOKUP(H36,名称!A:E,3,0)</f>
        <v>24</v>
      </c>
      <c r="N36" s="348">
        <f t="shared" si="2"/>
        <v>1667</v>
      </c>
      <c r="O36" s="527">
        <v>46240</v>
      </c>
      <c r="P36" s="536">
        <f>O36</f>
        <v>46240</v>
      </c>
      <c r="Q36" s="536">
        <v>46244</v>
      </c>
      <c r="R36" s="404" t="s">
        <v>1241</v>
      </c>
      <c r="S36" s="536">
        <v>46248</v>
      </c>
      <c r="T36" s="415" t="s">
        <v>1241</v>
      </c>
      <c r="U36" s="568"/>
      <c r="V36" s="415" t="s">
        <v>1278</v>
      </c>
      <c r="W36" s="348" t="str">
        <f>IFERROR(VLOOKUP(H36,名称!A:F,6,0),"")</f>
        <v>湖南</v>
      </c>
      <c r="X36" s="568" t="s">
        <v>1133</v>
      </c>
      <c r="Y36" s="568" t="s">
        <v>1133</v>
      </c>
      <c r="Z36" s="569">
        <v>46205</v>
      </c>
      <c r="AA36" s="570">
        <v>46205</v>
      </c>
      <c r="AB36" s="569">
        <v>46206</v>
      </c>
      <c r="AC36" s="568" t="s">
        <v>1133</v>
      </c>
      <c r="AD36" s="568" t="s">
        <v>1133</v>
      </c>
      <c r="AE36" s="346" t="s">
        <v>270</v>
      </c>
      <c r="AF36" s="568" t="s">
        <v>1228</v>
      </c>
      <c r="AG36" s="568" t="s">
        <v>270</v>
      </c>
      <c r="AH36" s="568" t="s">
        <v>1133</v>
      </c>
      <c r="AI36" s="568" t="s">
        <v>1228</v>
      </c>
      <c r="AJ36" s="568" t="s">
        <v>1133</v>
      </c>
      <c r="AK36" s="346" t="s">
        <v>270</v>
      </c>
      <c r="AL36" s="568"/>
      <c r="AM36" s="415" t="s">
        <v>1292</v>
      </c>
      <c r="AN36" s="348"/>
      <c r="AO36" s="531">
        <v>0.61</v>
      </c>
      <c r="AP36" s="532">
        <f t="shared" si="3"/>
        <v>24404.88</v>
      </c>
      <c r="AQ36" s="532">
        <f t="shared" si="4"/>
        <v>189137.82</v>
      </c>
      <c r="AR36" s="533"/>
      <c r="AS36" s="527"/>
      <c r="AT36" s="527" t="s">
        <v>1220</v>
      </c>
      <c r="AU36" s="537">
        <f>23208+16800</f>
        <v>40008</v>
      </c>
      <c r="AV36" s="535">
        <f t="shared" si="5"/>
        <v>0</v>
      </c>
      <c r="AW36" s="535"/>
      <c r="AX36" s="536" t="s">
        <v>1280</v>
      </c>
      <c r="AY36" s="527"/>
      <c r="AZ36" s="413" t="s">
        <v>1256</v>
      </c>
      <c r="BA36" s="527"/>
      <c r="BB36" s="527" t="str">
        <f t="shared" si="6"/>
        <v>Jazwares- TARGET US DOM</v>
      </c>
      <c r="BC36" s="527" t="str">
        <f t="shared" si="7"/>
        <v>美国</v>
      </c>
    </row>
    <row r="37" s="495" customFormat="1" customHeight="1" spans="1:55">
      <c r="A37" s="538">
        <v>46115</v>
      </c>
      <c r="B37" s="538" t="str">
        <f ca="1" t="shared" si="0"/>
        <v/>
      </c>
      <c r="C37" s="539" t="str">
        <f>VLOOKUP(H37,名称!A:E,4,0)</f>
        <v>三代</v>
      </c>
      <c r="D37" s="540" t="s">
        <v>1276</v>
      </c>
      <c r="E37" s="540" t="s">
        <v>1224</v>
      </c>
      <c r="F37" s="539" t="s">
        <v>622</v>
      </c>
      <c r="G37" s="539" t="s">
        <v>623</v>
      </c>
      <c r="H37" s="539" t="s">
        <v>127</v>
      </c>
      <c r="I37" s="118"/>
      <c r="J37" s="518">
        <f>20016</f>
        <v>20016</v>
      </c>
      <c r="K37" s="92">
        <f>VLOOKUP(H37,名称!A:C,2,0)</f>
        <v>50</v>
      </c>
      <c r="L37" s="32">
        <f t="shared" si="1"/>
        <v>1000800</v>
      </c>
      <c r="M37" s="539">
        <f>VLOOKUP(H37,名称!A:E,3,0)</f>
        <v>12</v>
      </c>
      <c r="N37" s="518">
        <f t="shared" si="2"/>
        <v>1668</v>
      </c>
      <c r="O37" s="538">
        <v>46248</v>
      </c>
      <c r="P37" s="549">
        <v>46254</v>
      </c>
      <c r="Q37" s="549">
        <v>46295</v>
      </c>
      <c r="R37" s="539"/>
      <c r="S37" s="549">
        <v>46295</v>
      </c>
      <c r="T37" s="541"/>
      <c r="U37" s="541"/>
      <c r="V37" s="541"/>
      <c r="W37" s="518" t="str">
        <f>IFERROR(VLOOKUP(H37,名称!A:F,6,0),"")</f>
        <v>东莞</v>
      </c>
      <c r="X37" s="541" t="s">
        <v>1133</v>
      </c>
      <c r="Y37" s="541" t="s">
        <v>1133</v>
      </c>
      <c r="Z37" s="567">
        <v>46159</v>
      </c>
      <c r="AA37" s="552">
        <v>46170</v>
      </c>
      <c r="AB37" s="567">
        <v>46171</v>
      </c>
      <c r="AC37" s="541" t="s">
        <v>1308</v>
      </c>
      <c r="AD37" s="541" t="s">
        <v>1228</v>
      </c>
      <c r="AE37" s="539" t="s">
        <v>270</v>
      </c>
      <c r="AF37" s="431" t="s">
        <v>1228</v>
      </c>
      <c r="AG37" s="541" t="s">
        <v>270</v>
      </c>
      <c r="AH37" s="541" t="s">
        <v>1309</v>
      </c>
      <c r="AI37" s="431" t="s">
        <v>1228</v>
      </c>
      <c r="AJ37" s="541" t="s">
        <v>510</v>
      </c>
      <c r="AK37" s="539" t="s">
        <v>1133</v>
      </c>
      <c r="AL37" s="541"/>
      <c r="AM37" s="431" t="s">
        <v>1293</v>
      </c>
      <c r="AN37" s="518"/>
      <c r="AO37" s="544">
        <v>7.01</v>
      </c>
      <c r="AP37" s="545">
        <f t="shared" si="3"/>
        <v>140312.16</v>
      </c>
      <c r="AQ37" s="545">
        <f t="shared" si="4"/>
        <v>1087419.24</v>
      </c>
      <c r="AR37" s="546"/>
      <c r="AS37" s="538"/>
      <c r="AT37" s="538" t="s">
        <v>1310</v>
      </c>
      <c r="AU37" s="584"/>
      <c r="AV37" s="548">
        <f t="shared" si="5"/>
        <v>-20016</v>
      </c>
      <c r="AW37" s="548"/>
      <c r="AX37" s="549"/>
      <c r="AY37" s="538"/>
      <c r="AZ37" s="455" t="s">
        <v>1256</v>
      </c>
      <c r="BA37" s="538"/>
      <c r="BB37" s="538" t="str">
        <f t="shared" si="6"/>
        <v>Jazwares- TARGET US DOM</v>
      </c>
      <c r="BC37" s="538" t="str">
        <f t="shared" si="7"/>
        <v>美国</v>
      </c>
    </row>
    <row r="38" s="496" customFormat="1" customHeight="1" spans="1:55">
      <c r="A38" s="527">
        <v>46115</v>
      </c>
      <c r="B38" s="527" t="str">
        <f ca="1" t="shared" si="0"/>
        <v/>
      </c>
      <c r="C38" s="346" t="str">
        <f>VLOOKUP(H38,名称!A:E,4,0)</f>
        <v>三代</v>
      </c>
      <c r="D38" s="528" t="s">
        <v>1311</v>
      </c>
      <c r="E38" s="528" t="s">
        <v>1224</v>
      </c>
      <c r="F38" s="346" t="s">
        <v>636</v>
      </c>
      <c r="G38" s="346" t="s">
        <v>637</v>
      </c>
      <c r="H38" s="346" t="s">
        <v>83</v>
      </c>
      <c r="I38" s="346"/>
      <c r="J38" s="348">
        <v>1680</v>
      </c>
      <c r="K38" s="92">
        <f>VLOOKUP(H38,名称!A:C,2,0)</f>
        <v>5</v>
      </c>
      <c r="L38" s="32">
        <f t="shared" si="1"/>
        <v>8400</v>
      </c>
      <c r="M38" s="346">
        <f>VLOOKUP(H38,名称!A:E,3,0)</f>
        <v>12</v>
      </c>
      <c r="N38" s="348">
        <f t="shared" si="2"/>
        <v>140</v>
      </c>
      <c r="O38" s="527">
        <v>46232</v>
      </c>
      <c r="P38" s="527">
        <f t="shared" ref="P38:P43" si="8">O38</f>
        <v>46232</v>
      </c>
      <c r="Q38" s="536">
        <v>46231</v>
      </c>
      <c r="R38" s="404" t="s">
        <v>1241</v>
      </c>
      <c r="S38" s="415" t="s">
        <v>1301</v>
      </c>
      <c r="T38" s="415" t="s">
        <v>1241</v>
      </c>
      <c r="U38" s="568"/>
      <c r="V38" s="569">
        <v>46247</v>
      </c>
      <c r="W38" s="348" t="str">
        <f>IFERROR(VLOOKUP(H38,名称!A:F,6,0),"")</f>
        <v>湖南</v>
      </c>
      <c r="X38" s="568" t="s">
        <v>1133</v>
      </c>
      <c r="Y38" s="568" t="s">
        <v>1133</v>
      </c>
      <c r="Z38" s="569">
        <v>46119</v>
      </c>
      <c r="AA38" s="570">
        <v>46120</v>
      </c>
      <c r="AB38" s="569">
        <v>46123</v>
      </c>
      <c r="AC38" s="568" t="s">
        <v>1133</v>
      </c>
      <c r="AD38" s="568" t="s">
        <v>1133</v>
      </c>
      <c r="AE38" s="346" t="s">
        <v>253</v>
      </c>
      <c r="AF38" s="568" t="s">
        <v>1228</v>
      </c>
      <c r="AG38" s="568" t="s">
        <v>253</v>
      </c>
      <c r="AH38" s="568" t="s">
        <v>1133</v>
      </c>
      <c r="AI38" s="568" t="s">
        <v>1228</v>
      </c>
      <c r="AJ38" s="568" t="s">
        <v>1133</v>
      </c>
      <c r="AK38" s="346" t="s">
        <v>253</v>
      </c>
      <c r="AL38" s="568"/>
      <c r="AM38" s="568" t="s">
        <v>1303</v>
      </c>
      <c r="AN38" s="406" t="s">
        <v>1312</v>
      </c>
      <c r="AO38" s="531">
        <v>0.83</v>
      </c>
      <c r="AP38" s="532">
        <f t="shared" si="3"/>
        <v>1394.4</v>
      </c>
      <c r="AQ38" s="532">
        <f t="shared" si="4"/>
        <v>10806.6</v>
      </c>
      <c r="AR38" s="533"/>
      <c r="AS38" s="527"/>
      <c r="AT38" s="403" t="s">
        <v>1313</v>
      </c>
      <c r="AU38" s="537">
        <v>1680</v>
      </c>
      <c r="AV38" s="535">
        <f t="shared" si="5"/>
        <v>0</v>
      </c>
      <c r="AW38" s="535"/>
      <c r="AX38" s="536"/>
      <c r="AY38" s="527"/>
      <c r="AZ38" s="413" t="s">
        <v>1256</v>
      </c>
      <c r="BA38" s="527"/>
      <c r="BB38" s="527" t="str">
        <f t="shared" si="6"/>
        <v>JAZWARES - WALMART CA</v>
      </c>
      <c r="BC38" s="527" t="str">
        <f t="shared" si="7"/>
        <v>美国</v>
      </c>
    </row>
    <row r="39" s="496" customFormat="1" customHeight="1" spans="1:55">
      <c r="A39" s="527">
        <v>46115</v>
      </c>
      <c r="B39" s="527" t="str">
        <f ca="1" t="shared" si="0"/>
        <v/>
      </c>
      <c r="C39" s="346" t="str">
        <f>VLOOKUP(H39,名称!A:E,4,0)</f>
        <v>三代</v>
      </c>
      <c r="D39" s="528" t="s">
        <v>1311</v>
      </c>
      <c r="E39" s="528" t="s">
        <v>1224</v>
      </c>
      <c r="F39" s="346" t="s">
        <v>638</v>
      </c>
      <c r="G39" s="346" t="s">
        <v>639</v>
      </c>
      <c r="H39" s="346" t="s">
        <v>83</v>
      </c>
      <c r="I39" s="346"/>
      <c r="J39" s="348">
        <v>1416</v>
      </c>
      <c r="K39" s="347">
        <f>VLOOKUP(H39,名称!A:C,2,0)</f>
        <v>5</v>
      </c>
      <c r="L39" s="348">
        <f t="shared" si="1"/>
        <v>7080</v>
      </c>
      <c r="M39" s="346">
        <f>VLOOKUP(H39,名称!A:E,3,0)</f>
        <v>12</v>
      </c>
      <c r="N39" s="348">
        <f t="shared" si="2"/>
        <v>118</v>
      </c>
      <c r="O39" s="527">
        <v>46260</v>
      </c>
      <c r="P39" s="527">
        <f t="shared" si="8"/>
        <v>46260</v>
      </c>
      <c r="Q39" s="536">
        <v>46237</v>
      </c>
      <c r="R39" s="415" t="s">
        <v>1241</v>
      </c>
      <c r="S39" s="415" t="s">
        <v>1301</v>
      </c>
      <c r="T39" s="415" t="s">
        <v>1241</v>
      </c>
      <c r="U39" s="568"/>
      <c r="V39" s="569">
        <v>46247</v>
      </c>
      <c r="W39" s="348" t="str">
        <f>IFERROR(VLOOKUP(H39,名称!A:F,6,0),"")</f>
        <v>湖南</v>
      </c>
      <c r="X39" s="568" t="s">
        <v>1133</v>
      </c>
      <c r="Y39" s="568" t="s">
        <v>1133</v>
      </c>
      <c r="Z39" s="569">
        <v>46119</v>
      </c>
      <c r="AA39" s="570">
        <v>46120</v>
      </c>
      <c r="AB39" s="569">
        <v>46123</v>
      </c>
      <c r="AC39" s="568" t="s">
        <v>1133</v>
      </c>
      <c r="AD39" s="568" t="s">
        <v>1133</v>
      </c>
      <c r="AE39" s="346" t="s">
        <v>253</v>
      </c>
      <c r="AF39" s="568" t="s">
        <v>1228</v>
      </c>
      <c r="AG39" s="568" t="s">
        <v>253</v>
      </c>
      <c r="AH39" s="568" t="s">
        <v>1133</v>
      </c>
      <c r="AI39" s="568" t="s">
        <v>1228</v>
      </c>
      <c r="AJ39" s="568" t="s">
        <v>1133</v>
      </c>
      <c r="AK39" s="568" t="s">
        <v>253</v>
      </c>
      <c r="AL39" s="568"/>
      <c r="AM39" s="568" t="s">
        <v>1303</v>
      </c>
      <c r="AN39" s="406" t="s">
        <v>1312</v>
      </c>
      <c r="AO39" s="531">
        <v>0.83</v>
      </c>
      <c r="AP39" s="532">
        <f t="shared" si="3"/>
        <v>1175.28</v>
      </c>
      <c r="AQ39" s="532">
        <f t="shared" si="4"/>
        <v>9108.42</v>
      </c>
      <c r="AR39" s="533"/>
      <c r="AS39" s="527"/>
      <c r="AT39" s="403" t="s">
        <v>1313</v>
      </c>
      <c r="AU39" s="537">
        <f>1404+12</f>
        <v>1416</v>
      </c>
      <c r="AV39" s="535">
        <f t="shared" si="5"/>
        <v>0</v>
      </c>
      <c r="AW39" s="535"/>
      <c r="AX39" s="536"/>
      <c r="AY39" s="527"/>
      <c r="AZ39" s="413" t="s">
        <v>1256</v>
      </c>
      <c r="BA39" s="527"/>
      <c r="BB39" s="527" t="str">
        <f t="shared" si="6"/>
        <v>JAZWARES - WALMART CA</v>
      </c>
      <c r="BC39" s="527" t="str">
        <f t="shared" si="7"/>
        <v>美国</v>
      </c>
    </row>
    <row r="40" s="495" customFormat="1" customHeight="1" spans="1:55">
      <c r="A40" s="538">
        <v>46115</v>
      </c>
      <c r="B40" s="538" t="str">
        <f ca="1" t="shared" si="0"/>
        <v/>
      </c>
      <c r="C40" s="539" t="str">
        <f>VLOOKUP(H40,名称!A:E,4,0)</f>
        <v>三代</v>
      </c>
      <c r="D40" s="540" t="s">
        <v>1311</v>
      </c>
      <c r="E40" s="540" t="s">
        <v>1224</v>
      </c>
      <c r="F40" s="539" t="s">
        <v>640</v>
      </c>
      <c r="G40" s="539" t="s">
        <v>641</v>
      </c>
      <c r="H40" s="539" t="s">
        <v>83</v>
      </c>
      <c r="I40" s="118"/>
      <c r="J40" s="518">
        <v>1800</v>
      </c>
      <c r="K40" s="92">
        <f>VLOOKUP(H40,名称!A:C,2,0)</f>
        <v>5</v>
      </c>
      <c r="L40" s="32">
        <f t="shared" si="1"/>
        <v>9000</v>
      </c>
      <c r="M40" s="539">
        <f>VLOOKUP(H40,名称!A:E,3,0)</f>
        <v>12</v>
      </c>
      <c r="N40" s="518">
        <f t="shared" si="2"/>
        <v>150</v>
      </c>
      <c r="O40" s="538">
        <v>46288</v>
      </c>
      <c r="P40" s="538">
        <f t="shared" si="8"/>
        <v>46288</v>
      </c>
      <c r="Q40" s="549">
        <v>46251</v>
      </c>
      <c r="R40" s="539"/>
      <c r="S40" s="566" t="s">
        <v>1305</v>
      </c>
      <c r="T40" s="541"/>
      <c r="U40" s="541"/>
      <c r="V40" s="541"/>
      <c r="W40" s="518" t="str">
        <f>IFERROR(VLOOKUP(H40,名称!A:F,6,0),"")</f>
        <v>湖南</v>
      </c>
      <c r="X40" s="541" t="s">
        <v>1133</v>
      </c>
      <c r="Y40" s="541" t="s">
        <v>1133</v>
      </c>
      <c r="Z40" s="567">
        <v>46119</v>
      </c>
      <c r="AA40" s="552">
        <v>46120</v>
      </c>
      <c r="AB40" s="567">
        <v>46123</v>
      </c>
      <c r="AC40" s="541" t="s">
        <v>1133</v>
      </c>
      <c r="AD40" s="541" t="s">
        <v>1133</v>
      </c>
      <c r="AE40" s="539" t="s">
        <v>253</v>
      </c>
      <c r="AF40" s="541" t="s">
        <v>1228</v>
      </c>
      <c r="AG40" s="541" t="s">
        <v>253</v>
      </c>
      <c r="AH40" s="541" t="s">
        <v>1133</v>
      </c>
      <c r="AI40" s="541" t="s">
        <v>1228</v>
      </c>
      <c r="AJ40" s="541" t="s">
        <v>1133</v>
      </c>
      <c r="AK40" s="541" t="s">
        <v>253</v>
      </c>
      <c r="AL40" s="541"/>
      <c r="AM40" s="541" t="s">
        <v>1303</v>
      </c>
      <c r="AN40" s="585" t="s">
        <v>1312</v>
      </c>
      <c r="AO40" s="544">
        <v>0.83</v>
      </c>
      <c r="AP40" s="545">
        <f t="shared" si="3"/>
        <v>1494</v>
      </c>
      <c r="AQ40" s="545">
        <f t="shared" si="4"/>
        <v>11578.5</v>
      </c>
      <c r="AR40" s="546"/>
      <c r="AS40" s="538"/>
      <c r="AT40" s="455" t="s">
        <v>1313</v>
      </c>
      <c r="AU40" s="584">
        <v>1800</v>
      </c>
      <c r="AV40" s="548">
        <f t="shared" si="5"/>
        <v>0</v>
      </c>
      <c r="AW40" s="548"/>
      <c r="AX40" s="549"/>
      <c r="AY40" s="538"/>
      <c r="AZ40" s="420" t="s">
        <v>1256</v>
      </c>
      <c r="BA40" s="538"/>
      <c r="BB40" s="538" t="str">
        <f t="shared" si="6"/>
        <v>JAZWARES - WALMART CA</v>
      </c>
      <c r="BC40" s="538" t="str">
        <f t="shared" si="7"/>
        <v>美国</v>
      </c>
    </row>
    <row r="41" s="495" customFormat="1" customHeight="1" spans="1:55">
      <c r="A41" s="538">
        <v>46115</v>
      </c>
      <c r="B41" s="538" t="str">
        <f ca="1" t="shared" si="0"/>
        <v/>
      </c>
      <c r="C41" s="539" t="str">
        <f>VLOOKUP(H41,名称!A:E,4,0)</f>
        <v>三代</v>
      </c>
      <c r="D41" s="540" t="s">
        <v>1311</v>
      </c>
      <c r="E41" s="540" t="s">
        <v>1224</v>
      </c>
      <c r="F41" s="539" t="s">
        <v>642</v>
      </c>
      <c r="G41" s="539" t="s">
        <v>643</v>
      </c>
      <c r="H41" s="539" t="s">
        <v>83</v>
      </c>
      <c r="I41" s="118"/>
      <c r="J41" s="518">
        <v>1032</v>
      </c>
      <c r="K41" s="92">
        <f>VLOOKUP(H41,名称!A:C,2,0)</f>
        <v>5</v>
      </c>
      <c r="L41" s="32">
        <f t="shared" si="1"/>
        <v>5160</v>
      </c>
      <c r="M41" s="539">
        <f>VLOOKUP(H41,名称!A:E,3,0)</f>
        <v>12</v>
      </c>
      <c r="N41" s="518">
        <f t="shared" si="2"/>
        <v>86</v>
      </c>
      <c r="O41" s="538">
        <v>46316</v>
      </c>
      <c r="P41" s="549">
        <f t="shared" si="8"/>
        <v>46316</v>
      </c>
      <c r="Q41" s="549">
        <v>46315</v>
      </c>
      <c r="R41" s="539"/>
      <c r="S41" s="549">
        <v>46316</v>
      </c>
      <c r="T41" s="541"/>
      <c r="U41" s="541"/>
      <c r="V41" s="541"/>
      <c r="W41" s="518" t="str">
        <f>IFERROR(VLOOKUP(H41,名称!A:F,6,0),"")</f>
        <v>湖南</v>
      </c>
      <c r="X41" s="541" t="s">
        <v>1133</v>
      </c>
      <c r="Y41" s="541" t="s">
        <v>1133</v>
      </c>
      <c r="Z41" s="567">
        <v>46119</v>
      </c>
      <c r="AA41" s="552">
        <v>46120</v>
      </c>
      <c r="AB41" s="567">
        <v>46123</v>
      </c>
      <c r="AC41" s="541" t="s">
        <v>1133</v>
      </c>
      <c r="AD41" s="541" t="s">
        <v>1133</v>
      </c>
      <c r="AE41" s="539" t="s">
        <v>253</v>
      </c>
      <c r="AF41" s="541" t="s">
        <v>1228</v>
      </c>
      <c r="AG41" s="541" t="s">
        <v>253</v>
      </c>
      <c r="AH41" s="541" t="s">
        <v>1133</v>
      </c>
      <c r="AI41" s="541" t="s">
        <v>1228</v>
      </c>
      <c r="AJ41" s="541" t="s">
        <v>1133</v>
      </c>
      <c r="AK41" s="541" t="s">
        <v>253</v>
      </c>
      <c r="AL41" s="541"/>
      <c r="AM41" s="541" t="s">
        <v>1303</v>
      </c>
      <c r="AN41" s="585" t="s">
        <v>1312</v>
      </c>
      <c r="AO41" s="544">
        <v>0.83</v>
      </c>
      <c r="AP41" s="545">
        <f t="shared" si="3"/>
        <v>856.56</v>
      </c>
      <c r="AQ41" s="545">
        <f t="shared" si="4"/>
        <v>6638.34</v>
      </c>
      <c r="AR41" s="546"/>
      <c r="AS41" s="538"/>
      <c r="AT41" s="455" t="s">
        <v>1313</v>
      </c>
      <c r="AU41" s="584"/>
      <c r="AV41" s="548">
        <f t="shared" si="5"/>
        <v>-1032</v>
      </c>
      <c r="AW41" s="548"/>
      <c r="AX41" s="549"/>
      <c r="AY41" s="538"/>
      <c r="AZ41" s="420" t="s">
        <v>1256</v>
      </c>
      <c r="BA41" s="538"/>
      <c r="BB41" s="538" t="str">
        <f t="shared" si="6"/>
        <v>JAZWARES - WALMART CA</v>
      </c>
      <c r="BC41" s="538" t="str">
        <f t="shared" si="7"/>
        <v>美国</v>
      </c>
    </row>
    <row r="42" s="497" customFormat="1" customHeight="1" spans="1:55">
      <c r="A42" s="553">
        <v>46119</v>
      </c>
      <c r="B42" s="553" t="str">
        <f ca="1" t="shared" si="0"/>
        <v/>
      </c>
      <c r="C42" s="554" t="str">
        <f>VLOOKUP(H42,名称!A:E,4,0)</f>
        <v>三代</v>
      </c>
      <c r="D42" s="555" t="s">
        <v>1297</v>
      </c>
      <c r="E42" s="555" t="s">
        <v>1224</v>
      </c>
      <c r="F42" s="554" t="s">
        <v>650</v>
      </c>
      <c r="G42" s="554" t="s">
        <v>563</v>
      </c>
      <c r="H42" s="554" t="s">
        <v>107</v>
      </c>
      <c r="I42" s="554"/>
      <c r="J42" s="556">
        <v>2790</v>
      </c>
      <c r="K42" s="92">
        <f>VLOOKUP(H42,名称!A:C,2,0)</f>
        <v>12</v>
      </c>
      <c r="L42" s="32">
        <f t="shared" si="1"/>
        <v>33480</v>
      </c>
      <c r="M42" s="554">
        <f>VLOOKUP(H42,名称!A:E,3,0)</f>
        <v>5</v>
      </c>
      <c r="N42" s="556">
        <f t="shared" si="2"/>
        <v>558</v>
      </c>
      <c r="O42" s="553">
        <v>46246</v>
      </c>
      <c r="P42" s="578">
        <f t="shared" si="8"/>
        <v>46246</v>
      </c>
      <c r="Q42" s="578">
        <v>46245</v>
      </c>
      <c r="R42" s="435" t="s">
        <v>1304</v>
      </c>
      <c r="S42" s="579" t="s">
        <v>1305</v>
      </c>
      <c r="T42" s="444" t="s">
        <v>1291</v>
      </c>
      <c r="U42" s="557"/>
      <c r="V42" s="557"/>
      <c r="W42" s="556" t="str">
        <f>IFERROR(VLOOKUP(H42,名称!A:F,6,0),"")</f>
        <v>湖南</v>
      </c>
      <c r="X42" s="557" t="s">
        <v>1133</v>
      </c>
      <c r="Y42" s="557" t="s">
        <v>1133</v>
      </c>
      <c r="Z42" s="580">
        <v>46113</v>
      </c>
      <c r="AA42" s="581">
        <v>46120</v>
      </c>
      <c r="AB42" s="581">
        <v>46121</v>
      </c>
      <c r="AC42" s="557" t="s">
        <v>1302</v>
      </c>
      <c r="AD42" s="541" t="s">
        <v>1228</v>
      </c>
      <c r="AE42" s="554" t="s">
        <v>253</v>
      </c>
      <c r="AF42" s="541" t="s">
        <v>1228</v>
      </c>
      <c r="AG42" s="557" t="s">
        <v>253</v>
      </c>
      <c r="AH42" s="541" t="s">
        <v>253</v>
      </c>
      <c r="AI42" s="541" t="s">
        <v>1228</v>
      </c>
      <c r="AJ42" s="541" t="s">
        <v>253</v>
      </c>
      <c r="AK42" s="554" t="s">
        <v>1133</v>
      </c>
      <c r="AL42" s="557"/>
      <c r="AM42" s="557" t="s">
        <v>1303</v>
      </c>
      <c r="AN42" s="556" t="s">
        <v>1231</v>
      </c>
      <c r="AO42" s="560">
        <v>2.12</v>
      </c>
      <c r="AP42" s="561">
        <f t="shared" si="3"/>
        <v>5914.8</v>
      </c>
      <c r="AQ42" s="561">
        <f t="shared" si="4"/>
        <v>45839.7</v>
      </c>
      <c r="AR42" s="562"/>
      <c r="AS42" s="553"/>
      <c r="AT42" s="553" t="s">
        <v>1220</v>
      </c>
      <c r="AU42" s="582">
        <v>2790</v>
      </c>
      <c r="AV42" s="564">
        <f t="shared" si="5"/>
        <v>0</v>
      </c>
      <c r="AW42" s="564"/>
      <c r="AX42" s="578" t="s">
        <v>1280</v>
      </c>
      <c r="AY42" s="553"/>
      <c r="AZ42" s="440" t="s">
        <v>1256</v>
      </c>
      <c r="BA42" s="553"/>
      <c r="BB42" s="553" t="str">
        <f t="shared" si="6"/>
        <v>Jazwares Canada</v>
      </c>
      <c r="BC42" s="553" t="str">
        <f t="shared" si="7"/>
        <v>美国</v>
      </c>
    </row>
    <row r="43" s="495" customFormat="1" customHeight="1" spans="1:55">
      <c r="A43" s="538">
        <v>46119</v>
      </c>
      <c r="B43" s="538" t="str">
        <f ca="1" t="shared" si="0"/>
        <v/>
      </c>
      <c r="C43" s="539" t="str">
        <f>VLOOKUP(H43,名称!A:E,4,0)</f>
        <v>三代</v>
      </c>
      <c r="D43" s="540" t="s">
        <v>1297</v>
      </c>
      <c r="E43" s="540" t="s">
        <v>1224</v>
      </c>
      <c r="F43" s="539" t="s">
        <v>651</v>
      </c>
      <c r="G43" s="539" t="s">
        <v>564</v>
      </c>
      <c r="H43" s="539" t="s">
        <v>107</v>
      </c>
      <c r="I43" s="118"/>
      <c r="J43" s="518">
        <v>6215</v>
      </c>
      <c r="K43" s="92">
        <f>VLOOKUP(H43,名称!A:C,2,0)</f>
        <v>12</v>
      </c>
      <c r="L43" s="32">
        <f t="shared" si="1"/>
        <v>74580</v>
      </c>
      <c r="M43" s="539">
        <f>VLOOKUP(H43,名称!A:E,3,0)</f>
        <v>5</v>
      </c>
      <c r="N43" s="518">
        <f t="shared" si="2"/>
        <v>1243</v>
      </c>
      <c r="O43" s="538">
        <v>46260</v>
      </c>
      <c r="P43" s="549">
        <f t="shared" si="8"/>
        <v>46260</v>
      </c>
      <c r="Q43" s="549">
        <v>46259</v>
      </c>
      <c r="R43" s="539"/>
      <c r="S43" s="549">
        <v>46260</v>
      </c>
      <c r="T43" s="541"/>
      <c r="U43" s="541"/>
      <c r="V43" s="541"/>
      <c r="W43" s="518" t="str">
        <f>IFERROR(VLOOKUP(H43,名称!A:F,6,0),"")</f>
        <v>湖南</v>
      </c>
      <c r="X43" s="541" t="s">
        <v>1133</v>
      </c>
      <c r="Y43" s="541" t="s">
        <v>1133</v>
      </c>
      <c r="Z43" s="567">
        <v>46113</v>
      </c>
      <c r="AA43" s="552">
        <v>46120</v>
      </c>
      <c r="AB43" s="552">
        <v>46121</v>
      </c>
      <c r="AC43" s="541" t="s">
        <v>1302</v>
      </c>
      <c r="AD43" s="541" t="s">
        <v>1228</v>
      </c>
      <c r="AE43" s="539" t="s">
        <v>253</v>
      </c>
      <c r="AF43" s="541" t="s">
        <v>1228</v>
      </c>
      <c r="AG43" s="541" t="s">
        <v>253</v>
      </c>
      <c r="AH43" s="541" t="s">
        <v>253</v>
      </c>
      <c r="AI43" s="541" t="s">
        <v>1228</v>
      </c>
      <c r="AJ43" s="541" t="s">
        <v>253</v>
      </c>
      <c r="AK43" s="539" t="s">
        <v>1133</v>
      </c>
      <c r="AL43" s="541"/>
      <c r="AM43" s="541" t="s">
        <v>1303</v>
      </c>
      <c r="AN43" s="518" t="s">
        <v>1231</v>
      </c>
      <c r="AO43" s="544">
        <v>2.12</v>
      </c>
      <c r="AP43" s="545">
        <f t="shared" si="3"/>
        <v>13175.8</v>
      </c>
      <c r="AQ43" s="545">
        <f t="shared" si="4"/>
        <v>102112.45</v>
      </c>
      <c r="AR43" s="546"/>
      <c r="AS43" s="538"/>
      <c r="AT43" s="538" t="s">
        <v>1220</v>
      </c>
      <c r="AU43" s="584">
        <v>6215</v>
      </c>
      <c r="AV43" s="548">
        <f t="shared" si="5"/>
        <v>0</v>
      </c>
      <c r="AW43" s="548"/>
      <c r="AX43" s="549" t="s">
        <v>1280</v>
      </c>
      <c r="AY43" s="538"/>
      <c r="AZ43" s="420" t="s">
        <v>1256</v>
      </c>
      <c r="BA43" s="538"/>
      <c r="BB43" s="538" t="str">
        <f t="shared" si="6"/>
        <v>Jazwares Canada</v>
      </c>
      <c r="BC43" s="538" t="str">
        <f t="shared" si="7"/>
        <v>美国</v>
      </c>
    </row>
    <row r="44" s="495" customFormat="1" customHeight="1" spans="1:55">
      <c r="A44" s="538">
        <v>46119</v>
      </c>
      <c r="B44" s="538" t="str">
        <f ca="1" t="shared" si="0"/>
        <v/>
      </c>
      <c r="C44" s="539" t="str">
        <f>VLOOKUP(H44,名称!A:E,4,0)</f>
        <v>三代</v>
      </c>
      <c r="D44" s="540" t="s">
        <v>1297</v>
      </c>
      <c r="E44" s="540" t="s">
        <v>1224</v>
      </c>
      <c r="F44" s="539" t="s">
        <v>652</v>
      </c>
      <c r="G44" s="539" t="s">
        <v>565</v>
      </c>
      <c r="H44" s="539" t="s">
        <v>107</v>
      </c>
      <c r="I44" s="118"/>
      <c r="J44" s="518">
        <v>3930</v>
      </c>
      <c r="K44" s="92">
        <f>VLOOKUP(H44,名称!A:C,2,0)</f>
        <v>12</v>
      </c>
      <c r="L44" s="32">
        <f t="shared" si="1"/>
        <v>47160</v>
      </c>
      <c r="M44" s="539">
        <f>VLOOKUP(H44,名称!A:E,3,0)</f>
        <v>5</v>
      </c>
      <c r="N44" s="518">
        <f t="shared" si="2"/>
        <v>786</v>
      </c>
      <c r="O44" s="538">
        <v>46274</v>
      </c>
      <c r="P44" s="420">
        <v>46274</v>
      </c>
      <c r="Q44" s="420">
        <v>46274</v>
      </c>
      <c r="R44" s="539"/>
      <c r="S44" s="420">
        <v>46275</v>
      </c>
      <c r="T44" s="541"/>
      <c r="U44" s="541"/>
      <c r="V44" s="541"/>
      <c r="W44" s="518" t="str">
        <f>IFERROR(VLOOKUP(H44,名称!A:F,6,0),"")</f>
        <v>湖南</v>
      </c>
      <c r="X44" s="541" t="s">
        <v>1133</v>
      </c>
      <c r="Y44" s="541" t="s">
        <v>1133</v>
      </c>
      <c r="Z44" s="567">
        <v>46113</v>
      </c>
      <c r="AA44" s="552">
        <v>46120</v>
      </c>
      <c r="AB44" s="552">
        <v>46121</v>
      </c>
      <c r="AC44" s="541" t="s">
        <v>1302</v>
      </c>
      <c r="AD44" s="541" t="s">
        <v>1228</v>
      </c>
      <c r="AE44" s="539" t="s">
        <v>253</v>
      </c>
      <c r="AF44" s="541" t="s">
        <v>1228</v>
      </c>
      <c r="AG44" s="541" t="s">
        <v>253</v>
      </c>
      <c r="AH44" s="541" t="s">
        <v>253</v>
      </c>
      <c r="AI44" s="541" t="s">
        <v>1228</v>
      </c>
      <c r="AJ44" s="541" t="s">
        <v>253</v>
      </c>
      <c r="AK44" s="541" t="s">
        <v>1133</v>
      </c>
      <c r="AL44" s="541"/>
      <c r="AM44" s="541" t="s">
        <v>1303</v>
      </c>
      <c r="AN44" s="518" t="s">
        <v>1231</v>
      </c>
      <c r="AO44" s="544">
        <v>2.12</v>
      </c>
      <c r="AP44" s="545">
        <f t="shared" si="3"/>
        <v>8331.6</v>
      </c>
      <c r="AQ44" s="545">
        <f t="shared" si="4"/>
        <v>64569.9</v>
      </c>
      <c r="AR44" s="546"/>
      <c r="AS44" s="538"/>
      <c r="AT44" s="538" t="s">
        <v>1220</v>
      </c>
      <c r="AU44" s="584"/>
      <c r="AV44" s="548">
        <f t="shared" si="5"/>
        <v>-3930</v>
      </c>
      <c r="AW44" s="548"/>
      <c r="AX44" s="549" t="s">
        <v>1280</v>
      </c>
      <c r="AY44" s="538"/>
      <c r="AZ44" s="420" t="s">
        <v>1256</v>
      </c>
      <c r="BA44" s="538"/>
      <c r="BB44" s="538" t="str">
        <f t="shared" si="6"/>
        <v>Jazwares Canada</v>
      </c>
      <c r="BC44" s="538" t="str">
        <f t="shared" si="7"/>
        <v>美国</v>
      </c>
    </row>
    <row r="45" s="495" customFormat="1" customHeight="1" spans="1:55">
      <c r="A45" s="538">
        <v>46119</v>
      </c>
      <c r="B45" s="538" t="str">
        <f ca="1" t="shared" si="0"/>
        <v/>
      </c>
      <c r="C45" s="539" t="str">
        <f>VLOOKUP(H45,名称!A:E,4,0)</f>
        <v>三代</v>
      </c>
      <c r="D45" s="540" t="s">
        <v>1297</v>
      </c>
      <c r="E45" s="540" t="s">
        <v>1224</v>
      </c>
      <c r="F45" s="539" t="s">
        <v>653</v>
      </c>
      <c r="G45" s="539" t="s">
        <v>566</v>
      </c>
      <c r="H45" s="539" t="s">
        <v>107</v>
      </c>
      <c r="I45" s="118"/>
      <c r="J45" s="518">
        <v>2430</v>
      </c>
      <c r="K45" s="92">
        <f>VLOOKUP(H45,名称!A:C,2,0)</f>
        <v>12</v>
      </c>
      <c r="L45" s="32">
        <f t="shared" si="1"/>
        <v>29160</v>
      </c>
      <c r="M45" s="539">
        <f>VLOOKUP(H45,名称!A:E,3,0)</f>
        <v>5</v>
      </c>
      <c r="N45" s="518">
        <f t="shared" si="2"/>
        <v>486</v>
      </c>
      <c r="O45" s="538">
        <v>46288</v>
      </c>
      <c r="P45" s="420">
        <v>46288</v>
      </c>
      <c r="Q45" s="420">
        <v>46288</v>
      </c>
      <c r="R45" s="539"/>
      <c r="S45" s="420">
        <v>46289</v>
      </c>
      <c r="T45" s="541"/>
      <c r="U45" s="541"/>
      <c r="V45" s="541"/>
      <c r="W45" s="518" t="str">
        <f>IFERROR(VLOOKUP(H45,名称!A:F,6,0),"")</f>
        <v>湖南</v>
      </c>
      <c r="X45" s="541" t="s">
        <v>1133</v>
      </c>
      <c r="Y45" s="541" t="s">
        <v>1133</v>
      </c>
      <c r="Z45" s="567">
        <v>46113</v>
      </c>
      <c r="AA45" s="552">
        <v>46120</v>
      </c>
      <c r="AB45" s="552">
        <v>46121</v>
      </c>
      <c r="AC45" s="541" t="s">
        <v>1302</v>
      </c>
      <c r="AD45" s="541" t="s">
        <v>1228</v>
      </c>
      <c r="AE45" s="539" t="s">
        <v>253</v>
      </c>
      <c r="AF45" s="541" t="s">
        <v>1228</v>
      </c>
      <c r="AG45" s="541" t="s">
        <v>253</v>
      </c>
      <c r="AH45" s="541" t="s">
        <v>253</v>
      </c>
      <c r="AI45" s="541" t="s">
        <v>1228</v>
      </c>
      <c r="AJ45" s="541" t="s">
        <v>253</v>
      </c>
      <c r="AK45" s="541" t="s">
        <v>1133</v>
      </c>
      <c r="AL45" s="541"/>
      <c r="AM45" s="541" t="s">
        <v>1303</v>
      </c>
      <c r="AN45" s="518" t="s">
        <v>1231</v>
      </c>
      <c r="AO45" s="544">
        <v>2.12</v>
      </c>
      <c r="AP45" s="545">
        <f t="shared" si="3"/>
        <v>5151.6</v>
      </c>
      <c r="AQ45" s="545">
        <f t="shared" si="4"/>
        <v>39924.9</v>
      </c>
      <c r="AR45" s="546"/>
      <c r="AS45" s="538"/>
      <c r="AT45" s="538" t="s">
        <v>1220</v>
      </c>
      <c r="AU45" s="584"/>
      <c r="AV45" s="548">
        <f t="shared" si="5"/>
        <v>-2430</v>
      </c>
      <c r="AW45" s="548"/>
      <c r="AX45" s="549" t="s">
        <v>1280</v>
      </c>
      <c r="AY45" s="538"/>
      <c r="AZ45" s="420" t="s">
        <v>1256</v>
      </c>
      <c r="BA45" s="538"/>
      <c r="BB45" s="538" t="str">
        <f t="shared" si="6"/>
        <v>Jazwares Canada</v>
      </c>
      <c r="BC45" s="538" t="str">
        <f t="shared" si="7"/>
        <v>美国</v>
      </c>
    </row>
    <row r="46" s="495" customFormat="1" customHeight="1" spans="1:55">
      <c r="A46" s="538">
        <v>46119</v>
      </c>
      <c r="B46" s="538" t="str">
        <f ca="1" t="shared" si="0"/>
        <v/>
      </c>
      <c r="C46" s="539" t="str">
        <f>VLOOKUP(H46,名称!A:E,4,0)</f>
        <v>三代</v>
      </c>
      <c r="D46" s="540" t="s">
        <v>1297</v>
      </c>
      <c r="E46" s="540" t="s">
        <v>1224</v>
      </c>
      <c r="F46" s="539" t="s">
        <v>654</v>
      </c>
      <c r="G46" s="539" t="s">
        <v>567</v>
      </c>
      <c r="H46" s="539" t="s">
        <v>107</v>
      </c>
      <c r="I46" s="118"/>
      <c r="J46" s="518">
        <v>2655</v>
      </c>
      <c r="K46" s="92">
        <f>VLOOKUP(H46,名称!A:C,2,0)</f>
        <v>12</v>
      </c>
      <c r="L46" s="32">
        <f t="shared" si="1"/>
        <v>31860</v>
      </c>
      <c r="M46" s="539">
        <f>VLOOKUP(H46,名称!A:E,3,0)</f>
        <v>5</v>
      </c>
      <c r="N46" s="518">
        <f t="shared" si="2"/>
        <v>531</v>
      </c>
      <c r="O46" s="538">
        <v>46302</v>
      </c>
      <c r="P46" s="420">
        <v>46302</v>
      </c>
      <c r="Q46" s="420">
        <v>46302</v>
      </c>
      <c r="R46" s="539"/>
      <c r="S46" s="420">
        <v>46303</v>
      </c>
      <c r="T46" s="541"/>
      <c r="U46" s="541"/>
      <c r="V46" s="541"/>
      <c r="W46" s="518" t="str">
        <f>IFERROR(VLOOKUP(H46,名称!A:F,6,0),"")</f>
        <v>湖南</v>
      </c>
      <c r="X46" s="541" t="s">
        <v>1133</v>
      </c>
      <c r="Y46" s="541" t="s">
        <v>1133</v>
      </c>
      <c r="Z46" s="567">
        <v>46113</v>
      </c>
      <c r="AA46" s="552">
        <v>46120</v>
      </c>
      <c r="AB46" s="552">
        <v>46121</v>
      </c>
      <c r="AC46" s="541" t="s">
        <v>1302</v>
      </c>
      <c r="AD46" s="541" t="s">
        <v>1228</v>
      </c>
      <c r="AE46" s="539" t="s">
        <v>253</v>
      </c>
      <c r="AF46" s="541" t="s">
        <v>1228</v>
      </c>
      <c r="AG46" s="541" t="s">
        <v>253</v>
      </c>
      <c r="AH46" s="541" t="s">
        <v>253</v>
      </c>
      <c r="AI46" s="541" t="s">
        <v>1228</v>
      </c>
      <c r="AJ46" s="541" t="s">
        <v>253</v>
      </c>
      <c r="AK46" s="541" t="s">
        <v>1133</v>
      </c>
      <c r="AL46" s="541"/>
      <c r="AM46" s="541" t="s">
        <v>1303</v>
      </c>
      <c r="AN46" s="518" t="s">
        <v>1231</v>
      </c>
      <c r="AO46" s="544">
        <v>2.12</v>
      </c>
      <c r="AP46" s="545">
        <f t="shared" si="3"/>
        <v>5628.6</v>
      </c>
      <c r="AQ46" s="545">
        <f t="shared" si="4"/>
        <v>43621.65</v>
      </c>
      <c r="AR46" s="546"/>
      <c r="AS46" s="538"/>
      <c r="AT46" s="538" t="s">
        <v>1220</v>
      </c>
      <c r="AU46" s="584"/>
      <c r="AV46" s="548">
        <f t="shared" si="5"/>
        <v>-2655</v>
      </c>
      <c r="AW46" s="548"/>
      <c r="AX46" s="549" t="s">
        <v>1280</v>
      </c>
      <c r="AY46" s="538"/>
      <c r="AZ46" s="420" t="s">
        <v>1256</v>
      </c>
      <c r="BA46" s="538"/>
      <c r="BB46" s="538" t="str">
        <f t="shared" si="6"/>
        <v>Jazwares Canada</v>
      </c>
      <c r="BC46" s="538" t="str">
        <f t="shared" si="7"/>
        <v>美国</v>
      </c>
    </row>
    <row r="47" s="496" customFormat="1" customHeight="1" spans="1:55">
      <c r="A47" s="527">
        <v>46119</v>
      </c>
      <c r="B47" s="527" t="str">
        <f ca="1" t="shared" si="0"/>
        <v/>
      </c>
      <c r="C47" s="346" t="str">
        <f>VLOOKUP(H47,名称!A:E,4,0)</f>
        <v>三代</v>
      </c>
      <c r="D47" s="528" t="s">
        <v>1311</v>
      </c>
      <c r="E47" s="528" t="s">
        <v>1224</v>
      </c>
      <c r="F47" s="346" t="s">
        <v>661</v>
      </c>
      <c r="G47" s="346" t="s">
        <v>662</v>
      </c>
      <c r="H47" s="346" t="s">
        <v>60</v>
      </c>
      <c r="I47" s="346"/>
      <c r="J47" s="348">
        <v>1800</v>
      </c>
      <c r="K47" s="347">
        <f>VLOOKUP(H47,名称!A:C,2,0)</f>
        <v>5</v>
      </c>
      <c r="L47" s="348">
        <f t="shared" si="1"/>
        <v>9000</v>
      </c>
      <c r="M47" s="346">
        <f>VLOOKUP(H47,名称!A:E,3,0)</f>
        <v>12</v>
      </c>
      <c r="N47" s="348">
        <f t="shared" si="2"/>
        <v>150</v>
      </c>
      <c r="O47" s="527">
        <v>46232</v>
      </c>
      <c r="P47" s="527">
        <f t="shared" ref="P47:P60" si="9">O47</f>
        <v>46232</v>
      </c>
      <c r="Q47" s="536">
        <v>46231</v>
      </c>
      <c r="R47" s="404" t="s">
        <v>1241</v>
      </c>
      <c r="S47" s="415" t="s">
        <v>1301</v>
      </c>
      <c r="T47" s="415" t="s">
        <v>1241</v>
      </c>
      <c r="U47" s="568"/>
      <c r="V47" s="569">
        <v>46247</v>
      </c>
      <c r="W47" s="348" t="str">
        <f>IFERROR(VLOOKUP(H47,名称!A:F,6,0),"")</f>
        <v>湖南</v>
      </c>
      <c r="X47" s="568" t="s">
        <v>1133</v>
      </c>
      <c r="Y47" s="568" t="s">
        <v>1133</v>
      </c>
      <c r="Z47" s="569">
        <v>46119</v>
      </c>
      <c r="AA47" s="570">
        <v>46120</v>
      </c>
      <c r="AB47" s="569">
        <v>46121</v>
      </c>
      <c r="AC47" s="568" t="s">
        <v>1133</v>
      </c>
      <c r="AD47" s="568" t="s">
        <v>1133</v>
      </c>
      <c r="AE47" s="346" t="s">
        <v>253</v>
      </c>
      <c r="AF47" s="568" t="s">
        <v>1228</v>
      </c>
      <c r="AG47" s="568" t="s">
        <v>253</v>
      </c>
      <c r="AH47" s="568" t="s">
        <v>1133</v>
      </c>
      <c r="AI47" s="568" t="s">
        <v>1228</v>
      </c>
      <c r="AJ47" s="568" t="s">
        <v>1133</v>
      </c>
      <c r="AK47" s="346" t="s">
        <v>253</v>
      </c>
      <c r="AL47" s="568"/>
      <c r="AM47" s="568" t="s">
        <v>1303</v>
      </c>
      <c r="AN47" s="348" t="s">
        <v>1234</v>
      </c>
      <c r="AO47" s="531">
        <v>0.61</v>
      </c>
      <c r="AP47" s="532">
        <f t="shared" si="3"/>
        <v>1098</v>
      </c>
      <c r="AQ47" s="532">
        <f t="shared" si="4"/>
        <v>8509.5</v>
      </c>
      <c r="AR47" s="533"/>
      <c r="AS47" s="527"/>
      <c r="AT47" s="527" t="s">
        <v>1220</v>
      </c>
      <c r="AU47" s="537">
        <v>1800</v>
      </c>
      <c r="AV47" s="535">
        <f t="shared" si="5"/>
        <v>0</v>
      </c>
      <c r="AW47" s="535"/>
      <c r="AX47" s="536" t="s">
        <v>1280</v>
      </c>
      <c r="AY47" s="527"/>
      <c r="AZ47" s="413" t="s">
        <v>1256</v>
      </c>
      <c r="BA47" s="527"/>
      <c r="BB47" s="527" t="str">
        <f t="shared" si="6"/>
        <v>JAZWARES - WALMART CA</v>
      </c>
      <c r="BC47" s="527" t="str">
        <f t="shared" si="7"/>
        <v>美国</v>
      </c>
    </row>
    <row r="48" s="495" customFormat="1" customHeight="1" spans="1:55">
      <c r="A48" s="538">
        <v>46119</v>
      </c>
      <c r="B48" s="538" t="str">
        <f ca="1" t="shared" si="0"/>
        <v/>
      </c>
      <c r="C48" s="539" t="str">
        <f>VLOOKUP(H48,名称!A:E,4,0)</f>
        <v>三代</v>
      </c>
      <c r="D48" s="540" t="s">
        <v>1311</v>
      </c>
      <c r="E48" s="540" t="s">
        <v>1224</v>
      </c>
      <c r="F48" s="539" t="s">
        <v>663</v>
      </c>
      <c r="G48" s="539" t="s">
        <v>664</v>
      </c>
      <c r="H48" s="539" t="s">
        <v>60</v>
      </c>
      <c r="I48" s="118"/>
      <c r="J48" s="518">
        <v>1800</v>
      </c>
      <c r="K48" s="92">
        <f>VLOOKUP(H48,名称!A:C,2,0)</f>
        <v>5</v>
      </c>
      <c r="L48" s="32">
        <f t="shared" si="1"/>
        <v>9000</v>
      </c>
      <c r="M48" s="539">
        <f>VLOOKUP(H48,名称!A:E,3,0)</f>
        <v>12</v>
      </c>
      <c r="N48" s="518">
        <f t="shared" si="2"/>
        <v>150</v>
      </c>
      <c r="O48" s="538">
        <v>46246</v>
      </c>
      <c r="P48" s="538">
        <f t="shared" si="9"/>
        <v>46246</v>
      </c>
      <c r="Q48" s="549">
        <v>46245</v>
      </c>
      <c r="R48" s="539"/>
      <c r="S48" s="566" t="s">
        <v>1305</v>
      </c>
      <c r="T48" s="541"/>
      <c r="U48" s="541"/>
      <c r="V48" s="541"/>
      <c r="W48" s="518" t="str">
        <f>IFERROR(VLOOKUP(H48,名称!A:F,6,0),"")</f>
        <v>湖南</v>
      </c>
      <c r="X48" s="541" t="s">
        <v>1133</v>
      </c>
      <c r="Y48" s="541" t="s">
        <v>1133</v>
      </c>
      <c r="Z48" s="567">
        <v>46119</v>
      </c>
      <c r="AA48" s="552">
        <v>46120</v>
      </c>
      <c r="AB48" s="567">
        <v>46121</v>
      </c>
      <c r="AC48" s="541" t="s">
        <v>1133</v>
      </c>
      <c r="AD48" s="541" t="s">
        <v>1133</v>
      </c>
      <c r="AE48" s="539" t="s">
        <v>253</v>
      </c>
      <c r="AF48" s="541" t="s">
        <v>1228</v>
      </c>
      <c r="AG48" s="541" t="s">
        <v>253</v>
      </c>
      <c r="AH48" s="541" t="s">
        <v>1133</v>
      </c>
      <c r="AI48" s="541" t="s">
        <v>1228</v>
      </c>
      <c r="AJ48" s="541" t="s">
        <v>1133</v>
      </c>
      <c r="AK48" s="539" t="s">
        <v>253</v>
      </c>
      <c r="AL48" s="541"/>
      <c r="AM48" s="541" t="s">
        <v>1303</v>
      </c>
      <c r="AN48" s="518" t="s">
        <v>1234</v>
      </c>
      <c r="AO48" s="544">
        <v>0.61</v>
      </c>
      <c r="AP48" s="545">
        <f t="shared" si="3"/>
        <v>1098</v>
      </c>
      <c r="AQ48" s="545">
        <f t="shared" si="4"/>
        <v>8509.5</v>
      </c>
      <c r="AR48" s="546"/>
      <c r="AS48" s="538"/>
      <c r="AT48" s="538" t="s">
        <v>1220</v>
      </c>
      <c r="AU48" s="584">
        <v>1800</v>
      </c>
      <c r="AV48" s="548">
        <f t="shared" si="5"/>
        <v>0</v>
      </c>
      <c r="AW48" s="548"/>
      <c r="AX48" s="549" t="s">
        <v>1280</v>
      </c>
      <c r="AY48" s="538"/>
      <c r="AZ48" s="420" t="s">
        <v>1256</v>
      </c>
      <c r="BA48" s="538"/>
      <c r="BB48" s="538" t="str">
        <f t="shared" si="6"/>
        <v>JAZWARES - WALMART CA</v>
      </c>
      <c r="BC48" s="538" t="str">
        <f t="shared" si="7"/>
        <v>美国</v>
      </c>
    </row>
    <row r="49" s="495" customFormat="1" customHeight="1" spans="1:55">
      <c r="A49" s="538">
        <v>46119</v>
      </c>
      <c r="B49" s="538" t="str">
        <f ca="1" t="shared" si="0"/>
        <v/>
      </c>
      <c r="C49" s="539" t="str">
        <f>VLOOKUP(H49,名称!A:E,4,0)</f>
        <v>三代</v>
      </c>
      <c r="D49" s="540" t="s">
        <v>1311</v>
      </c>
      <c r="E49" s="540" t="s">
        <v>1224</v>
      </c>
      <c r="F49" s="539" t="s">
        <v>665</v>
      </c>
      <c r="G49" s="539" t="s">
        <v>666</v>
      </c>
      <c r="H49" s="539" t="s">
        <v>60</v>
      </c>
      <c r="I49" s="118"/>
      <c r="J49" s="518">
        <v>1800</v>
      </c>
      <c r="K49" s="92">
        <f>VLOOKUP(H49,名称!A:C,2,0)</f>
        <v>5</v>
      </c>
      <c r="L49" s="32">
        <f t="shared" si="1"/>
        <v>9000</v>
      </c>
      <c r="M49" s="539">
        <f>VLOOKUP(H49,名称!A:E,3,0)</f>
        <v>12</v>
      </c>
      <c r="N49" s="518">
        <f t="shared" si="2"/>
        <v>150</v>
      </c>
      <c r="O49" s="538">
        <v>46260</v>
      </c>
      <c r="P49" s="538">
        <f t="shared" si="9"/>
        <v>46260</v>
      </c>
      <c r="Q49" s="549">
        <v>46260</v>
      </c>
      <c r="R49" s="539"/>
      <c r="S49" s="549">
        <v>46260</v>
      </c>
      <c r="T49" s="541"/>
      <c r="U49" s="541"/>
      <c r="V49" s="541"/>
      <c r="W49" s="518" t="str">
        <f>IFERROR(VLOOKUP(H49,名称!A:F,6,0),"")</f>
        <v>湖南</v>
      </c>
      <c r="X49" s="541" t="s">
        <v>1133</v>
      </c>
      <c r="Y49" s="541" t="s">
        <v>1133</v>
      </c>
      <c r="Z49" s="567">
        <v>46119</v>
      </c>
      <c r="AA49" s="552">
        <v>46120</v>
      </c>
      <c r="AB49" s="567">
        <v>46121</v>
      </c>
      <c r="AC49" s="541" t="s">
        <v>1133</v>
      </c>
      <c r="AD49" s="541" t="s">
        <v>1133</v>
      </c>
      <c r="AE49" s="539" t="s">
        <v>253</v>
      </c>
      <c r="AF49" s="541" t="s">
        <v>1228</v>
      </c>
      <c r="AG49" s="541" t="s">
        <v>253</v>
      </c>
      <c r="AH49" s="541" t="s">
        <v>1133</v>
      </c>
      <c r="AI49" s="541" t="s">
        <v>1228</v>
      </c>
      <c r="AJ49" s="541" t="s">
        <v>1133</v>
      </c>
      <c r="AK49" s="539" t="s">
        <v>253</v>
      </c>
      <c r="AL49" s="541"/>
      <c r="AM49" s="541" t="s">
        <v>1303</v>
      </c>
      <c r="AN49" s="518" t="s">
        <v>1234</v>
      </c>
      <c r="AO49" s="544">
        <v>0.61</v>
      </c>
      <c r="AP49" s="545">
        <f t="shared" si="3"/>
        <v>1098</v>
      </c>
      <c r="AQ49" s="545">
        <f t="shared" si="4"/>
        <v>8509.5</v>
      </c>
      <c r="AR49" s="546"/>
      <c r="AS49" s="538"/>
      <c r="AT49" s="538" t="s">
        <v>1220</v>
      </c>
      <c r="AU49" s="584"/>
      <c r="AV49" s="548">
        <f t="shared" si="5"/>
        <v>-1800</v>
      </c>
      <c r="AW49" s="548"/>
      <c r="AX49" s="549" t="s">
        <v>1280</v>
      </c>
      <c r="AY49" s="538"/>
      <c r="AZ49" s="420" t="s">
        <v>1256</v>
      </c>
      <c r="BA49" s="538"/>
      <c r="BB49" s="538" t="str">
        <f t="shared" si="6"/>
        <v>JAZWARES - WALMART CA</v>
      </c>
      <c r="BC49" s="538" t="str">
        <f t="shared" si="7"/>
        <v>美国</v>
      </c>
    </row>
    <row r="50" s="495" customFormat="1" customHeight="1" spans="1:55">
      <c r="A50" s="538">
        <v>46119</v>
      </c>
      <c r="B50" s="538" t="str">
        <f ca="1" t="shared" si="0"/>
        <v/>
      </c>
      <c r="C50" s="539" t="str">
        <f>VLOOKUP(H50,名称!A:E,4,0)</f>
        <v>三代</v>
      </c>
      <c r="D50" s="540" t="s">
        <v>1311</v>
      </c>
      <c r="E50" s="540" t="s">
        <v>1224</v>
      </c>
      <c r="F50" s="539" t="s">
        <v>667</v>
      </c>
      <c r="G50" s="539" t="s">
        <v>668</v>
      </c>
      <c r="H50" s="539" t="s">
        <v>60</v>
      </c>
      <c r="I50" s="118"/>
      <c r="J50" s="518">
        <v>1800</v>
      </c>
      <c r="K50" s="92">
        <f>VLOOKUP(H50,名称!A:C,2,0)</f>
        <v>5</v>
      </c>
      <c r="L50" s="32">
        <f t="shared" si="1"/>
        <v>9000</v>
      </c>
      <c r="M50" s="539">
        <f>VLOOKUP(H50,名称!A:E,3,0)</f>
        <v>12</v>
      </c>
      <c r="N50" s="518">
        <f t="shared" si="2"/>
        <v>150</v>
      </c>
      <c r="O50" s="538">
        <v>46274</v>
      </c>
      <c r="P50" s="538">
        <f t="shared" si="9"/>
        <v>46274</v>
      </c>
      <c r="Q50" s="549">
        <v>46273</v>
      </c>
      <c r="R50" s="539"/>
      <c r="S50" s="549">
        <v>46274</v>
      </c>
      <c r="T50" s="541"/>
      <c r="U50" s="541"/>
      <c r="V50" s="541"/>
      <c r="W50" s="518" t="str">
        <f>IFERROR(VLOOKUP(H50,名称!A:F,6,0),"")</f>
        <v>湖南</v>
      </c>
      <c r="X50" s="541" t="s">
        <v>1133</v>
      </c>
      <c r="Y50" s="541" t="s">
        <v>1133</v>
      </c>
      <c r="Z50" s="567">
        <v>46119</v>
      </c>
      <c r="AA50" s="552">
        <v>46120</v>
      </c>
      <c r="AB50" s="567">
        <v>46121</v>
      </c>
      <c r="AC50" s="541" t="s">
        <v>1133</v>
      </c>
      <c r="AD50" s="541" t="s">
        <v>1133</v>
      </c>
      <c r="AE50" s="539" t="s">
        <v>253</v>
      </c>
      <c r="AF50" s="541" t="s">
        <v>1228</v>
      </c>
      <c r="AG50" s="541" t="s">
        <v>253</v>
      </c>
      <c r="AH50" s="541" t="s">
        <v>1133</v>
      </c>
      <c r="AI50" s="541" t="s">
        <v>1228</v>
      </c>
      <c r="AJ50" s="541" t="s">
        <v>1133</v>
      </c>
      <c r="AK50" s="541" t="s">
        <v>253</v>
      </c>
      <c r="AL50" s="541"/>
      <c r="AM50" s="541" t="s">
        <v>1303</v>
      </c>
      <c r="AN50" s="518" t="s">
        <v>1234</v>
      </c>
      <c r="AO50" s="544">
        <v>0.61</v>
      </c>
      <c r="AP50" s="545">
        <f t="shared" si="3"/>
        <v>1098</v>
      </c>
      <c r="AQ50" s="545">
        <f t="shared" si="4"/>
        <v>8509.5</v>
      </c>
      <c r="AR50" s="546"/>
      <c r="AS50" s="538"/>
      <c r="AT50" s="538" t="s">
        <v>1220</v>
      </c>
      <c r="AU50" s="584"/>
      <c r="AV50" s="548">
        <f t="shared" si="5"/>
        <v>-1800</v>
      </c>
      <c r="AW50" s="548"/>
      <c r="AX50" s="549" t="s">
        <v>1280</v>
      </c>
      <c r="AY50" s="538"/>
      <c r="AZ50" s="420" t="s">
        <v>1256</v>
      </c>
      <c r="BA50" s="538"/>
      <c r="BB50" s="538" t="str">
        <f t="shared" si="6"/>
        <v>JAZWARES - WALMART CA</v>
      </c>
      <c r="BC50" s="538" t="str">
        <f t="shared" si="7"/>
        <v>美国</v>
      </c>
    </row>
    <row r="51" s="495" customFormat="1" customHeight="1" spans="1:55">
      <c r="A51" s="538">
        <v>46119</v>
      </c>
      <c r="B51" s="538" t="str">
        <f ca="1" t="shared" si="0"/>
        <v/>
      </c>
      <c r="C51" s="539" t="str">
        <f>VLOOKUP(H51,名称!A:E,4,0)</f>
        <v>三代</v>
      </c>
      <c r="D51" s="540" t="s">
        <v>1311</v>
      </c>
      <c r="E51" s="540" t="s">
        <v>1224</v>
      </c>
      <c r="F51" s="539" t="s">
        <v>669</v>
      </c>
      <c r="G51" s="539" t="s">
        <v>670</v>
      </c>
      <c r="H51" s="539" t="s">
        <v>60</v>
      </c>
      <c r="I51" s="118"/>
      <c r="J51" s="518">
        <v>1800</v>
      </c>
      <c r="K51" s="92">
        <f>VLOOKUP(H51,名称!A:C,2,0)</f>
        <v>5</v>
      </c>
      <c r="L51" s="32">
        <f t="shared" si="1"/>
        <v>9000</v>
      </c>
      <c r="M51" s="539">
        <f>VLOOKUP(H51,名称!A:E,3,0)</f>
        <v>12</v>
      </c>
      <c r="N51" s="518">
        <f t="shared" si="2"/>
        <v>150</v>
      </c>
      <c r="O51" s="538">
        <v>46288</v>
      </c>
      <c r="P51" s="538">
        <f t="shared" si="9"/>
        <v>46288</v>
      </c>
      <c r="Q51" s="549">
        <v>46287</v>
      </c>
      <c r="R51" s="539"/>
      <c r="S51" s="549">
        <v>46288</v>
      </c>
      <c r="T51" s="541"/>
      <c r="U51" s="541"/>
      <c r="V51" s="541"/>
      <c r="W51" s="518" t="str">
        <f>IFERROR(VLOOKUP(H51,名称!A:F,6,0),"")</f>
        <v>湖南</v>
      </c>
      <c r="X51" s="541" t="s">
        <v>1133</v>
      </c>
      <c r="Y51" s="541" t="s">
        <v>1133</v>
      </c>
      <c r="Z51" s="567">
        <v>46119</v>
      </c>
      <c r="AA51" s="552">
        <v>46120</v>
      </c>
      <c r="AB51" s="567">
        <v>46121</v>
      </c>
      <c r="AC51" s="541" t="s">
        <v>1133</v>
      </c>
      <c r="AD51" s="541" t="s">
        <v>1133</v>
      </c>
      <c r="AE51" s="539" t="s">
        <v>253</v>
      </c>
      <c r="AF51" s="541" t="s">
        <v>1228</v>
      </c>
      <c r="AG51" s="541" t="s">
        <v>253</v>
      </c>
      <c r="AH51" s="541" t="s">
        <v>1133</v>
      </c>
      <c r="AI51" s="541" t="s">
        <v>1228</v>
      </c>
      <c r="AJ51" s="541" t="s">
        <v>1133</v>
      </c>
      <c r="AK51" s="541" t="s">
        <v>253</v>
      </c>
      <c r="AL51" s="541"/>
      <c r="AM51" s="541" t="s">
        <v>1303</v>
      </c>
      <c r="AN51" s="518" t="s">
        <v>1234</v>
      </c>
      <c r="AO51" s="544">
        <v>0.61</v>
      </c>
      <c r="AP51" s="545">
        <f t="shared" si="3"/>
        <v>1098</v>
      </c>
      <c r="AQ51" s="545">
        <f t="shared" si="4"/>
        <v>8509.5</v>
      </c>
      <c r="AR51" s="546"/>
      <c r="AS51" s="538"/>
      <c r="AT51" s="538" t="s">
        <v>1220</v>
      </c>
      <c r="AU51" s="584"/>
      <c r="AV51" s="548">
        <f t="shared" si="5"/>
        <v>-1800</v>
      </c>
      <c r="AW51" s="548"/>
      <c r="AX51" s="549" t="s">
        <v>1280</v>
      </c>
      <c r="AY51" s="538"/>
      <c r="AZ51" s="420" t="s">
        <v>1256</v>
      </c>
      <c r="BA51" s="538"/>
      <c r="BB51" s="538" t="str">
        <f t="shared" si="6"/>
        <v>JAZWARES - WALMART CA</v>
      </c>
      <c r="BC51" s="538" t="str">
        <f t="shared" si="7"/>
        <v>美国</v>
      </c>
    </row>
    <row r="52" s="495" customFormat="1" customHeight="1" spans="1:55">
      <c r="A52" s="538">
        <v>46119</v>
      </c>
      <c r="B52" s="538" t="str">
        <f ca="1" t="shared" si="0"/>
        <v/>
      </c>
      <c r="C52" s="539" t="str">
        <f>VLOOKUP(H52,名称!A:E,4,0)</f>
        <v>三代</v>
      </c>
      <c r="D52" s="540" t="s">
        <v>1311</v>
      </c>
      <c r="E52" s="540" t="s">
        <v>1224</v>
      </c>
      <c r="F52" s="539" t="s">
        <v>671</v>
      </c>
      <c r="G52" s="539" t="s">
        <v>672</v>
      </c>
      <c r="H52" s="539" t="s">
        <v>60</v>
      </c>
      <c r="I52" s="118"/>
      <c r="J52" s="518">
        <v>372</v>
      </c>
      <c r="K52" s="92">
        <f>VLOOKUP(H52,名称!A:C,2,0)</f>
        <v>5</v>
      </c>
      <c r="L52" s="32">
        <f t="shared" si="1"/>
        <v>1860</v>
      </c>
      <c r="M52" s="539">
        <f>VLOOKUP(H52,名称!A:E,3,0)</f>
        <v>12</v>
      </c>
      <c r="N52" s="518">
        <f t="shared" si="2"/>
        <v>31</v>
      </c>
      <c r="O52" s="538">
        <v>46302</v>
      </c>
      <c r="P52" s="538">
        <f t="shared" si="9"/>
        <v>46302</v>
      </c>
      <c r="Q52" s="549">
        <v>46301</v>
      </c>
      <c r="R52" s="539"/>
      <c r="S52" s="549">
        <v>46302</v>
      </c>
      <c r="T52" s="541"/>
      <c r="U52" s="541"/>
      <c r="V52" s="541"/>
      <c r="W52" s="518" t="str">
        <f>IFERROR(VLOOKUP(H52,名称!A:F,6,0),"")</f>
        <v>湖南</v>
      </c>
      <c r="X52" s="541" t="s">
        <v>1133</v>
      </c>
      <c r="Y52" s="541" t="s">
        <v>1133</v>
      </c>
      <c r="Z52" s="567">
        <v>46119</v>
      </c>
      <c r="AA52" s="552">
        <v>46120</v>
      </c>
      <c r="AB52" s="567">
        <v>46121</v>
      </c>
      <c r="AC52" s="541" t="s">
        <v>1133</v>
      </c>
      <c r="AD52" s="541" t="s">
        <v>1133</v>
      </c>
      <c r="AE52" s="539" t="s">
        <v>253</v>
      </c>
      <c r="AF52" s="541" t="s">
        <v>1228</v>
      </c>
      <c r="AG52" s="541" t="s">
        <v>253</v>
      </c>
      <c r="AH52" s="541" t="s">
        <v>1133</v>
      </c>
      <c r="AI52" s="541" t="s">
        <v>1228</v>
      </c>
      <c r="AJ52" s="541" t="s">
        <v>1133</v>
      </c>
      <c r="AK52" s="541" t="s">
        <v>253</v>
      </c>
      <c r="AL52" s="541"/>
      <c r="AM52" s="541" t="s">
        <v>1303</v>
      </c>
      <c r="AN52" s="518" t="s">
        <v>1234</v>
      </c>
      <c r="AO52" s="544">
        <v>0.61</v>
      </c>
      <c r="AP52" s="545">
        <f t="shared" si="3"/>
        <v>226.92</v>
      </c>
      <c r="AQ52" s="545">
        <f t="shared" si="4"/>
        <v>1758.63</v>
      </c>
      <c r="AR52" s="546"/>
      <c r="AS52" s="538"/>
      <c r="AT52" s="538" t="s">
        <v>1220</v>
      </c>
      <c r="AU52" s="584"/>
      <c r="AV52" s="548">
        <f t="shared" si="5"/>
        <v>-372</v>
      </c>
      <c r="AW52" s="548"/>
      <c r="AX52" s="549" t="s">
        <v>1280</v>
      </c>
      <c r="AY52" s="538"/>
      <c r="AZ52" s="420" t="s">
        <v>1256</v>
      </c>
      <c r="BA52" s="538"/>
      <c r="BB52" s="538" t="str">
        <f t="shared" si="6"/>
        <v>JAZWARES - WALMART CA</v>
      </c>
      <c r="BC52" s="538" t="str">
        <f t="shared" si="7"/>
        <v>美国</v>
      </c>
    </row>
    <row r="53" s="495" customFormat="1" customHeight="1" spans="1:55">
      <c r="A53" s="538">
        <v>46119</v>
      </c>
      <c r="B53" s="538" t="str">
        <f ca="1" t="shared" si="0"/>
        <v/>
      </c>
      <c r="C53" s="539" t="str">
        <f>VLOOKUP(H53,名称!A:E,4,0)</f>
        <v>三代</v>
      </c>
      <c r="D53" s="540" t="s">
        <v>1311</v>
      </c>
      <c r="E53" s="540" t="s">
        <v>1224</v>
      </c>
      <c r="F53" s="539" t="s">
        <v>673</v>
      </c>
      <c r="G53" s="539" t="s">
        <v>674</v>
      </c>
      <c r="H53" s="539" t="s">
        <v>60</v>
      </c>
      <c r="I53" s="118"/>
      <c r="J53" s="518">
        <v>300</v>
      </c>
      <c r="K53" s="92">
        <f>VLOOKUP(H53,名称!A:C,2,0)</f>
        <v>5</v>
      </c>
      <c r="L53" s="32">
        <f t="shared" si="1"/>
        <v>1500</v>
      </c>
      <c r="M53" s="539">
        <f>VLOOKUP(H53,名称!A:E,3,0)</f>
        <v>12</v>
      </c>
      <c r="N53" s="518">
        <f t="shared" si="2"/>
        <v>25</v>
      </c>
      <c r="O53" s="538">
        <v>46316</v>
      </c>
      <c r="P53" s="538">
        <f t="shared" si="9"/>
        <v>46316</v>
      </c>
      <c r="Q53" s="549">
        <v>46315</v>
      </c>
      <c r="R53" s="539"/>
      <c r="S53" s="549">
        <v>46316</v>
      </c>
      <c r="T53" s="541"/>
      <c r="U53" s="541"/>
      <c r="V53" s="541"/>
      <c r="W53" s="518" t="str">
        <f>IFERROR(VLOOKUP(H53,名称!A:F,6,0),"")</f>
        <v>湖南</v>
      </c>
      <c r="X53" s="541" t="s">
        <v>1133</v>
      </c>
      <c r="Y53" s="541" t="s">
        <v>1133</v>
      </c>
      <c r="Z53" s="567">
        <v>46119</v>
      </c>
      <c r="AA53" s="552">
        <v>46120</v>
      </c>
      <c r="AB53" s="567">
        <v>46121</v>
      </c>
      <c r="AC53" s="541" t="s">
        <v>1133</v>
      </c>
      <c r="AD53" s="541" t="s">
        <v>1133</v>
      </c>
      <c r="AE53" s="539" t="s">
        <v>253</v>
      </c>
      <c r="AF53" s="541" t="s">
        <v>1228</v>
      </c>
      <c r="AG53" s="541" t="s">
        <v>253</v>
      </c>
      <c r="AH53" s="541" t="s">
        <v>1133</v>
      </c>
      <c r="AI53" s="541" t="s">
        <v>1228</v>
      </c>
      <c r="AJ53" s="541" t="s">
        <v>1133</v>
      </c>
      <c r="AK53" s="541" t="s">
        <v>253</v>
      </c>
      <c r="AL53" s="541"/>
      <c r="AM53" s="541" t="s">
        <v>1303</v>
      </c>
      <c r="AN53" s="518" t="s">
        <v>1234</v>
      </c>
      <c r="AO53" s="544">
        <v>0.61</v>
      </c>
      <c r="AP53" s="545">
        <f t="shared" si="3"/>
        <v>183</v>
      </c>
      <c r="AQ53" s="545">
        <f t="shared" si="4"/>
        <v>1418.25</v>
      </c>
      <c r="AR53" s="546"/>
      <c r="AS53" s="538"/>
      <c r="AT53" s="538" t="s">
        <v>1220</v>
      </c>
      <c r="AU53" s="584"/>
      <c r="AV53" s="548">
        <f t="shared" si="5"/>
        <v>-300</v>
      </c>
      <c r="AW53" s="548"/>
      <c r="AX53" s="549" t="s">
        <v>1280</v>
      </c>
      <c r="AY53" s="538"/>
      <c r="AZ53" s="420" t="s">
        <v>1256</v>
      </c>
      <c r="BA53" s="538"/>
      <c r="BB53" s="538" t="str">
        <f t="shared" si="6"/>
        <v>JAZWARES - WALMART CA</v>
      </c>
      <c r="BC53" s="538" t="str">
        <f t="shared" si="7"/>
        <v>美国</v>
      </c>
    </row>
    <row r="54" s="496" customFormat="1" customHeight="1" spans="1:55">
      <c r="A54" s="527">
        <v>46120</v>
      </c>
      <c r="B54" s="527" t="str">
        <f ca="1" t="shared" si="0"/>
        <v/>
      </c>
      <c r="C54" s="346" t="str">
        <f>VLOOKUP(H54,名称!A:E,4,0)</f>
        <v>三代</v>
      </c>
      <c r="D54" s="528" t="s">
        <v>1311</v>
      </c>
      <c r="E54" s="528" t="s">
        <v>1224</v>
      </c>
      <c r="F54" s="346" t="s">
        <v>687</v>
      </c>
      <c r="G54" s="346" t="s">
        <v>688</v>
      </c>
      <c r="H54" s="346" t="s">
        <v>102</v>
      </c>
      <c r="I54" s="346"/>
      <c r="J54" s="348">
        <v>2412</v>
      </c>
      <c r="K54" s="92">
        <f>VLOOKUP(H54,名称!A:C,2,0)</f>
        <v>5</v>
      </c>
      <c r="L54" s="32">
        <f t="shared" si="1"/>
        <v>12060</v>
      </c>
      <c r="M54" s="346">
        <f>VLOOKUP(H54,名称!A:E,3,0)</f>
        <v>12</v>
      </c>
      <c r="N54" s="348">
        <f t="shared" si="2"/>
        <v>201</v>
      </c>
      <c r="O54" s="527">
        <v>46232</v>
      </c>
      <c r="P54" s="527">
        <f t="shared" si="9"/>
        <v>46232</v>
      </c>
      <c r="Q54" s="536">
        <v>46234</v>
      </c>
      <c r="R54" s="415" t="s">
        <v>1241</v>
      </c>
      <c r="S54" s="415" t="s">
        <v>1301</v>
      </c>
      <c r="T54" s="415" t="s">
        <v>1241</v>
      </c>
      <c r="U54" s="568"/>
      <c r="V54" s="569">
        <v>46247</v>
      </c>
      <c r="W54" s="348" t="str">
        <f>IFERROR(VLOOKUP(H54,名称!A:F,6,0),"")</f>
        <v>湖南</v>
      </c>
      <c r="X54" s="568" t="s">
        <v>1133</v>
      </c>
      <c r="Y54" s="568" t="s">
        <v>1133</v>
      </c>
      <c r="Z54" s="569">
        <v>46119</v>
      </c>
      <c r="AA54" s="570">
        <v>46120</v>
      </c>
      <c r="AB54" s="569">
        <v>46121</v>
      </c>
      <c r="AC54" s="568" t="s">
        <v>1133</v>
      </c>
      <c r="AD54" s="568" t="s">
        <v>1133</v>
      </c>
      <c r="AE54" s="346" t="s">
        <v>253</v>
      </c>
      <c r="AF54" s="568" t="s">
        <v>1228</v>
      </c>
      <c r="AG54" s="568" t="s">
        <v>253</v>
      </c>
      <c r="AH54" s="568" t="s">
        <v>1133</v>
      </c>
      <c r="AI54" s="568" t="s">
        <v>1228</v>
      </c>
      <c r="AJ54" s="568" t="s">
        <v>1133</v>
      </c>
      <c r="AK54" s="346" t="s">
        <v>253</v>
      </c>
      <c r="AL54" s="568"/>
      <c r="AM54" s="568" t="s">
        <v>1303</v>
      </c>
      <c r="AN54" s="348" t="s">
        <v>1234</v>
      </c>
      <c r="AO54" s="531">
        <v>0.63</v>
      </c>
      <c r="AP54" s="532">
        <f t="shared" si="3"/>
        <v>1519.56</v>
      </c>
      <c r="AQ54" s="532">
        <f t="shared" si="4"/>
        <v>11776.59</v>
      </c>
      <c r="AR54" s="533"/>
      <c r="AS54" s="527"/>
      <c r="AT54" s="527" t="s">
        <v>1220</v>
      </c>
      <c r="AU54" s="537">
        <f>2352+60</f>
        <v>2412</v>
      </c>
      <c r="AV54" s="535">
        <f t="shared" si="5"/>
        <v>0</v>
      </c>
      <c r="AW54" s="535"/>
      <c r="AX54" s="536" t="s">
        <v>1280</v>
      </c>
      <c r="AY54" s="527"/>
      <c r="AZ54" s="413" t="s">
        <v>1256</v>
      </c>
      <c r="BA54" s="527"/>
      <c r="BB54" s="527" t="str">
        <f t="shared" si="6"/>
        <v>JAZWARES - WALMART CA</v>
      </c>
      <c r="BC54" s="527" t="str">
        <f t="shared" si="7"/>
        <v>美国</v>
      </c>
    </row>
    <row r="55" s="495" customFormat="1" customHeight="1" spans="1:55">
      <c r="A55" s="538">
        <v>46120</v>
      </c>
      <c r="B55" s="538" t="str">
        <f ca="1" t="shared" si="0"/>
        <v/>
      </c>
      <c r="C55" s="539" t="str">
        <f>VLOOKUP(H55,名称!A:E,4,0)</f>
        <v>三代</v>
      </c>
      <c r="D55" s="540" t="s">
        <v>1311</v>
      </c>
      <c r="E55" s="540" t="s">
        <v>1224</v>
      </c>
      <c r="F55" s="539" t="s">
        <v>689</v>
      </c>
      <c r="G55" s="539" t="s">
        <v>690</v>
      </c>
      <c r="H55" s="539" t="s">
        <v>102</v>
      </c>
      <c r="I55" s="118"/>
      <c r="J55" s="518">
        <v>3012</v>
      </c>
      <c r="K55" s="92">
        <f>VLOOKUP(H55,名称!A:C,2,0)</f>
        <v>5</v>
      </c>
      <c r="L55" s="32">
        <f t="shared" si="1"/>
        <v>15060</v>
      </c>
      <c r="M55" s="539">
        <f>VLOOKUP(H55,名称!A:E,3,0)</f>
        <v>12</v>
      </c>
      <c r="N55" s="518">
        <f t="shared" si="2"/>
        <v>251</v>
      </c>
      <c r="O55" s="538">
        <v>46246</v>
      </c>
      <c r="P55" s="538">
        <f t="shared" si="9"/>
        <v>46246</v>
      </c>
      <c r="Q55" s="549">
        <v>46248</v>
      </c>
      <c r="R55" s="541"/>
      <c r="S55" s="566" t="s">
        <v>1305</v>
      </c>
      <c r="T55" s="541"/>
      <c r="U55" s="541"/>
      <c r="V55" s="539"/>
      <c r="W55" s="518" t="str">
        <f>IFERROR(VLOOKUP(H55,名称!A:F,6,0),"")</f>
        <v>湖南</v>
      </c>
      <c r="X55" s="541" t="s">
        <v>1133</v>
      </c>
      <c r="Y55" s="541" t="s">
        <v>1133</v>
      </c>
      <c r="Z55" s="567">
        <v>46119</v>
      </c>
      <c r="AA55" s="552">
        <v>46120</v>
      </c>
      <c r="AB55" s="567">
        <v>46121</v>
      </c>
      <c r="AC55" s="541" t="s">
        <v>1133</v>
      </c>
      <c r="AD55" s="541" t="s">
        <v>1133</v>
      </c>
      <c r="AE55" s="539" t="s">
        <v>253</v>
      </c>
      <c r="AF55" s="541" t="s">
        <v>1228</v>
      </c>
      <c r="AG55" s="541" t="s">
        <v>253</v>
      </c>
      <c r="AH55" s="541" t="s">
        <v>1133</v>
      </c>
      <c r="AI55" s="541" t="s">
        <v>1228</v>
      </c>
      <c r="AJ55" s="541" t="s">
        <v>1133</v>
      </c>
      <c r="AK55" s="539" t="s">
        <v>253</v>
      </c>
      <c r="AL55" s="541"/>
      <c r="AM55" s="541" t="s">
        <v>1303</v>
      </c>
      <c r="AN55" s="518" t="s">
        <v>1234</v>
      </c>
      <c r="AO55" s="544">
        <v>0.63</v>
      </c>
      <c r="AP55" s="545">
        <f t="shared" si="3"/>
        <v>1897.56</v>
      </c>
      <c r="AQ55" s="545">
        <f t="shared" si="4"/>
        <v>14706.09</v>
      </c>
      <c r="AR55" s="546"/>
      <c r="AS55" s="538"/>
      <c r="AT55" s="538" t="s">
        <v>1220</v>
      </c>
      <c r="AU55" s="584">
        <f>2964</f>
        <v>2964</v>
      </c>
      <c r="AV55" s="548">
        <f t="shared" si="5"/>
        <v>-48</v>
      </c>
      <c r="AW55" s="548"/>
      <c r="AX55" s="549" t="s">
        <v>1280</v>
      </c>
      <c r="AY55" s="538"/>
      <c r="AZ55" s="420" t="s">
        <v>1256</v>
      </c>
      <c r="BA55" s="538"/>
      <c r="BB55" s="538" t="str">
        <f t="shared" si="6"/>
        <v>JAZWARES - WALMART CA</v>
      </c>
      <c r="BC55" s="538" t="str">
        <f t="shared" si="7"/>
        <v>美国</v>
      </c>
    </row>
    <row r="56" s="495" customFormat="1" customHeight="1" spans="1:55">
      <c r="A56" s="538">
        <v>46120</v>
      </c>
      <c r="B56" s="538" t="str">
        <f ca="1" t="shared" si="0"/>
        <v/>
      </c>
      <c r="C56" s="539" t="str">
        <f>VLOOKUP(H56,名称!A:E,4,0)</f>
        <v>三代</v>
      </c>
      <c r="D56" s="540" t="s">
        <v>1311</v>
      </c>
      <c r="E56" s="540" t="s">
        <v>1224</v>
      </c>
      <c r="F56" s="539" t="s">
        <v>691</v>
      </c>
      <c r="G56" s="539" t="s">
        <v>692</v>
      </c>
      <c r="H56" s="539" t="s">
        <v>102</v>
      </c>
      <c r="I56" s="118"/>
      <c r="J56" s="518">
        <v>3012</v>
      </c>
      <c r="K56" s="92">
        <f>VLOOKUP(H56,名称!A:C,2,0)</f>
        <v>5</v>
      </c>
      <c r="L56" s="32">
        <f t="shared" si="1"/>
        <v>15060</v>
      </c>
      <c r="M56" s="539">
        <f>VLOOKUP(H56,名称!A:E,3,0)</f>
        <v>12</v>
      </c>
      <c r="N56" s="518">
        <f t="shared" si="2"/>
        <v>251</v>
      </c>
      <c r="O56" s="538">
        <v>46260</v>
      </c>
      <c r="P56" s="538">
        <f t="shared" si="9"/>
        <v>46260</v>
      </c>
      <c r="Q56" s="549">
        <v>46259</v>
      </c>
      <c r="R56" s="541"/>
      <c r="S56" s="549">
        <v>46260</v>
      </c>
      <c r="T56" s="541"/>
      <c r="U56" s="541"/>
      <c r="V56" s="539"/>
      <c r="W56" s="518" t="str">
        <f>IFERROR(VLOOKUP(H56,名称!A:F,6,0),"")</f>
        <v>湖南</v>
      </c>
      <c r="X56" s="541" t="s">
        <v>1133</v>
      </c>
      <c r="Y56" s="541" t="s">
        <v>1133</v>
      </c>
      <c r="Z56" s="567">
        <v>46119</v>
      </c>
      <c r="AA56" s="552">
        <v>46120</v>
      </c>
      <c r="AB56" s="567">
        <v>46121</v>
      </c>
      <c r="AC56" s="541" t="s">
        <v>1133</v>
      </c>
      <c r="AD56" s="541" t="s">
        <v>1133</v>
      </c>
      <c r="AE56" s="539" t="s">
        <v>253</v>
      </c>
      <c r="AF56" s="541" t="s">
        <v>1228</v>
      </c>
      <c r="AG56" s="541" t="s">
        <v>253</v>
      </c>
      <c r="AH56" s="541" t="s">
        <v>1133</v>
      </c>
      <c r="AI56" s="541" t="s">
        <v>1228</v>
      </c>
      <c r="AJ56" s="541" t="s">
        <v>1133</v>
      </c>
      <c r="AK56" s="539" t="s">
        <v>253</v>
      </c>
      <c r="AL56" s="541"/>
      <c r="AM56" s="541" t="s">
        <v>1303</v>
      </c>
      <c r="AN56" s="518" t="s">
        <v>1234</v>
      </c>
      <c r="AO56" s="544">
        <v>0.63</v>
      </c>
      <c r="AP56" s="545">
        <f t="shared" si="3"/>
        <v>1897.56</v>
      </c>
      <c r="AQ56" s="545">
        <f t="shared" si="4"/>
        <v>14706.09</v>
      </c>
      <c r="AR56" s="546"/>
      <c r="AS56" s="538"/>
      <c r="AT56" s="538" t="s">
        <v>1220</v>
      </c>
      <c r="AU56" s="584"/>
      <c r="AV56" s="548">
        <f t="shared" si="5"/>
        <v>-3012</v>
      </c>
      <c r="AW56" s="548"/>
      <c r="AX56" s="549" t="s">
        <v>1280</v>
      </c>
      <c r="AY56" s="538"/>
      <c r="AZ56" s="420" t="s">
        <v>1256</v>
      </c>
      <c r="BA56" s="538"/>
      <c r="BB56" s="538" t="str">
        <f t="shared" si="6"/>
        <v>JAZWARES - WALMART CA</v>
      </c>
      <c r="BC56" s="538" t="str">
        <f t="shared" si="7"/>
        <v>美国</v>
      </c>
    </row>
    <row r="57" s="495" customFormat="1" customHeight="1" spans="1:55">
      <c r="A57" s="538">
        <v>46120</v>
      </c>
      <c r="B57" s="538" t="str">
        <f ca="1" t="shared" si="0"/>
        <v/>
      </c>
      <c r="C57" s="539" t="str">
        <f>VLOOKUP(H57,名称!A:E,4,0)</f>
        <v>三代</v>
      </c>
      <c r="D57" s="540" t="s">
        <v>1311</v>
      </c>
      <c r="E57" s="540" t="s">
        <v>1224</v>
      </c>
      <c r="F57" s="539" t="s">
        <v>693</v>
      </c>
      <c r="G57" s="539" t="s">
        <v>694</v>
      </c>
      <c r="H57" s="539" t="s">
        <v>102</v>
      </c>
      <c r="I57" s="118"/>
      <c r="J57" s="518">
        <v>1008</v>
      </c>
      <c r="K57" s="92">
        <f>VLOOKUP(H57,名称!A:C,2,0)</f>
        <v>5</v>
      </c>
      <c r="L57" s="32">
        <f t="shared" si="1"/>
        <v>5040</v>
      </c>
      <c r="M57" s="539">
        <f>VLOOKUP(H57,名称!A:E,3,0)</f>
        <v>12</v>
      </c>
      <c r="N57" s="518">
        <f t="shared" si="2"/>
        <v>84</v>
      </c>
      <c r="O57" s="538">
        <v>46274</v>
      </c>
      <c r="P57" s="538">
        <f t="shared" si="9"/>
        <v>46274</v>
      </c>
      <c r="Q57" s="549">
        <v>46273</v>
      </c>
      <c r="R57" s="541"/>
      <c r="S57" s="549">
        <v>46274</v>
      </c>
      <c r="T57" s="541"/>
      <c r="U57" s="541"/>
      <c r="V57" s="539"/>
      <c r="W57" s="518" t="str">
        <f>IFERROR(VLOOKUP(H57,名称!A:F,6,0),"")</f>
        <v>湖南</v>
      </c>
      <c r="X57" s="541" t="s">
        <v>1133</v>
      </c>
      <c r="Y57" s="541" t="s">
        <v>1133</v>
      </c>
      <c r="Z57" s="567">
        <v>46119</v>
      </c>
      <c r="AA57" s="552">
        <v>46120</v>
      </c>
      <c r="AB57" s="567">
        <v>46121</v>
      </c>
      <c r="AC57" s="541" t="s">
        <v>1133</v>
      </c>
      <c r="AD57" s="541" t="s">
        <v>1133</v>
      </c>
      <c r="AE57" s="539" t="s">
        <v>253</v>
      </c>
      <c r="AF57" s="541" t="s">
        <v>1228</v>
      </c>
      <c r="AG57" s="541" t="s">
        <v>253</v>
      </c>
      <c r="AH57" s="541" t="s">
        <v>1133</v>
      </c>
      <c r="AI57" s="541" t="s">
        <v>1228</v>
      </c>
      <c r="AJ57" s="541" t="s">
        <v>1133</v>
      </c>
      <c r="AK57" s="541" t="s">
        <v>253</v>
      </c>
      <c r="AL57" s="541"/>
      <c r="AM57" s="541" t="s">
        <v>1303</v>
      </c>
      <c r="AN57" s="518" t="s">
        <v>1234</v>
      </c>
      <c r="AO57" s="544">
        <v>0.63</v>
      </c>
      <c r="AP57" s="545">
        <f t="shared" si="3"/>
        <v>635.04</v>
      </c>
      <c r="AQ57" s="545">
        <f t="shared" si="4"/>
        <v>4921.56</v>
      </c>
      <c r="AR57" s="546"/>
      <c r="AS57" s="538"/>
      <c r="AT57" s="538" t="s">
        <v>1220</v>
      </c>
      <c r="AU57" s="584"/>
      <c r="AV57" s="548">
        <f t="shared" si="5"/>
        <v>-1008</v>
      </c>
      <c r="AW57" s="548"/>
      <c r="AX57" s="549" t="s">
        <v>1280</v>
      </c>
      <c r="AY57" s="538"/>
      <c r="AZ57" s="420" t="s">
        <v>1256</v>
      </c>
      <c r="BA57" s="538"/>
      <c r="BB57" s="538" t="str">
        <f t="shared" si="6"/>
        <v>JAZWARES - WALMART CA</v>
      </c>
      <c r="BC57" s="538" t="str">
        <f t="shared" si="7"/>
        <v>美国</v>
      </c>
    </row>
    <row r="58" s="495" customFormat="1" customHeight="1" spans="1:55">
      <c r="A58" s="538">
        <v>46120</v>
      </c>
      <c r="B58" s="538" t="str">
        <f ca="1" t="shared" si="0"/>
        <v/>
      </c>
      <c r="C58" s="539" t="str">
        <f>VLOOKUP(H58,名称!A:E,4,0)</f>
        <v>三代</v>
      </c>
      <c r="D58" s="540" t="s">
        <v>1311</v>
      </c>
      <c r="E58" s="540" t="s">
        <v>1224</v>
      </c>
      <c r="F58" s="539" t="s">
        <v>695</v>
      </c>
      <c r="G58" s="539" t="s">
        <v>696</v>
      </c>
      <c r="H58" s="539" t="s">
        <v>102</v>
      </c>
      <c r="I58" s="118"/>
      <c r="J58" s="518">
        <v>1008</v>
      </c>
      <c r="K58" s="92">
        <f>VLOOKUP(H58,名称!A:C,2,0)</f>
        <v>5</v>
      </c>
      <c r="L58" s="32">
        <f t="shared" si="1"/>
        <v>5040</v>
      </c>
      <c r="M58" s="539">
        <f>VLOOKUP(H58,名称!A:E,3,0)</f>
        <v>12</v>
      </c>
      <c r="N58" s="518">
        <f t="shared" si="2"/>
        <v>84</v>
      </c>
      <c r="O58" s="538">
        <v>46288</v>
      </c>
      <c r="P58" s="538">
        <f t="shared" si="9"/>
        <v>46288</v>
      </c>
      <c r="Q58" s="549">
        <v>46287</v>
      </c>
      <c r="R58" s="541"/>
      <c r="S58" s="549">
        <v>46288</v>
      </c>
      <c r="T58" s="541"/>
      <c r="U58" s="541"/>
      <c r="V58" s="539"/>
      <c r="W58" s="518" t="str">
        <f>IFERROR(VLOOKUP(H58,名称!A:F,6,0),"")</f>
        <v>湖南</v>
      </c>
      <c r="X58" s="541" t="s">
        <v>1133</v>
      </c>
      <c r="Y58" s="541" t="s">
        <v>1133</v>
      </c>
      <c r="Z58" s="567">
        <v>46119</v>
      </c>
      <c r="AA58" s="552">
        <v>46120</v>
      </c>
      <c r="AB58" s="567">
        <v>46121</v>
      </c>
      <c r="AC58" s="541" t="s">
        <v>1133</v>
      </c>
      <c r="AD58" s="541" t="s">
        <v>1133</v>
      </c>
      <c r="AE58" s="539" t="s">
        <v>253</v>
      </c>
      <c r="AF58" s="541" t="s">
        <v>1228</v>
      </c>
      <c r="AG58" s="541" t="s">
        <v>253</v>
      </c>
      <c r="AH58" s="541" t="s">
        <v>1133</v>
      </c>
      <c r="AI58" s="541" t="s">
        <v>1228</v>
      </c>
      <c r="AJ58" s="541" t="s">
        <v>1133</v>
      </c>
      <c r="AK58" s="541" t="s">
        <v>253</v>
      </c>
      <c r="AL58" s="541"/>
      <c r="AM58" s="541" t="s">
        <v>1303</v>
      </c>
      <c r="AN58" s="518" t="s">
        <v>1234</v>
      </c>
      <c r="AO58" s="544">
        <v>0.63</v>
      </c>
      <c r="AP58" s="545">
        <f t="shared" si="3"/>
        <v>635.04</v>
      </c>
      <c r="AQ58" s="545">
        <f t="shared" si="4"/>
        <v>4921.56</v>
      </c>
      <c r="AR58" s="546"/>
      <c r="AS58" s="538"/>
      <c r="AT58" s="538" t="s">
        <v>1220</v>
      </c>
      <c r="AU58" s="584"/>
      <c r="AV58" s="548">
        <f t="shared" si="5"/>
        <v>-1008</v>
      </c>
      <c r="AW58" s="548"/>
      <c r="AX58" s="549" t="s">
        <v>1280</v>
      </c>
      <c r="AY58" s="538"/>
      <c r="AZ58" s="420" t="s">
        <v>1256</v>
      </c>
      <c r="BA58" s="538"/>
      <c r="BB58" s="538" t="str">
        <f t="shared" si="6"/>
        <v>JAZWARES - WALMART CA</v>
      </c>
      <c r="BC58" s="538" t="str">
        <f t="shared" si="7"/>
        <v>美国</v>
      </c>
    </row>
    <row r="59" s="495" customFormat="1" customHeight="1" spans="1:55">
      <c r="A59" s="538">
        <v>46120</v>
      </c>
      <c r="B59" s="538" t="str">
        <f ca="1" t="shared" si="0"/>
        <v/>
      </c>
      <c r="C59" s="539" t="str">
        <f>VLOOKUP(H59,名称!A:E,4,0)</f>
        <v>三代</v>
      </c>
      <c r="D59" s="540" t="s">
        <v>1311</v>
      </c>
      <c r="E59" s="540" t="s">
        <v>1224</v>
      </c>
      <c r="F59" s="539" t="s">
        <v>697</v>
      </c>
      <c r="G59" s="539" t="s">
        <v>698</v>
      </c>
      <c r="H59" s="539" t="s">
        <v>102</v>
      </c>
      <c r="I59" s="118"/>
      <c r="J59" s="518">
        <v>564</v>
      </c>
      <c r="K59" s="92">
        <f>VLOOKUP(H59,名称!A:C,2,0)</f>
        <v>5</v>
      </c>
      <c r="L59" s="32">
        <f t="shared" si="1"/>
        <v>2820</v>
      </c>
      <c r="M59" s="539">
        <f>VLOOKUP(H59,名称!A:E,3,0)</f>
        <v>12</v>
      </c>
      <c r="N59" s="518">
        <f t="shared" si="2"/>
        <v>47</v>
      </c>
      <c r="O59" s="538">
        <v>46302</v>
      </c>
      <c r="P59" s="538">
        <f t="shared" si="9"/>
        <v>46302</v>
      </c>
      <c r="Q59" s="549">
        <v>46301</v>
      </c>
      <c r="R59" s="541"/>
      <c r="S59" s="549">
        <v>46302</v>
      </c>
      <c r="T59" s="541"/>
      <c r="U59" s="541"/>
      <c r="V59" s="539"/>
      <c r="W59" s="518" t="str">
        <f>IFERROR(VLOOKUP(H59,名称!A:F,6,0),"")</f>
        <v>湖南</v>
      </c>
      <c r="X59" s="541" t="s">
        <v>1133</v>
      </c>
      <c r="Y59" s="541" t="s">
        <v>1133</v>
      </c>
      <c r="Z59" s="567">
        <v>46119</v>
      </c>
      <c r="AA59" s="552">
        <v>46120</v>
      </c>
      <c r="AB59" s="567">
        <v>46121</v>
      </c>
      <c r="AC59" s="541" t="s">
        <v>1133</v>
      </c>
      <c r="AD59" s="541" t="s">
        <v>1133</v>
      </c>
      <c r="AE59" s="539" t="s">
        <v>253</v>
      </c>
      <c r="AF59" s="541" t="s">
        <v>1228</v>
      </c>
      <c r="AG59" s="541" t="s">
        <v>253</v>
      </c>
      <c r="AH59" s="541" t="s">
        <v>1133</v>
      </c>
      <c r="AI59" s="541" t="s">
        <v>1228</v>
      </c>
      <c r="AJ59" s="541" t="s">
        <v>1133</v>
      </c>
      <c r="AK59" s="541" t="s">
        <v>253</v>
      </c>
      <c r="AL59" s="541"/>
      <c r="AM59" s="541" t="s">
        <v>1303</v>
      </c>
      <c r="AN59" s="518" t="s">
        <v>1234</v>
      </c>
      <c r="AO59" s="544">
        <v>0.63</v>
      </c>
      <c r="AP59" s="545">
        <f t="shared" si="3"/>
        <v>355.32</v>
      </c>
      <c r="AQ59" s="545">
        <f t="shared" si="4"/>
        <v>2753.73</v>
      </c>
      <c r="AR59" s="546"/>
      <c r="AS59" s="538"/>
      <c r="AT59" s="538" t="s">
        <v>1220</v>
      </c>
      <c r="AU59" s="584"/>
      <c r="AV59" s="548">
        <f t="shared" si="5"/>
        <v>-564</v>
      </c>
      <c r="AW59" s="548"/>
      <c r="AX59" s="549" t="s">
        <v>1280</v>
      </c>
      <c r="AY59" s="538"/>
      <c r="AZ59" s="420" t="s">
        <v>1256</v>
      </c>
      <c r="BA59" s="538"/>
      <c r="BB59" s="538" t="str">
        <f t="shared" si="6"/>
        <v>JAZWARES - WALMART CA</v>
      </c>
      <c r="BC59" s="538" t="str">
        <f t="shared" si="7"/>
        <v>美国</v>
      </c>
    </row>
    <row r="60" s="495" customFormat="1" customHeight="1" spans="1:55">
      <c r="A60" s="538">
        <v>46121</v>
      </c>
      <c r="B60" s="538" t="str">
        <f ca="1" t="shared" si="0"/>
        <v/>
      </c>
      <c r="C60" s="539" t="str">
        <f>VLOOKUP(H60,名称!A:E,4,0)</f>
        <v>三代</v>
      </c>
      <c r="D60" s="540" t="s">
        <v>1311</v>
      </c>
      <c r="E60" s="540" t="s">
        <v>1224</v>
      </c>
      <c r="F60" s="539" t="s">
        <v>642</v>
      </c>
      <c r="G60" s="539" t="s">
        <v>643</v>
      </c>
      <c r="H60" s="539" t="s">
        <v>83</v>
      </c>
      <c r="I60" s="118"/>
      <c r="J60" s="518">
        <v>168</v>
      </c>
      <c r="K60" s="92">
        <f>VLOOKUP(H60,名称!A:C,2,0)</f>
        <v>5</v>
      </c>
      <c r="L60" s="32">
        <f t="shared" si="1"/>
        <v>840</v>
      </c>
      <c r="M60" s="541">
        <f>VLOOKUP(H60,名称!A:E,3,0)</f>
        <v>12</v>
      </c>
      <c r="N60" s="586">
        <f t="shared" si="2"/>
        <v>14</v>
      </c>
      <c r="O60" s="538">
        <v>46316</v>
      </c>
      <c r="P60" s="538">
        <f t="shared" si="9"/>
        <v>46316</v>
      </c>
      <c r="Q60" s="549">
        <v>46315</v>
      </c>
      <c r="R60" s="541"/>
      <c r="S60" s="549">
        <v>46316</v>
      </c>
      <c r="T60" s="541"/>
      <c r="U60" s="541"/>
      <c r="V60" s="539" t="s">
        <v>1314</v>
      </c>
      <c r="W60" s="518" t="str">
        <f>IFERROR(VLOOKUP(H60,名称!A:F,6,0),"")</f>
        <v>湖南</v>
      </c>
      <c r="X60" s="541" t="s">
        <v>1133</v>
      </c>
      <c r="Y60" s="541" t="s">
        <v>1133</v>
      </c>
      <c r="Z60" s="567">
        <v>46119</v>
      </c>
      <c r="AA60" s="552">
        <v>46120</v>
      </c>
      <c r="AB60" s="567">
        <v>46123</v>
      </c>
      <c r="AC60" s="541" t="s">
        <v>1133</v>
      </c>
      <c r="AD60" s="541" t="s">
        <v>1133</v>
      </c>
      <c r="AE60" s="539" t="s">
        <v>253</v>
      </c>
      <c r="AF60" s="541" t="s">
        <v>1228</v>
      </c>
      <c r="AG60" s="541" t="s">
        <v>253</v>
      </c>
      <c r="AH60" s="541" t="s">
        <v>1133</v>
      </c>
      <c r="AI60" s="541" t="s">
        <v>1228</v>
      </c>
      <c r="AJ60" s="541" t="s">
        <v>1133</v>
      </c>
      <c r="AK60" s="541" t="s">
        <v>253</v>
      </c>
      <c r="AL60" s="541"/>
      <c r="AM60" s="541"/>
      <c r="AN60" s="585" t="s">
        <v>1312</v>
      </c>
      <c r="AO60" s="544">
        <v>0.83</v>
      </c>
      <c r="AP60" s="545">
        <f t="shared" si="3"/>
        <v>139.44</v>
      </c>
      <c r="AQ60" s="545">
        <f t="shared" si="4"/>
        <v>1080.66</v>
      </c>
      <c r="AR60" s="546"/>
      <c r="AS60" s="538"/>
      <c r="AT60" s="455" t="s">
        <v>1313</v>
      </c>
      <c r="AU60" s="584"/>
      <c r="AV60" s="548">
        <f t="shared" si="5"/>
        <v>-168</v>
      </c>
      <c r="AW60" s="548"/>
      <c r="AX60" s="538"/>
      <c r="AY60" s="538"/>
      <c r="AZ60" s="420" t="s">
        <v>1256</v>
      </c>
      <c r="BA60" s="538"/>
      <c r="BB60" s="538" t="str">
        <f t="shared" si="6"/>
        <v>JAZWARES - WALMART CA</v>
      </c>
      <c r="BC60" s="538" t="str">
        <f t="shared" si="7"/>
        <v>美国</v>
      </c>
    </row>
    <row r="61" s="496" customFormat="1" customHeight="1" spans="1:55">
      <c r="A61" s="527">
        <v>46122</v>
      </c>
      <c r="B61" s="527" t="str">
        <f ca="1" t="shared" si="0"/>
        <v/>
      </c>
      <c r="C61" s="346" t="str">
        <f>VLOOKUP(H61,名称!A:E,4,0)</f>
        <v>三代</v>
      </c>
      <c r="D61" s="528" t="s">
        <v>1315</v>
      </c>
      <c r="E61" s="528" t="s">
        <v>1316</v>
      </c>
      <c r="F61" s="346" t="s">
        <v>703</v>
      </c>
      <c r="G61" s="346" t="s">
        <v>704</v>
      </c>
      <c r="H61" s="346" t="s">
        <v>55</v>
      </c>
      <c r="I61" s="346"/>
      <c r="J61" s="348">
        <v>2400</v>
      </c>
      <c r="K61" s="347">
        <f>VLOOKUP(H61,名称!A:C,2,0)</f>
        <v>7</v>
      </c>
      <c r="L61" s="348">
        <f t="shared" si="1"/>
        <v>16800</v>
      </c>
      <c r="M61" s="346">
        <f>VLOOKUP(H61,名称!A:E,3,0)</f>
        <v>16</v>
      </c>
      <c r="N61" s="348">
        <f t="shared" si="2"/>
        <v>150</v>
      </c>
      <c r="O61" s="527">
        <v>46161</v>
      </c>
      <c r="P61" s="527">
        <v>46226</v>
      </c>
      <c r="Q61" s="536">
        <v>46227</v>
      </c>
      <c r="R61" s="404" t="s">
        <v>1241</v>
      </c>
      <c r="S61" s="536" t="s">
        <v>1133</v>
      </c>
      <c r="T61" s="346"/>
      <c r="U61" s="568"/>
      <c r="V61" s="346"/>
      <c r="W61" s="348" t="str">
        <f>IFERROR(VLOOKUP(H61,名称!A:F,6,0),"")</f>
        <v>湖南</v>
      </c>
      <c r="X61" s="568" t="s">
        <v>1248</v>
      </c>
      <c r="Y61" s="569">
        <v>46193</v>
      </c>
      <c r="Z61" s="568" t="s">
        <v>1249</v>
      </c>
      <c r="AA61" s="570">
        <v>46181</v>
      </c>
      <c r="AB61" s="569">
        <v>46185</v>
      </c>
      <c r="AC61" s="568" t="s">
        <v>1284</v>
      </c>
      <c r="AD61" s="568" t="s">
        <v>1228</v>
      </c>
      <c r="AE61" s="346" t="s">
        <v>510</v>
      </c>
      <c r="AF61" s="568" t="s">
        <v>1228</v>
      </c>
      <c r="AG61" s="568" t="s">
        <v>510</v>
      </c>
      <c r="AH61" s="568" t="s">
        <v>1307</v>
      </c>
      <c r="AI61" s="568" t="s">
        <v>1228</v>
      </c>
      <c r="AJ61" s="568" t="s">
        <v>1133</v>
      </c>
      <c r="AK61" s="568" t="s">
        <v>1133</v>
      </c>
      <c r="AL61" s="568" t="s">
        <v>1228</v>
      </c>
      <c r="AM61" s="568" t="s">
        <v>1279</v>
      </c>
      <c r="AN61" s="348" t="s">
        <v>1251</v>
      </c>
      <c r="AO61" s="531">
        <v>0.88</v>
      </c>
      <c r="AP61" s="532">
        <f t="shared" si="3"/>
        <v>2112</v>
      </c>
      <c r="AQ61" s="532">
        <f t="shared" si="4"/>
        <v>16368</v>
      </c>
      <c r="AR61" s="533"/>
      <c r="AS61" s="527"/>
      <c r="AT61" s="527" t="s">
        <v>1220</v>
      </c>
      <c r="AU61" s="537">
        <f>48+2352</f>
        <v>2400</v>
      </c>
      <c r="AV61" s="535">
        <f t="shared" si="5"/>
        <v>0</v>
      </c>
      <c r="AW61" s="535"/>
      <c r="AX61" s="536" t="s">
        <v>1280</v>
      </c>
      <c r="AY61" s="527" t="s">
        <v>1317</v>
      </c>
      <c r="AZ61" s="536" t="s">
        <v>1256</v>
      </c>
      <c r="BA61" s="527"/>
      <c r="BB61" s="527" t="str">
        <f t="shared" si="6"/>
        <v>New Laceys Promotions (Pty) Ltd</v>
      </c>
      <c r="BC61" s="527" t="str">
        <f t="shared" si="7"/>
        <v>南非</v>
      </c>
    </row>
    <row r="62" s="496" customFormat="1" customHeight="1" spans="1:55">
      <c r="A62" s="527">
        <v>46122</v>
      </c>
      <c r="B62" s="527" t="str">
        <f ca="1" t="shared" si="0"/>
        <v/>
      </c>
      <c r="C62" s="346" t="str">
        <f>VLOOKUP(H62,名称!A:E,4,0)</f>
        <v>三代</v>
      </c>
      <c r="D62" s="528" t="s">
        <v>1315</v>
      </c>
      <c r="E62" s="528" t="s">
        <v>1316</v>
      </c>
      <c r="F62" s="346" t="s">
        <v>703</v>
      </c>
      <c r="G62" s="346" t="s">
        <v>704</v>
      </c>
      <c r="H62" s="346" t="s">
        <v>59</v>
      </c>
      <c r="I62" s="346"/>
      <c r="J62" s="348">
        <v>3600</v>
      </c>
      <c r="K62" s="347">
        <f>VLOOKUP(H62,名称!A:C,2,0)</f>
        <v>5</v>
      </c>
      <c r="L62" s="348">
        <f t="shared" si="1"/>
        <v>18000</v>
      </c>
      <c r="M62" s="346">
        <f>VLOOKUP(H62,名称!A:E,3,0)</f>
        <v>24</v>
      </c>
      <c r="N62" s="348">
        <f t="shared" si="2"/>
        <v>150</v>
      </c>
      <c r="O62" s="527">
        <v>46161</v>
      </c>
      <c r="P62" s="536">
        <v>46226</v>
      </c>
      <c r="Q62" s="536">
        <v>46227</v>
      </c>
      <c r="R62" s="404" t="s">
        <v>1241</v>
      </c>
      <c r="S62" s="536" t="s">
        <v>1133</v>
      </c>
      <c r="T62" s="346"/>
      <c r="U62" s="568"/>
      <c r="V62" s="346"/>
      <c r="W62" s="348" t="str">
        <f>IFERROR(VLOOKUP(H62,名称!A:F,6,0),"")</f>
        <v>湖南</v>
      </c>
      <c r="X62" s="568" t="s">
        <v>1248</v>
      </c>
      <c r="Y62" s="569">
        <v>46193</v>
      </c>
      <c r="Z62" s="568" t="s">
        <v>1249</v>
      </c>
      <c r="AA62" s="570">
        <v>46181</v>
      </c>
      <c r="AB62" s="569">
        <v>46185</v>
      </c>
      <c r="AC62" s="568" t="s">
        <v>1133</v>
      </c>
      <c r="AD62" s="568" t="s">
        <v>1133</v>
      </c>
      <c r="AE62" s="346" t="s">
        <v>510</v>
      </c>
      <c r="AF62" s="568" t="s">
        <v>1228</v>
      </c>
      <c r="AG62" s="568" t="s">
        <v>510</v>
      </c>
      <c r="AH62" s="568" t="s">
        <v>1133</v>
      </c>
      <c r="AI62" s="568" t="s">
        <v>1228</v>
      </c>
      <c r="AJ62" s="568" t="s">
        <v>1133</v>
      </c>
      <c r="AK62" s="568" t="s">
        <v>510</v>
      </c>
      <c r="AL62" s="568"/>
      <c r="AM62" s="568" t="s">
        <v>1279</v>
      </c>
      <c r="AN62" s="348" t="s">
        <v>1251</v>
      </c>
      <c r="AO62" s="531">
        <v>0.63</v>
      </c>
      <c r="AP62" s="532">
        <f t="shared" si="3"/>
        <v>2268</v>
      </c>
      <c r="AQ62" s="532">
        <f t="shared" si="4"/>
        <v>17577</v>
      </c>
      <c r="AR62" s="533"/>
      <c r="AS62" s="527"/>
      <c r="AT62" s="527" t="s">
        <v>1220</v>
      </c>
      <c r="AU62" s="537">
        <f>3576+24</f>
        <v>3600</v>
      </c>
      <c r="AV62" s="535">
        <f t="shared" si="5"/>
        <v>0</v>
      </c>
      <c r="AW62" s="535"/>
      <c r="AX62" s="536" t="s">
        <v>1280</v>
      </c>
      <c r="AY62" s="527" t="s">
        <v>1317</v>
      </c>
      <c r="AZ62" s="536" t="s">
        <v>1256</v>
      </c>
      <c r="BA62" s="527"/>
      <c r="BB62" s="527" t="str">
        <f t="shared" si="6"/>
        <v>New Laceys Promotions (Pty) Ltd</v>
      </c>
      <c r="BC62" s="527" t="str">
        <f t="shared" si="7"/>
        <v>南非</v>
      </c>
    </row>
    <row r="63" s="496" customFormat="1" customHeight="1" spans="1:55">
      <c r="A63" s="527">
        <v>46122</v>
      </c>
      <c r="B63" s="527" t="str">
        <f ca="1" t="shared" si="0"/>
        <v/>
      </c>
      <c r="C63" s="346" t="str">
        <f>VLOOKUP(H63,名称!A:E,4,0)</f>
        <v>三代</v>
      </c>
      <c r="D63" s="528" t="s">
        <v>1315</v>
      </c>
      <c r="E63" s="528" t="s">
        <v>1316</v>
      </c>
      <c r="F63" s="346" t="s">
        <v>703</v>
      </c>
      <c r="G63" s="346" t="s">
        <v>704</v>
      </c>
      <c r="H63" s="346" t="s">
        <v>61</v>
      </c>
      <c r="I63" s="346"/>
      <c r="J63" s="348">
        <v>1800</v>
      </c>
      <c r="K63" s="347">
        <f>VLOOKUP(H63,名称!A:C,2,0)</f>
        <v>5</v>
      </c>
      <c r="L63" s="348">
        <f t="shared" si="1"/>
        <v>9000</v>
      </c>
      <c r="M63" s="346">
        <f>VLOOKUP(H63,名称!A:E,3,0)</f>
        <v>24</v>
      </c>
      <c r="N63" s="348">
        <f t="shared" si="2"/>
        <v>75</v>
      </c>
      <c r="O63" s="527">
        <v>46161</v>
      </c>
      <c r="P63" s="536">
        <v>46226</v>
      </c>
      <c r="Q63" s="536">
        <v>46226</v>
      </c>
      <c r="R63" s="404" t="s">
        <v>1241</v>
      </c>
      <c r="S63" s="536" t="s">
        <v>1133</v>
      </c>
      <c r="T63" s="346"/>
      <c r="U63" s="568"/>
      <c r="V63" s="346"/>
      <c r="W63" s="348" t="str">
        <f>IFERROR(VLOOKUP(H63,名称!A:F,6,0),"")</f>
        <v>湖南</v>
      </c>
      <c r="X63" s="568" t="s">
        <v>1248</v>
      </c>
      <c r="Y63" s="569">
        <v>46193</v>
      </c>
      <c r="Z63" s="568" t="s">
        <v>1249</v>
      </c>
      <c r="AA63" s="570">
        <v>46181</v>
      </c>
      <c r="AB63" s="569">
        <v>46185</v>
      </c>
      <c r="AC63" s="568" t="s">
        <v>1133</v>
      </c>
      <c r="AD63" s="568" t="s">
        <v>1133</v>
      </c>
      <c r="AE63" s="346" t="s">
        <v>510</v>
      </c>
      <c r="AF63" s="568" t="s">
        <v>1228</v>
      </c>
      <c r="AG63" s="568" t="s">
        <v>510</v>
      </c>
      <c r="AH63" s="568" t="s">
        <v>1133</v>
      </c>
      <c r="AI63" s="568" t="s">
        <v>1228</v>
      </c>
      <c r="AJ63" s="568" t="s">
        <v>1133</v>
      </c>
      <c r="AK63" s="568" t="s">
        <v>510</v>
      </c>
      <c r="AL63" s="568"/>
      <c r="AM63" s="568" t="s">
        <v>1279</v>
      </c>
      <c r="AN63" s="348" t="s">
        <v>1251</v>
      </c>
      <c r="AO63" s="531">
        <v>0.63</v>
      </c>
      <c r="AP63" s="532">
        <f t="shared" si="3"/>
        <v>1134</v>
      </c>
      <c r="AQ63" s="532">
        <f t="shared" si="4"/>
        <v>8788.5</v>
      </c>
      <c r="AR63" s="533"/>
      <c r="AS63" s="527"/>
      <c r="AT63" s="527" t="s">
        <v>1220</v>
      </c>
      <c r="AU63" s="537">
        <v>1800</v>
      </c>
      <c r="AV63" s="535">
        <f t="shared" si="5"/>
        <v>0</v>
      </c>
      <c r="AW63" s="535"/>
      <c r="AX63" s="536" t="s">
        <v>1280</v>
      </c>
      <c r="AY63" s="527" t="s">
        <v>1317</v>
      </c>
      <c r="AZ63" s="536" t="s">
        <v>1256</v>
      </c>
      <c r="BA63" s="527"/>
      <c r="BB63" s="527" t="str">
        <f t="shared" si="6"/>
        <v>New Laceys Promotions (Pty) Ltd</v>
      </c>
      <c r="BC63" s="527" t="str">
        <f t="shared" si="7"/>
        <v>南非</v>
      </c>
    </row>
    <row r="64" s="496" customFormat="1" customHeight="1" spans="1:55">
      <c r="A64" s="527">
        <v>46122</v>
      </c>
      <c r="B64" s="527" t="str">
        <f ca="1" t="shared" si="0"/>
        <v/>
      </c>
      <c r="C64" s="346" t="str">
        <f>VLOOKUP(H64,名称!A:E,4,0)</f>
        <v>三代</v>
      </c>
      <c r="D64" s="528" t="s">
        <v>1315</v>
      </c>
      <c r="E64" s="528" t="s">
        <v>1316</v>
      </c>
      <c r="F64" s="346" t="s">
        <v>703</v>
      </c>
      <c r="G64" s="346" t="s">
        <v>704</v>
      </c>
      <c r="H64" s="346" t="s">
        <v>66</v>
      </c>
      <c r="I64" s="346"/>
      <c r="J64" s="348">
        <v>1404</v>
      </c>
      <c r="K64" s="347">
        <f>VLOOKUP(H64,名称!A:C,2,0)</f>
        <v>12</v>
      </c>
      <c r="L64" s="348">
        <f t="shared" si="1"/>
        <v>16848</v>
      </c>
      <c r="M64" s="346">
        <f>VLOOKUP(H64,名称!A:E,3,0)</f>
        <v>6</v>
      </c>
      <c r="N64" s="348">
        <f t="shared" si="2"/>
        <v>234</v>
      </c>
      <c r="O64" s="527">
        <v>46161</v>
      </c>
      <c r="P64" s="536">
        <v>46226</v>
      </c>
      <c r="Q64" s="536">
        <v>46226</v>
      </c>
      <c r="R64" s="404" t="s">
        <v>1241</v>
      </c>
      <c r="S64" s="536" t="s">
        <v>1133</v>
      </c>
      <c r="T64" s="346"/>
      <c r="U64" s="568"/>
      <c r="V64" s="346"/>
      <c r="W64" s="348" t="str">
        <f>IFERROR(VLOOKUP(H64,名称!A:F,6,0),"")</f>
        <v>湖南</v>
      </c>
      <c r="X64" s="568" t="s">
        <v>1248</v>
      </c>
      <c r="Y64" s="569">
        <v>46193</v>
      </c>
      <c r="Z64" s="568" t="s">
        <v>1249</v>
      </c>
      <c r="AA64" s="570">
        <v>46181</v>
      </c>
      <c r="AB64" s="569">
        <v>46185</v>
      </c>
      <c r="AC64" s="568" t="s">
        <v>1318</v>
      </c>
      <c r="AD64" s="568" t="s">
        <v>1228</v>
      </c>
      <c r="AE64" s="346" t="s">
        <v>510</v>
      </c>
      <c r="AF64" s="568" t="s">
        <v>1228</v>
      </c>
      <c r="AG64" s="568" t="s">
        <v>510</v>
      </c>
      <c r="AH64" s="568" t="s">
        <v>1307</v>
      </c>
      <c r="AI64" s="568" t="s">
        <v>1228</v>
      </c>
      <c r="AJ64" s="568" t="s">
        <v>510</v>
      </c>
      <c r="AK64" s="568" t="s">
        <v>1133</v>
      </c>
      <c r="AL64" s="568"/>
      <c r="AM64" s="568" t="s">
        <v>1279</v>
      </c>
      <c r="AN64" s="348" t="s">
        <v>1251</v>
      </c>
      <c r="AO64" s="531">
        <v>2.04</v>
      </c>
      <c r="AP64" s="532">
        <f t="shared" si="3"/>
        <v>2864.16</v>
      </c>
      <c r="AQ64" s="532">
        <f t="shared" si="4"/>
        <v>22197.24</v>
      </c>
      <c r="AR64" s="533"/>
      <c r="AS64" s="527"/>
      <c r="AT64" s="527" t="s">
        <v>1220</v>
      </c>
      <c r="AU64" s="537">
        <v>1404</v>
      </c>
      <c r="AV64" s="535">
        <f t="shared" si="5"/>
        <v>0</v>
      </c>
      <c r="AW64" s="535"/>
      <c r="AX64" s="536" t="s">
        <v>1280</v>
      </c>
      <c r="AY64" s="527" t="s">
        <v>1317</v>
      </c>
      <c r="AZ64" s="536" t="s">
        <v>1256</v>
      </c>
      <c r="BA64" s="527"/>
      <c r="BB64" s="527" t="str">
        <f t="shared" si="6"/>
        <v>New Laceys Promotions (Pty) Ltd</v>
      </c>
      <c r="BC64" s="527" t="str">
        <f t="shared" si="7"/>
        <v>南非</v>
      </c>
    </row>
    <row r="65" s="496" customFormat="1" customHeight="1" spans="1:55">
      <c r="A65" s="527">
        <v>46122</v>
      </c>
      <c r="B65" s="527" t="str">
        <f ca="1" t="shared" si="0"/>
        <v/>
      </c>
      <c r="C65" s="346" t="str">
        <f>VLOOKUP(H65,名称!A:E,4,0)</f>
        <v>三代</v>
      </c>
      <c r="D65" s="528" t="s">
        <v>1315</v>
      </c>
      <c r="E65" s="528" t="s">
        <v>1316</v>
      </c>
      <c r="F65" s="346" t="s">
        <v>703</v>
      </c>
      <c r="G65" s="346" t="s">
        <v>704</v>
      </c>
      <c r="H65" s="346" t="s">
        <v>68</v>
      </c>
      <c r="I65" s="346"/>
      <c r="J65" s="348">
        <v>480</v>
      </c>
      <c r="K65" s="347">
        <f>VLOOKUP(H65,名称!A:C,2,0)</f>
        <v>32</v>
      </c>
      <c r="L65" s="348">
        <f t="shared" si="1"/>
        <v>15360</v>
      </c>
      <c r="M65" s="346">
        <f>VLOOKUP(H65,名称!A:E,3,0)</f>
        <v>4</v>
      </c>
      <c r="N65" s="348">
        <f t="shared" si="2"/>
        <v>120</v>
      </c>
      <c r="O65" s="527">
        <v>46161</v>
      </c>
      <c r="P65" s="536">
        <v>46226</v>
      </c>
      <c r="Q65" s="536">
        <v>46227</v>
      </c>
      <c r="R65" s="415" t="s">
        <v>1241</v>
      </c>
      <c r="S65" s="536" t="s">
        <v>1133</v>
      </c>
      <c r="T65" s="346"/>
      <c r="U65" s="568"/>
      <c r="V65" s="346"/>
      <c r="W65" s="348" t="str">
        <f>IFERROR(VLOOKUP(H65,名称!A:F,6,0),"")</f>
        <v>湖南</v>
      </c>
      <c r="X65" s="568" t="s">
        <v>1248</v>
      </c>
      <c r="Y65" s="569">
        <v>46193</v>
      </c>
      <c r="Z65" s="568" t="s">
        <v>1249</v>
      </c>
      <c r="AA65" s="570">
        <v>46181</v>
      </c>
      <c r="AB65" s="569">
        <v>46185</v>
      </c>
      <c r="AC65" s="568" t="s">
        <v>1302</v>
      </c>
      <c r="AD65" s="568" t="s">
        <v>1228</v>
      </c>
      <c r="AE65" s="346" t="s">
        <v>510</v>
      </c>
      <c r="AF65" s="568" t="s">
        <v>1228</v>
      </c>
      <c r="AG65" s="568" t="s">
        <v>510</v>
      </c>
      <c r="AH65" s="568" t="s">
        <v>1307</v>
      </c>
      <c r="AI65" s="568" t="s">
        <v>1228</v>
      </c>
      <c r="AJ65" s="568" t="s">
        <v>1133</v>
      </c>
      <c r="AK65" s="568" t="s">
        <v>1133</v>
      </c>
      <c r="AL65" s="568"/>
      <c r="AM65" s="568" t="s">
        <v>1279</v>
      </c>
      <c r="AN65" s="348" t="s">
        <v>1251</v>
      </c>
      <c r="AO65" s="531">
        <v>3.12</v>
      </c>
      <c r="AP65" s="532">
        <f t="shared" si="3"/>
        <v>1497.6</v>
      </c>
      <c r="AQ65" s="532">
        <f t="shared" si="4"/>
        <v>11606.4</v>
      </c>
      <c r="AR65" s="533"/>
      <c r="AS65" s="527"/>
      <c r="AT65" s="527" t="s">
        <v>1220</v>
      </c>
      <c r="AU65" s="537">
        <f>8+472</f>
        <v>480</v>
      </c>
      <c r="AV65" s="535">
        <f t="shared" si="5"/>
        <v>0</v>
      </c>
      <c r="AW65" s="535"/>
      <c r="AX65" s="536" t="s">
        <v>1280</v>
      </c>
      <c r="AY65" s="527" t="s">
        <v>1317</v>
      </c>
      <c r="AZ65" s="536" t="s">
        <v>1256</v>
      </c>
      <c r="BA65" s="527"/>
      <c r="BB65" s="527" t="str">
        <f t="shared" si="6"/>
        <v>New Laceys Promotions (Pty) Ltd</v>
      </c>
      <c r="BC65" s="527" t="str">
        <f t="shared" si="7"/>
        <v>南非</v>
      </c>
    </row>
    <row r="66" s="496" customFormat="1" customHeight="1" spans="1:55">
      <c r="A66" s="527">
        <v>46122</v>
      </c>
      <c r="B66" s="527" t="str">
        <f ca="1" t="shared" si="0"/>
        <v/>
      </c>
      <c r="C66" s="346" t="str">
        <f>VLOOKUP(H66,名称!A:E,4,0)</f>
        <v>三代</v>
      </c>
      <c r="D66" s="528" t="s">
        <v>1315</v>
      </c>
      <c r="E66" s="528" t="s">
        <v>1316</v>
      </c>
      <c r="F66" s="346" t="s">
        <v>703</v>
      </c>
      <c r="G66" s="346" t="s">
        <v>704</v>
      </c>
      <c r="H66" s="346" t="s">
        <v>72</v>
      </c>
      <c r="I66" s="346"/>
      <c r="J66" s="348">
        <v>1200</v>
      </c>
      <c r="K66" s="347">
        <f>VLOOKUP(H66,名称!A:C,2,0)</f>
        <v>12</v>
      </c>
      <c r="L66" s="348">
        <f t="shared" si="1"/>
        <v>14400</v>
      </c>
      <c r="M66" s="346">
        <f>VLOOKUP(H66,名称!A:E,3,0)</f>
        <v>12</v>
      </c>
      <c r="N66" s="348">
        <f t="shared" si="2"/>
        <v>100</v>
      </c>
      <c r="O66" s="527">
        <v>46161</v>
      </c>
      <c r="P66" s="536">
        <v>46226</v>
      </c>
      <c r="Q66" s="536">
        <v>46227</v>
      </c>
      <c r="R66" s="404" t="s">
        <v>1241</v>
      </c>
      <c r="S66" s="536" t="s">
        <v>1133</v>
      </c>
      <c r="T66" s="346"/>
      <c r="U66" s="568"/>
      <c r="V66" s="346"/>
      <c r="W66" s="348" t="str">
        <f>IFERROR(VLOOKUP(H66,名称!A:F,6,0),"")</f>
        <v>湖南</v>
      </c>
      <c r="X66" s="568" t="s">
        <v>1248</v>
      </c>
      <c r="Y66" s="569">
        <v>46193</v>
      </c>
      <c r="Z66" s="568" t="s">
        <v>1249</v>
      </c>
      <c r="AA66" s="570">
        <v>46181</v>
      </c>
      <c r="AB66" s="569">
        <v>46185</v>
      </c>
      <c r="AC66" s="568" t="s">
        <v>1302</v>
      </c>
      <c r="AD66" s="568" t="s">
        <v>1228</v>
      </c>
      <c r="AE66" s="346" t="s">
        <v>510</v>
      </c>
      <c r="AF66" s="568" t="s">
        <v>1228</v>
      </c>
      <c r="AG66" s="568" t="s">
        <v>510</v>
      </c>
      <c r="AH66" s="568" t="s">
        <v>1307</v>
      </c>
      <c r="AI66" s="568" t="s">
        <v>1228</v>
      </c>
      <c r="AJ66" s="568" t="s">
        <v>1133</v>
      </c>
      <c r="AK66" s="568" t="s">
        <v>1133</v>
      </c>
      <c r="AL66" s="568"/>
      <c r="AM66" s="568" t="s">
        <v>1279</v>
      </c>
      <c r="AN66" s="348" t="s">
        <v>1251</v>
      </c>
      <c r="AO66" s="531">
        <v>1.6</v>
      </c>
      <c r="AP66" s="532">
        <f t="shared" si="3"/>
        <v>1920</v>
      </c>
      <c r="AQ66" s="532">
        <f t="shared" si="4"/>
        <v>14880</v>
      </c>
      <c r="AR66" s="533"/>
      <c r="AS66" s="527"/>
      <c r="AT66" s="527" t="s">
        <v>1220</v>
      </c>
      <c r="AU66" s="537">
        <v>1200</v>
      </c>
      <c r="AV66" s="535">
        <f t="shared" si="5"/>
        <v>0</v>
      </c>
      <c r="AW66" s="535"/>
      <c r="AX66" s="536" t="s">
        <v>1280</v>
      </c>
      <c r="AY66" s="527" t="s">
        <v>1317</v>
      </c>
      <c r="AZ66" s="536" t="s">
        <v>1256</v>
      </c>
      <c r="BA66" s="527"/>
      <c r="BB66" s="527" t="str">
        <f t="shared" si="6"/>
        <v>New Laceys Promotions (Pty) Ltd</v>
      </c>
      <c r="BC66" s="527" t="str">
        <f t="shared" si="7"/>
        <v>南非</v>
      </c>
    </row>
    <row r="67" s="496" customFormat="1" customHeight="1" spans="1:55">
      <c r="A67" s="587">
        <v>46127</v>
      </c>
      <c r="B67" s="527" t="str">
        <f ca="1" t="shared" ref="B67:B114" si="10">IF(TODAY()-5&gt;=A67,IF(AB67="","异常",""),"")</f>
        <v/>
      </c>
      <c r="C67" s="346" t="str">
        <f>VLOOKUP(H67,名称!A:E,4,0)</f>
        <v>三代</v>
      </c>
      <c r="D67" s="528" t="s">
        <v>1276</v>
      </c>
      <c r="E67" s="588" t="s">
        <v>1224</v>
      </c>
      <c r="F67" s="588" t="s">
        <v>1319</v>
      </c>
      <c r="G67" s="588" t="s">
        <v>712</v>
      </c>
      <c r="H67" s="588" t="s">
        <v>66</v>
      </c>
      <c r="I67" s="346"/>
      <c r="J67" s="589">
        <v>20004</v>
      </c>
      <c r="K67" s="347">
        <f>VLOOKUP(H67,名称!A:C,2,0)</f>
        <v>12</v>
      </c>
      <c r="L67" s="348">
        <f t="shared" ref="L67:L114" si="11">J67*K67</f>
        <v>240048</v>
      </c>
      <c r="M67" s="346">
        <f>VLOOKUP(H67,名称!A:E,3,0)</f>
        <v>6</v>
      </c>
      <c r="N67" s="348">
        <f t="shared" ref="N67:N114" si="12">J67/M67</f>
        <v>3334</v>
      </c>
      <c r="O67" s="527">
        <v>46228</v>
      </c>
      <c r="P67" s="527">
        <f>O67</f>
        <v>46228</v>
      </c>
      <c r="Q67" s="536">
        <v>46230</v>
      </c>
      <c r="R67" s="404" t="s">
        <v>1241</v>
      </c>
      <c r="S67" s="536">
        <v>46234</v>
      </c>
      <c r="T67" s="404" t="s">
        <v>1291</v>
      </c>
      <c r="U67" s="568"/>
      <c r="V67" s="346"/>
      <c r="W67" s="348" t="str">
        <f>IFERROR(VLOOKUP(H67,名称!A:F,6,0),"")</f>
        <v>湖南</v>
      </c>
      <c r="X67" s="568" t="s">
        <v>1133</v>
      </c>
      <c r="Y67" s="568" t="s">
        <v>1133</v>
      </c>
      <c r="Z67" s="569">
        <v>46198</v>
      </c>
      <c r="AA67" s="570">
        <v>46198</v>
      </c>
      <c r="AB67" s="569">
        <v>46198</v>
      </c>
      <c r="AC67" s="568" t="s">
        <v>1318</v>
      </c>
      <c r="AD67" s="568" t="s">
        <v>1228</v>
      </c>
      <c r="AE67" s="346" t="s">
        <v>270</v>
      </c>
      <c r="AF67" s="568" t="s">
        <v>1228</v>
      </c>
      <c r="AG67" s="568" t="s">
        <v>270</v>
      </c>
      <c r="AH67" s="568" t="s">
        <v>1285</v>
      </c>
      <c r="AI67" s="568" t="s">
        <v>1228</v>
      </c>
      <c r="AJ67" s="568" t="s">
        <v>510</v>
      </c>
      <c r="AK67" s="568" t="s">
        <v>1133</v>
      </c>
      <c r="AL67" s="568"/>
      <c r="AM67" s="415" t="s">
        <v>1292</v>
      </c>
      <c r="AN67" s="348"/>
      <c r="AO67" s="531">
        <v>2.02</v>
      </c>
      <c r="AP67" s="532">
        <f t="shared" ref="AP67:AP114" si="13">J67*AO67</f>
        <v>40408.08</v>
      </c>
      <c r="AQ67" s="532">
        <f t="shared" ref="AQ67:AQ114" si="14">AP67*7.75</f>
        <v>313162.62</v>
      </c>
      <c r="AR67" s="533"/>
      <c r="AS67" s="527"/>
      <c r="AT67" s="527" t="s">
        <v>1220</v>
      </c>
      <c r="AU67" s="537">
        <f>1800+17610+594</f>
        <v>20004</v>
      </c>
      <c r="AV67" s="535">
        <f t="shared" ref="AV67:AV114" si="15">AU67-J67</f>
        <v>0</v>
      </c>
      <c r="AW67" s="535"/>
      <c r="AX67" s="536" t="s">
        <v>1280</v>
      </c>
      <c r="AY67" s="527"/>
      <c r="AZ67" s="413" t="s">
        <v>1256</v>
      </c>
      <c r="BA67" s="527"/>
      <c r="BB67" s="527" t="str">
        <f t="shared" ref="BB67:BB114" si="16">D67</f>
        <v>Jazwares- TARGET US DOM</v>
      </c>
      <c r="BC67" s="527" t="str">
        <f t="shared" ref="BC67:BC114" si="17">E67</f>
        <v>美国</v>
      </c>
    </row>
    <row r="68" s="495" customFormat="1" customHeight="1" spans="1:55">
      <c r="A68" s="590">
        <v>46127</v>
      </c>
      <c r="B68" s="538" t="str">
        <f ca="1" t="shared" si="10"/>
        <v/>
      </c>
      <c r="C68" s="539" t="str">
        <f>VLOOKUP(H68,名称!A:E,4,0)</f>
        <v>三代</v>
      </c>
      <c r="D68" s="540" t="s">
        <v>1276</v>
      </c>
      <c r="E68" s="591" t="s">
        <v>1224</v>
      </c>
      <c r="F68" s="591" t="s">
        <v>705</v>
      </c>
      <c r="G68" s="591" t="s">
        <v>706</v>
      </c>
      <c r="H68" s="591" t="s">
        <v>68</v>
      </c>
      <c r="I68" s="118"/>
      <c r="J68" s="592">
        <v>11600</v>
      </c>
      <c r="K68" s="92">
        <f>VLOOKUP(H68,名称!A:C,2,0)</f>
        <v>32</v>
      </c>
      <c r="L68" s="32">
        <f t="shared" si="11"/>
        <v>371200</v>
      </c>
      <c r="M68" s="539">
        <f>VLOOKUP(H68,名称!A:E,3,0)</f>
        <v>4</v>
      </c>
      <c r="N68" s="518">
        <f t="shared" si="12"/>
        <v>2900</v>
      </c>
      <c r="O68" s="538">
        <v>46268</v>
      </c>
      <c r="P68" s="538">
        <f>O68</f>
        <v>46268</v>
      </c>
      <c r="Q68" s="566">
        <v>46272</v>
      </c>
      <c r="R68" s="539"/>
      <c r="S68" s="566">
        <v>46275</v>
      </c>
      <c r="T68" s="539"/>
      <c r="U68" s="422" t="s">
        <v>1299</v>
      </c>
      <c r="V68" s="539"/>
      <c r="W68" s="518" t="str">
        <f>IFERROR(VLOOKUP(H68,名称!A:F,6,0),"")</f>
        <v>湖南</v>
      </c>
      <c r="X68" s="541" t="s">
        <v>1133</v>
      </c>
      <c r="Y68" s="541" t="s">
        <v>1133</v>
      </c>
      <c r="Z68" s="567">
        <v>46240</v>
      </c>
      <c r="AA68" s="552">
        <v>46241</v>
      </c>
      <c r="AB68" s="567">
        <v>46244</v>
      </c>
      <c r="AC68" s="541" t="s">
        <v>1302</v>
      </c>
      <c r="AD68" s="541" t="s">
        <v>1228</v>
      </c>
      <c r="AE68" s="539" t="s">
        <v>270</v>
      </c>
      <c r="AF68" s="541" t="s">
        <v>1228</v>
      </c>
      <c r="AG68" s="541" t="s">
        <v>270</v>
      </c>
      <c r="AH68" s="541" t="s">
        <v>1285</v>
      </c>
      <c r="AI68" s="541" t="s">
        <v>1228</v>
      </c>
      <c r="AJ68" s="541" t="s">
        <v>1133</v>
      </c>
      <c r="AK68" s="541" t="s">
        <v>1133</v>
      </c>
      <c r="AL68" s="541"/>
      <c r="AM68" s="431" t="s">
        <v>1293</v>
      </c>
      <c r="AN68" s="518"/>
      <c r="AO68" s="544">
        <v>3.09</v>
      </c>
      <c r="AP68" s="545">
        <f t="shared" si="13"/>
        <v>35844</v>
      </c>
      <c r="AQ68" s="545">
        <f t="shared" si="14"/>
        <v>277791</v>
      </c>
      <c r="AR68" s="546"/>
      <c r="AS68" s="538"/>
      <c r="AT68" s="455" t="s">
        <v>1220</v>
      </c>
      <c r="AU68" s="584"/>
      <c r="AV68" s="548">
        <f t="shared" si="15"/>
        <v>-11600</v>
      </c>
      <c r="AW68" s="548"/>
      <c r="AX68" s="420" t="s">
        <v>1280</v>
      </c>
      <c r="AY68" s="538"/>
      <c r="AZ68" s="420" t="s">
        <v>1256</v>
      </c>
      <c r="BA68" s="538"/>
      <c r="BB68" s="455" t="str">
        <f t="shared" si="16"/>
        <v>Jazwares- TARGET US DOM</v>
      </c>
      <c r="BC68" s="455" t="str">
        <f t="shared" si="17"/>
        <v>美国</v>
      </c>
    </row>
    <row r="69" s="495" customFormat="1" customHeight="1" spans="1:55">
      <c r="A69" s="590">
        <v>46127</v>
      </c>
      <c r="B69" s="538" t="str">
        <f ca="1" t="shared" si="10"/>
        <v/>
      </c>
      <c r="C69" s="539" t="str">
        <f>VLOOKUP(H69,名称!A:E,4,0)</f>
        <v>三代</v>
      </c>
      <c r="D69" s="540" t="s">
        <v>1276</v>
      </c>
      <c r="E69" s="591" t="s">
        <v>1224</v>
      </c>
      <c r="F69" s="591" t="s">
        <v>707</v>
      </c>
      <c r="G69" s="591" t="s">
        <v>708</v>
      </c>
      <c r="H69" s="591" t="s">
        <v>95</v>
      </c>
      <c r="I69" s="118"/>
      <c r="J69" s="592">
        <v>11800</v>
      </c>
      <c r="K69" s="92">
        <f>VLOOKUP(H69,名称!A:C,2,0)</f>
        <v>32</v>
      </c>
      <c r="L69" s="32">
        <f t="shared" si="11"/>
        <v>377600</v>
      </c>
      <c r="M69" s="539">
        <f>VLOOKUP(H69,名称!A:E,3,0)</f>
        <v>4</v>
      </c>
      <c r="N69" s="518">
        <f t="shared" si="12"/>
        <v>2950</v>
      </c>
      <c r="O69" s="538">
        <v>46268</v>
      </c>
      <c r="P69" s="538">
        <f>O69</f>
        <v>46268</v>
      </c>
      <c r="Q69" s="566">
        <v>46272</v>
      </c>
      <c r="R69" s="539"/>
      <c r="S69" s="566">
        <v>46275</v>
      </c>
      <c r="T69" s="498"/>
      <c r="U69" s="422" t="s">
        <v>1299</v>
      </c>
      <c r="V69" s="539"/>
      <c r="W69" s="518" t="str">
        <f>IFERROR(VLOOKUP(H69,名称!A:F,6,0),"")</f>
        <v>湖南</v>
      </c>
      <c r="X69" s="541" t="s">
        <v>1133</v>
      </c>
      <c r="Y69" s="541" t="s">
        <v>1133</v>
      </c>
      <c r="Z69" s="567">
        <v>46240</v>
      </c>
      <c r="AA69" s="552">
        <v>46241</v>
      </c>
      <c r="AB69" s="567">
        <v>46241</v>
      </c>
      <c r="AC69" s="541" t="s">
        <v>1302</v>
      </c>
      <c r="AD69" s="541" t="s">
        <v>1228</v>
      </c>
      <c r="AE69" s="539" t="s">
        <v>270</v>
      </c>
      <c r="AF69" s="541" t="s">
        <v>1228</v>
      </c>
      <c r="AG69" s="541" t="s">
        <v>270</v>
      </c>
      <c r="AH69" s="541" t="s">
        <v>1285</v>
      </c>
      <c r="AI69" s="541" t="s">
        <v>1228</v>
      </c>
      <c r="AJ69" s="541" t="s">
        <v>1133</v>
      </c>
      <c r="AK69" s="541" t="s">
        <v>1133</v>
      </c>
      <c r="AL69" s="541"/>
      <c r="AM69" s="431" t="s">
        <v>1293</v>
      </c>
      <c r="AN69" s="518"/>
      <c r="AO69" s="544">
        <v>3.09</v>
      </c>
      <c r="AP69" s="545">
        <f t="shared" si="13"/>
        <v>36462</v>
      </c>
      <c r="AQ69" s="545">
        <f t="shared" si="14"/>
        <v>282580.5</v>
      </c>
      <c r="AR69" s="546"/>
      <c r="AS69" s="538"/>
      <c r="AT69" s="538" t="s">
        <v>1220</v>
      </c>
      <c r="AU69" s="584"/>
      <c r="AV69" s="548">
        <f t="shared" si="15"/>
        <v>-11800</v>
      </c>
      <c r="AW69" s="548"/>
      <c r="AX69" s="420" t="s">
        <v>1280</v>
      </c>
      <c r="AY69" s="538"/>
      <c r="AZ69" s="420" t="s">
        <v>1256</v>
      </c>
      <c r="BA69" s="538"/>
      <c r="BB69" s="538" t="str">
        <f t="shared" si="16"/>
        <v>Jazwares- TARGET US DOM</v>
      </c>
      <c r="BC69" s="538" t="str">
        <f t="shared" si="17"/>
        <v>美国</v>
      </c>
    </row>
    <row r="70" s="496" customFormat="1" customHeight="1" spans="1:55">
      <c r="A70" s="587">
        <v>46128</v>
      </c>
      <c r="B70" s="527" t="str">
        <f ca="1" t="shared" si="10"/>
        <v/>
      </c>
      <c r="C70" s="346" t="str">
        <f>VLOOKUP(H70,名称!A:E,4,0)</f>
        <v>三代</v>
      </c>
      <c r="D70" s="528" t="s">
        <v>1320</v>
      </c>
      <c r="E70" s="528" t="s">
        <v>1224</v>
      </c>
      <c r="F70" s="346">
        <v>247400000</v>
      </c>
      <c r="G70" s="346" t="s">
        <v>741</v>
      </c>
      <c r="H70" s="346" t="s">
        <v>88</v>
      </c>
      <c r="I70" s="346"/>
      <c r="J70" s="348">
        <f>78912-72192-6696</f>
        <v>24</v>
      </c>
      <c r="K70" s="347">
        <f>VLOOKUP(H70,名称!A:C,2,0)</f>
        <v>5</v>
      </c>
      <c r="L70" s="348">
        <f t="shared" si="11"/>
        <v>120</v>
      </c>
      <c r="M70" s="346">
        <f>VLOOKUP(H70,名称!A:E,3,0)</f>
        <v>24</v>
      </c>
      <c r="N70" s="348">
        <f t="shared" si="12"/>
        <v>1</v>
      </c>
      <c r="O70" s="527">
        <v>46204</v>
      </c>
      <c r="P70" s="527">
        <v>46213</v>
      </c>
      <c r="Q70" s="536">
        <v>46224</v>
      </c>
      <c r="R70" s="404" t="s">
        <v>1241</v>
      </c>
      <c r="S70" s="536" t="s">
        <v>1133</v>
      </c>
      <c r="T70" s="346"/>
      <c r="U70" s="568"/>
      <c r="V70" s="529">
        <v>46233</v>
      </c>
      <c r="W70" s="348" t="str">
        <f>IFERROR(VLOOKUP(H70,名称!A:F,6,0),"")</f>
        <v>湖南</v>
      </c>
      <c r="X70" s="568" t="s">
        <v>1321</v>
      </c>
      <c r="Y70" s="568" t="s">
        <v>1228</v>
      </c>
      <c r="Z70" s="569">
        <v>46150</v>
      </c>
      <c r="AA70" s="570">
        <v>46155</v>
      </c>
      <c r="AB70" s="570">
        <v>46155</v>
      </c>
      <c r="AC70" s="568" t="s">
        <v>1133</v>
      </c>
      <c r="AD70" s="568" t="s">
        <v>1133</v>
      </c>
      <c r="AE70" s="346" t="s">
        <v>510</v>
      </c>
      <c r="AF70" s="568" t="s">
        <v>1228</v>
      </c>
      <c r="AG70" s="568" t="s">
        <v>510</v>
      </c>
      <c r="AH70" s="568" t="s">
        <v>1133</v>
      </c>
      <c r="AI70" s="568" t="s">
        <v>1228</v>
      </c>
      <c r="AJ70" s="568" t="s">
        <v>1133</v>
      </c>
      <c r="AK70" s="568" t="s">
        <v>510</v>
      </c>
      <c r="AL70" s="568"/>
      <c r="AM70" s="568" t="s">
        <v>1303</v>
      </c>
      <c r="AN70" s="348" t="s">
        <v>1251</v>
      </c>
      <c r="AO70" s="531">
        <v>0.61</v>
      </c>
      <c r="AP70" s="532">
        <f t="shared" si="13"/>
        <v>14.64</v>
      </c>
      <c r="AQ70" s="532">
        <f t="shared" si="14"/>
        <v>113.46</v>
      </c>
      <c r="AR70" s="533"/>
      <c r="AS70" s="527"/>
      <c r="AT70" s="527" t="s">
        <v>1310</v>
      </c>
      <c r="AU70" s="537"/>
      <c r="AV70" s="535">
        <f t="shared" si="15"/>
        <v>-24</v>
      </c>
      <c r="AW70" s="535"/>
      <c r="AX70" s="536"/>
      <c r="AY70" s="527"/>
      <c r="AZ70" s="527"/>
      <c r="BA70" s="527"/>
      <c r="BB70" s="527" t="str">
        <f t="shared" si="16"/>
        <v>PHAT MOJO</v>
      </c>
      <c r="BC70" s="527" t="str">
        <f t="shared" si="17"/>
        <v>美国</v>
      </c>
    </row>
    <row r="71" s="496" customFormat="1" customHeight="1" spans="1:55">
      <c r="A71" s="587">
        <v>46128</v>
      </c>
      <c r="B71" s="527" t="str">
        <f ca="1" t="shared" si="10"/>
        <v/>
      </c>
      <c r="C71" s="346" t="str">
        <f>VLOOKUP(H71,名称!A:E,4,0)</f>
        <v>三代</v>
      </c>
      <c r="D71" s="588" t="s">
        <v>1276</v>
      </c>
      <c r="E71" s="588" t="s">
        <v>1224</v>
      </c>
      <c r="F71" s="588" t="s">
        <v>737</v>
      </c>
      <c r="G71" s="588" t="s">
        <v>738</v>
      </c>
      <c r="H71" s="588" t="s">
        <v>85</v>
      </c>
      <c r="I71" s="118"/>
      <c r="J71" s="589">
        <v>47520</v>
      </c>
      <c r="K71" s="92">
        <f>VLOOKUP(H71,名称!A:C,2,0)</f>
        <v>5</v>
      </c>
      <c r="L71" s="32">
        <f t="shared" si="11"/>
        <v>237600</v>
      </c>
      <c r="M71" s="346">
        <f>VLOOKUP(H71,名称!A:E,3,0)</f>
        <v>24</v>
      </c>
      <c r="N71" s="348">
        <f t="shared" si="12"/>
        <v>1980</v>
      </c>
      <c r="O71" s="587">
        <v>46228</v>
      </c>
      <c r="P71" s="536">
        <f>O71</f>
        <v>46228</v>
      </c>
      <c r="Q71" s="536">
        <v>46239</v>
      </c>
      <c r="R71" s="404" t="s">
        <v>1277</v>
      </c>
      <c r="S71" s="536">
        <v>46244</v>
      </c>
      <c r="T71" s="404" t="s">
        <v>1241</v>
      </c>
      <c r="U71" s="568"/>
      <c r="V71" s="404" t="s">
        <v>1278</v>
      </c>
      <c r="W71" s="348" t="str">
        <f>IFERROR(VLOOKUP(H71,名称!A:F,6,0),"")</f>
        <v>湖南</v>
      </c>
      <c r="X71" s="568" t="s">
        <v>1133</v>
      </c>
      <c r="Y71" s="568" t="s">
        <v>1133</v>
      </c>
      <c r="Z71" s="569">
        <v>46206</v>
      </c>
      <c r="AA71" s="570">
        <v>46206</v>
      </c>
      <c r="AB71" s="569">
        <v>46206</v>
      </c>
      <c r="AC71" s="568" t="s">
        <v>1133</v>
      </c>
      <c r="AD71" s="568" t="s">
        <v>1133</v>
      </c>
      <c r="AE71" s="588" t="s">
        <v>270</v>
      </c>
      <c r="AF71" s="568" t="s">
        <v>1228</v>
      </c>
      <c r="AG71" s="568" t="s">
        <v>270</v>
      </c>
      <c r="AH71" s="568" t="s">
        <v>1133</v>
      </c>
      <c r="AI71" s="568" t="s">
        <v>1228</v>
      </c>
      <c r="AJ71" s="568" t="s">
        <v>1133</v>
      </c>
      <c r="AK71" s="346" t="s">
        <v>270</v>
      </c>
      <c r="AL71" s="568"/>
      <c r="AM71" s="415" t="s">
        <v>1292</v>
      </c>
      <c r="AN71" s="408" t="s">
        <v>1295</v>
      </c>
      <c r="AO71" s="531">
        <v>0.83</v>
      </c>
      <c r="AP71" s="532">
        <f t="shared" si="13"/>
        <v>39441.6</v>
      </c>
      <c r="AQ71" s="532">
        <f t="shared" si="14"/>
        <v>305672.4</v>
      </c>
      <c r="AR71" s="533"/>
      <c r="AS71" s="527"/>
      <c r="AT71" s="527" t="s">
        <v>1220</v>
      </c>
      <c r="AU71" s="537"/>
      <c r="AV71" s="535">
        <f t="shared" si="15"/>
        <v>-47520</v>
      </c>
      <c r="AW71" s="535"/>
      <c r="AX71" s="536" t="s">
        <v>1280</v>
      </c>
      <c r="AY71" s="527"/>
      <c r="AZ71" s="403" t="s">
        <v>1256</v>
      </c>
      <c r="BA71" s="527"/>
      <c r="BB71" s="527" t="str">
        <f t="shared" si="16"/>
        <v>Jazwares- TARGET US DOM</v>
      </c>
      <c r="BC71" s="527" t="str">
        <f t="shared" si="17"/>
        <v>美国</v>
      </c>
    </row>
    <row r="72" s="496" customFormat="1" customHeight="1" spans="1:55">
      <c r="A72" s="587">
        <v>46128</v>
      </c>
      <c r="B72" s="527" t="str">
        <f ca="1" t="shared" si="10"/>
        <v/>
      </c>
      <c r="C72" s="346" t="str">
        <f>VLOOKUP(H72,名称!A:E,4,0)</f>
        <v>三代</v>
      </c>
      <c r="D72" s="588" t="s">
        <v>1322</v>
      </c>
      <c r="E72" s="588" t="s">
        <v>1224</v>
      </c>
      <c r="F72" s="588" t="s">
        <v>739</v>
      </c>
      <c r="G72" s="588" t="s">
        <v>740</v>
      </c>
      <c r="H72" s="588" t="s">
        <v>96</v>
      </c>
      <c r="I72" s="346"/>
      <c r="J72" s="589">
        <v>960</v>
      </c>
      <c r="K72" s="347">
        <f>VLOOKUP(H72,名称!A:C,2,0)</f>
        <v>5</v>
      </c>
      <c r="L72" s="348">
        <f t="shared" si="11"/>
        <v>4800</v>
      </c>
      <c r="M72" s="346">
        <f>VLOOKUP(H72,名称!A:E,3,0)</f>
        <v>12</v>
      </c>
      <c r="N72" s="348">
        <f t="shared" si="12"/>
        <v>80</v>
      </c>
      <c r="O72" s="587">
        <v>46217</v>
      </c>
      <c r="P72" s="527">
        <f>O72</f>
        <v>46217</v>
      </c>
      <c r="Q72" s="536">
        <v>46218</v>
      </c>
      <c r="R72" s="404" t="s">
        <v>1241</v>
      </c>
      <c r="S72" s="536">
        <v>46218</v>
      </c>
      <c r="T72" s="404" t="s">
        <v>1282</v>
      </c>
      <c r="U72" s="568"/>
      <c r="V72" s="404" t="s">
        <v>1278</v>
      </c>
      <c r="W72" s="348" t="str">
        <f>IFERROR(VLOOKUP(H72,名称!A:F,6,0),"")</f>
        <v>湖南</v>
      </c>
      <c r="X72" s="346" t="s">
        <v>1133</v>
      </c>
      <c r="Y72" s="346" t="s">
        <v>1133</v>
      </c>
      <c r="Z72" s="569">
        <v>46139</v>
      </c>
      <c r="AA72" s="570">
        <v>46140</v>
      </c>
      <c r="AB72" s="570">
        <v>46149</v>
      </c>
      <c r="AC72" s="568" t="s">
        <v>1133</v>
      </c>
      <c r="AD72" s="568" t="s">
        <v>1133</v>
      </c>
      <c r="AE72" s="588" t="s">
        <v>270</v>
      </c>
      <c r="AF72" s="568" t="s">
        <v>1228</v>
      </c>
      <c r="AG72" s="568" t="s">
        <v>270</v>
      </c>
      <c r="AH72" s="568" t="s">
        <v>1133</v>
      </c>
      <c r="AI72" s="568" t="s">
        <v>1228</v>
      </c>
      <c r="AJ72" s="568" t="s">
        <v>1133</v>
      </c>
      <c r="AK72" s="568" t="s">
        <v>270</v>
      </c>
      <c r="AL72" s="568"/>
      <c r="AM72" s="568" t="s">
        <v>1323</v>
      </c>
      <c r="AN72" s="348"/>
      <c r="AO72" s="531">
        <v>0.59</v>
      </c>
      <c r="AP72" s="532">
        <f t="shared" si="13"/>
        <v>566.4</v>
      </c>
      <c r="AQ72" s="532">
        <f t="shared" si="14"/>
        <v>4389.6</v>
      </c>
      <c r="AR72" s="533"/>
      <c r="AS72" s="527"/>
      <c r="AT72" s="527" t="s">
        <v>1220</v>
      </c>
      <c r="AU72" s="537">
        <v>960</v>
      </c>
      <c r="AV72" s="535">
        <f t="shared" si="15"/>
        <v>0</v>
      </c>
      <c r="AW72" s="535"/>
      <c r="AX72" s="536" t="s">
        <v>1280</v>
      </c>
      <c r="AY72" s="527"/>
      <c r="AZ72" s="403" t="s">
        <v>1256</v>
      </c>
      <c r="BA72" s="527"/>
      <c r="BB72" s="527" t="str">
        <f t="shared" si="16"/>
        <v>JAZWARES - HOT Topic/Box Lunch</v>
      </c>
      <c r="BC72" s="527" t="str">
        <f t="shared" si="17"/>
        <v>美国</v>
      </c>
    </row>
    <row r="73" s="495" customFormat="1" customHeight="1" spans="1:55">
      <c r="A73" s="538">
        <v>46130</v>
      </c>
      <c r="B73" s="538" t="str">
        <f ca="1" t="shared" si="10"/>
        <v>异常</v>
      </c>
      <c r="C73" s="539" t="str">
        <f>VLOOKUP(H73,名称!A:E,4,0)</f>
        <v>三代</v>
      </c>
      <c r="D73" s="591" t="s">
        <v>1324</v>
      </c>
      <c r="E73" s="591" t="s">
        <v>1325</v>
      </c>
      <c r="F73" s="591" t="s">
        <v>746</v>
      </c>
      <c r="G73" s="591" t="s">
        <v>747</v>
      </c>
      <c r="H73" s="591" t="s">
        <v>107</v>
      </c>
      <c r="I73" s="118"/>
      <c r="J73" s="593">
        <f>12000-5000</f>
        <v>7000</v>
      </c>
      <c r="K73" s="92">
        <f>VLOOKUP(H73,名称!A:C,2,0)</f>
        <v>12</v>
      </c>
      <c r="L73" s="32">
        <f t="shared" si="11"/>
        <v>84000</v>
      </c>
      <c r="M73" s="539">
        <f>VLOOKUP(H73,名称!A:E,3,0)</f>
        <v>5</v>
      </c>
      <c r="N73" s="518">
        <f t="shared" si="12"/>
        <v>1400</v>
      </c>
      <c r="O73" s="590">
        <v>46223</v>
      </c>
      <c r="P73" s="455">
        <v>46266</v>
      </c>
      <c r="Q73" s="594">
        <v>46279</v>
      </c>
      <c r="R73" s="539"/>
      <c r="S73" s="594">
        <v>46279</v>
      </c>
      <c r="T73" s="539"/>
      <c r="U73" s="541"/>
      <c r="V73" s="539"/>
      <c r="W73" s="518" t="str">
        <f>IFERROR(VLOOKUP(H73,名称!A:F,6,0),"")</f>
        <v>湖南</v>
      </c>
      <c r="X73" s="541" t="s">
        <v>1133</v>
      </c>
      <c r="Y73" s="541" t="s">
        <v>1133</v>
      </c>
      <c r="Z73" s="541" t="s">
        <v>1233</v>
      </c>
      <c r="AA73" s="552"/>
      <c r="AB73" s="541"/>
      <c r="AC73" s="541" t="s">
        <v>1302</v>
      </c>
      <c r="AD73" s="541" t="s">
        <v>1228</v>
      </c>
      <c r="AE73" s="591" t="s">
        <v>253</v>
      </c>
      <c r="AF73" s="541" t="s">
        <v>1228</v>
      </c>
      <c r="AG73" s="541" t="s">
        <v>253</v>
      </c>
      <c r="AH73" s="541" t="s">
        <v>1326</v>
      </c>
      <c r="AI73" s="541" t="s">
        <v>1228</v>
      </c>
      <c r="AJ73" s="541" t="s">
        <v>253</v>
      </c>
      <c r="AK73" s="541" t="s">
        <v>1133</v>
      </c>
      <c r="AL73" s="541"/>
      <c r="AM73" s="431" t="s">
        <v>1292</v>
      </c>
      <c r="AN73" s="518" t="s">
        <v>1231</v>
      </c>
      <c r="AO73" s="544">
        <v>2.12</v>
      </c>
      <c r="AP73" s="545">
        <f t="shared" si="13"/>
        <v>14840</v>
      </c>
      <c r="AQ73" s="545">
        <f t="shared" si="14"/>
        <v>115010</v>
      </c>
      <c r="AR73" s="546"/>
      <c r="AS73" s="538"/>
      <c r="AT73" s="538" t="s">
        <v>1220</v>
      </c>
      <c r="AU73" s="584"/>
      <c r="AV73" s="548">
        <f t="shared" si="15"/>
        <v>-7000</v>
      </c>
      <c r="AW73" s="548"/>
      <c r="AX73" s="549" t="s">
        <v>1280</v>
      </c>
      <c r="AY73" s="538"/>
      <c r="AZ73" s="420" t="s">
        <v>1256</v>
      </c>
      <c r="BA73" s="538"/>
      <c r="BB73" s="549" t="str">
        <f t="shared" si="16"/>
        <v>JAZWARES - INTL (WALMART CA FOB)</v>
      </c>
      <c r="BC73" s="549" t="str">
        <f t="shared" si="17"/>
        <v>加拿大</v>
      </c>
    </row>
    <row r="74" s="495" customFormat="1" customHeight="1" spans="1:55">
      <c r="A74" s="538">
        <v>46130</v>
      </c>
      <c r="B74" s="538" t="str">
        <f ca="1" t="shared" si="10"/>
        <v>异常</v>
      </c>
      <c r="C74" s="539" t="str">
        <f>VLOOKUP(H74,名称!A:E,4,0)</f>
        <v>三代</v>
      </c>
      <c r="D74" s="591" t="s">
        <v>1324</v>
      </c>
      <c r="E74" s="591" t="s">
        <v>1325</v>
      </c>
      <c r="F74" s="591" t="s">
        <v>748</v>
      </c>
      <c r="G74" s="591" t="s">
        <v>749</v>
      </c>
      <c r="H74" s="591" t="s">
        <v>83</v>
      </c>
      <c r="I74" s="118"/>
      <c r="J74" s="592">
        <f>10008-4008-2004-1992</f>
        <v>2004</v>
      </c>
      <c r="K74" s="92">
        <f>VLOOKUP(H74,名称!A:C,2,0)</f>
        <v>5</v>
      </c>
      <c r="L74" s="32">
        <f t="shared" si="11"/>
        <v>10020</v>
      </c>
      <c r="M74" s="539">
        <f>VLOOKUP(H74,名称!A:E,3,0)</f>
        <v>12</v>
      </c>
      <c r="N74" s="518">
        <f t="shared" si="12"/>
        <v>167</v>
      </c>
      <c r="O74" s="590">
        <v>46223</v>
      </c>
      <c r="P74" s="420">
        <v>46266</v>
      </c>
      <c r="Q74" s="594">
        <v>46279</v>
      </c>
      <c r="R74" s="539"/>
      <c r="S74" s="594">
        <v>46279</v>
      </c>
      <c r="T74" s="539"/>
      <c r="U74" s="541"/>
      <c r="V74" s="539"/>
      <c r="W74" s="518" t="str">
        <f>IFERROR(VLOOKUP(H74,名称!A:F,6,0),"")</f>
        <v>湖南</v>
      </c>
      <c r="X74" s="541" t="s">
        <v>1133</v>
      </c>
      <c r="Y74" s="541" t="s">
        <v>1133</v>
      </c>
      <c r="Z74" s="541" t="s">
        <v>1233</v>
      </c>
      <c r="AA74" s="552"/>
      <c r="AB74" s="552"/>
      <c r="AC74" s="541" t="s">
        <v>1133</v>
      </c>
      <c r="AD74" s="541" t="s">
        <v>1133</v>
      </c>
      <c r="AE74" s="591" t="s">
        <v>253</v>
      </c>
      <c r="AF74" s="541" t="s">
        <v>1228</v>
      </c>
      <c r="AG74" s="541" t="s">
        <v>253</v>
      </c>
      <c r="AH74" s="541" t="s">
        <v>1133</v>
      </c>
      <c r="AI74" s="541" t="s">
        <v>1228</v>
      </c>
      <c r="AJ74" s="541" t="s">
        <v>1133</v>
      </c>
      <c r="AK74" s="539" t="s">
        <v>253</v>
      </c>
      <c r="AL74" s="541"/>
      <c r="AM74" s="431" t="s">
        <v>1292</v>
      </c>
      <c r="AN74" s="585" t="s">
        <v>1312</v>
      </c>
      <c r="AO74" s="544">
        <v>0.83</v>
      </c>
      <c r="AP74" s="545">
        <f t="shared" si="13"/>
        <v>1663.32</v>
      </c>
      <c r="AQ74" s="545">
        <f t="shared" si="14"/>
        <v>12890.73</v>
      </c>
      <c r="AR74" s="546"/>
      <c r="AS74" s="538"/>
      <c r="AT74" s="455" t="s">
        <v>1313</v>
      </c>
      <c r="AU74" s="584"/>
      <c r="AV74" s="548">
        <f t="shared" si="15"/>
        <v>-2004</v>
      </c>
      <c r="AW74" s="548"/>
      <c r="AX74" s="549"/>
      <c r="AY74" s="538"/>
      <c r="AZ74" s="420" t="s">
        <v>1256</v>
      </c>
      <c r="BA74" s="538"/>
      <c r="BB74" s="538" t="str">
        <f t="shared" si="16"/>
        <v>JAZWARES - INTL (WALMART CA FOB)</v>
      </c>
      <c r="BC74" s="538" t="str">
        <f t="shared" si="17"/>
        <v>加拿大</v>
      </c>
    </row>
    <row r="75" s="495" customFormat="1" customHeight="1" spans="1:55">
      <c r="A75" s="538">
        <v>46130</v>
      </c>
      <c r="B75" s="538" t="str">
        <f ca="1" t="shared" si="10"/>
        <v>异常</v>
      </c>
      <c r="C75" s="539" t="str">
        <f>VLOOKUP(H75,名称!A:E,4,0)</f>
        <v>三代</v>
      </c>
      <c r="D75" s="591" t="s">
        <v>1324</v>
      </c>
      <c r="E75" s="591" t="s">
        <v>1325</v>
      </c>
      <c r="F75" s="591" t="s">
        <v>744</v>
      </c>
      <c r="G75" s="591" t="s">
        <v>745</v>
      </c>
      <c r="H75" s="591" t="s">
        <v>60</v>
      </c>
      <c r="I75" s="539"/>
      <c r="J75" s="592">
        <f>12000-1200-5400</f>
        <v>5400</v>
      </c>
      <c r="K75" s="514">
        <f>VLOOKUP(H75,名称!A:C,2,0)</f>
        <v>5</v>
      </c>
      <c r="L75" s="518">
        <f t="shared" si="11"/>
        <v>27000</v>
      </c>
      <c r="M75" s="539">
        <f>VLOOKUP(H75,名称!A:E,3,0)</f>
        <v>12</v>
      </c>
      <c r="N75" s="518">
        <f t="shared" si="12"/>
        <v>450</v>
      </c>
      <c r="O75" s="590">
        <v>46223</v>
      </c>
      <c r="P75" s="420">
        <v>46266</v>
      </c>
      <c r="Q75" s="594">
        <v>46279</v>
      </c>
      <c r="R75" s="539"/>
      <c r="S75" s="594">
        <v>46279</v>
      </c>
      <c r="T75" s="539"/>
      <c r="U75" s="541"/>
      <c r="V75" s="462" t="s">
        <v>1327</v>
      </c>
      <c r="W75" s="518" t="str">
        <f>IFERROR(VLOOKUP(H75,名称!A:F,6,0),"")</f>
        <v>湖南</v>
      </c>
      <c r="X75" s="541" t="s">
        <v>1133</v>
      </c>
      <c r="Y75" s="541" t="s">
        <v>1133</v>
      </c>
      <c r="Z75" s="541" t="s">
        <v>1233</v>
      </c>
      <c r="AA75" s="552"/>
      <c r="AB75" s="552"/>
      <c r="AC75" s="541" t="s">
        <v>1133</v>
      </c>
      <c r="AD75" s="541" t="s">
        <v>1133</v>
      </c>
      <c r="AE75" s="591" t="s">
        <v>253</v>
      </c>
      <c r="AF75" s="541" t="s">
        <v>1228</v>
      </c>
      <c r="AG75" s="541" t="s">
        <v>253</v>
      </c>
      <c r="AH75" s="541" t="s">
        <v>1133</v>
      </c>
      <c r="AI75" s="541" t="s">
        <v>1228</v>
      </c>
      <c r="AJ75" s="541" t="s">
        <v>1133</v>
      </c>
      <c r="AK75" s="541" t="s">
        <v>253</v>
      </c>
      <c r="AL75" s="541"/>
      <c r="AM75" s="431" t="s">
        <v>1292</v>
      </c>
      <c r="AN75" s="518" t="s">
        <v>1234</v>
      </c>
      <c r="AO75" s="544">
        <v>0.61</v>
      </c>
      <c r="AP75" s="545">
        <f t="shared" si="13"/>
        <v>3294</v>
      </c>
      <c r="AQ75" s="545">
        <f t="shared" si="14"/>
        <v>25528.5</v>
      </c>
      <c r="AR75" s="546"/>
      <c r="AS75" s="538"/>
      <c r="AT75" s="538" t="s">
        <v>1220</v>
      </c>
      <c r="AU75" s="584"/>
      <c r="AV75" s="548">
        <f t="shared" si="15"/>
        <v>-5400</v>
      </c>
      <c r="AW75" s="548"/>
      <c r="AX75" s="549" t="s">
        <v>1280</v>
      </c>
      <c r="AY75" s="538"/>
      <c r="AZ75" s="420" t="s">
        <v>1256</v>
      </c>
      <c r="BA75" s="538"/>
      <c r="BB75" s="549" t="str">
        <f t="shared" si="16"/>
        <v>JAZWARES - INTL (WALMART CA FOB)</v>
      </c>
      <c r="BC75" s="549" t="str">
        <f t="shared" si="17"/>
        <v>加拿大</v>
      </c>
    </row>
    <row r="76" s="495" customFormat="1" customHeight="1" spans="1:55">
      <c r="A76" s="538">
        <v>46130</v>
      </c>
      <c r="B76" s="538" t="str">
        <f ca="1" t="shared" si="10"/>
        <v>异常</v>
      </c>
      <c r="C76" s="539" t="str">
        <f>VLOOKUP(H76,名称!A:E,4,0)</f>
        <v>三代</v>
      </c>
      <c r="D76" s="539" t="s">
        <v>1324</v>
      </c>
      <c r="E76" s="539" t="s">
        <v>1325</v>
      </c>
      <c r="F76" s="539" t="s">
        <v>744</v>
      </c>
      <c r="G76" s="539" t="s">
        <v>745</v>
      </c>
      <c r="H76" s="539" t="s">
        <v>60</v>
      </c>
      <c r="I76" s="539"/>
      <c r="J76" s="585">
        <f>5400</f>
        <v>5400</v>
      </c>
      <c r="K76" s="514">
        <f>VLOOKUP(H76,名称!A:C,2,0)</f>
        <v>5</v>
      </c>
      <c r="L76" s="518">
        <f t="shared" si="11"/>
        <v>27000</v>
      </c>
      <c r="M76" s="539">
        <f>VLOOKUP(H76,名称!A:E,3,0)</f>
        <v>12</v>
      </c>
      <c r="N76" s="518">
        <f t="shared" si="12"/>
        <v>450</v>
      </c>
      <c r="O76" s="538">
        <v>46223</v>
      </c>
      <c r="P76" s="420">
        <v>46267</v>
      </c>
      <c r="Q76" s="594">
        <v>46279</v>
      </c>
      <c r="R76" s="539"/>
      <c r="S76" s="594">
        <v>46279</v>
      </c>
      <c r="T76" s="539"/>
      <c r="U76" s="541"/>
      <c r="V76" s="462" t="s">
        <v>1327</v>
      </c>
      <c r="W76" s="518" t="str">
        <f>IFERROR(VLOOKUP(H76,名称!A:F,6,0),"")</f>
        <v>湖南</v>
      </c>
      <c r="X76" s="541" t="s">
        <v>1133</v>
      </c>
      <c r="Y76" s="541" t="s">
        <v>1133</v>
      </c>
      <c r="Z76" s="541" t="s">
        <v>1233</v>
      </c>
      <c r="AA76" s="552"/>
      <c r="AB76" s="552"/>
      <c r="AC76" s="541" t="s">
        <v>1133</v>
      </c>
      <c r="AD76" s="541" t="s">
        <v>1133</v>
      </c>
      <c r="AE76" s="539" t="s">
        <v>253</v>
      </c>
      <c r="AF76" s="541" t="s">
        <v>1228</v>
      </c>
      <c r="AG76" s="541" t="s">
        <v>253</v>
      </c>
      <c r="AH76" s="541" t="s">
        <v>1133</v>
      </c>
      <c r="AI76" s="541" t="s">
        <v>1228</v>
      </c>
      <c r="AJ76" s="541" t="s">
        <v>1133</v>
      </c>
      <c r="AK76" s="541" t="s">
        <v>253</v>
      </c>
      <c r="AL76" s="541"/>
      <c r="AM76" s="431" t="s">
        <v>1292</v>
      </c>
      <c r="AN76" s="518" t="s">
        <v>1234</v>
      </c>
      <c r="AO76" s="544">
        <v>0.61</v>
      </c>
      <c r="AP76" s="545">
        <f t="shared" si="13"/>
        <v>3294</v>
      </c>
      <c r="AQ76" s="545">
        <f t="shared" si="14"/>
        <v>25528.5</v>
      </c>
      <c r="AR76" s="546"/>
      <c r="AS76" s="538"/>
      <c r="AT76" s="538" t="s">
        <v>1220</v>
      </c>
      <c r="AU76" s="584"/>
      <c r="AV76" s="548">
        <f t="shared" si="15"/>
        <v>-5400</v>
      </c>
      <c r="AW76" s="548"/>
      <c r="AX76" s="549" t="s">
        <v>1280</v>
      </c>
      <c r="AY76" s="538"/>
      <c r="AZ76" s="420" t="s">
        <v>1256</v>
      </c>
      <c r="BA76" s="538"/>
      <c r="BB76" s="549" t="str">
        <f t="shared" si="16"/>
        <v>JAZWARES - INTL (WALMART CA FOB)</v>
      </c>
      <c r="BC76" s="549" t="str">
        <f t="shared" si="17"/>
        <v>加拿大</v>
      </c>
    </row>
    <row r="77" s="496" customFormat="1" customHeight="1" spans="1:55">
      <c r="A77" s="527">
        <v>46134</v>
      </c>
      <c r="B77" s="527" t="str">
        <f ca="1" t="shared" si="10"/>
        <v/>
      </c>
      <c r="C77" s="346" t="str">
        <f>VLOOKUP(H77,名称!A:E,4,0)</f>
        <v>三代</v>
      </c>
      <c r="D77" s="588" t="s">
        <v>1328</v>
      </c>
      <c r="E77" s="588" t="s">
        <v>1224</v>
      </c>
      <c r="F77" s="588" t="s">
        <v>757</v>
      </c>
      <c r="G77" s="588" t="s">
        <v>758</v>
      </c>
      <c r="H77" s="588" t="s">
        <v>59</v>
      </c>
      <c r="I77" s="346"/>
      <c r="J77" s="589">
        <v>2016</v>
      </c>
      <c r="K77" s="347">
        <f>VLOOKUP(H77,名称!A:C,2,0)</f>
        <v>5</v>
      </c>
      <c r="L77" s="348">
        <f t="shared" si="11"/>
        <v>10080</v>
      </c>
      <c r="M77" s="346">
        <f>VLOOKUP(H77,名称!A:E,3,0)</f>
        <v>24</v>
      </c>
      <c r="N77" s="348">
        <f t="shared" si="12"/>
        <v>84</v>
      </c>
      <c r="O77" s="587">
        <v>46244</v>
      </c>
      <c r="P77" s="536">
        <f>O77</f>
        <v>46244</v>
      </c>
      <c r="Q77" s="536">
        <v>46241</v>
      </c>
      <c r="R77" s="404" t="s">
        <v>1241</v>
      </c>
      <c r="S77" s="536">
        <v>46248</v>
      </c>
      <c r="T77" s="404" t="s">
        <v>1241</v>
      </c>
      <c r="U77" s="568"/>
      <c r="V77" s="346"/>
      <c r="W77" s="348" t="str">
        <f>IFERROR(VLOOKUP(H77,名称!A:F,6,0),"")</f>
        <v>湖南</v>
      </c>
      <c r="X77" s="568" t="s">
        <v>1133</v>
      </c>
      <c r="Y77" s="568" t="s">
        <v>1133</v>
      </c>
      <c r="Z77" s="569">
        <v>46205</v>
      </c>
      <c r="AA77" s="570">
        <v>46205</v>
      </c>
      <c r="AB77" s="569">
        <v>46206</v>
      </c>
      <c r="AC77" s="568" t="s">
        <v>1133</v>
      </c>
      <c r="AD77" s="568" t="s">
        <v>1133</v>
      </c>
      <c r="AE77" s="588" t="s">
        <v>270</v>
      </c>
      <c r="AF77" s="568" t="s">
        <v>1228</v>
      </c>
      <c r="AG77" s="568" t="s">
        <v>270</v>
      </c>
      <c r="AH77" s="568" t="s">
        <v>1133</v>
      </c>
      <c r="AI77" s="568" t="s">
        <v>1228</v>
      </c>
      <c r="AJ77" s="568" t="s">
        <v>1133</v>
      </c>
      <c r="AK77" s="568" t="s">
        <v>270</v>
      </c>
      <c r="AL77" s="568"/>
      <c r="AM77" s="415" t="s">
        <v>1292</v>
      </c>
      <c r="AN77" s="588"/>
      <c r="AO77" s="531">
        <v>0.63</v>
      </c>
      <c r="AP77" s="532">
        <f t="shared" si="13"/>
        <v>1270.08</v>
      </c>
      <c r="AQ77" s="532">
        <f t="shared" si="14"/>
        <v>9843.12</v>
      </c>
      <c r="AR77" s="533"/>
      <c r="AS77" s="527"/>
      <c r="AT77" s="527" t="s">
        <v>1220</v>
      </c>
      <c r="AU77" s="537">
        <v>2016</v>
      </c>
      <c r="AV77" s="535">
        <f t="shared" si="15"/>
        <v>0</v>
      </c>
      <c r="AW77" s="535"/>
      <c r="AX77" s="536" t="s">
        <v>1280</v>
      </c>
      <c r="AY77" s="527"/>
      <c r="AZ77" s="413" t="s">
        <v>1256</v>
      </c>
      <c r="BA77" s="527"/>
      <c r="BB77" s="527" t="str">
        <f t="shared" si="16"/>
        <v>JAZWARES - KROGER DOM</v>
      </c>
      <c r="BC77" s="527" t="str">
        <f t="shared" si="17"/>
        <v>美国</v>
      </c>
    </row>
    <row r="78" s="495" customFormat="1" customHeight="1" spans="1:55">
      <c r="A78" s="538">
        <v>46134</v>
      </c>
      <c r="B78" s="538" t="str">
        <f ca="1" t="shared" si="10"/>
        <v>异常</v>
      </c>
      <c r="C78" s="539" t="str">
        <f>VLOOKUP(H78,名称!A:E,4,0)</f>
        <v>三代</v>
      </c>
      <c r="D78" s="591" t="s">
        <v>1328</v>
      </c>
      <c r="E78" s="591" t="s">
        <v>1224</v>
      </c>
      <c r="F78" s="591" t="s">
        <v>759</v>
      </c>
      <c r="G78" s="591" t="s">
        <v>760</v>
      </c>
      <c r="H78" s="591" t="s">
        <v>59</v>
      </c>
      <c r="I78" s="118"/>
      <c r="J78" s="592">
        <v>1200</v>
      </c>
      <c r="K78" s="92">
        <f>VLOOKUP(H78,名称!A:C,2,0)</f>
        <v>5</v>
      </c>
      <c r="L78" s="32">
        <f t="shared" si="11"/>
        <v>6000</v>
      </c>
      <c r="M78" s="539">
        <f>VLOOKUP(H78,名称!A:E,3,0)</f>
        <v>24</v>
      </c>
      <c r="N78" s="518">
        <f t="shared" si="12"/>
        <v>50</v>
      </c>
      <c r="O78" s="590">
        <v>46286</v>
      </c>
      <c r="P78" s="549">
        <f>O78</f>
        <v>46286</v>
      </c>
      <c r="Q78" s="549">
        <v>46283</v>
      </c>
      <c r="R78" s="539"/>
      <c r="S78" s="549">
        <v>46286</v>
      </c>
      <c r="T78" s="539"/>
      <c r="U78" s="541"/>
      <c r="V78" s="539"/>
      <c r="W78" s="518" t="str">
        <f>IFERROR(VLOOKUP(H78,名称!A:F,6,0),"")</f>
        <v>湖南</v>
      </c>
      <c r="X78" s="541" t="s">
        <v>1133</v>
      </c>
      <c r="Y78" s="541" t="s">
        <v>1133</v>
      </c>
      <c r="Z78" s="541" t="s">
        <v>1233</v>
      </c>
      <c r="AA78" s="552"/>
      <c r="AB78" s="541"/>
      <c r="AC78" s="541" t="s">
        <v>1133</v>
      </c>
      <c r="AD78" s="541" t="s">
        <v>1133</v>
      </c>
      <c r="AE78" s="591" t="s">
        <v>270</v>
      </c>
      <c r="AF78" s="541" t="s">
        <v>1228</v>
      </c>
      <c r="AG78" s="541" t="s">
        <v>270</v>
      </c>
      <c r="AH78" s="541" t="s">
        <v>1133</v>
      </c>
      <c r="AI78" s="541" t="s">
        <v>1228</v>
      </c>
      <c r="AJ78" s="541" t="s">
        <v>1133</v>
      </c>
      <c r="AK78" s="541" t="s">
        <v>270</v>
      </c>
      <c r="AL78" s="541"/>
      <c r="AM78" s="422" t="s">
        <v>1250</v>
      </c>
      <c r="AN78" s="591"/>
      <c r="AO78" s="544">
        <v>0.63</v>
      </c>
      <c r="AP78" s="545">
        <f t="shared" si="13"/>
        <v>756</v>
      </c>
      <c r="AQ78" s="545">
        <f t="shared" si="14"/>
        <v>5859</v>
      </c>
      <c r="AR78" s="546"/>
      <c r="AS78" s="538"/>
      <c r="AT78" s="538" t="s">
        <v>1220</v>
      </c>
      <c r="AU78" s="584"/>
      <c r="AV78" s="548">
        <f t="shared" si="15"/>
        <v>-1200</v>
      </c>
      <c r="AW78" s="548"/>
      <c r="AX78" s="549" t="s">
        <v>1280</v>
      </c>
      <c r="AY78" s="538"/>
      <c r="AZ78" s="420" t="s">
        <v>1256</v>
      </c>
      <c r="BA78" s="538"/>
      <c r="BB78" s="538" t="str">
        <f t="shared" si="16"/>
        <v>JAZWARES - KROGER DOM</v>
      </c>
      <c r="BC78" s="538" t="str">
        <f t="shared" si="17"/>
        <v>美国</v>
      </c>
    </row>
    <row r="79" s="497" customFormat="1" customHeight="1" spans="1:55">
      <c r="A79" s="553">
        <v>46136</v>
      </c>
      <c r="B79" s="553" t="str">
        <f ca="1" t="shared" si="10"/>
        <v/>
      </c>
      <c r="C79" s="554" t="str">
        <f>VLOOKUP(H79,名称!A:E,4,0)</f>
        <v>三代</v>
      </c>
      <c r="D79" s="595" t="s">
        <v>1276</v>
      </c>
      <c r="E79" s="595" t="s">
        <v>1224</v>
      </c>
      <c r="F79" s="595" t="s">
        <v>776</v>
      </c>
      <c r="G79" s="595" t="s">
        <v>777</v>
      </c>
      <c r="H79" s="595" t="s">
        <v>59</v>
      </c>
      <c r="I79" s="554"/>
      <c r="J79" s="596">
        <v>20016</v>
      </c>
      <c r="K79" s="92">
        <f>VLOOKUP(H79,名称!A:C,2,0)</f>
        <v>5</v>
      </c>
      <c r="L79" s="32">
        <f t="shared" si="11"/>
        <v>100080</v>
      </c>
      <c r="M79" s="554">
        <f>VLOOKUP(H79,名称!A:E,3,0)</f>
        <v>24</v>
      </c>
      <c r="N79" s="556">
        <f t="shared" si="12"/>
        <v>834</v>
      </c>
      <c r="O79" s="597">
        <v>46254</v>
      </c>
      <c r="P79" s="578">
        <f>O79</f>
        <v>46254</v>
      </c>
      <c r="Q79" s="579">
        <v>46248</v>
      </c>
      <c r="R79" s="435" t="s">
        <v>1241</v>
      </c>
      <c r="S79" s="579">
        <v>46251</v>
      </c>
      <c r="T79" s="435" t="s">
        <v>1282</v>
      </c>
      <c r="U79" s="557"/>
      <c r="V79" s="554"/>
      <c r="W79" s="556" t="str">
        <f>IFERROR(VLOOKUP(H79,名称!A:F,6,0),"")</f>
        <v>湖南</v>
      </c>
      <c r="X79" s="557" t="s">
        <v>1133</v>
      </c>
      <c r="Y79" s="557" t="s">
        <v>1133</v>
      </c>
      <c r="Z79" s="580">
        <v>46218</v>
      </c>
      <c r="AA79" s="581">
        <v>46219</v>
      </c>
      <c r="AB79" s="580">
        <v>46219</v>
      </c>
      <c r="AC79" s="557" t="s">
        <v>1133</v>
      </c>
      <c r="AD79" s="541" t="s">
        <v>1133</v>
      </c>
      <c r="AE79" s="595" t="s">
        <v>270</v>
      </c>
      <c r="AF79" s="541" t="s">
        <v>1228</v>
      </c>
      <c r="AG79" s="557" t="s">
        <v>270</v>
      </c>
      <c r="AH79" s="541" t="s">
        <v>1133</v>
      </c>
      <c r="AI79" s="541" t="s">
        <v>1228</v>
      </c>
      <c r="AJ79" s="541" t="s">
        <v>1133</v>
      </c>
      <c r="AK79" s="557" t="s">
        <v>270</v>
      </c>
      <c r="AL79" s="557"/>
      <c r="AM79" s="444" t="s">
        <v>1293</v>
      </c>
      <c r="AN79" s="595"/>
      <c r="AO79" s="560">
        <v>0.63</v>
      </c>
      <c r="AP79" s="561">
        <f t="shared" si="13"/>
        <v>12610.08</v>
      </c>
      <c r="AQ79" s="561">
        <f t="shared" si="14"/>
        <v>97728.12</v>
      </c>
      <c r="AR79" s="562"/>
      <c r="AS79" s="553"/>
      <c r="AT79" s="553" t="s">
        <v>1220</v>
      </c>
      <c r="AU79" s="582">
        <f>19968+48</f>
        <v>20016</v>
      </c>
      <c r="AV79" s="564">
        <f t="shared" si="15"/>
        <v>0</v>
      </c>
      <c r="AW79" s="564"/>
      <c r="AX79" s="578" t="s">
        <v>1280</v>
      </c>
      <c r="AY79" s="553"/>
      <c r="AZ79" s="440" t="s">
        <v>1256</v>
      </c>
      <c r="BA79" s="553"/>
      <c r="BB79" s="553" t="str">
        <f t="shared" si="16"/>
        <v>Jazwares- TARGET US DOM</v>
      </c>
      <c r="BC79" s="553" t="str">
        <f t="shared" si="17"/>
        <v>美国</v>
      </c>
    </row>
    <row r="80" s="495" customFormat="1" customHeight="1" spans="1:55">
      <c r="A80" s="538">
        <v>46136</v>
      </c>
      <c r="B80" s="538" t="str">
        <f ca="1" t="shared" si="10"/>
        <v/>
      </c>
      <c r="C80" s="539" t="str">
        <f>VLOOKUP(H80,名称!A:E,4,0)</f>
        <v>三代</v>
      </c>
      <c r="D80" s="591" t="s">
        <v>1276</v>
      </c>
      <c r="E80" s="591" t="s">
        <v>1224</v>
      </c>
      <c r="F80" s="591" t="s">
        <v>778</v>
      </c>
      <c r="G80" s="591" t="s">
        <v>779</v>
      </c>
      <c r="H80" s="591" t="s">
        <v>59</v>
      </c>
      <c r="I80" s="118"/>
      <c r="J80" s="592">
        <v>20016</v>
      </c>
      <c r="K80" s="92">
        <f>VLOOKUP(H80,名称!A:C,2,0)</f>
        <v>5</v>
      </c>
      <c r="L80" s="32">
        <f t="shared" si="11"/>
        <v>100080</v>
      </c>
      <c r="M80" s="539">
        <f>VLOOKUP(H80,名称!A:E,3,0)</f>
        <v>24</v>
      </c>
      <c r="N80" s="518">
        <f t="shared" si="12"/>
        <v>834</v>
      </c>
      <c r="O80" s="590">
        <v>46268</v>
      </c>
      <c r="P80" s="549">
        <f>O80</f>
        <v>46268</v>
      </c>
      <c r="Q80" s="566">
        <v>46265</v>
      </c>
      <c r="R80" s="539"/>
      <c r="S80" s="594" t="s">
        <v>1329</v>
      </c>
      <c r="T80" s="539"/>
      <c r="U80" s="541"/>
      <c r="V80" s="539"/>
      <c r="W80" s="518" t="str">
        <f>IFERROR(VLOOKUP(H80,名称!A:F,6,0),"")</f>
        <v>湖南</v>
      </c>
      <c r="X80" s="541" t="s">
        <v>1133</v>
      </c>
      <c r="Y80" s="541" t="s">
        <v>1133</v>
      </c>
      <c r="Z80" s="567">
        <v>46240</v>
      </c>
      <c r="AA80" s="552">
        <v>46241</v>
      </c>
      <c r="AB80" s="567">
        <v>46241</v>
      </c>
      <c r="AC80" s="541" t="s">
        <v>1133</v>
      </c>
      <c r="AD80" s="541" t="s">
        <v>1133</v>
      </c>
      <c r="AE80" s="591" t="s">
        <v>270</v>
      </c>
      <c r="AF80" s="541" t="s">
        <v>1228</v>
      </c>
      <c r="AG80" s="541" t="s">
        <v>270</v>
      </c>
      <c r="AH80" s="541" t="s">
        <v>1133</v>
      </c>
      <c r="AI80" s="541" t="s">
        <v>1228</v>
      </c>
      <c r="AJ80" s="541" t="s">
        <v>1133</v>
      </c>
      <c r="AK80" s="541" t="s">
        <v>270</v>
      </c>
      <c r="AL80" s="541"/>
      <c r="AM80" s="431" t="s">
        <v>1293</v>
      </c>
      <c r="AN80" s="591"/>
      <c r="AO80" s="544">
        <v>0.63</v>
      </c>
      <c r="AP80" s="545">
        <f t="shared" si="13"/>
        <v>12610.08</v>
      </c>
      <c r="AQ80" s="545">
        <f t="shared" si="14"/>
        <v>97728.12</v>
      </c>
      <c r="AR80" s="546"/>
      <c r="AS80" s="538"/>
      <c r="AT80" s="538" t="s">
        <v>1220</v>
      </c>
      <c r="AU80" s="584"/>
      <c r="AV80" s="548">
        <f t="shared" si="15"/>
        <v>-20016</v>
      </c>
      <c r="AW80" s="548"/>
      <c r="AX80" s="549" t="s">
        <v>1280</v>
      </c>
      <c r="AY80" s="538"/>
      <c r="AZ80" s="420" t="s">
        <v>1256</v>
      </c>
      <c r="BA80" s="538"/>
      <c r="BB80" s="538" t="str">
        <f t="shared" si="16"/>
        <v>Jazwares- TARGET US DOM</v>
      </c>
      <c r="BC80" s="538" t="str">
        <f t="shared" si="17"/>
        <v>美国</v>
      </c>
    </row>
    <row r="81" s="496" customFormat="1" customHeight="1" spans="1:55">
      <c r="A81" s="527">
        <v>46136</v>
      </c>
      <c r="B81" s="527" t="str">
        <f ca="1" t="shared" si="10"/>
        <v/>
      </c>
      <c r="C81" s="346" t="str">
        <f>VLOOKUP(H81,名称!A:E,4,0)</f>
        <v>三代</v>
      </c>
      <c r="D81" s="588" t="s">
        <v>1240</v>
      </c>
      <c r="E81" s="588" t="s">
        <v>1224</v>
      </c>
      <c r="F81" s="588" t="s">
        <v>780</v>
      </c>
      <c r="G81" s="588" t="s">
        <v>781</v>
      </c>
      <c r="H81" s="588" t="s">
        <v>85</v>
      </c>
      <c r="I81" s="118"/>
      <c r="J81" s="589">
        <v>47520</v>
      </c>
      <c r="K81" s="92">
        <f>VLOOKUP(H81,名称!A:C,2,0)</f>
        <v>5</v>
      </c>
      <c r="L81" s="32">
        <f t="shared" si="11"/>
        <v>237600</v>
      </c>
      <c r="M81" s="346">
        <f>VLOOKUP(H81,名称!A:E,3,0)</f>
        <v>24</v>
      </c>
      <c r="N81" s="348">
        <f t="shared" si="12"/>
        <v>1980</v>
      </c>
      <c r="O81" s="587">
        <v>46240</v>
      </c>
      <c r="P81" s="536">
        <f>O81</f>
        <v>46240</v>
      </c>
      <c r="Q81" s="536">
        <v>46244</v>
      </c>
      <c r="R81" s="404" t="s">
        <v>1241</v>
      </c>
      <c r="S81" s="536">
        <v>46248</v>
      </c>
      <c r="T81" s="404" t="s">
        <v>1241</v>
      </c>
      <c r="U81" s="568"/>
      <c r="V81" s="404" t="s">
        <v>1278</v>
      </c>
      <c r="W81" s="348" t="str">
        <f>IFERROR(VLOOKUP(H81,名称!A:F,6,0),"")</f>
        <v>湖南</v>
      </c>
      <c r="X81" s="568" t="s">
        <v>1133</v>
      </c>
      <c r="Y81" s="568" t="s">
        <v>1133</v>
      </c>
      <c r="Z81" s="569">
        <v>46205</v>
      </c>
      <c r="AA81" s="570">
        <v>46205</v>
      </c>
      <c r="AB81" s="569">
        <v>46206</v>
      </c>
      <c r="AC81" s="568" t="s">
        <v>1133</v>
      </c>
      <c r="AD81" s="541" t="s">
        <v>1133</v>
      </c>
      <c r="AE81" s="588" t="s">
        <v>270</v>
      </c>
      <c r="AF81" s="541" t="s">
        <v>1228</v>
      </c>
      <c r="AG81" s="568" t="s">
        <v>270</v>
      </c>
      <c r="AH81" s="541" t="s">
        <v>1133</v>
      </c>
      <c r="AI81" s="541" t="s">
        <v>1228</v>
      </c>
      <c r="AJ81" s="541" t="s">
        <v>1133</v>
      </c>
      <c r="AK81" s="568" t="s">
        <v>270</v>
      </c>
      <c r="AL81" s="568"/>
      <c r="AM81" s="415" t="s">
        <v>1292</v>
      </c>
      <c r="AN81" s="408" t="s">
        <v>1295</v>
      </c>
      <c r="AO81" s="531">
        <v>0.83</v>
      </c>
      <c r="AP81" s="532">
        <f t="shared" si="13"/>
        <v>39441.6</v>
      </c>
      <c r="AQ81" s="532">
        <f t="shared" si="14"/>
        <v>305672.4</v>
      </c>
      <c r="AR81" s="533"/>
      <c r="AS81" s="527"/>
      <c r="AT81" s="527" t="s">
        <v>1220</v>
      </c>
      <c r="AU81" s="537">
        <f>30216+17304</f>
        <v>47520</v>
      </c>
      <c r="AV81" s="535">
        <f t="shared" si="15"/>
        <v>0</v>
      </c>
      <c r="AW81" s="535"/>
      <c r="AX81" s="536" t="s">
        <v>1280</v>
      </c>
      <c r="AY81" s="527"/>
      <c r="AZ81" s="413" t="s">
        <v>1256</v>
      </c>
      <c r="BA81" s="527"/>
      <c r="BB81" s="527" t="str">
        <f t="shared" si="16"/>
        <v>JAZWARES - TARGET US DOM</v>
      </c>
      <c r="BC81" s="527" t="str">
        <f t="shared" si="17"/>
        <v>美国</v>
      </c>
    </row>
    <row r="82" s="496" customFormat="1" customHeight="1" spans="1:55">
      <c r="A82" s="527">
        <v>46139</v>
      </c>
      <c r="B82" s="527" t="str">
        <f ca="1" t="shared" si="10"/>
        <v/>
      </c>
      <c r="C82" s="346" t="str">
        <f>VLOOKUP(H82,名称!A:E,4,0)</f>
        <v>三代</v>
      </c>
      <c r="D82" s="588" t="s">
        <v>1330</v>
      </c>
      <c r="E82" s="588" t="s">
        <v>1325</v>
      </c>
      <c r="F82" s="588" t="s">
        <v>785</v>
      </c>
      <c r="G82" s="588" t="s">
        <v>786</v>
      </c>
      <c r="H82" s="588" t="s">
        <v>136</v>
      </c>
      <c r="I82" s="346"/>
      <c r="J82" s="589">
        <v>2448</v>
      </c>
      <c r="K82" s="347">
        <f>VLOOKUP(H82,名称!A:C,2,0)</f>
        <v>5</v>
      </c>
      <c r="L82" s="348">
        <f t="shared" si="11"/>
        <v>12240</v>
      </c>
      <c r="M82" s="346">
        <f>VLOOKUP(H82,名称!A:E,3,0)</f>
        <v>144</v>
      </c>
      <c r="N82" s="348">
        <f t="shared" si="12"/>
        <v>17</v>
      </c>
      <c r="O82" s="587">
        <v>46200</v>
      </c>
      <c r="P82" s="536">
        <v>46213</v>
      </c>
      <c r="Q82" s="536">
        <v>46213</v>
      </c>
      <c r="R82" s="404" t="s">
        <v>1331</v>
      </c>
      <c r="S82" s="536" t="s">
        <v>1133</v>
      </c>
      <c r="T82" s="346"/>
      <c r="U82" s="568"/>
      <c r="V82" s="346"/>
      <c r="W82" s="348" t="str">
        <f>IFERROR(VLOOKUP(H82,名称!A:F,6,0),"")</f>
        <v>湖南</v>
      </c>
      <c r="X82" s="588" t="s">
        <v>1332</v>
      </c>
      <c r="Y82" s="346" t="s">
        <v>1233</v>
      </c>
      <c r="Z82" s="569">
        <v>46163</v>
      </c>
      <c r="AA82" s="570">
        <v>46172</v>
      </c>
      <c r="AB82" s="569">
        <v>46189</v>
      </c>
      <c r="AC82" s="346" t="s">
        <v>1333</v>
      </c>
      <c r="AD82" s="346" t="s">
        <v>1228</v>
      </c>
      <c r="AE82" s="588" t="s">
        <v>510</v>
      </c>
      <c r="AF82" s="568" t="s">
        <v>1228</v>
      </c>
      <c r="AG82" s="568" t="s">
        <v>341</v>
      </c>
      <c r="AH82" s="346" t="s">
        <v>1133</v>
      </c>
      <c r="AI82" s="568" t="s">
        <v>1228</v>
      </c>
      <c r="AJ82" s="568" t="s">
        <v>1133</v>
      </c>
      <c r="AK82" s="568" t="s">
        <v>1133</v>
      </c>
      <c r="AL82" s="346" t="s">
        <v>1233</v>
      </c>
      <c r="AM82" s="568" t="s">
        <v>1334</v>
      </c>
      <c r="AN82" s="598" t="s">
        <v>1335</v>
      </c>
      <c r="AO82" s="531">
        <v>0.64</v>
      </c>
      <c r="AP82" s="532">
        <f t="shared" si="13"/>
        <v>1566.72</v>
      </c>
      <c r="AQ82" s="532">
        <f t="shared" si="14"/>
        <v>12142.08</v>
      </c>
      <c r="AR82" s="533"/>
      <c r="AS82" s="527"/>
      <c r="AT82" s="403" t="s">
        <v>1220</v>
      </c>
      <c r="AU82" s="537">
        <v>2448</v>
      </c>
      <c r="AV82" s="535">
        <f t="shared" si="15"/>
        <v>0</v>
      </c>
      <c r="AW82" s="219" t="s">
        <v>1228</v>
      </c>
      <c r="AX82" s="413" t="s">
        <v>1280</v>
      </c>
      <c r="AY82" s="527"/>
      <c r="AZ82" s="527"/>
      <c r="BA82" s="527"/>
      <c r="BB82" s="403" t="str">
        <f t="shared" si="16"/>
        <v>Amazon</v>
      </c>
      <c r="BC82" s="403" t="str">
        <f t="shared" si="17"/>
        <v>加拿大</v>
      </c>
    </row>
    <row r="83" s="496" customFormat="1" customHeight="1" spans="1:55">
      <c r="A83" s="527">
        <v>46139</v>
      </c>
      <c r="B83" s="527" t="str">
        <f ca="1" t="shared" si="10"/>
        <v/>
      </c>
      <c r="C83" s="346" t="str">
        <f>VLOOKUP(H83,名称!A:E,4,0)</f>
        <v>三代</v>
      </c>
      <c r="D83" s="588" t="s">
        <v>1330</v>
      </c>
      <c r="E83" s="588" t="s">
        <v>1325</v>
      </c>
      <c r="F83" s="588" t="s">
        <v>785</v>
      </c>
      <c r="G83" s="588" t="s">
        <v>786</v>
      </c>
      <c r="H83" s="588" t="s">
        <v>137</v>
      </c>
      <c r="I83" s="346"/>
      <c r="J83" s="589">
        <v>2448</v>
      </c>
      <c r="K83" s="347">
        <f>VLOOKUP(H83,名称!A:C,2,0)</f>
        <v>5</v>
      </c>
      <c r="L83" s="348">
        <f t="shared" si="11"/>
        <v>12240</v>
      </c>
      <c r="M83" s="346">
        <f>VLOOKUP(H83,名称!A:E,3,0)</f>
        <v>144</v>
      </c>
      <c r="N83" s="348">
        <f t="shared" si="12"/>
        <v>17</v>
      </c>
      <c r="O83" s="587">
        <v>46200</v>
      </c>
      <c r="P83" s="536">
        <v>46213</v>
      </c>
      <c r="Q83" s="536">
        <v>46213</v>
      </c>
      <c r="R83" s="404" t="s">
        <v>1331</v>
      </c>
      <c r="S83" s="536" t="s">
        <v>1133</v>
      </c>
      <c r="T83" s="346"/>
      <c r="U83" s="568"/>
      <c r="V83" s="346"/>
      <c r="W83" s="348" t="str">
        <f>IFERROR(VLOOKUP(H83,名称!A:F,6,0),"")</f>
        <v>湖南</v>
      </c>
      <c r="X83" s="588" t="s">
        <v>1332</v>
      </c>
      <c r="Y83" s="346" t="s">
        <v>1233</v>
      </c>
      <c r="Z83" s="569">
        <v>46163</v>
      </c>
      <c r="AA83" s="570">
        <v>46172</v>
      </c>
      <c r="AB83" s="569">
        <v>46189</v>
      </c>
      <c r="AC83" s="568" t="s">
        <v>1333</v>
      </c>
      <c r="AD83" s="568" t="s">
        <v>1228</v>
      </c>
      <c r="AE83" s="588" t="s">
        <v>510</v>
      </c>
      <c r="AF83" s="568" t="s">
        <v>1228</v>
      </c>
      <c r="AG83" s="568" t="s">
        <v>341</v>
      </c>
      <c r="AH83" s="568" t="s">
        <v>1133</v>
      </c>
      <c r="AI83" s="568" t="s">
        <v>1228</v>
      </c>
      <c r="AJ83" s="568" t="s">
        <v>1133</v>
      </c>
      <c r="AK83" s="568" t="s">
        <v>1133</v>
      </c>
      <c r="AL83" s="568" t="s">
        <v>1233</v>
      </c>
      <c r="AM83" s="568" t="s">
        <v>1334</v>
      </c>
      <c r="AN83" s="598" t="s">
        <v>1335</v>
      </c>
      <c r="AO83" s="531">
        <v>0.64</v>
      </c>
      <c r="AP83" s="532">
        <f t="shared" si="13"/>
        <v>1566.72</v>
      </c>
      <c r="AQ83" s="532">
        <f t="shared" si="14"/>
        <v>12142.08</v>
      </c>
      <c r="AR83" s="533"/>
      <c r="AS83" s="527"/>
      <c r="AT83" s="403" t="s">
        <v>1220</v>
      </c>
      <c r="AU83" s="537">
        <v>2448</v>
      </c>
      <c r="AV83" s="535">
        <f t="shared" si="15"/>
        <v>0</v>
      </c>
      <c r="AW83" s="219" t="s">
        <v>1228</v>
      </c>
      <c r="AX83" s="413" t="s">
        <v>1280</v>
      </c>
      <c r="AY83" s="527"/>
      <c r="AZ83" s="527"/>
      <c r="BA83" s="527"/>
      <c r="BB83" s="403" t="str">
        <f t="shared" si="16"/>
        <v>Amazon</v>
      </c>
      <c r="BC83" s="403" t="str">
        <f t="shared" si="17"/>
        <v>加拿大</v>
      </c>
    </row>
    <row r="84" s="496" customFormat="1" customHeight="1" spans="1:55">
      <c r="A84" s="527">
        <v>46139</v>
      </c>
      <c r="B84" s="527" t="str">
        <f ca="1" t="shared" si="10"/>
        <v/>
      </c>
      <c r="C84" s="346" t="str">
        <f>VLOOKUP(H84,名称!A:E,4,0)</f>
        <v>三代</v>
      </c>
      <c r="D84" s="588" t="s">
        <v>1330</v>
      </c>
      <c r="E84" s="588" t="s">
        <v>1325</v>
      </c>
      <c r="F84" s="588" t="s">
        <v>785</v>
      </c>
      <c r="G84" s="588" t="s">
        <v>786</v>
      </c>
      <c r="H84" s="588" t="s">
        <v>138</v>
      </c>
      <c r="I84" s="346"/>
      <c r="J84" s="589">
        <v>2016</v>
      </c>
      <c r="K84" s="347">
        <f>VLOOKUP(H84,名称!A:C,2,0)</f>
        <v>5</v>
      </c>
      <c r="L84" s="348">
        <f t="shared" si="11"/>
        <v>10080</v>
      </c>
      <c r="M84" s="346">
        <f>VLOOKUP(H84,名称!A:E,3,0)</f>
        <v>144</v>
      </c>
      <c r="N84" s="348">
        <f t="shared" si="12"/>
        <v>14</v>
      </c>
      <c r="O84" s="587">
        <v>46200</v>
      </c>
      <c r="P84" s="536">
        <v>46213</v>
      </c>
      <c r="Q84" s="536">
        <v>46213</v>
      </c>
      <c r="R84" s="404" t="s">
        <v>1331</v>
      </c>
      <c r="S84" s="536" t="s">
        <v>1133</v>
      </c>
      <c r="T84" s="346"/>
      <c r="U84" s="568"/>
      <c r="V84" s="346"/>
      <c r="W84" s="348" t="str">
        <f>IFERROR(VLOOKUP(H84,名称!A:F,6,0),"")</f>
        <v>湖南</v>
      </c>
      <c r="X84" s="588" t="s">
        <v>1332</v>
      </c>
      <c r="Y84" s="346" t="s">
        <v>1233</v>
      </c>
      <c r="Z84" s="569">
        <v>46163</v>
      </c>
      <c r="AA84" s="570">
        <v>46172</v>
      </c>
      <c r="AB84" s="569">
        <v>46189</v>
      </c>
      <c r="AC84" s="568" t="s">
        <v>1333</v>
      </c>
      <c r="AD84" s="568" t="s">
        <v>1228</v>
      </c>
      <c r="AE84" s="588" t="s">
        <v>510</v>
      </c>
      <c r="AF84" s="568" t="s">
        <v>1228</v>
      </c>
      <c r="AG84" s="568" t="s">
        <v>341</v>
      </c>
      <c r="AH84" s="568" t="s">
        <v>1133</v>
      </c>
      <c r="AI84" s="568" t="s">
        <v>1228</v>
      </c>
      <c r="AJ84" s="568" t="s">
        <v>1133</v>
      </c>
      <c r="AK84" s="568" t="s">
        <v>1133</v>
      </c>
      <c r="AL84" s="568" t="s">
        <v>1233</v>
      </c>
      <c r="AM84" s="568" t="s">
        <v>1334</v>
      </c>
      <c r="AN84" s="598" t="s">
        <v>1335</v>
      </c>
      <c r="AO84" s="531">
        <v>0.64</v>
      </c>
      <c r="AP84" s="532">
        <f t="shared" si="13"/>
        <v>1290.24</v>
      </c>
      <c r="AQ84" s="532">
        <f t="shared" si="14"/>
        <v>9999.36</v>
      </c>
      <c r="AR84" s="533"/>
      <c r="AS84" s="527"/>
      <c r="AT84" s="403" t="s">
        <v>1220</v>
      </c>
      <c r="AU84" s="537">
        <v>2016</v>
      </c>
      <c r="AV84" s="535">
        <f t="shared" si="15"/>
        <v>0</v>
      </c>
      <c r="AW84" s="219" t="s">
        <v>1228</v>
      </c>
      <c r="AX84" s="413" t="s">
        <v>1280</v>
      </c>
      <c r="AY84" s="527"/>
      <c r="AZ84" s="527"/>
      <c r="BA84" s="527"/>
      <c r="BB84" s="403" t="str">
        <f t="shared" si="16"/>
        <v>Amazon</v>
      </c>
      <c r="BC84" s="403" t="str">
        <f t="shared" si="17"/>
        <v>加拿大</v>
      </c>
    </row>
    <row r="85" s="496" customFormat="1" customHeight="1" spans="1:55">
      <c r="A85" s="527">
        <v>46139</v>
      </c>
      <c r="B85" s="527" t="str">
        <f ca="1" t="shared" si="10"/>
        <v/>
      </c>
      <c r="C85" s="346" t="str">
        <f>VLOOKUP(H85,名称!A:E,4,0)</f>
        <v>三代</v>
      </c>
      <c r="D85" s="588" t="s">
        <v>1330</v>
      </c>
      <c r="E85" s="588" t="s">
        <v>1325</v>
      </c>
      <c r="F85" s="588" t="s">
        <v>785</v>
      </c>
      <c r="G85" s="588" t="s">
        <v>786</v>
      </c>
      <c r="H85" s="588" t="s">
        <v>140</v>
      </c>
      <c r="I85" s="346"/>
      <c r="J85" s="589">
        <v>2016</v>
      </c>
      <c r="K85" s="347">
        <f>VLOOKUP(H85,名称!A:C,2,0)</f>
        <v>5</v>
      </c>
      <c r="L85" s="348">
        <f t="shared" si="11"/>
        <v>10080</v>
      </c>
      <c r="M85" s="346">
        <f>VLOOKUP(H85,名称!A:E,3,0)</f>
        <v>144</v>
      </c>
      <c r="N85" s="348">
        <f t="shared" si="12"/>
        <v>14</v>
      </c>
      <c r="O85" s="587">
        <v>46200</v>
      </c>
      <c r="P85" s="536">
        <v>46213</v>
      </c>
      <c r="Q85" s="536">
        <v>46213</v>
      </c>
      <c r="R85" s="404" t="s">
        <v>1331</v>
      </c>
      <c r="S85" s="536" t="s">
        <v>1133</v>
      </c>
      <c r="T85" s="346"/>
      <c r="U85" s="568"/>
      <c r="V85" s="346"/>
      <c r="W85" s="348" t="str">
        <f>IFERROR(VLOOKUP(H85,名称!A:F,6,0),"")</f>
        <v>湖南</v>
      </c>
      <c r="X85" s="568" t="s">
        <v>1332</v>
      </c>
      <c r="Y85" s="568" t="s">
        <v>1233</v>
      </c>
      <c r="Z85" s="569">
        <v>46163</v>
      </c>
      <c r="AA85" s="570">
        <v>46172</v>
      </c>
      <c r="AB85" s="569">
        <v>46189</v>
      </c>
      <c r="AC85" s="568" t="s">
        <v>1333</v>
      </c>
      <c r="AD85" s="568" t="s">
        <v>1228</v>
      </c>
      <c r="AE85" s="588" t="s">
        <v>510</v>
      </c>
      <c r="AF85" s="568" t="s">
        <v>1228</v>
      </c>
      <c r="AG85" s="568" t="s">
        <v>341</v>
      </c>
      <c r="AH85" s="568" t="s">
        <v>1133</v>
      </c>
      <c r="AI85" s="568" t="s">
        <v>1228</v>
      </c>
      <c r="AJ85" s="568" t="s">
        <v>1133</v>
      </c>
      <c r="AK85" s="568" t="s">
        <v>1133</v>
      </c>
      <c r="AL85" s="568" t="s">
        <v>1233</v>
      </c>
      <c r="AM85" s="568" t="s">
        <v>1334</v>
      </c>
      <c r="AN85" s="598" t="s">
        <v>1335</v>
      </c>
      <c r="AO85" s="531">
        <v>0.64</v>
      </c>
      <c r="AP85" s="532">
        <f t="shared" si="13"/>
        <v>1290.24</v>
      </c>
      <c r="AQ85" s="532">
        <f t="shared" si="14"/>
        <v>9999.36</v>
      </c>
      <c r="AR85" s="533"/>
      <c r="AS85" s="527"/>
      <c r="AT85" s="403" t="s">
        <v>1220</v>
      </c>
      <c r="AU85" s="537">
        <v>2016</v>
      </c>
      <c r="AV85" s="535">
        <f t="shared" si="15"/>
        <v>0</v>
      </c>
      <c r="AW85" s="219" t="s">
        <v>1228</v>
      </c>
      <c r="AX85" s="413" t="s">
        <v>1280</v>
      </c>
      <c r="AY85" s="527"/>
      <c r="AZ85" s="527"/>
      <c r="BA85" s="527"/>
      <c r="BB85" s="403" t="str">
        <f t="shared" si="16"/>
        <v>Amazon</v>
      </c>
      <c r="BC85" s="403" t="str">
        <f t="shared" si="17"/>
        <v>加拿大</v>
      </c>
    </row>
    <row r="86" s="496" customFormat="1" customHeight="1" spans="1:55">
      <c r="A86" s="527">
        <v>46139</v>
      </c>
      <c r="B86" s="527" t="str">
        <f ca="1" t="shared" si="10"/>
        <v/>
      </c>
      <c r="C86" s="346" t="str">
        <f>VLOOKUP(H86,名称!A:E,4,0)</f>
        <v>三代</v>
      </c>
      <c r="D86" s="588" t="s">
        <v>1330</v>
      </c>
      <c r="E86" s="588" t="s">
        <v>1325</v>
      </c>
      <c r="F86" s="588" t="s">
        <v>785</v>
      </c>
      <c r="G86" s="588" t="s">
        <v>786</v>
      </c>
      <c r="H86" s="588" t="s">
        <v>141</v>
      </c>
      <c r="I86" s="346"/>
      <c r="J86" s="589">
        <v>2016</v>
      </c>
      <c r="K86" s="347">
        <f>VLOOKUP(H86,名称!A:C,2,0)</f>
        <v>5</v>
      </c>
      <c r="L86" s="348">
        <f t="shared" si="11"/>
        <v>10080</v>
      </c>
      <c r="M86" s="346">
        <f>VLOOKUP(H86,名称!A:E,3,0)</f>
        <v>144</v>
      </c>
      <c r="N86" s="348">
        <f t="shared" si="12"/>
        <v>14</v>
      </c>
      <c r="O86" s="587">
        <v>46200</v>
      </c>
      <c r="P86" s="536">
        <v>46213</v>
      </c>
      <c r="Q86" s="536">
        <v>46213</v>
      </c>
      <c r="R86" s="404" t="s">
        <v>1331</v>
      </c>
      <c r="S86" s="536" t="s">
        <v>1133</v>
      </c>
      <c r="T86" s="346"/>
      <c r="U86" s="568"/>
      <c r="V86" s="346"/>
      <c r="W86" s="348" t="str">
        <f>IFERROR(VLOOKUP(H86,名称!A:F,6,0),"")</f>
        <v>湖南</v>
      </c>
      <c r="X86" s="568" t="s">
        <v>1332</v>
      </c>
      <c r="Y86" s="568" t="s">
        <v>1233</v>
      </c>
      <c r="Z86" s="569">
        <v>46163</v>
      </c>
      <c r="AA86" s="570">
        <v>46172</v>
      </c>
      <c r="AB86" s="569">
        <v>46189</v>
      </c>
      <c r="AC86" s="568" t="s">
        <v>1333</v>
      </c>
      <c r="AD86" s="568" t="s">
        <v>1228</v>
      </c>
      <c r="AE86" s="588" t="s">
        <v>510</v>
      </c>
      <c r="AF86" s="568" t="s">
        <v>1228</v>
      </c>
      <c r="AG86" s="568" t="s">
        <v>341</v>
      </c>
      <c r="AH86" s="568" t="s">
        <v>1133</v>
      </c>
      <c r="AI86" s="568" t="s">
        <v>1228</v>
      </c>
      <c r="AJ86" s="568" t="s">
        <v>1133</v>
      </c>
      <c r="AK86" s="568" t="s">
        <v>1133</v>
      </c>
      <c r="AL86" s="568" t="s">
        <v>1233</v>
      </c>
      <c r="AM86" s="568" t="s">
        <v>1334</v>
      </c>
      <c r="AN86" s="598" t="s">
        <v>1335</v>
      </c>
      <c r="AO86" s="531">
        <v>0.64</v>
      </c>
      <c r="AP86" s="532">
        <f t="shared" si="13"/>
        <v>1290.24</v>
      </c>
      <c r="AQ86" s="532">
        <f t="shared" si="14"/>
        <v>9999.36</v>
      </c>
      <c r="AR86" s="533"/>
      <c r="AS86" s="527"/>
      <c r="AT86" s="403" t="s">
        <v>1220</v>
      </c>
      <c r="AU86" s="537">
        <v>2016</v>
      </c>
      <c r="AV86" s="535">
        <f t="shared" si="15"/>
        <v>0</v>
      </c>
      <c r="AW86" s="219" t="s">
        <v>1228</v>
      </c>
      <c r="AX86" s="413" t="s">
        <v>1280</v>
      </c>
      <c r="AY86" s="527"/>
      <c r="AZ86" s="527"/>
      <c r="BA86" s="527"/>
      <c r="BB86" s="403" t="str">
        <f t="shared" si="16"/>
        <v>Amazon</v>
      </c>
      <c r="BC86" s="403" t="str">
        <f t="shared" si="17"/>
        <v>加拿大</v>
      </c>
    </row>
    <row r="87" s="496" customFormat="1" customHeight="1" spans="1:55">
      <c r="A87" s="527">
        <v>46139</v>
      </c>
      <c r="B87" s="527" t="str">
        <f ca="1" t="shared" si="10"/>
        <v/>
      </c>
      <c r="C87" s="346" t="str">
        <f>VLOOKUP(H87,名称!A:E,4,0)</f>
        <v>三代</v>
      </c>
      <c r="D87" s="588" t="s">
        <v>1330</v>
      </c>
      <c r="E87" s="588" t="s">
        <v>1325</v>
      </c>
      <c r="F87" s="588" t="s">
        <v>785</v>
      </c>
      <c r="G87" s="588" t="s">
        <v>786</v>
      </c>
      <c r="H87" s="588" t="s">
        <v>142</v>
      </c>
      <c r="I87" s="346"/>
      <c r="J87" s="589">
        <v>18000</v>
      </c>
      <c r="K87" s="347">
        <f>VLOOKUP(H87,名称!A:C,2,0)</f>
        <v>12</v>
      </c>
      <c r="L87" s="348">
        <f t="shared" si="11"/>
        <v>216000</v>
      </c>
      <c r="M87" s="346">
        <f>VLOOKUP(H87,名称!A:E,3,0)</f>
        <v>24</v>
      </c>
      <c r="N87" s="348">
        <f t="shared" si="12"/>
        <v>750</v>
      </c>
      <c r="O87" s="587">
        <v>46200</v>
      </c>
      <c r="P87" s="536">
        <v>46216</v>
      </c>
      <c r="Q87" s="536">
        <v>46216</v>
      </c>
      <c r="R87" s="404" t="s">
        <v>1331</v>
      </c>
      <c r="S87" s="536" t="s">
        <v>1133</v>
      </c>
      <c r="T87" s="346"/>
      <c r="U87" s="568"/>
      <c r="V87" s="346"/>
      <c r="W87" s="348" t="str">
        <f>IFERROR(VLOOKUP(H87,名称!A:F,6,0),"")</f>
        <v>湖南</v>
      </c>
      <c r="X87" s="588" t="s">
        <v>1332</v>
      </c>
      <c r="Y87" s="346" t="s">
        <v>1233</v>
      </c>
      <c r="Z87" s="569">
        <v>46163</v>
      </c>
      <c r="AA87" s="570">
        <v>46172</v>
      </c>
      <c r="AB87" s="569">
        <v>46189</v>
      </c>
      <c r="AC87" s="568" t="s">
        <v>1333</v>
      </c>
      <c r="AD87" s="568" t="s">
        <v>1228</v>
      </c>
      <c r="AE87" s="588" t="s">
        <v>510</v>
      </c>
      <c r="AF87" s="568" t="s">
        <v>1228</v>
      </c>
      <c r="AG87" s="568" t="s">
        <v>341</v>
      </c>
      <c r="AH87" s="568" t="s">
        <v>1133</v>
      </c>
      <c r="AI87" s="568" t="s">
        <v>1228</v>
      </c>
      <c r="AJ87" s="568" t="s">
        <v>510</v>
      </c>
      <c r="AK87" s="568" t="s">
        <v>1133</v>
      </c>
      <c r="AL87" s="568"/>
      <c r="AM87" s="568" t="s">
        <v>1334</v>
      </c>
      <c r="AN87" s="598" t="s">
        <v>1335</v>
      </c>
      <c r="AO87" s="531">
        <v>1.67</v>
      </c>
      <c r="AP87" s="532">
        <f t="shared" si="13"/>
        <v>30060</v>
      </c>
      <c r="AQ87" s="532">
        <f t="shared" si="14"/>
        <v>232965</v>
      </c>
      <c r="AR87" s="533"/>
      <c r="AS87" s="527"/>
      <c r="AT87" s="403" t="s">
        <v>1220</v>
      </c>
      <c r="AU87" s="537">
        <f>5760+12240</f>
        <v>18000</v>
      </c>
      <c r="AV87" s="535">
        <f t="shared" si="15"/>
        <v>0</v>
      </c>
      <c r="AW87" s="219" t="s">
        <v>1228</v>
      </c>
      <c r="AX87" s="413" t="s">
        <v>1280</v>
      </c>
      <c r="AY87" s="527"/>
      <c r="AZ87" s="527"/>
      <c r="BA87" s="527"/>
      <c r="BB87" s="403" t="str">
        <f t="shared" si="16"/>
        <v>Amazon</v>
      </c>
      <c r="BC87" s="403" t="str">
        <f t="shared" si="17"/>
        <v>加拿大</v>
      </c>
    </row>
    <row r="88" s="496" customFormat="1" customHeight="1" spans="1:55">
      <c r="A88" s="527">
        <v>46139</v>
      </c>
      <c r="B88" s="527" t="str">
        <f ca="1" t="shared" si="10"/>
        <v/>
      </c>
      <c r="C88" s="346" t="str">
        <f>VLOOKUP(H88,名称!A:E,4,0)</f>
        <v>三代</v>
      </c>
      <c r="D88" s="588" t="s">
        <v>1330</v>
      </c>
      <c r="E88" s="588" t="s">
        <v>1325</v>
      </c>
      <c r="F88" s="588" t="s">
        <v>785</v>
      </c>
      <c r="G88" s="588" t="s">
        <v>786</v>
      </c>
      <c r="H88" s="588" t="s">
        <v>143</v>
      </c>
      <c r="I88" s="346"/>
      <c r="J88" s="589">
        <v>3000</v>
      </c>
      <c r="K88" s="347">
        <f>VLOOKUP(H88,名称!A:C,2,0)</f>
        <v>32</v>
      </c>
      <c r="L88" s="348">
        <f t="shared" si="11"/>
        <v>96000</v>
      </c>
      <c r="M88" s="346">
        <f>VLOOKUP(H88,名称!A:E,3,0)</f>
        <v>60</v>
      </c>
      <c r="N88" s="348">
        <f t="shared" si="12"/>
        <v>50</v>
      </c>
      <c r="O88" s="587">
        <v>46200</v>
      </c>
      <c r="P88" s="536">
        <v>46220</v>
      </c>
      <c r="Q88" s="536">
        <v>46220</v>
      </c>
      <c r="R88" s="404" t="s">
        <v>1331</v>
      </c>
      <c r="S88" s="536" t="s">
        <v>1133</v>
      </c>
      <c r="T88" s="346"/>
      <c r="U88" s="568"/>
      <c r="V88" s="346"/>
      <c r="W88" s="348" t="str">
        <f>IFERROR(VLOOKUP(H88,名称!A:F,6,0),"")</f>
        <v>湖南</v>
      </c>
      <c r="X88" s="568" t="s">
        <v>1332</v>
      </c>
      <c r="Y88" s="568" t="s">
        <v>1233</v>
      </c>
      <c r="Z88" s="569">
        <v>46163</v>
      </c>
      <c r="AA88" s="570">
        <v>46172</v>
      </c>
      <c r="AB88" s="569">
        <v>46189</v>
      </c>
      <c r="AC88" s="568" t="s">
        <v>1333</v>
      </c>
      <c r="AD88" s="568" t="s">
        <v>1228</v>
      </c>
      <c r="AE88" s="588" t="s">
        <v>510</v>
      </c>
      <c r="AF88" s="568" t="s">
        <v>1228</v>
      </c>
      <c r="AG88" s="568" t="s">
        <v>341</v>
      </c>
      <c r="AH88" s="568" t="s">
        <v>1133</v>
      </c>
      <c r="AI88" s="568" t="s">
        <v>1228</v>
      </c>
      <c r="AJ88" s="568" t="s">
        <v>1133</v>
      </c>
      <c r="AK88" s="568" t="s">
        <v>1133</v>
      </c>
      <c r="AL88" s="568"/>
      <c r="AM88" s="568" t="s">
        <v>1334</v>
      </c>
      <c r="AN88" s="598" t="s">
        <v>1335</v>
      </c>
      <c r="AO88" s="531">
        <v>2.57</v>
      </c>
      <c r="AP88" s="532">
        <f t="shared" si="13"/>
        <v>7710</v>
      </c>
      <c r="AQ88" s="532">
        <f t="shared" si="14"/>
        <v>59752.5</v>
      </c>
      <c r="AR88" s="533"/>
      <c r="AS88" s="527"/>
      <c r="AT88" s="403" t="s">
        <v>1220</v>
      </c>
      <c r="AU88" s="537">
        <v>3000</v>
      </c>
      <c r="AV88" s="535">
        <f t="shared" si="15"/>
        <v>0</v>
      </c>
      <c r="AW88" s="219" t="s">
        <v>1228</v>
      </c>
      <c r="AX88" s="413" t="s">
        <v>1280</v>
      </c>
      <c r="AY88" s="527"/>
      <c r="AZ88" s="527"/>
      <c r="BA88" s="527"/>
      <c r="BB88" s="527" t="str">
        <f t="shared" si="16"/>
        <v>Amazon</v>
      </c>
      <c r="BC88" s="527" t="str">
        <f t="shared" si="17"/>
        <v>加拿大</v>
      </c>
    </row>
    <row r="89" s="496" customFormat="1" customHeight="1" spans="1:55">
      <c r="A89" s="527">
        <v>46139</v>
      </c>
      <c r="B89" s="527" t="str">
        <f ca="1" t="shared" si="10"/>
        <v/>
      </c>
      <c r="C89" s="346" t="str">
        <f>VLOOKUP(H89,名称!A:E,4,0)</f>
        <v>三代</v>
      </c>
      <c r="D89" s="588" t="s">
        <v>1330</v>
      </c>
      <c r="E89" s="588" t="s">
        <v>1325</v>
      </c>
      <c r="F89" s="588" t="s">
        <v>785</v>
      </c>
      <c r="G89" s="588" t="s">
        <v>786</v>
      </c>
      <c r="H89" s="588" t="s">
        <v>155</v>
      </c>
      <c r="I89" s="346"/>
      <c r="J89" s="589">
        <f>2016+9</f>
        <v>2025</v>
      </c>
      <c r="K89" s="347">
        <f>VLOOKUP(H89,名称!A:C,2,0)</f>
        <v>5</v>
      </c>
      <c r="L89" s="348">
        <f t="shared" si="11"/>
        <v>10125</v>
      </c>
      <c r="M89" s="346">
        <f>VLOOKUP(H89,名称!A:E,3,0)</f>
        <v>75</v>
      </c>
      <c r="N89" s="348">
        <f t="shared" si="12"/>
        <v>27</v>
      </c>
      <c r="O89" s="587">
        <v>46200</v>
      </c>
      <c r="P89" s="536">
        <v>46224</v>
      </c>
      <c r="Q89" s="536">
        <v>46224</v>
      </c>
      <c r="R89" s="404" t="s">
        <v>1241</v>
      </c>
      <c r="S89" s="536" t="s">
        <v>1133</v>
      </c>
      <c r="T89" s="346"/>
      <c r="U89" s="568"/>
      <c r="V89" s="346"/>
      <c r="W89" s="348" t="str">
        <f>IFERROR(VLOOKUP(H89,名称!A:F,6,0),"")</f>
        <v>湖南</v>
      </c>
      <c r="X89" s="588" t="s">
        <v>1332</v>
      </c>
      <c r="Y89" s="346" t="s">
        <v>1233</v>
      </c>
      <c r="Z89" s="569">
        <v>46163</v>
      </c>
      <c r="AA89" s="570">
        <v>46172</v>
      </c>
      <c r="AB89" s="432">
        <v>46196</v>
      </c>
      <c r="AC89" s="568" t="s">
        <v>1333</v>
      </c>
      <c r="AD89" s="568" t="s">
        <v>1228</v>
      </c>
      <c r="AE89" s="588" t="s">
        <v>510</v>
      </c>
      <c r="AF89" s="568" t="s">
        <v>1228</v>
      </c>
      <c r="AG89" s="568" t="s">
        <v>341</v>
      </c>
      <c r="AH89" s="568" t="s">
        <v>1133</v>
      </c>
      <c r="AI89" s="568" t="s">
        <v>1228</v>
      </c>
      <c r="AJ89" s="568" t="s">
        <v>1133</v>
      </c>
      <c r="AK89" s="568" t="s">
        <v>1133</v>
      </c>
      <c r="AL89" s="568"/>
      <c r="AM89" s="568" t="s">
        <v>1334</v>
      </c>
      <c r="AN89" s="598" t="s">
        <v>1335</v>
      </c>
      <c r="AO89" s="531">
        <v>0.83</v>
      </c>
      <c r="AP89" s="532">
        <f t="shared" si="13"/>
        <v>1680.75</v>
      </c>
      <c r="AQ89" s="532">
        <f t="shared" si="14"/>
        <v>13025.81</v>
      </c>
      <c r="AR89" s="533"/>
      <c r="AS89" s="527"/>
      <c r="AT89" s="527" t="s">
        <v>1310</v>
      </c>
      <c r="AU89" s="537">
        <v>2025</v>
      </c>
      <c r="AV89" s="535">
        <f t="shared" si="15"/>
        <v>0</v>
      </c>
      <c r="AW89" s="219" t="s">
        <v>1228</v>
      </c>
      <c r="AX89" s="536"/>
      <c r="AY89" s="527"/>
      <c r="AZ89" s="527"/>
      <c r="BA89" s="527"/>
      <c r="BB89" s="527" t="str">
        <f t="shared" si="16"/>
        <v>Amazon</v>
      </c>
      <c r="BC89" s="527" t="str">
        <f t="shared" si="17"/>
        <v>加拿大</v>
      </c>
    </row>
    <row r="90" s="496" customFormat="1" customHeight="1" spans="1:55">
      <c r="A90" s="527">
        <v>46139</v>
      </c>
      <c r="B90" s="527" t="str">
        <f ca="1" t="shared" si="10"/>
        <v/>
      </c>
      <c r="C90" s="346" t="str">
        <f>VLOOKUP(H90,名称!A:E,4,0)</f>
        <v>三代</v>
      </c>
      <c r="D90" s="588" t="s">
        <v>1330</v>
      </c>
      <c r="E90" s="588" t="s">
        <v>1325</v>
      </c>
      <c r="F90" s="588" t="s">
        <v>785</v>
      </c>
      <c r="G90" s="588" t="s">
        <v>786</v>
      </c>
      <c r="H90" s="588" t="s">
        <v>156</v>
      </c>
      <c r="I90" s="346"/>
      <c r="J90" s="599">
        <f>2016+9</f>
        <v>2025</v>
      </c>
      <c r="K90" s="347">
        <f>VLOOKUP(H90,名称!A:C,2,0)</f>
        <v>5</v>
      </c>
      <c r="L90" s="348">
        <f t="shared" si="11"/>
        <v>10125</v>
      </c>
      <c r="M90" s="346">
        <f>VLOOKUP(H90,名称!A:E,3,0)</f>
        <v>75</v>
      </c>
      <c r="N90" s="348">
        <f t="shared" si="12"/>
        <v>27</v>
      </c>
      <c r="O90" s="587">
        <v>46200</v>
      </c>
      <c r="P90" s="536">
        <v>46224</v>
      </c>
      <c r="Q90" s="536">
        <v>46224</v>
      </c>
      <c r="R90" s="404" t="s">
        <v>1241</v>
      </c>
      <c r="S90" s="536" t="s">
        <v>1133</v>
      </c>
      <c r="T90" s="346"/>
      <c r="U90" s="568"/>
      <c r="V90" s="346"/>
      <c r="W90" s="348" t="str">
        <f>IFERROR(VLOOKUP(H90,名称!A:F,6,0),"")</f>
        <v>湖南</v>
      </c>
      <c r="X90" s="568" t="s">
        <v>1332</v>
      </c>
      <c r="Y90" s="568" t="s">
        <v>1233</v>
      </c>
      <c r="Z90" s="569">
        <v>46163</v>
      </c>
      <c r="AA90" s="570">
        <v>46172</v>
      </c>
      <c r="AB90" s="432">
        <v>46196</v>
      </c>
      <c r="AC90" s="568" t="s">
        <v>1333</v>
      </c>
      <c r="AD90" s="568" t="s">
        <v>1228</v>
      </c>
      <c r="AE90" s="588" t="s">
        <v>510</v>
      </c>
      <c r="AF90" s="568" t="s">
        <v>1228</v>
      </c>
      <c r="AG90" s="568" t="s">
        <v>341</v>
      </c>
      <c r="AH90" s="568" t="s">
        <v>1133</v>
      </c>
      <c r="AI90" s="568" t="s">
        <v>1228</v>
      </c>
      <c r="AJ90" s="568" t="s">
        <v>1133</v>
      </c>
      <c r="AK90" s="568" t="s">
        <v>1133</v>
      </c>
      <c r="AL90" s="568"/>
      <c r="AM90" s="568" t="s">
        <v>1334</v>
      </c>
      <c r="AN90" s="598" t="s">
        <v>1335</v>
      </c>
      <c r="AO90" s="531">
        <v>0.83</v>
      </c>
      <c r="AP90" s="532">
        <f t="shared" si="13"/>
        <v>1680.75</v>
      </c>
      <c r="AQ90" s="532">
        <f t="shared" si="14"/>
        <v>13025.81</v>
      </c>
      <c r="AR90" s="533"/>
      <c r="AS90" s="527"/>
      <c r="AT90" s="527" t="s">
        <v>1310</v>
      </c>
      <c r="AU90" s="537">
        <v>2025</v>
      </c>
      <c r="AV90" s="535">
        <f t="shared" si="15"/>
        <v>0</v>
      </c>
      <c r="AW90" s="219" t="s">
        <v>1228</v>
      </c>
      <c r="AX90" s="536"/>
      <c r="AY90" s="527"/>
      <c r="AZ90" s="527"/>
      <c r="BA90" s="527"/>
      <c r="BB90" s="527" t="str">
        <f t="shared" si="16"/>
        <v>Amazon</v>
      </c>
      <c r="BC90" s="527" t="str">
        <f t="shared" si="17"/>
        <v>加拿大</v>
      </c>
    </row>
    <row r="91" s="496" customFormat="1" customHeight="1" spans="1:55">
      <c r="A91" s="527">
        <v>46139</v>
      </c>
      <c r="B91" s="527" t="str">
        <f ca="1" t="shared" si="10"/>
        <v/>
      </c>
      <c r="C91" s="346" t="str">
        <f>VLOOKUP(H91,名称!A:E,4,0)</f>
        <v>三代</v>
      </c>
      <c r="D91" s="588" t="s">
        <v>1330</v>
      </c>
      <c r="E91" s="588" t="s">
        <v>1325</v>
      </c>
      <c r="F91" s="588" t="s">
        <v>785</v>
      </c>
      <c r="G91" s="588" t="s">
        <v>786</v>
      </c>
      <c r="H91" s="588" t="s">
        <v>157</v>
      </c>
      <c r="I91" s="346"/>
      <c r="J91" s="599">
        <f>2016+9</f>
        <v>2025</v>
      </c>
      <c r="K91" s="347">
        <f>VLOOKUP(H91,名称!A:C,2,0)</f>
        <v>5</v>
      </c>
      <c r="L91" s="348">
        <f t="shared" si="11"/>
        <v>10125</v>
      </c>
      <c r="M91" s="346">
        <f>VLOOKUP(H91,名称!A:E,3,0)</f>
        <v>75</v>
      </c>
      <c r="N91" s="348">
        <f t="shared" si="12"/>
        <v>27</v>
      </c>
      <c r="O91" s="587">
        <v>46200</v>
      </c>
      <c r="P91" s="536">
        <v>46224</v>
      </c>
      <c r="Q91" s="536">
        <v>46224</v>
      </c>
      <c r="R91" s="346"/>
      <c r="S91" s="536" t="s">
        <v>1133</v>
      </c>
      <c r="T91" s="346"/>
      <c r="U91" s="568"/>
      <c r="V91" s="346"/>
      <c r="W91" s="348" t="str">
        <f>IFERROR(VLOOKUP(H91,名称!A:F,6,0),"")</f>
        <v>湖南</v>
      </c>
      <c r="X91" s="588" t="s">
        <v>1332</v>
      </c>
      <c r="Y91" s="346" t="s">
        <v>1233</v>
      </c>
      <c r="Z91" s="569">
        <v>46163</v>
      </c>
      <c r="AA91" s="570">
        <v>46172</v>
      </c>
      <c r="AB91" s="432">
        <v>46196</v>
      </c>
      <c r="AC91" s="568" t="s">
        <v>1333</v>
      </c>
      <c r="AD91" s="568" t="s">
        <v>1228</v>
      </c>
      <c r="AE91" s="588" t="s">
        <v>510</v>
      </c>
      <c r="AF91" s="568" t="s">
        <v>1228</v>
      </c>
      <c r="AG91" s="568" t="s">
        <v>341</v>
      </c>
      <c r="AH91" s="568" t="s">
        <v>1133</v>
      </c>
      <c r="AI91" s="568" t="s">
        <v>1228</v>
      </c>
      <c r="AJ91" s="568" t="s">
        <v>1133</v>
      </c>
      <c r="AK91" s="568" t="s">
        <v>1133</v>
      </c>
      <c r="AL91" s="568"/>
      <c r="AM91" s="568" t="s">
        <v>1334</v>
      </c>
      <c r="AN91" s="598" t="s">
        <v>1335</v>
      </c>
      <c r="AO91" s="531">
        <v>0.83</v>
      </c>
      <c r="AP91" s="532">
        <f t="shared" si="13"/>
        <v>1680.75</v>
      </c>
      <c r="AQ91" s="532">
        <f t="shared" si="14"/>
        <v>13025.81</v>
      </c>
      <c r="AR91" s="533"/>
      <c r="AS91" s="527"/>
      <c r="AT91" s="527" t="s">
        <v>1310</v>
      </c>
      <c r="AU91" s="537">
        <v>2025</v>
      </c>
      <c r="AV91" s="535">
        <f t="shared" si="15"/>
        <v>0</v>
      </c>
      <c r="AW91" s="219" t="s">
        <v>1228</v>
      </c>
      <c r="AX91" s="536"/>
      <c r="AY91" s="527"/>
      <c r="AZ91" s="527"/>
      <c r="BA91" s="527"/>
      <c r="BB91" s="527" t="str">
        <f t="shared" si="16"/>
        <v>Amazon</v>
      </c>
      <c r="BC91" s="527" t="str">
        <f t="shared" si="17"/>
        <v>加拿大</v>
      </c>
    </row>
    <row r="92" s="496" customFormat="1" customHeight="1" spans="1:55">
      <c r="A92" s="527">
        <v>46139</v>
      </c>
      <c r="B92" s="527" t="str">
        <f ca="1" t="shared" si="10"/>
        <v/>
      </c>
      <c r="C92" s="346" t="str">
        <f>VLOOKUP(H92,名称!A:E,4,0)</f>
        <v>三代</v>
      </c>
      <c r="D92" s="588" t="s">
        <v>1330</v>
      </c>
      <c r="E92" s="588" t="s">
        <v>1325</v>
      </c>
      <c r="F92" s="588" t="s">
        <v>785</v>
      </c>
      <c r="G92" s="588" t="s">
        <v>786</v>
      </c>
      <c r="H92" s="588" t="s">
        <v>158</v>
      </c>
      <c r="I92" s="346"/>
      <c r="J92" s="589">
        <f>3024-24</f>
        <v>3000</v>
      </c>
      <c r="K92" s="347">
        <f>VLOOKUP(H92,名称!A:C,2,0)</f>
        <v>5</v>
      </c>
      <c r="L92" s="348">
        <f t="shared" si="11"/>
        <v>15000</v>
      </c>
      <c r="M92" s="346">
        <f>VLOOKUP(H92,名称!A:E,3,0)</f>
        <v>75</v>
      </c>
      <c r="N92" s="348">
        <f t="shared" si="12"/>
        <v>40</v>
      </c>
      <c r="O92" s="587">
        <v>46200</v>
      </c>
      <c r="P92" s="536">
        <v>46224</v>
      </c>
      <c r="Q92" s="536">
        <v>46224</v>
      </c>
      <c r="R92" s="600"/>
      <c r="S92" s="536" t="s">
        <v>1133</v>
      </c>
      <c r="T92" s="346"/>
      <c r="U92" s="568"/>
      <c r="V92" s="346"/>
      <c r="W92" s="348" t="str">
        <f>IFERROR(VLOOKUP(H92,名称!A:F,6,0),"")</f>
        <v>湖南</v>
      </c>
      <c r="X92" s="568" t="s">
        <v>1332</v>
      </c>
      <c r="Y92" s="568" t="s">
        <v>1233</v>
      </c>
      <c r="Z92" s="569">
        <v>46163</v>
      </c>
      <c r="AA92" s="570">
        <v>46172</v>
      </c>
      <c r="AB92" s="432">
        <v>46196</v>
      </c>
      <c r="AC92" s="568" t="s">
        <v>1333</v>
      </c>
      <c r="AD92" s="568" t="s">
        <v>1228</v>
      </c>
      <c r="AE92" s="588" t="s">
        <v>510</v>
      </c>
      <c r="AF92" s="568" t="s">
        <v>1228</v>
      </c>
      <c r="AG92" s="568" t="s">
        <v>341</v>
      </c>
      <c r="AH92" s="568" t="s">
        <v>1133</v>
      </c>
      <c r="AI92" s="568" t="s">
        <v>1228</v>
      </c>
      <c r="AJ92" s="568" t="s">
        <v>1133</v>
      </c>
      <c r="AK92" s="568" t="s">
        <v>1133</v>
      </c>
      <c r="AL92" s="568"/>
      <c r="AM92" s="568" t="s">
        <v>1334</v>
      </c>
      <c r="AN92" s="598" t="s">
        <v>1335</v>
      </c>
      <c r="AO92" s="531">
        <v>0.83</v>
      </c>
      <c r="AP92" s="532">
        <f t="shared" si="13"/>
        <v>2490</v>
      </c>
      <c r="AQ92" s="532">
        <f t="shared" si="14"/>
        <v>19297.5</v>
      </c>
      <c r="AR92" s="533"/>
      <c r="AS92" s="527"/>
      <c r="AT92" s="527" t="s">
        <v>1310</v>
      </c>
      <c r="AU92" s="537">
        <v>3000</v>
      </c>
      <c r="AV92" s="535">
        <f t="shared" si="15"/>
        <v>0</v>
      </c>
      <c r="AW92" s="219" t="s">
        <v>1228</v>
      </c>
      <c r="AX92" s="536"/>
      <c r="AY92" s="527"/>
      <c r="AZ92" s="527"/>
      <c r="BA92" s="527"/>
      <c r="BB92" s="527" t="str">
        <f t="shared" si="16"/>
        <v>Amazon</v>
      </c>
      <c r="BC92" s="527" t="str">
        <f t="shared" si="17"/>
        <v>加拿大</v>
      </c>
    </row>
    <row r="93" s="496" customFormat="1" customHeight="1" spans="1:55">
      <c r="A93" s="527">
        <v>46139</v>
      </c>
      <c r="B93" s="527" t="str">
        <f ca="1" t="shared" si="10"/>
        <v/>
      </c>
      <c r="C93" s="346" t="str">
        <f>VLOOKUP(H93,名称!A:E,4,0)</f>
        <v>三代</v>
      </c>
      <c r="D93" s="588" t="s">
        <v>1330</v>
      </c>
      <c r="E93" s="588" t="s">
        <v>1325</v>
      </c>
      <c r="F93" s="588" t="s">
        <v>785</v>
      </c>
      <c r="G93" s="588" t="s">
        <v>786</v>
      </c>
      <c r="H93" s="588" t="s">
        <v>159</v>
      </c>
      <c r="I93" s="346"/>
      <c r="J93" s="589">
        <f>2016+9</f>
        <v>2025</v>
      </c>
      <c r="K93" s="347">
        <f>VLOOKUP(H93,名称!A:C,2,0)</f>
        <v>5</v>
      </c>
      <c r="L93" s="348">
        <f t="shared" si="11"/>
        <v>10125</v>
      </c>
      <c r="M93" s="346">
        <f>VLOOKUP(H93,名称!A:E,3,0)</f>
        <v>75</v>
      </c>
      <c r="N93" s="348">
        <f t="shared" si="12"/>
        <v>27</v>
      </c>
      <c r="O93" s="587">
        <v>46200</v>
      </c>
      <c r="P93" s="536">
        <v>46224</v>
      </c>
      <c r="Q93" s="536">
        <v>46224</v>
      </c>
      <c r="R93" s="601" t="s">
        <v>1241</v>
      </c>
      <c r="S93" s="536" t="s">
        <v>1133</v>
      </c>
      <c r="T93" s="346"/>
      <c r="U93" s="568"/>
      <c r="V93" s="346"/>
      <c r="W93" s="348" t="str">
        <f>IFERROR(VLOOKUP(H93,名称!A:F,6,0),"")</f>
        <v>湖南</v>
      </c>
      <c r="X93" s="588" t="s">
        <v>1332</v>
      </c>
      <c r="Y93" s="346" t="s">
        <v>1233</v>
      </c>
      <c r="Z93" s="569">
        <v>46163</v>
      </c>
      <c r="AA93" s="570">
        <v>46172</v>
      </c>
      <c r="AB93" s="432">
        <v>46196</v>
      </c>
      <c r="AC93" s="568" t="s">
        <v>1333</v>
      </c>
      <c r="AD93" s="415" t="s">
        <v>1228</v>
      </c>
      <c r="AE93" s="588" t="s">
        <v>510</v>
      </c>
      <c r="AF93" s="568" t="s">
        <v>1228</v>
      </c>
      <c r="AG93" s="568" t="s">
        <v>341</v>
      </c>
      <c r="AH93" s="568" t="s">
        <v>1133</v>
      </c>
      <c r="AI93" s="568" t="s">
        <v>1228</v>
      </c>
      <c r="AJ93" s="568" t="s">
        <v>1133</v>
      </c>
      <c r="AK93" s="568" t="s">
        <v>1133</v>
      </c>
      <c r="AL93" s="568"/>
      <c r="AM93" s="568" t="s">
        <v>1334</v>
      </c>
      <c r="AN93" s="598" t="s">
        <v>1335</v>
      </c>
      <c r="AO93" s="531">
        <v>0.83</v>
      </c>
      <c r="AP93" s="532">
        <f t="shared" si="13"/>
        <v>1680.75</v>
      </c>
      <c r="AQ93" s="532">
        <f t="shared" si="14"/>
        <v>13025.81</v>
      </c>
      <c r="AR93" s="533"/>
      <c r="AS93" s="527"/>
      <c r="AT93" s="527" t="s">
        <v>1310</v>
      </c>
      <c r="AU93" s="537">
        <v>2025</v>
      </c>
      <c r="AV93" s="535">
        <f t="shared" si="15"/>
        <v>0</v>
      </c>
      <c r="AW93" s="219" t="s">
        <v>1228</v>
      </c>
      <c r="AX93" s="536"/>
      <c r="AY93" s="527"/>
      <c r="AZ93" s="527"/>
      <c r="BA93" s="527"/>
      <c r="BB93" s="527" t="str">
        <f t="shared" si="16"/>
        <v>Amazon</v>
      </c>
      <c r="BC93" s="527" t="str">
        <f t="shared" si="17"/>
        <v>加拿大</v>
      </c>
    </row>
    <row r="94" s="496" customFormat="1" customHeight="1" spans="1:55">
      <c r="A94" s="527">
        <v>46139</v>
      </c>
      <c r="B94" s="527" t="str">
        <f ca="1" t="shared" si="10"/>
        <v/>
      </c>
      <c r="C94" s="346" t="str">
        <f>VLOOKUP(H94,名称!A:E,4,0)</f>
        <v>三代</v>
      </c>
      <c r="D94" s="588" t="s">
        <v>1330</v>
      </c>
      <c r="E94" s="588" t="s">
        <v>1325</v>
      </c>
      <c r="F94" s="588" t="s">
        <v>785</v>
      </c>
      <c r="G94" s="588" t="s">
        <v>786</v>
      </c>
      <c r="H94" s="588" t="s">
        <v>162</v>
      </c>
      <c r="I94" s="346"/>
      <c r="J94" s="589">
        <v>1536</v>
      </c>
      <c r="K94" s="347">
        <f>VLOOKUP(H94,名称!A:C,2,0)</f>
        <v>12</v>
      </c>
      <c r="L94" s="348">
        <f t="shared" si="11"/>
        <v>18432</v>
      </c>
      <c r="M94" s="346">
        <f>VLOOKUP(H94,名称!A:E,3,0)</f>
        <v>96</v>
      </c>
      <c r="N94" s="348">
        <f t="shared" si="12"/>
        <v>16</v>
      </c>
      <c r="O94" s="587">
        <v>46200</v>
      </c>
      <c r="P94" s="536">
        <v>46222</v>
      </c>
      <c r="Q94" s="536">
        <v>46222</v>
      </c>
      <c r="R94" s="602" t="s">
        <v>1331</v>
      </c>
      <c r="S94" s="536" t="s">
        <v>1133</v>
      </c>
      <c r="T94" s="346"/>
      <c r="U94" s="568"/>
      <c r="V94" s="346"/>
      <c r="W94" s="348" t="str">
        <f>IFERROR(VLOOKUP(H94,名称!A:F,6,0),"")</f>
        <v>湖南</v>
      </c>
      <c r="X94" s="568" t="s">
        <v>1332</v>
      </c>
      <c r="Y94" s="568" t="s">
        <v>1233</v>
      </c>
      <c r="Z94" s="569">
        <v>46163</v>
      </c>
      <c r="AA94" s="570">
        <v>46172</v>
      </c>
      <c r="AB94" s="569">
        <v>46189</v>
      </c>
      <c r="AC94" s="568" t="s">
        <v>1333</v>
      </c>
      <c r="AD94" s="568" t="s">
        <v>1228</v>
      </c>
      <c r="AE94" s="588" t="s">
        <v>510</v>
      </c>
      <c r="AF94" s="568" t="s">
        <v>1228</v>
      </c>
      <c r="AG94" s="568" t="s">
        <v>341</v>
      </c>
      <c r="AH94" s="568" t="s">
        <v>1133</v>
      </c>
      <c r="AI94" s="568" t="s">
        <v>1228</v>
      </c>
      <c r="AJ94" s="568" t="s">
        <v>1133</v>
      </c>
      <c r="AK94" s="568" t="s">
        <v>1133</v>
      </c>
      <c r="AL94" s="568"/>
      <c r="AM94" s="568" t="s">
        <v>1334</v>
      </c>
      <c r="AN94" s="588"/>
      <c r="AO94" s="531">
        <v>1.27</v>
      </c>
      <c r="AP94" s="532">
        <f t="shared" si="13"/>
        <v>1950.72</v>
      </c>
      <c r="AQ94" s="532">
        <f t="shared" si="14"/>
        <v>15118.08</v>
      </c>
      <c r="AR94" s="533"/>
      <c r="AS94" s="527"/>
      <c r="AT94" s="403" t="s">
        <v>1220</v>
      </c>
      <c r="AU94" s="537">
        <f>1248+288</f>
        <v>1536</v>
      </c>
      <c r="AV94" s="535">
        <f t="shared" si="15"/>
        <v>0</v>
      </c>
      <c r="AW94" s="535"/>
      <c r="AX94" s="413" t="s">
        <v>1280</v>
      </c>
      <c r="AY94" s="527"/>
      <c r="AZ94" s="527"/>
      <c r="BA94" s="527"/>
      <c r="BB94" s="527" t="str">
        <f t="shared" si="16"/>
        <v>Amazon</v>
      </c>
      <c r="BC94" s="527" t="str">
        <f t="shared" si="17"/>
        <v>加拿大</v>
      </c>
    </row>
    <row r="95" s="496" customFormat="1" customHeight="1" spans="1:55">
      <c r="A95" s="527">
        <v>46139</v>
      </c>
      <c r="B95" s="527" t="str">
        <f ca="1" t="shared" si="10"/>
        <v/>
      </c>
      <c r="C95" s="346" t="str">
        <f>VLOOKUP(H95,名称!A:E,4,0)</f>
        <v>三代</v>
      </c>
      <c r="D95" s="588" t="s">
        <v>1330</v>
      </c>
      <c r="E95" s="588" t="s">
        <v>1325</v>
      </c>
      <c r="F95" s="588" t="s">
        <v>785</v>
      </c>
      <c r="G95" s="588" t="s">
        <v>786</v>
      </c>
      <c r="H95" s="588" t="s">
        <v>163</v>
      </c>
      <c r="I95" s="346"/>
      <c r="J95" s="589">
        <v>1536</v>
      </c>
      <c r="K95" s="347">
        <f>VLOOKUP(H95,名称!A:C,2,0)</f>
        <v>12</v>
      </c>
      <c r="L95" s="348">
        <f t="shared" si="11"/>
        <v>18432</v>
      </c>
      <c r="M95" s="346">
        <f>VLOOKUP(H95,名称!A:E,3,0)</f>
        <v>96</v>
      </c>
      <c r="N95" s="348">
        <f t="shared" si="12"/>
        <v>16</v>
      </c>
      <c r="O95" s="587">
        <v>46200</v>
      </c>
      <c r="P95" s="536">
        <v>46222</v>
      </c>
      <c r="Q95" s="536">
        <v>46222</v>
      </c>
      <c r="R95" s="408" t="s">
        <v>1331</v>
      </c>
      <c r="S95" s="536" t="s">
        <v>1133</v>
      </c>
      <c r="T95" s="346"/>
      <c r="U95" s="568"/>
      <c r="V95" s="346"/>
      <c r="W95" s="348" t="str">
        <f>IFERROR(VLOOKUP(H95,名称!A:F,6,0),"")</f>
        <v>湖南</v>
      </c>
      <c r="X95" s="588" t="s">
        <v>1332</v>
      </c>
      <c r="Y95" s="346" t="s">
        <v>1233</v>
      </c>
      <c r="Z95" s="569">
        <v>46163</v>
      </c>
      <c r="AA95" s="570">
        <v>46172</v>
      </c>
      <c r="AB95" s="569">
        <v>46189</v>
      </c>
      <c r="AC95" s="568" t="s">
        <v>1333</v>
      </c>
      <c r="AD95" s="568" t="s">
        <v>1228</v>
      </c>
      <c r="AE95" s="588" t="s">
        <v>510</v>
      </c>
      <c r="AF95" s="568" t="s">
        <v>1228</v>
      </c>
      <c r="AG95" s="568" t="s">
        <v>341</v>
      </c>
      <c r="AH95" s="568" t="s">
        <v>1133</v>
      </c>
      <c r="AI95" s="568" t="s">
        <v>1228</v>
      </c>
      <c r="AJ95" s="568" t="s">
        <v>1133</v>
      </c>
      <c r="AK95" s="568" t="s">
        <v>1133</v>
      </c>
      <c r="AL95" s="568"/>
      <c r="AM95" s="568" t="s">
        <v>1334</v>
      </c>
      <c r="AN95" s="588"/>
      <c r="AO95" s="531">
        <v>1.27</v>
      </c>
      <c r="AP95" s="532">
        <f t="shared" si="13"/>
        <v>1950.72</v>
      </c>
      <c r="AQ95" s="532">
        <f t="shared" si="14"/>
        <v>15118.08</v>
      </c>
      <c r="AR95" s="533"/>
      <c r="AS95" s="527"/>
      <c r="AT95" s="403" t="s">
        <v>1220</v>
      </c>
      <c r="AU95" s="537">
        <f>1440+96</f>
        <v>1536</v>
      </c>
      <c r="AV95" s="535">
        <f t="shared" si="15"/>
        <v>0</v>
      </c>
      <c r="AW95" s="535"/>
      <c r="AX95" s="413" t="s">
        <v>1280</v>
      </c>
      <c r="AY95" s="527"/>
      <c r="AZ95" s="527"/>
      <c r="BA95" s="527"/>
      <c r="BB95" s="527" t="str">
        <f t="shared" si="16"/>
        <v>Amazon</v>
      </c>
      <c r="BC95" s="527" t="str">
        <f t="shared" si="17"/>
        <v>加拿大</v>
      </c>
    </row>
    <row r="96" s="496" customFormat="1" customHeight="1" spans="1:55">
      <c r="A96" s="527">
        <v>46139</v>
      </c>
      <c r="B96" s="527" t="str">
        <f ca="1" t="shared" si="10"/>
        <v/>
      </c>
      <c r="C96" s="346" t="str">
        <f>VLOOKUP(H96,名称!A:E,4,0)</f>
        <v>三代</v>
      </c>
      <c r="D96" s="588" t="s">
        <v>1330</v>
      </c>
      <c r="E96" s="588" t="s">
        <v>1325</v>
      </c>
      <c r="F96" s="588" t="s">
        <v>785</v>
      </c>
      <c r="G96" s="588" t="s">
        <v>786</v>
      </c>
      <c r="H96" s="588" t="s">
        <v>164</v>
      </c>
      <c r="I96" s="346"/>
      <c r="J96" s="589">
        <v>1536</v>
      </c>
      <c r="K96" s="347">
        <f>VLOOKUP(H96,名称!A:C,2,0)</f>
        <v>12</v>
      </c>
      <c r="L96" s="348">
        <f t="shared" si="11"/>
        <v>18432</v>
      </c>
      <c r="M96" s="346">
        <f>VLOOKUP(H96,名称!A:E,3,0)</f>
        <v>96</v>
      </c>
      <c r="N96" s="348">
        <f t="shared" si="12"/>
        <v>16</v>
      </c>
      <c r="O96" s="587">
        <v>46200</v>
      </c>
      <c r="P96" s="536">
        <v>46222</v>
      </c>
      <c r="Q96" s="536">
        <v>46222</v>
      </c>
      <c r="R96" s="408" t="s">
        <v>1331</v>
      </c>
      <c r="S96" s="536" t="s">
        <v>1133</v>
      </c>
      <c r="T96" s="346"/>
      <c r="U96" s="568"/>
      <c r="V96" s="346"/>
      <c r="W96" s="348" t="str">
        <f>IFERROR(VLOOKUP(H96,名称!A:F,6,0),"")</f>
        <v>湖南</v>
      </c>
      <c r="X96" s="568" t="s">
        <v>1332</v>
      </c>
      <c r="Y96" s="568" t="s">
        <v>1233</v>
      </c>
      <c r="Z96" s="569">
        <v>46163</v>
      </c>
      <c r="AA96" s="570">
        <v>46172</v>
      </c>
      <c r="AB96" s="569">
        <v>46189</v>
      </c>
      <c r="AC96" s="568" t="s">
        <v>1333</v>
      </c>
      <c r="AD96" s="568" t="s">
        <v>1228</v>
      </c>
      <c r="AE96" s="588" t="s">
        <v>510</v>
      </c>
      <c r="AF96" s="568" t="s">
        <v>1228</v>
      </c>
      <c r="AG96" s="568" t="s">
        <v>341</v>
      </c>
      <c r="AH96" s="568" t="s">
        <v>1133</v>
      </c>
      <c r="AI96" s="568" t="s">
        <v>1228</v>
      </c>
      <c r="AJ96" s="568" t="s">
        <v>1133</v>
      </c>
      <c r="AK96" s="568" t="s">
        <v>1133</v>
      </c>
      <c r="AL96" s="568"/>
      <c r="AM96" s="568" t="s">
        <v>1334</v>
      </c>
      <c r="AN96" s="588"/>
      <c r="AO96" s="531">
        <v>1.27</v>
      </c>
      <c r="AP96" s="532">
        <f t="shared" si="13"/>
        <v>1950.72</v>
      </c>
      <c r="AQ96" s="532">
        <f t="shared" si="14"/>
        <v>15118.08</v>
      </c>
      <c r="AR96" s="533"/>
      <c r="AS96" s="527"/>
      <c r="AT96" s="403" t="s">
        <v>1220</v>
      </c>
      <c r="AU96" s="537">
        <f>1440+96</f>
        <v>1536</v>
      </c>
      <c r="AV96" s="535">
        <f t="shared" si="15"/>
        <v>0</v>
      </c>
      <c r="AW96" s="535"/>
      <c r="AX96" s="413" t="s">
        <v>1280</v>
      </c>
      <c r="AY96" s="527"/>
      <c r="AZ96" s="527"/>
      <c r="BA96" s="527"/>
      <c r="BB96" s="527" t="str">
        <f t="shared" si="16"/>
        <v>Amazon</v>
      </c>
      <c r="BC96" s="527" t="str">
        <f t="shared" si="17"/>
        <v>加拿大</v>
      </c>
    </row>
    <row r="97" s="496" customFormat="1" customHeight="1" spans="1:55">
      <c r="A97" s="527">
        <v>46139</v>
      </c>
      <c r="B97" s="527" t="str">
        <f ca="1" t="shared" si="10"/>
        <v/>
      </c>
      <c r="C97" s="346" t="str">
        <f>VLOOKUP(H97,名称!A:E,4,0)</f>
        <v>三代</v>
      </c>
      <c r="D97" s="588" t="s">
        <v>1330</v>
      </c>
      <c r="E97" s="588" t="s">
        <v>1325</v>
      </c>
      <c r="F97" s="588" t="s">
        <v>785</v>
      </c>
      <c r="G97" s="588" t="s">
        <v>786</v>
      </c>
      <c r="H97" s="588" t="s">
        <v>166</v>
      </c>
      <c r="I97" s="118"/>
      <c r="J97" s="426">
        <f>3456-6</f>
        <v>3450</v>
      </c>
      <c r="K97" s="92">
        <f>VLOOKUP(H97,名称!A:C,2,0)</f>
        <v>5</v>
      </c>
      <c r="L97" s="32">
        <f t="shared" si="11"/>
        <v>17250</v>
      </c>
      <c r="M97" s="346">
        <v>75</v>
      </c>
      <c r="N97" s="348">
        <f t="shared" si="12"/>
        <v>46</v>
      </c>
      <c r="O97" s="587">
        <v>46200</v>
      </c>
      <c r="P97" s="536">
        <v>46233</v>
      </c>
      <c r="Q97" s="536">
        <v>46233</v>
      </c>
      <c r="R97" s="404" t="s">
        <v>1331</v>
      </c>
      <c r="S97" s="536" t="s">
        <v>1133</v>
      </c>
      <c r="T97" s="346"/>
      <c r="U97" s="568"/>
      <c r="V97" s="346"/>
      <c r="W97" s="348" t="str">
        <f>IFERROR(VLOOKUP(H97,名称!A:F,6,0),"")</f>
        <v>湖南</v>
      </c>
      <c r="X97" s="588" t="s">
        <v>1332</v>
      </c>
      <c r="Y97" s="346" t="s">
        <v>1233</v>
      </c>
      <c r="Z97" s="569">
        <v>46163</v>
      </c>
      <c r="AA97" s="570">
        <v>46172</v>
      </c>
      <c r="AB97" s="569">
        <v>46189</v>
      </c>
      <c r="AC97" s="415" t="s">
        <v>1133</v>
      </c>
      <c r="AD97" s="415" t="s">
        <v>1133</v>
      </c>
      <c r="AE97" s="588" t="s">
        <v>510</v>
      </c>
      <c r="AF97" s="568" t="s">
        <v>1228</v>
      </c>
      <c r="AG97" s="568" t="s">
        <v>1133</v>
      </c>
      <c r="AH97" s="568" t="s">
        <v>1133</v>
      </c>
      <c r="AI97" s="568" t="s">
        <v>1133</v>
      </c>
      <c r="AJ97" s="568" t="s">
        <v>1133</v>
      </c>
      <c r="AK97" s="568" t="s">
        <v>510</v>
      </c>
      <c r="AL97" s="568"/>
      <c r="AM97" s="568" t="s">
        <v>1334</v>
      </c>
      <c r="AN97" s="588"/>
      <c r="AO97" s="531">
        <v>0.61</v>
      </c>
      <c r="AP97" s="532">
        <f t="shared" si="13"/>
        <v>2104.5</v>
      </c>
      <c r="AQ97" s="532">
        <f t="shared" si="14"/>
        <v>16309.88</v>
      </c>
      <c r="AR97" s="533"/>
      <c r="AS97" s="527"/>
      <c r="AT97" s="527" t="s">
        <v>1310</v>
      </c>
      <c r="AU97" s="537"/>
      <c r="AV97" s="535">
        <f t="shared" si="15"/>
        <v>-3450</v>
      </c>
      <c r="AW97" s="535"/>
      <c r="AX97" s="536"/>
      <c r="AY97" s="527"/>
      <c r="AZ97" s="527"/>
      <c r="BA97" s="527"/>
      <c r="BB97" s="527" t="str">
        <f t="shared" si="16"/>
        <v>Amazon</v>
      </c>
      <c r="BC97" s="527" t="str">
        <f t="shared" si="17"/>
        <v>加拿大</v>
      </c>
    </row>
    <row r="98" s="495" customFormat="1" customHeight="1" spans="1:55">
      <c r="A98" s="538">
        <v>46139</v>
      </c>
      <c r="B98" s="538" t="str">
        <f ca="1" t="shared" si="10"/>
        <v/>
      </c>
      <c r="C98" s="539" t="str">
        <f>VLOOKUP(H98,名称!A:E,4,0)</f>
        <v>三代</v>
      </c>
      <c r="D98" s="591" t="s">
        <v>1330</v>
      </c>
      <c r="E98" s="591" t="s">
        <v>1325</v>
      </c>
      <c r="F98" s="591" t="s">
        <v>785</v>
      </c>
      <c r="G98" s="591" t="s">
        <v>786</v>
      </c>
      <c r="H98" s="591" t="s">
        <v>167</v>
      </c>
      <c r="I98" s="539"/>
      <c r="J98" s="592">
        <v>4512</v>
      </c>
      <c r="K98" s="514">
        <f>VLOOKUP(H98,名称!A:C,2,0)</f>
        <v>12</v>
      </c>
      <c r="L98" s="518">
        <f t="shared" si="11"/>
        <v>54144</v>
      </c>
      <c r="M98" s="539">
        <v>6</v>
      </c>
      <c r="N98" s="518">
        <f t="shared" si="12"/>
        <v>752</v>
      </c>
      <c r="O98" s="590">
        <v>46200</v>
      </c>
      <c r="P98" s="549">
        <v>46242</v>
      </c>
      <c r="Q98" s="549">
        <v>46242</v>
      </c>
      <c r="R98" s="539"/>
      <c r="S98" s="549" t="s">
        <v>1133</v>
      </c>
      <c r="T98" s="539"/>
      <c r="U98" s="541"/>
      <c r="V98" s="539"/>
      <c r="W98" s="518" t="str">
        <f>IFERROR(VLOOKUP(H98,名称!A:F,6,0),"")</f>
        <v>东莞</v>
      </c>
      <c r="X98" s="541" t="s">
        <v>1332</v>
      </c>
      <c r="Y98" s="541" t="s">
        <v>1233</v>
      </c>
      <c r="Z98" s="567">
        <v>46163</v>
      </c>
      <c r="AA98" s="552">
        <v>46172</v>
      </c>
      <c r="AB98" s="567">
        <v>46189</v>
      </c>
      <c r="AC98" s="541" t="s">
        <v>1333</v>
      </c>
      <c r="AD98" s="431" t="s">
        <v>1228</v>
      </c>
      <c r="AE98" s="591" t="s">
        <v>510</v>
      </c>
      <c r="AF98" s="541" t="s">
        <v>1228</v>
      </c>
      <c r="AG98" s="541" t="s">
        <v>341</v>
      </c>
      <c r="AH98" s="541" t="s">
        <v>1133</v>
      </c>
      <c r="AI98" s="541" t="s">
        <v>1233</v>
      </c>
      <c r="AJ98" s="541" t="s">
        <v>510</v>
      </c>
      <c r="AK98" s="541" t="s">
        <v>1133</v>
      </c>
      <c r="AL98" s="541"/>
      <c r="AM98" s="541" t="s">
        <v>1334</v>
      </c>
      <c r="AN98" s="591"/>
      <c r="AO98" s="544">
        <v>1.67</v>
      </c>
      <c r="AP98" s="545">
        <f t="shared" si="13"/>
        <v>7535.04</v>
      </c>
      <c r="AQ98" s="545">
        <f t="shared" si="14"/>
        <v>58396.56</v>
      </c>
      <c r="AR98" s="546"/>
      <c r="AS98" s="538"/>
      <c r="AT98" s="538" t="s">
        <v>1310</v>
      </c>
      <c r="AU98" s="584"/>
      <c r="AV98" s="548">
        <f t="shared" si="15"/>
        <v>-4512</v>
      </c>
      <c r="AW98" s="603"/>
      <c r="AX98" s="549"/>
      <c r="AY98" s="538"/>
      <c r="AZ98" s="538"/>
      <c r="BA98" s="538"/>
      <c r="BB98" s="538" t="str">
        <f t="shared" si="16"/>
        <v>Amazon</v>
      </c>
      <c r="BC98" s="538" t="str">
        <f t="shared" si="17"/>
        <v>加拿大</v>
      </c>
    </row>
    <row r="99" s="496" customFormat="1" customHeight="1" spans="1:55">
      <c r="A99" s="527">
        <v>46139</v>
      </c>
      <c r="B99" s="527" t="str">
        <f ca="1" t="shared" si="10"/>
        <v/>
      </c>
      <c r="C99" s="346" t="str">
        <f>VLOOKUP(H99,名称!A:E,4,0)</f>
        <v>三代</v>
      </c>
      <c r="D99" s="588" t="s">
        <v>1330</v>
      </c>
      <c r="E99" s="588" t="s">
        <v>1325</v>
      </c>
      <c r="F99" s="588" t="s">
        <v>785</v>
      </c>
      <c r="G99" s="588" t="s">
        <v>786</v>
      </c>
      <c r="H99" s="588" t="s">
        <v>168</v>
      </c>
      <c r="I99" s="346"/>
      <c r="J99" s="589">
        <v>2208</v>
      </c>
      <c r="K99" s="347">
        <v>6</v>
      </c>
      <c r="L99" s="348">
        <f t="shared" si="11"/>
        <v>13248</v>
      </c>
      <c r="M99" s="346">
        <v>6</v>
      </c>
      <c r="N99" s="348">
        <f t="shared" si="12"/>
        <v>368</v>
      </c>
      <c r="O99" s="587">
        <v>46200</v>
      </c>
      <c r="P99" s="536">
        <v>46213</v>
      </c>
      <c r="Q99" s="536">
        <v>46213</v>
      </c>
      <c r="R99" s="404" t="s">
        <v>1331</v>
      </c>
      <c r="S99" s="536" t="s">
        <v>1133</v>
      </c>
      <c r="T99" s="568"/>
      <c r="U99" s="568"/>
      <c r="V99" s="346"/>
      <c r="W99" s="348" t="str">
        <f>IFERROR(VLOOKUP(H99,名称!A:F,6,0),"")</f>
        <v>东莞</v>
      </c>
      <c r="X99" s="588" t="s">
        <v>1332</v>
      </c>
      <c r="Y99" s="346" t="s">
        <v>1233</v>
      </c>
      <c r="Z99" s="569">
        <v>46163</v>
      </c>
      <c r="AA99" s="570">
        <v>46172</v>
      </c>
      <c r="AB99" s="569">
        <v>46189</v>
      </c>
      <c r="AC99" s="346" t="s">
        <v>1333</v>
      </c>
      <c r="AD99" s="346" t="s">
        <v>1228</v>
      </c>
      <c r="AE99" s="588" t="s">
        <v>510</v>
      </c>
      <c r="AF99" s="346" t="s">
        <v>1228</v>
      </c>
      <c r="AG99" s="568" t="s">
        <v>341</v>
      </c>
      <c r="AH99" s="346" t="s">
        <v>1133</v>
      </c>
      <c r="AI99" s="568" t="s">
        <v>1228</v>
      </c>
      <c r="AJ99" s="568" t="s">
        <v>1133</v>
      </c>
      <c r="AK99" s="568" t="s">
        <v>1133</v>
      </c>
      <c r="AL99" s="346"/>
      <c r="AM99" s="568" t="s">
        <v>1334</v>
      </c>
      <c r="AN99" s="588"/>
      <c r="AO99" s="531">
        <v>1.56</v>
      </c>
      <c r="AP99" s="532">
        <f t="shared" si="13"/>
        <v>3444.48</v>
      </c>
      <c r="AQ99" s="532">
        <f t="shared" si="14"/>
        <v>26694.72</v>
      </c>
      <c r="AR99" s="533"/>
      <c r="AS99" s="527"/>
      <c r="AT99" s="527" t="s">
        <v>1310</v>
      </c>
      <c r="AU99" s="537"/>
      <c r="AV99" s="535">
        <f t="shared" si="15"/>
        <v>-2208</v>
      </c>
      <c r="AW99" s="535"/>
      <c r="AX99" s="536"/>
      <c r="AY99" s="527"/>
      <c r="AZ99" s="527"/>
      <c r="BA99" s="527"/>
      <c r="BB99" s="527" t="str">
        <f t="shared" si="16"/>
        <v>Amazon</v>
      </c>
      <c r="BC99" s="527" t="str">
        <f t="shared" si="17"/>
        <v>加拿大</v>
      </c>
    </row>
    <row r="100" s="496" customFormat="1" customHeight="1" spans="1:55">
      <c r="A100" s="527">
        <v>46139</v>
      </c>
      <c r="B100" s="527" t="str">
        <f ca="1" t="shared" si="10"/>
        <v/>
      </c>
      <c r="C100" s="346" t="str">
        <f>VLOOKUP(H100,名称!A:E,4,0)</f>
        <v>三代</v>
      </c>
      <c r="D100" s="588" t="s">
        <v>1330</v>
      </c>
      <c r="E100" s="588" t="s">
        <v>1325</v>
      </c>
      <c r="F100" s="588" t="s">
        <v>785</v>
      </c>
      <c r="G100" s="588" t="s">
        <v>786</v>
      </c>
      <c r="H100" s="588" t="s">
        <v>169</v>
      </c>
      <c r="I100" s="346"/>
      <c r="J100" s="589">
        <v>2208</v>
      </c>
      <c r="K100" s="347">
        <f>VLOOKUP(H100,名称!A:C,2,0)</f>
        <v>12</v>
      </c>
      <c r="L100" s="348">
        <f t="shared" si="11"/>
        <v>26496</v>
      </c>
      <c r="M100" s="346">
        <v>6</v>
      </c>
      <c r="N100" s="348">
        <f t="shared" si="12"/>
        <v>368</v>
      </c>
      <c r="O100" s="587">
        <v>46200</v>
      </c>
      <c r="P100" s="536">
        <v>46213</v>
      </c>
      <c r="Q100" s="536">
        <v>46213</v>
      </c>
      <c r="R100" s="404" t="s">
        <v>1331</v>
      </c>
      <c r="S100" s="536" t="s">
        <v>1133</v>
      </c>
      <c r="T100" s="346"/>
      <c r="U100" s="568"/>
      <c r="V100" s="346"/>
      <c r="W100" s="348" t="str">
        <f>IFERROR(VLOOKUP(H100,名称!A:F,6,0),"")</f>
        <v>东莞</v>
      </c>
      <c r="X100" s="568" t="s">
        <v>1332</v>
      </c>
      <c r="Y100" s="568" t="s">
        <v>1233</v>
      </c>
      <c r="Z100" s="569">
        <v>46163</v>
      </c>
      <c r="AA100" s="570">
        <v>46172</v>
      </c>
      <c r="AB100" s="569">
        <v>46189</v>
      </c>
      <c r="AC100" s="568" t="s">
        <v>1333</v>
      </c>
      <c r="AD100" s="568" t="s">
        <v>1228</v>
      </c>
      <c r="AE100" s="588" t="s">
        <v>510</v>
      </c>
      <c r="AF100" s="568" t="s">
        <v>1228</v>
      </c>
      <c r="AG100" s="568" t="s">
        <v>341</v>
      </c>
      <c r="AH100" s="568" t="s">
        <v>1133</v>
      </c>
      <c r="AI100" s="568" t="s">
        <v>1228</v>
      </c>
      <c r="AJ100" s="568" t="s">
        <v>1133</v>
      </c>
      <c r="AK100" s="568" t="s">
        <v>1133</v>
      </c>
      <c r="AL100" s="568"/>
      <c r="AM100" s="568" t="s">
        <v>1334</v>
      </c>
      <c r="AN100" s="588"/>
      <c r="AO100" s="531">
        <v>1.56</v>
      </c>
      <c r="AP100" s="532">
        <f t="shared" si="13"/>
        <v>3444.48</v>
      </c>
      <c r="AQ100" s="532">
        <f t="shared" si="14"/>
        <v>26694.72</v>
      </c>
      <c r="AR100" s="533"/>
      <c r="AS100" s="527"/>
      <c r="AT100" s="527" t="s">
        <v>1310</v>
      </c>
      <c r="AU100" s="537"/>
      <c r="AV100" s="535">
        <f t="shared" si="15"/>
        <v>-2208</v>
      </c>
      <c r="AW100" s="535"/>
      <c r="AX100" s="536"/>
      <c r="AY100" s="527"/>
      <c r="AZ100" s="527"/>
      <c r="BA100" s="527"/>
      <c r="BB100" s="527" t="str">
        <f t="shared" si="16"/>
        <v>Amazon</v>
      </c>
      <c r="BC100" s="527" t="str">
        <f t="shared" si="17"/>
        <v>加拿大</v>
      </c>
    </row>
    <row r="101" s="496" customFormat="1" customHeight="1" spans="1:55">
      <c r="A101" s="527">
        <v>46139</v>
      </c>
      <c r="B101" s="527" t="str">
        <f ca="1" t="shared" si="10"/>
        <v/>
      </c>
      <c r="C101" s="346" t="str">
        <f>VLOOKUP(H101,名称!A:E,4,0)</f>
        <v>三代</v>
      </c>
      <c r="D101" s="588" t="s">
        <v>1330</v>
      </c>
      <c r="E101" s="588" t="s">
        <v>1325</v>
      </c>
      <c r="F101" s="588" t="s">
        <v>785</v>
      </c>
      <c r="G101" s="588" t="s">
        <v>786</v>
      </c>
      <c r="H101" s="588" t="s">
        <v>170</v>
      </c>
      <c r="I101" s="346"/>
      <c r="J101" s="589">
        <v>2208</v>
      </c>
      <c r="K101" s="347">
        <f>VLOOKUP(H101,名称!A:C,2,0)</f>
        <v>12</v>
      </c>
      <c r="L101" s="348">
        <f t="shared" si="11"/>
        <v>26496</v>
      </c>
      <c r="M101" s="346">
        <v>6</v>
      </c>
      <c r="N101" s="348">
        <f t="shared" si="12"/>
        <v>368</v>
      </c>
      <c r="O101" s="587">
        <v>46200</v>
      </c>
      <c r="P101" s="536">
        <v>46213</v>
      </c>
      <c r="Q101" s="536">
        <v>46213</v>
      </c>
      <c r="R101" s="404" t="s">
        <v>1331</v>
      </c>
      <c r="S101" s="536" t="s">
        <v>1133</v>
      </c>
      <c r="T101" s="346"/>
      <c r="U101" s="568"/>
      <c r="V101" s="346"/>
      <c r="W101" s="348" t="str">
        <f>IFERROR(VLOOKUP(H101,名称!A:F,6,0),"")</f>
        <v>东莞</v>
      </c>
      <c r="X101" s="588" t="s">
        <v>1332</v>
      </c>
      <c r="Y101" s="346" t="s">
        <v>1233</v>
      </c>
      <c r="Z101" s="569">
        <v>46163</v>
      </c>
      <c r="AA101" s="570">
        <v>46172</v>
      </c>
      <c r="AB101" s="569">
        <v>46189</v>
      </c>
      <c r="AC101" s="568" t="s">
        <v>1333</v>
      </c>
      <c r="AD101" s="568" t="s">
        <v>1228</v>
      </c>
      <c r="AE101" s="588" t="s">
        <v>510</v>
      </c>
      <c r="AF101" s="568" t="s">
        <v>1228</v>
      </c>
      <c r="AG101" s="568" t="s">
        <v>341</v>
      </c>
      <c r="AH101" s="568" t="s">
        <v>1133</v>
      </c>
      <c r="AI101" s="568" t="s">
        <v>1233</v>
      </c>
      <c r="AJ101" s="568" t="s">
        <v>1133</v>
      </c>
      <c r="AK101" s="568" t="s">
        <v>1133</v>
      </c>
      <c r="AL101" s="568"/>
      <c r="AM101" s="568" t="s">
        <v>1334</v>
      </c>
      <c r="AN101" s="588"/>
      <c r="AO101" s="531">
        <v>1.56</v>
      </c>
      <c r="AP101" s="532">
        <f t="shared" si="13"/>
        <v>3444.48</v>
      </c>
      <c r="AQ101" s="532">
        <f t="shared" si="14"/>
        <v>26694.72</v>
      </c>
      <c r="AR101" s="533"/>
      <c r="AS101" s="527"/>
      <c r="AT101" s="527" t="s">
        <v>1310</v>
      </c>
      <c r="AU101" s="537"/>
      <c r="AV101" s="535">
        <f t="shared" si="15"/>
        <v>-2208</v>
      </c>
      <c r="AW101" s="535"/>
      <c r="AX101" s="536"/>
      <c r="AY101" s="527"/>
      <c r="AZ101" s="527"/>
      <c r="BA101" s="527"/>
      <c r="BB101" s="527" t="str">
        <f t="shared" si="16"/>
        <v>Amazon</v>
      </c>
      <c r="BC101" s="527" t="str">
        <f t="shared" si="17"/>
        <v>加拿大</v>
      </c>
    </row>
    <row r="102" s="495" customFormat="1" customHeight="1" spans="1:55">
      <c r="A102" s="538">
        <v>46139</v>
      </c>
      <c r="B102" s="538" t="str">
        <f ca="1" t="shared" si="10"/>
        <v/>
      </c>
      <c r="C102" s="539" t="str">
        <f>VLOOKUP(H102,名称!A:E,4,0)</f>
        <v>三代</v>
      </c>
      <c r="D102" s="591" t="s">
        <v>1330</v>
      </c>
      <c r="E102" s="591" t="s">
        <v>1336</v>
      </c>
      <c r="F102" s="591" t="s">
        <v>787</v>
      </c>
      <c r="G102" s="591" t="s">
        <v>788</v>
      </c>
      <c r="H102" s="591" t="s">
        <v>201</v>
      </c>
      <c r="I102" s="118"/>
      <c r="J102" s="593">
        <f>192-12</f>
        <v>180</v>
      </c>
      <c r="K102" s="92">
        <f>VLOOKUP(H102,名称!A:C,2,0)</f>
        <v>0</v>
      </c>
      <c r="L102" s="32">
        <f t="shared" si="11"/>
        <v>0</v>
      </c>
      <c r="M102" s="604">
        <f>VLOOKUP(H102,名称!A:E,3,0)</f>
        <v>60</v>
      </c>
      <c r="N102" s="518">
        <f t="shared" si="12"/>
        <v>3</v>
      </c>
      <c r="O102" s="590">
        <v>46199</v>
      </c>
      <c r="P102" s="549">
        <v>46272</v>
      </c>
      <c r="Q102" s="549">
        <v>46272</v>
      </c>
      <c r="R102" s="539"/>
      <c r="S102" s="549" t="s">
        <v>1133</v>
      </c>
      <c r="T102" s="539"/>
      <c r="U102" s="541"/>
      <c r="V102" s="539"/>
      <c r="W102" s="518" t="str">
        <f>IFERROR(VLOOKUP(H102,名称!A:F,6,0),"")</f>
        <v>湖南</v>
      </c>
      <c r="X102" s="541" t="s">
        <v>1332</v>
      </c>
      <c r="Y102" s="541" t="s">
        <v>1233</v>
      </c>
      <c r="Z102" s="567">
        <v>46163</v>
      </c>
      <c r="AA102" s="552">
        <v>46172</v>
      </c>
      <c r="AB102" s="431" t="s">
        <v>1233</v>
      </c>
      <c r="AC102" s="541" t="s">
        <v>1333</v>
      </c>
      <c r="AD102" s="541" t="s">
        <v>1233</v>
      </c>
      <c r="AE102" s="591" t="s">
        <v>510</v>
      </c>
      <c r="AF102" s="541" t="s">
        <v>1228</v>
      </c>
      <c r="AG102" s="541" t="s">
        <v>341</v>
      </c>
      <c r="AH102" s="541" t="s">
        <v>1133</v>
      </c>
      <c r="AI102" s="541" t="s">
        <v>1233</v>
      </c>
      <c r="AJ102" s="541" t="s">
        <v>1133</v>
      </c>
      <c r="AK102" s="541" t="s">
        <v>1133</v>
      </c>
      <c r="AL102" s="541"/>
      <c r="AM102" s="541" t="s">
        <v>1334</v>
      </c>
      <c r="AN102" s="591"/>
      <c r="AO102" s="544">
        <v>1.58</v>
      </c>
      <c r="AP102" s="545">
        <f t="shared" si="13"/>
        <v>284.4</v>
      </c>
      <c r="AQ102" s="545">
        <f t="shared" si="14"/>
        <v>2204.1</v>
      </c>
      <c r="AR102" s="546"/>
      <c r="AS102" s="538"/>
      <c r="AT102" s="538" t="s">
        <v>1310</v>
      </c>
      <c r="AU102" s="584"/>
      <c r="AV102" s="548">
        <f t="shared" si="15"/>
        <v>-180</v>
      </c>
      <c r="AW102" s="548"/>
      <c r="AX102" s="549"/>
      <c r="AY102" s="538" t="s">
        <v>1317</v>
      </c>
      <c r="AZ102" s="538" t="s">
        <v>1337</v>
      </c>
      <c r="BA102" s="538"/>
      <c r="BB102" s="538" t="str">
        <f t="shared" si="16"/>
        <v>Amazon</v>
      </c>
      <c r="BC102" s="538" t="str">
        <f t="shared" si="17"/>
        <v>美国(空运)</v>
      </c>
    </row>
    <row r="103" s="496" customFormat="1" customHeight="1" spans="1:55">
      <c r="A103" s="527">
        <v>46139</v>
      </c>
      <c r="B103" s="527" t="str">
        <f ca="1" t="shared" si="10"/>
        <v/>
      </c>
      <c r="C103" s="346" t="str">
        <f>VLOOKUP(H103,名称!A:E,4,0)</f>
        <v>三代</v>
      </c>
      <c r="D103" s="588" t="s">
        <v>1330</v>
      </c>
      <c r="E103" s="588" t="s">
        <v>1338</v>
      </c>
      <c r="F103" s="588" t="s">
        <v>789</v>
      </c>
      <c r="G103" s="588" t="s">
        <v>790</v>
      </c>
      <c r="H103" s="588" t="s">
        <v>132</v>
      </c>
      <c r="I103" s="346"/>
      <c r="J103" s="589">
        <v>360</v>
      </c>
      <c r="K103" s="347">
        <f>VLOOKUP(H103,名称!A:C,2,0)</f>
        <v>0</v>
      </c>
      <c r="L103" s="348">
        <f t="shared" si="11"/>
        <v>0</v>
      </c>
      <c r="M103" s="346">
        <f>VLOOKUP(H103,名称!A:E,3,0)</f>
        <v>12</v>
      </c>
      <c r="N103" s="348">
        <f t="shared" si="12"/>
        <v>30</v>
      </c>
      <c r="O103" s="587">
        <v>46200</v>
      </c>
      <c r="P103" s="536">
        <v>46216</v>
      </c>
      <c r="Q103" s="536">
        <v>46216</v>
      </c>
      <c r="R103" s="404" t="s">
        <v>1331</v>
      </c>
      <c r="S103" s="536" t="s">
        <v>1133</v>
      </c>
      <c r="T103" s="346"/>
      <c r="U103" s="568"/>
      <c r="V103" s="346"/>
      <c r="W103" s="348" t="str">
        <f>IFERROR(VLOOKUP(H103,名称!A:F,6,0),"")</f>
        <v>东莞</v>
      </c>
      <c r="X103" s="588" t="s">
        <v>1332</v>
      </c>
      <c r="Y103" s="346" t="s">
        <v>1233</v>
      </c>
      <c r="Z103" s="569">
        <v>46163</v>
      </c>
      <c r="AA103" s="570">
        <v>46172</v>
      </c>
      <c r="AB103" s="569">
        <v>46189</v>
      </c>
      <c r="AC103" s="568" t="s">
        <v>1133</v>
      </c>
      <c r="AD103" s="568" t="s">
        <v>1133</v>
      </c>
      <c r="AE103" s="588" t="s">
        <v>510</v>
      </c>
      <c r="AF103" s="568" t="s">
        <v>1228</v>
      </c>
      <c r="AG103" s="568" t="s">
        <v>1133</v>
      </c>
      <c r="AH103" s="568" t="s">
        <v>1133</v>
      </c>
      <c r="AI103" s="568" t="s">
        <v>1133</v>
      </c>
      <c r="AJ103" s="568" t="s">
        <v>1133</v>
      </c>
      <c r="AK103" s="568" t="s">
        <v>1339</v>
      </c>
      <c r="AL103" s="568"/>
      <c r="AM103" s="568" t="s">
        <v>1334</v>
      </c>
      <c r="AN103" s="588"/>
      <c r="AO103" s="531">
        <v>0.6</v>
      </c>
      <c r="AP103" s="532">
        <f t="shared" si="13"/>
        <v>216</v>
      </c>
      <c r="AQ103" s="532">
        <f t="shared" si="14"/>
        <v>1674</v>
      </c>
      <c r="AR103" s="533"/>
      <c r="AS103" s="527"/>
      <c r="AT103" s="403" t="s">
        <v>1220</v>
      </c>
      <c r="AU103" s="537"/>
      <c r="AV103" s="535">
        <f t="shared" si="15"/>
        <v>-360</v>
      </c>
      <c r="AW103" s="535"/>
      <c r="AX103" s="536"/>
      <c r="AY103" s="527"/>
      <c r="AZ103" s="527"/>
      <c r="BA103" s="527"/>
      <c r="BB103" s="527" t="str">
        <f t="shared" si="16"/>
        <v>Amazon</v>
      </c>
      <c r="BC103" s="527" t="str">
        <f t="shared" si="17"/>
        <v>美国FBA</v>
      </c>
    </row>
    <row r="104" s="496" customFormat="1" customHeight="1" spans="1:55">
      <c r="A104" s="527">
        <v>46139</v>
      </c>
      <c r="B104" s="527" t="str">
        <f ca="1" t="shared" si="10"/>
        <v/>
      </c>
      <c r="C104" s="346" t="str">
        <f>VLOOKUP(H104,名称!A:E,4,0)</f>
        <v>三代</v>
      </c>
      <c r="D104" s="588" t="s">
        <v>1330</v>
      </c>
      <c r="E104" s="588" t="s">
        <v>1338</v>
      </c>
      <c r="F104" s="588" t="s">
        <v>789</v>
      </c>
      <c r="G104" s="588" t="s">
        <v>790</v>
      </c>
      <c r="H104" s="588" t="s">
        <v>133</v>
      </c>
      <c r="I104" s="346"/>
      <c r="J104" s="589">
        <v>360</v>
      </c>
      <c r="K104" s="347">
        <f>VLOOKUP(H104,名称!A:C,2,0)</f>
        <v>0</v>
      </c>
      <c r="L104" s="348">
        <f t="shared" si="11"/>
        <v>0</v>
      </c>
      <c r="M104" s="346">
        <f>VLOOKUP(H104,名称!A:E,3,0)</f>
        <v>12</v>
      </c>
      <c r="N104" s="348">
        <f t="shared" si="12"/>
        <v>30</v>
      </c>
      <c r="O104" s="587">
        <v>46200</v>
      </c>
      <c r="P104" s="536">
        <v>46216</v>
      </c>
      <c r="Q104" s="536">
        <v>46216</v>
      </c>
      <c r="R104" s="404" t="s">
        <v>1331</v>
      </c>
      <c r="S104" s="536" t="s">
        <v>1133</v>
      </c>
      <c r="T104" s="346"/>
      <c r="U104" s="568"/>
      <c r="V104" s="346"/>
      <c r="W104" s="348" t="str">
        <f>IFERROR(VLOOKUP(H104,名称!A:F,6,0),"")</f>
        <v>东莞</v>
      </c>
      <c r="X104" s="588" t="s">
        <v>1332</v>
      </c>
      <c r="Y104" s="346" t="s">
        <v>1233</v>
      </c>
      <c r="Z104" s="569">
        <v>46163</v>
      </c>
      <c r="AA104" s="570">
        <v>46172</v>
      </c>
      <c r="AB104" s="569">
        <v>46189</v>
      </c>
      <c r="AC104" s="568" t="s">
        <v>1133</v>
      </c>
      <c r="AD104" s="568" t="s">
        <v>1133</v>
      </c>
      <c r="AE104" s="588" t="s">
        <v>510</v>
      </c>
      <c r="AF104" s="568" t="s">
        <v>1228</v>
      </c>
      <c r="AG104" s="568" t="s">
        <v>1133</v>
      </c>
      <c r="AH104" s="568" t="s">
        <v>1133</v>
      </c>
      <c r="AI104" s="568" t="s">
        <v>1133</v>
      </c>
      <c r="AJ104" s="568" t="s">
        <v>1133</v>
      </c>
      <c r="AK104" s="568" t="s">
        <v>1339</v>
      </c>
      <c r="AL104" s="568"/>
      <c r="AM104" s="568" t="s">
        <v>1334</v>
      </c>
      <c r="AN104" s="588"/>
      <c r="AO104" s="531">
        <v>0.6</v>
      </c>
      <c r="AP104" s="532">
        <f t="shared" si="13"/>
        <v>216</v>
      </c>
      <c r="AQ104" s="532">
        <f t="shared" si="14"/>
        <v>1674</v>
      </c>
      <c r="AR104" s="533"/>
      <c r="AS104" s="527"/>
      <c r="AT104" s="403" t="s">
        <v>1220</v>
      </c>
      <c r="AU104" s="537"/>
      <c r="AV104" s="535">
        <f t="shared" si="15"/>
        <v>-360</v>
      </c>
      <c r="AW104" s="219" t="s">
        <v>1228</v>
      </c>
      <c r="AX104" s="536"/>
      <c r="AY104" s="527"/>
      <c r="AZ104" s="527"/>
      <c r="BA104" s="527"/>
      <c r="BB104" s="527" t="str">
        <f t="shared" si="16"/>
        <v>Amazon</v>
      </c>
      <c r="BC104" s="527" t="str">
        <f t="shared" si="17"/>
        <v>美国FBA</v>
      </c>
    </row>
    <row r="105" s="496" customFormat="1" customHeight="1" spans="1:55">
      <c r="A105" s="527">
        <v>46139</v>
      </c>
      <c r="B105" s="527" t="str">
        <f ca="1" t="shared" si="10"/>
        <v/>
      </c>
      <c r="C105" s="346" t="str">
        <f>VLOOKUP(H105,名称!A:E,4,0)</f>
        <v>三代</v>
      </c>
      <c r="D105" s="588" t="s">
        <v>1330</v>
      </c>
      <c r="E105" s="588" t="s">
        <v>1338</v>
      </c>
      <c r="F105" s="588" t="s">
        <v>789</v>
      </c>
      <c r="G105" s="588" t="s">
        <v>790</v>
      </c>
      <c r="H105" s="588" t="s">
        <v>134</v>
      </c>
      <c r="I105" s="346"/>
      <c r="J105" s="589">
        <v>360</v>
      </c>
      <c r="K105" s="347">
        <f>VLOOKUP(H105,名称!A:C,2,0)</f>
        <v>0</v>
      </c>
      <c r="L105" s="348">
        <f t="shared" si="11"/>
        <v>0</v>
      </c>
      <c r="M105" s="346">
        <f>VLOOKUP(H105,名称!A:E,3,0)</f>
        <v>12</v>
      </c>
      <c r="N105" s="348">
        <f t="shared" si="12"/>
        <v>30</v>
      </c>
      <c r="O105" s="587">
        <v>46200</v>
      </c>
      <c r="P105" s="536">
        <v>46216</v>
      </c>
      <c r="Q105" s="536">
        <v>46216</v>
      </c>
      <c r="R105" s="404" t="s">
        <v>1331</v>
      </c>
      <c r="S105" s="536" t="s">
        <v>1133</v>
      </c>
      <c r="T105" s="346"/>
      <c r="U105" s="568"/>
      <c r="V105" s="346"/>
      <c r="W105" s="348" t="str">
        <f>IFERROR(VLOOKUP(H105,名称!A:F,6,0),"")</f>
        <v>东莞</v>
      </c>
      <c r="X105" s="588" t="s">
        <v>1332</v>
      </c>
      <c r="Y105" s="346" t="s">
        <v>1233</v>
      </c>
      <c r="Z105" s="569">
        <v>46163</v>
      </c>
      <c r="AA105" s="570">
        <v>46172</v>
      </c>
      <c r="AB105" s="569">
        <v>46189</v>
      </c>
      <c r="AC105" s="568" t="s">
        <v>1133</v>
      </c>
      <c r="AD105" s="568" t="s">
        <v>1133</v>
      </c>
      <c r="AE105" s="588" t="s">
        <v>510</v>
      </c>
      <c r="AF105" s="568" t="s">
        <v>1228</v>
      </c>
      <c r="AG105" s="568" t="s">
        <v>1133</v>
      </c>
      <c r="AH105" s="568" t="s">
        <v>1133</v>
      </c>
      <c r="AI105" s="568" t="s">
        <v>1133</v>
      </c>
      <c r="AJ105" s="568" t="s">
        <v>1133</v>
      </c>
      <c r="AK105" s="568" t="s">
        <v>1339</v>
      </c>
      <c r="AL105" s="568"/>
      <c r="AM105" s="568" t="s">
        <v>1334</v>
      </c>
      <c r="AN105" s="588"/>
      <c r="AO105" s="531">
        <v>0.6</v>
      </c>
      <c r="AP105" s="532">
        <f t="shared" si="13"/>
        <v>216</v>
      </c>
      <c r="AQ105" s="532">
        <f t="shared" si="14"/>
        <v>1674</v>
      </c>
      <c r="AR105" s="533"/>
      <c r="AS105" s="527"/>
      <c r="AT105" s="403" t="s">
        <v>1220</v>
      </c>
      <c r="AU105" s="537"/>
      <c r="AV105" s="535">
        <f t="shared" si="15"/>
        <v>-360</v>
      </c>
      <c r="AW105" s="219" t="s">
        <v>1228</v>
      </c>
      <c r="AX105" s="536"/>
      <c r="AY105" s="527"/>
      <c r="AZ105" s="527"/>
      <c r="BA105" s="527"/>
      <c r="BB105" s="527" t="str">
        <f t="shared" si="16"/>
        <v>Amazon</v>
      </c>
      <c r="BC105" s="527" t="str">
        <f t="shared" si="17"/>
        <v>美国FBA</v>
      </c>
    </row>
    <row r="106" s="496" customFormat="1" customHeight="1" spans="1:55">
      <c r="A106" s="527">
        <v>46139</v>
      </c>
      <c r="B106" s="527" t="str">
        <f ca="1" t="shared" si="10"/>
        <v/>
      </c>
      <c r="C106" s="346" t="str">
        <f>VLOOKUP(H106,名称!A:E,4,0)</f>
        <v>三代</v>
      </c>
      <c r="D106" s="588" t="s">
        <v>1330</v>
      </c>
      <c r="E106" s="588" t="s">
        <v>1338</v>
      </c>
      <c r="F106" s="588" t="s">
        <v>789</v>
      </c>
      <c r="G106" s="588" t="s">
        <v>790</v>
      </c>
      <c r="H106" s="588" t="s">
        <v>135</v>
      </c>
      <c r="I106" s="346"/>
      <c r="J106" s="589">
        <v>360</v>
      </c>
      <c r="K106" s="347">
        <f>VLOOKUP(H106,名称!A:C,2,0)</f>
        <v>0</v>
      </c>
      <c r="L106" s="348">
        <f t="shared" si="11"/>
        <v>0</v>
      </c>
      <c r="M106" s="346">
        <f>VLOOKUP(H106,名称!A:E,3,0)</f>
        <v>12</v>
      </c>
      <c r="N106" s="348">
        <f t="shared" si="12"/>
        <v>30</v>
      </c>
      <c r="O106" s="587">
        <v>46200</v>
      </c>
      <c r="P106" s="536">
        <v>46216</v>
      </c>
      <c r="Q106" s="536">
        <v>46216</v>
      </c>
      <c r="R106" s="404" t="s">
        <v>1331</v>
      </c>
      <c r="S106" s="536" t="s">
        <v>1133</v>
      </c>
      <c r="T106" s="346"/>
      <c r="U106" s="568"/>
      <c r="V106" s="346"/>
      <c r="W106" s="348" t="str">
        <f>IFERROR(VLOOKUP(H106,名称!A:F,6,0),"")</f>
        <v>东莞</v>
      </c>
      <c r="X106" s="588" t="s">
        <v>1332</v>
      </c>
      <c r="Y106" s="346" t="s">
        <v>1233</v>
      </c>
      <c r="Z106" s="569">
        <v>46163</v>
      </c>
      <c r="AA106" s="570">
        <v>46172</v>
      </c>
      <c r="AB106" s="569">
        <v>46189</v>
      </c>
      <c r="AC106" s="568" t="s">
        <v>1133</v>
      </c>
      <c r="AD106" s="568" t="s">
        <v>1133</v>
      </c>
      <c r="AE106" s="588" t="s">
        <v>510</v>
      </c>
      <c r="AF106" s="568" t="s">
        <v>1228</v>
      </c>
      <c r="AG106" s="568" t="s">
        <v>1133</v>
      </c>
      <c r="AH106" s="568" t="s">
        <v>1133</v>
      </c>
      <c r="AI106" s="568" t="s">
        <v>1133</v>
      </c>
      <c r="AJ106" s="568" t="s">
        <v>1133</v>
      </c>
      <c r="AK106" s="568" t="s">
        <v>1339</v>
      </c>
      <c r="AL106" s="568"/>
      <c r="AM106" s="568" t="s">
        <v>1334</v>
      </c>
      <c r="AN106" s="588"/>
      <c r="AO106" s="531">
        <v>0.6</v>
      </c>
      <c r="AP106" s="532">
        <f t="shared" si="13"/>
        <v>216</v>
      </c>
      <c r="AQ106" s="532">
        <f t="shared" si="14"/>
        <v>1674</v>
      </c>
      <c r="AR106" s="533"/>
      <c r="AS106" s="527"/>
      <c r="AT106" s="403" t="s">
        <v>1220</v>
      </c>
      <c r="AU106" s="537"/>
      <c r="AV106" s="535">
        <f t="shared" si="15"/>
        <v>-360</v>
      </c>
      <c r="AW106" s="219" t="s">
        <v>1228</v>
      </c>
      <c r="AX106" s="536"/>
      <c r="AY106" s="527"/>
      <c r="AZ106" s="527"/>
      <c r="BA106" s="527"/>
      <c r="BB106" s="527" t="str">
        <f t="shared" si="16"/>
        <v>Amazon</v>
      </c>
      <c r="BC106" s="527" t="str">
        <f t="shared" si="17"/>
        <v>美国FBA</v>
      </c>
    </row>
    <row r="107" s="496" customFormat="1" customHeight="1" spans="1:55">
      <c r="A107" s="527">
        <v>46139</v>
      </c>
      <c r="B107" s="527" t="str">
        <f ca="1" t="shared" si="10"/>
        <v/>
      </c>
      <c r="C107" s="346" t="str">
        <f>VLOOKUP(H107,名称!A:E,4,0)</f>
        <v>三代</v>
      </c>
      <c r="D107" s="588" t="s">
        <v>1330</v>
      </c>
      <c r="E107" s="588" t="s">
        <v>1338</v>
      </c>
      <c r="F107" s="588" t="s">
        <v>789</v>
      </c>
      <c r="G107" s="588" t="s">
        <v>790</v>
      </c>
      <c r="H107" s="588" t="s">
        <v>137</v>
      </c>
      <c r="I107" s="346"/>
      <c r="J107" s="589">
        <v>2160</v>
      </c>
      <c r="K107" s="347">
        <f>VLOOKUP(H107,名称!A:C,2,0)</f>
        <v>5</v>
      </c>
      <c r="L107" s="348">
        <f t="shared" si="11"/>
        <v>10800</v>
      </c>
      <c r="M107" s="346">
        <f>VLOOKUP(H107,名称!A:E,3,0)</f>
        <v>144</v>
      </c>
      <c r="N107" s="348">
        <f t="shared" si="12"/>
        <v>15</v>
      </c>
      <c r="O107" s="587">
        <v>46200</v>
      </c>
      <c r="P107" s="536">
        <v>46216</v>
      </c>
      <c r="Q107" s="536">
        <v>46216</v>
      </c>
      <c r="R107" s="404" t="s">
        <v>1331</v>
      </c>
      <c r="S107" s="536" t="s">
        <v>1133</v>
      </c>
      <c r="T107" s="346"/>
      <c r="U107" s="568"/>
      <c r="V107" s="346"/>
      <c r="W107" s="348" t="str">
        <f>IFERROR(VLOOKUP(H107,名称!A:F,6,0),"")</f>
        <v>湖南</v>
      </c>
      <c r="X107" s="588" t="s">
        <v>1332</v>
      </c>
      <c r="Y107" s="346" t="s">
        <v>1233</v>
      </c>
      <c r="Z107" s="569">
        <v>46163</v>
      </c>
      <c r="AA107" s="570">
        <v>46172</v>
      </c>
      <c r="AB107" s="569">
        <v>46189</v>
      </c>
      <c r="AC107" s="568" t="s">
        <v>1333</v>
      </c>
      <c r="AD107" s="568" t="s">
        <v>1228</v>
      </c>
      <c r="AE107" s="588" t="s">
        <v>510</v>
      </c>
      <c r="AF107" s="568" t="s">
        <v>1228</v>
      </c>
      <c r="AG107" s="568" t="s">
        <v>341</v>
      </c>
      <c r="AH107" s="568" t="s">
        <v>1133</v>
      </c>
      <c r="AI107" s="568" t="s">
        <v>1228</v>
      </c>
      <c r="AJ107" s="568" t="s">
        <v>1133</v>
      </c>
      <c r="AK107" s="568" t="s">
        <v>1133</v>
      </c>
      <c r="AL107" s="568" t="s">
        <v>1233</v>
      </c>
      <c r="AM107" s="568" t="s">
        <v>1334</v>
      </c>
      <c r="AN107" s="588"/>
      <c r="AO107" s="531">
        <v>0.64</v>
      </c>
      <c r="AP107" s="532">
        <f t="shared" si="13"/>
        <v>1382.4</v>
      </c>
      <c r="AQ107" s="532">
        <f t="shared" si="14"/>
        <v>10713.6</v>
      </c>
      <c r="AR107" s="533"/>
      <c r="AS107" s="527"/>
      <c r="AT107" s="403" t="s">
        <v>1220</v>
      </c>
      <c r="AU107" s="537">
        <v>2160</v>
      </c>
      <c r="AV107" s="535">
        <f t="shared" si="15"/>
        <v>0</v>
      </c>
      <c r="AW107" s="605"/>
      <c r="AX107" s="413" t="s">
        <v>1280</v>
      </c>
      <c r="AY107" s="527"/>
      <c r="AZ107" s="527"/>
      <c r="BA107" s="527"/>
      <c r="BB107" s="403" t="str">
        <f t="shared" si="16"/>
        <v>Amazon</v>
      </c>
      <c r="BC107" s="403" t="str">
        <f t="shared" si="17"/>
        <v>美国FBA</v>
      </c>
    </row>
    <row r="108" s="496" customFormat="1" customHeight="1" spans="1:55">
      <c r="A108" s="527">
        <v>46139</v>
      </c>
      <c r="B108" s="527" t="str">
        <f ca="1" t="shared" si="10"/>
        <v/>
      </c>
      <c r="C108" s="346" t="str">
        <f>VLOOKUP(H108,名称!A:E,4,0)</f>
        <v>三代</v>
      </c>
      <c r="D108" s="588" t="s">
        <v>1330</v>
      </c>
      <c r="E108" s="588" t="s">
        <v>1338</v>
      </c>
      <c r="F108" s="588" t="s">
        <v>789</v>
      </c>
      <c r="G108" s="588" t="s">
        <v>790</v>
      </c>
      <c r="H108" s="588" t="s">
        <v>138</v>
      </c>
      <c r="I108" s="346"/>
      <c r="J108" s="589">
        <v>1152</v>
      </c>
      <c r="K108" s="347">
        <f>VLOOKUP(H108,名称!A:C,2,0)</f>
        <v>5</v>
      </c>
      <c r="L108" s="348">
        <f t="shared" si="11"/>
        <v>5760</v>
      </c>
      <c r="M108" s="346">
        <f>VLOOKUP(H108,名称!A:E,3,0)</f>
        <v>144</v>
      </c>
      <c r="N108" s="348">
        <f t="shared" si="12"/>
        <v>8</v>
      </c>
      <c r="O108" s="587">
        <v>46200</v>
      </c>
      <c r="P108" s="536">
        <v>46216</v>
      </c>
      <c r="Q108" s="536">
        <v>46216</v>
      </c>
      <c r="R108" s="404" t="s">
        <v>1331</v>
      </c>
      <c r="S108" s="536" t="s">
        <v>1133</v>
      </c>
      <c r="T108" s="346"/>
      <c r="U108" s="568"/>
      <c r="V108" s="346"/>
      <c r="W108" s="348" t="str">
        <f>IFERROR(VLOOKUP(H108,名称!A:F,6,0),"")</f>
        <v>湖南</v>
      </c>
      <c r="X108" s="568" t="s">
        <v>1332</v>
      </c>
      <c r="Y108" s="568" t="s">
        <v>1233</v>
      </c>
      <c r="Z108" s="569">
        <v>46163</v>
      </c>
      <c r="AA108" s="570">
        <v>46172</v>
      </c>
      <c r="AB108" s="569">
        <v>46189</v>
      </c>
      <c r="AC108" s="568" t="s">
        <v>1333</v>
      </c>
      <c r="AD108" s="568" t="s">
        <v>1228</v>
      </c>
      <c r="AE108" s="588" t="s">
        <v>510</v>
      </c>
      <c r="AF108" s="568" t="s">
        <v>1228</v>
      </c>
      <c r="AG108" s="568" t="s">
        <v>341</v>
      </c>
      <c r="AH108" s="568" t="s">
        <v>1133</v>
      </c>
      <c r="AI108" s="568" t="s">
        <v>1228</v>
      </c>
      <c r="AJ108" s="568" t="s">
        <v>1133</v>
      </c>
      <c r="AK108" s="568" t="s">
        <v>1133</v>
      </c>
      <c r="AL108" s="568" t="s">
        <v>1233</v>
      </c>
      <c r="AM108" s="568" t="s">
        <v>1334</v>
      </c>
      <c r="AN108" s="588"/>
      <c r="AO108" s="531">
        <v>0.64</v>
      </c>
      <c r="AP108" s="532">
        <f t="shared" si="13"/>
        <v>737.28</v>
      </c>
      <c r="AQ108" s="532">
        <f t="shared" si="14"/>
        <v>5713.92</v>
      </c>
      <c r="AR108" s="533"/>
      <c r="AS108" s="527"/>
      <c r="AT108" s="403" t="s">
        <v>1220</v>
      </c>
      <c r="AU108" s="537">
        <v>1152</v>
      </c>
      <c r="AV108" s="535">
        <f t="shared" si="15"/>
        <v>0</v>
      </c>
      <c r="AW108" s="605"/>
      <c r="AX108" s="413" t="s">
        <v>1280</v>
      </c>
      <c r="AY108" s="527"/>
      <c r="AZ108" s="527"/>
      <c r="BA108" s="527"/>
      <c r="BB108" s="403" t="str">
        <f t="shared" si="16"/>
        <v>Amazon</v>
      </c>
      <c r="BC108" s="403" t="str">
        <f t="shared" si="17"/>
        <v>美国FBA</v>
      </c>
    </row>
    <row r="109" s="496" customFormat="1" customHeight="1" spans="1:55">
      <c r="A109" s="527">
        <v>46139</v>
      </c>
      <c r="B109" s="527" t="str">
        <f ca="1" t="shared" si="10"/>
        <v/>
      </c>
      <c r="C109" s="346" t="str">
        <f>VLOOKUP(H109,名称!A:E,4,0)</f>
        <v>三代</v>
      </c>
      <c r="D109" s="588" t="s">
        <v>1330</v>
      </c>
      <c r="E109" s="588" t="s">
        <v>1338</v>
      </c>
      <c r="F109" s="588" t="s">
        <v>789</v>
      </c>
      <c r="G109" s="588" t="s">
        <v>790</v>
      </c>
      <c r="H109" s="588" t="s">
        <v>139</v>
      </c>
      <c r="I109" s="346"/>
      <c r="J109" s="589">
        <v>720</v>
      </c>
      <c r="K109" s="347">
        <f>VLOOKUP(H109,名称!A:C,2,0)</f>
        <v>5</v>
      </c>
      <c r="L109" s="348">
        <f t="shared" si="11"/>
        <v>3600</v>
      </c>
      <c r="M109" s="346">
        <f>VLOOKUP(H109,名称!A:E,3,0)</f>
        <v>144</v>
      </c>
      <c r="N109" s="348">
        <f t="shared" si="12"/>
        <v>5</v>
      </c>
      <c r="O109" s="587">
        <v>46200</v>
      </c>
      <c r="P109" s="536">
        <v>46216</v>
      </c>
      <c r="Q109" s="536">
        <v>46216</v>
      </c>
      <c r="R109" s="404" t="s">
        <v>1331</v>
      </c>
      <c r="S109" s="536" t="s">
        <v>1133</v>
      </c>
      <c r="T109" s="346"/>
      <c r="U109" s="568"/>
      <c r="V109" s="346"/>
      <c r="W109" s="348" t="str">
        <f>IFERROR(VLOOKUP(H109,名称!A:F,6,0),"")</f>
        <v>湖南</v>
      </c>
      <c r="X109" s="588" t="s">
        <v>1332</v>
      </c>
      <c r="Y109" s="346" t="s">
        <v>1233</v>
      </c>
      <c r="Z109" s="569">
        <v>46163</v>
      </c>
      <c r="AA109" s="570">
        <v>46172</v>
      </c>
      <c r="AB109" s="569">
        <v>46189</v>
      </c>
      <c r="AC109" s="568" t="s">
        <v>1333</v>
      </c>
      <c r="AD109" s="568" t="s">
        <v>1228</v>
      </c>
      <c r="AE109" s="588" t="s">
        <v>510</v>
      </c>
      <c r="AF109" s="568" t="s">
        <v>1228</v>
      </c>
      <c r="AG109" s="568" t="s">
        <v>341</v>
      </c>
      <c r="AH109" s="568" t="s">
        <v>1133</v>
      </c>
      <c r="AI109" s="568" t="s">
        <v>1228</v>
      </c>
      <c r="AJ109" s="568" t="s">
        <v>1133</v>
      </c>
      <c r="AK109" s="568" t="s">
        <v>1133</v>
      </c>
      <c r="AL109" s="568" t="s">
        <v>1233</v>
      </c>
      <c r="AM109" s="568" t="s">
        <v>1334</v>
      </c>
      <c r="AN109" s="588"/>
      <c r="AO109" s="531">
        <v>0.64</v>
      </c>
      <c r="AP109" s="532">
        <f t="shared" si="13"/>
        <v>460.8</v>
      </c>
      <c r="AQ109" s="532">
        <f t="shared" si="14"/>
        <v>3571.2</v>
      </c>
      <c r="AR109" s="533"/>
      <c r="AS109" s="527"/>
      <c r="AT109" s="403" t="s">
        <v>1220</v>
      </c>
      <c r="AU109" s="537">
        <v>720</v>
      </c>
      <c r="AV109" s="535">
        <f t="shared" si="15"/>
        <v>0</v>
      </c>
      <c r="AW109" s="605"/>
      <c r="AX109" s="413" t="s">
        <v>1280</v>
      </c>
      <c r="AY109" s="527"/>
      <c r="AZ109" s="527"/>
      <c r="BA109" s="527"/>
      <c r="BB109" s="403" t="str">
        <f t="shared" si="16"/>
        <v>Amazon</v>
      </c>
      <c r="BC109" s="403" t="str">
        <f t="shared" si="17"/>
        <v>美国FBA</v>
      </c>
    </row>
    <row r="110" s="496" customFormat="1" customHeight="1" spans="1:55">
      <c r="A110" s="527">
        <v>46139</v>
      </c>
      <c r="B110" s="527" t="str">
        <f ca="1" t="shared" si="10"/>
        <v/>
      </c>
      <c r="C110" s="346" t="str">
        <f>VLOOKUP(H110,名称!A:E,4,0)</f>
        <v>三代</v>
      </c>
      <c r="D110" s="588" t="s">
        <v>1330</v>
      </c>
      <c r="E110" s="588" t="s">
        <v>1338</v>
      </c>
      <c r="F110" s="588" t="s">
        <v>789</v>
      </c>
      <c r="G110" s="588" t="s">
        <v>790</v>
      </c>
      <c r="H110" s="588" t="s">
        <v>140</v>
      </c>
      <c r="I110" s="346"/>
      <c r="J110" s="589">
        <v>1584</v>
      </c>
      <c r="K110" s="347">
        <f>VLOOKUP(H110,名称!A:C,2,0)</f>
        <v>5</v>
      </c>
      <c r="L110" s="348">
        <f t="shared" si="11"/>
        <v>7920</v>
      </c>
      <c r="M110" s="346">
        <f>VLOOKUP(H110,名称!A:E,3,0)</f>
        <v>144</v>
      </c>
      <c r="N110" s="348">
        <f t="shared" si="12"/>
        <v>11</v>
      </c>
      <c r="O110" s="587">
        <v>46200</v>
      </c>
      <c r="P110" s="536">
        <v>46216</v>
      </c>
      <c r="Q110" s="536">
        <v>46216</v>
      </c>
      <c r="R110" s="404" t="s">
        <v>1331</v>
      </c>
      <c r="S110" s="536" t="s">
        <v>1133</v>
      </c>
      <c r="T110" s="346"/>
      <c r="U110" s="568"/>
      <c r="V110" s="346"/>
      <c r="W110" s="348" t="str">
        <f>IFERROR(VLOOKUP(H110,名称!A:F,6,0),"")</f>
        <v>湖南</v>
      </c>
      <c r="X110" s="568" t="s">
        <v>1332</v>
      </c>
      <c r="Y110" s="568" t="s">
        <v>1233</v>
      </c>
      <c r="Z110" s="569">
        <v>46163</v>
      </c>
      <c r="AA110" s="570">
        <v>46172</v>
      </c>
      <c r="AB110" s="569">
        <v>46189</v>
      </c>
      <c r="AC110" s="568" t="s">
        <v>1333</v>
      </c>
      <c r="AD110" s="568" t="s">
        <v>1228</v>
      </c>
      <c r="AE110" s="588" t="s">
        <v>510</v>
      </c>
      <c r="AF110" s="568" t="s">
        <v>1228</v>
      </c>
      <c r="AG110" s="415" t="s">
        <v>341</v>
      </c>
      <c r="AH110" s="568" t="s">
        <v>1133</v>
      </c>
      <c r="AI110" s="568" t="s">
        <v>1228</v>
      </c>
      <c r="AJ110" s="568" t="s">
        <v>1133</v>
      </c>
      <c r="AK110" s="568" t="s">
        <v>1133</v>
      </c>
      <c r="AL110" s="568" t="s">
        <v>1233</v>
      </c>
      <c r="AM110" s="568" t="s">
        <v>1334</v>
      </c>
      <c r="AN110" s="588"/>
      <c r="AO110" s="531">
        <v>0.64</v>
      </c>
      <c r="AP110" s="532">
        <f t="shared" si="13"/>
        <v>1013.76</v>
      </c>
      <c r="AQ110" s="532">
        <f t="shared" si="14"/>
        <v>7856.64</v>
      </c>
      <c r="AR110" s="533"/>
      <c r="AS110" s="527"/>
      <c r="AT110" s="403" t="s">
        <v>1220</v>
      </c>
      <c r="AU110" s="537">
        <v>1584</v>
      </c>
      <c r="AV110" s="535">
        <f t="shared" si="15"/>
        <v>0</v>
      </c>
      <c r="AW110" s="605"/>
      <c r="AX110" s="413" t="s">
        <v>1280</v>
      </c>
      <c r="AY110" s="527"/>
      <c r="AZ110" s="527"/>
      <c r="BA110" s="527"/>
      <c r="BB110" s="403" t="str">
        <f t="shared" si="16"/>
        <v>Amazon</v>
      </c>
      <c r="BC110" s="403" t="str">
        <f t="shared" si="17"/>
        <v>美国FBA</v>
      </c>
    </row>
    <row r="111" s="496" customFormat="1" customHeight="1" spans="1:55">
      <c r="A111" s="527">
        <v>46139</v>
      </c>
      <c r="B111" s="527" t="str">
        <f ca="1" t="shared" si="10"/>
        <v/>
      </c>
      <c r="C111" s="346" t="str">
        <f>VLOOKUP(H111,名称!A:E,4,0)</f>
        <v>三代</v>
      </c>
      <c r="D111" s="588" t="s">
        <v>1330</v>
      </c>
      <c r="E111" s="588" t="s">
        <v>1338</v>
      </c>
      <c r="F111" s="588" t="s">
        <v>789</v>
      </c>
      <c r="G111" s="588" t="s">
        <v>790</v>
      </c>
      <c r="H111" s="588" t="s">
        <v>143</v>
      </c>
      <c r="I111" s="346"/>
      <c r="J111" s="589">
        <v>4680</v>
      </c>
      <c r="K111" s="347">
        <f>VLOOKUP(H111,名称!A:C,2,0)</f>
        <v>32</v>
      </c>
      <c r="L111" s="348">
        <f t="shared" si="11"/>
        <v>149760</v>
      </c>
      <c r="M111" s="346">
        <f>VLOOKUP(H111,名称!A:E,3,0)</f>
        <v>60</v>
      </c>
      <c r="N111" s="348">
        <f t="shared" si="12"/>
        <v>78</v>
      </c>
      <c r="O111" s="587">
        <v>46200</v>
      </c>
      <c r="P111" s="536">
        <v>46223</v>
      </c>
      <c r="Q111" s="536">
        <v>46223</v>
      </c>
      <c r="R111" s="404" t="s">
        <v>1331</v>
      </c>
      <c r="S111" s="536" t="s">
        <v>1133</v>
      </c>
      <c r="T111" s="346"/>
      <c r="U111" s="568"/>
      <c r="V111" s="346"/>
      <c r="W111" s="348" t="str">
        <f>IFERROR(VLOOKUP(H111,名称!A:F,6,0),"")</f>
        <v>湖南</v>
      </c>
      <c r="X111" s="568" t="s">
        <v>1332</v>
      </c>
      <c r="Y111" s="568" t="s">
        <v>1233</v>
      </c>
      <c r="Z111" s="569">
        <v>46163</v>
      </c>
      <c r="AA111" s="570">
        <v>46172</v>
      </c>
      <c r="AB111" s="569">
        <v>46189</v>
      </c>
      <c r="AC111" s="568" t="s">
        <v>1333</v>
      </c>
      <c r="AD111" s="568" t="s">
        <v>1228</v>
      </c>
      <c r="AE111" s="588" t="s">
        <v>510</v>
      </c>
      <c r="AF111" s="568" t="s">
        <v>1228</v>
      </c>
      <c r="AG111" s="568" t="s">
        <v>341</v>
      </c>
      <c r="AH111" s="568" t="s">
        <v>1133</v>
      </c>
      <c r="AI111" s="568" t="s">
        <v>1228</v>
      </c>
      <c r="AJ111" s="568" t="s">
        <v>1133</v>
      </c>
      <c r="AK111" s="568" t="s">
        <v>1133</v>
      </c>
      <c r="AL111" s="568"/>
      <c r="AM111" s="568" t="s">
        <v>1334</v>
      </c>
      <c r="AN111" s="588"/>
      <c r="AO111" s="531">
        <v>2.57</v>
      </c>
      <c r="AP111" s="532">
        <f t="shared" si="13"/>
        <v>12027.6</v>
      </c>
      <c r="AQ111" s="532">
        <f t="shared" si="14"/>
        <v>93213.9</v>
      </c>
      <c r="AR111" s="533"/>
      <c r="AS111" s="527"/>
      <c r="AT111" s="403" t="s">
        <v>1220</v>
      </c>
      <c r="AU111" s="537">
        <f>4620+60</f>
        <v>4680</v>
      </c>
      <c r="AV111" s="535">
        <f t="shared" si="15"/>
        <v>0</v>
      </c>
      <c r="AW111" s="605"/>
      <c r="AX111" s="413" t="s">
        <v>1280</v>
      </c>
      <c r="AY111" s="527"/>
      <c r="AZ111" s="527"/>
      <c r="BA111" s="527"/>
      <c r="BB111" s="527" t="str">
        <f t="shared" si="16"/>
        <v>Amazon</v>
      </c>
      <c r="BC111" s="527" t="str">
        <f t="shared" si="17"/>
        <v>美国FBA</v>
      </c>
    </row>
    <row r="112" s="496" customFormat="1" customHeight="1" spans="1:55">
      <c r="A112" s="527">
        <v>46139</v>
      </c>
      <c r="B112" s="527" t="str">
        <f ca="1" t="shared" si="10"/>
        <v/>
      </c>
      <c r="C112" s="346" t="str">
        <f>VLOOKUP(H112,名称!A:E,4,0)</f>
        <v>三代</v>
      </c>
      <c r="D112" s="588" t="s">
        <v>1330</v>
      </c>
      <c r="E112" s="588" t="s">
        <v>1338</v>
      </c>
      <c r="F112" s="588" t="s">
        <v>789</v>
      </c>
      <c r="G112" s="588" t="s">
        <v>790</v>
      </c>
      <c r="H112" s="408" t="s">
        <v>144</v>
      </c>
      <c r="I112" s="346"/>
      <c r="J112" s="589">
        <v>618</v>
      </c>
      <c r="K112" s="347">
        <f>VLOOKUP(H112,名称!A:C,2,0)</f>
        <v>50</v>
      </c>
      <c r="L112" s="348">
        <f t="shared" si="11"/>
        <v>30900</v>
      </c>
      <c r="M112" s="346">
        <f>VLOOKUP(H112,名称!A:E,3,0)</f>
        <v>6</v>
      </c>
      <c r="N112" s="348">
        <f t="shared" si="12"/>
        <v>103</v>
      </c>
      <c r="O112" s="587">
        <v>46200</v>
      </c>
      <c r="P112" s="536">
        <v>46220</v>
      </c>
      <c r="Q112" s="536">
        <v>46220</v>
      </c>
      <c r="R112" s="404" t="s">
        <v>1331</v>
      </c>
      <c r="S112" s="536" t="s">
        <v>1133</v>
      </c>
      <c r="T112" s="346"/>
      <c r="U112" s="568"/>
      <c r="V112" s="346"/>
      <c r="W112" s="348" t="str">
        <f>IFERROR(VLOOKUP(H112,名称!A:F,6,0),"")</f>
        <v>湖南</v>
      </c>
      <c r="X112" s="588" t="s">
        <v>1332</v>
      </c>
      <c r="Y112" s="346" t="s">
        <v>1233</v>
      </c>
      <c r="Z112" s="569">
        <v>46163</v>
      </c>
      <c r="AA112" s="570">
        <v>46172</v>
      </c>
      <c r="AB112" s="569">
        <v>46189</v>
      </c>
      <c r="AC112" s="415" t="s">
        <v>1133</v>
      </c>
      <c r="AD112" s="415" t="s">
        <v>1133</v>
      </c>
      <c r="AE112" s="588" t="s">
        <v>510</v>
      </c>
      <c r="AF112" s="568" t="s">
        <v>1228</v>
      </c>
      <c r="AG112" s="568" t="s">
        <v>341</v>
      </c>
      <c r="AH112" s="568" t="s">
        <v>1133</v>
      </c>
      <c r="AI112" s="568" t="s">
        <v>1228</v>
      </c>
      <c r="AJ112" s="568" t="s">
        <v>1133</v>
      </c>
      <c r="AK112" s="568" t="s">
        <v>1133</v>
      </c>
      <c r="AL112" s="568"/>
      <c r="AM112" s="568" t="s">
        <v>1334</v>
      </c>
      <c r="AN112" s="588"/>
      <c r="AO112" s="531">
        <v>8.98</v>
      </c>
      <c r="AP112" s="532">
        <f t="shared" si="13"/>
        <v>5549.64</v>
      </c>
      <c r="AQ112" s="532">
        <f t="shared" si="14"/>
        <v>43009.71</v>
      </c>
      <c r="AR112" s="533"/>
      <c r="AS112" s="527"/>
      <c r="AT112" s="527" t="s">
        <v>1310</v>
      </c>
      <c r="AU112" s="537"/>
      <c r="AV112" s="535">
        <f t="shared" si="15"/>
        <v>-618</v>
      </c>
      <c r="AW112" s="605"/>
      <c r="AX112" s="536"/>
      <c r="AY112" s="527"/>
      <c r="AZ112" s="527"/>
      <c r="BA112" s="527"/>
      <c r="BB112" s="527" t="str">
        <f t="shared" si="16"/>
        <v>Amazon</v>
      </c>
      <c r="BC112" s="527" t="str">
        <f t="shared" si="17"/>
        <v>美国FBA</v>
      </c>
    </row>
    <row r="113" s="496" customFormat="1" customHeight="1" spans="1:55">
      <c r="A113" s="527">
        <v>46139</v>
      </c>
      <c r="B113" s="527" t="str">
        <f ca="1" t="shared" si="10"/>
        <v/>
      </c>
      <c r="C113" s="346" t="str">
        <f>VLOOKUP(H113,名称!A:E,4,0)</f>
        <v>三代</v>
      </c>
      <c r="D113" s="588" t="s">
        <v>1330</v>
      </c>
      <c r="E113" s="588" t="s">
        <v>1338</v>
      </c>
      <c r="F113" s="588" t="s">
        <v>789</v>
      </c>
      <c r="G113" s="588" t="s">
        <v>790</v>
      </c>
      <c r="H113" s="408" t="s">
        <v>145</v>
      </c>
      <c r="I113" s="346"/>
      <c r="J113" s="589">
        <v>552</v>
      </c>
      <c r="K113" s="347">
        <f>VLOOKUP(H113,名称!A:C,2,0)</f>
        <v>50</v>
      </c>
      <c r="L113" s="348">
        <f t="shared" si="11"/>
        <v>27600</v>
      </c>
      <c r="M113" s="346">
        <f>VLOOKUP(H113,名称!A:E,3,0)</f>
        <v>6</v>
      </c>
      <c r="N113" s="348">
        <f t="shared" si="12"/>
        <v>92</v>
      </c>
      <c r="O113" s="587">
        <v>46200</v>
      </c>
      <c r="P113" s="536">
        <v>46220</v>
      </c>
      <c r="Q113" s="536">
        <v>46220</v>
      </c>
      <c r="R113" s="404" t="s">
        <v>1331</v>
      </c>
      <c r="S113" s="536" t="s">
        <v>1133</v>
      </c>
      <c r="T113" s="346"/>
      <c r="U113" s="568"/>
      <c r="V113" s="346"/>
      <c r="W113" s="348" t="str">
        <f>IFERROR(VLOOKUP(H113,名称!A:F,6,0),"")</f>
        <v>湖南</v>
      </c>
      <c r="X113" s="568" t="s">
        <v>1332</v>
      </c>
      <c r="Y113" s="568" t="s">
        <v>1233</v>
      </c>
      <c r="Z113" s="569">
        <v>46163</v>
      </c>
      <c r="AA113" s="570">
        <v>46172</v>
      </c>
      <c r="AB113" s="569">
        <v>46189</v>
      </c>
      <c r="AC113" s="415" t="s">
        <v>1133</v>
      </c>
      <c r="AD113" s="415" t="s">
        <v>1133</v>
      </c>
      <c r="AE113" s="588" t="s">
        <v>510</v>
      </c>
      <c r="AF113" s="568" t="s">
        <v>1228</v>
      </c>
      <c r="AG113" s="568" t="s">
        <v>341</v>
      </c>
      <c r="AH113" s="568" t="s">
        <v>1133</v>
      </c>
      <c r="AI113" s="568" t="s">
        <v>1228</v>
      </c>
      <c r="AJ113" s="568" t="s">
        <v>1133</v>
      </c>
      <c r="AK113" s="568" t="s">
        <v>1133</v>
      </c>
      <c r="AL113" s="568"/>
      <c r="AM113" s="568" t="s">
        <v>1334</v>
      </c>
      <c r="AN113" s="588"/>
      <c r="AO113" s="531">
        <v>8.98</v>
      </c>
      <c r="AP113" s="532">
        <f t="shared" si="13"/>
        <v>4956.96</v>
      </c>
      <c r="AQ113" s="532">
        <f t="shared" si="14"/>
        <v>38416.44</v>
      </c>
      <c r="AR113" s="533"/>
      <c r="AS113" s="527"/>
      <c r="AT113" s="527" t="s">
        <v>1310</v>
      </c>
      <c r="AU113" s="537"/>
      <c r="AV113" s="535">
        <f t="shared" si="15"/>
        <v>-552</v>
      </c>
      <c r="AW113" s="605"/>
      <c r="AX113" s="536"/>
      <c r="AY113" s="527"/>
      <c r="AZ113" s="527"/>
      <c r="BA113" s="527"/>
      <c r="BB113" s="527" t="str">
        <f t="shared" si="16"/>
        <v>Amazon</v>
      </c>
      <c r="BC113" s="527" t="str">
        <f t="shared" si="17"/>
        <v>美国FBA</v>
      </c>
    </row>
    <row r="114" s="496" customFormat="1" customHeight="1" spans="1:55">
      <c r="A114" s="527">
        <v>46139</v>
      </c>
      <c r="B114" s="527" t="str">
        <f ca="1" t="shared" si="10"/>
        <v/>
      </c>
      <c r="C114" s="346" t="str">
        <f>VLOOKUP(H114,名称!A:E,4,0)</f>
        <v>三代</v>
      </c>
      <c r="D114" s="588" t="s">
        <v>1330</v>
      </c>
      <c r="E114" s="588" t="s">
        <v>1338</v>
      </c>
      <c r="F114" s="588" t="s">
        <v>789</v>
      </c>
      <c r="G114" s="588" t="s">
        <v>790</v>
      </c>
      <c r="H114" s="588" t="s">
        <v>146</v>
      </c>
      <c r="I114" s="346"/>
      <c r="J114" s="589">
        <v>384</v>
      </c>
      <c r="K114" s="347">
        <f>VLOOKUP(H114,名称!A:C,2,0)</f>
        <v>12</v>
      </c>
      <c r="L114" s="348">
        <f t="shared" si="11"/>
        <v>4608</v>
      </c>
      <c r="M114" s="346">
        <f>VLOOKUP(H114,名称!A:E,3,0)</f>
        <v>96</v>
      </c>
      <c r="N114" s="348">
        <f t="shared" si="12"/>
        <v>4</v>
      </c>
      <c r="O114" s="587">
        <v>46200</v>
      </c>
      <c r="P114" s="536">
        <v>46227</v>
      </c>
      <c r="Q114" s="536">
        <v>46227</v>
      </c>
      <c r="R114" s="602" t="s">
        <v>1331</v>
      </c>
      <c r="S114" s="536" t="s">
        <v>1133</v>
      </c>
      <c r="T114" s="346"/>
      <c r="U114" s="568"/>
      <c r="V114" s="346"/>
      <c r="W114" s="348" t="str">
        <f>IFERROR(VLOOKUP(H114,名称!A:F,6,0),"")</f>
        <v>湖南</v>
      </c>
      <c r="X114" s="568" t="s">
        <v>1332</v>
      </c>
      <c r="Y114" s="568" t="s">
        <v>1233</v>
      </c>
      <c r="Z114" s="569">
        <v>46163</v>
      </c>
      <c r="AA114" s="570">
        <v>46172</v>
      </c>
      <c r="AB114" s="569">
        <v>46189</v>
      </c>
      <c r="AC114" s="568" t="s">
        <v>1333</v>
      </c>
      <c r="AD114" s="568" t="s">
        <v>1228</v>
      </c>
      <c r="AE114" s="588" t="s">
        <v>510</v>
      </c>
      <c r="AF114" s="568" t="s">
        <v>1228</v>
      </c>
      <c r="AG114" s="568" t="s">
        <v>341</v>
      </c>
      <c r="AH114" s="568" t="s">
        <v>1133</v>
      </c>
      <c r="AI114" s="568" t="s">
        <v>1228</v>
      </c>
      <c r="AJ114" s="568" t="s">
        <v>1133</v>
      </c>
      <c r="AK114" s="568" t="s">
        <v>1133</v>
      </c>
      <c r="AL114" s="568"/>
      <c r="AM114" s="568" t="s">
        <v>1334</v>
      </c>
      <c r="AN114" s="588"/>
      <c r="AO114" s="531">
        <v>1.3</v>
      </c>
      <c r="AP114" s="532">
        <f t="shared" si="13"/>
        <v>499.2</v>
      </c>
      <c r="AQ114" s="532">
        <f t="shared" si="14"/>
        <v>3868.8</v>
      </c>
      <c r="AR114" s="533"/>
      <c r="AS114" s="527"/>
      <c r="AT114" s="403" t="s">
        <v>1220</v>
      </c>
      <c r="AU114" s="537">
        <v>384</v>
      </c>
      <c r="AV114" s="535">
        <f t="shared" si="15"/>
        <v>0</v>
      </c>
      <c r="AW114" s="605"/>
      <c r="AX114" s="413" t="s">
        <v>1280</v>
      </c>
      <c r="AY114" s="527"/>
      <c r="AZ114" s="527"/>
      <c r="BA114" s="527"/>
      <c r="BB114" s="527" t="str">
        <f t="shared" si="16"/>
        <v>Amazon</v>
      </c>
      <c r="BC114" s="527" t="str">
        <f t="shared" si="17"/>
        <v>美国FBA</v>
      </c>
    </row>
    <row r="115" s="496" customFormat="1" customHeight="1" spans="1:55">
      <c r="A115" s="527">
        <v>46139</v>
      </c>
      <c r="B115" s="527" t="str">
        <f ca="1" t="shared" ref="B115:B178" si="18">IF(TODAY()-5&gt;=A115,IF(AB115="","异常",""),"")</f>
        <v/>
      </c>
      <c r="C115" s="346" t="str">
        <f>VLOOKUP(H115,名称!A:E,4,0)</f>
        <v>三代</v>
      </c>
      <c r="D115" s="588" t="s">
        <v>1330</v>
      </c>
      <c r="E115" s="588" t="s">
        <v>1338</v>
      </c>
      <c r="F115" s="588" t="s">
        <v>789</v>
      </c>
      <c r="G115" s="588" t="s">
        <v>790</v>
      </c>
      <c r="H115" s="588" t="s">
        <v>147</v>
      </c>
      <c r="I115" s="346"/>
      <c r="J115" s="589">
        <v>384</v>
      </c>
      <c r="K115" s="347">
        <f>VLOOKUP(H115,名称!A:C,2,0)</f>
        <v>12</v>
      </c>
      <c r="L115" s="348">
        <f t="shared" ref="L115:L172" si="19">J115*K115</f>
        <v>4608</v>
      </c>
      <c r="M115" s="346">
        <f>VLOOKUP(H115,名称!A:E,3,0)</f>
        <v>96</v>
      </c>
      <c r="N115" s="348">
        <f t="shared" ref="N115:N178" si="20">J115/M115</f>
        <v>4</v>
      </c>
      <c r="O115" s="587">
        <v>46200</v>
      </c>
      <c r="P115" s="536">
        <v>46227</v>
      </c>
      <c r="Q115" s="536">
        <v>46227</v>
      </c>
      <c r="R115" s="602" t="s">
        <v>1331</v>
      </c>
      <c r="S115" s="536" t="s">
        <v>1133</v>
      </c>
      <c r="T115" s="346"/>
      <c r="U115" s="568"/>
      <c r="V115" s="346"/>
      <c r="W115" s="348" t="str">
        <f>IFERROR(VLOOKUP(H115,名称!A:F,6,0),"")</f>
        <v>湖南</v>
      </c>
      <c r="X115" s="568" t="s">
        <v>1332</v>
      </c>
      <c r="Y115" s="568" t="s">
        <v>1233</v>
      </c>
      <c r="Z115" s="569">
        <v>46163</v>
      </c>
      <c r="AA115" s="570">
        <v>46172</v>
      </c>
      <c r="AB115" s="569">
        <v>46189</v>
      </c>
      <c r="AC115" s="568" t="s">
        <v>1333</v>
      </c>
      <c r="AD115" s="568" t="s">
        <v>1228</v>
      </c>
      <c r="AE115" s="588" t="s">
        <v>510</v>
      </c>
      <c r="AF115" s="568" t="s">
        <v>1228</v>
      </c>
      <c r="AG115" s="568" t="s">
        <v>341</v>
      </c>
      <c r="AH115" s="568" t="s">
        <v>1133</v>
      </c>
      <c r="AI115" s="568" t="s">
        <v>1228</v>
      </c>
      <c r="AJ115" s="568" t="s">
        <v>1133</v>
      </c>
      <c r="AK115" s="568" t="s">
        <v>1133</v>
      </c>
      <c r="AL115" s="568"/>
      <c r="AM115" s="568" t="s">
        <v>1334</v>
      </c>
      <c r="AN115" s="588"/>
      <c r="AO115" s="531">
        <v>1.3</v>
      </c>
      <c r="AP115" s="532">
        <f t="shared" ref="AP115:AP178" si="21">J115*AO115</f>
        <v>499.2</v>
      </c>
      <c r="AQ115" s="532">
        <f t="shared" ref="AQ115:AQ178" si="22">AP115*7.75</f>
        <v>3868.8</v>
      </c>
      <c r="AR115" s="533"/>
      <c r="AS115" s="527"/>
      <c r="AT115" s="403" t="s">
        <v>1220</v>
      </c>
      <c r="AU115" s="537">
        <v>384</v>
      </c>
      <c r="AV115" s="535">
        <f t="shared" ref="AV115:AV178" si="23">AU115-J115</f>
        <v>0</v>
      </c>
      <c r="AW115" s="605"/>
      <c r="AX115" s="413" t="s">
        <v>1280</v>
      </c>
      <c r="AY115" s="527"/>
      <c r="AZ115" s="527"/>
      <c r="BA115" s="527"/>
      <c r="BB115" s="527" t="str">
        <f t="shared" ref="BB115:BB178" si="24">D115</f>
        <v>Amazon</v>
      </c>
      <c r="BC115" s="527" t="str">
        <f t="shared" ref="BC115:BC178" si="25">E115</f>
        <v>美国FBA</v>
      </c>
    </row>
    <row r="116" s="496" customFormat="1" customHeight="1" spans="1:55">
      <c r="A116" s="527">
        <v>46139</v>
      </c>
      <c r="B116" s="527" t="str">
        <f ca="1" t="shared" si="18"/>
        <v/>
      </c>
      <c r="C116" s="346" t="str">
        <f>VLOOKUP(H116,名称!A:E,4,0)</f>
        <v>三代</v>
      </c>
      <c r="D116" s="588" t="s">
        <v>1330</v>
      </c>
      <c r="E116" s="588" t="s">
        <v>1338</v>
      </c>
      <c r="F116" s="588" t="s">
        <v>789</v>
      </c>
      <c r="G116" s="588" t="s">
        <v>790</v>
      </c>
      <c r="H116" s="588" t="s">
        <v>148</v>
      </c>
      <c r="I116" s="346"/>
      <c r="J116" s="589">
        <v>672</v>
      </c>
      <c r="K116" s="347">
        <f>VLOOKUP(H116,名称!A:C,2,0)</f>
        <v>12</v>
      </c>
      <c r="L116" s="348">
        <f t="shared" si="19"/>
        <v>8064</v>
      </c>
      <c r="M116" s="346">
        <f>VLOOKUP(H116,名称!A:E,3,0)</f>
        <v>96</v>
      </c>
      <c r="N116" s="348">
        <f t="shared" si="20"/>
        <v>7</v>
      </c>
      <c r="O116" s="587">
        <v>46200</v>
      </c>
      <c r="P116" s="536">
        <v>46227</v>
      </c>
      <c r="Q116" s="536">
        <v>46227</v>
      </c>
      <c r="R116" s="602" t="s">
        <v>1331</v>
      </c>
      <c r="S116" s="536" t="s">
        <v>1133</v>
      </c>
      <c r="T116" s="346"/>
      <c r="U116" s="568"/>
      <c r="V116" s="346"/>
      <c r="W116" s="348" t="str">
        <f>IFERROR(VLOOKUP(H116,名称!A:F,6,0),"")</f>
        <v>湖南</v>
      </c>
      <c r="X116" s="568" t="s">
        <v>1332</v>
      </c>
      <c r="Y116" s="568" t="s">
        <v>1233</v>
      </c>
      <c r="Z116" s="569">
        <v>46163</v>
      </c>
      <c r="AA116" s="570">
        <v>46172</v>
      </c>
      <c r="AB116" s="569">
        <v>46189</v>
      </c>
      <c r="AC116" s="568" t="s">
        <v>1333</v>
      </c>
      <c r="AD116" s="568" t="s">
        <v>1228</v>
      </c>
      <c r="AE116" s="588" t="s">
        <v>510</v>
      </c>
      <c r="AF116" s="568" t="s">
        <v>1228</v>
      </c>
      <c r="AG116" s="568" t="s">
        <v>341</v>
      </c>
      <c r="AH116" s="568" t="s">
        <v>1133</v>
      </c>
      <c r="AI116" s="568" t="s">
        <v>1228</v>
      </c>
      <c r="AJ116" s="568" t="s">
        <v>1133</v>
      </c>
      <c r="AK116" s="568" t="s">
        <v>1133</v>
      </c>
      <c r="AL116" s="568"/>
      <c r="AM116" s="568" t="s">
        <v>1334</v>
      </c>
      <c r="AN116" s="588"/>
      <c r="AO116" s="531">
        <v>1.3</v>
      </c>
      <c r="AP116" s="532">
        <f t="shared" si="21"/>
        <v>873.6</v>
      </c>
      <c r="AQ116" s="532">
        <f t="shared" si="22"/>
        <v>6770.4</v>
      </c>
      <c r="AR116" s="533"/>
      <c r="AS116" s="527"/>
      <c r="AT116" s="403" t="s">
        <v>1220</v>
      </c>
      <c r="AU116" s="537">
        <v>672</v>
      </c>
      <c r="AV116" s="535">
        <f t="shared" si="23"/>
        <v>0</v>
      </c>
      <c r="AW116" s="605"/>
      <c r="AX116" s="413" t="s">
        <v>1280</v>
      </c>
      <c r="AY116" s="527"/>
      <c r="AZ116" s="527"/>
      <c r="BA116" s="527"/>
      <c r="BB116" s="527" t="str">
        <f t="shared" si="24"/>
        <v>Amazon</v>
      </c>
      <c r="BC116" s="527" t="str">
        <f t="shared" si="25"/>
        <v>美国FBA</v>
      </c>
    </row>
    <row r="117" s="496" customFormat="1" customHeight="1" spans="1:55">
      <c r="A117" s="527">
        <v>46139</v>
      </c>
      <c r="B117" s="527" t="str">
        <f ca="1" t="shared" si="18"/>
        <v/>
      </c>
      <c r="C117" s="346" t="str">
        <f>VLOOKUP(H117,名称!A:E,4,0)</f>
        <v>三代</v>
      </c>
      <c r="D117" s="588" t="s">
        <v>1330</v>
      </c>
      <c r="E117" s="588" t="s">
        <v>1338</v>
      </c>
      <c r="F117" s="588" t="s">
        <v>789</v>
      </c>
      <c r="G117" s="588" t="s">
        <v>790</v>
      </c>
      <c r="H117" s="588" t="s">
        <v>149</v>
      </c>
      <c r="I117" s="346"/>
      <c r="J117" s="589">
        <v>672</v>
      </c>
      <c r="K117" s="347">
        <f>VLOOKUP(H117,名称!A:C,2,0)</f>
        <v>12</v>
      </c>
      <c r="L117" s="348">
        <f t="shared" si="19"/>
        <v>8064</v>
      </c>
      <c r="M117" s="346">
        <f>VLOOKUP(H117,名称!A:E,3,0)</f>
        <v>96</v>
      </c>
      <c r="N117" s="348">
        <f t="shared" si="20"/>
        <v>7</v>
      </c>
      <c r="O117" s="587">
        <v>46200</v>
      </c>
      <c r="P117" s="536">
        <v>46227</v>
      </c>
      <c r="Q117" s="536">
        <v>46227</v>
      </c>
      <c r="R117" s="602" t="s">
        <v>1331</v>
      </c>
      <c r="S117" s="536" t="s">
        <v>1133</v>
      </c>
      <c r="T117" s="346"/>
      <c r="U117" s="568"/>
      <c r="V117" s="346"/>
      <c r="W117" s="348" t="str">
        <f>IFERROR(VLOOKUP(H117,名称!A:F,6,0),"")</f>
        <v>湖南</v>
      </c>
      <c r="X117" s="568" t="s">
        <v>1332</v>
      </c>
      <c r="Y117" s="568" t="s">
        <v>1233</v>
      </c>
      <c r="Z117" s="569">
        <v>46163</v>
      </c>
      <c r="AA117" s="570">
        <v>46172</v>
      </c>
      <c r="AB117" s="569">
        <v>46189</v>
      </c>
      <c r="AC117" s="568" t="s">
        <v>1333</v>
      </c>
      <c r="AD117" s="568" t="s">
        <v>1228</v>
      </c>
      <c r="AE117" s="588" t="s">
        <v>510</v>
      </c>
      <c r="AF117" s="568" t="s">
        <v>1228</v>
      </c>
      <c r="AG117" s="568" t="s">
        <v>341</v>
      </c>
      <c r="AH117" s="568" t="s">
        <v>1133</v>
      </c>
      <c r="AI117" s="568" t="s">
        <v>1228</v>
      </c>
      <c r="AJ117" s="568" t="s">
        <v>1133</v>
      </c>
      <c r="AK117" s="568" t="s">
        <v>1133</v>
      </c>
      <c r="AL117" s="568"/>
      <c r="AM117" s="568" t="s">
        <v>1334</v>
      </c>
      <c r="AN117" s="588"/>
      <c r="AO117" s="531">
        <v>1.3</v>
      </c>
      <c r="AP117" s="532">
        <f t="shared" si="21"/>
        <v>873.6</v>
      </c>
      <c r="AQ117" s="532">
        <f t="shared" si="22"/>
        <v>6770.4</v>
      </c>
      <c r="AR117" s="533"/>
      <c r="AS117" s="527"/>
      <c r="AT117" s="403" t="s">
        <v>1220</v>
      </c>
      <c r="AU117" s="537">
        <v>672</v>
      </c>
      <c r="AV117" s="535">
        <f t="shared" si="23"/>
        <v>0</v>
      </c>
      <c r="AW117" s="605"/>
      <c r="AX117" s="413" t="s">
        <v>1280</v>
      </c>
      <c r="AY117" s="527"/>
      <c r="AZ117" s="527"/>
      <c r="BA117" s="527"/>
      <c r="BB117" s="527" t="str">
        <f t="shared" si="24"/>
        <v>Amazon</v>
      </c>
      <c r="BC117" s="527" t="str">
        <f t="shared" si="25"/>
        <v>美国FBA</v>
      </c>
    </row>
    <row r="118" s="496" customFormat="1" customHeight="1" spans="1:55">
      <c r="A118" s="527">
        <v>46139</v>
      </c>
      <c r="B118" s="527" t="str">
        <f ca="1" t="shared" si="18"/>
        <v/>
      </c>
      <c r="C118" s="346" t="str">
        <f>VLOOKUP(H118,名称!A:E,4,0)</f>
        <v>三代</v>
      </c>
      <c r="D118" s="588" t="s">
        <v>1330</v>
      </c>
      <c r="E118" s="588" t="s">
        <v>1338</v>
      </c>
      <c r="F118" s="588" t="s">
        <v>789</v>
      </c>
      <c r="G118" s="588" t="s">
        <v>790</v>
      </c>
      <c r="H118" s="588" t="s">
        <v>150</v>
      </c>
      <c r="I118" s="346"/>
      <c r="J118" s="589">
        <v>288</v>
      </c>
      <c r="K118" s="347">
        <f>VLOOKUP(H118,名称!A:C,2,0)</f>
        <v>12</v>
      </c>
      <c r="L118" s="348">
        <f t="shared" si="19"/>
        <v>3456</v>
      </c>
      <c r="M118" s="346">
        <f>VLOOKUP(H118,名称!A:E,3,0)</f>
        <v>96</v>
      </c>
      <c r="N118" s="348">
        <f t="shared" si="20"/>
        <v>3</v>
      </c>
      <c r="O118" s="587">
        <v>46200</v>
      </c>
      <c r="P118" s="536">
        <v>46227</v>
      </c>
      <c r="Q118" s="536">
        <v>46227</v>
      </c>
      <c r="R118" s="602" t="s">
        <v>1331</v>
      </c>
      <c r="S118" s="536" t="s">
        <v>1133</v>
      </c>
      <c r="T118" s="346"/>
      <c r="U118" s="568"/>
      <c r="V118" s="346"/>
      <c r="W118" s="348" t="str">
        <f>IFERROR(VLOOKUP(H118,名称!A:F,6,0),"")</f>
        <v>湖南</v>
      </c>
      <c r="X118" s="568" t="s">
        <v>1332</v>
      </c>
      <c r="Y118" s="568" t="s">
        <v>1233</v>
      </c>
      <c r="Z118" s="569">
        <v>46163</v>
      </c>
      <c r="AA118" s="570">
        <v>46172</v>
      </c>
      <c r="AB118" s="569">
        <v>46189</v>
      </c>
      <c r="AC118" s="568" t="s">
        <v>1333</v>
      </c>
      <c r="AD118" s="568" t="s">
        <v>1228</v>
      </c>
      <c r="AE118" s="588" t="s">
        <v>510</v>
      </c>
      <c r="AF118" s="568" t="s">
        <v>1228</v>
      </c>
      <c r="AG118" s="568" t="s">
        <v>341</v>
      </c>
      <c r="AH118" s="568" t="s">
        <v>1133</v>
      </c>
      <c r="AI118" s="568" t="s">
        <v>1228</v>
      </c>
      <c r="AJ118" s="568" t="s">
        <v>1133</v>
      </c>
      <c r="AK118" s="568" t="s">
        <v>1133</v>
      </c>
      <c r="AL118" s="568"/>
      <c r="AM118" s="568" t="s">
        <v>1334</v>
      </c>
      <c r="AN118" s="588"/>
      <c r="AO118" s="531">
        <v>1.3</v>
      </c>
      <c r="AP118" s="532">
        <f t="shared" si="21"/>
        <v>374.4</v>
      </c>
      <c r="AQ118" s="532">
        <f t="shared" si="22"/>
        <v>2901.6</v>
      </c>
      <c r="AR118" s="533"/>
      <c r="AS118" s="527"/>
      <c r="AT118" s="403" t="s">
        <v>1220</v>
      </c>
      <c r="AU118" s="537">
        <v>288</v>
      </c>
      <c r="AV118" s="535">
        <f t="shared" si="23"/>
        <v>0</v>
      </c>
      <c r="AW118" s="605"/>
      <c r="AX118" s="413" t="s">
        <v>1280</v>
      </c>
      <c r="AY118" s="527"/>
      <c r="AZ118" s="527"/>
      <c r="BA118" s="527"/>
      <c r="BB118" s="527" t="str">
        <f t="shared" si="24"/>
        <v>Amazon</v>
      </c>
      <c r="BC118" s="527" t="str">
        <f t="shared" si="25"/>
        <v>美国FBA</v>
      </c>
    </row>
    <row r="119" s="496" customFormat="1" customHeight="1" spans="1:55">
      <c r="A119" s="527">
        <v>46139</v>
      </c>
      <c r="B119" s="527" t="str">
        <f ca="1" t="shared" si="18"/>
        <v/>
      </c>
      <c r="C119" s="346" t="str">
        <f>VLOOKUP(H119,名称!A:E,4,0)</f>
        <v>三代</v>
      </c>
      <c r="D119" s="588" t="s">
        <v>1330</v>
      </c>
      <c r="E119" s="588" t="s">
        <v>1338</v>
      </c>
      <c r="F119" s="588" t="s">
        <v>789</v>
      </c>
      <c r="G119" s="588" t="s">
        <v>790</v>
      </c>
      <c r="H119" s="588" t="s">
        <v>151</v>
      </c>
      <c r="I119" s="346"/>
      <c r="J119" s="589">
        <v>960</v>
      </c>
      <c r="K119" s="347">
        <f>VLOOKUP(H119,名称!A:C,2,0)</f>
        <v>12</v>
      </c>
      <c r="L119" s="348">
        <f t="shared" si="19"/>
        <v>11520</v>
      </c>
      <c r="M119" s="346">
        <f>VLOOKUP(H119,名称!A:E,3,0)</f>
        <v>96</v>
      </c>
      <c r="N119" s="348">
        <f t="shared" si="20"/>
        <v>10</v>
      </c>
      <c r="O119" s="587">
        <v>46200</v>
      </c>
      <c r="P119" s="536">
        <v>46227</v>
      </c>
      <c r="Q119" s="536">
        <v>46227</v>
      </c>
      <c r="R119" s="602" t="s">
        <v>1331</v>
      </c>
      <c r="S119" s="536" t="s">
        <v>1133</v>
      </c>
      <c r="T119" s="346"/>
      <c r="U119" s="568"/>
      <c r="V119" s="346"/>
      <c r="W119" s="348" t="str">
        <f>IFERROR(VLOOKUP(H119,名称!A:F,6,0),"")</f>
        <v>湖南</v>
      </c>
      <c r="X119" s="568" t="s">
        <v>1332</v>
      </c>
      <c r="Y119" s="568" t="s">
        <v>1233</v>
      </c>
      <c r="Z119" s="569">
        <v>46163</v>
      </c>
      <c r="AA119" s="570">
        <v>46172</v>
      </c>
      <c r="AB119" s="569">
        <v>46189</v>
      </c>
      <c r="AC119" s="568" t="s">
        <v>1333</v>
      </c>
      <c r="AD119" s="568" t="s">
        <v>1228</v>
      </c>
      <c r="AE119" s="588" t="s">
        <v>510</v>
      </c>
      <c r="AF119" s="568" t="s">
        <v>1228</v>
      </c>
      <c r="AG119" s="568" t="s">
        <v>341</v>
      </c>
      <c r="AH119" s="568" t="s">
        <v>1133</v>
      </c>
      <c r="AI119" s="568" t="s">
        <v>1228</v>
      </c>
      <c r="AJ119" s="568" t="s">
        <v>1133</v>
      </c>
      <c r="AK119" s="568" t="s">
        <v>1133</v>
      </c>
      <c r="AL119" s="568"/>
      <c r="AM119" s="568" t="s">
        <v>1334</v>
      </c>
      <c r="AN119" s="588"/>
      <c r="AO119" s="531">
        <v>1.3</v>
      </c>
      <c r="AP119" s="532">
        <f t="shared" si="21"/>
        <v>1248</v>
      </c>
      <c r="AQ119" s="532">
        <f t="shared" si="22"/>
        <v>9672</v>
      </c>
      <c r="AR119" s="533"/>
      <c r="AS119" s="527"/>
      <c r="AT119" s="403" t="s">
        <v>1220</v>
      </c>
      <c r="AU119" s="537">
        <f>768+192</f>
        <v>960</v>
      </c>
      <c r="AV119" s="535">
        <f t="shared" si="23"/>
        <v>0</v>
      </c>
      <c r="AW119" s="605"/>
      <c r="AX119" s="413" t="s">
        <v>1280</v>
      </c>
      <c r="AY119" s="527"/>
      <c r="AZ119" s="527"/>
      <c r="BA119" s="527"/>
      <c r="BB119" s="527" t="str">
        <f t="shared" si="24"/>
        <v>Amazon</v>
      </c>
      <c r="BC119" s="527" t="str">
        <f t="shared" si="25"/>
        <v>美国FBA</v>
      </c>
    </row>
    <row r="120" s="496" customFormat="1" customHeight="1" spans="1:55">
      <c r="A120" s="527">
        <v>46139</v>
      </c>
      <c r="B120" s="527" t="str">
        <f ca="1" t="shared" si="18"/>
        <v/>
      </c>
      <c r="C120" s="346" t="str">
        <f>VLOOKUP(H120,名称!A:E,4,0)</f>
        <v>三代</v>
      </c>
      <c r="D120" s="588" t="s">
        <v>1330</v>
      </c>
      <c r="E120" s="588" t="s">
        <v>1338</v>
      </c>
      <c r="F120" s="588" t="s">
        <v>789</v>
      </c>
      <c r="G120" s="588" t="s">
        <v>790</v>
      </c>
      <c r="H120" s="588" t="s">
        <v>152</v>
      </c>
      <c r="I120" s="346"/>
      <c r="J120" s="589">
        <v>576</v>
      </c>
      <c r="K120" s="347">
        <f>VLOOKUP(H120,名称!A:C,2,0)</f>
        <v>12</v>
      </c>
      <c r="L120" s="348">
        <f t="shared" si="19"/>
        <v>6912</v>
      </c>
      <c r="M120" s="346">
        <f>VLOOKUP(H120,名称!A:E,3,0)</f>
        <v>96</v>
      </c>
      <c r="N120" s="348">
        <f t="shared" si="20"/>
        <v>6</v>
      </c>
      <c r="O120" s="587">
        <v>46200</v>
      </c>
      <c r="P120" s="536">
        <v>46220</v>
      </c>
      <c r="Q120" s="536">
        <v>46220</v>
      </c>
      <c r="R120" s="404" t="s">
        <v>1331</v>
      </c>
      <c r="S120" s="536" t="s">
        <v>1133</v>
      </c>
      <c r="T120" s="346"/>
      <c r="U120" s="568"/>
      <c r="V120" s="346"/>
      <c r="W120" s="348" t="str">
        <f>IFERROR(VLOOKUP(H120,名称!A:F,6,0),"")</f>
        <v>湖南</v>
      </c>
      <c r="X120" s="568" t="s">
        <v>1332</v>
      </c>
      <c r="Y120" s="568" t="s">
        <v>1233</v>
      </c>
      <c r="Z120" s="569">
        <v>46163</v>
      </c>
      <c r="AA120" s="570">
        <v>46172</v>
      </c>
      <c r="AB120" s="569">
        <v>46189</v>
      </c>
      <c r="AC120" s="568" t="s">
        <v>1333</v>
      </c>
      <c r="AD120" s="415" t="s">
        <v>1228</v>
      </c>
      <c r="AE120" s="588" t="s">
        <v>510</v>
      </c>
      <c r="AF120" s="568" t="s">
        <v>1228</v>
      </c>
      <c r="AG120" s="568" t="s">
        <v>341</v>
      </c>
      <c r="AH120" s="568" t="s">
        <v>1133</v>
      </c>
      <c r="AI120" s="568" t="s">
        <v>1228</v>
      </c>
      <c r="AJ120" s="568" t="s">
        <v>1133</v>
      </c>
      <c r="AK120" s="568" t="s">
        <v>1133</v>
      </c>
      <c r="AL120" s="568"/>
      <c r="AM120" s="568" t="s">
        <v>1334</v>
      </c>
      <c r="AN120" s="588"/>
      <c r="AO120" s="531">
        <v>1.27</v>
      </c>
      <c r="AP120" s="532">
        <f t="shared" si="21"/>
        <v>731.52</v>
      </c>
      <c r="AQ120" s="532">
        <f t="shared" si="22"/>
        <v>5669.28</v>
      </c>
      <c r="AR120" s="533"/>
      <c r="AS120" s="527"/>
      <c r="AT120" s="403" t="s">
        <v>1220</v>
      </c>
      <c r="AU120" s="537">
        <v>576</v>
      </c>
      <c r="AV120" s="535">
        <f t="shared" si="23"/>
        <v>0</v>
      </c>
      <c r="AW120" s="605"/>
      <c r="AX120" s="413" t="s">
        <v>1280</v>
      </c>
      <c r="AY120" s="527"/>
      <c r="AZ120" s="527"/>
      <c r="BA120" s="527"/>
      <c r="BB120" s="527" t="str">
        <f t="shared" si="24"/>
        <v>Amazon</v>
      </c>
      <c r="BC120" s="527" t="str">
        <f t="shared" si="25"/>
        <v>美国FBA</v>
      </c>
    </row>
    <row r="121" s="496" customFormat="1" customHeight="1" spans="1:55">
      <c r="A121" s="527">
        <v>46139</v>
      </c>
      <c r="B121" s="527" t="str">
        <f ca="1" t="shared" si="18"/>
        <v/>
      </c>
      <c r="C121" s="346" t="str">
        <f>VLOOKUP(H121,名称!A:E,4,0)</f>
        <v>三代</v>
      </c>
      <c r="D121" s="588" t="s">
        <v>1330</v>
      </c>
      <c r="E121" s="588" t="s">
        <v>1338</v>
      </c>
      <c r="F121" s="588" t="s">
        <v>789</v>
      </c>
      <c r="G121" s="588" t="s">
        <v>790</v>
      </c>
      <c r="H121" s="588" t="s">
        <v>153</v>
      </c>
      <c r="I121" s="346"/>
      <c r="J121" s="589">
        <v>576</v>
      </c>
      <c r="K121" s="347">
        <f>VLOOKUP(H121,名称!A:C,2,0)</f>
        <v>12</v>
      </c>
      <c r="L121" s="348">
        <f t="shared" si="19"/>
        <v>6912</v>
      </c>
      <c r="M121" s="346">
        <f>VLOOKUP(H121,名称!A:E,3,0)</f>
        <v>96</v>
      </c>
      <c r="N121" s="348">
        <f t="shared" si="20"/>
        <v>6</v>
      </c>
      <c r="O121" s="587">
        <v>46200</v>
      </c>
      <c r="P121" s="536">
        <v>46220</v>
      </c>
      <c r="Q121" s="536">
        <v>46220</v>
      </c>
      <c r="R121" s="404" t="s">
        <v>1331</v>
      </c>
      <c r="S121" s="536" t="s">
        <v>1133</v>
      </c>
      <c r="T121" s="346"/>
      <c r="U121" s="568"/>
      <c r="V121" s="346"/>
      <c r="W121" s="348" t="str">
        <f>IFERROR(VLOOKUP(H121,名称!A:F,6,0),"")</f>
        <v>湖南</v>
      </c>
      <c r="X121" s="568" t="s">
        <v>1332</v>
      </c>
      <c r="Y121" s="568" t="s">
        <v>1233</v>
      </c>
      <c r="Z121" s="569">
        <v>46163</v>
      </c>
      <c r="AA121" s="570">
        <v>46172</v>
      </c>
      <c r="AB121" s="569">
        <v>46189</v>
      </c>
      <c r="AC121" s="568" t="s">
        <v>1333</v>
      </c>
      <c r="AD121" s="415" t="s">
        <v>1228</v>
      </c>
      <c r="AE121" s="588" t="s">
        <v>510</v>
      </c>
      <c r="AF121" s="568" t="s">
        <v>1228</v>
      </c>
      <c r="AG121" s="568" t="s">
        <v>341</v>
      </c>
      <c r="AH121" s="568" t="s">
        <v>1133</v>
      </c>
      <c r="AI121" s="568" t="s">
        <v>1228</v>
      </c>
      <c r="AJ121" s="568" t="s">
        <v>1133</v>
      </c>
      <c r="AK121" s="568" t="s">
        <v>1133</v>
      </c>
      <c r="AL121" s="568"/>
      <c r="AM121" s="568" t="s">
        <v>1334</v>
      </c>
      <c r="AN121" s="588"/>
      <c r="AO121" s="531">
        <v>1.27</v>
      </c>
      <c r="AP121" s="532">
        <f t="shared" si="21"/>
        <v>731.52</v>
      </c>
      <c r="AQ121" s="532">
        <f t="shared" si="22"/>
        <v>5669.28</v>
      </c>
      <c r="AR121" s="533"/>
      <c r="AS121" s="527"/>
      <c r="AT121" s="403" t="s">
        <v>1220</v>
      </c>
      <c r="AU121" s="537">
        <v>576</v>
      </c>
      <c r="AV121" s="535">
        <f t="shared" si="23"/>
        <v>0</v>
      </c>
      <c r="AW121" s="605"/>
      <c r="AX121" s="413" t="s">
        <v>1280</v>
      </c>
      <c r="AY121" s="527"/>
      <c r="AZ121" s="527"/>
      <c r="BA121" s="527"/>
      <c r="BB121" s="527" t="str">
        <f t="shared" si="24"/>
        <v>Amazon</v>
      </c>
      <c r="BC121" s="527" t="str">
        <f t="shared" si="25"/>
        <v>美国FBA</v>
      </c>
    </row>
    <row r="122" s="496" customFormat="1" customHeight="1" spans="1:55">
      <c r="A122" s="527">
        <v>46139</v>
      </c>
      <c r="B122" s="527" t="str">
        <f ca="1" t="shared" si="18"/>
        <v/>
      </c>
      <c r="C122" s="346" t="str">
        <f>VLOOKUP(H122,名称!A:E,4,0)</f>
        <v>三代</v>
      </c>
      <c r="D122" s="588" t="s">
        <v>1330</v>
      </c>
      <c r="E122" s="588" t="s">
        <v>1338</v>
      </c>
      <c r="F122" s="588" t="s">
        <v>789</v>
      </c>
      <c r="G122" s="588" t="s">
        <v>790</v>
      </c>
      <c r="H122" s="588" t="s">
        <v>154</v>
      </c>
      <c r="I122" s="346"/>
      <c r="J122" s="589">
        <v>576</v>
      </c>
      <c r="K122" s="347">
        <f>VLOOKUP(H122,名称!A:C,2,0)</f>
        <v>12</v>
      </c>
      <c r="L122" s="348">
        <f t="shared" si="19"/>
        <v>6912</v>
      </c>
      <c r="M122" s="346">
        <f>VLOOKUP(H122,名称!A:E,3,0)</f>
        <v>96</v>
      </c>
      <c r="N122" s="348">
        <f t="shared" si="20"/>
        <v>6</v>
      </c>
      <c r="O122" s="587">
        <v>46200</v>
      </c>
      <c r="P122" s="536">
        <v>46220</v>
      </c>
      <c r="Q122" s="536">
        <v>46220</v>
      </c>
      <c r="R122" s="404" t="s">
        <v>1331</v>
      </c>
      <c r="S122" s="536" t="s">
        <v>1133</v>
      </c>
      <c r="T122" s="346"/>
      <c r="U122" s="568"/>
      <c r="V122" s="346"/>
      <c r="W122" s="348" t="str">
        <f>IFERROR(VLOOKUP(H122,名称!A:F,6,0),"")</f>
        <v>湖南</v>
      </c>
      <c r="X122" s="568" t="s">
        <v>1332</v>
      </c>
      <c r="Y122" s="568" t="s">
        <v>1233</v>
      </c>
      <c r="Z122" s="569">
        <v>46163</v>
      </c>
      <c r="AA122" s="570">
        <v>46172</v>
      </c>
      <c r="AB122" s="569">
        <v>46189</v>
      </c>
      <c r="AC122" s="568" t="s">
        <v>1333</v>
      </c>
      <c r="AD122" s="415" t="s">
        <v>1228</v>
      </c>
      <c r="AE122" s="588" t="s">
        <v>510</v>
      </c>
      <c r="AF122" s="568" t="s">
        <v>1228</v>
      </c>
      <c r="AG122" s="568" t="s">
        <v>341</v>
      </c>
      <c r="AH122" s="568" t="s">
        <v>1133</v>
      </c>
      <c r="AI122" s="568" t="s">
        <v>1228</v>
      </c>
      <c r="AJ122" s="568" t="s">
        <v>1133</v>
      </c>
      <c r="AK122" s="568" t="s">
        <v>1133</v>
      </c>
      <c r="AL122" s="568"/>
      <c r="AM122" s="568" t="s">
        <v>1334</v>
      </c>
      <c r="AN122" s="588"/>
      <c r="AO122" s="531">
        <v>1.27</v>
      </c>
      <c r="AP122" s="532">
        <f t="shared" si="21"/>
        <v>731.52</v>
      </c>
      <c r="AQ122" s="532">
        <f t="shared" si="22"/>
        <v>5669.28</v>
      </c>
      <c r="AR122" s="533"/>
      <c r="AS122" s="527"/>
      <c r="AT122" s="403" t="s">
        <v>1220</v>
      </c>
      <c r="AU122" s="537">
        <v>576</v>
      </c>
      <c r="AV122" s="535">
        <f t="shared" si="23"/>
        <v>0</v>
      </c>
      <c r="AW122" s="605"/>
      <c r="AX122" s="413" t="s">
        <v>1280</v>
      </c>
      <c r="AY122" s="527"/>
      <c r="AZ122" s="527"/>
      <c r="BA122" s="527"/>
      <c r="BB122" s="527" t="str">
        <f t="shared" si="24"/>
        <v>Amazon</v>
      </c>
      <c r="BC122" s="527" t="str">
        <f t="shared" si="25"/>
        <v>美国FBA</v>
      </c>
    </row>
    <row r="123" s="496" customFormat="1" customHeight="1" spans="1:55">
      <c r="A123" s="527">
        <v>46139</v>
      </c>
      <c r="B123" s="527" t="str">
        <f ca="1" t="shared" si="18"/>
        <v/>
      </c>
      <c r="C123" s="346" t="str">
        <f>VLOOKUP(H123,名称!A:E,4,0)</f>
        <v>三代</v>
      </c>
      <c r="D123" s="588" t="s">
        <v>1330</v>
      </c>
      <c r="E123" s="588" t="s">
        <v>1224</v>
      </c>
      <c r="F123" s="588" t="s">
        <v>789</v>
      </c>
      <c r="G123" s="588" t="s">
        <v>790</v>
      </c>
      <c r="H123" s="588" t="s">
        <v>160</v>
      </c>
      <c r="I123" s="346"/>
      <c r="J123" s="589">
        <f>1152/2-16</f>
        <v>560</v>
      </c>
      <c r="K123" s="347">
        <f>VLOOKUP(H123,名称!A:C,2,0)</f>
        <v>5</v>
      </c>
      <c r="L123" s="348">
        <f t="shared" si="19"/>
        <v>2800</v>
      </c>
      <c r="M123" s="346">
        <f>VLOOKUP(H123,名称!A:E,3,0)</f>
        <v>70</v>
      </c>
      <c r="N123" s="348">
        <f t="shared" si="20"/>
        <v>8</v>
      </c>
      <c r="O123" s="587">
        <v>46200</v>
      </c>
      <c r="P123" s="536">
        <v>46219</v>
      </c>
      <c r="Q123" s="536">
        <v>46219</v>
      </c>
      <c r="R123" s="602" t="s">
        <v>1331</v>
      </c>
      <c r="S123" s="536" t="s">
        <v>1133</v>
      </c>
      <c r="T123" s="346"/>
      <c r="U123" s="568"/>
      <c r="V123" s="346"/>
      <c r="W123" s="348" t="str">
        <f>IFERROR(VLOOKUP(H123,名称!A:F,6,0),"")</f>
        <v>湖南</v>
      </c>
      <c r="X123" s="568" t="s">
        <v>1332</v>
      </c>
      <c r="Y123" s="568" t="s">
        <v>1233</v>
      </c>
      <c r="Z123" s="569">
        <v>46163</v>
      </c>
      <c r="AA123" s="570">
        <v>46172</v>
      </c>
      <c r="AB123" s="415" t="s">
        <v>1233</v>
      </c>
      <c r="AC123" s="568" t="s">
        <v>1133</v>
      </c>
      <c r="AD123" s="568" t="s">
        <v>1133</v>
      </c>
      <c r="AE123" s="588" t="s">
        <v>510</v>
      </c>
      <c r="AF123" s="568" t="s">
        <v>1228</v>
      </c>
      <c r="AG123" s="568" t="s">
        <v>1133</v>
      </c>
      <c r="AH123" s="568" t="s">
        <v>1133</v>
      </c>
      <c r="AI123" s="568" t="s">
        <v>1228</v>
      </c>
      <c r="AJ123" s="568" t="s">
        <v>1133</v>
      </c>
      <c r="AK123" s="568" t="s">
        <v>510</v>
      </c>
      <c r="AL123" s="568"/>
      <c r="AM123" s="568" t="s">
        <v>1334</v>
      </c>
      <c r="AN123" s="588"/>
      <c r="AO123" s="531">
        <v>0.65</v>
      </c>
      <c r="AP123" s="532">
        <f t="shared" si="21"/>
        <v>364</v>
      </c>
      <c r="AQ123" s="532">
        <f t="shared" si="22"/>
        <v>2821</v>
      </c>
      <c r="AR123" s="533"/>
      <c r="AS123" s="527"/>
      <c r="AT123" s="403" t="s">
        <v>1220</v>
      </c>
      <c r="AU123" s="537">
        <v>560</v>
      </c>
      <c r="AV123" s="535">
        <f t="shared" si="23"/>
        <v>0</v>
      </c>
      <c r="AW123" s="605"/>
      <c r="AX123" s="413" t="s">
        <v>1280</v>
      </c>
      <c r="AY123" s="527"/>
      <c r="AZ123" s="527"/>
      <c r="BA123" s="527"/>
      <c r="BB123" s="527" t="str">
        <f t="shared" si="24"/>
        <v>Amazon</v>
      </c>
      <c r="BC123" s="527" t="str">
        <f t="shared" si="25"/>
        <v>美国</v>
      </c>
    </row>
    <row r="124" s="496" customFormat="1" customHeight="1" spans="1:55">
      <c r="A124" s="527">
        <v>46139</v>
      </c>
      <c r="B124" s="527" t="str">
        <f ca="1" t="shared" si="18"/>
        <v/>
      </c>
      <c r="C124" s="346" t="str">
        <f>VLOOKUP(H124,名称!A:E,4,0)</f>
        <v>三代</v>
      </c>
      <c r="D124" s="588" t="s">
        <v>1330</v>
      </c>
      <c r="E124" s="588" t="s">
        <v>1224</v>
      </c>
      <c r="F124" s="588" t="s">
        <v>789</v>
      </c>
      <c r="G124" s="588" t="s">
        <v>790</v>
      </c>
      <c r="H124" s="588" t="s">
        <v>178</v>
      </c>
      <c r="I124" s="346"/>
      <c r="J124" s="589">
        <f>1152/2-16</f>
        <v>560</v>
      </c>
      <c r="K124" s="347">
        <f>VLOOKUP(H124,名称!A:C,2,0)</f>
        <v>5</v>
      </c>
      <c r="L124" s="348">
        <f t="shared" si="19"/>
        <v>2800</v>
      </c>
      <c r="M124" s="346">
        <f>VLOOKUP(H124,名称!A:E,3,0)</f>
        <v>70</v>
      </c>
      <c r="N124" s="348">
        <f t="shared" si="20"/>
        <v>8</v>
      </c>
      <c r="O124" s="587">
        <v>46200</v>
      </c>
      <c r="P124" s="536">
        <v>46219</v>
      </c>
      <c r="Q124" s="536">
        <v>46219</v>
      </c>
      <c r="R124" s="602" t="s">
        <v>1331</v>
      </c>
      <c r="S124" s="536" t="s">
        <v>1133</v>
      </c>
      <c r="T124" s="346"/>
      <c r="U124" s="568"/>
      <c r="V124" s="346"/>
      <c r="W124" s="348" t="str">
        <f>IFERROR(VLOOKUP(H124,名称!A:F,6,0),"")</f>
        <v>湖南</v>
      </c>
      <c r="X124" s="568" t="s">
        <v>1332</v>
      </c>
      <c r="Y124" s="568" t="s">
        <v>1233</v>
      </c>
      <c r="Z124" s="569">
        <v>46163</v>
      </c>
      <c r="AA124" s="570">
        <v>46172</v>
      </c>
      <c r="AB124" s="415" t="s">
        <v>1233</v>
      </c>
      <c r="AC124" s="568" t="s">
        <v>1133</v>
      </c>
      <c r="AD124" s="568" t="s">
        <v>1133</v>
      </c>
      <c r="AE124" s="588" t="s">
        <v>510</v>
      </c>
      <c r="AF124" s="568" t="s">
        <v>1228</v>
      </c>
      <c r="AG124" s="568" t="s">
        <v>1133</v>
      </c>
      <c r="AH124" s="568" t="s">
        <v>1133</v>
      </c>
      <c r="AI124" s="568" t="s">
        <v>1228</v>
      </c>
      <c r="AJ124" s="568" t="s">
        <v>1133</v>
      </c>
      <c r="AK124" s="568" t="s">
        <v>510</v>
      </c>
      <c r="AL124" s="568"/>
      <c r="AM124" s="568" t="s">
        <v>1334</v>
      </c>
      <c r="AN124" s="588"/>
      <c r="AO124" s="531">
        <v>0.65</v>
      </c>
      <c r="AP124" s="532">
        <f t="shared" si="21"/>
        <v>364</v>
      </c>
      <c r="AQ124" s="532">
        <f t="shared" si="22"/>
        <v>2821</v>
      </c>
      <c r="AR124" s="533"/>
      <c r="AS124" s="527"/>
      <c r="AT124" s="403" t="s">
        <v>1220</v>
      </c>
      <c r="AU124" s="537">
        <v>560</v>
      </c>
      <c r="AV124" s="535">
        <f t="shared" si="23"/>
        <v>0</v>
      </c>
      <c r="AW124" s="605"/>
      <c r="AX124" s="413" t="s">
        <v>1280</v>
      </c>
      <c r="AY124" s="527"/>
      <c r="AZ124" s="527"/>
      <c r="BA124" s="527"/>
      <c r="BB124" s="527" t="str">
        <f t="shared" si="24"/>
        <v>Amazon</v>
      </c>
      <c r="BC124" s="527" t="str">
        <f t="shared" si="25"/>
        <v>美国</v>
      </c>
    </row>
    <row r="125" s="496" customFormat="1" customHeight="1" spans="1:55">
      <c r="A125" s="527">
        <v>46139</v>
      </c>
      <c r="B125" s="527" t="str">
        <f ca="1" t="shared" si="18"/>
        <v/>
      </c>
      <c r="C125" s="346" t="str">
        <f>VLOOKUP(H125,名称!A:E,4,0)</f>
        <v>三代</v>
      </c>
      <c r="D125" s="588" t="s">
        <v>1330</v>
      </c>
      <c r="E125" s="588" t="s">
        <v>1338</v>
      </c>
      <c r="F125" s="588" t="s">
        <v>789</v>
      </c>
      <c r="G125" s="588" t="s">
        <v>790</v>
      </c>
      <c r="H125" s="588" t="s">
        <v>161</v>
      </c>
      <c r="I125" s="118"/>
      <c r="J125" s="589">
        <v>378</v>
      </c>
      <c r="K125" s="92">
        <f>VLOOKUP(H125,名称!A:C,2,0)</f>
        <v>0</v>
      </c>
      <c r="L125" s="32">
        <f t="shared" si="19"/>
        <v>0</v>
      </c>
      <c r="M125" s="346">
        <v>6</v>
      </c>
      <c r="N125" s="348">
        <f t="shared" si="20"/>
        <v>63</v>
      </c>
      <c r="O125" s="587">
        <v>46200</v>
      </c>
      <c r="P125" s="536">
        <v>46233</v>
      </c>
      <c r="Q125" s="536">
        <v>46233</v>
      </c>
      <c r="R125" s="601" t="s">
        <v>1331</v>
      </c>
      <c r="S125" s="536" t="s">
        <v>1133</v>
      </c>
      <c r="T125" s="346"/>
      <c r="U125" s="568"/>
      <c r="V125" s="346"/>
      <c r="W125" s="348" t="str">
        <f>IFERROR(VLOOKUP(H125,名称!A:F,6,0),"")</f>
        <v>湖南</v>
      </c>
      <c r="X125" s="568" t="s">
        <v>1332</v>
      </c>
      <c r="Y125" s="568" t="s">
        <v>1233</v>
      </c>
      <c r="Z125" s="569">
        <v>46163</v>
      </c>
      <c r="AA125" s="570">
        <v>46172</v>
      </c>
      <c r="AB125" s="569">
        <v>46189</v>
      </c>
      <c r="AC125" s="568" t="s">
        <v>1333</v>
      </c>
      <c r="AD125" s="415" t="s">
        <v>1228</v>
      </c>
      <c r="AE125" s="588" t="s">
        <v>510</v>
      </c>
      <c r="AF125" s="568" t="s">
        <v>1228</v>
      </c>
      <c r="AG125" s="568" t="s">
        <v>341</v>
      </c>
      <c r="AH125" s="568" t="s">
        <v>1133</v>
      </c>
      <c r="AI125" s="568" t="s">
        <v>1233</v>
      </c>
      <c r="AJ125" s="568" t="s">
        <v>1133</v>
      </c>
      <c r="AK125" s="568" t="s">
        <v>1133</v>
      </c>
      <c r="AL125" s="568"/>
      <c r="AM125" s="568" t="s">
        <v>1334</v>
      </c>
      <c r="AN125" s="588"/>
      <c r="AO125" s="531">
        <v>9.15</v>
      </c>
      <c r="AP125" s="532">
        <f t="shared" si="21"/>
        <v>3458.7</v>
      </c>
      <c r="AQ125" s="532">
        <f t="shared" si="22"/>
        <v>26804.93</v>
      </c>
      <c r="AR125" s="533"/>
      <c r="AS125" s="527"/>
      <c r="AT125" s="403" t="s">
        <v>1220</v>
      </c>
      <c r="AU125" s="537"/>
      <c r="AV125" s="535">
        <f t="shared" si="23"/>
        <v>-378</v>
      </c>
      <c r="AW125" s="605"/>
      <c r="AX125" s="536"/>
      <c r="AY125" s="527" t="s">
        <v>1317</v>
      </c>
      <c r="AZ125" s="527" t="s">
        <v>1337</v>
      </c>
      <c r="BA125" s="527"/>
      <c r="BB125" s="527" t="str">
        <f t="shared" si="24"/>
        <v>Amazon</v>
      </c>
      <c r="BC125" s="527" t="str">
        <f t="shared" si="25"/>
        <v>美国FBA</v>
      </c>
    </row>
    <row r="126" s="496" customFormat="1" customHeight="1" spans="1:55">
      <c r="A126" s="527">
        <v>46139</v>
      </c>
      <c r="B126" s="527" t="str">
        <f ca="1" t="shared" si="18"/>
        <v/>
      </c>
      <c r="C126" s="346" t="str">
        <f>VLOOKUP(H126,名称!A:E,4,0)</f>
        <v>三代</v>
      </c>
      <c r="D126" s="588" t="s">
        <v>1330</v>
      </c>
      <c r="E126" s="588" t="s">
        <v>1338</v>
      </c>
      <c r="F126" s="588" t="s">
        <v>789</v>
      </c>
      <c r="G126" s="588" t="s">
        <v>790</v>
      </c>
      <c r="H126" s="588" t="s">
        <v>162</v>
      </c>
      <c r="I126" s="346"/>
      <c r="J126" s="589">
        <v>1152</v>
      </c>
      <c r="K126" s="92">
        <f>VLOOKUP(H126,名称!A:C,2,0)</f>
        <v>12</v>
      </c>
      <c r="L126" s="32">
        <f t="shared" si="19"/>
        <v>13824</v>
      </c>
      <c r="M126" s="346">
        <f>VLOOKUP(H126,名称!A:E,3,0)</f>
        <v>96</v>
      </c>
      <c r="N126" s="348">
        <f t="shared" si="20"/>
        <v>12</v>
      </c>
      <c r="O126" s="587">
        <v>46200</v>
      </c>
      <c r="P126" s="536">
        <v>46222</v>
      </c>
      <c r="Q126" s="536">
        <v>46222</v>
      </c>
      <c r="R126" s="602" t="s">
        <v>1331</v>
      </c>
      <c r="S126" s="536" t="s">
        <v>1133</v>
      </c>
      <c r="T126" s="346"/>
      <c r="U126" s="568"/>
      <c r="V126" s="346"/>
      <c r="W126" s="348" t="str">
        <f>IFERROR(VLOOKUP(H126,名称!A:F,6,0),"")</f>
        <v>湖南</v>
      </c>
      <c r="X126" s="568" t="s">
        <v>1332</v>
      </c>
      <c r="Y126" s="568" t="s">
        <v>1233</v>
      </c>
      <c r="Z126" s="569">
        <v>46163</v>
      </c>
      <c r="AA126" s="570">
        <v>46172</v>
      </c>
      <c r="AB126" s="569">
        <v>46189</v>
      </c>
      <c r="AC126" s="568" t="s">
        <v>1333</v>
      </c>
      <c r="AD126" s="568" t="s">
        <v>1228</v>
      </c>
      <c r="AE126" s="588" t="s">
        <v>510</v>
      </c>
      <c r="AF126" s="568" t="s">
        <v>1228</v>
      </c>
      <c r="AG126" s="568" t="s">
        <v>341</v>
      </c>
      <c r="AH126" s="568" t="s">
        <v>1133</v>
      </c>
      <c r="AI126" s="568" t="s">
        <v>1228</v>
      </c>
      <c r="AJ126" s="568" t="s">
        <v>1133</v>
      </c>
      <c r="AK126" s="568" t="s">
        <v>1133</v>
      </c>
      <c r="AL126" s="568"/>
      <c r="AM126" s="568" t="s">
        <v>1334</v>
      </c>
      <c r="AN126" s="588"/>
      <c r="AO126" s="531">
        <v>1.27</v>
      </c>
      <c r="AP126" s="532">
        <f t="shared" si="21"/>
        <v>1463.04</v>
      </c>
      <c r="AQ126" s="532">
        <f t="shared" si="22"/>
        <v>11338.56</v>
      </c>
      <c r="AR126" s="533"/>
      <c r="AS126" s="527"/>
      <c r="AT126" s="403" t="s">
        <v>1220</v>
      </c>
      <c r="AU126" s="537">
        <v>1152</v>
      </c>
      <c r="AV126" s="535">
        <f t="shared" si="23"/>
        <v>0</v>
      </c>
      <c r="AW126" s="605"/>
      <c r="AX126" s="413" t="s">
        <v>1280</v>
      </c>
      <c r="AY126" s="527"/>
      <c r="AZ126" s="527"/>
      <c r="BA126" s="527"/>
      <c r="BB126" s="527" t="str">
        <f t="shared" si="24"/>
        <v>Amazon</v>
      </c>
      <c r="BC126" s="527" t="str">
        <f t="shared" si="25"/>
        <v>美国FBA</v>
      </c>
    </row>
    <row r="127" s="496" customFormat="1" customHeight="1" spans="1:55">
      <c r="A127" s="527">
        <v>46139</v>
      </c>
      <c r="B127" s="527" t="str">
        <f ca="1" t="shared" si="18"/>
        <v/>
      </c>
      <c r="C127" s="346" t="str">
        <f>VLOOKUP(H127,名称!A:E,4,0)</f>
        <v>三代</v>
      </c>
      <c r="D127" s="588" t="s">
        <v>1330</v>
      </c>
      <c r="E127" s="588" t="s">
        <v>1338</v>
      </c>
      <c r="F127" s="588" t="s">
        <v>789</v>
      </c>
      <c r="G127" s="588" t="s">
        <v>790</v>
      </c>
      <c r="H127" s="588" t="s">
        <v>163</v>
      </c>
      <c r="I127" s="346"/>
      <c r="J127" s="589">
        <v>1152</v>
      </c>
      <c r="K127" s="92">
        <f>VLOOKUP(H127,名称!A:C,2,0)</f>
        <v>12</v>
      </c>
      <c r="L127" s="32">
        <f t="shared" si="19"/>
        <v>13824</v>
      </c>
      <c r="M127" s="346">
        <f>VLOOKUP(H127,名称!A:E,3,0)</f>
        <v>96</v>
      </c>
      <c r="N127" s="348">
        <f t="shared" si="20"/>
        <v>12</v>
      </c>
      <c r="O127" s="587">
        <v>46200</v>
      </c>
      <c r="P127" s="536">
        <v>46222</v>
      </c>
      <c r="Q127" s="536">
        <v>46222</v>
      </c>
      <c r="R127" s="602" t="s">
        <v>1331</v>
      </c>
      <c r="S127" s="536" t="s">
        <v>1133</v>
      </c>
      <c r="T127" s="346"/>
      <c r="U127" s="568"/>
      <c r="V127" s="346"/>
      <c r="W127" s="348" t="str">
        <f>IFERROR(VLOOKUP(H127,名称!A:F,6,0),"")</f>
        <v>湖南</v>
      </c>
      <c r="X127" s="568" t="s">
        <v>1332</v>
      </c>
      <c r="Y127" s="568" t="s">
        <v>1233</v>
      </c>
      <c r="Z127" s="569">
        <v>46163</v>
      </c>
      <c r="AA127" s="570">
        <v>46172</v>
      </c>
      <c r="AB127" s="569">
        <v>46189</v>
      </c>
      <c r="AC127" s="568" t="s">
        <v>1333</v>
      </c>
      <c r="AD127" s="568" t="s">
        <v>1228</v>
      </c>
      <c r="AE127" s="588" t="s">
        <v>510</v>
      </c>
      <c r="AF127" s="568" t="s">
        <v>1228</v>
      </c>
      <c r="AG127" s="568" t="s">
        <v>341</v>
      </c>
      <c r="AH127" s="568" t="s">
        <v>1133</v>
      </c>
      <c r="AI127" s="568" t="s">
        <v>1228</v>
      </c>
      <c r="AJ127" s="568" t="s">
        <v>1133</v>
      </c>
      <c r="AK127" s="568" t="s">
        <v>1133</v>
      </c>
      <c r="AL127" s="568"/>
      <c r="AM127" s="568" t="s">
        <v>1334</v>
      </c>
      <c r="AN127" s="588"/>
      <c r="AO127" s="531">
        <v>1.27</v>
      </c>
      <c r="AP127" s="532">
        <f t="shared" si="21"/>
        <v>1463.04</v>
      </c>
      <c r="AQ127" s="532">
        <f t="shared" si="22"/>
        <v>11338.56</v>
      </c>
      <c r="AR127" s="533"/>
      <c r="AS127" s="527"/>
      <c r="AT127" s="403" t="s">
        <v>1220</v>
      </c>
      <c r="AU127" s="537">
        <f>1056+96</f>
        <v>1152</v>
      </c>
      <c r="AV127" s="535">
        <f t="shared" si="23"/>
        <v>0</v>
      </c>
      <c r="AW127" s="605"/>
      <c r="AX127" s="413" t="s">
        <v>1280</v>
      </c>
      <c r="AY127" s="527"/>
      <c r="AZ127" s="527"/>
      <c r="BA127" s="527"/>
      <c r="BB127" s="527" t="str">
        <f t="shared" si="24"/>
        <v>Amazon</v>
      </c>
      <c r="BC127" s="527" t="str">
        <f t="shared" si="25"/>
        <v>美国FBA</v>
      </c>
    </row>
    <row r="128" s="496" customFormat="1" customHeight="1" spans="1:55">
      <c r="A128" s="527">
        <v>46139</v>
      </c>
      <c r="B128" s="527" t="str">
        <f ca="1" t="shared" si="18"/>
        <v/>
      </c>
      <c r="C128" s="346" t="str">
        <f>VLOOKUP(H128,名称!A:E,4,0)</f>
        <v>三代</v>
      </c>
      <c r="D128" s="588" t="s">
        <v>1330</v>
      </c>
      <c r="E128" s="588" t="s">
        <v>1338</v>
      </c>
      <c r="F128" s="588" t="s">
        <v>789</v>
      </c>
      <c r="G128" s="588" t="s">
        <v>790</v>
      </c>
      <c r="H128" s="588" t="s">
        <v>164</v>
      </c>
      <c r="I128" s="346"/>
      <c r="J128" s="589">
        <v>1152</v>
      </c>
      <c r="K128" s="92">
        <f>VLOOKUP(H128,名称!A:C,2,0)</f>
        <v>12</v>
      </c>
      <c r="L128" s="32">
        <f t="shared" si="19"/>
        <v>13824</v>
      </c>
      <c r="M128" s="346">
        <f>VLOOKUP(H128,名称!A:E,3,0)</f>
        <v>96</v>
      </c>
      <c r="N128" s="348">
        <f t="shared" si="20"/>
        <v>12</v>
      </c>
      <c r="O128" s="587">
        <v>46200</v>
      </c>
      <c r="P128" s="536">
        <v>46222</v>
      </c>
      <c r="Q128" s="536">
        <v>46222</v>
      </c>
      <c r="R128" s="602" t="s">
        <v>1331</v>
      </c>
      <c r="S128" s="536" t="s">
        <v>1133</v>
      </c>
      <c r="T128" s="346"/>
      <c r="U128" s="568"/>
      <c r="V128" s="346"/>
      <c r="W128" s="348" t="str">
        <f>IFERROR(VLOOKUP(H128,名称!A:F,6,0),"")</f>
        <v>湖南</v>
      </c>
      <c r="X128" s="568" t="s">
        <v>1332</v>
      </c>
      <c r="Y128" s="568" t="s">
        <v>1233</v>
      </c>
      <c r="Z128" s="569">
        <v>46163</v>
      </c>
      <c r="AA128" s="570">
        <v>46172</v>
      </c>
      <c r="AB128" s="569">
        <v>46189</v>
      </c>
      <c r="AC128" s="568" t="s">
        <v>1333</v>
      </c>
      <c r="AD128" s="568" t="s">
        <v>1228</v>
      </c>
      <c r="AE128" s="588" t="s">
        <v>510</v>
      </c>
      <c r="AF128" s="568" t="s">
        <v>1228</v>
      </c>
      <c r="AG128" s="568" t="s">
        <v>341</v>
      </c>
      <c r="AH128" s="568" t="s">
        <v>1133</v>
      </c>
      <c r="AI128" s="568" t="s">
        <v>1228</v>
      </c>
      <c r="AJ128" s="568" t="s">
        <v>1133</v>
      </c>
      <c r="AK128" s="568" t="s">
        <v>1133</v>
      </c>
      <c r="AL128" s="568"/>
      <c r="AM128" s="568" t="s">
        <v>1334</v>
      </c>
      <c r="AN128" s="588"/>
      <c r="AO128" s="531">
        <v>1.27</v>
      </c>
      <c r="AP128" s="532">
        <f t="shared" si="21"/>
        <v>1463.04</v>
      </c>
      <c r="AQ128" s="532">
        <f t="shared" si="22"/>
        <v>11338.56</v>
      </c>
      <c r="AR128" s="533"/>
      <c r="AS128" s="527"/>
      <c r="AT128" s="403" t="s">
        <v>1220</v>
      </c>
      <c r="AU128" s="537">
        <f>960+96+96</f>
        <v>1152</v>
      </c>
      <c r="AV128" s="535">
        <f t="shared" si="23"/>
        <v>0</v>
      </c>
      <c r="AW128" s="605"/>
      <c r="AX128" s="413" t="s">
        <v>1280</v>
      </c>
      <c r="AY128" s="527"/>
      <c r="AZ128" s="527"/>
      <c r="BA128" s="527"/>
      <c r="BB128" s="527" t="str">
        <f t="shared" si="24"/>
        <v>Amazon</v>
      </c>
      <c r="BC128" s="527" t="str">
        <f t="shared" si="25"/>
        <v>美国FBA</v>
      </c>
    </row>
    <row r="129" s="495" customFormat="1" customHeight="1" spans="1:55">
      <c r="A129" s="538">
        <v>46139</v>
      </c>
      <c r="B129" s="538" t="str">
        <f ca="1" t="shared" si="18"/>
        <v/>
      </c>
      <c r="C129" s="539" t="str">
        <f>VLOOKUP(H129,名称!A:E,4,0)</f>
        <v>三代</v>
      </c>
      <c r="D129" s="591" t="s">
        <v>1330</v>
      </c>
      <c r="E129" s="591" t="s">
        <v>1338</v>
      </c>
      <c r="F129" s="591" t="s">
        <v>789</v>
      </c>
      <c r="G129" s="591" t="s">
        <v>790</v>
      </c>
      <c r="H129" s="591" t="s">
        <v>201</v>
      </c>
      <c r="I129" s="118"/>
      <c r="J129" s="593">
        <f>576+24</f>
        <v>600</v>
      </c>
      <c r="K129" s="92">
        <f>VLOOKUP(H129,名称!A:C,2,0)</f>
        <v>0</v>
      </c>
      <c r="L129" s="32">
        <f t="shared" si="19"/>
        <v>0</v>
      </c>
      <c r="M129" s="604">
        <f>VLOOKUP(H129,名称!A:E,3,0)</f>
        <v>60</v>
      </c>
      <c r="N129" s="518">
        <f t="shared" si="20"/>
        <v>10</v>
      </c>
      <c r="O129" s="590">
        <v>46200</v>
      </c>
      <c r="P129" s="549">
        <v>46272</v>
      </c>
      <c r="Q129" s="549">
        <v>46272</v>
      </c>
      <c r="R129" s="539"/>
      <c r="S129" s="549" t="s">
        <v>1133</v>
      </c>
      <c r="T129" s="539"/>
      <c r="U129" s="541"/>
      <c r="V129" s="539"/>
      <c r="W129" s="518" t="str">
        <f>IFERROR(VLOOKUP(H129,名称!A:F,6,0),"")</f>
        <v>湖南</v>
      </c>
      <c r="X129" s="541" t="s">
        <v>1332</v>
      </c>
      <c r="Y129" s="541" t="s">
        <v>1233</v>
      </c>
      <c r="Z129" s="567">
        <v>46163</v>
      </c>
      <c r="AA129" s="552">
        <v>46172</v>
      </c>
      <c r="AB129" s="431" t="s">
        <v>1233</v>
      </c>
      <c r="AC129" s="541" t="s">
        <v>1333</v>
      </c>
      <c r="AD129" s="541" t="s">
        <v>1233</v>
      </c>
      <c r="AE129" s="591" t="s">
        <v>510</v>
      </c>
      <c r="AF129" s="541" t="s">
        <v>1228</v>
      </c>
      <c r="AG129" s="541" t="s">
        <v>341</v>
      </c>
      <c r="AH129" s="541" t="s">
        <v>1133</v>
      </c>
      <c r="AI129" s="541" t="s">
        <v>1233</v>
      </c>
      <c r="AJ129" s="541" t="s">
        <v>1133</v>
      </c>
      <c r="AK129" s="541" t="s">
        <v>1133</v>
      </c>
      <c r="AL129" s="541"/>
      <c r="AM129" s="541" t="s">
        <v>1334</v>
      </c>
      <c r="AN129" s="591"/>
      <c r="AO129" s="544">
        <v>1.58</v>
      </c>
      <c r="AP129" s="545">
        <f t="shared" si="21"/>
        <v>948</v>
      </c>
      <c r="AQ129" s="545">
        <f t="shared" si="22"/>
        <v>7347</v>
      </c>
      <c r="AR129" s="546"/>
      <c r="AS129" s="538"/>
      <c r="AT129" s="538" t="s">
        <v>1310</v>
      </c>
      <c r="AU129" s="584"/>
      <c r="AV129" s="548">
        <f t="shared" si="23"/>
        <v>-600</v>
      </c>
      <c r="AW129" s="606"/>
      <c r="AX129" s="549"/>
      <c r="AY129" s="538" t="s">
        <v>1317</v>
      </c>
      <c r="AZ129" s="538" t="s">
        <v>1337</v>
      </c>
      <c r="BA129" s="538"/>
      <c r="BB129" s="538" t="str">
        <f t="shared" si="24"/>
        <v>Amazon</v>
      </c>
      <c r="BC129" s="538" t="str">
        <f t="shared" si="25"/>
        <v>美国FBA</v>
      </c>
    </row>
    <row r="130" s="496" customFormat="1" customHeight="1" spans="1:55">
      <c r="A130" s="527">
        <v>46139</v>
      </c>
      <c r="B130" s="527" t="str">
        <f ca="1" t="shared" si="18"/>
        <v/>
      </c>
      <c r="C130" s="346" t="str">
        <f>VLOOKUP(H130,名称!A:E,4,0)</f>
        <v>三代</v>
      </c>
      <c r="D130" s="588" t="s">
        <v>1330</v>
      </c>
      <c r="E130" s="588" t="s">
        <v>1224</v>
      </c>
      <c r="F130" s="588" t="s">
        <v>789</v>
      </c>
      <c r="G130" s="588" t="s">
        <v>790</v>
      </c>
      <c r="H130" s="588" t="s">
        <v>166</v>
      </c>
      <c r="I130" s="346"/>
      <c r="J130" s="426">
        <f>5292-42</f>
        <v>5250</v>
      </c>
      <c r="K130" s="347">
        <f>VLOOKUP(H130,名称!A:C,2,0)</f>
        <v>5</v>
      </c>
      <c r="L130" s="348">
        <f t="shared" si="19"/>
        <v>26250</v>
      </c>
      <c r="M130" s="607">
        <f>VLOOKUP(H130,名称!A:E,3,0)</f>
        <v>75</v>
      </c>
      <c r="N130" s="348">
        <f t="shared" si="20"/>
        <v>70</v>
      </c>
      <c r="O130" s="587">
        <v>46200</v>
      </c>
      <c r="P130" s="536">
        <v>46233</v>
      </c>
      <c r="Q130" s="536">
        <v>46233</v>
      </c>
      <c r="R130" s="601" t="s">
        <v>1331</v>
      </c>
      <c r="S130" s="536" t="s">
        <v>1133</v>
      </c>
      <c r="T130" s="346"/>
      <c r="U130" s="568"/>
      <c r="V130" s="346"/>
      <c r="W130" s="348" t="str">
        <f>IFERROR(VLOOKUP(H130,名称!A:F,6,0),"")</f>
        <v>湖南</v>
      </c>
      <c r="X130" s="588" t="s">
        <v>1332</v>
      </c>
      <c r="Y130" s="346" t="s">
        <v>1233</v>
      </c>
      <c r="Z130" s="569">
        <v>46163</v>
      </c>
      <c r="AA130" s="570">
        <v>46172</v>
      </c>
      <c r="AB130" s="569">
        <v>46189</v>
      </c>
      <c r="AC130" s="415" t="s">
        <v>1133</v>
      </c>
      <c r="AD130" s="415" t="s">
        <v>1133</v>
      </c>
      <c r="AE130" s="588" t="s">
        <v>510</v>
      </c>
      <c r="AF130" s="568" t="s">
        <v>1228</v>
      </c>
      <c r="AG130" s="568" t="s">
        <v>1133</v>
      </c>
      <c r="AH130" s="568" t="s">
        <v>1133</v>
      </c>
      <c r="AI130" s="568" t="s">
        <v>1133</v>
      </c>
      <c r="AJ130" s="568" t="s">
        <v>1133</v>
      </c>
      <c r="AK130" s="568" t="s">
        <v>510</v>
      </c>
      <c r="AL130" s="568"/>
      <c r="AM130" s="568" t="s">
        <v>1334</v>
      </c>
      <c r="AN130" s="588"/>
      <c r="AO130" s="531">
        <v>0.61</v>
      </c>
      <c r="AP130" s="532">
        <f t="shared" si="21"/>
        <v>3202.5</v>
      </c>
      <c r="AQ130" s="532">
        <f t="shared" si="22"/>
        <v>24819.38</v>
      </c>
      <c r="AR130" s="533"/>
      <c r="AS130" s="527"/>
      <c r="AT130" s="527" t="s">
        <v>1310</v>
      </c>
      <c r="AU130" s="537"/>
      <c r="AV130" s="535">
        <f t="shared" si="23"/>
        <v>-5250</v>
      </c>
      <c r="AW130" s="535"/>
      <c r="AX130" s="536"/>
      <c r="AY130" s="527"/>
      <c r="AZ130" s="527"/>
      <c r="BA130" s="527"/>
      <c r="BB130" s="527" t="str">
        <f t="shared" si="24"/>
        <v>Amazon</v>
      </c>
      <c r="BC130" s="527" t="str">
        <f t="shared" si="25"/>
        <v>美国</v>
      </c>
    </row>
    <row r="131" s="495" customFormat="1" customHeight="1" spans="1:55">
      <c r="A131" s="538">
        <v>46139</v>
      </c>
      <c r="B131" s="538" t="str">
        <f ca="1" t="shared" si="18"/>
        <v/>
      </c>
      <c r="C131" s="539" t="str">
        <f>VLOOKUP(H131,名称!A:E,4,0)</f>
        <v>三代</v>
      </c>
      <c r="D131" s="591" t="s">
        <v>1330</v>
      </c>
      <c r="E131" s="591" t="s">
        <v>1340</v>
      </c>
      <c r="F131" s="591" t="s">
        <v>789</v>
      </c>
      <c r="G131" s="591" t="s">
        <v>790</v>
      </c>
      <c r="H131" s="591" t="s">
        <v>167</v>
      </c>
      <c r="I131" s="118"/>
      <c r="J131" s="592">
        <v>6744</v>
      </c>
      <c r="K131" s="92">
        <f>VLOOKUP(H131,名称!A:C,2,0)</f>
        <v>12</v>
      </c>
      <c r="L131" s="32">
        <f t="shared" si="19"/>
        <v>80928</v>
      </c>
      <c r="M131" s="604">
        <f>VLOOKUP(H131,名称!A:E,3,0)</f>
        <v>6</v>
      </c>
      <c r="N131" s="518">
        <f t="shared" si="20"/>
        <v>1124</v>
      </c>
      <c r="O131" s="590">
        <v>46200</v>
      </c>
      <c r="P131" s="549">
        <v>46242</v>
      </c>
      <c r="Q131" s="549">
        <v>46242</v>
      </c>
      <c r="R131" s="539"/>
      <c r="S131" s="549" t="s">
        <v>1133</v>
      </c>
      <c r="T131" s="539"/>
      <c r="U131" s="541"/>
      <c r="V131" s="539"/>
      <c r="W131" s="518" t="str">
        <f>IFERROR(VLOOKUP(H131,名称!A:F,6,0),"")</f>
        <v>东莞</v>
      </c>
      <c r="X131" s="541" t="s">
        <v>1332</v>
      </c>
      <c r="Y131" s="541" t="s">
        <v>1233</v>
      </c>
      <c r="Z131" s="567">
        <v>46163</v>
      </c>
      <c r="AA131" s="552">
        <v>46172</v>
      </c>
      <c r="AB131" s="567">
        <v>46189</v>
      </c>
      <c r="AC131" s="541" t="s">
        <v>1333</v>
      </c>
      <c r="AD131" s="431" t="s">
        <v>1228</v>
      </c>
      <c r="AE131" s="591" t="s">
        <v>510</v>
      </c>
      <c r="AF131" s="541" t="s">
        <v>1228</v>
      </c>
      <c r="AG131" s="541" t="s">
        <v>341</v>
      </c>
      <c r="AH131" s="541" t="s">
        <v>1133</v>
      </c>
      <c r="AI131" s="541" t="s">
        <v>1233</v>
      </c>
      <c r="AJ131" s="541" t="s">
        <v>510</v>
      </c>
      <c r="AK131" s="541" t="s">
        <v>1133</v>
      </c>
      <c r="AL131" s="541"/>
      <c r="AM131" s="541" t="s">
        <v>1334</v>
      </c>
      <c r="AN131" s="591"/>
      <c r="AO131" s="544">
        <v>1.67</v>
      </c>
      <c r="AP131" s="545">
        <f t="shared" si="21"/>
        <v>11262.48</v>
      </c>
      <c r="AQ131" s="545">
        <f t="shared" si="22"/>
        <v>87284.22</v>
      </c>
      <c r="AR131" s="546"/>
      <c r="AS131" s="538"/>
      <c r="AT131" s="538" t="s">
        <v>1310</v>
      </c>
      <c r="AU131" s="584"/>
      <c r="AV131" s="548">
        <f t="shared" si="23"/>
        <v>-6744</v>
      </c>
      <c r="AW131" s="548"/>
      <c r="AX131" s="549"/>
      <c r="AY131" s="538"/>
      <c r="AZ131" s="538"/>
      <c r="BA131" s="538"/>
      <c r="BB131" s="538" t="str">
        <f t="shared" si="24"/>
        <v>Amazon</v>
      </c>
      <c r="BC131" s="538" t="str">
        <f t="shared" si="25"/>
        <v>美国(FBA)</v>
      </c>
    </row>
    <row r="132" s="496" customFormat="1" customHeight="1" spans="1:55">
      <c r="A132" s="527">
        <v>46139</v>
      </c>
      <c r="B132" s="527" t="str">
        <f ca="1" t="shared" si="18"/>
        <v/>
      </c>
      <c r="C132" s="346" t="str">
        <f>VLOOKUP(H132,名称!A:E,4,0)</f>
        <v>三代</v>
      </c>
      <c r="D132" s="588" t="s">
        <v>1330</v>
      </c>
      <c r="E132" s="588" t="s">
        <v>1338</v>
      </c>
      <c r="F132" s="588" t="s">
        <v>789</v>
      </c>
      <c r="G132" s="588" t="s">
        <v>790</v>
      </c>
      <c r="H132" s="588" t="s">
        <v>171</v>
      </c>
      <c r="I132" s="346"/>
      <c r="J132" s="589">
        <v>720</v>
      </c>
      <c r="K132" s="347">
        <f>VLOOKUP(H132,名称!A:C,2,0)</f>
        <v>7</v>
      </c>
      <c r="L132" s="348">
        <f t="shared" si="19"/>
        <v>5040</v>
      </c>
      <c r="M132" s="346">
        <f>VLOOKUP(H132,名称!A:E,3,0)</f>
        <v>144</v>
      </c>
      <c r="N132" s="348">
        <f t="shared" si="20"/>
        <v>5</v>
      </c>
      <c r="O132" s="587">
        <v>46200</v>
      </c>
      <c r="P132" s="536">
        <v>46216</v>
      </c>
      <c r="Q132" s="536">
        <v>46216</v>
      </c>
      <c r="R132" s="404" t="s">
        <v>1331</v>
      </c>
      <c r="S132" s="536" t="s">
        <v>1133</v>
      </c>
      <c r="T132" s="346"/>
      <c r="U132" s="568"/>
      <c r="V132" s="346"/>
      <c r="W132" s="348" t="str">
        <f>IFERROR(VLOOKUP(H132,名称!A:F,6,0),"")</f>
        <v>湖南</v>
      </c>
      <c r="X132" s="588" t="s">
        <v>1332</v>
      </c>
      <c r="Y132" s="346" t="s">
        <v>1233</v>
      </c>
      <c r="Z132" s="569">
        <v>46163</v>
      </c>
      <c r="AA132" s="570">
        <v>46172</v>
      </c>
      <c r="AB132" s="569">
        <v>46189</v>
      </c>
      <c r="AC132" s="568" t="s">
        <v>1333</v>
      </c>
      <c r="AD132" s="568" t="s">
        <v>1228</v>
      </c>
      <c r="AE132" s="588" t="s">
        <v>510</v>
      </c>
      <c r="AF132" s="568" t="s">
        <v>1228</v>
      </c>
      <c r="AG132" s="568" t="s">
        <v>341</v>
      </c>
      <c r="AH132" s="568" t="s">
        <v>1133</v>
      </c>
      <c r="AI132" s="568" t="s">
        <v>1228</v>
      </c>
      <c r="AJ132" s="568" t="s">
        <v>1133</v>
      </c>
      <c r="AK132" s="568" t="s">
        <v>1133</v>
      </c>
      <c r="AL132" s="568"/>
      <c r="AM132" s="568" t="s">
        <v>1334</v>
      </c>
      <c r="AN132" s="588"/>
      <c r="AO132" s="531">
        <v>0.64</v>
      </c>
      <c r="AP132" s="532">
        <f t="shared" si="21"/>
        <v>460.8</v>
      </c>
      <c r="AQ132" s="532">
        <f t="shared" si="22"/>
        <v>3571.2</v>
      </c>
      <c r="AR132" s="533"/>
      <c r="AS132" s="527"/>
      <c r="AT132" s="527" t="s">
        <v>1310</v>
      </c>
      <c r="AU132" s="537">
        <v>720</v>
      </c>
      <c r="AV132" s="535">
        <f t="shared" si="23"/>
        <v>0</v>
      </c>
      <c r="AW132" s="605"/>
      <c r="AX132" s="536"/>
      <c r="AY132" s="527"/>
      <c r="AZ132" s="527"/>
      <c r="BA132" s="527"/>
      <c r="BB132" s="527" t="str">
        <f t="shared" si="24"/>
        <v>Amazon</v>
      </c>
      <c r="BC132" s="527" t="str">
        <f t="shared" si="25"/>
        <v>美国FBA</v>
      </c>
    </row>
    <row r="133" s="496" customFormat="1" customHeight="1" spans="1:55">
      <c r="A133" s="527">
        <v>46139</v>
      </c>
      <c r="B133" s="527" t="str">
        <f ca="1" t="shared" si="18"/>
        <v/>
      </c>
      <c r="C133" s="346" t="str">
        <f>VLOOKUP(H133,名称!A:E,4,0)</f>
        <v>三代</v>
      </c>
      <c r="D133" s="588" t="s">
        <v>1330</v>
      </c>
      <c r="E133" s="588" t="s">
        <v>1338</v>
      </c>
      <c r="F133" s="588" t="s">
        <v>789</v>
      </c>
      <c r="G133" s="588" t="s">
        <v>790</v>
      </c>
      <c r="H133" s="588" t="s">
        <v>172</v>
      </c>
      <c r="I133" s="346"/>
      <c r="J133" s="589">
        <v>720</v>
      </c>
      <c r="K133" s="347">
        <f>VLOOKUP(H133,名称!A:C,2,0)</f>
        <v>7</v>
      </c>
      <c r="L133" s="348">
        <f t="shared" si="19"/>
        <v>5040</v>
      </c>
      <c r="M133" s="346">
        <f>VLOOKUP(H133,名称!A:E,3,0)</f>
        <v>144</v>
      </c>
      <c r="N133" s="348">
        <f t="shared" si="20"/>
        <v>5</v>
      </c>
      <c r="O133" s="587">
        <v>46200</v>
      </c>
      <c r="P133" s="536">
        <v>46216</v>
      </c>
      <c r="Q133" s="536">
        <v>46216</v>
      </c>
      <c r="R133" s="404" t="s">
        <v>1331</v>
      </c>
      <c r="S133" s="536" t="s">
        <v>1133</v>
      </c>
      <c r="T133" s="346"/>
      <c r="U133" s="568"/>
      <c r="V133" s="346"/>
      <c r="W133" s="348" t="str">
        <f>IFERROR(VLOOKUP(H133,名称!A:F,6,0),"")</f>
        <v>湖南</v>
      </c>
      <c r="X133" s="588" t="s">
        <v>1332</v>
      </c>
      <c r="Y133" s="346" t="s">
        <v>1233</v>
      </c>
      <c r="Z133" s="569">
        <v>46163</v>
      </c>
      <c r="AA133" s="570">
        <v>46172</v>
      </c>
      <c r="AB133" s="569">
        <v>46189</v>
      </c>
      <c r="AC133" s="568" t="s">
        <v>1333</v>
      </c>
      <c r="AD133" s="568" t="s">
        <v>1228</v>
      </c>
      <c r="AE133" s="588" t="s">
        <v>510</v>
      </c>
      <c r="AF133" s="568" t="s">
        <v>1228</v>
      </c>
      <c r="AG133" s="568" t="s">
        <v>341</v>
      </c>
      <c r="AH133" s="568" t="s">
        <v>1133</v>
      </c>
      <c r="AI133" s="568" t="s">
        <v>1228</v>
      </c>
      <c r="AJ133" s="568" t="s">
        <v>1133</v>
      </c>
      <c r="AK133" s="568" t="s">
        <v>1133</v>
      </c>
      <c r="AL133" s="568"/>
      <c r="AM133" s="568" t="s">
        <v>1334</v>
      </c>
      <c r="AN133" s="588"/>
      <c r="AO133" s="531">
        <v>0.64</v>
      </c>
      <c r="AP133" s="532">
        <f t="shared" si="21"/>
        <v>460.8</v>
      </c>
      <c r="AQ133" s="532">
        <f t="shared" si="22"/>
        <v>3571.2</v>
      </c>
      <c r="AR133" s="533"/>
      <c r="AS133" s="527"/>
      <c r="AT133" s="527" t="s">
        <v>1310</v>
      </c>
      <c r="AU133" s="537">
        <v>720</v>
      </c>
      <c r="AV133" s="535">
        <f t="shared" si="23"/>
        <v>0</v>
      </c>
      <c r="AW133" s="605"/>
      <c r="AX133" s="536"/>
      <c r="AY133" s="527"/>
      <c r="AZ133" s="527"/>
      <c r="BA133" s="527"/>
      <c r="BB133" s="527" t="str">
        <f t="shared" si="24"/>
        <v>Amazon</v>
      </c>
      <c r="BC133" s="527" t="str">
        <f t="shared" si="25"/>
        <v>美国FBA</v>
      </c>
    </row>
    <row r="134" s="496" customFormat="1" customHeight="1" spans="1:55">
      <c r="A134" s="527">
        <v>46139</v>
      </c>
      <c r="B134" s="527" t="str">
        <f ca="1" t="shared" si="18"/>
        <v/>
      </c>
      <c r="C134" s="346" t="str">
        <f>VLOOKUP(H134,名称!A:E,4,0)</f>
        <v>三代</v>
      </c>
      <c r="D134" s="588" t="s">
        <v>1330</v>
      </c>
      <c r="E134" s="588" t="s">
        <v>1338</v>
      </c>
      <c r="F134" s="588" t="s">
        <v>789</v>
      </c>
      <c r="G134" s="588" t="s">
        <v>790</v>
      </c>
      <c r="H134" s="588" t="s">
        <v>173</v>
      </c>
      <c r="I134" s="346"/>
      <c r="J134" s="589">
        <v>720</v>
      </c>
      <c r="K134" s="347">
        <f>VLOOKUP(H134,名称!A:C,2,0)</f>
        <v>7</v>
      </c>
      <c r="L134" s="348">
        <f t="shared" si="19"/>
        <v>5040</v>
      </c>
      <c r="M134" s="346">
        <f>VLOOKUP(H134,名称!A:E,3,0)</f>
        <v>144</v>
      </c>
      <c r="N134" s="348">
        <f t="shared" si="20"/>
        <v>5</v>
      </c>
      <c r="O134" s="587">
        <v>46200</v>
      </c>
      <c r="P134" s="536">
        <v>46216</v>
      </c>
      <c r="Q134" s="536">
        <v>46216</v>
      </c>
      <c r="R134" s="404" t="s">
        <v>1331</v>
      </c>
      <c r="S134" s="536" t="s">
        <v>1133</v>
      </c>
      <c r="T134" s="346"/>
      <c r="U134" s="568"/>
      <c r="V134" s="346"/>
      <c r="W134" s="348" t="str">
        <f>IFERROR(VLOOKUP(H134,名称!A:F,6,0),"")</f>
        <v>湖南</v>
      </c>
      <c r="X134" s="588" t="s">
        <v>1332</v>
      </c>
      <c r="Y134" s="346" t="s">
        <v>1233</v>
      </c>
      <c r="Z134" s="569">
        <v>46163</v>
      </c>
      <c r="AA134" s="570">
        <v>46172</v>
      </c>
      <c r="AB134" s="569">
        <v>46189</v>
      </c>
      <c r="AC134" s="568" t="s">
        <v>1333</v>
      </c>
      <c r="AD134" s="568" t="s">
        <v>1228</v>
      </c>
      <c r="AE134" s="588" t="s">
        <v>510</v>
      </c>
      <c r="AF134" s="568" t="s">
        <v>1228</v>
      </c>
      <c r="AG134" s="568" t="s">
        <v>341</v>
      </c>
      <c r="AH134" s="568" t="s">
        <v>1133</v>
      </c>
      <c r="AI134" s="568" t="s">
        <v>1228</v>
      </c>
      <c r="AJ134" s="568" t="s">
        <v>1133</v>
      </c>
      <c r="AK134" s="568" t="s">
        <v>1133</v>
      </c>
      <c r="AL134" s="568"/>
      <c r="AM134" s="568" t="s">
        <v>1334</v>
      </c>
      <c r="AN134" s="588"/>
      <c r="AO134" s="531">
        <v>0.64</v>
      </c>
      <c r="AP134" s="532">
        <f t="shared" si="21"/>
        <v>460.8</v>
      </c>
      <c r="AQ134" s="532">
        <f t="shared" si="22"/>
        <v>3571.2</v>
      </c>
      <c r="AR134" s="533"/>
      <c r="AS134" s="527"/>
      <c r="AT134" s="527" t="s">
        <v>1310</v>
      </c>
      <c r="AU134" s="537">
        <v>720</v>
      </c>
      <c r="AV134" s="535">
        <f t="shared" si="23"/>
        <v>0</v>
      </c>
      <c r="AW134" s="605"/>
      <c r="AX134" s="536"/>
      <c r="AY134" s="527"/>
      <c r="AZ134" s="527"/>
      <c r="BA134" s="527"/>
      <c r="BB134" s="527" t="str">
        <f t="shared" si="24"/>
        <v>Amazon</v>
      </c>
      <c r="BC134" s="527" t="str">
        <f t="shared" si="25"/>
        <v>美国FBA</v>
      </c>
    </row>
    <row r="135" s="496" customFormat="1" customHeight="1" spans="1:55">
      <c r="A135" s="527">
        <v>46139</v>
      </c>
      <c r="B135" s="527" t="str">
        <f ca="1" t="shared" si="18"/>
        <v/>
      </c>
      <c r="C135" s="346" t="str">
        <f>VLOOKUP(H135,名称!A:E,4,0)</f>
        <v>三代</v>
      </c>
      <c r="D135" s="588" t="s">
        <v>1330</v>
      </c>
      <c r="E135" s="588" t="s">
        <v>1338</v>
      </c>
      <c r="F135" s="588" t="s">
        <v>789</v>
      </c>
      <c r="G135" s="588" t="s">
        <v>790</v>
      </c>
      <c r="H135" s="588" t="s">
        <v>174</v>
      </c>
      <c r="I135" s="346"/>
      <c r="J135" s="589">
        <v>720</v>
      </c>
      <c r="K135" s="347">
        <f>VLOOKUP(H135,名称!A:C,2,0)</f>
        <v>32</v>
      </c>
      <c r="L135" s="348">
        <f t="shared" si="19"/>
        <v>23040</v>
      </c>
      <c r="M135" s="346">
        <f>VLOOKUP(H135,名称!A:E,3,0)</f>
        <v>60</v>
      </c>
      <c r="N135" s="348">
        <f t="shared" si="20"/>
        <v>12</v>
      </c>
      <c r="O135" s="587">
        <v>46200</v>
      </c>
      <c r="P135" s="536">
        <v>46216</v>
      </c>
      <c r="Q135" s="536">
        <v>46216</v>
      </c>
      <c r="R135" s="404" t="s">
        <v>1241</v>
      </c>
      <c r="S135" s="536" t="s">
        <v>1133</v>
      </c>
      <c r="T135" s="346"/>
      <c r="U135" s="568"/>
      <c r="V135" s="346"/>
      <c r="W135" s="348" t="str">
        <f>IFERROR(VLOOKUP(H135,名称!A:F,6,0),"")</f>
        <v>湖南</v>
      </c>
      <c r="X135" s="588" t="s">
        <v>1332</v>
      </c>
      <c r="Y135" s="346" t="s">
        <v>1233</v>
      </c>
      <c r="Z135" s="569">
        <v>46163</v>
      </c>
      <c r="AA135" s="570">
        <v>46172</v>
      </c>
      <c r="AB135" s="569">
        <v>46189</v>
      </c>
      <c r="AC135" s="568" t="s">
        <v>1333</v>
      </c>
      <c r="AD135" s="568" t="s">
        <v>1228</v>
      </c>
      <c r="AE135" s="588" t="s">
        <v>510</v>
      </c>
      <c r="AF135" s="568" t="s">
        <v>1228</v>
      </c>
      <c r="AG135" s="568" t="s">
        <v>341</v>
      </c>
      <c r="AH135" s="568" t="s">
        <v>1133</v>
      </c>
      <c r="AI135" s="568" t="s">
        <v>1228</v>
      </c>
      <c r="AJ135" s="568" t="s">
        <v>1133</v>
      </c>
      <c r="AK135" s="568" t="s">
        <v>1133</v>
      </c>
      <c r="AL135" s="568"/>
      <c r="AM135" s="568" t="s">
        <v>1334</v>
      </c>
      <c r="AN135" s="588"/>
      <c r="AO135" s="531">
        <v>2.57</v>
      </c>
      <c r="AP135" s="532">
        <f t="shared" si="21"/>
        <v>1850.4</v>
      </c>
      <c r="AQ135" s="532">
        <f t="shared" si="22"/>
        <v>14340.6</v>
      </c>
      <c r="AR135" s="533"/>
      <c r="AS135" s="527"/>
      <c r="AT135" s="527" t="s">
        <v>1310</v>
      </c>
      <c r="AU135" s="537">
        <v>720</v>
      </c>
      <c r="AV135" s="535">
        <f t="shared" si="23"/>
        <v>0</v>
      </c>
      <c r="AW135" s="605"/>
      <c r="AX135" s="536"/>
      <c r="AY135" s="527"/>
      <c r="AZ135" s="527"/>
      <c r="BA135" s="527"/>
      <c r="BB135" s="527" t="str">
        <f t="shared" si="24"/>
        <v>Amazon</v>
      </c>
      <c r="BC135" s="527" t="str">
        <f t="shared" si="25"/>
        <v>美国FBA</v>
      </c>
    </row>
    <row r="136" s="496" customFormat="1" customHeight="1" spans="1:55">
      <c r="A136" s="527">
        <v>46139</v>
      </c>
      <c r="B136" s="527" t="str">
        <f ca="1" t="shared" si="18"/>
        <v/>
      </c>
      <c r="C136" s="346" t="str">
        <f>VLOOKUP(H136,名称!A:E,4,0)</f>
        <v>三代</v>
      </c>
      <c r="D136" s="588" t="s">
        <v>1330</v>
      </c>
      <c r="E136" s="588" t="s">
        <v>1224</v>
      </c>
      <c r="F136" s="588" t="s">
        <v>789</v>
      </c>
      <c r="G136" s="588" t="s">
        <v>790</v>
      </c>
      <c r="H136" s="588" t="s">
        <v>175</v>
      </c>
      <c r="I136" s="346"/>
      <c r="J136" s="589">
        <v>384</v>
      </c>
      <c r="K136" s="347">
        <f>VLOOKUP(H136,名称!A:C,2,0)</f>
        <v>12</v>
      </c>
      <c r="L136" s="348">
        <f t="shared" si="19"/>
        <v>4608</v>
      </c>
      <c r="M136" s="346">
        <f>VLOOKUP(H136,名称!A:E,3,0)</f>
        <v>96</v>
      </c>
      <c r="N136" s="348">
        <f t="shared" si="20"/>
        <v>4</v>
      </c>
      <c r="O136" s="587">
        <v>46200</v>
      </c>
      <c r="P136" s="536">
        <v>46217</v>
      </c>
      <c r="Q136" s="536">
        <v>46217</v>
      </c>
      <c r="R136" s="404" t="s">
        <v>1331</v>
      </c>
      <c r="S136" s="536" t="s">
        <v>1133</v>
      </c>
      <c r="T136" s="346"/>
      <c r="U136" s="568"/>
      <c r="V136" s="346"/>
      <c r="W136" s="348" t="str">
        <f>IFERROR(VLOOKUP(H136,名称!A:F,6,0),"")</f>
        <v>湖南</v>
      </c>
      <c r="X136" s="588" t="s">
        <v>1332</v>
      </c>
      <c r="Y136" s="346" t="s">
        <v>1233</v>
      </c>
      <c r="Z136" s="569">
        <v>46163</v>
      </c>
      <c r="AA136" s="570">
        <v>46172</v>
      </c>
      <c r="AB136" s="569">
        <v>46189</v>
      </c>
      <c r="AC136" s="568" t="s">
        <v>1333</v>
      </c>
      <c r="AD136" s="415" t="s">
        <v>1228</v>
      </c>
      <c r="AE136" s="588" t="s">
        <v>510</v>
      </c>
      <c r="AF136" s="568" t="s">
        <v>1228</v>
      </c>
      <c r="AG136" s="568" t="s">
        <v>341</v>
      </c>
      <c r="AH136" s="568" t="s">
        <v>1133</v>
      </c>
      <c r="AI136" s="568" t="s">
        <v>1228</v>
      </c>
      <c r="AJ136" s="568" t="s">
        <v>1133</v>
      </c>
      <c r="AK136" s="568" t="s">
        <v>1133</v>
      </c>
      <c r="AL136" s="568"/>
      <c r="AM136" s="568" t="s">
        <v>1334</v>
      </c>
      <c r="AN136" s="588"/>
      <c r="AO136" s="531">
        <v>1.3</v>
      </c>
      <c r="AP136" s="532">
        <f t="shared" si="21"/>
        <v>499.2</v>
      </c>
      <c r="AQ136" s="532">
        <f t="shared" si="22"/>
        <v>3868.8</v>
      </c>
      <c r="AR136" s="533"/>
      <c r="AS136" s="527"/>
      <c r="AT136" s="527" t="s">
        <v>1310</v>
      </c>
      <c r="AU136" s="537">
        <v>384</v>
      </c>
      <c r="AV136" s="535">
        <f t="shared" si="23"/>
        <v>0</v>
      </c>
      <c r="AW136" s="605"/>
      <c r="AX136" s="536"/>
      <c r="AY136" s="527"/>
      <c r="AZ136" s="527"/>
      <c r="BA136" s="527"/>
      <c r="BB136" s="527" t="str">
        <f t="shared" si="24"/>
        <v>Amazon</v>
      </c>
      <c r="BC136" s="527" t="str">
        <f t="shared" si="25"/>
        <v>美国</v>
      </c>
    </row>
    <row r="137" s="496" customFormat="1" customHeight="1" spans="1:55">
      <c r="A137" s="527">
        <v>46139</v>
      </c>
      <c r="B137" s="527" t="str">
        <f ca="1" t="shared" si="18"/>
        <v/>
      </c>
      <c r="C137" s="346" t="str">
        <f>VLOOKUP(H137,名称!A:E,4,0)</f>
        <v>三代</v>
      </c>
      <c r="D137" s="588" t="s">
        <v>1330</v>
      </c>
      <c r="E137" s="588" t="s">
        <v>1224</v>
      </c>
      <c r="F137" s="588" t="s">
        <v>789</v>
      </c>
      <c r="G137" s="588" t="s">
        <v>790</v>
      </c>
      <c r="H137" s="588" t="s">
        <v>176</v>
      </c>
      <c r="I137" s="346"/>
      <c r="J137" s="589">
        <v>384</v>
      </c>
      <c r="K137" s="347">
        <f>VLOOKUP(H137,名称!A:C,2,0)</f>
        <v>12</v>
      </c>
      <c r="L137" s="348">
        <f t="shared" si="19"/>
        <v>4608</v>
      </c>
      <c r="M137" s="346">
        <f>VLOOKUP(H137,名称!A:E,3,0)</f>
        <v>96</v>
      </c>
      <c r="N137" s="348">
        <f t="shared" si="20"/>
        <v>4</v>
      </c>
      <c r="O137" s="587">
        <v>46200</v>
      </c>
      <c r="P137" s="536">
        <v>46217</v>
      </c>
      <c r="Q137" s="536">
        <v>46217</v>
      </c>
      <c r="R137" s="404" t="s">
        <v>1331</v>
      </c>
      <c r="S137" s="536" t="s">
        <v>1133</v>
      </c>
      <c r="T137" s="346"/>
      <c r="U137" s="568"/>
      <c r="V137" s="346"/>
      <c r="W137" s="348" t="str">
        <f>IFERROR(VLOOKUP(H137,名称!A:F,6,0),"")</f>
        <v>湖南</v>
      </c>
      <c r="X137" s="588" t="s">
        <v>1332</v>
      </c>
      <c r="Y137" s="346" t="s">
        <v>1233</v>
      </c>
      <c r="Z137" s="569">
        <v>46163</v>
      </c>
      <c r="AA137" s="570">
        <v>46172</v>
      </c>
      <c r="AB137" s="569">
        <v>46189</v>
      </c>
      <c r="AC137" s="568" t="s">
        <v>1333</v>
      </c>
      <c r="AD137" s="415" t="s">
        <v>1228</v>
      </c>
      <c r="AE137" s="588" t="s">
        <v>510</v>
      </c>
      <c r="AF137" s="568" t="s">
        <v>1228</v>
      </c>
      <c r="AG137" s="568" t="s">
        <v>341</v>
      </c>
      <c r="AH137" s="568" t="s">
        <v>1133</v>
      </c>
      <c r="AI137" s="568" t="s">
        <v>1228</v>
      </c>
      <c r="AJ137" s="568" t="s">
        <v>1133</v>
      </c>
      <c r="AK137" s="568" t="s">
        <v>1133</v>
      </c>
      <c r="AL137" s="568"/>
      <c r="AM137" s="568" t="s">
        <v>1334</v>
      </c>
      <c r="AN137" s="588"/>
      <c r="AO137" s="531">
        <v>1.3</v>
      </c>
      <c r="AP137" s="532">
        <f t="shared" si="21"/>
        <v>499.2</v>
      </c>
      <c r="AQ137" s="532">
        <f t="shared" si="22"/>
        <v>3868.8</v>
      </c>
      <c r="AR137" s="533"/>
      <c r="AS137" s="527"/>
      <c r="AT137" s="527" t="s">
        <v>1310</v>
      </c>
      <c r="AU137" s="537">
        <v>384</v>
      </c>
      <c r="AV137" s="535">
        <f t="shared" si="23"/>
        <v>0</v>
      </c>
      <c r="AW137" s="605"/>
      <c r="AX137" s="536"/>
      <c r="AY137" s="527"/>
      <c r="AZ137" s="527"/>
      <c r="BA137" s="527"/>
      <c r="BB137" s="527" t="str">
        <f t="shared" si="24"/>
        <v>Amazon</v>
      </c>
      <c r="BC137" s="527" t="str">
        <f t="shared" si="25"/>
        <v>美国</v>
      </c>
    </row>
    <row r="138" s="496" customFormat="1" customHeight="1" spans="1:55">
      <c r="A138" s="527">
        <v>46139</v>
      </c>
      <c r="B138" s="527" t="str">
        <f ca="1" t="shared" si="18"/>
        <v/>
      </c>
      <c r="C138" s="346" t="str">
        <f>VLOOKUP(H138,名称!A:E,4,0)</f>
        <v>三代</v>
      </c>
      <c r="D138" s="588" t="s">
        <v>1330</v>
      </c>
      <c r="E138" s="588" t="s">
        <v>1224</v>
      </c>
      <c r="F138" s="588" t="s">
        <v>789</v>
      </c>
      <c r="G138" s="588" t="s">
        <v>790</v>
      </c>
      <c r="H138" s="588" t="s">
        <v>177</v>
      </c>
      <c r="I138" s="346"/>
      <c r="J138" s="589">
        <v>384</v>
      </c>
      <c r="K138" s="347">
        <f>VLOOKUP(H138,名称!A:C,2,0)</f>
        <v>12</v>
      </c>
      <c r="L138" s="348">
        <f t="shared" si="19"/>
        <v>4608</v>
      </c>
      <c r="M138" s="346">
        <f>VLOOKUP(H138,名称!A:E,3,0)</f>
        <v>96</v>
      </c>
      <c r="N138" s="348">
        <f t="shared" si="20"/>
        <v>4</v>
      </c>
      <c r="O138" s="587">
        <v>46200</v>
      </c>
      <c r="P138" s="536">
        <v>46217</v>
      </c>
      <c r="Q138" s="536">
        <v>46217</v>
      </c>
      <c r="R138" s="404" t="s">
        <v>1331</v>
      </c>
      <c r="S138" s="536" t="s">
        <v>1133</v>
      </c>
      <c r="T138" s="346"/>
      <c r="U138" s="568"/>
      <c r="V138" s="346"/>
      <c r="W138" s="348" t="str">
        <f>IFERROR(VLOOKUP(H138,名称!A:F,6,0),"")</f>
        <v>湖南</v>
      </c>
      <c r="X138" s="588" t="s">
        <v>1332</v>
      </c>
      <c r="Y138" s="346" t="s">
        <v>1233</v>
      </c>
      <c r="Z138" s="569">
        <v>46163</v>
      </c>
      <c r="AA138" s="570">
        <v>46172</v>
      </c>
      <c r="AB138" s="569">
        <v>46189</v>
      </c>
      <c r="AC138" s="568" t="s">
        <v>1333</v>
      </c>
      <c r="AD138" s="415" t="s">
        <v>1228</v>
      </c>
      <c r="AE138" s="588" t="s">
        <v>510</v>
      </c>
      <c r="AF138" s="568" t="s">
        <v>1228</v>
      </c>
      <c r="AG138" s="568" t="s">
        <v>341</v>
      </c>
      <c r="AH138" s="568" t="s">
        <v>1133</v>
      </c>
      <c r="AI138" s="568" t="s">
        <v>1228</v>
      </c>
      <c r="AJ138" s="568" t="s">
        <v>1133</v>
      </c>
      <c r="AK138" s="568" t="s">
        <v>1133</v>
      </c>
      <c r="AL138" s="568"/>
      <c r="AM138" s="568" t="s">
        <v>1334</v>
      </c>
      <c r="AN138" s="588"/>
      <c r="AO138" s="531">
        <v>1.3</v>
      </c>
      <c r="AP138" s="532">
        <f t="shared" si="21"/>
        <v>499.2</v>
      </c>
      <c r="AQ138" s="532">
        <f t="shared" si="22"/>
        <v>3868.8</v>
      </c>
      <c r="AR138" s="533"/>
      <c r="AS138" s="527"/>
      <c r="AT138" s="527" t="s">
        <v>1310</v>
      </c>
      <c r="AU138" s="537">
        <v>384</v>
      </c>
      <c r="AV138" s="535">
        <f t="shared" si="23"/>
        <v>0</v>
      </c>
      <c r="AW138" s="605"/>
      <c r="AX138" s="536"/>
      <c r="AY138" s="527"/>
      <c r="AZ138" s="527"/>
      <c r="BA138" s="527"/>
      <c r="BB138" s="527" t="str">
        <f t="shared" si="24"/>
        <v>Amazon</v>
      </c>
      <c r="BC138" s="527" t="str">
        <f t="shared" si="25"/>
        <v>美国</v>
      </c>
    </row>
    <row r="139" s="496" customFormat="1" customHeight="1" spans="1:55">
      <c r="A139" s="527">
        <v>46139</v>
      </c>
      <c r="B139" s="527" t="str">
        <f ca="1" t="shared" si="18"/>
        <v/>
      </c>
      <c r="C139" s="346" t="str">
        <f>VLOOKUP(H139,名称!A:E,4,0)</f>
        <v>三代</v>
      </c>
      <c r="D139" s="588" t="s">
        <v>1330</v>
      </c>
      <c r="E139" s="588" t="s">
        <v>1341</v>
      </c>
      <c r="F139" s="588" t="s">
        <v>791</v>
      </c>
      <c r="G139" s="588" t="s">
        <v>792</v>
      </c>
      <c r="H139" s="588" t="s">
        <v>132</v>
      </c>
      <c r="I139" s="118"/>
      <c r="J139" s="589">
        <v>2040</v>
      </c>
      <c r="K139" s="92">
        <f>VLOOKUP(H139,名称!A:C,2,0)</f>
        <v>0</v>
      </c>
      <c r="L139" s="32">
        <f t="shared" si="19"/>
        <v>0</v>
      </c>
      <c r="M139" s="346">
        <f>VLOOKUP(H139,名称!A:E,3,0)</f>
        <v>12</v>
      </c>
      <c r="N139" s="348">
        <f t="shared" si="20"/>
        <v>170</v>
      </c>
      <c r="O139" s="587">
        <v>46200</v>
      </c>
      <c r="P139" s="536">
        <v>46216</v>
      </c>
      <c r="Q139" s="536">
        <v>46216</v>
      </c>
      <c r="R139" s="404" t="s">
        <v>1331</v>
      </c>
      <c r="S139" s="536" t="s">
        <v>1133</v>
      </c>
      <c r="T139" s="346"/>
      <c r="U139" s="568"/>
      <c r="V139" s="346"/>
      <c r="W139" s="348" t="str">
        <f>IFERROR(VLOOKUP(H139,名称!A:F,6,0),"")</f>
        <v>东莞</v>
      </c>
      <c r="X139" s="588" t="s">
        <v>1332</v>
      </c>
      <c r="Y139" s="346" t="s">
        <v>1233</v>
      </c>
      <c r="Z139" s="569">
        <v>46163</v>
      </c>
      <c r="AA139" s="570">
        <v>46172</v>
      </c>
      <c r="AB139" s="569">
        <v>46189</v>
      </c>
      <c r="AC139" s="568" t="s">
        <v>1133</v>
      </c>
      <c r="AD139" s="568" t="s">
        <v>1133</v>
      </c>
      <c r="AE139" s="588" t="s">
        <v>510</v>
      </c>
      <c r="AF139" s="568" t="s">
        <v>1228</v>
      </c>
      <c r="AG139" s="568" t="s">
        <v>1133</v>
      </c>
      <c r="AH139" s="568" t="s">
        <v>1133</v>
      </c>
      <c r="AI139" s="568" t="s">
        <v>1133</v>
      </c>
      <c r="AJ139" s="568" t="s">
        <v>1133</v>
      </c>
      <c r="AK139" s="568" t="s">
        <v>1339</v>
      </c>
      <c r="AL139" s="568"/>
      <c r="AM139" s="568" t="s">
        <v>1334</v>
      </c>
      <c r="AN139" s="588"/>
      <c r="AO139" s="531">
        <v>0.6</v>
      </c>
      <c r="AP139" s="532">
        <f t="shared" si="21"/>
        <v>1224</v>
      </c>
      <c r="AQ139" s="532">
        <f t="shared" si="22"/>
        <v>9486</v>
      </c>
      <c r="AR139" s="533"/>
      <c r="AS139" s="527"/>
      <c r="AT139" s="403" t="s">
        <v>1220</v>
      </c>
      <c r="AU139" s="537"/>
      <c r="AV139" s="535">
        <f t="shared" si="23"/>
        <v>-2040</v>
      </c>
      <c r="AW139" s="605"/>
      <c r="AX139" s="536"/>
      <c r="AY139" s="527"/>
      <c r="AZ139" s="527"/>
      <c r="BA139" s="527"/>
      <c r="BB139" s="527" t="str">
        <f t="shared" si="24"/>
        <v>Amazon</v>
      </c>
      <c r="BC139" s="527" t="str">
        <f t="shared" si="25"/>
        <v>美国AWD</v>
      </c>
    </row>
    <row r="140" s="496" customFormat="1" customHeight="1" spans="1:55">
      <c r="A140" s="527">
        <v>46139</v>
      </c>
      <c r="B140" s="527" t="str">
        <f ca="1" t="shared" si="18"/>
        <v/>
      </c>
      <c r="C140" s="346" t="str">
        <f>VLOOKUP(H140,名称!A:E,4,0)</f>
        <v>三代</v>
      </c>
      <c r="D140" s="588" t="s">
        <v>1330</v>
      </c>
      <c r="E140" s="588" t="s">
        <v>1341</v>
      </c>
      <c r="F140" s="588" t="s">
        <v>791</v>
      </c>
      <c r="G140" s="588" t="s">
        <v>792</v>
      </c>
      <c r="H140" s="588" t="s">
        <v>133</v>
      </c>
      <c r="I140" s="118"/>
      <c r="J140" s="589">
        <v>2040</v>
      </c>
      <c r="K140" s="92">
        <f>VLOOKUP(H140,名称!A:C,2,0)</f>
        <v>0</v>
      </c>
      <c r="L140" s="32">
        <f t="shared" si="19"/>
        <v>0</v>
      </c>
      <c r="M140" s="346">
        <f>VLOOKUP(H140,名称!A:E,3,0)</f>
        <v>12</v>
      </c>
      <c r="N140" s="348">
        <f t="shared" si="20"/>
        <v>170</v>
      </c>
      <c r="O140" s="587">
        <v>46200</v>
      </c>
      <c r="P140" s="536">
        <v>46216</v>
      </c>
      <c r="Q140" s="536">
        <v>46216</v>
      </c>
      <c r="R140" s="404" t="s">
        <v>1331</v>
      </c>
      <c r="S140" s="536" t="s">
        <v>1133</v>
      </c>
      <c r="T140" s="346"/>
      <c r="U140" s="568"/>
      <c r="V140" s="346"/>
      <c r="W140" s="348" t="str">
        <f>IFERROR(VLOOKUP(H140,名称!A:F,6,0),"")</f>
        <v>东莞</v>
      </c>
      <c r="X140" s="588" t="s">
        <v>1332</v>
      </c>
      <c r="Y140" s="346" t="s">
        <v>1233</v>
      </c>
      <c r="Z140" s="569">
        <v>46163</v>
      </c>
      <c r="AA140" s="570">
        <v>46172</v>
      </c>
      <c r="AB140" s="569">
        <v>46189</v>
      </c>
      <c r="AC140" s="568" t="s">
        <v>1133</v>
      </c>
      <c r="AD140" s="568" t="s">
        <v>1133</v>
      </c>
      <c r="AE140" s="588" t="s">
        <v>510</v>
      </c>
      <c r="AF140" s="568" t="s">
        <v>1228</v>
      </c>
      <c r="AG140" s="568" t="s">
        <v>1133</v>
      </c>
      <c r="AH140" s="568" t="s">
        <v>1133</v>
      </c>
      <c r="AI140" s="568" t="s">
        <v>1133</v>
      </c>
      <c r="AJ140" s="568" t="s">
        <v>1133</v>
      </c>
      <c r="AK140" s="568" t="s">
        <v>1339</v>
      </c>
      <c r="AL140" s="568"/>
      <c r="AM140" s="568" t="s">
        <v>1334</v>
      </c>
      <c r="AN140" s="588"/>
      <c r="AO140" s="531">
        <v>0.6</v>
      </c>
      <c r="AP140" s="532">
        <f t="shared" si="21"/>
        <v>1224</v>
      </c>
      <c r="AQ140" s="532">
        <f t="shared" si="22"/>
        <v>9486</v>
      </c>
      <c r="AR140" s="533"/>
      <c r="AS140" s="527"/>
      <c r="AT140" s="403" t="s">
        <v>1220</v>
      </c>
      <c r="AU140" s="537"/>
      <c r="AV140" s="535">
        <f t="shared" si="23"/>
        <v>-2040</v>
      </c>
      <c r="AW140" s="433" t="s">
        <v>1228</v>
      </c>
      <c r="AX140" s="536"/>
      <c r="AY140" s="527"/>
      <c r="AZ140" s="527"/>
      <c r="BA140" s="527"/>
      <c r="BB140" s="527" t="str">
        <f t="shared" si="24"/>
        <v>Amazon</v>
      </c>
      <c r="BC140" s="527" t="str">
        <f t="shared" si="25"/>
        <v>美国AWD</v>
      </c>
    </row>
    <row r="141" s="496" customFormat="1" customHeight="1" spans="1:55">
      <c r="A141" s="527">
        <v>46139</v>
      </c>
      <c r="B141" s="527" t="str">
        <f ca="1" t="shared" si="18"/>
        <v/>
      </c>
      <c r="C141" s="346" t="str">
        <f>VLOOKUP(H141,名称!A:E,4,0)</f>
        <v>三代</v>
      </c>
      <c r="D141" s="588" t="s">
        <v>1330</v>
      </c>
      <c r="E141" s="588" t="s">
        <v>1341</v>
      </c>
      <c r="F141" s="588" t="s">
        <v>791</v>
      </c>
      <c r="G141" s="588" t="s">
        <v>792</v>
      </c>
      <c r="H141" s="588" t="s">
        <v>134</v>
      </c>
      <c r="I141" s="118"/>
      <c r="J141" s="589">
        <v>2040</v>
      </c>
      <c r="K141" s="92">
        <f>VLOOKUP(H141,名称!A:C,2,0)</f>
        <v>0</v>
      </c>
      <c r="L141" s="32">
        <f t="shared" si="19"/>
        <v>0</v>
      </c>
      <c r="M141" s="346">
        <f>VLOOKUP(H141,名称!A:E,3,0)</f>
        <v>12</v>
      </c>
      <c r="N141" s="348">
        <f t="shared" si="20"/>
        <v>170</v>
      </c>
      <c r="O141" s="587">
        <v>46200</v>
      </c>
      <c r="P141" s="536">
        <v>46216</v>
      </c>
      <c r="Q141" s="536">
        <v>46216</v>
      </c>
      <c r="R141" s="404" t="s">
        <v>1331</v>
      </c>
      <c r="S141" s="536" t="s">
        <v>1133</v>
      </c>
      <c r="T141" s="346"/>
      <c r="U141" s="568"/>
      <c r="V141" s="346"/>
      <c r="W141" s="348" t="str">
        <f>IFERROR(VLOOKUP(H141,名称!A:F,6,0),"")</f>
        <v>东莞</v>
      </c>
      <c r="X141" s="588" t="s">
        <v>1332</v>
      </c>
      <c r="Y141" s="346" t="s">
        <v>1233</v>
      </c>
      <c r="Z141" s="569">
        <v>46163</v>
      </c>
      <c r="AA141" s="570">
        <v>46172</v>
      </c>
      <c r="AB141" s="569">
        <v>46189</v>
      </c>
      <c r="AC141" s="568" t="s">
        <v>1133</v>
      </c>
      <c r="AD141" s="568" t="s">
        <v>1133</v>
      </c>
      <c r="AE141" s="588" t="s">
        <v>510</v>
      </c>
      <c r="AF141" s="568" t="s">
        <v>1228</v>
      </c>
      <c r="AG141" s="568" t="s">
        <v>1133</v>
      </c>
      <c r="AH141" s="568" t="s">
        <v>1133</v>
      </c>
      <c r="AI141" s="568" t="s">
        <v>1133</v>
      </c>
      <c r="AJ141" s="568" t="s">
        <v>1133</v>
      </c>
      <c r="AK141" s="568" t="s">
        <v>1339</v>
      </c>
      <c r="AL141" s="568"/>
      <c r="AM141" s="568" t="s">
        <v>1334</v>
      </c>
      <c r="AN141" s="588"/>
      <c r="AO141" s="531">
        <v>0.6</v>
      </c>
      <c r="AP141" s="532">
        <f t="shared" si="21"/>
        <v>1224</v>
      </c>
      <c r="AQ141" s="532">
        <f t="shared" si="22"/>
        <v>9486</v>
      </c>
      <c r="AR141" s="533"/>
      <c r="AS141" s="527"/>
      <c r="AT141" s="403" t="s">
        <v>1220</v>
      </c>
      <c r="AU141" s="537"/>
      <c r="AV141" s="535">
        <f t="shared" si="23"/>
        <v>-2040</v>
      </c>
      <c r="AW141" s="433" t="s">
        <v>1228</v>
      </c>
      <c r="AX141" s="536"/>
      <c r="AY141" s="527"/>
      <c r="AZ141" s="527"/>
      <c r="BA141" s="527"/>
      <c r="BB141" s="527" t="str">
        <f t="shared" si="24"/>
        <v>Amazon</v>
      </c>
      <c r="BC141" s="527" t="str">
        <f t="shared" si="25"/>
        <v>美国AWD</v>
      </c>
    </row>
    <row r="142" s="496" customFormat="1" customHeight="1" spans="1:55">
      <c r="A142" s="527">
        <v>46139</v>
      </c>
      <c r="B142" s="527" t="str">
        <f ca="1" t="shared" si="18"/>
        <v/>
      </c>
      <c r="C142" s="346" t="str">
        <f>VLOOKUP(H142,名称!A:E,4,0)</f>
        <v>三代</v>
      </c>
      <c r="D142" s="588" t="s">
        <v>1330</v>
      </c>
      <c r="E142" s="588" t="s">
        <v>1341</v>
      </c>
      <c r="F142" s="588" t="s">
        <v>791</v>
      </c>
      <c r="G142" s="588" t="s">
        <v>792</v>
      </c>
      <c r="H142" s="588" t="s">
        <v>135</v>
      </c>
      <c r="I142" s="118"/>
      <c r="J142" s="589">
        <v>2040</v>
      </c>
      <c r="K142" s="92">
        <f>VLOOKUP(H142,名称!A:C,2,0)</f>
        <v>0</v>
      </c>
      <c r="L142" s="32">
        <f t="shared" si="19"/>
        <v>0</v>
      </c>
      <c r="M142" s="346">
        <f>VLOOKUP(H142,名称!A:E,3,0)</f>
        <v>12</v>
      </c>
      <c r="N142" s="348">
        <f t="shared" si="20"/>
        <v>170</v>
      </c>
      <c r="O142" s="587">
        <v>46200</v>
      </c>
      <c r="P142" s="536">
        <v>46216</v>
      </c>
      <c r="Q142" s="536">
        <v>46216</v>
      </c>
      <c r="R142" s="404" t="s">
        <v>1331</v>
      </c>
      <c r="S142" s="536" t="s">
        <v>1133</v>
      </c>
      <c r="T142" s="346"/>
      <c r="U142" s="568"/>
      <c r="V142" s="346"/>
      <c r="W142" s="348" t="str">
        <f>IFERROR(VLOOKUP(H142,名称!A:F,6,0),"")</f>
        <v>东莞</v>
      </c>
      <c r="X142" s="588" t="s">
        <v>1332</v>
      </c>
      <c r="Y142" s="346" t="s">
        <v>1233</v>
      </c>
      <c r="Z142" s="569">
        <v>46163</v>
      </c>
      <c r="AA142" s="570">
        <v>46172</v>
      </c>
      <c r="AB142" s="569">
        <v>46189</v>
      </c>
      <c r="AC142" s="568" t="s">
        <v>1133</v>
      </c>
      <c r="AD142" s="568" t="s">
        <v>1133</v>
      </c>
      <c r="AE142" s="588" t="s">
        <v>510</v>
      </c>
      <c r="AF142" s="568" t="s">
        <v>1228</v>
      </c>
      <c r="AG142" s="568" t="s">
        <v>1133</v>
      </c>
      <c r="AH142" s="568" t="s">
        <v>1133</v>
      </c>
      <c r="AI142" s="568" t="s">
        <v>1133</v>
      </c>
      <c r="AJ142" s="568" t="s">
        <v>1133</v>
      </c>
      <c r="AK142" s="568" t="s">
        <v>1339</v>
      </c>
      <c r="AL142" s="568"/>
      <c r="AM142" s="568" t="s">
        <v>1334</v>
      </c>
      <c r="AN142" s="588"/>
      <c r="AO142" s="531">
        <v>0.6</v>
      </c>
      <c r="AP142" s="532">
        <f t="shared" si="21"/>
        <v>1224</v>
      </c>
      <c r="AQ142" s="532">
        <f t="shared" si="22"/>
        <v>9486</v>
      </c>
      <c r="AR142" s="533"/>
      <c r="AS142" s="527"/>
      <c r="AT142" s="403" t="s">
        <v>1220</v>
      </c>
      <c r="AU142" s="537"/>
      <c r="AV142" s="535">
        <f t="shared" si="23"/>
        <v>-2040</v>
      </c>
      <c r="AW142" s="433" t="s">
        <v>1228</v>
      </c>
      <c r="AX142" s="536"/>
      <c r="AY142" s="527"/>
      <c r="AZ142" s="527"/>
      <c r="BA142" s="527"/>
      <c r="BB142" s="527" t="str">
        <f t="shared" si="24"/>
        <v>Amazon</v>
      </c>
      <c r="BC142" s="527" t="str">
        <f t="shared" si="25"/>
        <v>美国AWD</v>
      </c>
    </row>
    <row r="143" s="496" customFormat="1" customHeight="1" spans="1:55">
      <c r="A143" s="527">
        <v>46139</v>
      </c>
      <c r="B143" s="527" t="str">
        <f ca="1" t="shared" si="18"/>
        <v/>
      </c>
      <c r="C143" s="346" t="str">
        <f>VLOOKUP(H143,名称!A:E,4,0)</f>
        <v>三代</v>
      </c>
      <c r="D143" s="588" t="s">
        <v>1330</v>
      </c>
      <c r="E143" s="588" t="s">
        <v>1341</v>
      </c>
      <c r="F143" s="588" t="s">
        <v>791</v>
      </c>
      <c r="G143" s="588" t="s">
        <v>792</v>
      </c>
      <c r="H143" s="588" t="s">
        <v>137</v>
      </c>
      <c r="I143" s="346"/>
      <c r="J143" s="589">
        <v>11520</v>
      </c>
      <c r="K143" s="347">
        <f>VLOOKUP(H143,名称!A:C,2,0)</f>
        <v>5</v>
      </c>
      <c r="L143" s="348">
        <f t="shared" si="19"/>
        <v>57600</v>
      </c>
      <c r="M143" s="346">
        <f>VLOOKUP(H143,名称!A:E,3,0)</f>
        <v>144</v>
      </c>
      <c r="N143" s="348">
        <f t="shared" si="20"/>
        <v>80</v>
      </c>
      <c r="O143" s="587">
        <v>46200</v>
      </c>
      <c r="P143" s="536">
        <v>46218</v>
      </c>
      <c r="Q143" s="536">
        <v>46218</v>
      </c>
      <c r="R143" s="404" t="s">
        <v>1331</v>
      </c>
      <c r="S143" s="536" t="s">
        <v>1133</v>
      </c>
      <c r="T143" s="346"/>
      <c r="U143" s="568"/>
      <c r="V143" s="346"/>
      <c r="W143" s="348" t="str">
        <f>IFERROR(VLOOKUP(H143,名称!A:F,6,0),"")</f>
        <v>湖南</v>
      </c>
      <c r="X143" s="588" t="s">
        <v>1332</v>
      </c>
      <c r="Y143" s="346" t="s">
        <v>1233</v>
      </c>
      <c r="Z143" s="569">
        <v>46163</v>
      </c>
      <c r="AA143" s="570">
        <v>46172</v>
      </c>
      <c r="AB143" s="569">
        <v>46189</v>
      </c>
      <c r="AC143" s="568" t="s">
        <v>1333</v>
      </c>
      <c r="AD143" s="568" t="s">
        <v>1228</v>
      </c>
      <c r="AE143" s="588" t="s">
        <v>510</v>
      </c>
      <c r="AF143" s="568" t="s">
        <v>1228</v>
      </c>
      <c r="AG143" s="568" t="s">
        <v>341</v>
      </c>
      <c r="AH143" s="568" t="s">
        <v>1133</v>
      </c>
      <c r="AI143" s="568" t="s">
        <v>1228</v>
      </c>
      <c r="AJ143" s="568" t="s">
        <v>1133</v>
      </c>
      <c r="AK143" s="568" t="s">
        <v>1133</v>
      </c>
      <c r="AL143" s="415" t="s">
        <v>1228</v>
      </c>
      <c r="AM143" s="568" t="s">
        <v>1334</v>
      </c>
      <c r="AN143" s="588"/>
      <c r="AO143" s="531">
        <v>0.64</v>
      </c>
      <c r="AP143" s="532">
        <f t="shared" si="21"/>
        <v>7372.8</v>
      </c>
      <c r="AQ143" s="532">
        <f t="shared" si="22"/>
        <v>57139.2</v>
      </c>
      <c r="AR143" s="533"/>
      <c r="AS143" s="527"/>
      <c r="AT143" s="403" t="s">
        <v>1220</v>
      </c>
      <c r="AU143" s="537">
        <v>11520</v>
      </c>
      <c r="AV143" s="535">
        <f t="shared" si="23"/>
        <v>0</v>
      </c>
      <c r="AW143" s="605"/>
      <c r="AX143" s="413" t="s">
        <v>1280</v>
      </c>
      <c r="AY143" s="527"/>
      <c r="AZ143" s="527"/>
      <c r="BA143" s="527"/>
      <c r="BB143" s="403" t="str">
        <f t="shared" si="24"/>
        <v>Amazon</v>
      </c>
      <c r="BC143" s="403" t="str">
        <f t="shared" si="25"/>
        <v>美国AWD</v>
      </c>
    </row>
    <row r="144" s="496" customFormat="1" customHeight="1" spans="1:55">
      <c r="A144" s="527">
        <v>46139</v>
      </c>
      <c r="B144" s="527" t="str">
        <f ca="1" t="shared" si="18"/>
        <v/>
      </c>
      <c r="C144" s="346" t="str">
        <f>VLOOKUP(H144,名称!A:E,4,0)</f>
        <v>三代</v>
      </c>
      <c r="D144" s="588" t="s">
        <v>1330</v>
      </c>
      <c r="E144" s="588" t="s">
        <v>1341</v>
      </c>
      <c r="F144" s="588" t="s">
        <v>791</v>
      </c>
      <c r="G144" s="588" t="s">
        <v>792</v>
      </c>
      <c r="H144" s="588" t="s">
        <v>138</v>
      </c>
      <c r="I144" s="346"/>
      <c r="J144" s="589">
        <v>5904</v>
      </c>
      <c r="K144" s="347">
        <f>VLOOKUP(H144,名称!A:C,2,0)</f>
        <v>5</v>
      </c>
      <c r="L144" s="348">
        <f t="shared" si="19"/>
        <v>29520</v>
      </c>
      <c r="M144" s="346">
        <f>VLOOKUP(H144,名称!A:E,3,0)</f>
        <v>144</v>
      </c>
      <c r="N144" s="348">
        <f t="shared" si="20"/>
        <v>41</v>
      </c>
      <c r="O144" s="587">
        <v>46200</v>
      </c>
      <c r="P144" s="536">
        <v>46218</v>
      </c>
      <c r="Q144" s="536">
        <v>46218</v>
      </c>
      <c r="R144" s="404" t="s">
        <v>1331</v>
      </c>
      <c r="S144" s="536" t="s">
        <v>1133</v>
      </c>
      <c r="T144" s="346"/>
      <c r="U144" s="568"/>
      <c r="V144" s="346"/>
      <c r="W144" s="348" t="str">
        <f>IFERROR(VLOOKUP(H144,名称!A:F,6,0),"")</f>
        <v>湖南</v>
      </c>
      <c r="X144" s="568" t="s">
        <v>1332</v>
      </c>
      <c r="Y144" s="568" t="s">
        <v>1233</v>
      </c>
      <c r="Z144" s="569">
        <v>46163</v>
      </c>
      <c r="AA144" s="570">
        <v>46172</v>
      </c>
      <c r="AB144" s="569">
        <v>46189</v>
      </c>
      <c r="AC144" s="568" t="s">
        <v>1333</v>
      </c>
      <c r="AD144" s="568" t="s">
        <v>1228</v>
      </c>
      <c r="AE144" s="588" t="s">
        <v>510</v>
      </c>
      <c r="AF144" s="568" t="s">
        <v>1228</v>
      </c>
      <c r="AG144" s="568" t="s">
        <v>341</v>
      </c>
      <c r="AH144" s="568" t="s">
        <v>1133</v>
      </c>
      <c r="AI144" s="568" t="s">
        <v>1228</v>
      </c>
      <c r="AJ144" s="568" t="s">
        <v>1133</v>
      </c>
      <c r="AK144" s="568" t="s">
        <v>1133</v>
      </c>
      <c r="AL144" s="415" t="s">
        <v>1228</v>
      </c>
      <c r="AM144" s="568" t="s">
        <v>1334</v>
      </c>
      <c r="AN144" s="588"/>
      <c r="AO144" s="531">
        <v>0.64</v>
      </c>
      <c r="AP144" s="532">
        <f t="shared" si="21"/>
        <v>3778.56</v>
      </c>
      <c r="AQ144" s="532">
        <f t="shared" si="22"/>
        <v>29283.84</v>
      </c>
      <c r="AR144" s="533"/>
      <c r="AS144" s="527"/>
      <c r="AT144" s="403" t="s">
        <v>1220</v>
      </c>
      <c r="AU144" s="537">
        <v>5904</v>
      </c>
      <c r="AV144" s="535">
        <f t="shared" si="23"/>
        <v>0</v>
      </c>
      <c r="AW144" s="605"/>
      <c r="AX144" s="413" t="s">
        <v>1280</v>
      </c>
      <c r="AY144" s="527"/>
      <c r="AZ144" s="527"/>
      <c r="BA144" s="527"/>
      <c r="BB144" s="403" t="str">
        <f t="shared" si="24"/>
        <v>Amazon</v>
      </c>
      <c r="BC144" s="403" t="str">
        <f t="shared" si="25"/>
        <v>美国AWD</v>
      </c>
    </row>
    <row r="145" s="496" customFormat="1" customHeight="1" spans="1:55">
      <c r="A145" s="527">
        <v>46139</v>
      </c>
      <c r="B145" s="527" t="str">
        <f ca="1" t="shared" si="18"/>
        <v/>
      </c>
      <c r="C145" s="346" t="str">
        <f>VLOOKUP(H145,名称!A:E,4,0)</f>
        <v>三代</v>
      </c>
      <c r="D145" s="588" t="s">
        <v>1330</v>
      </c>
      <c r="E145" s="588" t="s">
        <v>1341</v>
      </c>
      <c r="F145" s="588" t="s">
        <v>791</v>
      </c>
      <c r="G145" s="588" t="s">
        <v>792</v>
      </c>
      <c r="H145" s="588" t="s">
        <v>139</v>
      </c>
      <c r="I145" s="346"/>
      <c r="J145" s="589">
        <v>3744</v>
      </c>
      <c r="K145" s="347">
        <f>VLOOKUP(H145,名称!A:C,2,0)</f>
        <v>5</v>
      </c>
      <c r="L145" s="348">
        <f t="shared" si="19"/>
        <v>18720</v>
      </c>
      <c r="M145" s="346">
        <f>VLOOKUP(H145,名称!A:E,3,0)</f>
        <v>144</v>
      </c>
      <c r="N145" s="348">
        <f t="shared" si="20"/>
        <v>26</v>
      </c>
      <c r="O145" s="587">
        <v>46200</v>
      </c>
      <c r="P145" s="536">
        <v>46218</v>
      </c>
      <c r="Q145" s="536">
        <v>46218</v>
      </c>
      <c r="R145" s="404" t="s">
        <v>1331</v>
      </c>
      <c r="S145" s="536" t="s">
        <v>1133</v>
      </c>
      <c r="T145" s="346"/>
      <c r="U145" s="568"/>
      <c r="V145" s="346"/>
      <c r="W145" s="348" t="str">
        <f>IFERROR(VLOOKUP(H145,名称!A:F,6,0),"")</f>
        <v>湖南</v>
      </c>
      <c r="X145" s="588" t="s">
        <v>1332</v>
      </c>
      <c r="Y145" s="346" t="s">
        <v>1233</v>
      </c>
      <c r="Z145" s="569">
        <v>46163</v>
      </c>
      <c r="AA145" s="570">
        <v>46172</v>
      </c>
      <c r="AB145" s="569">
        <v>46189</v>
      </c>
      <c r="AC145" s="568" t="s">
        <v>1333</v>
      </c>
      <c r="AD145" s="568" t="s">
        <v>1228</v>
      </c>
      <c r="AE145" s="588" t="s">
        <v>510</v>
      </c>
      <c r="AF145" s="568" t="s">
        <v>1228</v>
      </c>
      <c r="AG145" s="568" t="s">
        <v>341</v>
      </c>
      <c r="AH145" s="568" t="s">
        <v>1133</v>
      </c>
      <c r="AI145" s="568" t="s">
        <v>1228</v>
      </c>
      <c r="AJ145" s="568" t="s">
        <v>1133</v>
      </c>
      <c r="AK145" s="568" t="s">
        <v>1133</v>
      </c>
      <c r="AL145" s="415" t="s">
        <v>1228</v>
      </c>
      <c r="AM145" s="568" t="s">
        <v>1334</v>
      </c>
      <c r="AN145" s="588"/>
      <c r="AO145" s="531">
        <v>0.64</v>
      </c>
      <c r="AP145" s="532">
        <f t="shared" si="21"/>
        <v>2396.16</v>
      </c>
      <c r="AQ145" s="532">
        <f t="shared" si="22"/>
        <v>18570.24</v>
      </c>
      <c r="AR145" s="533"/>
      <c r="AS145" s="527"/>
      <c r="AT145" s="403" t="s">
        <v>1220</v>
      </c>
      <c r="AU145" s="537">
        <v>3744</v>
      </c>
      <c r="AV145" s="535">
        <f t="shared" si="23"/>
        <v>0</v>
      </c>
      <c r="AW145" s="605"/>
      <c r="AX145" s="413" t="s">
        <v>1280</v>
      </c>
      <c r="AY145" s="527"/>
      <c r="AZ145" s="527"/>
      <c r="BA145" s="527"/>
      <c r="BB145" s="403" t="str">
        <f t="shared" si="24"/>
        <v>Amazon</v>
      </c>
      <c r="BC145" s="403" t="str">
        <f t="shared" si="25"/>
        <v>美国AWD</v>
      </c>
    </row>
    <row r="146" s="496" customFormat="1" customHeight="1" spans="1:55">
      <c r="A146" s="527">
        <v>46139</v>
      </c>
      <c r="B146" s="527" t="str">
        <f ca="1" t="shared" si="18"/>
        <v/>
      </c>
      <c r="C146" s="346" t="str">
        <f>VLOOKUP(H146,名称!A:E,4,0)</f>
        <v>三代</v>
      </c>
      <c r="D146" s="588" t="s">
        <v>1330</v>
      </c>
      <c r="E146" s="588" t="s">
        <v>1341</v>
      </c>
      <c r="F146" s="588" t="s">
        <v>791</v>
      </c>
      <c r="G146" s="588" t="s">
        <v>792</v>
      </c>
      <c r="H146" s="588" t="s">
        <v>140</v>
      </c>
      <c r="I146" s="346"/>
      <c r="J146" s="589">
        <v>8640</v>
      </c>
      <c r="K146" s="347">
        <f>VLOOKUP(H146,名称!A:C,2,0)</f>
        <v>5</v>
      </c>
      <c r="L146" s="348">
        <f t="shared" si="19"/>
        <v>43200</v>
      </c>
      <c r="M146" s="346">
        <f>VLOOKUP(H146,名称!A:E,3,0)</f>
        <v>144</v>
      </c>
      <c r="N146" s="348">
        <f t="shared" si="20"/>
        <v>60</v>
      </c>
      <c r="O146" s="587">
        <v>46200</v>
      </c>
      <c r="P146" s="536">
        <v>46218</v>
      </c>
      <c r="Q146" s="536">
        <v>46218</v>
      </c>
      <c r="R146" s="404" t="s">
        <v>1331</v>
      </c>
      <c r="S146" s="536" t="s">
        <v>1133</v>
      </c>
      <c r="T146" s="346"/>
      <c r="U146" s="568"/>
      <c r="V146" s="346"/>
      <c r="W146" s="348" t="str">
        <f>IFERROR(VLOOKUP(H146,名称!A:F,6,0),"")</f>
        <v>湖南</v>
      </c>
      <c r="X146" s="568" t="s">
        <v>1332</v>
      </c>
      <c r="Y146" s="568" t="s">
        <v>1233</v>
      </c>
      <c r="Z146" s="569">
        <v>46163</v>
      </c>
      <c r="AA146" s="570">
        <v>46172</v>
      </c>
      <c r="AB146" s="569">
        <v>46189</v>
      </c>
      <c r="AC146" s="568" t="s">
        <v>1333</v>
      </c>
      <c r="AD146" s="568" t="s">
        <v>1228</v>
      </c>
      <c r="AE146" s="588" t="s">
        <v>510</v>
      </c>
      <c r="AF146" s="568" t="s">
        <v>1228</v>
      </c>
      <c r="AG146" s="568" t="s">
        <v>341</v>
      </c>
      <c r="AH146" s="568" t="s">
        <v>1133</v>
      </c>
      <c r="AI146" s="568" t="s">
        <v>1228</v>
      </c>
      <c r="AJ146" s="568" t="s">
        <v>1133</v>
      </c>
      <c r="AK146" s="568" t="s">
        <v>1133</v>
      </c>
      <c r="AL146" s="415" t="s">
        <v>1228</v>
      </c>
      <c r="AM146" s="568" t="s">
        <v>1334</v>
      </c>
      <c r="AN146" s="588"/>
      <c r="AO146" s="531">
        <v>0.64</v>
      </c>
      <c r="AP146" s="532">
        <f t="shared" si="21"/>
        <v>5529.6</v>
      </c>
      <c r="AQ146" s="532">
        <f t="shared" si="22"/>
        <v>42854.4</v>
      </c>
      <c r="AR146" s="533"/>
      <c r="AS146" s="527"/>
      <c r="AT146" s="403" t="s">
        <v>1220</v>
      </c>
      <c r="AU146" s="537">
        <v>8640</v>
      </c>
      <c r="AV146" s="535">
        <f t="shared" si="23"/>
        <v>0</v>
      </c>
      <c r="AW146" s="605"/>
      <c r="AX146" s="413" t="s">
        <v>1280</v>
      </c>
      <c r="AY146" s="527"/>
      <c r="AZ146" s="527"/>
      <c r="BA146" s="527"/>
      <c r="BB146" s="403" t="str">
        <f t="shared" si="24"/>
        <v>Amazon</v>
      </c>
      <c r="BC146" s="403" t="str">
        <f t="shared" si="25"/>
        <v>美国AWD</v>
      </c>
    </row>
    <row r="147" s="496" customFormat="1" customHeight="1" spans="1:55">
      <c r="A147" s="527">
        <v>46139</v>
      </c>
      <c r="B147" s="527" t="str">
        <f ca="1" t="shared" si="18"/>
        <v/>
      </c>
      <c r="C147" s="346" t="str">
        <f>VLOOKUP(H147,名称!A:E,4,0)</f>
        <v>三代</v>
      </c>
      <c r="D147" s="588" t="s">
        <v>1330</v>
      </c>
      <c r="E147" s="588" t="s">
        <v>1341</v>
      </c>
      <c r="F147" s="588" t="s">
        <v>791</v>
      </c>
      <c r="G147" s="588" t="s">
        <v>792</v>
      </c>
      <c r="H147" s="588" t="s">
        <v>143</v>
      </c>
      <c r="I147" s="346"/>
      <c r="J147" s="589">
        <v>26340</v>
      </c>
      <c r="K147" s="347">
        <f>VLOOKUP(H147,名称!A:C,2,0)</f>
        <v>32</v>
      </c>
      <c r="L147" s="348">
        <f t="shared" si="19"/>
        <v>842880</v>
      </c>
      <c r="M147" s="346">
        <f>VLOOKUP(H147,名称!A:E,3,0)</f>
        <v>60</v>
      </c>
      <c r="N147" s="348">
        <f t="shared" si="20"/>
        <v>439</v>
      </c>
      <c r="O147" s="587">
        <v>46200</v>
      </c>
      <c r="P147" s="536">
        <v>46227</v>
      </c>
      <c r="Q147" s="536">
        <v>46227</v>
      </c>
      <c r="R147" s="601" t="s">
        <v>1331</v>
      </c>
      <c r="S147" s="536" t="s">
        <v>1133</v>
      </c>
      <c r="T147" s="346"/>
      <c r="U147" s="568"/>
      <c r="V147" s="346"/>
      <c r="W147" s="348" t="str">
        <f>IFERROR(VLOOKUP(H147,名称!A:F,6,0),"")</f>
        <v>湖南</v>
      </c>
      <c r="X147" s="568" t="s">
        <v>1332</v>
      </c>
      <c r="Y147" s="568" t="s">
        <v>1233</v>
      </c>
      <c r="Z147" s="569">
        <v>46163</v>
      </c>
      <c r="AA147" s="570">
        <v>46172</v>
      </c>
      <c r="AB147" s="569">
        <v>46189</v>
      </c>
      <c r="AC147" s="568" t="s">
        <v>1333</v>
      </c>
      <c r="AD147" s="568" t="s">
        <v>1228</v>
      </c>
      <c r="AE147" s="588" t="s">
        <v>510</v>
      </c>
      <c r="AF147" s="568" t="s">
        <v>1228</v>
      </c>
      <c r="AG147" s="568" t="s">
        <v>341</v>
      </c>
      <c r="AH147" s="568" t="s">
        <v>1133</v>
      </c>
      <c r="AI147" s="568" t="s">
        <v>1228</v>
      </c>
      <c r="AJ147" s="568" t="s">
        <v>1133</v>
      </c>
      <c r="AK147" s="568" t="s">
        <v>1133</v>
      </c>
      <c r="AL147" s="568"/>
      <c r="AM147" s="568" t="s">
        <v>1334</v>
      </c>
      <c r="AN147" s="588"/>
      <c r="AO147" s="531">
        <v>2.57</v>
      </c>
      <c r="AP147" s="532">
        <f t="shared" si="21"/>
        <v>67693.8</v>
      </c>
      <c r="AQ147" s="532">
        <f t="shared" si="22"/>
        <v>524626.95</v>
      </c>
      <c r="AR147" s="533"/>
      <c r="AS147" s="527"/>
      <c r="AT147" s="403" t="s">
        <v>1220</v>
      </c>
      <c r="AU147" s="537">
        <v>26340</v>
      </c>
      <c r="AV147" s="535">
        <f t="shared" si="23"/>
        <v>0</v>
      </c>
      <c r="AW147" s="605"/>
      <c r="AX147" s="413" t="s">
        <v>1280</v>
      </c>
      <c r="AY147" s="527"/>
      <c r="AZ147" s="527"/>
      <c r="BA147" s="527"/>
      <c r="BB147" s="527" t="str">
        <f t="shared" si="24"/>
        <v>Amazon</v>
      </c>
      <c r="BC147" s="527" t="str">
        <f t="shared" si="25"/>
        <v>美国AWD</v>
      </c>
    </row>
    <row r="148" s="496" customFormat="1" customHeight="1" spans="1:55">
      <c r="A148" s="527">
        <v>46139</v>
      </c>
      <c r="B148" s="527" t="str">
        <f ca="1" t="shared" si="18"/>
        <v/>
      </c>
      <c r="C148" s="346" t="str">
        <f>VLOOKUP(H148,名称!A:E,4,0)</f>
        <v>三代</v>
      </c>
      <c r="D148" s="588" t="s">
        <v>1330</v>
      </c>
      <c r="E148" s="588" t="s">
        <v>1341</v>
      </c>
      <c r="F148" s="588" t="s">
        <v>791</v>
      </c>
      <c r="G148" s="588" t="s">
        <v>792</v>
      </c>
      <c r="H148" s="408" t="s">
        <v>144</v>
      </c>
      <c r="I148" s="346"/>
      <c r="J148" s="589">
        <v>3486</v>
      </c>
      <c r="K148" s="347">
        <f>VLOOKUP(H148,名称!A:C,2,0)</f>
        <v>50</v>
      </c>
      <c r="L148" s="348">
        <f t="shared" si="19"/>
        <v>174300</v>
      </c>
      <c r="M148" s="346">
        <f>VLOOKUP(H148,名称!A:E,3,0)</f>
        <v>6</v>
      </c>
      <c r="N148" s="348">
        <f t="shared" si="20"/>
        <v>581</v>
      </c>
      <c r="O148" s="587">
        <v>46200</v>
      </c>
      <c r="P148" s="536">
        <v>46226</v>
      </c>
      <c r="Q148" s="536">
        <v>46226</v>
      </c>
      <c r="R148" s="601" t="s">
        <v>1331</v>
      </c>
      <c r="S148" s="536" t="s">
        <v>1133</v>
      </c>
      <c r="T148" s="346"/>
      <c r="U148" s="568"/>
      <c r="V148" s="346"/>
      <c r="W148" s="348" t="str">
        <f>IFERROR(VLOOKUP(H148,名称!A:F,6,0),"")</f>
        <v>湖南</v>
      </c>
      <c r="X148" s="588" t="s">
        <v>1332</v>
      </c>
      <c r="Y148" s="346" t="s">
        <v>1233</v>
      </c>
      <c r="Z148" s="569">
        <v>46163</v>
      </c>
      <c r="AA148" s="570">
        <v>46172</v>
      </c>
      <c r="AB148" s="569">
        <v>46189</v>
      </c>
      <c r="AC148" s="415" t="s">
        <v>1133</v>
      </c>
      <c r="AD148" s="415" t="s">
        <v>1133</v>
      </c>
      <c r="AE148" s="588" t="s">
        <v>510</v>
      </c>
      <c r="AF148" s="568" t="s">
        <v>1228</v>
      </c>
      <c r="AG148" s="568" t="s">
        <v>341</v>
      </c>
      <c r="AH148" s="568" t="s">
        <v>1133</v>
      </c>
      <c r="AI148" s="568" t="s">
        <v>1228</v>
      </c>
      <c r="AJ148" s="568" t="s">
        <v>1133</v>
      </c>
      <c r="AK148" s="568" t="s">
        <v>1133</v>
      </c>
      <c r="AL148" s="568"/>
      <c r="AM148" s="568" t="s">
        <v>1334</v>
      </c>
      <c r="AN148" s="588"/>
      <c r="AO148" s="531">
        <v>8.98</v>
      </c>
      <c r="AP148" s="532">
        <f t="shared" si="21"/>
        <v>31304.28</v>
      </c>
      <c r="AQ148" s="532">
        <f t="shared" si="22"/>
        <v>242608.17</v>
      </c>
      <c r="AR148" s="533"/>
      <c r="AS148" s="527"/>
      <c r="AT148" s="527" t="s">
        <v>1310</v>
      </c>
      <c r="AU148" s="537"/>
      <c r="AV148" s="535">
        <f t="shared" si="23"/>
        <v>-3486</v>
      </c>
      <c r="AW148" s="605"/>
      <c r="AX148" s="536"/>
      <c r="AY148" s="527"/>
      <c r="AZ148" s="527"/>
      <c r="BA148" s="527"/>
      <c r="BB148" s="527" t="str">
        <f t="shared" si="24"/>
        <v>Amazon</v>
      </c>
      <c r="BC148" s="527" t="str">
        <f t="shared" si="25"/>
        <v>美国AWD</v>
      </c>
    </row>
    <row r="149" s="496" customFormat="1" customHeight="1" spans="1:55">
      <c r="A149" s="527">
        <v>46139</v>
      </c>
      <c r="B149" s="527" t="str">
        <f ca="1" t="shared" si="18"/>
        <v/>
      </c>
      <c r="C149" s="346" t="str">
        <f>VLOOKUP(H149,名称!A:E,4,0)</f>
        <v>三代</v>
      </c>
      <c r="D149" s="588" t="s">
        <v>1330</v>
      </c>
      <c r="E149" s="588" t="s">
        <v>1341</v>
      </c>
      <c r="F149" s="588" t="s">
        <v>791</v>
      </c>
      <c r="G149" s="588" t="s">
        <v>792</v>
      </c>
      <c r="H149" s="408" t="s">
        <v>145</v>
      </c>
      <c r="I149" s="346"/>
      <c r="J149" s="589">
        <v>3108</v>
      </c>
      <c r="K149" s="347">
        <f>VLOOKUP(H149,名称!A:C,2,0)</f>
        <v>50</v>
      </c>
      <c r="L149" s="348">
        <f t="shared" si="19"/>
        <v>155400</v>
      </c>
      <c r="M149" s="346">
        <f>VLOOKUP(H149,名称!A:E,3,0)</f>
        <v>6</v>
      </c>
      <c r="N149" s="348">
        <f t="shared" si="20"/>
        <v>518</v>
      </c>
      <c r="O149" s="587">
        <v>46200</v>
      </c>
      <c r="P149" s="536">
        <v>46226</v>
      </c>
      <c r="Q149" s="536">
        <v>46226</v>
      </c>
      <c r="R149" s="601" t="s">
        <v>1331</v>
      </c>
      <c r="S149" s="536" t="s">
        <v>1133</v>
      </c>
      <c r="T149" s="346"/>
      <c r="U149" s="568"/>
      <c r="V149" s="346"/>
      <c r="W149" s="348" t="str">
        <f>IFERROR(VLOOKUP(H149,名称!A:F,6,0),"")</f>
        <v>湖南</v>
      </c>
      <c r="X149" s="568" t="s">
        <v>1332</v>
      </c>
      <c r="Y149" s="568" t="s">
        <v>1233</v>
      </c>
      <c r="Z149" s="569">
        <v>46163</v>
      </c>
      <c r="AA149" s="570">
        <v>46172</v>
      </c>
      <c r="AB149" s="569">
        <v>46189</v>
      </c>
      <c r="AC149" s="415" t="s">
        <v>1133</v>
      </c>
      <c r="AD149" s="415" t="s">
        <v>1133</v>
      </c>
      <c r="AE149" s="588" t="s">
        <v>510</v>
      </c>
      <c r="AF149" s="568" t="s">
        <v>1228</v>
      </c>
      <c r="AG149" s="568" t="s">
        <v>341</v>
      </c>
      <c r="AH149" s="568" t="s">
        <v>1133</v>
      </c>
      <c r="AI149" s="568" t="s">
        <v>1228</v>
      </c>
      <c r="AJ149" s="568" t="s">
        <v>1133</v>
      </c>
      <c r="AK149" s="568" t="s">
        <v>1133</v>
      </c>
      <c r="AL149" s="568"/>
      <c r="AM149" s="568" t="s">
        <v>1334</v>
      </c>
      <c r="AN149" s="588"/>
      <c r="AO149" s="531">
        <v>8.98</v>
      </c>
      <c r="AP149" s="532">
        <f t="shared" si="21"/>
        <v>27909.84</v>
      </c>
      <c r="AQ149" s="532">
        <f t="shared" si="22"/>
        <v>216301.26</v>
      </c>
      <c r="AR149" s="533"/>
      <c r="AS149" s="527"/>
      <c r="AT149" s="527" t="s">
        <v>1310</v>
      </c>
      <c r="AU149" s="537"/>
      <c r="AV149" s="535">
        <f t="shared" si="23"/>
        <v>-3108</v>
      </c>
      <c r="AW149" s="605"/>
      <c r="AX149" s="536"/>
      <c r="AY149" s="527"/>
      <c r="AZ149" s="527"/>
      <c r="BA149" s="527"/>
      <c r="BB149" s="527" t="str">
        <f t="shared" si="24"/>
        <v>Amazon</v>
      </c>
      <c r="BC149" s="527" t="str">
        <f t="shared" si="25"/>
        <v>美国AWD</v>
      </c>
    </row>
    <row r="150" s="496" customFormat="1" customHeight="1" spans="1:55">
      <c r="A150" s="527">
        <v>46139</v>
      </c>
      <c r="B150" s="527" t="str">
        <f ca="1" t="shared" si="18"/>
        <v/>
      </c>
      <c r="C150" s="346" t="str">
        <f>VLOOKUP(H150,名称!A:E,4,0)</f>
        <v>三代</v>
      </c>
      <c r="D150" s="588" t="s">
        <v>1330</v>
      </c>
      <c r="E150" s="588" t="s">
        <v>1341</v>
      </c>
      <c r="F150" s="588" t="s">
        <v>791</v>
      </c>
      <c r="G150" s="588" t="s">
        <v>792</v>
      </c>
      <c r="H150" s="588" t="s">
        <v>146</v>
      </c>
      <c r="I150" s="346"/>
      <c r="J150" s="589">
        <v>2400</v>
      </c>
      <c r="K150" s="347">
        <f>VLOOKUP(H150,名称!A:C,2,0)</f>
        <v>12</v>
      </c>
      <c r="L150" s="348">
        <f t="shared" si="19"/>
        <v>28800</v>
      </c>
      <c r="M150" s="346">
        <f>VLOOKUP(H150,名称!A:E,3,0)</f>
        <v>96</v>
      </c>
      <c r="N150" s="348">
        <f t="shared" si="20"/>
        <v>25</v>
      </c>
      <c r="O150" s="587">
        <v>46200</v>
      </c>
      <c r="P150" s="536">
        <v>46227</v>
      </c>
      <c r="Q150" s="536">
        <v>46227</v>
      </c>
      <c r="R150" s="602" t="s">
        <v>1331</v>
      </c>
      <c r="S150" s="536" t="s">
        <v>1133</v>
      </c>
      <c r="T150" s="346"/>
      <c r="U150" s="568"/>
      <c r="V150" s="346"/>
      <c r="W150" s="348" t="str">
        <f>IFERROR(VLOOKUP(H150,名称!A:F,6,0),"")</f>
        <v>湖南</v>
      </c>
      <c r="X150" s="568" t="s">
        <v>1332</v>
      </c>
      <c r="Y150" s="568" t="s">
        <v>1233</v>
      </c>
      <c r="Z150" s="569">
        <v>46163</v>
      </c>
      <c r="AA150" s="570">
        <v>46172</v>
      </c>
      <c r="AB150" s="569">
        <v>46189</v>
      </c>
      <c r="AC150" s="568" t="s">
        <v>1333</v>
      </c>
      <c r="AD150" s="568" t="s">
        <v>1228</v>
      </c>
      <c r="AE150" s="588" t="s">
        <v>510</v>
      </c>
      <c r="AF150" s="568" t="s">
        <v>1228</v>
      </c>
      <c r="AG150" s="568" t="s">
        <v>341</v>
      </c>
      <c r="AH150" s="568" t="s">
        <v>1133</v>
      </c>
      <c r="AI150" s="568" t="s">
        <v>1228</v>
      </c>
      <c r="AJ150" s="568" t="s">
        <v>1133</v>
      </c>
      <c r="AK150" s="568" t="s">
        <v>1133</v>
      </c>
      <c r="AL150" s="568"/>
      <c r="AM150" s="568" t="s">
        <v>1334</v>
      </c>
      <c r="AN150" s="588"/>
      <c r="AO150" s="531">
        <v>1.3</v>
      </c>
      <c r="AP150" s="532">
        <f t="shared" si="21"/>
        <v>3120</v>
      </c>
      <c r="AQ150" s="532">
        <f t="shared" si="22"/>
        <v>24180</v>
      </c>
      <c r="AR150" s="533"/>
      <c r="AS150" s="527"/>
      <c r="AT150" s="403" t="s">
        <v>1220</v>
      </c>
      <c r="AU150" s="537">
        <f>2304+96</f>
        <v>2400</v>
      </c>
      <c r="AV150" s="535">
        <f t="shared" si="23"/>
        <v>0</v>
      </c>
      <c r="AW150" s="605"/>
      <c r="AX150" s="413" t="s">
        <v>1280</v>
      </c>
      <c r="AY150" s="527"/>
      <c r="AZ150" s="527"/>
      <c r="BA150" s="527"/>
      <c r="BB150" s="527" t="str">
        <f t="shared" si="24"/>
        <v>Amazon</v>
      </c>
      <c r="BC150" s="527" t="str">
        <f t="shared" si="25"/>
        <v>美国AWD</v>
      </c>
    </row>
    <row r="151" s="496" customFormat="1" customHeight="1" spans="1:55">
      <c r="A151" s="527">
        <v>46139</v>
      </c>
      <c r="B151" s="527" t="str">
        <f ca="1" t="shared" si="18"/>
        <v/>
      </c>
      <c r="C151" s="346" t="str">
        <f>VLOOKUP(H151,名称!A:E,4,0)</f>
        <v>三代</v>
      </c>
      <c r="D151" s="588" t="s">
        <v>1330</v>
      </c>
      <c r="E151" s="588" t="s">
        <v>1341</v>
      </c>
      <c r="F151" s="588" t="s">
        <v>791</v>
      </c>
      <c r="G151" s="588" t="s">
        <v>792</v>
      </c>
      <c r="H151" s="588" t="s">
        <v>147</v>
      </c>
      <c r="I151" s="346"/>
      <c r="J151" s="589">
        <v>2112</v>
      </c>
      <c r="K151" s="347">
        <f>VLOOKUP(H151,名称!A:C,2,0)</f>
        <v>12</v>
      </c>
      <c r="L151" s="348">
        <f t="shared" si="19"/>
        <v>25344</v>
      </c>
      <c r="M151" s="346">
        <f>VLOOKUP(H151,名称!A:E,3,0)</f>
        <v>96</v>
      </c>
      <c r="N151" s="348">
        <f t="shared" si="20"/>
        <v>22</v>
      </c>
      <c r="O151" s="587">
        <v>46200</v>
      </c>
      <c r="P151" s="536">
        <v>46227</v>
      </c>
      <c r="Q151" s="536">
        <v>46227</v>
      </c>
      <c r="R151" s="602" t="s">
        <v>1331</v>
      </c>
      <c r="S151" s="536" t="s">
        <v>1133</v>
      </c>
      <c r="T151" s="346"/>
      <c r="U151" s="568"/>
      <c r="V151" s="346"/>
      <c r="W151" s="348" t="str">
        <f>IFERROR(VLOOKUP(H151,名称!A:F,6,0),"")</f>
        <v>湖南</v>
      </c>
      <c r="X151" s="568" t="s">
        <v>1332</v>
      </c>
      <c r="Y151" s="568" t="s">
        <v>1233</v>
      </c>
      <c r="Z151" s="569">
        <v>46163</v>
      </c>
      <c r="AA151" s="570">
        <v>46172</v>
      </c>
      <c r="AB151" s="569">
        <v>46189</v>
      </c>
      <c r="AC151" s="568" t="s">
        <v>1333</v>
      </c>
      <c r="AD151" s="568" t="s">
        <v>1228</v>
      </c>
      <c r="AE151" s="588" t="s">
        <v>510</v>
      </c>
      <c r="AF151" s="568" t="s">
        <v>1228</v>
      </c>
      <c r="AG151" s="568" t="s">
        <v>341</v>
      </c>
      <c r="AH151" s="568" t="s">
        <v>1133</v>
      </c>
      <c r="AI151" s="568" t="s">
        <v>1228</v>
      </c>
      <c r="AJ151" s="568" t="s">
        <v>1133</v>
      </c>
      <c r="AK151" s="568" t="s">
        <v>1133</v>
      </c>
      <c r="AL151" s="568"/>
      <c r="AM151" s="568" t="s">
        <v>1334</v>
      </c>
      <c r="AN151" s="588"/>
      <c r="AO151" s="531">
        <v>1.3</v>
      </c>
      <c r="AP151" s="532">
        <f t="shared" si="21"/>
        <v>2745.6</v>
      </c>
      <c r="AQ151" s="532">
        <f t="shared" si="22"/>
        <v>21278.4</v>
      </c>
      <c r="AR151" s="533"/>
      <c r="AS151" s="527"/>
      <c r="AT151" s="403" t="s">
        <v>1220</v>
      </c>
      <c r="AU151" s="537">
        <f>96+2016</f>
        <v>2112</v>
      </c>
      <c r="AV151" s="535">
        <f t="shared" si="23"/>
        <v>0</v>
      </c>
      <c r="AW151" s="605"/>
      <c r="AX151" s="413" t="s">
        <v>1280</v>
      </c>
      <c r="AY151" s="527"/>
      <c r="AZ151" s="527"/>
      <c r="BA151" s="527"/>
      <c r="BB151" s="527" t="str">
        <f t="shared" si="24"/>
        <v>Amazon</v>
      </c>
      <c r="BC151" s="527" t="str">
        <f t="shared" si="25"/>
        <v>美国AWD</v>
      </c>
    </row>
    <row r="152" s="496" customFormat="1" customHeight="1" spans="1:55">
      <c r="A152" s="527">
        <v>46139</v>
      </c>
      <c r="B152" s="527" t="str">
        <f ca="1" t="shared" si="18"/>
        <v/>
      </c>
      <c r="C152" s="346" t="str">
        <f>VLOOKUP(H152,名称!A:E,4,0)</f>
        <v>三代</v>
      </c>
      <c r="D152" s="588" t="s">
        <v>1330</v>
      </c>
      <c r="E152" s="588" t="s">
        <v>1341</v>
      </c>
      <c r="F152" s="588" t="s">
        <v>791</v>
      </c>
      <c r="G152" s="588" t="s">
        <v>792</v>
      </c>
      <c r="H152" s="588" t="s">
        <v>148</v>
      </c>
      <c r="I152" s="346"/>
      <c r="J152" s="589">
        <v>3744</v>
      </c>
      <c r="K152" s="347">
        <f>VLOOKUP(H152,名称!A:C,2,0)</f>
        <v>12</v>
      </c>
      <c r="L152" s="348">
        <f t="shared" si="19"/>
        <v>44928</v>
      </c>
      <c r="M152" s="346">
        <f>VLOOKUP(H152,名称!A:E,3,0)</f>
        <v>96</v>
      </c>
      <c r="N152" s="348">
        <f t="shared" si="20"/>
        <v>39</v>
      </c>
      <c r="O152" s="587">
        <v>46200</v>
      </c>
      <c r="P152" s="536">
        <v>46227</v>
      </c>
      <c r="Q152" s="536">
        <v>46227</v>
      </c>
      <c r="R152" s="602" t="s">
        <v>1331</v>
      </c>
      <c r="S152" s="536" t="s">
        <v>1133</v>
      </c>
      <c r="T152" s="346"/>
      <c r="U152" s="568"/>
      <c r="V152" s="346"/>
      <c r="W152" s="348" t="str">
        <f>IFERROR(VLOOKUP(H152,名称!A:F,6,0),"")</f>
        <v>湖南</v>
      </c>
      <c r="X152" s="568" t="s">
        <v>1332</v>
      </c>
      <c r="Y152" s="568" t="s">
        <v>1233</v>
      </c>
      <c r="Z152" s="569">
        <v>46163</v>
      </c>
      <c r="AA152" s="570">
        <v>46172</v>
      </c>
      <c r="AB152" s="569">
        <v>46189</v>
      </c>
      <c r="AC152" s="568" t="s">
        <v>1333</v>
      </c>
      <c r="AD152" s="568" t="s">
        <v>1228</v>
      </c>
      <c r="AE152" s="588" t="s">
        <v>510</v>
      </c>
      <c r="AF152" s="568" t="s">
        <v>1228</v>
      </c>
      <c r="AG152" s="568" t="s">
        <v>341</v>
      </c>
      <c r="AH152" s="568" t="s">
        <v>1133</v>
      </c>
      <c r="AI152" s="568" t="s">
        <v>1228</v>
      </c>
      <c r="AJ152" s="568" t="s">
        <v>1133</v>
      </c>
      <c r="AK152" s="568" t="s">
        <v>1133</v>
      </c>
      <c r="AL152" s="568"/>
      <c r="AM152" s="568" t="s">
        <v>1334</v>
      </c>
      <c r="AN152" s="588"/>
      <c r="AO152" s="531">
        <v>1.3</v>
      </c>
      <c r="AP152" s="532">
        <f t="shared" si="21"/>
        <v>4867.2</v>
      </c>
      <c r="AQ152" s="532">
        <f t="shared" si="22"/>
        <v>37720.8</v>
      </c>
      <c r="AR152" s="533"/>
      <c r="AS152" s="527"/>
      <c r="AT152" s="403" t="s">
        <v>1220</v>
      </c>
      <c r="AU152" s="537">
        <f>3552+192</f>
        <v>3744</v>
      </c>
      <c r="AV152" s="535">
        <f t="shared" si="23"/>
        <v>0</v>
      </c>
      <c r="AW152" s="605"/>
      <c r="AX152" s="413" t="s">
        <v>1280</v>
      </c>
      <c r="AY152" s="527"/>
      <c r="AZ152" s="527"/>
      <c r="BA152" s="527"/>
      <c r="BB152" s="527" t="str">
        <f t="shared" si="24"/>
        <v>Amazon</v>
      </c>
      <c r="BC152" s="527" t="str">
        <f t="shared" si="25"/>
        <v>美国AWD</v>
      </c>
    </row>
    <row r="153" s="496" customFormat="1" customHeight="1" spans="1:55">
      <c r="A153" s="527">
        <v>46139</v>
      </c>
      <c r="B153" s="527" t="str">
        <f ca="1" t="shared" si="18"/>
        <v/>
      </c>
      <c r="C153" s="346" t="str">
        <f>VLOOKUP(H153,名称!A:E,4,0)</f>
        <v>三代</v>
      </c>
      <c r="D153" s="588" t="s">
        <v>1330</v>
      </c>
      <c r="E153" s="588" t="s">
        <v>1341</v>
      </c>
      <c r="F153" s="588" t="s">
        <v>791</v>
      </c>
      <c r="G153" s="588" t="s">
        <v>792</v>
      </c>
      <c r="H153" s="588" t="s">
        <v>149</v>
      </c>
      <c r="I153" s="346"/>
      <c r="J153" s="589">
        <v>3936</v>
      </c>
      <c r="K153" s="347">
        <f>VLOOKUP(H153,名称!A:C,2,0)</f>
        <v>12</v>
      </c>
      <c r="L153" s="348">
        <f t="shared" si="19"/>
        <v>47232</v>
      </c>
      <c r="M153" s="346">
        <f>VLOOKUP(H153,名称!A:E,3,0)</f>
        <v>96</v>
      </c>
      <c r="N153" s="348">
        <f t="shared" si="20"/>
        <v>41</v>
      </c>
      <c r="O153" s="587">
        <v>46200</v>
      </c>
      <c r="P153" s="536">
        <v>46227</v>
      </c>
      <c r="Q153" s="536">
        <v>46227</v>
      </c>
      <c r="R153" s="602" t="s">
        <v>1331</v>
      </c>
      <c r="S153" s="536" t="s">
        <v>1133</v>
      </c>
      <c r="T153" s="346"/>
      <c r="U153" s="568"/>
      <c r="V153" s="346"/>
      <c r="W153" s="348" t="str">
        <f>IFERROR(VLOOKUP(H153,名称!A:F,6,0),"")</f>
        <v>湖南</v>
      </c>
      <c r="X153" s="568" t="s">
        <v>1332</v>
      </c>
      <c r="Y153" s="568" t="s">
        <v>1233</v>
      </c>
      <c r="Z153" s="569">
        <v>46163</v>
      </c>
      <c r="AA153" s="570">
        <v>46172</v>
      </c>
      <c r="AB153" s="569">
        <v>46189</v>
      </c>
      <c r="AC153" s="568" t="s">
        <v>1333</v>
      </c>
      <c r="AD153" s="568" t="s">
        <v>1228</v>
      </c>
      <c r="AE153" s="588" t="s">
        <v>510</v>
      </c>
      <c r="AF153" s="568" t="s">
        <v>1228</v>
      </c>
      <c r="AG153" s="568" t="s">
        <v>341</v>
      </c>
      <c r="AH153" s="568" t="s">
        <v>1133</v>
      </c>
      <c r="AI153" s="568" t="s">
        <v>1228</v>
      </c>
      <c r="AJ153" s="568" t="s">
        <v>1133</v>
      </c>
      <c r="AK153" s="568" t="s">
        <v>1133</v>
      </c>
      <c r="AL153" s="568"/>
      <c r="AM153" s="568" t="s">
        <v>1334</v>
      </c>
      <c r="AN153" s="588"/>
      <c r="AO153" s="531">
        <v>1.3</v>
      </c>
      <c r="AP153" s="532">
        <f t="shared" si="21"/>
        <v>5116.8</v>
      </c>
      <c r="AQ153" s="532">
        <f t="shared" si="22"/>
        <v>39655.2</v>
      </c>
      <c r="AR153" s="533"/>
      <c r="AS153" s="527"/>
      <c r="AT153" s="403" t="s">
        <v>1220</v>
      </c>
      <c r="AU153" s="537">
        <f>192+3744</f>
        <v>3936</v>
      </c>
      <c r="AV153" s="535">
        <f t="shared" si="23"/>
        <v>0</v>
      </c>
      <c r="AW153" s="605"/>
      <c r="AX153" s="413" t="s">
        <v>1280</v>
      </c>
      <c r="AY153" s="527"/>
      <c r="AZ153" s="527"/>
      <c r="BA153" s="527"/>
      <c r="BB153" s="527" t="str">
        <f t="shared" si="24"/>
        <v>Amazon</v>
      </c>
      <c r="BC153" s="527" t="str">
        <f t="shared" si="25"/>
        <v>美国AWD</v>
      </c>
    </row>
    <row r="154" s="496" customFormat="1" customHeight="1" spans="1:55">
      <c r="A154" s="527">
        <v>46139</v>
      </c>
      <c r="B154" s="527" t="str">
        <f ca="1" t="shared" si="18"/>
        <v/>
      </c>
      <c r="C154" s="346" t="str">
        <f>VLOOKUP(H154,名称!A:E,4,0)</f>
        <v>三代</v>
      </c>
      <c r="D154" s="588" t="s">
        <v>1330</v>
      </c>
      <c r="E154" s="588" t="s">
        <v>1341</v>
      </c>
      <c r="F154" s="588" t="s">
        <v>791</v>
      </c>
      <c r="G154" s="588" t="s">
        <v>792</v>
      </c>
      <c r="H154" s="588" t="s">
        <v>150</v>
      </c>
      <c r="I154" s="346"/>
      <c r="J154" s="589">
        <v>1824</v>
      </c>
      <c r="K154" s="347">
        <f>VLOOKUP(H154,名称!A:C,2,0)</f>
        <v>12</v>
      </c>
      <c r="L154" s="348">
        <f t="shared" si="19"/>
        <v>21888</v>
      </c>
      <c r="M154" s="346">
        <f>VLOOKUP(H154,名称!A:E,3,0)</f>
        <v>96</v>
      </c>
      <c r="N154" s="348">
        <f t="shared" si="20"/>
        <v>19</v>
      </c>
      <c r="O154" s="587">
        <v>46200</v>
      </c>
      <c r="P154" s="536">
        <v>46227</v>
      </c>
      <c r="Q154" s="536">
        <v>46227</v>
      </c>
      <c r="R154" s="602" t="s">
        <v>1331</v>
      </c>
      <c r="S154" s="536" t="s">
        <v>1133</v>
      </c>
      <c r="T154" s="346"/>
      <c r="U154" s="568"/>
      <c r="V154" s="346"/>
      <c r="W154" s="348" t="str">
        <f>IFERROR(VLOOKUP(H154,名称!A:F,6,0),"")</f>
        <v>湖南</v>
      </c>
      <c r="X154" s="568" t="s">
        <v>1332</v>
      </c>
      <c r="Y154" s="568" t="s">
        <v>1233</v>
      </c>
      <c r="Z154" s="569">
        <v>46163</v>
      </c>
      <c r="AA154" s="570">
        <v>46172</v>
      </c>
      <c r="AB154" s="569">
        <v>46189</v>
      </c>
      <c r="AC154" s="568" t="s">
        <v>1333</v>
      </c>
      <c r="AD154" s="568" t="s">
        <v>1228</v>
      </c>
      <c r="AE154" s="588" t="s">
        <v>510</v>
      </c>
      <c r="AF154" s="568" t="s">
        <v>1228</v>
      </c>
      <c r="AG154" s="568" t="s">
        <v>341</v>
      </c>
      <c r="AH154" s="568" t="s">
        <v>1133</v>
      </c>
      <c r="AI154" s="568" t="s">
        <v>1228</v>
      </c>
      <c r="AJ154" s="568" t="s">
        <v>1133</v>
      </c>
      <c r="AK154" s="568" t="s">
        <v>1133</v>
      </c>
      <c r="AL154" s="568"/>
      <c r="AM154" s="568" t="s">
        <v>1334</v>
      </c>
      <c r="AN154" s="588"/>
      <c r="AO154" s="531">
        <v>1.3</v>
      </c>
      <c r="AP154" s="532">
        <f t="shared" si="21"/>
        <v>2371.2</v>
      </c>
      <c r="AQ154" s="532">
        <f t="shared" si="22"/>
        <v>18376.8</v>
      </c>
      <c r="AR154" s="533"/>
      <c r="AS154" s="527"/>
      <c r="AT154" s="403" t="s">
        <v>1220</v>
      </c>
      <c r="AU154" s="537">
        <f>1728+96</f>
        <v>1824</v>
      </c>
      <c r="AV154" s="535">
        <f t="shared" si="23"/>
        <v>0</v>
      </c>
      <c r="AW154" s="605"/>
      <c r="AX154" s="413" t="s">
        <v>1280</v>
      </c>
      <c r="AY154" s="527"/>
      <c r="AZ154" s="527"/>
      <c r="BA154" s="527"/>
      <c r="BB154" s="527" t="str">
        <f t="shared" si="24"/>
        <v>Amazon</v>
      </c>
      <c r="BC154" s="527" t="str">
        <f t="shared" si="25"/>
        <v>美国AWD</v>
      </c>
    </row>
    <row r="155" s="496" customFormat="1" customHeight="1" spans="1:55">
      <c r="A155" s="527">
        <v>46139</v>
      </c>
      <c r="B155" s="527" t="str">
        <f ca="1" t="shared" si="18"/>
        <v/>
      </c>
      <c r="C155" s="346" t="str">
        <f>VLOOKUP(H155,名称!A:E,4,0)</f>
        <v>三代</v>
      </c>
      <c r="D155" s="588" t="s">
        <v>1330</v>
      </c>
      <c r="E155" s="588" t="s">
        <v>1341</v>
      </c>
      <c r="F155" s="588" t="s">
        <v>791</v>
      </c>
      <c r="G155" s="588" t="s">
        <v>792</v>
      </c>
      <c r="H155" s="588" t="s">
        <v>151</v>
      </c>
      <c r="I155" s="346"/>
      <c r="J155" s="589">
        <v>5472</v>
      </c>
      <c r="K155" s="347">
        <f>VLOOKUP(H155,名称!A:C,2,0)</f>
        <v>12</v>
      </c>
      <c r="L155" s="348">
        <f t="shared" si="19"/>
        <v>65664</v>
      </c>
      <c r="M155" s="346">
        <f>VLOOKUP(H155,名称!A:E,3,0)</f>
        <v>96</v>
      </c>
      <c r="N155" s="348">
        <f t="shared" si="20"/>
        <v>57</v>
      </c>
      <c r="O155" s="587">
        <v>46200</v>
      </c>
      <c r="P155" s="536">
        <v>46227</v>
      </c>
      <c r="Q155" s="536">
        <v>46227</v>
      </c>
      <c r="R155" s="602" t="s">
        <v>1331</v>
      </c>
      <c r="S155" s="536" t="s">
        <v>1133</v>
      </c>
      <c r="T155" s="346"/>
      <c r="U155" s="568"/>
      <c r="V155" s="346"/>
      <c r="W155" s="348" t="str">
        <f>IFERROR(VLOOKUP(H155,名称!A:F,6,0),"")</f>
        <v>湖南</v>
      </c>
      <c r="X155" s="568" t="s">
        <v>1332</v>
      </c>
      <c r="Y155" s="568" t="s">
        <v>1233</v>
      </c>
      <c r="Z155" s="569">
        <v>46163</v>
      </c>
      <c r="AA155" s="570">
        <v>46172</v>
      </c>
      <c r="AB155" s="569">
        <v>46189</v>
      </c>
      <c r="AC155" s="568" t="s">
        <v>1333</v>
      </c>
      <c r="AD155" s="568" t="s">
        <v>1228</v>
      </c>
      <c r="AE155" s="588" t="s">
        <v>510</v>
      </c>
      <c r="AF155" s="568" t="s">
        <v>1228</v>
      </c>
      <c r="AG155" s="568" t="s">
        <v>341</v>
      </c>
      <c r="AH155" s="568" t="s">
        <v>1133</v>
      </c>
      <c r="AI155" s="568" t="s">
        <v>1228</v>
      </c>
      <c r="AJ155" s="568" t="s">
        <v>1133</v>
      </c>
      <c r="AK155" s="568" t="s">
        <v>1133</v>
      </c>
      <c r="AL155" s="568"/>
      <c r="AM155" s="568" t="s">
        <v>1334</v>
      </c>
      <c r="AN155" s="588"/>
      <c r="AO155" s="531">
        <v>1.3</v>
      </c>
      <c r="AP155" s="532">
        <f t="shared" si="21"/>
        <v>7113.6</v>
      </c>
      <c r="AQ155" s="532">
        <f t="shared" si="22"/>
        <v>55130.4</v>
      </c>
      <c r="AR155" s="533"/>
      <c r="AS155" s="527"/>
      <c r="AT155" s="403" t="s">
        <v>1220</v>
      </c>
      <c r="AU155" s="537">
        <f>5376</f>
        <v>5376</v>
      </c>
      <c r="AV155" s="535">
        <f t="shared" si="23"/>
        <v>-96</v>
      </c>
      <c r="AW155" s="605"/>
      <c r="AX155" s="413" t="s">
        <v>1280</v>
      </c>
      <c r="AY155" s="527"/>
      <c r="AZ155" s="527"/>
      <c r="BA155" s="527"/>
      <c r="BB155" s="527" t="str">
        <f t="shared" si="24"/>
        <v>Amazon</v>
      </c>
      <c r="BC155" s="527" t="str">
        <f t="shared" si="25"/>
        <v>美国AWD</v>
      </c>
    </row>
    <row r="156" s="496" customFormat="1" customHeight="1" spans="1:55">
      <c r="A156" s="527">
        <v>46139</v>
      </c>
      <c r="B156" s="527" t="str">
        <f ca="1" t="shared" si="18"/>
        <v/>
      </c>
      <c r="C156" s="346" t="str">
        <f>VLOOKUP(H156,名称!A:E,4,0)</f>
        <v>三代</v>
      </c>
      <c r="D156" s="588" t="s">
        <v>1330</v>
      </c>
      <c r="E156" s="588" t="s">
        <v>1341</v>
      </c>
      <c r="F156" s="588" t="s">
        <v>791</v>
      </c>
      <c r="G156" s="588" t="s">
        <v>792</v>
      </c>
      <c r="H156" s="588" t="s">
        <v>152</v>
      </c>
      <c r="I156" s="346"/>
      <c r="J156" s="589">
        <v>3264</v>
      </c>
      <c r="K156" s="347">
        <f>VLOOKUP(H156,名称!A:C,2,0)</f>
        <v>12</v>
      </c>
      <c r="L156" s="348">
        <f t="shared" si="19"/>
        <v>39168</v>
      </c>
      <c r="M156" s="346">
        <f>VLOOKUP(H156,名称!A:E,3,0)</f>
        <v>96</v>
      </c>
      <c r="N156" s="348">
        <f t="shared" si="20"/>
        <v>34</v>
      </c>
      <c r="O156" s="587">
        <v>46200</v>
      </c>
      <c r="P156" s="536">
        <v>46220</v>
      </c>
      <c r="Q156" s="536">
        <v>46220</v>
      </c>
      <c r="R156" s="601" t="s">
        <v>1331</v>
      </c>
      <c r="S156" s="536" t="s">
        <v>1133</v>
      </c>
      <c r="T156" s="346"/>
      <c r="U156" s="568"/>
      <c r="V156" s="346"/>
      <c r="W156" s="348" t="str">
        <f>IFERROR(VLOOKUP(H156,名称!A:F,6,0),"")</f>
        <v>湖南</v>
      </c>
      <c r="X156" s="568" t="s">
        <v>1332</v>
      </c>
      <c r="Y156" s="568" t="s">
        <v>1233</v>
      </c>
      <c r="Z156" s="569">
        <v>46163</v>
      </c>
      <c r="AA156" s="570">
        <v>46172</v>
      </c>
      <c r="AB156" s="569">
        <v>46189</v>
      </c>
      <c r="AC156" s="568" t="s">
        <v>1333</v>
      </c>
      <c r="AD156" s="415" t="s">
        <v>1228</v>
      </c>
      <c r="AE156" s="588" t="s">
        <v>510</v>
      </c>
      <c r="AF156" s="568" t="s">
        <v>1228</v>
      </c>
      <c r="AG156" s="568" t="s">
        <v>341</v>
      </c>
      <c r="AH156" s="568" t="s">
        <v>1133</v>
      </c>
      <c r="AI156" s="568" t="s">
        <v>1228</v>
      </c>
      <c r="AJ156" s="568" t="s">
        <v>1133</v>
      </c>
      <c r="AK156" s="568" t="s">
        <v>1133</v>
      </c>
      <c r="AL156" s="568"/>
      <c r="AM156" s="568" t="s">
        <v>1334</v>
      </c>
      <c r="AN156" s="588"/>
      <c r="AO156" s="531">
        <v>1.27</v>
      </c>
      <c r="AP156" s="532">
        <f t="shared" si="21"/>
        <v>4145.28</v>
      </c>
      <c r="AQ156" s="532">
        <f t="shared" si="22"/>
        <v>32125.92</v>
      </c>
      <c r="AR156" s="533"/>
      <c r="AS156" s="527"/>
      <c r="AT156" s="403" t="s">
        <v>1220</v>
      </c>
      <c r="AU156" s="537">
        <v>3264</v>
      </c>
      <c r="AV156" s="535">
        <f t="shared" si="23"/>
        <v>0</v>
      </c>
      <c r="AW156" s="605"/>
      <c r="AX156" s="413" t="s">
        <v>1280</v>
      </c>
      <c r="AY156" s="527"/>
      <c r="AZ156" s="527"/>
      <c r="BA156" s="527"/>
      <c r="BB156" s="527" t="str">
        <f t="shared" si="24"/>
        <v>Amazon</v>
      </c>
      <c r="BC156" s="527" t="str">
        <f t="shared" si="25"/>
        <v>美国AWD</v>
      </c>
    </row>
    <row r="157" s="496" customFormat="1" customHeight="1" spans="1:55">
      <c r="A157" s="527">
        <v>46139</v>
      </c>
      <c r="B157" s="527" t="str">
        <f ca="1" t="shared" si="18"/>
        <v/>
      </c>
      <c r="C157" s="346" t="str">
        <f>VLOOKUP(H157,名称!A:E,4,0)</f>
        <v>三代</v>
      </c>
      <c r="D157" s="588" t="s">
        <v>1330</v>
      </c>
      <c r="E157" s="588" t="s">
        <v>1341</v>
      </c>
      <c r="F157" s="588" t="s">
        <v>791</v>
      </c>
      <c r="G157" s="588" t="s">
        <v>792</v>
      </c>
      <c r="H157" s="588" t="s">
        <v>153</v>
      </c>
      <c r="I157" s="346"/>
      <c r="J157" s="589">
        <v>3264</v>
      </c>
      <c r="K157" s="347">
        <f>VLOOKUP(H157,名称!A:C,2,0)</f>
        <v>12</v>
      </c>
      <c r="L157" s="348">
        <f t="shared" si="19"/>
        <v>39168</v>
      </c>
      <c r="M157" s="346">
        <f>VLOOKUP(H157,名称!A:E,3,0)</f>
        <v>96</v>
      </c>
      <c r="N157" s="348">
        <f t="shared" si="20"/>
        <v>34</v>
      </c>
      <c r="O157" s="587">
        <v>46200</v>
      </c>
      <c r="P157" s="536">
        <v>46220</v>
      </c>
      <c r="Q157" s="536">
        <v>46220</v>
      </c>
      <c r="R157" s="601" t="s">
        <v>1331</v>
      </c>
      <c r="S157" s="536" t="s">
        <v>1133</v>
      </c>
      <c r="T157" s="346"/>
      <c r="U157" s="568"/>
      <c r="V157" s="346"/>
      <c r="W157" s="348" t="str">
        <f>IFERROR(VLOOKUP(H157,名称!A:F,6,0),"")</f>
        <v>湖南</v>
      </c>
      <c r="X157" s="568" t="s">
        <v>1332</v>
      </c>
      <c r="Y157" s="568" t="s">
        <v>1233</v>
      </c>
      <c r="Z157" s="569">
        <v>46163</v>
      </c>
      <c r="AA157" s="570">
        <v>46172</v>
      </c>
      <c r="AB157" s="569">
        <v>46189</v>
      </c>
      <c r="AC157" s="568" t="s">
        <v>1333</v>
      </c>
      <c r="AD157" s="415" t="s">
        <v>1228</v>
      </c>
      <c r="AE157" s="588" t="s">
        <v>510</v>
      </c>
      <c r="AF157" s="568" t="s">
        <v>1228</v>
      </c>
      <c r="AG157" s="568" t="s">
        <v>341</v>
      </c>
      <c r="AH157" s="568" t="s">
        <v>1133</v>
      </c>
      <c r="AI157" s="568" t="s">
        <v>1228</v>
      </c>
      <c r="AJ157" s="568" t="s">
        <v>1133</v>
      </c>
      <c r="AK157" s="568" t="s">
        <v>1133</v>
      </c>
      <c r="AL157" s="568"/>
      <c r="AM157" s="568" t="s">
        <v>1334</v>
      </c>
      <c r="AN157" s="588"/>
      <c r="AO157" s="531">
        <v>1.27</v>
      </c>
      <c r="AP157" s="532">
        <f t="shared" si="21"/>
        <v>4145.28</v>
      </c>
      <c r="AQ157" s="532">
        <f t="shared" si="22"/>
        <v>32125.92</v>
      </c>
      <c r="AR157" s="533"/>
      <c r="AS157" s="527"/>
      <c r="AT157" s="403" t="s">
        <v>1220</v>
      </c>
      <c r="AU157" s="537">
        <v>3264</v>
      </c>
      <c r="AV157" s="535">
        <f t="shared" si="23"/>
        <v>0</v>
      </c>
      <c r="AW157" s="605"/>
      <c r="AX157" s="413" t="s">
        <v>1280</v>
      </c>
      <c r="AY157" s="527"/>
      <c r="AZ157" s="527"/>
      <c r="BA157" s="527"/>
      <c r="BB157" s="527" t="str">
        <f t="shared" si="24"/>
        <v>Amazon</v>
      </c>
      <c r="BC157" s="527" t="str">
        <f t="shared" si="25"/>
        <v>美国AWD</v>
      </c>
    </row>
    <row r="158" s="496" customFormat="1" customHeight="1" spans="1:55">
      <c r="A158" s="527">
        <v>46139</v>
      </c>
      <c r="B158" s="527" t="str">
        <f ca="1" t="shared" si="18"/>
        <v/>
      </c>
      <c r="C158" s="346" t="str">
        <f>VLOOKUP(H158,名称!A:E,4,0)</f>
        <v>三代</v>
      </c>
      <c r="D158" s="588" t="s">
        <v>1330</v>
      </c>
      <c r="E158" s="588" t="s">
        <v>1341</v>
      </c>
      <c r="F158" s="588" t="s">
        <v>791</v>
      </c>
      <c r="G158" s="588" t="s">
        <v>792</v>
      </c>
      <c r="H158" s="588" t="s">
        <v>154</v>
      </c>
      <c r="I158" s="346"/>
      <c r="J158" s="589">
        <v>3264</v>
      </c>
      <c r="K158" s="347">
        <f>VLOOKUP(H158,名称!A:C,2,0)</f>
        <v>12</v>
      </c>
      <c r="L158" s="348">
        <f t="shared" si="19"/>
        <v>39168</v>
      </c>
      <c r="M158" s="346">
        <f>VLOOKUP(H158,名称!A:E,3,0)</f>
        <v>96</v>
      </c>
      <c r="N158" s="348">
        <f t="shared" si="20"/>
        <v>34</v>
      </c>
      <c r="O158" s="587">
        <v>46200</v>
      </c>
      <c r="P158" s="536">
        <v>46220</v>
      </c>
      <c r="Q158" s="536">
        <v>46220</v>
      </c>
      <c r="R158" s="601" t="s">
        <v>1331</v>
      </c>
      <c r="S158" s="536" t="s">
        <v>1133</v>
      </c>
      <c r="T158" s="346"/>
      <c r="U158" s="568"/>
      <c r="V158" s="346"/>
      <c r="W158" s="348" t="str">
        <f>IFERROR(VLOOKUP(H158,名称!A:F,6,0),"")</f>
        <v>湖南</v>
      </c>
      <c r="X158" s="568" t="s">
        <v>1332</v>
      </c>
      <c r="Y158" s="568" t="s">
        <v>1233</v>
      </c>
      <c r="Z158" s="569">
        <v>46163</v>
      </c>
      <c r="AA158" s="570">
        <v>46172</v>
      </c>
      <c r="AB158" s="569">
        <v>46189</v>
      </c>
      <c r="AC158" s="568" t="s">
        <v>1333</v>
      </c>
      <c r="AD158" s="415" t="s">
        <v>1228</v>
      </c>
      <c r="AE158" s="588" t="s">
        <v>510</v>
      </c>
      <c r="AF158" s="568" t="s">
        <v>1228</v>
      </c>
      <c r="AG158" s="568" t="s">
        <v>341</v>
      </c>
      <c r="AH158" s="568" t="s">
        <v>1133</v>
      </c>
      <c r="AI158" s="568" t="s">
        <v>1228</v>
      </c>
      <c r="AJ158" s="568" t="s">
        <v>1133</v>
      </c>
      <c r="AK158" s="568" t="s">
        <v>1133</v>
      </c>
      <c r="AL158" s="568"/>
      <c r="AM158" s="568" t="s">
        <v>1334</v>
      </c>
      <c r="AN158" s="588"/>
      <c r="AO158" s="531">
        <v>1.27</v>
      </c>
      <c r="AP158" s="532">
        <f t="shared" si="21"/>
        <v>4145.28</v>
      </c>
      <c r="AQ158" s="532">
        <f t="shared" si="22"/>
        <v>32125.92</v>
      </c>
      <c r="AR158" s="533"/>
      <c r="AS158" s="527"/>
      <c r="AT158" s="403" t="s">
        <v>1220</v>
      </c>
      <c r="AU158" s="537">
        <v>3264</v>
      </c>
      <c r="AV158" s="535">
        <f t="shared" si="23"/>
        <v>0</v>
      </c>
      <c r="AW158" s="605"/>
      <c r="AX158" s="413" t="s">
        <v>1280</v>
      </c>
      <c r="AY158" s="527"/>
      <c r="AZ158" s="527"/>
      <c r="BA158" s="527"/>
      <c r="BB158" s="527" t="str">
        <f t="shared" si="24"/>
        <v>Amazon</v>
      </c>
      <c r="BC158" s="527" t="str">
        <f t="shared" si="25"/>
        <v>美国AWD</v>
      </c>
    </row>
    <row r="159" s="496" customFormat="1" customHeight="1" spans="1:55">
      <c r="A159" s="527">
        <v>46139</v>
      </c>
      <c r="B159" s="527" t="str">
        <f ca="1" t="shared" si="18"/>
        <v/>
      </c>
      <c r="C159" s="346" t="str">
        <f>VLOOKUP(H159,名称!A:E,4,0)</f>
        <v>三代</v>
      </c>
      <c r="D159" s="588" t="s">
        <v>1330</v>
      </c>
      <c r="E159" s="588" t="s">
        <v>1341</v>
      </c>
      <c r="F159" s="588" t="s">
        <v>791</v>
      </c>
      <c r="G159" s="588" t="s">
        <v>792</v>
      </c>
      <c r="H159" s="588" t="s">
        <v>155</v>
      </c>
      <c r="I159" s="346"/>
      <c r="J159" s="589">
        <f>5670+30-5400</f>
        <v>300</v>
      </c>
      <c r="K159" s="347">
        <f>VLOOKUP(H159,名称!A:C,2,0)</f>
        <v>5</v>
      </c>
      <c r="L159" s="348">
        <f t="shared" si="19"/>
        <v>1500</v>
      </c>
      <c r="M159" s="346">
        <f>VLOOKUP(H159,名称!A:E,3,0)</f>
        <v>75</v>
      </c>
      <c r="N159" s="348">
        <f t="shared" si="20"/>
        <v>4</v>
      </c>
      <c r="O159" s="587">
        <v>46200</v>
      </c>
      <c r="P159" s="536">
        <v>46227</v>
      </c>
      <c r="Q159" s="536">
        <v>46227</v>
      </c>
      <c r="R159" s="404" t="s">
        <v>1241</v>
      </c>
      <c r="S159" s="536" t="s">
        <v>1133</v>
      </c>
      <c r="T159" s="346"/>
      <c r="U159" s="568"/>
      <c r="V159" s="346"/>
      <c r="W159" s="348" t="str">
        <f>IFERROR(VLOOKUP(H159,名称!A:F,6,0),"")</f>
        <v>湖南</v>
      </c>
      <c r="X159" s="408" t="s">
        <v>1342</v>
      </c>
      <c r="Y159" s="404" t="s">
        <v>1228</v>
      </c>
      <c r="Z159" s="569">
        <v>46163</v>
      </c>
      <c r="AA159" s="570">
        <v>46172</v>
      </c>
      <c r="AB159" s="432">
        <v>46196</v>
      </c>
      <c r="AC159" s="568" t="s">
        <v>1333</v>
      </c>
      <c r="AD159" s="568" t="s">
        <v>1228</v>
      </c>
      <c r="AE159" s="588" t="s">
        <v>510</v>
      </c>
      <c r="AF159" s="568" t="s">
        <v>1228</v>
      </c>
      <c r="AG159" s="568" t="s">
        <v>341</v>
      </c>
      <c r="AH159" s="568" t="s">
        <v>1133</v>
      </c>
      <c r="AI159" s="568" t="s">
        <v>1228</v>
      </c>
      <c r="AJ159" s="568" t="s">
        <v>1133</v>
      </c>
      <c r="AK159" s="568" t="s">
        <v>1133</v>
      </c>
      <c r="AL159" s="568"/>
      <c r="AM159" s="568" t="s">
        <v>1334</v>
      </c>
      <c r="AN159" s="408" t="s">
        <v>1343</v>
      </c>
      <c r="AO159" s="531">
        <v>0.83</v>
      </c>
      <c r="AP159" s="532">
        <f t="shared" si="21"/>
        <v>249</v>
      </c>
      <c r="AQ159" s="532">
        <f t="shared" si="22"/>
        <v>1929.75</v>
      </c>
      <c r="AR159" s="533"/>
      <c r="AS159" s="527"/>
      <c r="AT159" s="527" t="s">
        <v>1310</v>
      </c>
      <c r="AU159" s="537">
        <f>2700+3000</f>
        <v>5700</v>
      </c>
      <c r="AV159" s="535">
        <f t="shared" si="23"/>
        <v>5400</v>
      </c>
      <c r="AW159" s="608" t="s">
        <v>1228</v>
      </c>
      <c r="AX159" s="536"/>
      <c r="AY159" s="527"/>
      <c r="AZ159" s="527"/>
      <c r="BA159" s="527"/>
      <c r="BB159" s="527" t="str">
        <f t="shared" si="24"/>
        <v>Amazon</v>
      </c>
      <c r="BC159" s="527" t="str">
        <f t="shared" si="25"/>
        <v>美国AWD</v>
      </c>
    </row>
    <row r="160" s="496" customFormat="1" customHeight="1" spans="1:55">
      <c r="A160" s="527">
        <v>46139</v>
      </c>
      <c r="B160" s="527" t="str">
        <f ca="1" t="shared" si="18"/>
        <v/>
      </c>
      <c r="C160" s="346" t="str">
        <f>VLOOKUP(H160,名称!A:E,4,0)</f>
        <v>三代</v>
      </c>
      <c r="D160" s="588" t="s">
        <v>1330</v>
      </c>
      <c r="E160" s="588" t="s">
        <v>1341</v>
      </c>
      <c r="F160" s="588" t="s">
        <v>791</v>
      </c>
      <c r="G160" s="588" t="s">
        <v>792</v>
      </c>
      <c r="H160" s="588" t="s">
        <v>156</v>
      </c>
      <c r="I160" s="346"/>
      <c r="J160" s="589">
        <f>7056-6-6300</f>
        <v>750</v>
      </c>
      <c r="K160" s="347">
        <f>VLOOKUP(H160,名称!A:C,2,0)</f>
        <v>5</v>
      </c>
      <c r="L160" s="348">
        <f t="shared" si="19"/>
        <v>3750</v>
      </c>
      <c r="M160" s="346">
        <f>VLOOKUP(H160,名称!A:E,3,0)</f>
        <v>75</v>
      </c>
      <c r="N160" s="348">
        <f t="shared" si="20"/>
        <v>10</v>
      </c>
      <c r="O160" s="587">
        <v>46200</v>
      </c>
      <c r="P160" s="536">
        <v>46227</v>
      </c>
      <c r="Q160" s="536">
        <v>46227</v>
      </c>
      <c r="R160" s="404" t="s">
        <v>1241</v>
      </c>
      <c r="S160" s="536" t="s">
        <v>1133</v>
      </c>
      <c r="T160" s="346"/>
      <c r="U160" s="568"/>
      <c r="V160" s="346"/>
      <c r="W160" s="348" t="str">
        <f>IFERROR(VLOOKUP(H160,名称!A:F,6,0),"")</f>
        <v>湖南</v>
      </c>
      <c r="X160" s="415" t="s">
        <v>1342</v>
      </c>
      <c r="Y160" s="415" t="s">
        <v>1228</v>
      </c>
      <c r="Z160" s="569">
        <v>46163</v>
      </c>
      <c r="AA160" s="570">
        <v>46172</v>
      </c>
      <c r="AB160" s="432">
        <v>46196</v>
      </c>
      <c r="AC160" s="568" t="s">
        <v>1333</v>
      </c>
      <c r="AD160" s="568" t="s">
        <v>1228</v>
      </c>
      <c r="AE160" s="588" t="s">
        <v>510</v>
      </c>
      <c r="AF160" s="568" t="s">
        <v>1228</v>
      </c>
      <c r="AG160" s="568" t="s">
        <v>341</v>
      </c>
      <c r="AH160" s="568" t="s">
        <v>1133</v>
      </c>
      <c r="AI160" s="568" t="s">
        <v>1228</v>
      </c>
      <c r="AJ160" s="568" t="s">
        <v>1133</v>
      </c>
      <c r="AK160" s="568" t="s">
        <v>1133</v>
      </c>
      <c r="AL160" s="568"/>
      <c r="AM160" s="568" t="s">
        <v>1334</v>
      </c>
      <c r="AN160" s="408" t="s">
        <v>1343</v>
      </c>
      <c r="AO160" s="531">
        <v>0.83</v>
      </c>
      <c r="AP160" s="532">
        <f t="shared" si="21"/>
        <v>622.5</v>
      </c>
      <c r="AQ160" s="532">
        <f t="shared" si="22"/>
        <v>4824.38</v>
      </c>
      <c r="AR160" s="533"/>
      <c r="AS160" s="527"/>
      <c r="AT160" s="527" t="s">
        <v>1310</v>
      </c>
      <c r="AU160" s="537">
        <f>6975+75</f>
        <v>7050</v>
      </c>
      <c r="AV160" s="535">
        <f t="shared" si="23"/>
        <v>6300</v>
      </c>
      <c r="AW160" s="608" t="s">
        <v>1228</v>
      </c>
      <c r="AX160" s="536"/>
      <c r="AY160" s="527"/>
      <c r="AZ160" s="527"/>
      <c r="BA160" s="527"/>
      <c r="BB160" s="527" t="str">
        <f t="shared" si="24"/>
        <v>Amazon</v>
      </c>
      <c r="BC160" s="527" t="str">
        <f t="shared" si="25"/>
        <v>美国AWD</v>
      </c>
    </row>
    <row r="161" s="496" customFormat="1" customHeight="1" spans="1:55">
      <c r="A161" s="527">
        <v>46139</v>
      </c>
      <c r="B161" s="527" t="str">
        <f ca="1" t="shared" si="18"/>
        <v/>
      </c>
      <c r="C161" s="346" t="str">
        <f>VLOOKUP(H161,名称!A:E,4,0)</f>
        <v>三代</v>
      </c>
      <c r="D161" s="588" t="s">
        <v>1330</v>
      </c>
      <c r="E161" s="588" t="s">
        <v>1341</v>
      </c>
      <c r="F161" s="588" t="s">
        <v>791</v>
      </c>
      <c r="G161" s="588" t="s">
        <v>792</v>
      </c>
      <c r="H161" s="588" t="s">
        <v>157</v>
      </c>
      <c r="I161" s="346"/>
      <c r="J161" s="589">
        <f>5670+30-2100</f>
        <v>3600</v>
      </c>
      <c r="K161" s="347">
        <f>VLOOKUP(H161,名称!A:C,2,0)</f>
        <v>5</v>
      </c>
      <c r="L161" s="348">
        <f t="shared" si="19"/>
        <v>18000</v>
      </c>
      <c r="M161" s="346">
        <f>VLOOKUP(H161,名称!A:E,3,0)</f>
        <v>75</v>
      </c>
      <c r="N161" s="348">
        <f t="shared" si="20"/>
        <v>48</v>
      </c>
      <c r="O161" s="587">
        <v>46200</v>
      </c>
      <c r="P161" s="536">
        <v>46227</v>
      </c>
      <c r="Q161" s="536">
        <v>46227</v>
      </c>
      <c r="R161" s="404" t="s">
        <v>1241</v>
      </c>
      <c r="S161" s="536" t="s">
        <v>1133</v>
      </c>
      <c r="T161" s="346"/>
      <c r="U161" s="568"/>
      <c r="V161" s="346"/>
      <c r="W161" s="348" t="str">
        <f>IFERROR(VLOOKUP(H161,名称!A:F,6,0),"")</f>
        <v>湖南</v>
      </c>
      <c r="X161" s="415" t="s">
        <v>1342</v>
      </c>
      <c r="Y161" s="415" t="s">
        <v>1228</v>
      </c>
      <c r="Z161" s="569">
        <v>46163</v>
      </c>
      <c r="AA161" s="570">
        <v>46172</v>
      </c>
      <c r="AB161" s="432">
        <v>46196</v>
      </c>
      <c r="AC161" s="568" t="s">
        <v>1333</v>
      </c>
      <c r="AD161" s="568" t="s">
        <v>1228</v>
      </c>
      <c r="AE161" s="588" t="s">
        <v>510</v>
      </c>
      <c r="AF161" s="568" t="s">
        <v>1228</v>
      </c>
      <c r="AG161" s="568" t="s">
        <v>341</v>
      </c>
      <c r="AH161" s="568" t="s">
        <v>1133</v>
      </c>
      <c r="AI161" s="568" t="s">
        <v>1228</v>
      </c>
      <c r="AJ161" s="568" t="s">
        <v>1133</v>
      </c>
      <c r="AK161" s="568" t="s">
        <v>1133</v>
      </c>
      <c r="AL161" s="568"/>
      <c r="AM161" s="568" t="s">
        <v>1334</v>
      </c>
      <c r="AN161" s="408" t="s">
        <v>1343</v>
      </c>
      <c r="AO161" s="531">
        <v>0.83</v>
      </c>
      <c r="AP161" s="532">
        <f t="shared" si="21"/>
        <v>2988</v>
      </c>
      <c r="AQ161" s="532">
        <f t="shared" si="22"/>
        <v>23157</v>
      </c>
      <c r="AR161" s="533"/>
      <c r="AS161" s="527"/>
      <c r="AT161" s="527" t="s">
        <v>1310</v>
      </c>
      <c r="AU161" s="537">
        <f>3375+150+2025+150</f>
        <v>5700</v>
      </c>
      <c r="AV161" s="535">
        <f t="shared" si="23"/>
        <v>2100</v>
      </c>
      <c r="AW161" s="608" t="s">
        <v>1228</v>
      </c>
      <c r="AX161" s="536"/>
      <c r="AY161" s="527"/>
      <c r="AZ161" s="527"/>
      <c r="BA161" s="527"/>
      <c r="BB161" s="527" t="str">
        <f t="shared" si="24"/>
        <v>Amazon</v>
      </c>
      <c r="BC161" s="527" t="str">
        <f t="shared" si="25"/>
        <v>美国AWD</v>
      </c>
    </row>
    <row r="162" s="496" customFormat="1" customHeight="1" spans="1:55">
      <c r="A162" s="527">
        <v>46139</v>
      </c>
      <c r="B162" s="527" t="str">
        <f ca="1" t="shared" si="18"/>
        <v/>
      </c>
      <c r="C162" s="346" t="str">
        <f>VLOOKUP(H162,名称!A:E,4,0)</f>
        <v>三代</v>
      </c>
      <c r="D162" s="588" t="s">
        <v>1330</v>
      </c>
      <c r="E162" s="588" t="s">
        <v>1341</v>
      </c>
      <c r="F162" s="588" t="s">
        <v>791</v>
      </c>
      <c r="G162" s="588" t="s">
        <v>792</v>
      </c>
      <c r="H162" s="588" t="s">
        <v>158</v>
      </c>
      <c r="I162" s="346"/>
      <c r="J162" s="589">
        <f>9072+3</f>
        <v>9075</v>
      </c>
      <c r="K162" s="347">
        <f>VLOOKUP(H162,名称!A:C,2,0)</f>
        <v>5</v>
      </c>
      <c r="L162" s="348">
        <f t="shared" si="19"/>
        <v>45375</v>
      </c>
      <c r="M162" s="346">
        <f>VLOOKUP(H162,名称!A:E,3,0)</f>
        <v>75</v>
      </c>
      <c r="N162" s="348">
        <f t="shared" si="20"/>
        <v>121</v>
      </c>
      <c r="O162" s="587">
        <v>46200</v>
      </c>
      <c r="P162" s="536">
        <v>46227</v>
      </c>
      <c r="Q162" s="536">
        <v>46227</v>
      </c>
      <c r="R162" s="404" t="s">
        <v>1241</v>
      </c>
      <c r="S162" s="536" t="s">
        <v>1133</v>
      </c>
      <c r="T162" s="346"/>
      <c r="U162" s="568"/>
      <c r="V162" s="346"/>
      <c r="W162" s="348" t="str">
        <f>IFERROR(VLOOKUP(H162,名称!A:F,6,0),"")</f>
        <v>湖南</v>
      </c>
      <c r="X162" s="408" t="s">
        <v>1342</v>
      </c>
      <c r="Y162" s="404" t="s">
        <v>1228</v>
      </c>
      <c r="Z162" s="569">
        <v>46163</v>
      </c>
      <c r="AA162" s="570">
        <v>46172</v>
      </c>
      <c r="AB162" s="432">
        <v>46196</v>
      </c>
      <c r="AC162" s="568" t="s">
        <v>1333</v>
      </c>
      <c r="AD162" s="568" t="s">
        <v>1228</v>
      </c>
      <c r="AE162" s="588" t="s">
        <v>510</v>
      </c>
      <c r="AF162" s="568" t="s">
        <v>1228</v>
      </c>
      <c r="AG162" s="568" t="s">
        <v>341</v>
      </c>
      <c r="AH162" s="568" t="s">
        <v>1133</v>
      </c>
      <c r="AI162" s="568" t="s">
        <v>1228</v>
      </c>
      <c r="AJ162" s="568" t="s">
        <v>1133</v>
      </c>
      <c r="AK162" s="568" t="s">
        <v>1133</v>
      </c>
      <c r="AL162" s="568"/>
      <c r="AM162" s="568" t="s">
        <v>1334</v>
      </c>
      <c r="AN162" s="408" t="s">
        <v>1343</v>
      </c>
      <c r="AO162" s="531">
        <v>0.83</v>
      </c>
      <c r="AP162" s="532">
        <f t="shared" si="21"/>
        <v>7532.25</v>
      </c>
      <c r="AQ162" s="532">
        <f t="shared" si="22"/>
        <v>58374.94</v>
      </c>
      <c r="AR162" s="533"/>
      <c r="AS162" s="527"/>
      <c r="AT162" s="527" t="s">
        <v>1310</v>
      </c>
      <c r="AU162" s="537">
        <f>2700+4050+2025+300</f>
        <v>9075</v>
      </c>
      <c r="AV162" s="535">
        <f t="shared" si="23"/>
        <v>0</v>
      </c>
      <c r="AW162" s="608" t="s">
        <v>1228</v>
      </c>
      <c r="AX162" s="536"/>
      <c r="AY162" s="527"/>
      <c r="AZ162" s="527"/>
      <c r="BA162" s="527"/>
      <c r="BB162" s="527" t="str">
        <f t="shared" si="24"/>
        <v>Amazon</v>
      </c>
      <c r="BC162" s="527" t="str">
        <f t="shared" si="25"/>
        <v>美国AWD</v>
      </c>
    </row>
    <row r="163" s="496" customFormat="1" customHeight="1" spans="1:55">
      <c r="A163" s="527">
        <v>46139</v>
      </c>
      <c r="B163" s="527" t="str">
        <f ca="1" t="shared" si="18"/>
        <v/>
      </c>
      <c r="C163" s="346" t="str">
        <f>VLOOKUP(H163,名称!A:E,4,0)</f>
        <v>三代</v>
      </c>
      <c r="D163" s="588" t="s">
        <v>1330</v>
      </c>
      <c r="E163" s="588" t="s">
        <v>1341</v>
      </c>
      <c r="F163" s="588" t="s">
        <v>791</v>
      </c>
      <c r="G163" s="588" t="s">
        <v>792</v>
      </c>
      <c r="H163" s="588" t="s">
        <v>159</v>
      </c>
      <c r="I163" s="346"/>
      <c r="J163" s="589">
        <f>7056-6-6300</f>
        <v>750</v>
      </c>
      <c r="K163" s="347">
        <f>VLOOKUP(H163,名称!A:C,2,0)</f>
        <v>5</v>
      </c>
      <c r="L163" s="348">
        <f t="shared" si="19"/>
        <v>3750</v>
      </c>
      <c r="M163" s="346">
        <f>VLOOKUP(H163,名称!A:E,3,0)</f>
        <v>75</v>
      </c>
      <c r="N163" s="348">
        <f t="shared" si="20"/>
        <v>10</v>
      </c>
      <c r="O163" s="587">
        <v>46200</v>
      </c>
      <c r="P163" s="536">
        <v>46227</v>
      </c>
      <c r="Q163" s="536">
        <v>46227</v>
      </c>
      <c r="R163" s="404" t="s">
        <v>1241</v>
      </c>
      <c r="S163" s="536" t="s">
        <v>1133</v>
      </c>
      <c r="T163" s="346"/>
      <c r="U163" s="568"/>
      <c r="V163" s="346"/>
      <c r="W163" s="348" t="str">
        <f>IFERROR(VLOOKUP(H163,名称!A:F,6,0),"")</f>
        <v>湖南</v>
      </c>
      <c r="X163" s="408" t="s">
        <v>1342</v>
      </c>
      <c r="Y163" s="404" t="s">
        <v>1228</v>
      </c>
      <c r="Z163" s="569">
        <v>46163</v>
      </c>
      <c r="AA163" s="570">
        <v>46172</v>
      </c>
      <c r="AB163" s="432">
        <v>46196</v>
      </c>
      <c r="AC163" s="568" t="s">
        <v>1333</v>
      </c>
      <c r="AD163" s="568" t="s">
        <v>1228</v>
      </c>
      <c r="AE163" s="588" t="s">
        <v>510</v>
      </c>
      <c r="AF163" s="568" t="s">
        <v>1228</v>
      </c>
      <c r="AG163" s="568" t="s">
        <v>341</v>
      </c>
      <c r="AH163" s="568" t="s">
        <v>1133</v>
      </c>
      <c r="AI163" s="568" t="s">
        <v>1228</v>
      </c>
      <c r="AJ163" s="568" t="s">
        <v>1133</v>
      </c>
      <c r="AK163" s="568" t="s">
        <v>1133</v>
      </c>
      <c r="AL163" s="568"/>
      <c r="AM163" s="568" t="s">
        <v>1334</v>
      </c>
      <c r="AN163" s="408" t="s">
        <v>1343</v>
      </c>
      <c r="AO163" s="531">
        <v>0.83</v>
      </c>
      <c r="AP163" s="532">
        <f t="shared" si="21"/>
        <v>622.5</v>
      </c>
      <c r="AQ163" s="532">
        <f t="shared" si="22"/>
        <v>4824.38</v>
      </c>
      <c r="AR163" s="533"/>
      <c r="AS163" s="527"/>
      <c r="AT163" s="527" t="s">
        <v>1310</v>
      </c>
      <c r="AU163" s="537">
        <f>3150+1200+2700</f>
        <v>7050</v>
      </c>
      <c r="AV163" s="535">
        <f t="shared" si="23"/>
        <v>6300</v>
      </c>
      <c r="AW163" s="608" t="s">
        <v>1228</v>
      </c>
      <c r="AX163" s="536"/>
      <c r="AY163" s="527"/>
      <c r="AZ163" s="527"/>
      <c r="BA163" s="527"/>
      <c r="BB163" s="527" t="str">
        <f t="shared" si="24"/>
        <v>Amazon</v>
      </c>
      <c r="BC163" s="527" t="str">
        <f t="shared" si="25"/>
        <v>美国AWD</v>
      </c>
    </row>
    <row r="164" s="496" customFormat="1" customHeight="1" spans="1:55">
      <c r="A164" s="527">
        <v>46139</v>
      </c>
      <c r="B164" s="527" t="str">
        <f ca="1" t="shared" si="18"/>
        <v/>
      </c>
      <c r="C164" s="346" t="str">
        <f>VLOOKUP(H164,名称!A:E,4,0)</f>
        <v>三代</v>
      </c>
      <c r="D164" s="588" t="s">
        <v>1330</v>
      </c>
      <c r="E164" s="588" t="s">
        <v>1224</v>
      </c>
      <c r="F164" s="588" t="s">
        <v>791</v>
      </c>
      <c r="G164" s="588" t="s">
        <v>792</v>
      </c>
      <c r="H164" s="588" t="s">
        <v>160</v>
      </c>
      <c r="I164" s="346"/>
      <c r="J164" s="589">
        <f>6432/2+4</f>
        <v>3220</v>
      </c>
      <c r="K164" s="347">
        <f>VLOOKUP(H164,名称!A:C,2,0)</f>
        <v>5</v>
      </c>
      <c r="L164" s="348">
        <f t="shared" si="19"/>
        <v>16100</v>
      </c>
      <c r="M164" s="346">
        <f>VLOOKUP(H164,名称!A:E,3,0)</f>
        <v>70</v>
      </c>
      <c r="N164" s="348">
        <f t="shared" si="20"/>
        <v>46</v>
      </c>
      <c r="O164" s="587">
        <v>46200</v>
      </c>
      <c r="P164" s="536">
        <v>46218</v>
      </c>
      <c r="Q164" s="536">
        <v>46218</v>
      </c>
      <c r="R164" s="602" t="s">
        <v>1331</v>
      </c>
      <c r="S164" s="536" t="s">
        <v>1133</v>
      </c>
      <c r="T164" s="346"/>
      <c r="U164" s="568"/>
      <c r="V164" s="346"/>
      <c r="W164" s="348" t="str">
        <f>IFERROR(VLOOKUP(H164,名称!A:F,6,0),"")</f>
        <v>湖南</v>
      </c>
      <c r="X164" s="568" t="s">
        <v>1332</v>
      </c>
      <c r="Y164" s="568" t="s">
        <v>1233</v>
      </c>
      <c r="Z164" s="569">
        <v>46163</v>
      </c>
      <c r="AA164" s="570">
        <v>46172</v>
      </c>
      <c r="AB164" s="415" t="s">
        <v>1233</v>
      </c>
      <c r="AC164" s="568" t="s">
        <v>1133</v>
      </c>
      <c r="AD164" s="568" t="s">
        <v>1133</v>
      </c>
      <c r="AE164" s="588" t="s">
        <v>510</v>
      </c>
      <c r="AF164" s="568" t="s">
        <v>1228</v>
      </c>
      <c r="AG164" s="568" t="s">
        <v>1133</v>
      </c>
      <c r="AH164" s="568" t="s">
        <v>1133</v>
      </c>
      <c r="AI164" s="568" t="s">
        <v>1228</v>
      </c>
      <c r="AJ164" s="568" t="s">
        <v>1133</v>
      </c>
      <c r="AK164" s="568" t="s">
        <v>510</v>
      </c>
      <c r="AL164" s="568"/>
      <c r="AM164" s="568" t="s">
        <v>1334</v>
      </c>
      <c r="AN164" s="588"/>
      <c r="AO164" s="531">
        <v>0.65</v>
      </c>
      <c r="AP164" s="532">
        <f t="shared" si="21"/>
        <v>2093</v>
      </c>
      <c r="AQ164" s="532">
        <f t="shared" si="22"/>
        <v>16220.75</v>
      </c>
      <c r="AR164" s="533"/>
      <c r="AS164" s="527"/>
      <c r="AT164" s="403" t="s">
        <v>1220</v>
      </c>
      <c r="AU164" s="537">
        <f>3150+70</f>
        <v>3220</v>
      </c>
      <c r="AV164" s="535">
        <f t="shared" si="23"/>
        <v>0</v>
      </c>
      <c r="AW164" s="605"/>
      <c r="AX164" s="413" t="s">
        <v>1280</v>
      </c>
      <c r="AY164" s="527"/>
      <c r="AZ164" s="527"/>
      <c r="BA164" s="527"/>
      <c r="BB164" s="527" t="str">
        <f t="shared" si="24"/>
        <v>Amazon</v>
      </c>
      <c r="BC164" s="527" t="str">
        <f t="shared" si="25"/>
        <v>美国</v>
      </c>
    </row>
    <row r="165" s="496" customFormat="1" customHeight="1" spans="1:55">
      <c r="A165" s="527">
        <v>46139</v>
      </c>
      <c r="B165" s="527" t="str">
        <f ca="1" t="shared" si="18"/>
        <v/>
      </c>
      <c r="C165" s="346" t="str">
        <f>VLOOKUP(H165,名称!A:E,4,0)</f>
        <v>三代</v>
      </c>
      <c r="D165" s="588" t="s">
        <v>1330</v>
      </c>
      <c r="E165" s="588" t="s">
        <v>1224</v>
      </c>
      <c r="F165" s="588" t="s">
        <v>791</v>
      </c>
      <c r="G165" s="588" t="s">
        <v>792</v>
      </c>
      <c r="H165" s="588" t="s">
        <v>178</v>
      </c>
      <c r="I165" s="346"/>
      <c r="J165" s="599">
        <f>6432/2+4</f>
        <v>3220</v>
      </c>
      <c r="K165" s="347">
        <f>VLOOKUP(H165,名称!A:C,2,0)</f>
        <v>5</v>
      </c>
      <c r="L165" s="348">
        <f t="shared" si="19"/>
        <v>16100</v>
      </c>
      <c r="M165" s="346">
        <f>VLOOKUP(H165,名称!A:E,3,0)</f>
        <v>70</v>
      </c>
      <c r="N165" s="348">
        <f t="shared" si="20"/>
        <v>46</v>
      </c>
      <c r="O165" s="587">
        <v>46200</v>
      </c>
      <c r="P165" s="536">
        <v>46220</v>
      </c>
      <c r="Q165" s="536">
        <v>46220</v>
      </c>
      <c r="R165" s="602" t="s">
        <v>1331</v>
      </c>
      <c r="S165" s="536" t="s">
        <v>1133</v>
      </c>
      <c r="T165" s="346"/>
      <c r="U165" s="568"/>
      <c r="V165" s="346"/>
      <c r="W165" s="348" t="str">
        <f>IFERROR(VLOOKUP(H165,名称!A:F,6,0),"")</f>
        <v>湖南</v>
      </c>
      <c r="X165" s="568" t="s">
        <v>1332</v>
      </c>
      <c r="Y165" s="568" t="s">
        <v>1233</v>
      </c>
      <c r="Z165" s="569">
        <v>46163</v>
      </c>
      <c r="AA165" s="570">
        <v>46172</v>
      </c>
      <c r="AB165" s="415" t="s">
        <v>1233</v>
      </c>
      <c r="AC165" s="568" t="s">
        <v>1133</v>
      </c>
      <c r="AD165" s="568" t="s">
        <v>1133</v>
      </c>
      <c r="AE165" s="588" t="s">
        <v>510</v>
      </c>
      <c r="AF165" s="568" t="s">
        <v>1228</v>
      </c>
      <c r="AG165" s="568" t="s">
        <v>1133</v>
      </c>
      <c r="AH165" s="568" t="s">
        <v>1133</v>
      </c>
      <c r="AI165" s="568" t="s">
        <v>1228</v>
      </c>
      <c r="AJ165" s="568" t="s">
        <v>1133</v>
      </c>
      <c r="AK165" s="568" t="s">
        <v>510</v>
      </c>
      <c r="AL165" s="568"/>
      <c r="AM165" s="568" t="s">
        <v>1334</v>
      </c>
      <c r="AN165" s="588"/>
      <c r="AO165" s="531">
        <v>0.65</v>
      </c>
      <c r="AP165" s="532">
        <f t="shared" si="21"/>
        <v>2093</v>
      </c>
      <c r="AQ165" s="532">
        <f t="shared" si="22"/>
        <v>16220.75</v>
      </c>
      <c r="AR165" s="533"/>
      <c r="AS165" s="527"/>
      <c r="AT165" s="403" t="s">
        <v>1220</v>
      </c>
      <c r="AU165" s="537">
        <f>3150+70</f>
        <v>3220</v>
      </c>
      <c r="AV165" s="535">
        <f t="shared" si="23"/>
        <v>0</v>
      </c>
      <c r="AW165" s="605"/>
      <c r="AX165" s="413" t="s">
        <v>1280</v>
      </c>
      <c r="AY165" s="527"/>
      <c r="AZ165" s="527"/>
      <c r="BA165" s="527"/>
      <c r="BB165" s="527" t="str">
        <f t="shared" si="24"/>
        <v>Amazon</v>
      </c>
      <c r="BC165" s="527" t="str">
        <f t="shared" si="25"/>
        <v>美国</v>
      </c>
    </row>
    <row r="166" s="496" customFormat="1" customHeight="1" spans="1:55">
      <c r="A166" s="527">
        <v>46139</v>
      </c>
      <c r="B166" s="527" t="str">
        <f ca="1" t="shared" si="18"/>
        <v/>
      </c>
      <c r="C166" s="346" t="str">
        <f>VLOOKUP(H166,名称!A:E,4,0)</f>
        <v>三代</v>
      </c>
      <c r="D166" s="588" t="s">
        <v>1330</v>
      </c>
      <c r="E166" s="588" t="s">
        <v>1341</v>
      </c>
      <c r="F166" s="588" t="s">
        <v>791</v>
      </c>
      <c r="G166" s="588" t="s">
        <v>792</v>
      </c>
      <c r="H166" s="588" t="s">
        <v>161</v>
      </c>
      <c r="I166" s="346"/>
      <c r="J166" s="589">
        <v>1998</v>
      </c>
      <c r="K166" s="347">
        <f>VLOOKUP(H166,名称!A:C,2,0)</f>
        <v>0</v>
      </c>
      <c r="L166" s="348">
        <f t="shared" si="19"/>
        <v>0</v>
      </c>
      <c r="M166" s="346">
        <v>6</v>
      </c>
      <c r="N166" s="348">
        <f t="shared" si="20"/>
        <v>333</v>
      </c>
      <c r="O166" s="587">
        <v>46200</v>
      </c>
      <c r="P166" s="536">
        <v>46233</v>
      </c>
      <c r="Q166" s="536">
        <v>46233</v>
      </c>
      <c r="R166" s="602" t="s">
        <v>1331</v>
      </c>
      <c r="S166" s="536" t="s">
        <v>1133</v>
      </c>
      <c r="T166" s="346"/>
      <c r="U166" s="568"/>
      <c r="V166" s="346"/>
      <c r="W166" s="348" t="str">
        <f>IFERROR(VLOOKUP(H166,名称!A:F,6,0),"")</f>
        <v>湖南</v>
      </c>
      <c r="X166" s="568" t="s">
        <v>1332</v>
      </c>
      <c r="Y166" s="568" t="s">
        <v>1233</v>
      </c>
      <c r="Z166" s="569">
        <v>46163</v>
      </c>
      <c r="AA166" s="570">
        <v>46172</v>
      </c>
      <c r="AB166" s="569">
        <v>46189</v>
      </c>
      <c r="AC166" s="568" t="s">
        <v>1333</v>
      </c>
      <c r="AD166" s="415" t="s">
        <v>1228</v>
      </c>
      <c r="AE166" s="588" t="s">
        <v>510</v>
      </c>
      <c r="AF166" s="568" t="s">
        <v>1228</v>
      </c>
      <c r="AG166" s="568" t="s">
        <v>341</v>
      </c>
      <c r="AH166" s="568" t="s">
        <v>1133</v>
      </c>
      <c r="AI166" s="415" t="s">
        <v>1228</v>
      </c>
      <c r="AJ166" s="568" t="s">
        <v>1133</v>
      </c>
      <c r="AK166" s="568" t="s">
        <v>1133</v>
      </c>
      <c r="AL166" s="568"/>
      <c r="AM166" s="568" t="s">
        <v>1334</v>
      </c>
      <c r="AN166" s="588"/>
      <c r="AO166" s="531">
        <v>9.15</v>
      </c>
      <c r="AP166" s="532">
        <f t="shared" si="21"/>
        <v>18281.7</v>
      </c>
      <c r="AQ166" s="532">
        <f t="shared" si="22"/>
        <v>141683.18</v>
      </c>
      <c r="AR166" s="533"/>
      <c r="AS166" s="527"/>
      <c r="AT166" s="403" t="s">
        <v>1220</v>
      </c>
      <c r="AU166" s="537"/>
      <c r="AV166" s="535">
        <f t="shared" si="23"/>
        <v>-1998</v>
      </c>
      <c r="AW166" s="605"/>
      <c r="AX166" s="536"/>
      <c r="AY166" s="527" t="s">
        <v>1317</v>
      </c>
      <c r="AZ166" s="527" t="s">
        <v>1337</v>
      </c>
      <c r="BA166" s="527"/>
      <c r="BB166" s="527" t="str">
        <f t="shared" si="24"/>
        <v>Amazon</v>
      </c>
      <c r="BC166" s="527" t="str">
        <f t="shared" si="25"/>
        <v>美国AWD</v>
      </c>
    </row>
    <row r="167" s="496" customFormat="1" customHeight="1" spans="1:55">
      <c r="A167" s="527">
        <v>46139</v>
      </c>
      <c r="B167" s="527" t="str">
        <f ca="1" t="shared" si="18"/>
        <v/>
      </c>
      <c r="C167" s="346" t="str">
        <f>VLOOKUP(H167,名称!A:E,4,0)</f>
        <v>三代</v>
      </c>
      <c r="D167" s="588" t="s">
        <v>1330</v>
      </c>
      <c r="E167" s="588" t="s">
        <v>1341</v>
      </c>
      <c r="F167" s="588" t="s">
        <v>791</v>
      </c>
      <c r="G167" s="588" t="s">
        <v>792</v>
      </c>
      <c r="H167" s="588" t="s">
        <v>162</v>
      </c>
      <c r="I167" s="346"/>
      <c r="J167" s="589">
        <v>6816</v>
      </c>
      <c r="K167" s="347">
        <f>VLOOKUP(H167,名称!A:C,2,0)</f>
        <v>12</v>
      </c>
      <c r="L167" s="348">
        <f t="shared" si="19"/>
        <v>81792</v>
      </c>
      <c r="M167" s="346">
        <f>VLOOKUP(H167,名称!A:E,3,0)</f>
        <v>96</v>
      </c>
      <c r="N167" s="348">
        <f t="shared" si="20"/>
        <v>71</v>
      </c>
      <c r="O167" s="587">
        <v>46200</v>
      </c>
      <c r="P167" s="536">
        <v>46220</v>
      </c>
      <c r="Q167" s="536">
        <v>46220</v>
      </c>
      <c r="R167" s="602" t="s">
        <v>1331</v>
      </c>
      <c r="S167" s="536" t="s">
        <v>1133</v>
      </c>
      <c r="T167" s="346"/>
      <c r="U167" s="568"/>
      <c r="V167" s="346"/>
      <c r="W167" s="348" t="str">
        <f>IFERROR(VLOOKUP(H167,名称!A:F,6,0),"")</f>
        <v>湖南</v>
      </c>
      <c r="X167" s="588" t="s">
        <v>1332</v>
      </c>
      <c r="Y167" s="346" t="s">
        <v>1233</v>
      </c>
      <c r="Z167" s="569">
        <v>46163</v>
      </c>
      <c r="AA167" s="570">
        <v>46172</v>
      </c>
      <c r="AB167" s="569">
        <v>46189</v>
      </c>
      <c r="AC167" s="568" t="s">
        <v>1333</v>
      </c>
      <c r="AD167" s="568" t="s">
        <v>1228</v>
      </c>
      <c r="AE167" s="588" t="s">
        <v>510</v>
      </c>
      <c r="AF167" s="568" t="s">
        <v>1228</v>
      </c>
      <c r="AG167" s="568" t="s">
        <v>341</v>
      </c>
      <c r="AH167" s="568" t="s">
        <v>1133</v>
      </c>
      <c r="AI167" s="568" t="s">
        <v>1228</v>
      </c>
      <c r="AJ167" s="568" t="s">
        <v>1133</v>
      </c>
      <c r="AK167" s="568" t="s">
        <v>1133</v>
      </c>
      <c r="AL167" s="568"/>
      <c r="AM167" s="568" t="s">
        <v>1334</v>
      </c>
      <c r="AN167" s="588"/>
      <c r="AO167" s="531">
        <v>1.27</v>
      </c>
      <c r="AP167" s="532">
        <f t="shared" si="21"/>
        <v>8656.32</v>
      </c>
      <c r="AQ167" s="532">
        <f t="shared" si="22"/>
        <v>67086.48</v>
      </c>
      <c r="AR167" s="533"/>
      <c r="AS167" s="527"/>
      <c r="AT167" s="403" t="s">
        <v>1220</v>
      </c>
      <c r="AU167" s="537">
        <f>6720+96</f>
        <v>6816</v>
      </c>
      <c r="AV167" s="535">
        <f t="shared" si="23"/>
        <v>0</v>
      </c>
      <c r="AW167" s="605"/>
      <c r="AX167" s="413" t="s">
        <v>1280</v>
      </c>
      <c r="AY167" s="527"/>
      <c r="AZ167" s="527"/>
      <c r="BA167" s="527"/>
      <c r="BB167" s="527" t="str">
        <f t="shared" si="24"/>
        <v>Amazon</v>
      </c>
      <c r="BC167" s="527" t="str">
        <f t="shared" si="25"/>
        <v>美国AWD</v>
      </c>
    </row>
    <row r="168" s="496" customFormat="1" customHeight="1" spans="1:55">
      <c r="A168" s="527">
        <v>46139</v>
      </c>
      <c r="B168" s="527" t="str">
        <f ca="1" t="shared" si="18"/>
        <v/>
      </c>
      <c r="C168" s="346" t="str">
        <f>VLOOKUP(H168,名称!A:E,4,0)</f>
        <v>三代</v>
      </c>
      <c r="D168" s="588" t="s">
        <v>1330</v>
      </c>
      <c r="E168" s="588" t="s">
        <v>1341</v>
      </c>
      <c r="F168" s="588" t="s">
        <v>791</v>
      </c>
      <c r="G168" s="588" t="s">
        <v>792</v>
      </c>
      <c r="H168" s="588" t="s">
        <v>163</v>
      </c>
      <c r="I168" s="346"/>
      <c r="J168" s="589">
        <v>6816</v>
      </c>
      <c r="K168" s="347">
        <f>VLOOKUP(H168,名称!A:C,2,0)</f>
        <v>12</v>
      </c>
      <c r="L168" s="348">
        <f t="shared" si="19"/>
        <v>81792</v>
      </c>
      <c r="M168" s="346">
        <f>VLOOKUP(H168,名称!A:E,3,0)</f>
        <v>96</v>
      </c>
      <c r="N168" s="348">
        <f t="shared" si="20"/>
        <v>71</v>
      </c>
      <c r="O168" s="587">
        <v>46200</v>
      </c>
      <c r="P168" s="536">
        <v>46224</v>
      </c>
      <c r="Q168" s="536">
        <v>46224</v>
      </c>
      <c r="R168" s="602" t="s">
        <v>1331</v>
      </c>
      <c r="S168" s="536" t="s">
        <v>1133</v>
      </c>
      <c r="T168" s="346"/>
      <c r="U168" s="568"/>
      <c r="V168" s="346"/>
      <c r="W168" s="348" t="str">
        <f>IFERROR(VLOOKUP(H168,名称!A:F,6,0),"")</f>
        <v>湖南</v>
      </c>
      <c r="X168" s="568" t="s">
        <v>1332</v>
      </c>
      <c r="Y168" s="568" t="s">
        <v>1233</v>
      </c>
      <c r="Z168" s="569">
        <v>46163</v>
      </c>
      <c r="AA168" s="570">
        <v>46172</v>
      </c>
      <c r="AB168" s="569">
        <v>46189</v>
      </c>
      <c r="AC168" s="568" t="s">
        <v>1333</v>
      </c>
      <c r="AD168" s="568" t="s">
        <v>1228</v>
      </c>
      <c r="AE168" s="588" t="s">
        <v>510</v>
      </c>
      <c r="AF168" s="568" t="s">
        <v>1228</v>
      </c>
      <c r="AG168" s="568" t="s">
        <v>341</v>
      </c>
      <c r="AH168" s="568" t="s">
        <v>1133</v>
      </c>
      <c r="AI168" s="568" t="s">
        <v>1228</v>
      </c>
      <c r="AJ168" s="568" t="s">
        <v>1133</v>
      </c>
      <c r="AK168" s="568" t="s">
        <v>1133</v>
      </c>
      <c r="AL168" s="568"/>
      <c r="AM168" s="568" t="s">
        <v>1334</v>
      </c>
      <c r="AN168" s="588"/>
      <c r="AO168" s="531">
        <v>1.27</v>
      </c>
      <c r="AP168" s="532">
        <f t="shared" si="21"/>
        <v>8656.32</v>
      </c>
      <c r="AQ168" s="532">
        <f t="shared" si="22"/>
        <v>67086.48</v>
      </c>
      <c r="AR168" s="533"/>
      <c r="AS168" s="527"/>
      <c r="AT168" s="403" t="s">
        <v>1220</v>
      </c>
      <c r="AU168" s="537">
        <f>6528+288</f>
        <v>6816</v>
      </c>
      <c r="AV168" s="535">
        <f t="shared" si="23"/>
        <v>0</v>
      </c>
      <c r="AW168" s="605"/>
      <c r="AX168" s="413" t="s">
        <v>1280</v>
      </c>
      <c r="AY168" s="527"/>
      <c r="AZ168" s="527"/>
      <c r="BA168" s="527"/>
      <c r="BB168" s="527" t="str">
        <f t="shared" si="24"/>
        <v>Amazon</v>
      </c>
      <c r="BC168" s="527" t="str">
        <f t="shared" si="25"/>
        <v>美国AWD</v>
      </c>
    </row>
    <row r="169" s="496" customFormat="1" customHeight="1" spans="1:55">
      <c r="A169" s="527">
        <v>46139</v>
      </c>
      <c r="B169" s="527" t="str">
        <f ca="1" t="shared" si="18"/>
        <v/>
      </c>
      <c r="C169" s="346" t="str">
        <f>VLOOKUP(H169,名称!A:E,4,0)</f>
        <v>三代</v>
      </c>
      <c r="D169" s="588" t="s">
        <v>1330</v>
      </c>
      <c r="E169" s="588" t="s">
        <v>1341</v>
      </c>
      <c r="F169" s="588" t="s">
        <v>791</v>
      </c>
      <c r="G169" s="588" t="s">
        <v>792</v>
      </c>
      <c r="H169" s="588" t="s">
        <v>164</v>
      </c>
      <c r="I169" s="346"/>
      <c r="J169" s="589">
        <v>6816</v>
      </c>
      <c r="K169" s="347">
        <f>VLOOKUP(H169,名称!A:C,2,0)</f>
        <v>12</v>
      </c>
      <c r="L169" s="348">
        <f t="shared" si="19"/>
        <v>81792</v>
      </c>
      <c r="M169" s="346">
        <f>VLOOKUP(H169,名称!A:E,3,0)</f>
        <v>96</v>
      </c>
      <c r="N169" s="348">
        <f t="shared" si="20"/>
        <v>71</v>
      </c>
      <c r="O169" s="587">
        <v>46200</v>
      </c>
      <c r="P169" s="536">
        <v>46227</v>
      </c>
      <c r="Q169" s="536">
        <v>46227</v>
      </c>
      <c r="R169" s="602" t="s">
        <v>1331</v>
      </c>
      <c r="S169" s="536" t="s">
        <v>1133</v>
      </c>
      <c r="T169" s="346"/>
      <c r="U169" s="568"/>
      <c r="V169" s="346"/>
      <c r="W169" s="348" t="str">
        <f>IFERROR(VLOOKUP(H169,名称!A:F,6,0),"")</f>
        <v>湖南</v>
      </c>
      <c r="X169" s="568" t="s">
        <v>1332</v>
      </c>
      <c r="Y169" s="568" t="s">
        <v>1233</v>
      </c>
      <c r="Z169" s="569">
        <v>46163</v>
      </c>
      <c r="AA169" s="570">
        <v>46172</v>
      </c>
      <c r="AB169" s="569">
        <v>46189</v>
      </c>
      <c r="AC169" s="568" t="s">
        <v>1333</v>
      </c>
      <c r="AD169" s="568" t="s">
        <v>1228</v>
      </c>
      <c r="AE169" s="588" t="s">
        <v>510</v>
      </c>
      <c r="AF169" s="568" t="s">
        <v>1228</v>
      </c>
      <c r="AG169" s="568" t="s">
        <v>341</v>
      </c>
      <c r="AH169" s="568" t="s">
        <v>1133</v>
      </c>
      <c r="AI169" s="568" t="s">
        <v>1228</v>
      </c>
      <c r="AJ169" s="568" t="s">
        <v>1133</v>
      </c>
      <c r="AK169" s="568" t="s">
        <v>1133</v>
      </c>
      <c r="AL169" s="568"/>
      <c r="AM169" s="568" t="s">
        <v>1334</v>
      </c>
      <c r="AN169" s="588"/>
      <c r="AO169" s="531">
        <v>1.27</v>
      </c>
      <c r="AP169" s="532">
        <f t="shared" si="21"/>
        <v>8656.32</v>
      </c>
      <c r="AQ169" s="532">
        <f t="shared" si="22"/>
        <v>67086.48</v>
      </c>
      <c r="AR169" s="533"/>
      <c r="AS169" s="527"/>
      <c r="AT169" s="403" t="s">
        <v>1220</v>
      </c>
      <c r="AU169" s="537">
        <f>6336+480</f>
        <v>6816</v>
      </c>
      <c r="AV169" s="535">
        <f t="shared" si="23"/>
        <v>0</v>
      </c>
      <c r="AW169" s="605"/>
      <c r="AX169" s="413" t="s">
        <v>1280</v>
      </c>
      <c r="AY169" s="527"/>
      <c r="AZ169" s="527"/>
      <c r="BA169" s="527"/>
      <c r="BB169" s="527" t="str">
        <f t="shared" si="24"/>
        <v>Amazon</v>
      </c>
      <c r="BC169" s="527" t="str">
        <f t="shared" si="25"/>
        <v>美国AWD</v>
      </c>
    </row>
    <row r="170" s="495" customFormat="1" customHeight="1" spans="1:55">
      <c r="A170" s="538">
        <v>46139</v>
      </c>
      <c r="B170" s="538" t="str">
        <f ca="1" t="shared" si="18"/>
        <v/>
      </c>
      <c r="C170" s="539" t="str">
        <f>VLOOKUP(H170,名称!A:E,4,0)</f>
        <v>三代</v>
      </c>
      <c r="D170" s="591" t="s">
        <v>1330</v>
      </c>
      <c r="E170" s="591" t="s">
        <v>1341</v>
      </c>
      <c r="F170" s="591" t="s">
        <v>791</v>
      </c>
      <c r="G170" s="591" t="s">
        <v>792</v>
      </c>
      <c r="H170" s="591" t="s">
        <v>201</v>
      </c>
      <c r="I170" s="118"/>
      <c r="J170" s="593">
        <f>3264-24</f>
        <v>3240</v>
      </c>
      <c r="K170" s="92">
        <f>VLOOKUP(H170,名称!A:C,2,0)</f>
        <v>0</v>
      </c>
      <c r="L170" s="32">
        <f t="shared" si="19"/>
        <v>0</v>
      </c>
      <c r="M170" s="604">
        <f>VLOOKUP(H170,名称!A:E,3,0)</f>
        <v>60</v>
      </c>
      <c r="N170" s="518">
        <f t="shared" si="20"/>
        <v>54</v>
      </c>
      <c r="O170" s="590">
        <v>46200</v>
      </c>
      <c r="P170" s="549">
        <v>46272</v>
      </c>
      <c r="Q170" s="549">
        <v>46272</v>
      </c>
      <c r="R170" s="539"/>
      <c r="S170" s="549" t="s">
        <v>1133</v>
      </c>
      <c r="T170" s="539"/>
      <c r="U170" s="541"/>
      <c r="V170" s="539"/>
      <c r="W170" s="518" t="str">
        <f>IFERROR(VLOOKUP(H170,名称!A:F,6,0),"")</f>
        <v>湖南</v>
      </c>
      <c r="X170" s="541" t="s">
        <v>1332</v>
      </c>
      <c r="Y170" s="541" t="s">
        <v>1233</v>
      </c>
      <c r="Z170" s="567">
        <v>46163</v>
      </c>
      <c r="AA170" s="552">
        <v>46172</v>
      </c>
      <c r="AB170" s="431" t="s">
        <v>1233</v>
      </c>
      <c r="AC170" s="541" t="s">
        <v>1333</v>
      </c>
      <c r="AD170" s="541" t="s">
        <v>1233</v>
      </c>
      <c r="AE170" s="591" t="s">
        <v>510</v>
      </c>
      <c r="AF170" s="541" t="s">
        <v>1228</v>
      </c>
      <c r="AG170" s="541" t="s">
        <v>341</v>
      </c>
      <c r="AH170" s="541" t="s">
        <v>1133</v>
      </c>
      <c r="AI170" s="541" t="s">
        <v>1233</v>
      </c>
      <c r="AJ170" s="541" t="s">
        <v>1133</v>
      </c>
      <c r="AK170" s="541" t="s">
        <v>1133</v>
      </c>
      <c r="AL170" s="541"/>
      <c r="AM170" s="541" t="s">
        <v>1334</v>
      </c>
      <c r="AN170" s="591"/>
      <c r="AO170" s="544">
        <v>1.58</v>
      </c>
      <c r="AP170" s="545">
        <f t="shared" si="21"/>
        <v>5119.2</v>
      </c>
      <c r="AQ170" s="545">
        <f t="shared" si="22"/>
        <v>39673.8</v>
      </c>
      <c r="AR170" s="546"/>
      <c r="AS170" s="538"/>
      <c r="AT170" s="538" t="s">
        <v>1310</v>
      </c>
      <c r="AU170" s="584"/>
      <c r="AV170" s="548">
        <f t="shared" si="23"/>
        <v>-3240</v>
      </c>
      <c r="AW170" s="606"/>
      <c r="AX170" s="549"/>
      <c r="AY170" s="538" t="s">
        <v>1317</v>
      </c>
      <c r="AZ170" s="538" t="s">
        <v>1337</v>
      </c>
      <c r="BA170" s="538"/>
      <c r="BB170" s="538" t="str">
        <f t="shared" si="24"/>
        <v>Amazon</v>
      </c>
      <c r="BC170" s="538" t="str">
        <f t="shared" si="25"/>
        <v>美国AWD</v>
      </c>
    </row>
    <row r="171" s="496" customFormat="1" customHeight="1" spans="1:55">
      <c r="A171" s="527">
        <v>46139</v>
      </c>
      <c r="B171" s="527" t="str">
        <f ca="1" t="shared" si="18"/>
        <v/>
      </c>
      <c r="C171" s="346" t="str">
        <f>VLOOKUP(H171,名称!A:E,4,0)</f>
        <v>三代</v>
      </c>
      <c r="D171" s="588" t="s">
        <v>1330</v>
      </c>
      <c r="E171" s="588" t="s">
        <v>1224</v>
      </c>
      <c r="F171" s="588" t="s">
        <v>791</v>
      </c>
      <c r="G171" s="588" t="s">
        <v>792</v>
      </c>
      <c r="H171" s="588" t="s">
        <v>166</v>
      </c>
      <c r="I171" s="346"/>
      <c r="J171" s="426">
        <f>27972+3</f>
        <v>27975</v>
      </c>
      <c r="K171" s="347">
        <f>VLOOKUP(H171,名称!A:C,2,0)</f>
        <v>5</v>
      </c>
      <c r="L171" s="348">
        <f t="shared" si="19"/>
        <v>139875</v>
      </c>
      <c r="M171" s="607">
        <f>VLOOKUP(H171,名称!A:E,3,0)</f>
        <v>75</v>
      </c>
      <c r="N171" s="348">
        <f t="shared" si="20"/>
        <v>373</v>
      </c>
      <c r="O171" s="587">
        <v>46200</v>
      </c>
      <c r="P171" s="536">
        <v>46233</v>
      </c>
      <c r="Q171" s="536">
        <v>46233</v>
      </c>
      <c r="R171" s="404" t="s">
        <v>1331</v>
      </c>
      <c r="S171" s="536" t="s">
        <v>1133</v>
      </c>
      <c r="T171" s="346"/>
      <c r="U171" s="568"/>
      <c r="V171" s="346"/>
      <c r="W171" s="348" t="str">
        <f>IFERROR(VLOOKUP(H171,名称!A:F,6,0),"")</f>
        <v>湖南</v>
      </c>
      <c r="X171" s="588" t="s">
        <v>1332</v>
      </c>
      <c r="Y171" s="346" t="s">
        <v>1233</v>
      </c>
      <c r="Z171" s="569">
        <v>46163</v>
      </c>
      <c r="AA171" s="570">
        <v>46172</v>
      </c>
      <c r="AB171" s="569">
        <v>46189</v>
      </c>
      <c r="AC171" s="415" t="s">
        <v>1133</v>
      </c>
      <c r="AD171" s="415" t="s">
        <v>1133</v>
      </c>
      <c r="AE171" s="588" t="s">
        <v>510</v>
      </c>
      <c r="AF171" s="568" t="s">
        <v>1228</v>
      </c>
      <c r="AG171" s="568" t="s">
        <v>1133</v>
      </c>
      <c r="AH171" s="568" t="s">
        <v>1133</v>
      </c>
      <c r="AI171" s="568" t="s">
        <v>1133</v>
      </c>
      <c r="AJ171" s="568" t="s">
        <v>1133</v>
      </c>
      <c r="AK171" s="568" t="s">
        <v>510</v>
      </c>
      <c r="AL171" s="568"/>
      <c r="AM171" s="568" t="s">
        <v>1334</v>
      </c>
      <c r="AN171" s="588"/>
      <c r="AO171" s="531">
        <v>0.61</v>
      </c>
      <c r="AP171" s="532">
        <f t="shared" si="21"/>
        <v>17064.75</v>
      </c>
      <c r="AQ171" s="532">
        <f t="shared" si="22"/>
        <v>132251.81</v>
      </c>
      <c r="AR171" s="533"/>
      <c r="AS171" s="527"/>
      <c r="AT171" s="527" t="s">
        <v>1310</v>
      </c>
      <c r="AU171" s="537"/>
      <c r="AV171" s="535">
        <f t="shared" si="23"/>
        <v>-27975</v>
      </c>
      <c r="AW171" s="605"/>
      <c r="AX171" s="536"/>
      <c r="AY171" s="527"/>
      <c r="AZ171" s="527"/>
      <c r="BA171" s="527"/>
      <c r="BB171" s="527" t="str">
        <f t="shared" si="24"/>
        <v>Amazon</v>
      </c>
      <c r="BC171" s="527" t="str">
        <f t="shared" si="25"/>
        <v>美国</v>
      </c>
    </row>
    <row r="172" s="495" customFormat="1" customHeight="1" spans="1:55">
      <c r="A172" s="538">
        <v>46139</v>
      </c>
      <c r="B172" s="538" t="str">
        <f ca="1" t="shared" si="18"/>
        <v/>
      </c>
      <c r="C172" s="539" t="str">
        <f>VLOOKUP(H172,名称!A:E,4,0)</f>
        <v>三代</v>
      </c>
      <c r="D172" s="591" t="s">
        <v>1330</v>
      </c>
      <c r="E172" s="591" t="s">
        <v>1344</v>
      </c>
      <c r="F172" s="591" t="s">
        <v>791</v>
      </c>
      <c r="G172" s="591" t="s">
        <v>792</v>
      </c>
      <c r="H172" s="591" t="s">
        <v>167</v>
      </c>
      <c r="I172" s="118"/>
      <c r="J172" s="592">
        <v>36000</v>
      </c>
      <c r="K172" s="92">
        <f>VLOOKUP(H172,名称!A:C,2,0)</f>
        <v>12</v>
      </c>
      <c r="L172" s="32">
        <f t="shared" si="19"/>
        <v>432000</v>
      </c>
      <c r="M172" s="604">
        <f>VLOOKUP(H172,名称!A:E,3,0)</f>
        <v>6</v>
      </c>
      <c r="N172" s="518">
        <f t="shared" si="20"/>
        <v>6000</v>
      </c>
      <c r="O172" s="590">
        <v>46200</v>
      </c>
      <c r="P172" s="549">
        <v>46242</v>
      </c>
      <c r="Q172" s="549">
        <v>46242</v>
      </c>
      <c r="R172" s="539"/>
      <c r="S172" s="549" t="s">
        <v>1133</v>
      </c>
      <c r="T172" s="539"/>
      <c r="U172" s="541"/>
      <c r="V172" s="539"/>
      <c r="W172" s="518" t="str">
        <f>IFERROR(VLOOKUP(H172,名称!A:F,6,0),"")</f>
        <v>东莞</v>
      </c>
      <c r="X172" s="541" t="s">
        <v>1332</v>
      </c>
      <c r="Y172" s="541" t="s">
        <v>1233</v>
      </c>
      <c r="Z172" s="567">
        <v>46163</v>
      </c>
      <c r="AA172" s="552">
        <v>46172</v>
      </c>
      <c r="AB172" s="567">
        <v>46189</v>
      </c>
      <c r="AC172" s="541" t="s">
        <v>1333</v>
      </c>
      <c r="AD172" s="431" t="s">
        <v>1228</v>
      </c>
      <c r="AE172" s="591" t="s">
        <v>510</v>
      </c>
      <c r="AF172" s="541" t="s">
        <v>1228</v>
      </c>
      <c r="AG172" s="541" t="s">
        <v>341</v>
      </c>
      <c r="AH172" s="541" t="s">
        <v>1133</v>
      </c>
      <c r="AI172" s="541" t="s">
        <v>1233</v>
      </c>
      <c r="AJ172" s="541" t="s">
        <v>510</v>
      </c>
      <c r="AK172" s="541" t="s">
        <v>1133</v>
      </c>
      <c r="AL172" s="541"/>
      <c r="AM172" s="541" t="s">
        <v>1334</v>
      </c>
      <c r="AN172" s="591"/>
      <c r="AO172" s="544">
        <v>1.67</v>
      </c>
      <c r="AP172" s="545">
        <f t="shared" si="21"/>
        <v>60120</v>
      </c>
      <c r="AQ172" s="545">
        <f t="shared" si="22"/>
        <v>465930</v>
      </c>
      <c r="AR172" s="546"/>
      <c r="AS172" s="538"/>
      <c r="AT172" s="538" t="s">
        <v>1310</v>
      </c>
      <c r="AU172" s="584"/>
      <c r="AV172" s="548">
        <f t="shared" si="23"/>
        <v>-36000</v>
      </c>
      <c r="AW172" s="606"/>
      <c r="AX172" s="549"/>
      <c r="AY172" s="538"/>
      <c r="AZ172" s="538"/>
      <c r="BA172" s="538"/>
      <c r="BB172" s="538" t="str">
        <f t="shared" si="24"/>
        <v>Amazon</v>
      </c>
      <c r="BC172" s="538" t="str">
        <f t="shared" si="25"/>
        <v>美国(AWD)</v>
      </c>
    </row>
    <row r="173" s="496" customFormat="1" customHeight="1" spans="1:55">
      <c r="A173" s="527">
        <v>46139</v>
      </c>
      <c r="B173" s="527" t="str">
        <f ca="1" t="shared" si="18"/>
        <v/>
      </c>
      <c r="C173" s="346" t="str">
        <f>VLOOKUP(H173,名称!A:E,4,0)</f>
        <v>三代</v>
      </c>
      <c r="D173" s="588" t="s">
        <v>1330</v>
      </c>
      <c r="E173" s="588" t="s">
        <v>1341</v>
      </c>
      <c r="F173" s="588" t="s">
        <v>791</v>
      </c>
      <c r="G173" s="588" t="s">
        <v>792</v>
      </c>
      <c r="H173" s="588" t="s">
        <v>171</v>
      </c>
      <c r="I173" s="346"/>
      <c r="J173" s="589">
        <v>3888</v>
      </c>
      <c r="K173" s="347">
        <f>VLOOKUP(H173,名称!A:C,2,0)</f>
        <v>7</v>
      </c>
      <c r="L173" s="348">
        <f t="shared" ref="L173:L186" si="26">J173*K173</f>
        <v>27216</v>
      </c>
      <c r="M173" s="346">
        <f>VLOOKUP(H173,名称!A:E,3,0)</f>
        <v>144</v>
      </c>
      <c r="N173" s="348">
        <f t="shared" si="20"/>
        <v>27</v>
      </c>
      <c r="O173" s="587">
        <v>46200</v>
      </c>
      <c r="P173" s="536">
        <v>46216</v>
      </c>
      <c r="Q173" s="536">
        <v>46216</v>
      </c>
      <c r="R173" s="404" t="s">
        <v>1331</v>
      </c>
      <c r="S173" s="536" t="s">
        <v>1133</v>
      </c>
      <c r="T173" s="346"/>
      <c r="U173" s="568"/>
      <c r="V173" s="346"/>
      <c r="W173" s="348" t="str">
        <f>IFERROR(VLOOKUP(H173,名称!A:F,6,0),"")</f>
        <v>湖南</v>
      </c>
      <c r="X173" s="588" t="s">
        <v>1332</v>
      </c>
      <c r="Y173" s="346" t="s">
        <v>1233</v>
      </c>
      <c r="Z173" s="569">
        <v>46163</v>
      </c>
      <c r="AA173" s="570">
        <v>46172</v>
      </c>
      <c r="AB173" s="569">
        <v>46189</v>
      </c>
      <c r="AC173" s="568" t="s">
        <v>1333</v>
      </c>
      <c r="AD173" s="568" t="s">
        <v>1228</v>
      </c>
      <c r="AE173" s="588" t="s">
        <v>510</v>
      </c>
      <c r="AF173" s="568" t="s">
        <v>1228</v>
      </c>
      <c r="AG173" s="568" t="s">
        <v>341</v>
      </c>
      <c r="AH173" s="568" t="s">
        <v>1133</v>
      </c>
      <c r="AI173" s="568" t="s">
        <v>1228</v>
      </c>
      <c r="AJ173" s="568" t="s">
        <v>1133</v>
      </c>
      <c r="AK173" s="568" t="s">
        <v>1133</v>
      </c>
      <c r="AL173" s="568"/>
      <c r="AM173" s="568" t="s">
        <v>1334</v>
      </c>
      <c r="AN173" s="588"/>
      <c r="AO173" s="531">
        <v>0.64</v>
      </c>
      <c r="AP173" s="532">
        <f t="shared" si="21"/>
        <v>2488.32</v>
      </c>
      <c r="AQ173" s="532">
        <f t="shared" si="22"/>
        <v>19284.48</v>
      </c>
      <c r="AR173" s="533"/>
      <c r="AS173" s="527"/>
      <c r="AT173" s="527" t="s">
        <v>1310</v>
      </c>
      <c r="AU173" s="537">
        <v>3888</v>
      </c>
      <c r="AV173" s="535">
        <f t="shared" si="23"/>
        <v>0</v>
      </c>
      <c r="AW173" s="605"/>
      <c r="AX173" s="536"/>
      <c r="AY173" s="527"/>
      <c r="AZ173" s="527"/>
      <c r="BA173" s="527"/>
      <c r="BB173" s="527" t="str">
        <f t="shared" si="24"/>
        <v>Amazon</v>
      </c>
      <c r="BC173" s="527" t="str">
        <f t="shared" si="25"/>
        <v>美国AWD</v>
      </c>
    </row>
    <row r="174" s="496" customFormat="1" customHeight="1" spans="1:55">
      <c r="A174" s="527">
        <v>46139</v>
      </c>
      <c r="B174" s="527" t="str">
        <f ca="1" t="shared" si="18"/>
        <v/>
      </c>
      <c r="C174" s="346" t="str">
        <f>VLOOKUP(H174,名称!A:E,4,0)</f>
        <v>三代</v>
      </c>
      <c r="D174" s="588" t="s">
        <v>1330</v>
      </c>
      <c r="E174" s="588" t="s">
        <v>1341</v>
      </c>
      <c r="F174" s="588" t="s">
        <v>791</v>
      </c>
      <c r="G174" s="588" t="s">
        <v>792</v>
      </c>
      <c r="H174" s="588" t="s">
        <v>172</v>
      </c>
      <c r="I174" s="346"/>
      <c r="J174" s="589">
        <v>3888</v>
      </c>
      <c r="K174" s="347">
        <f>VLOOKUP(H174,名称!A:C,2,0)</f>
        <v>7</v>
      </c>
      <c r="L174" s="348">
        <f t="shared" si="26"/>
        <v>27216</v>
      </c>
      <c r="M174" s="346">
        <f>VLOOKUP(H174,名称!A:E,3,0)</f>
        <v>144</v>
      </c>
      <c r="N174" s="348">
        <f t="shared" si="20"/>
        <v>27</v>
      </c>
      <c r="O174" s="587">
        <v>46200</v>
      </c>
      <c r="P174" s="536">
        <v>46216</v>
      </c>
      <c r="Q174" s="536">
        <v>46216</v>
      </c>
      <c r="R174" s="404" t="s">
        <v>1331</v>
      </c>
      <c r="S174" s="536" t="s">
        <v>1133</v>
      </c>
      <c r="T174" s="346"/>
      <c r="U174" s="568"/>
      <c r="V174" s="346"/>
      <c r="W174" s="348" t="str">
        <f>IFERROR(VLOOKUP(H174,名称!A:F,6,0),"")</f>
        <v>湖南</v>
      </c>
      <c r="X174" s="588" t="s">
        <v>1332</v>
      </c>
      <c r="Y174" s="346" t="s">
        <v>1233</v>
      </c>
      <c r="Z174" s="569">
        <v>46163</v>
      </c>
      <c r="AA174" s="570">
        <v>46172</v>
      </c>
      <c r="AB174" s="569">
        <v>46189</v>
      </c>
      <c r="AC174" s="568" t="s">
        <v>1333</v>
      </c>
      <c r="AD174" s="568" t="s">
        <v>1228</v>
      </c>
      <c r="AE174" s="588" t="s">
        <v>510</v>
      </c>
      <c r="AF174" s="568" t="s">
        <v>1228</v>
      </c>
      <c r="AG174" s="568" t="s">
        <v>341</v>
      </c>
      <c r="AH174" s="568" t="s">
        <v>1133</v>
      </c>
      <c r="AI174" s="568" t="s">
        <v>1228</v>
      </c>
      <c r="AJ174" s="568" t="s">
        <v>1133</v>
      </c>
      <c r="AK174" s="568" t="s">
        <v>1133</v>
      </c>
      <c r="AL174" s="568"/>
      <c r="AM174" s="568" t="s">
        <v>1334</v>
      </c>
      <c r="AN174" s="588"/>
      <c r="AO174" s="531">
        <v>0.64</v>
      </c>
      <c r="AP174" s="532">
        <f t="shared" si="21"/>
        <v>2488.32</v>
      </c>
      <c r="AQ174" s="532">
        <f t="shared" si="22"/>
        <v>19284.48</v>
      </c>
      <c r="AR174" s="533"/>
      <c r="AS174" s="527"/>
      <c r="AT174" s="527" t="s">
        <v>1310</v>
      </c>
      <c r="AU174" s="537">
        <f>3600+288</f>
        <v>3888</v>
      </c>
      <c r="AV174" s="535">
        <f t="shared" si="23"/>
        <v>0</v>
      </c>
      <c r="AW174" s="605"/>
      <c r="AX174" s="536"/>
      <c r="AY174" s="527"/>
      <c r="AZ174" s="527"/>
      <c r="BA174" s="527"/>
      <c r="BB174" s="527" t="str">
        <f t="shared" si="24"/>
        <v>Amazon</v>
      </c>
      <c r="BC174" s="527" t="str">
        <f t="shared" si="25"/>
        <v>美国AWD</v>
      </c>
    </row>
    <row r="175" s="496" customFormat="1" customHeight="1" spans="1:55">
      <c r="A175" s="527">
        <v>46139</v>
      </c>
      <c r="B175" s="527" t="str">
        <f ca="1" t="shared" si="18"/>
        <v/>
      </c>
      <c r="C175" s="346" t="str">
        <f>VLOOKUP(H175,名称!A:E,4,0)</f>
        <v>三代</v>
      </c>
      <c r="D175" s="588" t="s">
        <v>1330</v>
      </c>
      <c r="E175" s="588" t="s">
        <v>1341</v>
      </c>
      <c r="F175" s="588" t="s">
        <v>791</v>
      </c>
      <c r="G175" s="588" t="s">
        <v>792</v>
      </c>
      <c r="H175" s="588" t="s">
        <v>173</v>
      </c>
      <c r="I175" s="346"/>
      <c r="J175" s="589">
        <v>3888</v>
      </c>
      <c r="K175" s="347">
        <f>VLOOKUP(H175,名称!A:C,2,0)</f>
        <v>7</v>
      </c>
      <c r="L175" s="348">
        <f t="shared" si="26"/>
        <v>27216</v>
      </c>
      <c r="M175" s="346">
        <f>VLOOKUP(H175,名称!A:E,3,0)</f>
        <v>144</v>
      </c>
      <c r="N175" s="348">
        <f t="shared" si="20"/>
        <v>27</v>
      </c>
      <c r="O175" s="587">
        <v>46200</v>
      </c>
      <c r="P175" s="536">
        <v>46216</v>
      </c>
      <c r="Q175" s="536">
        <v>46216</v>
      </c>
      <c r="R175" s="404" t="s">
        <v>1331</v>
      </c>
      <c r="S175" s="536" t="s">
        <v>1133</v>
      </c>
      <c r="T175" s="346"/>
      <c r="U175" s="568"/>
      <c r="V175" s="346"/>
      <c r="W175" s="348" t="str">
        <f>IFERROR(VLOOKUP(H175,名称!A:F,6,0),"")</f>
        <v>湖南</v>
      </c>
      <c r="X175" s="588" t="s">
        <v>1332</v>
      </c>
      <c r="Y175" s="346" t="s">
        <v>1233</v>
      </c>
      <c r="Z175" s="569">
        <v>46163</v>
      </c>
      <c r="AA175" s="570">
        <v>46172</v>
      </c>
      <c r="AB175" s="569">
        <v>46189</v>
      </c>
      <c r="AC175" s="568" t="s">
        <v>1333</v>
      </c>
      <c r="AD175" s="568" t="s">
        <v>1228</v>
      </c>
      <c r="AE175" s="588" t="s">
        <v>510</v>
      </c>
      <c r="AF175" s="568" t="s">
        <v>1228</v>
      </c>
      <c r="AG175" s="568" t="s">
        <v>341</v>
      </c>
      <c r="AH175" s="568" t="s">
        <v>1133</v>
      </c>
      <c r="AI175" s="568" t="s">
        <v>1228</v>
      </c>
      <c r="AJ175" s="568" t="s">
        <v>1133</v>
      </c>
      <c r="AK175" s="568" t="s">
        <v>1133</v>
      </c>
      <c r="AL175" s="568"/>
      <c r="AM175" s="568" t="s">
        <v>1334</v>
      </c>
      <c r="AN175" s="588"/>
      <c r="AO175" s="531">
        <v>0.64</v>
      </c>
      <c r="AP175" s="532">
        <f t="shared" si="21"/>
        <v>2488.32</v>
      </c>
      <c r="AQ175" s="532">
        <f t="shared" si="22"/>
        <v>19284.48</v>
      </c>
      <c r="AR175" s="533"/>
      <c r="AS175" s="527"/>
      <c r="AT175" s="527" t="s">
        <v>1310</v>
      </c>
      <c r="AU175" s="537">
        <v>3888</v>
      </c>
      <c r="AV175" s="535">
        <f t="shared" si="23"/>
        <v>0</v>
      </c>
      <c r="AW175" s="605"/>
      <c r="AX175" s="536"/>
      <c r="AY175" s="527"/>
      <c r="AZ175" s="527"/>
      <c r="BA175" s="527"/>
      <c r="BB175" s="527" t="str">
        <f t="shared" si="24"/>
        <v>Amazon</v>
      </c>
      <c r="BC175" s="527" t="str">
        <f t="shared" si="25"/>
        <v>美国AWD</v>
      </c>
    </row>
    <row r="176" s="496" customFormat="1" customHeight="1" spans="1:55">
      <c r="A176" s="527">
        <v>46139</v>
      </c>
      <c r="B176" s="527" t="str">
        <f ca="1" t="shared" si="18"/>
        <v/>
      </c>
      <c r="C176" s="346" t="str">
        <f>VLOOKUP(H176,名称!A:E,4,0)</f>
        <v>三代</v>
      </c>
      <c r="D176" s="588" t="s">
        <v>1330</v>
      </c>
      <c r="E176" s="588" t="s">
        <v>1341</v>
      </c>
      <c r="F176" s="588" t="s">
        <v>791</v>
      </c>
      <c r="G176" s="588" t="s">
        <v>792</v>
      </c>
      <c r="H176" s="588" t="s">
        <v>174</v>
      </c>
      <c r="I176" s="346"/>
      <c r="J176" s="589">
        <v>4020</v>
      </c>
      <c r="K176" s="347">
        <f>VLOOKUP(H176,名称!A:C,2,0)</f>
        <v>32</v>
      </c>
      <c r="L176" s="348">
        <f t="shared" si="26"/>
        <v>128640</v>
      </c>
      <c r="M176" s="346">
        <f>VLOOKUP(H176,名称!A:E,3,0)</f>
        <v>60</v>
      </c>
      <c r="N176" s="348">
        <f t="shared" si="20"/>
        <v>67</v>
      </c>
      <c r="O176" s="587">
        <v>46200</v>
      </c>
      <c r="P176" s="536">
        <v>46216</v>
      </c>
      <c r="Q176" s="536">
        <v>46216</v>
      </c>
      <c r="R176" s="404" t="s">
        <v>1241</v>
      </c>
      <c r="S176" s="536" t="s">
        <v>1133</v>
      </c>
      <c r="T176" s="346"/>
      <c r="U176" s="568"/>
      <c r="V176" s="346"/>
      <c r="W176" s="348" t="str">
        <f>IFERROR(VLOOKUP(H176,名称!A:F,6,0),"")</f>
        <v>湖南</v>
      </c>
      <c r="X176" s="588" t="s">
        <v>1332</v>
      </c>
      <c r="Y176" s="346" t="s">
        <v>1233</v>
      </c>
      <c r="Z176" s="569">
        <v>46163</v>
      </c>
      <c r="AA176" s="570">
        <v>46172</v>
      </c>
      <c r="AB176" s="569">
        <v>46189</v>
      </c>
      <c r="AC176" s="568" t="s">
        <v>1333</v>
      </c>
      <c r="AD176" s="568" t="s">
        <v>1228</v>
      </c>
      <c r="AE176" s="588" t="s">
        <v>510</v>
      </c>
      <c r="AF176" s="568" t="s">
        <v>1228</v>
      </c>
      <c r="AG176" s="568" t="s">
        <v>341</v>
      </c>
      <c r="AH176" s="568" t="s">
        <v>1133</v>
      </c>
      <c r="AI176" s="568" t="s">
        <v>1228</v>
      </c>
      <c r="AJ176" s="568" t="s">
        <v>1133</v>
      </c>
      <c r="AK176" s="568" t="s">
        <v>1133</v>
      </c>
      <c r="AL176" s="568"/>
      <c r="AM176" s="568" t="s">
        <v>1334</v>
      </c>
      <c r="AN176" s="588"/>
      <c r="AO176" s="531">
        <v>2.57</v>
      </c>
      <c r="AP176" s="532">
        <f t="shared" si="21"/>
        <v>10331.4</v>
      </c>
      <c r="AQ176" s="532">
        <f t="shared" si="22"/>
        <v>80068.35</v>
      </c>
      <c r="AR176" s="533"/>
      <c r="AS176" s="527"/>
      <c r="AT176" s="527" t="s">
        <v>1310</v>
      </c>
      <c r="AU176" s="537">
        <v>4020</v>
      </c>
      <c r="AV176" s="535">
        <f t="shared" si="23"/>
        <v>0</v>
      </c>
      <c r="AW176" s="605"/>
      <c r="AX176" s="536"/>
      <c r="AY176" s="527"/>
      <c r="AZ176" s="527"/>
      <c r="BA176" s="527"/>
      <c r="BB176" s="527" t="str">
        <f t="shared" si="24"/>
        <v>Amazon</v>
      </c>
      <c r="BC176" s="527" t="str">
        <f t="shared" si="25"/>
        <v>美国AWD</v>
      </c>
    </row>
    <row r="177" s="496" customFormat="1" customHeight="1" spans="1:55">
      <c r="A177" s="527">
        <v>46139</v>
      </c>
      <c r="B177" s="527" t="str">
        <f ca="1" t="shared" si="18"/>
        <v/>
      </c>
      <c r="C177" s="346" t="str">
        <f>VLOOKUP(H177,名称!A:E,4,0)</f>
        <v>三代</v>
      </c>
      <c r="D177" s="588" t="s">
        <v>1330</v>
      </c>
      <c r="E177" s="588" t="s">
        <v>1224</v>
      </c>
      <c r="F177" s="588" t="s">
        <v>791</v>
      </c>
      <c r="G177" s="588" t="s">
        <v>792</v>
      </c>
      <c r="H177" s="588" t="s">
        <v>175</v>
      </c>
      <c r="I177" s="346"/>
      <c r="J177" s="589">
        <v>2016</v>
      </c>
      <c r="K177" s="347">
        <f>VLOOKUP(H177,名称!A:C,2,0)</f>
        <v>12</v>
      </c>
      <c r="L177" s="348">
        <f t="shared" si="26"/>
        <v>24192</v>
      </c>
      <c r="M177" s="346">
        <f>VLOOKUP(H177,名称!A:E,3,0)</f>
        <v>96</v>
      </c>
      <c r="N177" s="348">
        <f t="shared" si="20"/>
        <v>21</v>
      </c>
      <c r="O177" s="587">
        <v>46200</v>
      </c>
      <c r="P177" s="536">
        <v>46217</v>
      </c>
      <c r="Q177" s="536">
        <v>46217</v>
      </c>
      <c r="R177" s="404" t="s">
        <v>1331</v>
      </c>
      <c r="S177" s="536" t="s">
        <v>1133</v>
      </c>
      <c r="T177" s="346"/>
      <c r="U177" s="568"/>
      <c r="V177" s="346"/>
      <c r="W177" s="348" t="str">
        <f>IFERROR(VLOOKUP(H177,名称!A:F,6,0),"")</f>
        <v>湖南</v>
      </c>
      <c r="X177" s="588" t="s">
        <v>1332</v>
      </c>
      <c r="Y177" s="346" t="s">
        <v>1233</v>
      </c>
      <c r="Z177" s="569">
        <v>46163</v>
      </c>
      <c r="AA177" s="570">
        <v>46172</v>
      </c>
      <c r="AB177" s="569">
        <v>46189</v>
      </c>
      <c r="AC177" s="568" t="s">
        <v>1333</v>
      </c>
      <c r="AD177" s="415" t="s">
        <v>1228</v>
      </c>
      <c r="AE177" s="588" t="s">
        <v>510</v>
      </c>
      <c r="AF177" s="568" t="s">
        <v>1228</v>
      </c>
      <c r="AG177" s="568" t="s">
        <v>341</v>
      </c>
      <c r="AH177" s="568" t="s">
        <v>1133</v>
      </c>
      <c r="AI177" s="568" t="s">
        <v>1228</v>
      </c>
      <c r="AJ177" s="568" t="s">
        <v>1133</v>
      </c>
      <c r="AK177" s="568" t="s">
        <v>1133</v>
      </c>
      <c r="AL177" s="568"/>
      <c r="AM177" s="568" t="s">
        <v>1334</v>
      </c>
      <c r="AN177" s="588"/>
      <c r="AO177" s="531">
        <v>1.3</v>
      </c>
      <c r="AP177" s="532">
        <f t="shared" si="21"/>
        <v>2620.8</v>
      </c>
      <c r="AQ177" s="532">
        <f t="shared" si="22"/>
        <v>20311.2</v>
      </c>
      <c r="AR177" s="533"/>
      <c r="AS177" s="527"/>
      <c r="AT177" s="527" t="s">
        <v>1310</v>
      </c>
      <c r="AU177" s="537">
        <v>2016</v>
      </c>
      <c r="AV177" s="535">
        <f t="shared" si="23"/>
        <v>0</v>
      </c>
      <c r="AW177" s="605"/>
      <c r="AX177" s="536"/>
      <c r="AY177" s="527"/>
      <c r="AZ177" s="527"/>
      <c r="BA177" s="527"/>
      <c r="BB177" s="527" t="str">
        <f t="shared" si="24"/>
        <v>Amazon</v>
      </c>
      <c r="BC177" s="527" t="str">
        <f t="shared" si="25"/>
        <v>美国</v>
      </c>
    </row>
    <row r="178" s="496" customFormat="1" customHeight="1" spans="1:55">
      <c r="A178" s="527">
        <v>46139</v>
      </c>
      <c r="B178" s="527" t="str">
        <f ca="1" t="shared" si="18"/>
        <v/>
      </c>
      <c r="C178" s="346" t="str">
        <f>VLOOKUP(H178,名称!A:E,4,0)</f>
        <v>三代</v>
      </c>
      <c r="D178" s="588" t="s">
        <v>1330</v>
      </c>
      <c r="E178" s="588" t="s">
        <v>1224</v>
      </c>
      <c r="F178" s="588" t="s">
        <v>791</v>
      </c>
      <c r="G178" s="588" t="s">
        <v>792</v>
      </c>
      <c r="H178" s="588" t="s">
        <v>176</v>
      </c>
      <c r="I178" s="346"/>
      <c r="J178" s="589">
        <v>2016</v>
      </c>
      <c r="K178" s="347">
        <f>VLOOKUP(H178,名称!A:C,2,0)</f>
        <v>12</v>
      </c>
      <c r="L178" s="348">
        <f t="shared" si="26"/>
        <v>24192</v>
      </c>
      <c r="M178" s="346">
        <f>VLOOKUP(H178,名称!A:E,3,0)</f>
        <v>96</v>
      </c>
      <c r="N178" s="348">
        <f t="shared" si="20"/>
        <v>21</v>
      </c>
      <c r="O178" s="587">
        <v>46200</v>
      </c>
      <c r="P178" s="536">
        <v>46217</v>
      </c>
      <c r="Q178" s="536">
        <v>46217</v>
      </c>
      <c r="R178" s="404" t="s">
        <v>1331</v>
      </c>
      <c r="S178" s="536" t="s">
        <v>1133</v>
      </c>
      <c r="T178" s="346"/>
      <c r="U178" s="568"/>
      <c r="V178" s="346"/>
      <c r="W178" s="348" t="str">
        <f>IFERROR(VLOOKUP(H178,名称!A:F,6,0),"")</f>
        <v>湖南</v>
      </c>
      <c r="X178" s="588" t="s">
        <v>1332</v>
      </c>
      <c r="Y178" s="346" t="s">
        <v>1233</v>
      </c>
      <c r="Z178" s="569">
        <v>46163</v>
      </c>
      <c r="AA178" s="570">
        <v>46172</v>
      </c>
      <c r="AB178" s="569">
        <v>46189</v>
      </c>
      <c r="AC178" s="568" t="s">
        <v>1333</v>
      </c>
      <c r="AD178" s="415" t="s">
        <v>1228</v>
      </c>
      <c r="AE178" s="588" t="s">
        <v>510</v>
      </c>
      <c r="AF178" s="568" t="s">
        <v>1228</v>
      </c>
      <c r="AG178" s="568" t="s">
        <v>341</v>
      </c>
      <c r="AH178" s="568" t="s">
        <v>1133</v>
      </c>
      <c r="AI178" s="568" t="s">
        <v>1228</v>
      </c>
      <c r="AJ178" s="568" t="s">
        <v>1133</v>
      </c>
      <c r="AK178" s="568" t="s">
        <v>1133</v>
      </c>
      <c r="AL178" s="568"/>
      <c r="AM178" s="568" t="s">
        <v>1334</v>
      </c>
      <c r="AN178" s="588"/>
      <c r="AO178" s="531">
        <v>1.3</v>
      </c>
      <c r="AP178" s="532">
        <f t="shared" si="21"/>
        <v>2620.8</v>
      </c>
      <c r="AQ178" s="532">
        <f t="shared" si="22"/>
        <v>20311.2</v>
      </c>
      <c r="AR178" s="533"/>
      <c r="AS178" s="527"/>
      <c r="AT178" s="527" t="s">
        <v>1310</v>
      </c>
      <c r="AU178" s="537">
        <v>2016</v>
      </c>
      <c r="AV178" s="535">
        <f t="shared" si="23"/>
        <v>0</v>
      </c>
      <c r="AW178" s="605"/>
      <c r="AX178" s="536"/>
      <c r="AY178" s="527"/>
      <c r="AZ178" s="527"/>
      <c r="BA178" s="527"/>
      <c r="BB178" s="527" t="str">
        <f t="shared" si="24"/>
        <v>Amazon</v>
      </c>
      <c r="BC178" s="527" t="str">
        <f t="shared" si="25"/>
        <v>美国</v>
      </c>
    </row>
    <row r="179" s="496" customFormat="1" customHeight="1" spans="1:55">
      <c r="A179" s="527">
        <v>46139</v>
      </c>
      <c r="B179" s="527" t="str">
        <f ca="1" t="shared" ref="B179:B239" si="27">IF(TODAY()-5&gt;=A179,IF(AB179="","异常",""),"")</f>
        <v/>
      </c>
      <c r="C179" s="346" t="str">
        <f>VLOOKUP(H179,名称!A:E,4,0)</f>
        <v>三代</v>
      </c>
      <c r="D179" s="588" t="s">
        <v>1330</v>
      </c>
      <c r="E179" s="588" t="s">
        <v>1224</v>
      </c>
      <c r="F179" s="588" t="s">
        <v>791</v>
      </c>
      <c r="G179" s="588" t="s">
        <v>792</v>
      </c>
      <c r="H179" s="588" t="s">
        <v>177</v>
      </c>
      <c r="I179" s="346"/>
      <c r="J179" s="589">
        <v>2016</v>
      </c>
      <c r="K179" s="347">
        <f>VLOOKUP(H179,名称!A:C,2,0)</f>
        <v>12</v>
      </c>
      <c r="L179" s="348">
        <f t="shared" si="26"/>
        <v>24192</v>
      </c>
      <c r="M179" s="346">
        <f>VLOOKUP(H179,名称!A:E,3,0)</f>
        <v>96</v>
      </c>
      <c r="N179" s="348">
        <f t="shared" ref="N179:N212" si="28">J179/M179</f>
        <v>21</v>
      </c>
      <c r="O179" s="587">
        <v>46200</v>
      </c>
      <c r="P179" s="536">
        <v>46217</v>
      </c>
      <c r="Q179" s="536">
        <v>46217</v>
      </c>
      <c r="R179" s="404" t="s">
        <v>1331</v>
      </c>
      <c r="S179" s="536" t="s">
        <v>1133</v>
      </c>
      <c r="T179" s="346"/>
      <c r="U179" s="568"/>
      <c r="V179" s="346"/>
      <c r="W179" s="348" t="str">
        <f>IFERROR(VLOOKUP(H179,名称!A:F,6,0),"")</f>
        <v>湖南</v>
      </c>
      <c r="X179" s="588" t="s">
        <v>1332</v>
      </c>
      <c r="Y179" s="346" t="s">
        <v>1233</v>
      </c>
      <c r="Z179" s="569">
        <v>46163</v>
      </c>
      <c r="AA179" s="570">
        <v>46172</v>
      </c>
      <c r="AB179" s="569">
        <v>46189</v>
      </c>
      <c r="AC179" s="568" t="s">
        <v>1333</v>
      </c>
      <c r="AD179" s="415" t="s">
        <v>1228</v>
      </c>
      <c r="AE179" s="588" t="s">
        <v>510</v>
      </c>
      <c r="AF179" s="568" t="s">
        <v>1228</v>
      </c>
      <c r="AG179" s="568" t="s">
        <v>341</v>
      </c>
      <c r="AH179" s="568" t="s">
        <v>1133</v>
      </c>
      <c r="AI179" s="568" t="s">
        <v>1228</v>
      </c>
      <c r="AJ179" s="568" t="s">
        <v>1133</v>
      </c>
      <c r="AK179" s="568" t="s">
        <v>1133</v>
      </c>
      <c r="AL179" s="568"/>
      <c r="AM179" s="568" t="s">
        <v>1334</v>
      </c>
      <c r="AN179" s="588"/>
      <c r="AO179" s="531">
        <v>1.3</v>
      </c>
      <c r="AP179" s="532">
        <f t="shared" ref="AP179:AP239" si="29">J179*AO179</f>
        <v>2620.8</v>
      </c>
      <c r="AQ179" s="532">
        <f t="shared" ref="AQ179:AQ239" si="30">AP179*7.75</f>
        <v>20311.2</v>
      </c>
      <c r="AR179" s="533"/>
      <c r="AS179" s="527"/>
      <c r="AT179" s="527" t="s">
        <v>1310</v>
      </c>
      <c r="AU179" s="537">
        <v>2016</v>
      </c>
      <c r="AV179" s="535">
        <f t="shared" ref="AV179:AV239" si="31">AU179-J179</f>
        <v>0</v>
      </c>
      <c r="AW179" s="605"/>
      <c r="AX179" s="536"/>
      <c r="AY179" s="527"/>
      <c r="AZ179" s="527"/>
      <c r="BA179" s="527"/>
      <c r="BB179" s="527" t="str">
        <f t="shared" ref="BB179:BB239" si="32">D179</f>
        <v>Amazon</v>
      </c>
      <c r="BC179" s="527" t="str">
        <f t="shared" ref="BC179:BC239" si="33">E179</f>
        <v>美国</v>
      </c>
    </row>
    <row r="180" s="495" customFormat="1" customHeight="1" spans="1:55">
      <c r="A180" s="538">
        <v>46141</v>
      </c>
      <c r="B180" s="538" t="str">
        <f ca="1" t="shared" si="27"/>
        <v>异常</v>
      </c>
      <c r="C180" s="539" t="str">
        <f>VLOOKUP(H180,名称!A:E,4,0)</f>
        <v>三代</v>
      </c>
      <c r="D180" s="591" t="s">
        <v>1324</v>
      </c>
      <c r="E180" s="591" t="s">
        <v>1325</v>
      </c>
      <c r="F180" s="591" t="s">
        <v>802</v>
      </c>
      <c r="G180" s="591" t="s">
        <v>803</v>
      </c>
      <c r="H180" s="591" t="s">
        <v>60</v>
      </c>
      <c r="I180" s="539"/>
      <c r="J180" s="593">
        <f>10008-5004</f>
        <v>5004</v>
      </c>
      <c r="K180" s="514">
        <f>VLOOKUP(H180,名称!A:C,2,0)</f>
        <v>5</v>
      </c>
      <c r="L180" s="518">
        <f t="shared" si="26"/>
        <v>25020</v>
      </c>
      <c r="M180" s="539">
        <f>VLOOKUP(H180,名称!A:E,3,0)</f>
        <v>12</v>
      </c>
      <c r="N180" s="518">
        <f t="shared" si="28"/>
        <v>417</v>
      </c>
      <c r="O180" s="590">
        <v>46254</v>
      </c>
      <c r="P180" s="420">
        <v>46267</v>
      </c>
      <c r="Q180" s="594">
        <v>46280</v>
      </c>
      <c r="R180" s="539"/>
      <c r="S180" s="594">
        <v>46280</v>
      </c>
      <c r="T180" s="539"/>
      <c r="U180" s="541"/>
      <c r="V180" s="462" t="s">
        <v>1327</v>
      </c>
      <c r="W180" s="518" t="str">
        <f>IFERROR(VLOOKUP(H180,名称!A:F,6,0),"")</f>
        <v>湖南</v>
      </c>
      <c r="X180" s="541" t="s">
        <v>1133</v>
      </c>
      <c r="Y180" s="541" t="s">
        <v>1133</v>
      </c>
      <c r="Z180" s="541" t="s">
        <v>1233</v>
      </c>
      <c r="AA180" s="552"/>
      <c r="AB180" s="541"/>
      <c r="AC180" s="541" t="s">
        <v>1133</v>
      </c>
      <c r="AD180" s="541" t="s">
        <v>1133</v>
      </c>
      <c r="AE180" s="591" t="s">
        <v>253</v>
      </c>
      <c r="AF180" s="541" t="s">
        <v>1228</v>
      </c>
      <c r="AG180" s="541" t="s">
        <v>253</v>
      </c>
      <c r="AH180" s="541" t="s">
        <v>1133</v>
      </c>
      <c r="AI180" s="541" t="s">
        <v>1228</v>
      </c>
      <c r="AJ180" s="541" t="s">
        <v>1133</v>
      </c>
      <c r="AK180" s="541" t="s">
        <v>253</v>
      </c>
      <c r="AL180" s="541"/>
      <c r="AM180" s="431" t="s">
        <v>1293</v>
      </c>
      <c r="AN180" s="518" t="s">
        <v>1234</v>
      </c>
      <c r="AO180" s="544">
        <v>0.61</v>
      </c>
      <c r="AP180" s="545">
        <f t="shared" si="29"/>
        <v>3052.44</v>
      </c>
      <c r="AQ180" s="545">
        <f t="shared" si="30"/>
        <v>23656.41</v>
      </c>
      <c r="AR180" s="546"/>
      <c r="AS180" s="538"/>
      <c r="AT180" s="538" t="s">
        <v>1220</v>
      </c>
      <c r="AU180" s="584"/>
      <c r="AV180" s="548">
        <f t="shared" si="31"/>
        <v>-5004</v>
      </c>
      <c r="AW180" s="606"/>
      <c r="AX180" s="549" t="s">
        <v>1280</v>
      </c>
      <c r="AY180" s="538"/>
      <c r="AZ180" s="455" t="s">
        <v>1256</v>
      </c>
      <c r="BA180" s="538"/>
      <c r="BB180" s="549" t="str">
        <f t="shared" si="32"/>
        <v>JAZWARES - INTL (WALMART CA FOB)</v>
      </c>
      <c r="BC180" s="549" t="str">
        <f t="shared" si="33"/>
        <v>加拿大</v>
      </c>
    </row>
    <row r="181" s="495" customFormat="1" customHeight="1" spans="1:55">
      <c r="A181" s="538">
        <v>46141</v>
      </c>
      <c r="B181" s="538" t="str">
        <f ca="1" t="shared" si="27"/>
        <v>异常</v>
      </c>
      <c r="C181" s="539" t="str">
        <f>VLOOKUP(H181,名称!A:E,4,0)</f>
        <v>三代</v>
      </c>
      <c r="D181" s="591" t="s">
        <v>1324</v>
      </c>
      <c r="E181" s="591" t="s">
        <v>1325</v>
      </c>
      <c r="F181" s="591" t="s">
        <v>798</v>
      </c>
      <c r="G181" s="591" t="s">
        <v>799</v>
      </c>
      <c r="H181" s="591" t="s">
        <v>107</v>
      </c>
      <c r="I181" s="118"/>
      <c r="J181" s="592">
        <v>8000</v>
      </c>
      <c r="K181" s="92">
        <f>VLOOKUP(H181,名称!A:C,2,0)</f>
        <v>12</v>
      </c>
      <c r="L181" s="32">
        <f t="shared" si="26"/>
        <v>96000</v>
      </c>
      <c r="M181" s="539">
        <f>VLOOKUP(H181,名称!A:E,3,0)</f>
        <v>5</v>
      </c>
      <c r="N181" s="518">
        <f t="shared" si="28"/>
        <v>1600</v>
      </c>
      <c r="O181" s="590">
        <v>46223</v>
      </c>
      <c r="P181" s="420">
        <v>46267</v>
      </c>
      <c r="Q181" s="594">
        <v>46280</v>
      </c>
      <c r="R181" s="539"/>
      <c r="S181" s="594">
        <v>46280</v>
      </c>
      <c r="T181" s="539"/>
      <c r="U181" s="541"/>
      <c r="V181" s="539"/>
      <c r="W181" s="518" t="str">
        <f>IFERROR(VLOOKUP(H181,名称!A:F,6,0),"")</f>
        <v>湖南</v>
      </c>
      <c r="X181" s="541" t="s">
        <v>1133</v>
      </c>
      <c r="Y181" s="541" t="s">
        <v>1133</v>
      </c>
      <c r="Z181" s="541" t="s">
        <v>1233</v>
      </c>
      <c r="AA181" s="552"/>
      <c r="AB181" s="541"/>
      <c r="AC181" s="541" t="s">
        <v>1302</v>
      </c>
      <c r="AD181" s="541" t="s">
        <v>1228</v>
      </c>
      <c r="AE181" s="591" t="s">
        <v>253</v>
      </c>
      <c r="AF181" s="541" t="s">
        <v>1228</v>
      </c>
      <c r="AG181" s="541" t="s">
        <v>253</v>
      </c>
      <c r="AH181" s="541" t="s">
        <v>1326</v>
      </c>
      <c r="AI181" s="541" t="s">
        <v>1228</v>
      </c>
      <c r="AJ181" s="541" t="s">
        <v>253</v>
      </c>
      <c r="AK181" s="541" t="s">
        <v>1133</v>
      </c>
      <c r="AL181" s="541"/>
      <c r="AM181" s="431" t="s">
        <v>1292</v>
      </c>
      <c r="AN181" s="518" t="s">
        <v>1231</v>
      </c>
      <c r="AO181" s="544">
        <v>2.12</v>
      </c>
      <c r="AP181" s="545">
        <f t="shared" si="29"/>
        <v>16960</v>
      </c>
      <c r="AQ181" s="545">
        <f t="shared" si="30"/>
        <v>131440</v>
      </c>
      <c r="AR181" s="546"/>
      <c r="AS181" s="538"/>
      <c r="AT181" s="538" t="s">
        <v>1220</v>
      </c>
      <c r="AU181" s="584"/>
      <c r="AV181" s="548">
        <f t="shared" si="31"/>
        <v>-8000</v>
      </c>
      <c r="AW181" s="606"/>
      <c r="AX181" s="549" t="s">
        <v>1280</v>
      </c>
      <c r="AY181" s="538"/>
      <c r="AZ181" s="420" t="s">
        <v>1256</v>
      </c>
      <c r="BA181" s="538"/>
      <c r="BB181" s="538" t="str">
        <f t="shared" si="32"/>
        <v>JAZWARES - INTL (WALMART CA FOB)</v>
      </c>
      <c r="BC181" s="538" t="str">
        <f t="shared" si="33"/>
        <v>加拿大</v>
      </c>
    </row>
    <row r="182" s="495" customFormat="1" customHeight="1" spans="1:55">
      <c r="A182" s="538">
        <v>46141</v>
      </c>
      <c r="B182" s="538" t="str">
        <f ca="1" t="shared" si="27"/>
        <v>异常</v>
      </c>
      <c r="C182" s="539" t="str">
        <f>VLOOKUP(H182,名称!A:E,4,0)</f>
        <v>三代</v>
      </c>
      <c r="D182" s="609" t="s">
        <v>1345</v>
      </c>
      <c r="E182" s="591" t="s">
        <v>1325</v>
      </c>
      <c r="F182" s="591" t="s">
        <v>800</v>
      </c>
      <c r="G182" s="591" t="s">
        <v>801</v>
      </c>
      <c r="H182" s="609" t="s">
        <v>59</v>
      </c>
      <c r="I182" s="539"/>
      <c r="J182" s="592">
        <f>6000-4008-1992+4008+1992</f>
        <v>6000</v>
      </c>
      <c r="K182" s="514">
        <f>VLOOKUP(H182,名称!A:C,2,0)</f>
        <v>5</v>
      </c>
      <c r="L182" s="518">
        <f t="shared" si="26"/>
        <v>30000</v>
      </c>
      <c r="M182" s="574">
        <f>VLOOKUP(H182,名称!A:E,3,0)</f>
        <v>24</v>
      </c>
      <c r="N182" s="518">
        <f t="shared" si="28"/>
        <v>250</v>
      </c>
      <c r="O182" s="610">
        <v>46308</v>
      </c>
      <c r="P182" s="566">
        <v>46308</v>
      </c>
      <c r="Q182" s="566">
        <v>46308</v>
      </c>
      <c r="R182" s="539"/>
      <c r="S182" s="549"/>
      <c r="T182" s="539"/>
      <c r="U182" s="541"/>
      <c r="V182" s="462" t="s">
        <v>1346</v>
      </c>
      <c r="W182" s="518" t="str">
        <f>IFERROR(VLOOKUP(H182,名称!A:F,6,0),"")</f>
        <v>湖南</v>
      </c>
      <c r="X182" s="541" t="s">
        <v>1133</v>
      </c>
      <c r="Y182" s="541" t="s">
        <v>1133</v>
      </c>
      <c r="Z182" s="541" t="s">
        <v>1233</v>
      </c>
      <c r="AA182" s="552"/>
      <c r="AB182" s="541"/>
      <c r="AC182" s="541" t="s">
        <v>1133</v>
      </c>
      <c r="AD182" s="541" t="s">
        <v>1133</v>
      </c>
      <c r="AE182" s="609" t="s">
        <v>270</v>
      </c>
      <c r="AF182" s="541" t="s">
        <v>1228</v>
      </c>
      <c r="AG182" s="422" t="s">
        <v>270</v>
      </c>
      <c r="AH182" s="541" t="s">
        <v>1133</v>
      </c>
      <c r="AI182" s="541" t="s">
        <v>1228</v>
      </c>
      <c r="AJ182" s="541" t="s">
        <v>1133</v>
      </c>
      <c r="AK182" s="422" t="s">
        <v>270</v>
      </c>
      <c r="AL182" s="541"/>
      <c r="AM182" s="431" t="s">
        <v>1293</v>
      </c>
      <c r="AN182" s="539"/>
      <c r="AO182" s="544">
        <v>0.63</v>
      </c>
      <c r="AP182" s="545">
        <f t="shared" si="29"/>
        <v>3780</v>
      </c>
      <c r="AQ182" s="545">
        <f t="shared" si="30"/>
        <v>29295</v>
      </c>
      <c r="AR182" s="546"/>
      <c r="AS182" s="538"/>
      <c r="AT182" s="577" t="s">
        <v>1220</v>
      </c>
      <c r="AU182" s="584"/>
      <c r="AV182" s="548">
        <f t="shared" si="31"/>
        <v>-6000</v>
      </c>
      <c r="AW182" s="606"/>
      <c r="AX182" s="549" t="s">
        <v>1280</v>
      </c>
      <c r="AY182" s="538"/>
      <c r="AZ182" s="420" t="s">
        <v>1256</v>
      </c>
      <c r="BA182" s="538"/>
      <c r="BB182" s="538" t="str">
        <f t="shared" si="32"/>
        <v>JAZWARES - TARGET</v>
      </c>
      <c r="BC182" s="538" t="str">
        <f t="shared" si="33"/>
        <v>加拿大</v>
      </c>
    </row>
    <row r="183" s="495" customFormat="1" customHeight="1" spans="1:55">
      <c r="A183" s="538">
        <v>46142</v>
      </c>
      <c r="B183" s="538" t="str">
        <f ca="1" t="shared" si="27"/>
        <v/>
      </c>
      <c r="C183" s="539" t="str">
        <f>VLOOKUP(H183,名称!A:E,4,0)</f>
        <v>三代</v>
      </c>
      <c r="D183" s="591" t="s">
        <v>1240</v>
      </c>
      <c r="E183" s="591" t="s">
        <v>1224</v>
      </c>
      <c r="F183" s="591" t="s">
        <v>806</v>
      </c>
      <c r="G183" s="591" t="s">
        <v>807</v>
      </c>
      <c r="H183" s="591" t="s">
        <v>94</v>
      </c>
      <c r="I183" s="118"/>
      <c r="J183" s="592">
        <v>23016</v>
      </c>
      <c r="K183" s="92">
        <f>VLOOKUP(H183,名称!A:C,2,0)</f>
        <v>5</v>
      </c>
      <c r="L183" s="32">
        <f t="shared" si="26"/>
        <v>115080</v>
      </c>
      <c r="M183" s="539">
        <f>VLOOKUP(H183,名称!A:E,3,0)</f>
        <v>24</v>
      </c>
      <c r="N183" s="518">
        <f t="shared" si="28"/>
        <v>959</v>
      </c>
      <c r="O183" s="590">
        <v>46254</v>
      </c>
      <c r="P183" s="549">
        <f>O183</f>
        <v>46254</v>
      </c>
      <c r="Q183" s="549">
        <v>46253</v>
      </c>
      <c r="R183" s="539"/>
      <c r="S183" s="549">
        <v>46261</v>
      </c>
      <c r="T183" s="539"/>
      <c r="U183" s="541"/>
      <c r="V183" s="539" t="s">
        <v>1314</v>
      </c>
      <c r="W183" s="518" t="str">
        <f>IFERROR(VLOOKUP(H183,名称!A:F,6,0),"")</f>
        <v>湖南</v>
      </c>
      <c r="X183" s="541" t="s">
        <v>1133</v>
      </c>
      <c r="Y183" s="541" t="s">
        <v>1133</v>
      </c>
      <c r="Z183" s="567">
        <v>46218</v>
      </c>
      <c r="AA183" s="552">
        <v>46219</v>
      </c>
      <c r="AB183" s="567">
        <v>46219</v>
      </c>
      <c r="AC183" s="541" t="s">
        <v>1133</v>
      </c>
      <c r="AD183" s="541" t="s">
        <v>1133</v>
      </c>
      <c r="AE183" s="591" t="s">
        <v>270</v>
      </c>
      <c r="AF183" s="541" t="s">
        <v>1228</v>
      </c>
      <c r="AG183" s="541" t="s">
        <v>270</v>
      </c>
      <c r="AH183" s="541" t="s">
        <v>1133</v>
      </c>
      <c r="AI183" s="541" t="s">
        <v>1228</v>
      </c>
      <c r="AJ183" s="541" t="s">
        <v>1133</v>
      </c>
      <c r="AK183" s="541" t="s">
        <v>270</v>
      </c>
      <c r="AL183" s="541"/>
      <c r="AM183" s="431" t="s">
        <v>1293</v>
      </c>
      <c r="AN183" s="591"/>
      <c r="AO183" s="544">
        <v>0.61</v>
      </c>
      <c r="AP183" s="545">
        <f t="shared" si="29"/>
        <v>14039.76</v>
      </c>
      <c r="AQ183" s="545">
        <f t="shared" si="30"/>
        <v>108808.14</v>
      </c>
      <c r="AR183" s="546"/>
      <c r="AS183" s="538"/>
      <c r="AT183" s="538" t="s">
        <v>1220</v>
      </c>
      <c r="AU183" s="584"/>
      <c r="AV183" s="548">
        <f t="shared" si="31"/>
        <v>-23016</v>
      </c>
      <c r="AW183" s="606"/>
      <c r="AX183" s="549" t="s">
        <v>1280</v>
      </c>
      <c r="AY183" s="538"/>
      <c r="AZ183" s="420" t="s">
        <v>1256</v>
      </c>
      <c r="BA183" s="538"/>
      <c r="BB183" s="538" t="str">
        <f t="shared" si="32"/>
        <v>JAZWARES - TARGET US DOM</v>
      </c>
      <c r="BC183" s="538" t="str">
        <f t="shared" si="33"/>
        <v>美国</v>
      </c>
    </row>
    <row r="184" s="495" customFormat="1" customHeight="1" spans="1:55">
      <c r="A184" s="538">
        <v>46142</v>
      </c>
      <c r="B184" s="538" t="str">
        <f ca="1" t="shared" si="27"/>
        <v/>
      </c>
      <c r="C184" s="539" t="str">
        <f>VLOOKUP(H184,名称!A:E,4,0)</f>
        <v>三代</v>
      </c>
      <c r="D184" s="591" t="s">
        <v>1240</v>
      </c>
      <c r="E184" s="591" t="s">
        <v>1224</v>
      </c>
      <c r="F184" s="591" t="s">
        <v>808</v>
      </c>
      <c r="G184" s="591" t="s">
        <v>809</v>
      </c>
      <c r="H184" s="591" t="s">
        <v>94</v>
      </c>
      <c r="I184" s="118"/>
      <c r="J184" s="592">
        <v>23016</v>
      </c>
      <c r="K184" s="92">
        <f>VLOOKUP(H184,名称!A:C,2,0)</f>
        <v>5</v>
      </c>
      <c r="L184" s="32">
        <f t="shared" si="26"/>
        <v>115080</v>
      </c>
      <c r="M184" s="539">
        <f>VLOOKUP(H184,名称!A:E,3,0)</f>
        <v>24</v>
      </c>
      <c r="N184" s="518">
        <f t="shared" si="28"/>
        <v>959</v>
      </c>
      <c r="O184" s="590">
        <v>46254</v>
      </c>
      <c r="P184" s="549">
        <v>46268</v>
      </c>
      <c r="Q184" s="566">
        <v>46272</v>
      </c>
      <c r="R184" s="539"/>
      <c r="S184" s="566">
        <v>46275</v>
      </c>
      <c r="T184" s="539"/>
      <c r="U184" s="541"/>
      <c r="V184" s="539"/>
      <c r="W184" s="518" t="str">
        <f>IFERROR(VLOOKUP(H184,名称!A:F,6,0),"")</f>
        <v>湖南</v>
      </c>
      <c r="X184" s="541" t="s">
        <v>1133</v>
      </c>
      <c r="Y184" s="541" t="s">
        <v>1133</v>
      </c>
      <c r="Z184" s="567">
        <v>46240</v>
      </c>
      <c r="AA184" s="552">
        <v>46241</v>
      </c>
      <c r="AB184" s="567">
        <v>46241</v>
      </c>
      <c r="AC184" s="541" t="s">
        <v>1133</v>
      </c>
      <c r="AD184" s="541" t="s">
        <v>1133</v>
      </c>
      <c r="AE184" s="591" t="s">
        <v>270</v>
      </c>
      <c r="AF184" s="541" t="s">
        <v>1228</v>
      </c>
      <c r="AG184" s="541" t="s">
        <v>270</v>
      </c>
      <c r="AH184" s="541" t="s">
        <v>1133</v>
      </c>
      <c r="AI184" s="541" t="s">
        <v>1228</v>
      </c>
      <c r="AJ184" s="541" t="s">
        <v>1133</v>
      </c>
      <c r="AK184" s="541" t="s">
        <v>270</v>
      </c>
      <c r="AL184" s="541"/>
      <c r="AM184" s="431" t="s">
        <v>1293</v>
      </c>
      <c r="AN184" s="591"/>
      <c r="AO184" s="544">
        <v>0.61</v>
      </c>
      <c r="AP184" s="545">
        <f t="shared" si="29"/>
        <v>14039.76</v>
      </c>
      <c r="AQ184" s="545">
        <f t="shared" si="30"/>
        <v>108808.14</v>
      </c>
      <c r="AR184" s="546"/>
      <c r="AS184" s="538"/>
      <c r="AT184" s="538" t="s">
        <v>1220</v>
      </c>
      <c r="AU184" s="584"/>
      <c r="AV184" s="548">
        <f t="shared" si="31"/>
        <v>-23016</v>
      </c>
      <c r="AW184" s="606"/>
      <c r="AX184" s="549" t="s">
        <v>1280</v>
      </c>
      <c r="AY184" s="538"/>
      <c r="AZ184" s="420" t="s">
        <v>1256</v>
      </c>
      <c r="BA184" s="538"/>
      <c r="BB184" s="538" t="str">
        <f t="shared" si="32"/>
        <v>JAZWARES - TARGET US DOM</v>
      </c>
      <c r="BC184" s="538" t="str">
        <f t="shared" si="33"/>
        <v>美国</v>
      </c>
    </row>
    <row r="185" s="495" customFormat="1" customHeight="1" spans="1:55">
      <c r="A185" s="590">
        <v>46150</v>
      </c>
      <c r="B185" s="538" t="str">
        <f ca="1" t="shared" si="27"/>
        <v/>
      </c>
      <c r="C185" s="539" t="str">
        <f>VLOOKUP(H185,名称!A:E,4,0)</f>
        <v>三代</v>
      </c>
      <c r="D185" s="591" t="s">
        <v>1257</v>
      </c>
      <c r="E185" s="591" t="s">
        <v>1258</v>
      </c>
      <c r="F185" s="591" t="s">
        <v>835</v>
      </c>
      <c r="G185" s="591" t="s">
        <v>836</v>
      </c>
      <c r="H185" s="591" t="s">
        <v>180</v>
      </c>
      <c r="I185" s="118"/>
      <c r="J185" s="592">
        <v>20016</v>
      </c>
      <c r="K185" s="92">
        <f>VLOOKUP(H185,名称!A:C,2,0)</f>
        <v>5</v>
      </c>
      <c r="L185" s="32">
        <f t="shared" si="26"/>
        <v>100080</v>
      </c>
      <c r="M185" s="539">
        <f>VLOOKUP(H185,名称!A:E,3,0)</f>
        <v>18</v>
      </c>
      <c r="N185" s="518">
        <f t="shared" si="28"/>
        <v>1112</v>
      </c>
      <c r="O185" s="590">
        <v>46266</v>
      </c>
      <c r="P185" s="590">
        <f t="shared" ref="P185:P204" si="34">O185</f>
        <v>46266</v>
      </c>
      <c r="Q185" s="566">
        <v>46295</v>
      </c>
      <c r="R185" s="539"/>
      <c r="S185" s="566">
        <v>46295</v>
      </c>
      <c r="T185" s="539"/>
      <c r="U185" s="541"/>
      <c r="V185" s="539" t="s">
        <v>1347</v>
      </c>
      <c r="W185" s="518" t="str">
        <f>IFERROR(VLOOKUP(H185,名称!A:F,6,0),"")</f>
        <v>湖南</v>
      </c>
      <c r="X185" s="541" t="s">
        <v>1133</v>
      </c>
      <c r="Y185" s="541" t="s">
        <v>1133</v>
      </c>
      <c r="Z185" s="567">
        <v>46189</v>
      </c>
      <c r="AA185" s="552">
        <v>46223</v>
      </c>
      <c r="AB185" s="567">
        <v>46226</v>
      </c>
      <c r="AC185" s="541" t="s">
        <v>1133</v>
      </c>
      <c r="AD185" s="541" t="s">
        <v>1133</v>
      </c>
      <c r="AE185" s="591" t="s">
        <v>334</v>
      </c>
      <c r="AF185" s="541" t="s">
        <v>1233</v>
      </c>
      <c r="AG185" s="431" t="s">
        <v>510</v>
      </c>
      <c r="AH185" s="541" t="s">
        <v>1133</v>
      </c>
      <c r="AI185" s="541" t="s">
        <v>1233</v>
      </c>
      <c r="AJ185" s="541" t="s">
        <v>1133</v>
      </c>
      <c r="AK185" s="541" t="s">
        <v>334</v>
      </c>
      <c r="AL185" s="541" t="s">
        <v>1233</v>
      </c>
      <c r="AM185" s="431" t="s">
        <v>1348</v>
      </c>
      <c r="AN185" s="591" t="s">
        <v>1349</v>
      </c>
      <c r="AO185" s="544">
        <v>0.85</v>
      </c>
      <c r="AP185" s="545">
        <f t="shared" si="29"/>
        <v>17013.6</v>
      </c>
      <c r="AQ185" s="545">
        <f t="shared" si="30"/>
        <v>131855.4</v>
      </c>
      <c r="AR185" s="546"/>
      <c r="AS185" s="538"/>
      <c r="AT185" s="538" t="s">
        <v>1310</v>
      </c>
      <c r="AU185" s="548"/>
      <c r="AV185" s="548">
        <f t="shared" si="31"/>
        <v>-20016</v>
      </c>
      <c r="AW185" s="606"/>
      <c r="AX185" s="549"/>
      <c r="AY185" s="538"/>
      <c r="AZ185" s="538"/>
      <c r="BA185" s="538"/>
      <c r="BB185" s="538" t="str">
        <f t="shared" si="32"/>
        <v>Character Options</v>
      </c>
      <c r="BC185" s="538" t="str">
        <f t="shared" si="33"/>
        <v>英国</v>
      </c>
    </row>
    <row r="186" s="496" customFormat="1" customHeight="1" spans="1:55">
      <c r="A186" s="527">
        <v>46150</v>
      </c>
      <c r="B186" s="527" t="str">
        <f ca="1" t="shared" si="27"/>
        <v/>
      </c>
      <c r="C186" s="346" t="str">
        <f>VLOOKUP(H186,名称!A:E,4,0)</f>
        <v>三代</v>
      </c>
      <c r="D186" s="588" t="s">
        <v>1257</v>
      </c>
      <c r="E186" s="588" t="s">
        <v>1258</v>
      </c>
      <c r="F186" s="588" t="s">
        <v>825</v>
      </c>
      <c r="G186" s="588" t="s">
        <v>826</v>
      </c>
      <c r="H186" s="588" t="s">
        <v>112</v>
      </c>
      <c r="I186" s="346"/>
      <c r="J186" s="589">
        <v>7000</v>
      </c>
      <c r="K186" s="347">
        <f>VLOOKUP(H186,名称!A:C,2,0)</f>
        <v>50</v>
      </c>
      <c r="L186" s="348">
        <f t="shared" si="26"/>
        <v>350000</v>
      </c>
      <c r="M186" s="346">
        <f>VLOOKUP(H186,名称!A:E,3,0)</f>
        <v>2</v>
      </c>
      <c r="N186" s="348">
        <f t="shared" si="28"/>
        <v>3500</v>
      </c>
      <c r="O186" s="587">
        <v>46237</v>
      </c>
      <c r="P186" s="587">
        <f t="shared" si="34"/>
        <v>46237</v>
      </c>
      <c r="Q186" s="536">
        <v>46239</v>
      </c>
      <c r="R186" s="404" t="s">
        <v>1241</v>
      </c>
      <c r="S186" s="536">
        <v>46240</v>
      </c>
      <c r="T186" s="404" t="s">
        <v>1241</v>
      </c>
      <c r="U186" s="568"/>
      <c r="V186" s="529">
        <v>46258</v>
      </c>
      <c r="W186" s="348" t="str">
        <f>IFERROR(VLOOKUP(H186,名称!A:F,6,0),"")</f>
        <v>湖南</v>
      </c>
      <c r="X186" s="568" t="s">
        <v>1133</v>
      </c>
      <c r="Y186" s="568" t="s">
        <v>1133</v>
      </c>
      <c r="Z186" s="569">
        <v>46150</v>
      </c>
      <c r="AA186" s="570">
        <v>46191</v>
      </c>
      <c r="AB186" s="569">
        <v>46202</v>
      </c>
      <c r="AC186" s="568" t="s">
        <v>1133</v>
      </c>
      <c r="AD186" s="568" t="s">
        <v>1133</v>
      </c>
      <c r="AE186" s="588" t="s">
        <v>334</v>
      </c>
      <c r="AF186" s="568" t="s">
        <v>1228</v>
      </c>
      <c r="AG186" s="568" t="s">
        <v>334</v>
      </c>
      <c r="AH186" s="568" t="s">
        <v>1133</v>
      </c>
      <c r="AI186" s="568" t="s">
        <v>1228</v>
      </c>
      <c r="AJ186" s="568" t="s">
        <v>1133</v>
      </c>
      <c r="AK186" s="568" t="s">
        <v>1133</v>
      </c>
      <c r="AL186" s="415" t="s">
        <v>1228</v>
      </c>
      <c r="AM186" s="568" t="s">
        <v>1350</v>
      </c>
      <c r="AN186" s="588" t="s">
        <v>1351</v>
      </c>
      <c r="AO186" s="531">
        <v>9.15</v>
      </c>
      <c r="AP186" s="532">
        <f t="shared" si="29"/>
        <v>64050</v>
      </c>
      <c r="AQ186" s="532">
        <f t="shared" si="30"/>
        <v>496387.5</v>
      </c>
      <c r="AR186" s="533"/>
      <c r="AS186" s="527"/>
      <c r="AT186" s="527" t="s">
        <v>1220</v>
      </c>
      <c r="AU186" s="535"/>
      <c r="AV186" s="535">
        <f t="shared" si="31"/>
        <v>-7000</v>
      </c>
      <c r="AW186" s="605"/>
      <c r="AX186" s="536"/>
      <c r="AY186" s="527"/>
      <c r="AZ186" s="527"/>
      <c r="BA186" s="527"/>
      <c r="BB186" s="527" t="str">
        <f t="shared" si="32"/>
        <v>Character Options</v>
      </c>
      <c r="BC186" s="527" t="str">
        <f t="shared" si="33"/>
        <v>英国</v>
      </c>
    </row>
    <row r="187" s="496" customFormat="1" customHeight="1" spans="1:55">
      <c r="A187" s="527">
        <v>46154</v>
      </c>
      <c r="B187" s="527" t="str">
        <f ca="1" t="shared" si="27"/>
        <v/>
      </c>
      <c r="C187" s="346" t="str">
        <f>VLOOKUP(H187,名称!A:E,4,0)</f>
        <v>三代</v>
      </c>
      <c r="D187" s="528" t="s">
        <v>1352</v>
      </c>
      <c r="E187" s="528" t="s">
        <v>1224</v>
      </c>
      <c r="F187" s="346" t="s">
        <v>839</v>
      </c>
      <c r="G187" s="346" t="s">
        <v>840</v>
      </c>
      <c r="H187" s="346" t="s">
        <v>114</v>
      </c>
      <c r="I187" s="346"/>
      <c r="J187" s="589">
        <v>18</v>
      </c>
      <c r="K187" s="346"/>
      <c r="L187" s="346"/>
      <c r="M187" s="568">
        <f>VLOOKUP(H187,名称!A:E,3,0)</f>
        <v>9</v>
      </c>
      <c r="N187" s="599">
        <f t="shared" si="28"/>
        <v>2</v>
      </c>
      <c r="O187" s="527">
        <v>46162</v>
      </c>
      <c r="P187" s="587">
        <f t="shared" si="34"/>
        <v>46162</v>
      </c>
      <c r="Q187" s="536" t="s">
        <v>1133</v>
      </c>
      <c r="R187" s="346"/>
      <c r="S187" s="536" t="s">
        <v>1133</v>
      </c>
      <c r="T187" s="346"/>
      <c r="U187" s="568"/>
      <c r="V187" s="346"/>
      <c r="W187" s="348" t="str">
        <f>IFERROR(VLOOKUP(H187,名称!A:F,6,0),"")</f>
        <v>东莞</v>
      </c>
      <c r="X187" s="568" t="s">
        <v>1133</v>
      </c>
      <c r="Y187" s="568" t="s">
        <v>1133</v>
      </c>
      <c r="Z187" s="568" t="s">
        <v>1228</v>
      </c>
      <c r="AA187" s="568" t="s">
        <v>1228</v>
      </c>
      <c r="AB187" s="568" t="s">
        <v>1228</v>
      </c>
      <c r="AC187" s="568" t="s">
        <v>1133</v>
      </c>
      <c r="AD187" s="568" t="s">
        <v>1133</v>
      </c>
      <c r="AE187" s="346" t="s">
        <v>334</v>
      </c>
      <c r="AF187" s="568" t="s">
        <v>1228</v>
      </c>
      <c r="AG187" s="568" t="s">
        <v>334</v>
      </c>
      <c r="AH187" s="568" t="s">
        <v>1133</v>
      </c>
      <c r="AI187" s="568" t="s">
        <v>1133</v>
      </c>
      <c r="AJ187" s="568" t="s">
        <v>1133</v>
      </c>
      <c r="AK187" s="568" t="s">
        <v>334</v>
      </c>
      <c r="AL187" s="568"/>
      <c r="AM187" s="611" t="s">
        <v>1353</v>
      </c>
      <c r="AN187" s="348" t="s">
        <v>1354</v>
      </c>
      <c r="AO187" s="531"/>
      <c r="AP187" s="532">
        <f t="shared" si="29"/>
        <v>0</v>
      </c>
      <c r="AQ187" s="532">
        <f t="shared" si="30"/>
        <v>0</v>
      </c>
      <c r="AR187" s="533"/>
      <c r="AS187" s="527"/>
      <c r="AT187" s="527" t="s">
        <v>839</v>
      </c>
      <c r="AU187" s="535"/>
      <c r="AV187" s="535">
        <f t="shared" si="31"/>
        <v>-18</v>
      </c>
      <c r="AW187" s="605"/>
      <c r="AX187" s="536"/>
      <c r="AY187" s="527"/>
      <c r="AZ187" s="403" t="s">
        <v>1256</v>
      </c>
      <c r="BA187" s="527"/>
      <c r="BB187" s="527" t="str">
        <f t="shared" si="32"/>
        <v>Sky Castle Toys, LLC</v>
      </c>
      <c r="BC187" s="527" t="str">
        <f t="shared" si="33"/>
        <v>美国</v>
      </c>
    </row>
    <row r="188" s="496" customFormat="1" customHeight="1" spans="1:55">
      <c r="A188" s="527">
        <v>46154</v>
      </c>
      <c r="B188" s="527" t="str">
        <f ca="1" t="shared" si="27"/>
        <v/>
      </c>
      <c r="C188" s="346" t="str">
        <f>VLOOKUP(H188,名称!A:E,4,0)</f>
        <v>三代</v>
      </c>
      <c r="D188" s="528" t="s">
        <v>1352</v>
      </c>
      <c r="E188" s="528" t="s">
        <v>1224</v>
      </c>
      <c r="F188" s="346" t="s">
        <v>839</v>
      </c>
      <c r="G188" s="346" t="s">
        <v>840</v>
      </c>
      <c r="H188" s="346" t="s">
        <v>100</v>
      </c>
      <c r="I188" s="346"/>
      <c r="J188" s="589">
        <v>24</v>
      </c>
      <c r="K188" s="346"/>
      <c r="L188" s="346"/>
      <c r="M188" s="568">
        <f>VLOOKUP(H188,名称!A:E,3,0)</f>
        <v>12</v>
      </c>
      <c r="N188" s="599">
        <f t="shared" si="28"/>
        <v>2</v>
      </c>
      <c r="O188" s="527">
        <v>46162</v>
      </c>
      <c r="P188" s="587">
        <f t="shared" si="34"/>
        <v>46162</v>
      </c>
      <c r="Q188" s="536" t="s">
        <v>1133</v>
      </c>
      <c r="R188" s="346"/>
      <c r="S188" s="536" t="s">
        <v>1133</v>
      </c>
      <c r="T188" s="346"/>
      <c r="U188" s="568"/>
      <c r="V188" s="346"/>
      <c r="W188" s="348" t="str">
        <f>IFERROR(VLOOKUP(H188,名称!A:F,6,0),"")</f>
        <v>东莞</v>
      </c>
      <c r="X188" s="568" t="s">
        <v>1133</v>
      </c>
      <c r="Y188" s="568" t="s">
        <v>1133</v>
      </c>
      <c r="Z188" s="568" t="s">
        <v>1228</v>
      </c>
      <c r="AA188" s="568" t="s">
        <v>1228</v>
      </c>
      <c r="AB188" s="568" t="s">
        <v>1228</v>
      </c>
      <c r="AC188" s="568" t="s">
        <v>1133</v>
      </c>
      <c r="AD188" s="568" t="s">
        <v>1133</v>
      </c>
      <c r="AE188" s="346" t="s">
        <v>334</v>
      </c>
      <c r="AF188" s="568" t="s">
        <v>1228</v>
      </c>
      <c r="AG188" s="568" t="s">
        <v>334</v>
      </c>
      <c r="AH188" s="568" t="s">
        <v>1133</v>
      </c>
      <c r="AI188" s="568" t="s">
        <v>1133</v>
      </c>
      <c r="AJ188" s="568" t="s">
        <v>1133</v>
      </c>
      <c r="AK188" s="568" t="s">
        <v>1133</v>
      </c>
      <c r="AL188" s="568"/>
      <c r="AM188" s="568" t="s">
        <v>1355</v>
      </c>
      <c r="AN188" s="348" t="s">
        <v>1354</v>
      </c>
      <c r="AO188" s="531"/>
      <c r="AP188" s="532">
        <f t="shared" si="29"/>
        <v>0</v>
      </c>
      <c r="AQ188" s="532">
        <f t="shared" si="30"/>
        <v>0</v>
      </c>
      <c r="AR188" s="533"/>
      <c r="AS188" s="527"/>
      <c r="AT188" s="527" t="s">
        <v>839</v>
      </c>
      <c r="AU188" s="535"/>
      <c r="AV188" s="535">
        <f t="shared" si="31"/>
        <v>-24</v>
      </c>
      <c r="AW188" s="605"/>
      <c r="AX188" s="536"/>
      <c r="AY188" s="527"/>
      <c r="AZ188" s="413" t="s">
        <v>1256</v>
      </c>
      <c r="BA188" s="527"/>
      <c r="BB188" s="527" t="str">
        <f t="shared" si="32"/>
        <v>Sky Castle Toys, LLC</v>
      </c>
      <c r="BC188" s="527" t="str">
        <f t="shared" si="33"/>
        <v>美国</v>
      </c>
    </row>
    <row r="189" s="496" customFormat="1" customHeight="1" spans="1:55">
      <c r="A189" s="527">
        <v>46154</v>
      </c>
      <c r="B189" s="527" t="str">
        <f ca="1" t="shared" si="27"/>
        <v/>
      </c>
      <c r="C189" s="346" t="str">
        <f>VLOOKUP(H189,名称!A:E,4,0)</f>
        <v>三代</v>
      </c>
      <c r="D189" s="528" t="s">
        <v>1352</v>
      </c>
      <c r="E189" s="528" t="s">
        <v>1224</v>
      </c>
      <c r="F189" s="346" t="s">
        <v>839</v>
      </c>
      <c r="G189" s="346" t="s">
        <v>840</v>
      </c>
      <c r="H189" s="346" t="s">
        <v>112</v>
      </c>
      <c r="I189" s="346"/>
      <c r="J189" s="589">
        <v>3</v>
      </c>
      <c r="K189" s="346"/>
      <c r="L189" s="346"/>
      <c r="M189" s="568">
        <f>VLOOKUP(H189,名称!A:E,3,0)</f>
        <v>2</v>
      </c>
      <c r="N189" s="599">
        <f t="shared" si="28"/>
        <v>1.5</v>
      </c>
      <c r="O189" s="527">
        <v>46162</v>
      </c>
      <c r="P189" s="587">
        <f t="shared" si="34"/>
        <v>46162</v>
      </c>
      <c r="Q189" s="536" t="s">
        <v>1133</v>
      </c>
      <c r="R189" s="346"/>
      <c r="S189" s="536" t="s">
        <v>1133</v>
      </c>
      <c r="T189" s="346"/>
      <c r="U189" s="568"/>
      <c r="V189" s="346"/>
      <c r="W189" s="348" t="str">
        <f>IFERROR(VLOOKUP(H189,名称!A:F,6,0),"")</f>
        <v>湖南</v>
      </c>
      <c r="X189" s="568" t="s">
        <v>1133</v>
      </c>
      <c r="Y189" s="568" t="s">
        <v>1133</v>
      </c>
      <c r="Z189" s="568" t="s">
        <v>1228</v>
      </c>
      <c r="AA189" s="568" t="s">
        <v>1228</v>
      </c>
      <c r="AB189" s="568" t="s">
        <v>1228</v>
      </c>
      <c r="AC189" s="568" t="s">
        <v>1133</v>
      </c>
      <c r="AD189" s="568" t="s">
        <v>1133</v>
      </c>
      <c r="AE189" s="346" t="s">
        <v>334</v>
      </c>
      <c r="AF189" s="568" t="s">
        <v>1228</v>
      </c>
      <c r="AG189" s="568" t="s">
        <v>334</v>
      </c>
      <c r="AH189" s="568" t="s">
        <v>1133</v>
      </c>
      <c r="AI189" s="568" t="s">
        <v>1133</v>
      </c>
      <c r="AJ189" s="568" t="s">
        <v>1133</v>
      </c>
      <c r="AK189" s="568" t="s">
        <v>1356</v>
      </c>
      <c r="AL189" s="568"/>
      <c r="AM189" s="568" t="s">
        <v>1357</v>
      </c>
      <c r="AN189" s="348" t="s">
        <v>1358</v>
      </c>
      <c r="AO189" s="531"/>
      <c r="AP189" s="532">
        <f t="shared" si="29"/>
        <v>0</v>
      </c>
      <c r="AQ189" s="532">
        <f t="shared" si="30"/>
        <v>0</v>
      </c>
      <c r="AR189" s="533"/>
      <c r="AS189" s="527"/>
      <c r="AT189" s="527" t="s">
        <v>839</v>
      </c>
      <c r="AU189" s="535"/>
      <c r="AV189" s="535">
        <f t="shared" si="31"/>
        <v>-3</v>
      </c>
      <c r="AW189" s="605"/>
      <c r="AX189" s="536"/>
      <c r="AY189" s="527"/>
      <c r="AZ189" s="413" t="s">
        <v>1256</v>
      </c>
      <c r="BA189" s="527"/>
      <c r="BB189" s="527" t="str">
        <f t="shared" si="32"/>
        <v>Sky Castle Toys, LLC</v>
      </c>
      <c r="BC189" s="527" t="str">
        <f t="shared" si="33"/>
        <v>美国</v>
      </c>
    </row>
    <row r="190" s="496" customFormat="1" customHeight="1" spans="1:55">
      <c r="A190" s="527">
        <v>46154</v>
      </c>
      <c r="B190" s="527" t="str">
        <f ca="1" t="shared" si="27"/>
        <v/>
      </c>
      <c r="C190" s="346" t="str">
        <f>VLOOKUP(H190,名称!A:E,4,0)</f>
        <v>三代</v>
      </c>
      <c r="D190" s="528" t="s">
        <v>1352</v>
      </c>
      <c r="E190" s="528" t="s">
        <v>1224</v>
      </c>
      <c r="F190" s="346" t="s">
        <v>839</v>
      </c>
      <c r="G190" s="346" t="s">
        <v>840</v>
      </c>
      <c r="H190" s="346" t="s">
        <v>85</v>
      </c>
      <c r="I190" s="346"/>
      <c r="J190" s="589">
        <v>48</v>
      </c>
      <c r="K190" s="346"/>
      <c r="L190" s="346"/>
      <c r="M190" s="568">
        <f>VLOOKUP(H190,名称!A:E,3,0)</f>
        <v>24</v>
      </c>
      <c r="N190" s="599">
        <f t="shared" si="28"/>
        <v>2</v>
      </c>
      <c r="O190" s="527">
        <v>46160</v>
      </c>
      <c r="P190" s="587">
        <f t="shared" si="34"/>
        <v>46160</v>
      </c>
      <c r="Q190" s="536" t="s">
        <v>1133</v>
      </c>
      <c r="R190" s="346"/>
      <c r="S190" s="536" t="s">
        <v>1133</v>
      </c>
      <c r="T190" s="346"/>
      <c r="U190" s="568"/>
      <c r="V190" s="346"/>
      <c r="W190" s="348" t="str">
        <f>IFERROR(VLOOKUP(H190,名称!A:F,6,0),"")</f>
        <v>湖南</v>
      </c>
      <c r="X190" s="568" t="s">
        <v>1133</v>
      </c>
      <c r="Y190" s="568" t="s">
        <v>1133</v>
      </c>
      <c r="Z190" s="568" t="s">
        <v>1228</v>
      </c>
      <c r="AA190" s="568" t="s">
        <v>1228</v>
      </c>
      <c r="AB190" s="568" t="s">
        <v>1228</v>
      </c>
      <c r="AC190" s="568" t="s">
        <v>1133</v>
      </c>
      <c r="AD190" s="568" t="s">
        <v>1133</v>
      </c>
      <c r="AE190" s="346" t="s">
        <v>510</v>
      </c>
      <c r="AF190" s="568" t="s">
        <v>1228</v>
      </c>
      <c r="AG190" s="568" t="s">
        <v>510</v>
      </c>
      <c r="AH190" s="568" t="s">
        <v>1133</v>
      </c>
      <c r="AI190" s="568" t="s">
        <v>1133</v>
      </c>
      <c r="AJ190" s="568" t="s">
        <v>1133</v>
      </c>
      <c r="AK190" s="568" t="s">
        <v>510</v>
      </c>
      <c r="AL190" s="568"/>
      <c r="AM190" s="568" t="s">
        <v>1359</v>
      </c>
      <c r="AN190" s="348" t="s">
        <v>1354</v>
      </c>
      <c r="AO190" s="531"/>
      <c r="AP190" s="532">
        <f t="shared" si="29"/>
        <v>0</v>
      </c>
      <c r="AQ190" s="532">
        <f t="shared" si="30"/>
        <v>0</v>
      </c>
      <c r="AR190" s="533"/>
      <c r="AS190" s="527"/>
      <c r="AT190" s="527" t="s">
        <v>839</v>
      </c>
      <c r="AU190" s="535"/>
      <c r="AV190" s="535">
        <f t="shared" si="31"/>
        <v>-48</v>
      </c>
      <c r="AW190" s="605"/>
      <c r="AX190" s="536"/>
      <c r="AY190" s="527"/>
      <c r="AZ190" s="413" t="s">
        <v>1256</v>
      </c>
      <c r="BA190" s="527"/>
      <c r="BB190" s="527" t="str">
        <f t="shared" si="32"/>
        <v>Sky Castle Toys, LLC</v>
      </c>
      <c r="BC190" s="527" t="str">
        <f t="shared" si="33"/>
        <v>美国</v>
      </c>
    </row>
    <row r="191" s="496" customFormat="1" customHeight="1" spans="1:55">
      <c r="A191" s="527">
        <v>46154</v>
      </c>
      <c r="B191" s="527" t="str">
        <f ca="1" t="shared" si="27"/>
        <v/>
      </c>
      <c r="C191" s="346" t="str">
        <f>VLOOKUP(H191,名称!A:E,4,0)</f>
        <v>三代</v>
      </c>
      <c r="D191" s="528" t="s">
        <v>1352</v>
      </c>
      <c r="E191" s="528" t="s">
        <v>1224</v>
      </c>
      <c r="F191" s="346" t="s">
        <v>839</v>
      </c>
      <c r="G191" s="346" t="s">
        <v>840</v>
      </c>
      <c r="H191" s="346" t="s">
        <v>119</v>
      </c>
      <c r="I191" s="346"/>
      <c r="J191" s="589">
        <v>48</v>
      </c>
      <c r="K191" s="346"/>
      <c r="L191" s="346"/>
      <c r="M191" s="568">
        <f>VLOOKUP(H191,名称!A:E,3,0)</f>
        <v>24</v>
      </c>
      <c r="N191" s="599">
        <f t="shared" si="28"/>
        <v>2</v>
      </c>
      <c r="O191" s="527">
        <v>46162</v>
      </c>
      <c r="P191" s="587">
        <f t="shared" si="34"/>
        <v>46162</v>
      </c>
      <c r="Q191" s="536" t="s">
        <v>1133</v>
      </c>
      <c r="R191" s="346"/>
      <c r="S191" s="536" t="s">
        <v>1133</v>
      </c>
      <c r="T191" s="346"/>
      <c r="U191" s="568"/>
      <c r="V191" s="346"/>
      <c r="W191" s="348" t="str">
        <f>IFERROR(VLOOKUP(H191,名称!A:F,6,0),"")</f>
        <v>湖南</v>
      </c>
      <c r="X191" s="568" t="s">
        <v>1133</v>
      </c>
      <c r="Y191" s="568" t="s">
        <v>1133</v>
      </c>
      <c r="Z191" s="568" t="s">
        <v>1228</v>
      </c>
      <c r="AA191" s="568" t="s">
        <v>1228</v>
      </c>
      <c r="AB191" s="568" t="s">
        <v>1228</v>
      </c>
      <c r="AC191" s="568" t="s">
        <v>1133</v>
      </c>
      <c r="AD191" s="568" t="s">
        <v>1133</v>
      </c>
      <c r="AE191" s="346" t="s">
        <v>334</v>
      </c>
      <c r="AF191" s="568" t="s">
        <v>1228</v>
      </c>
      <c r="AG191" s="568" t="s">
        <v>334</v>
      </c>
      <c r="AH191" s="568" t="s">
        <v>1133</v>
      </c>
      <c r="AI191" s="568" t="s">
        <v>1133</v>
      </c>
      <c r="AJ191" s="568" t="s">
        <v>1133</v>
      </c>
      <c r="AK191" s="568" t="s">
        <v>334</v>
      </c>
      <c r="AL191" s="568"/>
      <c r="AM191" s="568" t="s">
        <v>1360</v>
      </c>
      <c r="AN191" s="348" t="s">
        <v>1354</v>
      </c>
      <c r="AO191" s="531"/>
      <c r="AP191" s="532">
        <f t="shared" si="29"/>
        <v>0</v>
      </c>
      <c r="AQ191" s="532">
        <f t="shared" si="30"/>
        <v>0</v>
      </c>
      <c r="AR191" s="533"/>
      <c r="AS191" s="527"/>
      <c r="AT191" s="527" t="s">
        <v>839</v>
      </c>
      <c r="AU191" s="535"/>
      <c r="AV191" s="535">
        <f t="shared" si="31"/>
        <v>-48</v>
      </c>
      <c r="AW191" s="605"/>
      <c r="AX191" s="536"/>
      <c r="AY191" s="527"/>
      <c r="AZ191" s="413" t="s">
        <v>1256</v>
      </c>
      <c r="BA191" s="527"/>
      <c r="BB191" s="527" t="str">
        <f t="shared" si="32"/>
        <v>Sky Castle Toys, LLC</v>
      </c>
      <c r="BC191" s="527" t="str">
        <f t="shared" si="33"/>
        <v>美国</v>
      </c>
    </row>
    <row r="192" s="496" customFormat="1" customHeight="1" spans="1:55">
      <c r="A192" s="527">
        <v>46154</v>
      </c>
      <c r="B192" s="527" t="str">
        <f ca="1" t="shared" si="27"/>
        <v/>
      </c>
      <c r="C192" s="346" t="str">
        <f>VLOOKUP(H192,名称!A:E,4,0)</f>
        <v>三代</v>
      </c>
      <c r="D192" s="528" t="s">
        <v>1352</v>
      </c>
      <c r="E192" s="528" t="s">
        <v>1224</v>
      </c>
      <c r="F192" s="346" t="s">
        <v>839</v>
      </c>
      <c r="G192" s="346" t="s">
        <v>840</v>
      </c>
      <c r="H192" s="346" t="s">
        <v>104</v>
      </c>
      <c r="I192" s="346"/>
      <c r="J192" s="589">
        <v>12</v>
      </c>
      <c r="K192" s="346"/>
      <c r="L192" s="346"/>
      <c r="M192" s="568">
        <f>VLOOKUP(H192,名称!A:E,3,0)</f>
        <v>6</v>
      </c>
      <c r="N192" s="599">
        <f t="shared" si="28"/>
        <v>2</v>
      </c>
      <c r="O192" s="527">
        <v>46162</v>
      </c>
      <c r="P192" s="587">
        <f t="shared" si="34"/>
        <v>46162</v>
      </c>
      <c r="Q192" s="536" t="s">
        <v>1133</v>
      </c>
      <c r="R192" s="346"/>
      <c r="S192" s="536" t="s">
        <v>1133</v>
      </c>
      <c r="T192" s="346"/>
      <c r="U192" s="568"/>
      <c r="V192" s="346"/>
      <c r="W192" s="348" t="str">
        <f>IFERROR(VLOOKUP(H192,名称!A:F,6,0),"")</f>
        <v>湖南</v>
      </c>
      <c r="X192" s="568" t="s">
        <v>1133</v>
      </c>
      <c r="Y192" s="568" t="s">
        <v>1133</v>
      </c>
      <c r="Z192" s="568" t="s">
        <v>1228</v>
      </c>
      <c r="AA192" s="568" t="s">
        <v>1228</v>
      </c>
      <c r="AB192" s="568" t="s">
        <v>1228</v>
      </c>
      <c r="AC192" s="568" t="s">
        <v>1133</v>
      </c>
      <c r="AD192" s="568" t="s">
        <v>1133</v>
      </c>
      <c r="AE192" s="346" t="s">
        <v>334</v>
      </c>
      <c r="AF192" s="568" t="s">
        <v>1228</v>
      </c>
      <c r="AG192" s="568" t="s">
        <v>334</v>
      </c>
      <c r="AH192" s="568" t="s">
        <v>1361</v>
      </c>
      <c r="AI192" s="568" t="s">
        <v>1228</v>
      </c>
      <c r="AJ192" s="568" t="s">
        <v>1133</v>
      </c>
      <c r="AK192" s="568" t="s">
        <v>1133</v>
      </c>
      <c r="AL192" s="568"/>
      <c r="AM192" s="568" t="s">
        <v>1362</v>
      </c>
      <c r="AN192" s="348" t="s">
        <v>1354</v>
      </c>
      <c r="AO192" s="531"/>
      <c r="AP192" s="532">
        <f t="shared" si="29"/>
        <v>0</v>
      </c>
      <c r="AQ192" s="532">
        <f t="shared" si="30"/>
        <v>0</v>
      </c>
      <c r="AR192" s="533"/>
      <c r="AS192" s="527"/>
      <c r="AT192" s="527" t="s">
        <v>839</v>
      </c>
      <c r="AU192" s="535"/>
      <c r="AV192" s="535">
        <f t="shared" si="31"/>
        <v>-12</v>
      </c>
      <c r="AW192" s="605"/>
      <c r="AX192" s="536"/>
      <c r="AY192" s="527"/>
      <c r="AZ192" s="413" t="s">
        <v>1256</v>
      </c>
      <c r="BA192" s="527"/>
      <c r="BB192" s="527" t="str">
        <f t="shared" si="32"/>
        <v>Sky Castle Toys, LLC</v>
      </c>
      <c r="BC192" s="527" t="str">
        <f t="shared" si="33"/>
        <v>美国</v>
      </c>
    </row>
    <row r="193" s="496" customFormat="1" customHeight="1" spans="1:55">
      <c r="A193" s="527">
        <v>46154</v>
      </c>
      <c r="B193" s="527" t="str">
        <f ca="1" t="shared" si="27"/>
        <v/>
      </c>
      <c r="C193" s="346" t="str">
        <f>VLOOKUP(H193,名称!A:E,4,0)</f>
        <v>三代</v>
      </c>
      <c r="D193" s="528" t="s">
        <v>1352</v>
      </c>
      <c r="E193" s="528" t="s">
        <v>1224</v>
      </c>
      <c r="F193" s="346" t="s">
        <v>839</v>
      </c>
      <c r="G193" s="346" t="s">
        <v>840</v>
      </c>
      <c r="H193" s="346" t="s">
        <v>115</v>
      </c>
      <c r="I193" s="346"/>
      <c r="J193" s="589">
        <v>18</v>
      </c>
      <c r="K193" s="346"/>
      <c r="L193" s="346"/>
      <c r="M193" s="568">
        <f>VLOOKUP(H193,名称!A:E,3,0)</f>
        <v>9</v>
      </c>
      <c r="N193" s="599">
        <f t="shared" si="28"/>
        <v>2</v>
      </c>
      <c r="O193" s="527">
        <v>46162</v>
      </c>
      <c r="P193" s="587">
        <f t="shared" si="34"/>
        <v>46162</v>
      </c>
      <c r="Q193" s="536" t="s">
        <v>1133</v>
      </c>
      <c r="R193" s="346"/>
      <c r="S193" s="536" t="s">
        <v>1133</v>
      </c>
      <c r="T193" s="346"/>
      <c r="U193" s="568"/>
      <c r="V193" s="346"/>
      <c r="W193" s="348" t="str">
        <f>IFERROR(VLOOKUP(H193,名称!A:F,6,0),"")</f>
        <v>湖南</v>
      </c>
      <c r="X193" s="568" t="s">
        <v>1133</v>
      </c>
      <c r="Y193" s="568" t="s">
        <v>1133</v>
      </c>
      <c r="Z193" s="568" t="s">
        <v>1228</v>
      </c>
      <c r="AA193" s="568" t="s">
        <v>1228</v>
      </c>
      <c r="AB193" s="568" t="s">
        <v>1228</v>
      </c>
      <c r="AC193" s="568" t="s">
        <v>1133</v>
      </c>
      <c r="AD193" s="568" t="s">
        <v>1133</v>
      </c>
      <c r="AE193" s="346" t="s">
        <v>334</v>
      </c>
      <c r="AF193" s="568" t="s">
        <v>1228</v>
      </c>
      <c r="AG193" s="568" t="s">
        <v>334</v>
      </c>
      <c r="AH193" s="568" t="s">
        <v>1361</v>
      </c>
      <c r="AI193" s="568" t="s">
        <v>1228</v>
      </c>
      <c r="AJ193" s="568" t="s">
        <v>1133</v>
      </c>
      <c r="AK193" s="568" t="s">
        <v>1133</v>
      </c>
      <c r="AL193" s="568"/>
      <c r="AM193" s="568" t="s">
        <v>1363</v>
      </c>
      <c r="AN193" s="348" t="s">
        <v>1354</v>
      </c>
      <c r="AO193" s="531"/>
      <c r="AP193" s="532">
        <f t="shared" si="29"/>
        <v>0</v>
      </c>
      <c r="AQ193" s="532">
        <f t="shared" si="30"/>
        <v>0</v>
      </c>
      <c r="AR193" s="533"/>
      <c r="AS193" s="527"/>
      <c r="AT193" s="527" t="s">
        <v>839</v>
      </c>
      <c r="AU193" s="535"/>
      <c r="AV193" s="535">
        <f t="shared" si="31"/>
        <v>-18</v>
      </c>
      <c r="AW193" s="605"/>
      <c r="AX193" s="536"/>
      <c r="AY193" s="527"/>
      <c r="AZ193" s="413" t="s">
        <v>1256</v>
      </c>
      <c r="BA193" s="527"/>
      <c r="BB193" s="527" t="str">
        <f t="shared" si="32"/>
        <v>Sky Castle Toys, LLC</v>
      </c>
      <c r="BC193" s="527" t="str">
        <f t="shared" si="33"/>
        <v>美国</v>
      </c>
    </row>
    <row r="194" s="496" customFormat="1" customHeight="1" spans="1:55">
      <c r="A194" s="527">
        <v>46154</v>
      </c>
      <c r="B194" s="527" t="str">
        <f ca="1" t="shared" si="27"/>
        <v/>
      </c>
      <c r="C194" s="346" t="str">
        <f>VLOOKUP(H194,名称!A:E,4,0)</f>
        <v>三代</v>
      </c>
      <c r="D194" s="528" t="s">
        <v>1352</v>
      </c>
      <c r="E194" s="528" t="s">
        <v>1224</v>
      </c>
      <c r="F194" s="346" t="s">
        <v>839</v>
      </c>
      <c r="G194" s="346" t="s">
        <v>840</v>
      </c>
      <c r="H194" s="346" t="s">
        <v>94</v>
      </c>
      <c r="I194" s="346"/>
      <c r="J194" s="589">
        <v>48</v>
      </c>
      <c r="K194" s="346"/>
      <c r="L194" s="346"/>
      <c r="M194" s="568">
        <f>VLOOKUP(H194,名称!A:E,3,0)</f>
        <v>24</v>
      </c>
      <c r="N194" s="599">
        <f t="shared" si="28"/>
        <v>2</v>
      </c>
      <c r="O194" s="527">
        <v>46162</v>
      </c>
      <c r="P194" s="587">
        <f t="shared" si="34"/>
        <v>46162</v>
      </c>
      <c r="Q194" s="536" t="s">
        <v>1133</v>
      </c>
      <c r="R194" s="346"/>
      <c r="S194" s="536" t="s">
        <v>1133</v>
      </c>
      <c r="T194" s="346"/>
      <c r="U194" s="568"/>
      <c r="V194" s="346"/>
      <c r="W194" s="348" t="str">
        <f>IFERROR(VLOOKUP(H194,名称!A:F,6,0),"")</f>
        <v>湖南</v>
      </c>
      <c r="X194" s="568" t="s">
        <v>1133</v>
      </c>
      <c r="Y194" s="568" t="s">
        <v>1133</v>
      </c>
      <c r="Z194" s="568" t="s">
        <v>1228</v>
      </c>
      <c r="AA194" s="568" t="s">
        <v>1228</v>
      </c>
      <c r="AB194" s="568" t="s">
        <v>1228</v>
      </c>
      <c r="AC194" s="568" t="s">
        <v>1133</v>
      </c>
      <c r="AD194" s="568" t="s">
        <v>1133</v>
      </c>
      <c r="AE194" s="346" t="s">
        <v>334</v>
      </c>
      <c r="AF194" s="568" t="s">
        <v>1228</v>
      </c>
      <c r="AG194" s="568" t="s">
        <v>334</v>
      </c>
      <c r="AH194" s="568" t="s">
        <v>1133</v>
      </c>
      <c r="AI194" s="568" t="s">
        <v>1228</v>
      </c>
      <c r="AJ194" s="568" t="s">
        <v>1133</v>
      </c>
      <c r="AK194" s="568" t="s">
        <v>334</v>
      </c>
      <c r="AL194" s="568"/>
      <c r="AM194" s="611" t="s">
        <v>1364</v>
      </c>
      <c r="AN194" s="348" t="s">
        <v>1354</v>
      </c>
      <c r="AO194" s="531"/>
      <c r="AP194" s="532">
        <f t="shared" si="29"/>
        <v>0</v>
      </c>
      <c r="AQ194" s="532">
        <f t="shared" si="30"/>
        <v>0</v>
      </c>
      <c r="AR194" s="533"/>
      <c r="AS194" s="527"/>
      <c r="AT194" s="527" t="s">
        <v>839</v>
      </c>
      <c r="AU194" s="535"/>
      <c r="AV194" s="535">
        <f t="shared" si="31"/>
        <v>-48</v>
      </c>
      <c r="AW194" s="605"/>
      <c r="AX194" s="536"/>
      <c r="AY194" s="527"/>
      <c r="AZ194" s="413" t="s">
        <v>1256</v>
      </c>
      <c r="BA194" s="527"/>
      <c r="BB194" s="527" t="str">
        <f t="shared" si="32"/>
        <v>Sky Castle Toys, LLC</v>
      </c>
      <c r="BC194" s="527" t="str">
        <f t="shared" si="33"/>
        <v>美国</v>
      </c>
    </row>
    <row r="195" s="496" customFormat="1" customHeight="1" spans="1:55">
      <c r="A195" s="527">
        <v>46154</v>
      </c>
      <c r="B195" s="527" t="str">
        <f ca="1" t="shared" si="27"/>
        <v/>
      </c>
      <c r="C195" s="346" t="str">
        <f>VLOOKUP(H195,名称!A:E,4,0)</f>
        <v>三代</v>
      </c>
      <c r="D195" s="528" t="s">
        <v>1352</v>
      </c>
      <c r="E195" s="528" t="s">
        <v>1224</v>
      </c>
      <c r="F195" s="346" t="s">
        <v>839</v>
      </c>
      <c r="G195" s="346" t="s">
        <v>840</v>
      </c>
      <c r="H195" s="346" t="s">
        <v>95</v>
      </c>
      <c r="I195" s="346"/>
      <c r="J195" s="589">
        <v>3</v>
      </c>
      <c r="K195" s="346"/>
      <c r="L195" s="346"/>
      <c r="M195" s="568">
        <f>VLOOKUP(H195,名称!A:E,3,0)</f>
        <v>4</v>
      </c>
      <c r="N195" s="599">
        <f t="shared" si="28"/>
        <v>0.75</v>
      </c>
      <c r="O195" s="527">
        <v>46162</v>
      </c>
      <c r="P195" s="587">
        <f t="shared" si="34"/>
        <v>46162</v>
      </c>
      <c r="Q195" s="536" t="s">
        <v>1133</v>
      </c>
      <c r="R195" s="346"/>
      <c r="S195" s="536" t="s">
        <v>1133</v>
      </c>
      <c r="T195" s="346"/>
      <c r="U195" s="568"/>
      <c r="V195" s="346"/>
      <c r="W195" s="348" t="str">
        <f>IFERROR(VLOOKUP(H195,名称!A:F,6,0),"")</f>
        <v>湖南</v>
      </c>
      <c r="X195" s="568" t="s">
        <v>1133</v>
      </c>
      <c r="Y195" s="568" t="s">
        <v>1133</v>
      </c>
      <c r="Z195" s="568" t="s">
        <v>1228</v>
      </c>
      <c r="AA195" s="568" t="s">
        <v>1228</v>
      </c>
      <c r="AB195" s="568" t="s">
        <v>1228</v>
      </c>
      <c r="AC195" s="568" t="s">
        <v>1133</v>
      </c>
      <c r="AD195" s="568" t="s">
        <v>1133</v>
      </c>
      <c r="AE195" s="346" t="s">
        <v>334</v>
      </c>
      <c r="AF195" s="568" t="s">
        <v>1228</v>
      </c>
      <c r="AG195" s="568" t="s">
        <v>334</v>
      </c>
      <c r="AH195" s="568" t="s">
        <v>1361</v>
      </c>
      <c r="AI195" s="568" t="s">
        <v>1228</v>
      </c>
      <c r="AJ195" s="568" t="s">
        <v>1133</v>
      </c>
      <c r="AK195" s="568" t="s">
        <v>1133</v>
      </c>
      <c r="AL195" s="568"/>
      <c r="AM195" s="611" t="s">
        <v>1365</v>
      </c>
      <c r="AN195" s="348" t="s">
        <v>1358</v>
      </c>
      <c r="AO195" s="531"/>
      <c r="AP195" s="532">
        <f t="shared" si="29"/>
        <v>0</v>
      </c>
      <c r="AQ195" s="532">
        <f t="shared" si="30"/>
        <v>0</v>
      </c>
      <c r="AR195" s="533"/>
      <c r="AS195" s="527"/>
      <c r="AT195" s="527" t="s">
        <v>839</v>
      </c>
      <c r="AU195" s="535"/>
      <c r="AV195" s="535">
        <f t="shared" si="31"/>
        <v>-3</v>
      </c>
      <c r="AW195" s="605"/>
      <c r="AX195" s="536"/>
      <c r="AY195" s="527"/>
      <c r="AZ195" s="413" t="s">
        <v>1256</v>
      </c>
      <c r="BA195" s="527"/>
      <c r="BB195" s="527" t="str">
        <f t="shared" si="32"/>
        <v>Sky Castle Toys, LLC</v>
      </c>
      <c r="BC195" s="527" t="str">
        <f t="shared" si="33"/>
        <v>美国</v>
      </c>
    </row>
    <row r="196" s="496" customFormat="1" customHeight="1" spans="1:55">
      <c r="A196" s="527">
        <v>46162</v>
      </c>
      <c r="B196" s="527" t="str">
        <f ca="1" t="shared" si="27"/>
        <v/>
      </c>
      <c r="C196" s="346" t="str">
        <f>VLOOKUP(H196,名称!A:E,4,0)</f>
        <v>三代</v>
      </c>
      <c r="D196" s="588" t="s">
        <v>1366</v>
      </c>
      <c r="E196" s="588" t="s">
        <v>1224</v>
      </c>
      <c r="F196" s="588">
        <v>13540514303</v>
      </c>
      <c r="G196" s="588" t="s">
        <v>859</v>
      </c>
      <c r="H196" s="346" t="s">
        <v>126</v>
      </c>
      <c r="I196" s="346"/>
      <c r="J196" s="589">
        <v>1680</v>
      </c>
      <c r="K196" s="347">
        <f>VLOOKUP(H196,名称!A:C,2,0)</f>
        <v>50</v>
      </c>
      <c r="L196" s="348">
        <f t="shared" ref="L196:L212" si="35">J196*K196</f>
        <v>84000</v>
      </c>
      <c r="M196" s="568">
        <f>VLOOKUP(H196,名称!A:E,3,0)</f>
        <v>40</v>
      </c>
      <c r="N196" s="599">
        <f t="shared" si="28"/>
        <v>42</v>
      </c>
      <c r="O196" s="587">
        <v>46224</v>
      </c>
      <c r="P196" s="587">
        <f t="shared" si="34"/>
        <v>46224</v>
      </c>
      <c r="Q196" s="536">
        <v>46227</v>
      </c>
      <c r="R196" s="404" t="s">
        <v>1291</v>
      </c>
      <c r="S196" s="536">
        <v>46227</v>
      </c>
      <c r="T196" s="404" t="s">
        <v>1241</v>
      </c>
      <c r="U196" s="568"/>
      <c r="V196" s="529">
        <v>46241</v>
      </c>
      <c r="W196" s="348" t="str">
        <f>IFERROR(VLOOKUP(H196,名称!A:F,6,0),"")</f>
        <v>东莞</v>
      </c>
      <c r="X196" s="568" t="s">
        <v>1133</v>
      </c>
      <c r="Y196" s="568" t="s">
        <v>1133</v>
      </c>
      <c r="Z196" s="569">
        <v>46167</v>
      </c>
      <c r="AA196" s="570">
        <v>46182</v>
      </c>
      <c r="AB196" s="570">
        <v>46182</v>
      </c>
      <c r="AC196" s="568" t="s">
        <v>1133</v>
      </c>
      <c r="AD196" s="568" t="s">
        <v>1133</v>
      </c>
      <c r="AE196" s="346" t="s">
        <v>584</v>
      </c>
      <c r="AF196" s="568" t="s">
        <v>1228</v>
      </c>
      <c r="AG196" s="568" t="s">
        <v>584</v>
      </c>
      <c r="AH196" s="568" t="s">
        <v>1133</v>
      </c>
      <c r="AI196" s="568" t="s">
        <v>1228</v>
      </c>
      <c r="AJ196" s="568" t="s">
        <v>1133</v>
      </c>
      <c r="AK196" s="568" t="s">
        <v>1356</v>
      </c>
      <c r="AL196" s="568"/>
      <c r="AM196" s="612" t="s">
        <v>1367</v>
      </c>
      <c r="AN196" s="348" t="s">
        <v>1368</v>
      </c>
      <c r="AO196" s="531">
        <v>9.15</v>
      </c>
      <c r="AP196" s="532">
        <f t="shared" si="29"/>
        <v>15372</v>
      </c>
      <c r="AQ196" s="532">
        <f t="shared" si="30"/>
        <v>119133</v>
      </c>
      <c r="AR196" s="533"/>
      <c r="AS196" s="527"/>
      <c r="AT196" s="403" t="s">
        <v>1220</v>
      </c>
      <c r="AU196" s="535"/>
      <c r="AV196" s="535">
        <f t="shared" si="31"/>
        <v>-1680</v>
      </c>
      <c r="AW196" s="605"/>
      <c r="AX196" s="536"/>
      <c r="AY196" s="527" t="s">
        <v>1255</v>
      </c>
      <c r="AZ196" s="527" t="s">
        <v>1256</v>
      </c>
      <c r="BA196" s="527"/>
      <c r="BB196" s="527" t="str">
        <f t="shared" si="32"/>
        <v>JAZWARES - COSTCO</v>
      </c>
      <c r="BC196" s="527" t="str">
        <f t="shared" si="33"/>
        <v>美国</v>
      </c>
    </row>
    <row r="197" s="496" customFormat="1" customHeight="1" spans="1:55">
      <c r="A197" s="527">
        <v>46162</v>
      </c>
      <c r="B197" s="527" t="str">
        <f ca="1" t="shared" si="27"/>
        <v/>
      </c>
      <c r="C197" s="346" t="str">
        <f>VLOOKUP(H197,名称!A:E,4,0)</f>
        <v>三代</v>
      </c>
      <c r="D197" s="588" t="s">
        <v>1366</v>
      </c>
      <c r="E197" s="588" t="s">
        <v>1224</v>
      </c>
      <c r="F197" s="588">
        <v>5840514355</v>
      </c>
      <c r="G197" s="588" t="s">
        <v>860</v>
      </c>
      <c r="H197" s="346" t="s">
        <v>126</v>
      </c>
      <c r="I197" s="346"/>
      <c r="J197" s="589">
        <v>1680</v>
      </c>
      <c r="K197" s="347">
        <f>VLOOKUP(H197,名称!A:C,2,0)</f>
        <v>50</v>
      </c>
      <c r="L197" s="348">
        <f t="shared" si="35"/>
        <v>84000</v>
      </c>
      <c r="M197" s="568">
        <f>VLOOKUP(H197,名称!A:E,3,0)</f>
        <v>40</v>
      </c>
      <c r="N197" s="599">
        <f t="shared" si="28"/>
        <v>42</v>
      </c>
      <c r="O197" s="587">
        <v>46226</v>
      </c>
      <c r="P197" s="587">
        <f t="shared" si="34"/>
        <v>46226</v>
      </c>
      <c r="Q197" s="536">
        <v>46230</v>
      </c>
      <c r="R197" s="404" t="s">
        <v>1241</v>
      </c>
      <c r="S197" s="536">
        <v>46230</v>
      </c>
      <c r="T197" s="404" t="s">
        <v>1241</v>
      </c>
      <c r="U197" s="568"/>
      <c r="V197" s="529">
        <v>46244</v>
      </c>
      <c r="W197" s="348" t="str">
        <f>IFERROR(VLOOKUP(H197,名称!A:F,6,0),"")</f>
        <v>东莞</v>
      </c>
      <c r="X197" s="568" t="s">
        <v>1133</v>
      </c>
      <c r="Y197" s="568" t="s">
        <v>1133</v>
      </c>
      <c r="Z197" s="569">
        <v>46167</v>
      </c>
      <c r="AA197" s="570">
        <v>46182</v>
      </c>
      <c r="AB197" s="570">
        <v>46182</v>
      </c>
      <c r="AC197" s="568" t="s">
        <v>1133</v>
      </c>
      <c r="AD197" s="568" t="s">
        <v>1133</v>
      </c>
      <c r="AE197" s="346" t="s">
        <v>584</v>
      </c>
      <c r="AF197" s="568" t="s">
        <v>1228</v>
      </c>
      <c r="AG197" s="568" t="s">
        <v>584</v>
      </c>
      <c r="AH197" s="568" t="s">
        <v>1133</v>
      </c>
      <c r="AI197" s="568" t="s">
        <v>1228</v>
      </c>
      <c r="AJ197" s="568" t="s">
        <v>1133</v>
      </c>
      <c r="AK197" s="568" t="s">
        <v>1356</v>
      </c>
      <c r="AL197" s="568"/>
      <c r="AM197" s="612" t="s">
        <v>1367</v>
      </c>
      <c r="AN197" s="348" t="s">
        <v>1368</v>
      </c>
      <c r="AO197" s="531">
        <v>9.15</v>
      </c>
      <c r="AP197" s="532">
        <f t="shared" si="29"/>
        <v>15372</v>
      </c>
      <c r="AQ197" s="532">
        <f t="shared" si="30"/>
        <v>119133</v>
      </c>
      <c r="AR197" s="533"/>
      <c r="AS197" s="527"/>
      <c r="AT197" s="403" t="s">
        <v>1220</v>
      </c>
      <c r="AU197" s="535"/>
      <c r="AV197" s="535">
        <f t="shared" si="31"/>
        <v>-1680</v>
      </c>
      <c r="AW197" s="605"/>
      <c r="AX197" s="536"/>
      <c r="AY197" s="527" t="s">
        <v>1255</v>
      </c>
      <c r="AZ197" s="527" t="s">
        <v>1256</v>
      </c>
      <c r="BA197" s="527"/>
      <c r="BB197" s="527" t="str">
        <f t="shared" si="32"/>
        <v>JAZWARES - COSTCO</v>
      </c>
      <c r="BC197" s="527" t="str">
        <f t="shared" si="33"/>
        <v>美国</v>
      </c>
    </row>
    <row r="198" s="496" customFormat="1" customHeight="1" spans="1:55">
      <c r="A198" s="527">
        <v>46162</v>
      </c>
      <c r="B198" s="527" t="str">
        <f ca="1" t="shared" si="27"/>
        <v/>
      </c>
      <c r="C198" s="346" t="str">
        <f>VLOOKUP(H198,名称!A:E,4,0)</f>
        <v>三代</v>
      </c>
      <c r="D198" s="588" t="s">
        <v>1366</v>
      </c>
      <c r="E198" s="588" t="s">
        <v>1224</v>
      </c>
      <c r="F198" s="588">
        <v>1710514636</v>
      </c>
      <c r="G198" s="588" t="s">
        <v>866</v>
      </c>
      <c r="H198" s="346" t="s">
        <v>126</v>
      </c>
      <c r="I198" s="346"/>
      <c r="J198" s="589">
        <v>1680</v>
      </c>
      <c r="K198" s="347">
        <f>VLOOKUP(H198,名称!A:C,2,0)</f>
        <v>50</v>
      </c>
      <c r="L198" s="348">
        <f t="shared" si="35"/>
        <v>84000</v>
      </c>
      <c r="M198" s="568">
        <f>VLOOKUP(H198,名称!A:E,3,0)</f>
        <v>40</v>
      </c>
      <c r="N198" s="599">
        <f t="shared" si="28"/>
        <v>42</v>
      </c>
      <c r="O198" s="587">
        <v>46238</v>
      </c>
      <c r="P198" s="587">
        <f t="shared" si="34"/>
        <v>46238</v>
      </c>
      <c r="Q198" s="536">
        <v>46238</v>
      </c>
      <c r="R198" s="404" t="s">
        <v>1241</v>
      </c>
      <c r="S198" s="536">
        <v>46238</v>
      </c>
      <c r="T198" s="404" t="s">
        <v>1369</v>
      </c>
      <c r="U198" s="568"/>
      <c r="V198" s="529">
        <v>46248</v>
      </c>
      <c r="W198" s="348" t="str">
        <f>IFERROR(VLOOKUP(H198,名称!A:F,6,0),"")</f>
        <v>东莞</v>
      </c>
      <c r="X198" s="568" t="s">
        <v>1133</v>
      </c>
      <c r="Y198" s="568" t="s">
        <v>1133</v>
      </c>
      <c r="Z198" s="569">
        <v>46167</v>
      </c>
      <c r="AA198" s="570">
        <v>46182</v>
      </c>
      <c r="AB198" s="570">
        <v>46182</v>
      </c>
      <c r="AC198" s="568" t="s">
        <v>1133</v>
      </c>
      <c r="AD198" s="568" t="s">
        <v>1133</v>
      </c>
      <c r="AE198" s="346" t="s">
        <v>584</v>
      </c>
      <c r="AF198" s="568" t="s">
        <v>1228</v>
      </c>
      <c r="AG198" s="568" t="s">
        <v>584</v>
      </c>
      <c r="AH198" s="568" t="s">
        <v>1133</v>
      </c>
      <c r="AI198" s="568" t="s">
        <v>1228</v>
      </c>
      <c r="AJ198" s="568" t="s">
        <v>1133</v>
      </c>
      <c r="AK198" s="568" t="s">
        <v>1356</v>
      </c>
      <c r="AL198" s="568"/>
      <c r="AM198" s="612" t="s">
        <v>1367</v>
      </c>
      <c r="AN198" s="348" t="s">
        <v>1368</v>
      </c>
      <c r="AO198" s="531">
        <v>9.15</v>
      </c>
      <c r="AP198" s="532">
        <f t="shared" si="29"/>
        <v>15372</v>
      </c>
      <c r="AQ198" s="532">
        <f t="shared" si="30"/>
        <v>119133</v>
      </c>
      <c r="AR198" s="533"/>
      <c r="AS198" s="527"/>
      <c r="AT198" s="403" t="s">
        <v>1220</v>
      </c>
      <c r="AU198" s="535"/>
      <c r="AV198" s="535">
        <f t="shared" si="31"/>
        <v>-1680</v>
      </c>
      <c r="AW198" s="605"/>
      <c r="AX198" s="536"/>
      <c r="AY198" s="527" t="s">
        <v>1255</v>
      </c>
      <c r="AZ198" s="527" t="s">
        <v>1256</v>
      </c>
      <c r="BA198" s="527"/>
      <c r="BB198" s="527" t="str">
        <f t="shared" si="32"/>
        <v>JAZWARES - COSTCO</v>
      </c>
      <c r="BC198" s="527" t="str">
        <f t="shared" si="33"/>
        <v>美国</v>
      </c>
    </row>
    <row r="199" s="496" customFormat="1" customHeight="1" spans="1:55">
      <c r="A199" s="527">
        <v>46162</v>
      </c>
      <c r="B199" s="527" t="str">
        <f ca="1" t="shared" si="27"/>
        <v/>
      </c>
      <c r="C199" s="346" t="str">
        <f>VLOOKUP(H199,名称!A:E,4,0)</f>
        <v>三代</v>
      </c>
      <c r="D199" s="588" t="s">
        <v>1366</v>
      </c>
      <c r="E199" s="588" t="s">
        <v>1224</v>
      </c>
      <c r="F199" s="588">
        <v>1710514637</v>
      </c>
      <c r="G199" s="588" t="s">
        <v>867</v>
      </c>
      <c r="H199" s="346" t="s">
        <v>126</v>
      </c>
      <c r="I199" s="346"/>
      <c r="J199" s="589">
        <v>1680</v>
      </c>
      <c r="K199" s="347">
        <f>VLOOKUP(H199,名称!A:C,2,0)</f>
        <v>50</v>
      </c>
      <c r="L199" s="348">
        <f t="shared" si="35"/>
        <v>84000</v>
      </c>
      <c r="M199" s="568">
        <f>VLOOKUP(H199,名称!A:E,3,0)</f>
        <v>40</v>
      </c>
      <c r="N199" s="599">
        <f t="shared" si="28"/>
        <v>42</v>
      </c>
      <c r="O199" s="587">
        <v>46238</v>
      </c>
      <c r="P199" s="587">
        <f t="shared" si="34"/>
        <v>46238</v>
      </c>
      <c r="Q199" s="536">
        <v>46239</v>
      </c>
      <c r="R199" s="404" t="s">
        <v>1241</v>
      </c>
      <c r="S199" s="536">
        <v>46239</v>
      </c>
      <c r="T199" s="404" t="s">
        <v>1369</v>
      </c>
      <c r="U199" s="568"/>
      <c r="V199" s="529">
        <v>46248</v>
      </c>
      <c r="W199" s="348" t="str">
        <f>IFERROR(VLOOKUP(H199,名称!A:F,6,0),"")</f>
        <v>东莞</v>
      </c>
      <c r="X199" s="568" t="s">
        <v>1133</v>
      </c>
      <c r="Y199" s="568" t="s">
        <v>1133</v>
      </c>
      <c r="Z199" s="569">
        <v>46167</v>
      </c>
      <c r="AA199" s="570">
        <v>46182</v>
      </c>
      <c r="AB199" s="570">
        <v>46182</v>
      </c>
      <c r="AC199" s="568" t="s">
        <v>1133</v>
      </c>
      <c r="AD199" s="568" t="s">
        <v>1133</v>
      </c>
      <c r="AE199" s="346" t="s">
        <v>584</v>
      </c>
      <c r="AF199" s="568" t="s">
        <v>1228</v>
      </c>
      <c r="AG199" s="568" t="s">
        <v>584</v>
      </c>
      <c r="AH199" s="568" t="s">
        <v>1133</v>
      </c>
      <c r="AI199" s="568" t="s">
        <v>1228</v>
      </c>
      <c r="AJ199" s="568" t="s">
        <v>1133</v>
      </c>
      <c r="AK199" s="568" t="s">
        <v>1356</v>
      </c>
      <c r="AL199" s="568"/>
      <c r="AM199" s="612" t="s">
        <v>1367</v>
      </c>
      <c r="AN199" s="348" t="s">
        <v>1368</v>
      </c>
      <c r="AO199" s="531">
        <v>9.15</v>
      </c>
      <c r="AP199" s="532">
        <f t="shared" si="29"/>
        <v>15372</v>
      </c>
      <c r="AQ199" s="532">
        <f t="shared" si="30"/>
        <v>119133</v>
      </c>
      <c r="AR199" s="533"/>
      <c r="AS199" s="527"/>
      <c r="AT199" s="403" t="s">
        <v>1220</v>
      </c>
      <c r="AU199" s="535"/>
      <c r="AV199" s="535">
        <f t="shared" si="31"/>
        <v>-1680</v>
      </c>
      <c r="AW199" s="605"/>
      <c r="AX199" s="536"/>
      <c r="AY199" s="527" t="s">
        <v>1255</v>
      </c>
      <c r="AZ199" s="527" t="s">
        <v>1256</v>
      </c>
      <c r="BA199" s="527"/>
      <c r="BB199" s="527" t="str">
        <f t="shared" si="32"/>
        <v>JAZWARES - COSTCO</v>
      </c>
      <c r="BC199" s="527" t="str">
        <f t="shared" si="33"/>
        <v>美国</v>
      </c>
    </row>
    <row r="200" s="496" customFormat="1" customHeight="1" spans="1:55">
      <c r="A200" s="527">
        <v>46162</v>
      </c>
      <c r="B200" s="527" t="str">
        <f ca="1" t="shared" si="27"/>
        <v/>
      </c>
      <c r="C200" s="346" t="str">
        <f>VLOOKUP(H200,名称!A:E,4,0)</f>
        <v>三代</v>
      </c>
      <c r="D200" s="588" t="s">
        <v>1366</v>
      </c>
      <c r="E200" s="588" t="s">
        <v>1224</v>
      </c>
      <c r="F200" s="588">
        <v>9600515112</v>
      </c>
      <c r="G200" s="588" t="s">
        <v>868</v>
      </c>
      <c r="H200" s="346" t="s">
        <v>126</v>
      </c>
      <c r="I200" s="346"/>
      <c r="J200" s="589">
        <v>1680</v>
      </c>
      <c r="K200" s="347">
        <f>VLOOKUP(H200,名称!A:C,2,0)</f>
        <v>50</v>
      </c>
      <c r="L200" s="348">
        <f t="shared" si="35"/>
        <v>84000</v>
      </c>
      <c r="M200" s="568">
        <f>VLOOKUP(H200,名称!A:E,3,0)</f>
        <v>40</v>
      </c>
      <c r="N200" s="599">
        <f t="shared" si="28"/>
        <v>42</v>
      </c>
      <c r="O200" s="587">
        <v>46238</v>
      </c>
      <c r="P200" s="587">
        <f t="shared" si="34"/>
        <v>46238</v>
      </c>
      <c r="Q200" s="536">
        <v>46240</v>
      </c>
      <c r="R200" s="404" t="s">
        <v>1241</v>
      </c>
      <c r="S200" s="536">
        <v>46240</v>
      </c>
      <c r="T200" s="404" t="s">
        <v>1241</v>
      </c>
      <c r="U200" s="568"/>
      <c r="V200" s="346"/>
      <c r="W200" s="348" t="str">
        <f>IFERROR(VLOOKUP(H200,名称!A:F,6,0),"")</f>
        <v>东莞</v>
      </c>
      <c r="X200" s="568" t="s">
        <v>1133</v>
      </c>
      <c r="Y200" s="568" t="s">
        <v>1133</v>
      </c>
      <c r="Z200" s="569">
        <v>46167</v>
      </c>
      <c r="AA200" s="570">
        <v>46182</v>
      </c>
      <c r="AB200" s="570">
        <v>46182</v>
      </c>
      <c r="AC200" s="568" t="s">
        <v>1133</v>
      </c>
      <c r="AD200" s="568" t="s">
        <v>1133</v>
      </c>
      <c r="AE200" s="346" t="s">
        <v>584</v>
      </c>
      <c r="AF200" s="568" t="s">
        <v>1228</v>
      </c>
      <c r="AG200" s="568" t="s">
        <v>584</v>
      </c>
      <c r="AH200" s="568" t="s">
        <v>1133</v>
      </c>
      <c r="AI200" s="568" t="s">
        <v>1228</v>
      </c>
      <c r="AJ200" s="568" t="s">
        <v>1133</v>
      </c>
      <c r="AK200" s="568" t="s">
        <v>1356</v>
      </c>
      <c r="AL200" s="568"/>
      <c r="AM200" s="612" t="s">
        <v>1367</v>
      </c>
      <c r="AN200" s="348" t="s">
        <v>1368</v>
      </c>
      <c r="AO200" s="531">
        <v>9.15</v>
      </c>
      <c r="AP200" s="532">
        <f t="shared" si="29"/>
        <v>15372</v>
      </c>
      <c r="AQ200" s="532">
        <f t="shared" si="30"/>
        <v>119133</v>
      </c>
      <c r="AR200" s="533"/>
      <c r="AS200" s="527"/>
      <c r="AT200" s="403" t="s">
        <v>1220</v>
      </c>
      <c r="AU200" s="535"/>
      <c r="AV200" s="535">
        <f t="shared" si="31"/>
        <v>-1680</v>
      </c>
      <c r="AW200" s="605"/>
      <c r="AX200" s="536"/>
      <c r="AY200" s="527" t="s">
        <v>1255</v>
      </c>
      <c r="AZ200" s="527" t="s">
        <v>1256</v>
      </c>
      <c r="BA200" s="527"/>
      <c r="BB200" s="527" t="str">
        <f t="shared" si="32"/>
        <v>JAZWARES - COSTCO</v>
      </c>
      <c r="BC200" s="527" t="str">
        <f t="shared" si="33"/>
        <v>美国</v>
      </c>
    </row>
    <row r="201" s="496" customFormat="1" customHeight="1" spans="1:55">
      <c r="A201" s="527">
        <v>46162</v>
      </c>
      <c r="B201" s="527" t="str">
        <f ca="1" t="shared" si="27"/>
        <v/>
      </c>
      <c r="C201" s="346" t="str">
        <f>VLOOKUP(H201,名称!A:E,4,0)</f>
        <v>三代</v>
      </c>
      <c r="D201" s="588" t="s">
        <v>1366</v>
      </c>
      <c r="E201" s="588" t="s">
        <v>1224</v>
      </c>
      <c r="F201" s="588">
        <v>9600515114</v>
      </c>
      <c r="G201" s="588" t="s">
        <v>869</v>
      </c>
      <c r="H201" s="346" t="s">
        <v>126</v>
      </c>
      <c r="I201" s="346"/>
      <c r="J201" s="589">
        <v>1680</v>
      </c>
      <c r="K201" s="347">
        <f>VLOOKUP(H201,名称!A:C,2,0)</f>
        <v>50</v>
      </c>
      <c r="L201" s="348">
        <f t="shared" si="35"/>
        <v>84000</v>
      </c>
      <c r="M201" s="568">
        <f>VLOOKUP(H201,名称!A:E,3,0)</f>
        <v>40</v>
      </c>
      <c r="N201" s="599">
        <f t="shared" si="28"/>
        <v>42</v>
      </c>
      <c r="O201" s="587">
        <v>46238</v>
      </c>
      <c r="P201" s="587">
        <f t="shared" si="34"/>
        <v>46238</v>
      </c>
      <c r="Q201" s="536">
        <v>46241</v>
      </c>
      <c r="R201" s="404" t="s">
        <v>1241</v>
      </c>
      <c r="S201" s="536">
        <v>46241</v>
      </c>
      <c r="T201" s="404" t="s">
        <v>1241</v>
      </c>
      <c r="U201" s="568"/>
      <c r="V201" s="346"/>
      <c r="W201" s="348" t="str">
        <f>IFERROR(VLOOKUP(H201,名称!A:F,6,0),"")</f>
        <v>东莞</v>
      </c>
      <c r="X201" s="568" t="s">
        <v>1133</v>
      </c>
      <c r="Y201" s="568" t="s">
        <v>1133</v>
      </c>
      <c r="Z201" s="569">
        <v>46167</v>
      </c>
      <c r="AA201" s="570">
        <v>46182</v>
      </c>
      <c r="AB201" s="570">
        <v>46182</v>
      </c>
      <c r="AC201" s="568" t="s">
        <v>1133</v>
      </c>
      <c r="AD201" s="568" t="s">
        <v>1133</v>
      </c>
      <c r="AE201" s="346" t="s">
        <v>584</v>
      </c>
      <c r="AF201" s="568" t="s">
        <v>1228</v>
      </c>
      <c r="AG201" s="568" t="s">
        <v>584</v>
      </c>
      <c r="AH201" s="568" t="s">
        <v>1133</v>
      </c>
      <c r="AI201" s="568" t="s">
        <v>1228</v>
      </c>
      <c r="AJ201" s="568" t="s">
        <v>1133</v>
      </c>
      <c r="AK201" s="568" t="s">
        <v>1356</v>
      </c>
      <c r="AL201" s="568"/>
      <c r="AM201" s="612" t="s">
        <v>1367</v>
      </c>
      <c r="AN201" s="348" t="s">
        <v>1368</v>
      </c>
      <c r="AO201" s="531">
        <v>9.15</v>
      </c>
      <c r="AP201" s="532">
        <f t="shared" si="29"/>
        <v>15372</v>
      </c>
      <c r="AQ201" s="532">
        <f t="shared" si="30"/>
        <v>119133</v>
      </c>
      <c r="AR201" s="533"/>
      <c r="AS201" s="527"/>
      <c r="AT201" s="403" t="s">
        <v>1220</v>
      </c>
      <c r="AU201" s="535"/>
      <c r="AV201" s="535">
        <f t="shared" si="31"/>
        <v>-1680</v>
      </c>
      <c r="AW201" s="605"/>
      <c r="AX201" s="536"/>
      <c r="AY201" s="527" t="s">
        <v>1255</v>
      </c>
      <c r="AZ201" s="527" t="s">
        <v>1256</v>
      </c>
      <c r="BA201" s="527"/>
      <c r="BB201" s="527" t="str">
        <f t="shared" si="32"/>
        <v>JAZWARES - COSTCO</v>
      </c>
      <c r="BC201" s="527" t="str">
        <f t="shared" si="33"/>
        <v>美国</v>
      </c>
    </row>
    <row r="202" s="496" customFormat="1" customHeight="1" spans="1:55">
      <c r="A202" s="527">
        <v>46162</v>
      </c>
      <c r="B202" s="527" t="str">
        <f ca="1" t="shared" si="27"/>
        <v/>
      </c>
      <c r="C202" s="346" t="str">
        <f>VLOOKUP(H202,名称!A:E,4,0)</f>
        <v>三代</v>
      </c>
      <c r="D202" s="588" t="s">
        <v>1366</v>
      </c>
      <c r="E202" s="588" t="s">
        <v>1224</v>
      </c>
      <c r="F202" s="588">
        <v>9600515116</v>
      </c>
      <c r="G202" s="588" t="s">
        <v>870</v>
      </c>
      <c r="H202" s="346" t="s">
        <v>126</v>
      </c>
      <c r="I202" s="346"/>
      <c r="J202" s="589">
        <v>1680</v>
      </c>
      <c r="K202" s="347">
        <f>VLOOKUP(H202,名称!A:C,2,0)</f>
        <v>50</v>
      </c>
      <c r="L202" s="348">
        <f t="shared" si="35"/>
        <v>84000</v>
      </c>
      <c r="M202" s="568">
        <f>VLOOKUP(H202,名称!A:E,3,0)</f>
        <v>40</v>
      </c>
      <c r="N202" s="599">
        <f t="shared" si="28"/>
        <v>42</v>
      </c>
      <c r="O202" s="587">
        <v>46238</v>
      </c>
      <c r="P202" s="587">
        <f t="shared" si="34"/>
        <v>46238</v>
      </c>
      <c r="Q202" s="536">
        <v>46244</v>
      </c>
      <c r="R202" s="404" t="s">
        <v>1241</v>
      </c>
      <c r="S202" s="536">
        <v>46244</v>
      </c>
      <c r="T202" s="404" t="s">
        <v>1241</v>
      </c>
      <c r="U202" s="568"/>
      <c r="V202" s="346"/>
      <c r="W202" s="348" t="str">
        <f>IFERROR(VLOOKUP(H202,名称!A:F,6,0),"")</f>
        <v>东莞</v>
      </c>
      <c r="X202" s="568" t="s">
        <v>1133</v>
      </c>
      <c r="Y202" s="568" t="s">
        <v>1133</v>
      </c>
      <c r="Z202" s="569">
        <v>46167</v>
      </c>
      <c r="AA202" s="570">
        <v>46182</v>
      </c>
      <c r="AB202" s="570">
        <v>46182</v>
      </c>
      <c r="AC202" s="568" t="s">
        <v>1133</v>
      </c>
      <c r="AD202" s="568" t="s">
        <v>1133</v>
      </c>
      <c r="AE202" s="346" t="s">
        <v>584</v>
      </c>
      <c r="AF202" s="568" t="s">
        <v>1228</v>
      </c>
      <c r="AG202" s="568" t="s">
        <v>584</v>
      </c>
      <c r="AH202" s="568" t="s">
        <v>1133</v>
      </c>
      <c r="AI202" s="568" t="s">
        <v>1228</v>
      </c>
      <c r="AJ202" s="568" t="s">
        <v>1133</v>
      </c>
      <c r="AK202" s="568" t="s">
        <v>1356</v>
      </c>
      <c r="AL202" s="568"/>
      <c r="AM202" s="612" t="s">
        <v>1367</v>
      </c>
      <c r="AN202" s="348" t="s">
        <v>1368</v>
      </c>
      <c r="AO202" s="531">
        <v>9.15</v>
      </c>
      <c r="AP202" s="532">
        <f t="shared" si="29"/>
        <v>15372</v>
      </c>
      <c r="AQ202" s="532">
        <f t="shared" si="30"/>
        <v>119133</v>
      </c>
      <c r="AR202" s="533"/>
      <c r="AS202" s="527"/>
      <c r="AT202" s="403" t="s">
        <v>1220</v>
      </c>
      <c r="AU202" s="535"/>
      <c r="AV202" s="535">
        <f t="shared" si="31"/>
        <v>-1680</v>
      </c>
      <c r="AW202" s="605"/>
      <c r="AX202" s="536"/>
      <c r="AY202" s="527" t="s">
        <v>1255</v>
      </c>
      <c r="AZ202" s="527" t="s">
        <v>1256</v>
      </c>
      <c r="BA202" s="527"/>
      <c r="BB202" s="527" t="str">
        <f t="shared" si="32"/>
        <v>JAZWARES - COSTCO</v>
      </c>
      <c r="BC202" s="527" t="str">
        <f t="shared" si="33"/>
        <v>美国</v>
      </c>
    </row>
    <row r="203" s="496" customFormat="1" customHeight="1" spans="1:55">
      <c r="A203" s="527">
        <v>46162</v>
      </c>
      <c r="B203" s="527" t="str">
        <f ca="1" t="shared" si="27"/>
        <v/>
      </c>
      <c r="C203" s="346" t="str">
        <f>VLOOKUP(H203,名称!A:E,4,0)</f>
        <v>三代</v>
      </c>
      <c r="D203" s="588" t="s">
        <v>1366</v>
      </c>
      <c r="E203" s="588" t="s">
        <v>1224</v>
      </c>
      <c r="F203" s="588">
        <v>9600515117</v>
      </c>
      <c r="G203" s="588" t="s">
        <v>871</v>
      </c>
      <c r="H203" s="346" t="s">
        <v>126</v>
      </c>
      <c r="I203" s="346"/>
      <c r="J203" s="589">
        <v>1680</v>
      </c>
      <c r="K203" s="347">
        <f>VLOOKUP(H203,名称!A:C,2,0)</f>
        <v>50</v>
      </c>
      <c r="L203" s="348">
        <f t="shared" si="35"/>
        <v>84000</v>
      </c>
      <c r="M203" s="568">
        <f>VLOOKUP(H203,名称!A:E,3,0)</f>
        <v>40</v>
      </c>
      <c r="N203" s="599">
        <f t="shared" si="28"/>
        <v>42</v>
      </c>
      <c r="O203" s="587">
        <v>46238</v>
      </c>
      <c r="P203" s="587">
        <f t="shared" si="34"/>
        <v>46238</v>
      </c>
      <c r="Q203" s="536">
        <v>46245</v>
      </c>
      <c r="R203" s="404" t="s">
        <v>1291</v>
      </c>
      <c r="S203" s="536">
        <v>46245</v>
      </c>
      <c r="T203" s="404" t="s">
        <v>1241</v>
      </c>
      <c r="U203" s="568"/>
      <c r="V203" s="346"/>
      <c r="W203" s="348" t="str">
        <f>IFERROR(VLOOKUP(H203,名称!A:F,6,0),"")</f>
        <v>东莞</v>
      </c>
      <c r="X203" s="568" t="s">
        <v>1133</v>
      </c>
      <c r="Y203" s="568" t="s">
        <v>1133</v>
      </c>
      <c r="Z203" s="569">
        <v>46167</v>
      </c>
      <c r="AA203" s="570">
        <v>46182</v>
      </c>
      <c r="AB203" s="570">
        <v>46182</v>
      </c>
      <c r="AC203" s="568" t="s">
        <v>1133</v>
      </c>
      <c r="AD203" s="568" t="s">
        <v>1133</v>
      </c>
      <c r="AE203" s="346" t="s">
        <v>584</v>
      </c>
      <c r="AF203" s="568" t="s">
        <v>1228</v>
      </c>
      <c r="AG203" s="568" t="s">
        <v>584</v>
      </c>
      <c r="AH203" s="568" t="s">
        <v>1133</v>
      </c>
      <c r="AI203" s="568" t="s">
        <v>1228</v>
      </c>
      <c r="AJ203" s="568" t="s">
        <v>1133</v>
      </c>
      <c r="AK203" s="568" t="s">
        <v>1356</v>
      </c>
      <c r="AL203" s="568"/>
      <c r="AM203" s="612" t="s">
        <v>1367</v>
      </c>
      <c r="AN203" s="348" t="s">
        <v>1368</v>
      </c>
      <c r="AO203" s="531">
        <v>9.15</v>
      </c>
      <c r="AP203" s="532">
        <f t="shared" si="29"/>
        <v>15372</v>
      </c>
      <c r="AQ203" s="532">
        <f t="shared" si="30"/>
        <v>119133</v>
      </c>
      <c r="AR203" s="533"/>
      <c r="AS203" s="527"/>
      <c r="AT203" s="403" t="s">
        <v>1220</v>
      </c>
      <c r="AU203" s="535"/>
      <c r="AV203" s="535">
        <f t="shared" si="31"/>
        <v>-1680</v>
      </c>
      <c r="AW203" s="605"/>
      <c r="AX203" s="536"/>
      <c r="AY203" s="527" t="s">
        <v>1255</v>
      </c>
      <c r="AZ203" s="527" t="s">
        <v>1256</v>
      </c>
      <c r="BA203" s="527"/>
      <c r="BB203" s="527" t="str">
        <f t="shared" si="32"/>
        <v>JAZWARES - COSTCO</v>
      </c>
      <c r="BC203" s="527" t="str">
        <f t="shared" si="33"/>
        <v>美国</v>
      </c>
    </row>
    <row r="204" s="495" customFormat="1" customHeight="1" spans="1:55">
      <c r="A204" s="538">
        <v>46163</v>
      </c>
      <c r="B204" s="538" t="str">
        <f ca="1" t="shared" si="27"/>
        <v/>
      </c>
      <c r="C204" s="539" t="str">
        <f>VLOOKUP(H204,名称!A:E,4,0)</f>
        <v>三代</v>
      </c>
      <c r="D204" s="591" t="s">
        <v>1257</v>
      </c>
      <c r="E204" s="591" t="s">
        <v>1258</v>
      </c>
      <c r="F204" s="591" t="s">
        <v>879</v>
      </c>
      <c r="G204" s="591" t="s">
        <v>880</v>
      </c>
      <c r="H204" s="591" t="s">
        <v>118</v>
      </c>
      <c r="I204" s="118"/>
      <c r="J204" s="592">
        <v>5648</v>
      </c>
      <c r="K204" s="92">
        <f>VLOOKUP(H204,名称!A:C,2,0)</f>
        <v>0</v>
      </c>
      <c r="L204" s="32">
        <f t="shared" si="35"/>
        <v>0</v>
      </c>
      <c r="M204" s="541">
        <f>VLOOKUP(H204,名称!A:E,3,0)</f>
        <v>4</v>
      </c>
      <c r="N204" s="586">
        <f t="shared" si="28"/>
        <v>1412</v>
      </c>
      <c r="O204" s="590">
        <v>46275</v>
      </c>
      <c r="P204" s="590">
        <f t="shared" si="34"/>
        <v>46275</v>
      </c>
      <c r="Q204" s="549">
        <v>46274</v>
      </c>
      <c r="R204" s="539"/>
      <c r="S204" s="549">
        <v>46275</v>
      </c>
      <c r="T204" s="539"/>
      <c r="U204" s="541"/>
      <c r="V204" s="539"/>
      <c r="W204" s="518" t="str">
        <f>IFERROR(VLOOKUP(H204,名称!A:F,6,0),"")</f>
        <v>湖南</v>
      </c>
      <c r="X204" s="431" t="s">
        <v>1133</v>
      </c>
      <c r="Y204" s="431" t="s">
        <v>1133</v>
      </c>
      <c r="Z204" s="567">
        <v>46225</v>
      </c>
      <c r="AA204" s="552">
        <v>46233</v>
      </c>
      <c r="AB204" s="567">
        <v>46234</v>
      </c>
      <c r="AC204" s="541" t="s">
        <v>1133</v>
      </c>
      <c r="AD204" s="541" t="s">
        <v>1133</v>
      </c>
      <c r="AE204" s="613" t="s">
        <v>334</v>
      </c>
      <c r="AF204" s="541" t="s">
        <v>1233</v>
      </c>
      <c r="AG204" s="614" t="s">
        <v>334</v>
      </c>
      <c r="AH204" s="614" t="s">
        <v>334</v>
      </c>
      <c r="AI204" s="541" t="s">
        <v>1233</v>
      </c>
      <c r="AJ204" s="431"/>
      <c r="AK204" s="431" t="s">
        <v>1133</v>
      </c>
      <c r="AL204" s="541" t="s">
        <v>1233</v>
      </c>
      <c r="AM204" s="541" t="s">
        <v>1370</v>
      </c>
      <c r="AN204" s="591" t="s">
        <v>1371</v>
      </c>
      <c r="AO204" s="544">
        <v>0</v>
      </c>
      <c r="AP204" s="545">
        <f t="shared" si="29"/>
        <v>0</v>
      </c>
      <c r="AQ204" s="545">
        <f t="shared" si="30"/>
        <v>0</v>
      </c>
      <c r="AR204" s="546"/>
      <c r="AS204" s="538"/>
      <c r="AT204" s="455" t="s">
        <v>1313</v>
      </c>
      <c r="AU204" s="548"/>
      <c r="AV204" s="548">
        <f t="shared" si="31"/>
        <v>-5648</v>
      </c>
      <c r="AW204" s="606"/>
      <c r="AX204" s="549"/>
      <c r="AY204" s="538" t="s">
        <v>1262</v>
      </c>
      <c r="AZ204" s="538" t="s">
        <v>1372</v>
      </c>
      <c r="BA204" s="538"/>
      <c r="BB204" s="538" t="str">
        <f t="shared" si="32"/>
        <v>Character Options</v>
      </c>
      <c r="BC204" s="538" t="str">
        <f t="shared" si="33"/>
        <v>英国</v>
      </c>
    </row>
    <row r="205" s="496" customFormat="1" customHeight="1" spans="1:55">
      <c r="A205" s="527">
        <v>46163</v>
      </c>
      <c r="B205" s="527" t="str">
        <f ca="1" t="shared" si="27"/>
        <v/>
      </c>
      <c r="C205" s="346" t="str">
        <f>VLOOKUP(H205,名称!A:E,4,0)</f>
        <v>三代</v>
      </c>
      <c r="D205" s="528" t="s">
        <v>1352</v>
      </c>
      <c r="E205" s="528" t="s">
        <v>1224</v>
      </c>
      <c r="F205" s="346" t="s">
        <v>839</v>
      </c>
      <c r="G205" s="346" t="s">
        <v>839</v>
      </c>
      <c r="H205" s="588" t="s">
        <v>89</v>
      </c>
      <c r="I205" s="346"/>
      <c r="J205" s="589">
        <v>50</v>
      </c>
      <c r="K205" s="347">
        <f>VLOOKUP(H205,名称!A:C,2,0)</f>
        <v>12</v>
      </c>
      <c r="L205" s="348">
        <f t="shared" si="35"/>
        <v>600</v>
      </c>
      <c r="M205" s="568">
        <f>VLOOKUP(H205,名称!A:E,3,0)</f>
        <v>6</v>
      </c>
      <c r="N205" s="599">
        <f t="shared" si="28"/>
        <v>8.33333333333333</v>
      </c>
      <c r="O205" s="587">
        <v>46183</v>
      </c>
      <c r="P205" s="587">
        <v>46183</v>
      </c>
      <c r="Q205" s="536" t="s">
        <v>1133</v>
      </c>
      <c r="R205" s="346"/>
      <c r="S205" s="536" t="s">
        <v>1133</v>
      </c>
      <c r="T205" s="346"/>
      <c r="U205" s="568"/>
      <c r="V205" s="346"/>
      <c r="W205" s="348" t="str">
        <f>IFERROR(VLOOKUP(H205,名称!A:F,6,0),"")</f>
        <v>东莞</v>
      </c>
      <c r="X205" s="568" t="s">
        <v>1133</v>
      </c>
      <c r="Y205" s="415" t="s">
        <v>1133</v>
      </c>
      <c r="Z205" s="568" t="s">
        <v>1133</v>
      </c>
      <c r="AA205" s="570" t="s">
        <v>1133</v>
      </c>
      <c r="AB205" s="568" t="s">
        <v>1133</v>
      </c>
      <c r="AC205" s="568" t="s">
        <v>1133</v>
      </c>
      <c r="AD205" s="568" t="s">
        <v>1133</v>
      </c>
      <c r="AE205" s="588" t="s">
        <v>510</v>
      </c>
      <c r="AF205" s="568" t="s">
        <v>1228</v>
      </c>
      <c r="AG205" s="568" t="s">
        <v>510</v>
      </c>
      <c r="AH205" s="568" t="s">
        <v>1307</v>
      </c>
      <c r="AI205" s="568" t="s">
        <v>1228</v>
      </c>
      <c r="AJ205" s="568" t="s">
        <v>510</v>
      </c>
      <c r="AK205" s="568" t="s">
        <v>1133</v>
      </c>
      <c r="AL205" s="568"/>
      <c r="AM205" s="568" t="s">
        <v>1133</v>
      </c>
      <c r="AN205" s="588"/>
      <c r="AO205" s="531">
        <v>0</v>
      </c>
      <c r="AP205" s="532">
        <f t="shared" si="29"/>
        <v>0</v>
      </c>
      <c r="AQ205" s="532">
        <f t="shared" si="30"/>
        <v>0</v>
      </c>
      <c r="AR205" s="533"/>
      <c r="AS205" s="527"/>
      <c r="AT205" s="527" t="s">
        <v>839</v>
      </c>
      <c r="AU205" s="535"/>
      <c r="AV205" s="535">
        <f t="shared" si="31"/>
        <v>-50</v>
      </c>
      <c r="AW205" s="605"/>
      <c r="AX205" s="536"/>
      <c r="AY205" s="527"/>
      <c r="AZ205" s="527" t="s">
        <v>1256</v>
      </c>
      <c r="BA205" s="527"/>
      <c r="BB205" s="527" t="str">
        <f t="shared" si="32"/>
        <v>Sky Castle Toys, LLC</v>
      </c>
      <c r="BC205" s="527" t="str">
        <f t="shared" si="33"/>
        <v>美国</v>
      </c>
    </row>
    <row r="206" s="495" customFormat="1" customHeight="1" spans="1:55">
      <c r="A206" s="538">
        <v>46169</v>
      </c>
      <c r="B206" s="538" t="str">
        <f ca="1" t="shared" si="27"/>
        <v/>
      </c>
      <c r="C206" s="539" t="str">
        <f>VLOOKUP(H206,名称!A:E,4,0)</f>
        <v>三代</v>
      </c>
      <c r="D206" s="591" t="s">
        <v>1324</v>
      </c>
      <c r="E206" s="591" t="s">
        <v>1325</v>
      </c>
      <c r="F206" s="591" t="s">
        <v>891</v>
      </c>
      <c r="G206" s="591" t="s">
        <v>892</v>
      </c>
      <c r="H206" s="591" t="s">
        <v>197</v>
      </c>
      <c r="I206" s="118"/>
      <c r="J206" s="592">
        <v>23976</v>
      </c>
      <c r="K206" s="92">
        <f>VLOOKUP(H206,名称!A:C,2,0)</f>
        <v>0</v>
      </c>
      <c r="L206" s="32">
        <f t="shared" si="35"/>
        <v>0</v>
      </c>
      <c r="M206" s="541">
        <f>VLOOKUP(H206,名称!A:E,3,0)</f>
        <v>72</v>
      </c>
      <c r="N206" s="586">
        <f t="shared" si="28"/>
        <v>333</v>
      </c>
      <c r="O206" s="590">
        <v>46266</v>
      </c>
      <c r="P206" s="590">
        <f>O206</f>
        <v>46266</v>
      </c>
      <c r="Q206" s="549">
        <v>46265</v>
      </c>
      <c r="R206" s="539"/>
      <c r="S206" s="549">
        <v>46266</v>
      </c>
      <c r="T206" s="539"/>
      <c r="U206" s="541"/>
      <c r="V206" s="539"/>
      <c r="W206" s="518" t="str">
        <f>IFERROR(VLOOKUP(H206,名称!A:F,6,0),"")</f>
        <v>湖南</v>
      </c>
      <c r="X206" s="541" t="s">
        <v>1133</v>
      </c>
      <c r="Y206" s="541" t="s">
        <v>1133</v>
      </c>
      <c r="Z206" s="567">
        <v>46223</v>
      </c>
      <c r="AA206" s="552">
        <v>46241</v>
      </c>
      <c r="AB206" s="567">
        <v>46241</v>
      </c>
      <c r="AC206" s="541" t="s">
        <v>1133</v>
      </c>
      <c r="AD206" s="541" t="s">
        <v>1133</v>
      </c>
      <c r="AE206" s="591" t="s">
        <v>253</v>
      </c>
      <c r="AF206" s="431" t="s">
        <v>1228</v>
      </c>
      <c r="AG206" s="541" t="s">
        <v>253</v>
      </c>
      <c r="AH206" s="541" t="s">
        <v>1133</v>
      </c>
      <c r="AI206" s="431" t="s">
        <v>1228</v>
      </c>
      <c r="AJ206" s="541" t="s">
        <v>1133</v>
      </c>
      <c r="AK206" s="541" t="s">
        <v>253</v>
      </c>
      <c r="AL206" s="541"/>
      <c r="AM206" s="431" t="s">
        <v>1293</v>
      </c>
      <c r="AN206" s="431" t="s">
        <v>1373</v>
      </c>
      <c r="AO206" s="544">
        <v>0.7</v>
      </c>
      <c r="AP206" s="545">
        <f t="shared" si="29"/>
        <v>16783.2</v>
      </c>
      <c r="AQ206" s="545">
        <f t="shared" si="30"/>
        <v>130069.8</v>
      </c>
      <c r="AR206" s="546"/>
      <c r="AS206" s="538"/>
      <c r="AT206" s="538" t="s">
        <v>1310</v>
      </c>
      <c r="AU206" s="548"/>
      <c r="AV206" s="548">
        <f t="shared" si="31"/>
        <v>-23976</v>
      </c>
      <c r="AW206" s="606"/>
      <c r="AX206" s="549"/>
      <c r="AY206" s="538" t="s">
        <v>1255</v>
      </c>
      <c r="AZ206" s="538" t="s">
        <v>1256</v>
      </c>
      <c r="BA206" s="538"/>
      <c r="BB206" s="538" t="str">
        <f t="shared" si="32"/>
        <v>JAZWARES - INTL (WALMART CA FOB)</v>
      </c>
      <c r="BC206" s="538" t="str">
        <f t="shared" si="33"/>
        <v>加拿大</v>
      </c>
    </row>
    <row r="207" s="496" customFormat="1" customHeight="1" spans="1:55">
      <c r="A207" s="527">
        <v>46169</v>
      </c>
      <c r="B207" s="527" t="str">
        <f ca="1" t="shared" si="27"/>
        <v/>
      </c>
      <c r="C207" s="346" t="str">
        <f>VLOOKUP(H207,名称!A:E,4,0)</f>
        <v>三代</v>
      </c>
      <c r="D207" s="588"/>
      <c r="E207" s="588"/>
      <c r="F207" s="346" t="s">
        <v>839</v>
      </c>
      <c r="G207" s="346" t="s">
        <v>839</v>
      </c>
      <c r="H207" s="588" t="s">
        <v>182</v>
      </c>
      <c r="I207" s="346"/>
      <c r="J207" s="589">
        <v>768</v>
      </c>
      <c r="K207" s="347">
        <f>VLOOKUP(H207,名称!A:C,2,0)</f>
        <v>5</v>
      </c>
      <c r="L207" s="348">
        <f t="shared" si="35"/>
        <v>3840</v>
      </c>
      <c r="M207" s="568">
        <f>VLOOKUP(H207,名称!A:E,3,0)</f>
        <v>192</v>
      </c>
      <c r="N207" s="599">
        <f t="shared" si="28"/>
        <v>4</v>
      </c>
      <c r="O207" s="587">
        <v>46174</v>
      </c>
      <c r="P207" s="587">
        <v>46174</v>
      </c>
      <c r="Q207" s="536" t="s">
        <v>1133</v>
      </c>
      <c r="R207" s="346"/>
      <c r="S207" s="536" t="s">
        <v>1133</v>
      </c>
      <c r="T207" s="346"/>
      <c r="U207" s="568"/>
      <c r="V207" s="346"/>
      <c r="W207" s="348" t="str">
        <f>IFERROR(VLOOKUP(H207,名称!A:F,6,0),"")</f>
        <v>湖南</v>
      </c>
      <c r="X207" s="568" t="s">
        <v>1133</v>
      </c>
      <c r="Y207" s="568" t="s">
        <v>1133</v>
      </c>
      <c r="Z207" s="568" t="s">
        <v>1133</v>
      </c>
      <c r="AA207" s="568" t="s">
        <v>1133</v>
      </c>
      <c r="AB207" s="568" t="s">
        <v>1133</v>
      </c>
      <c r="AC207" s="568" t="s">
        <v>1133</v>
      </c>
      <c r="AD207" s="568" t="s">
        <v>1133</v>
      </c>
      <c r="AE207" s="588" t="s">
        <v>510</v>
      </c>
      <c r="AF207" s="568" t="s">
        <v>1228</v>
      </c>
      <c r="AG207" s="568" t="s">
        <v>510</v>
      </c>
      <c r="AH207" s="568" t="s">
        <v>1133</v>
      </c>
      <c r="AI207" s="568" t="s">
        <v>1133</v>
      </c>
      <c r="AJ207" s="568" t="s">
        <v>1133</v>
      </c>
      <c r="AK207" s="568" t="s">
        <v>510</v>
      </c>
      <c r="AL207" s="568"/>
      <c r="AM207" s="568"/>
      <c r="AN207" s="568"/>
      <c r="AO207" s="531">
        <v>0</v>
      </c>
      <c r="AP207" s="532">
        <f t="shared" si="29"/>
        <v>0</v>
      </c>
      <c r="AQ207" s="532">
        <f t="shared" si="30"/>
        <v>0</v>
      </c>
      <c r="AR207" s="533"/>
      <c r="AS207" s="527"/>
      <c r="AT207" s="527" t="s">
        <v>839</v>
      </c>
      <c r="AU207" s="535"/>
      <c r="AV207" s="535">
        <f t="shared" si="31"/>
        <v>-768</v>
      </c>
      <c r="AW207" s="605"/>
      <c r="AX207" s="536"/>
      <c r="AY207" s="527"/>
      <c r="AZ207" s="527" t="s">
        <v>1256</v>
      </c>
      <c r="BA207" s="527"/>
      <c r="BB207" s="527">
        <f t="shared" si="32"/>
        <v>0</v>
      </c>
      <c r="BC207" s="527">
        <f t="shared" si="33"/>
        <v>0</v>
      </c>
    </row>
    <row r="208" s="496" customFormat="1" customHeight="1" spans="1:55">
      <c r="A208" s="527">
        <v>46169</v>
      </c>
      <c r="B208" s="527" t="str">
        <f ca="1" t="shared" si="27"/>
        <v/>
      </c>
      <c r="C208" s="346" t="str">
        <f>VLOOKUP(H208,名称!A:E,4,0)</f>
        <v>三代</v>
      </c>
      <c r="D208" s="588"/>
      <c r="E208" s="588"/>
      <c r="F208" s="346" t="s">
        <v>839</v>
      </c>
      <c r="G208" s="346" t="s">
        <v>839</v>
      </c>
      <c r="H208" s="588" t="s">
        <v>181</v>
      </c>
      <c r="I208" s="346"/>
      <c r="J208" s="589">
        <v>200</v>
      </c>
      <c r="K208" s="347">
        <f>VLOOKUP(H208,名称!A:C,2,0)</f>
        <v>5</v>
      </c>
      <c r="L208" s="348">
        <f t="shared" si="35"/>
        <v>1000</v>
      </c>
      <c r="M208" s="568">
        <f>VLOOKUP(H208,名称!A:E,3,0)</f>
        <v>100</v>
      </c>
      <c r="N208" s="599">
        <f t="shared" si="28"/>
        <v>2</v>
      </c>
      <c r="O208" s="587">
        <v>46174</v>
      </c>
      <c r="P208" s="587">
        <v>46174</v>
      </c>
      <c r="Q208" s="536" t="s">
        <v>1133</v>
      </c>
      <c r="R208" s="346"/>
      <c r="S208" s="536" t="s">
        <v>1133</v>
      </c>
      <c r="T208" s="346"/>
      <c r="U208" s="568"/>
      <c r="V208" s="346"/>
      <c r="W208" s="348" t="str">
        <f>IFERROR(VLOOKUP(H208,名称!A:F,6,0),"")</f>
        <v>湖南</v>
      </c>
      <c r="X208" s="568" t="s">
        <v>1133</v>
      </c>
      <c r="Y208" s="568" t="s">
        <v>1133</v>
      </c>
      <c r="Z208" s="568" t="s">
        <v>1133</v>
      </c>
      <c r="AA208" s="568" t="s">
        <v>1133</v>
      </c>
      <c r="AB208" s="568" t="s">
        <v>1133</v>
      </c>
      <c r="AC208" s="568" t="s">
        <v>1133</v>
      </c>
      <c r="AD208" s="568" t="s">
        <v>1133</v>
      </c>
      <c r="AE208" s="588" t="s">
        <v>510</v>
      </c>
      <c r="AF208" s="568" t="s">
        <v>1228</v>
      </c>
      <c r="AG208" s="568" t="s">
        <v>510</v>
      </c>
      <c r="AH208" s="568" t="s">
        <v>1133</v>
      </c>
      <c r="AI208" s="568" t="s">
        <v>1133</v>
      </c>
      <c r="AJ208" s="568" t="s">
        <v>1133</v>
      </c>
      <c r="AK208" s="568" t="s">
        <v>510</v>
      </c>
      <c r="AL208" s="568"/>
      <c r="AM208" s="611"/>
      <c r="AN208" s="568" t="s">
        <v>1349</v>
      </c>
      <c r="AO208" s="531">
        <v>0</v>
      </c>
      <c r="AP208" s="532">
        <f t="shared" si="29"/>
        <v>0</v>
      </c>
      <c r="AQ208" s="532">
        <f t="shared" si="30"/>
        <v>0</v>
      </c>
      <c r="AR208" s="533"/>
      <c r="AS208" s="527"/>
      <c r="AT208" s="527" t="s">
        <v>839</v>
      </c>
      <c r="AU208" s="535"/>
      <c r="AV208" s="535">
        <f t="shared" si="31"/>
        <v>-200</v>
      </c>
      <c r="AW208" s="605"/>
      <c r="AX208" s="536"/>
      <c r="AY208" s="527"/>
      <c r="AZ208" s="527" t="s">
        <v>1256</v>
      </c>
      <c r="BA208" s="527"/>
      <c r="BB208" s="527">
        <f t="shared" si="32"/>
        <v>0</v>
      </c>
      <c r="BC208" s="527">
        <f t="shared" si="33"/>
        <v>0</v>
      </c>
    </row>
    <row r="209" s="495" customFormat="1" customHeight="1" spans="1:55">
      <c r="A209" s="538">
        <v>46170</v>
      </c>
      <c r="B209" s="538" t="str">
        <f ca="1" t="shared" si="27"/>
        <v>异常</v>
      </c>
      <c r="C209" s="539" t="str">
        <f>VLOOKUP(H209,名称!A:E,4,0)</f>
        <v>三代</v>
      </c>
      <c r="D209" s="591" t="s">
        <v>1374</v>
      </c>
      <c r="E209" s="591" t="s">
        <v>1224</v>
      </c>
      <c r="F209" s="591" t="s">
        <v>897</v>
      </c>
      <c r="G209" s="591" t="s">
        <v>898</v>
      </c>
      <c r="H209" s="591" t="s">
        <v>110</v>
      </c>
      <c r="I209" s="118"/>
      <c r="J209" s="592">
        <v>45600</v>
      </c>
      <c r="K209" s="92">
        <f>VLOOKUP(H209,名称!A:C,2,0)</f>
        <v>0</v>
      </c>
      <c r="L209" s="32">
        <f t="shared" si="35"/>
        <v>0</v>
      </c>
      <c r="M209" s="541">
        <f>VLOOKUP(H209,名称!A:E,3,0)</f>
        <v>24</v>
      </c>
      <c r="N209" s="586">
        <f t="shared" si="28"/>
        <v>1900</v>
      </c>
      <c r="O209" s="590">
        <v>46315</v>
      </c>
      <c r="P209" s="590">
        <f>O209</f>
        <v>46315</v>
      </c>
      <c r="Q209" s="549">
        <v>46314</v>
      </c>
      <c r="R209" s="539"/>
      <c r="S209" s="549">
        <v>46315</v>
      </c>
      <c r="T209" s="539"/>
      <c r="U209" s="541"/>
      <c r="V209" s="539" t="s">
        <v>1375</v>
      </c>
      <c r="W209" s="518" t="str">
        <f>IFERROR(VLOOKUP(H209,名称!A:F,6,0),"")</f>
        <v>东莞</v>
      </c>
      <c r="X209" s="541" t="s">
        <v>1133</v>
      </c>
      <c r="Y209" s="541" t="s">
        <v>1133</v>
      </c>
      <c r="Z209" s="541" t="s">
        <v>1233</v>
      </c>
      <c r="AA209" s="552"/>
      <c r="AB209" s="541"/>
      <c r="AC209" s="541" t="s">
        <v>1133</v>
      </c>
      <c r="AD209" s="541" t="s">
        <v>1133</v>
      </c>
      <c r="AE209" s="591" t="s">
        <v>270</v>
      </c>
      <c r="AF209" s="541" t="s">
        <v>1228</v>
      </c>
      <c r="AG209" s="541" t="s">
        <v>270</v>
      </c>
      <c r="AH209" s="541" t="s">
        <v>1133</v>
      </c>
      <c r="AI209" s="541" t="s">
        <v>1228</v>
      </c>
      <c r="AJ209" s="541" t="s">
        <v>1133</v>
      </c>
      <c r="AK209" s="541" t="s">
        <v>270</v>
      </c>
      <c r="AL209" s="541"/>
      <c r="AM209" s="615"/>
      <c r="AN209" s="591"/>
      <c r="AO209" s="544">
        <v>0.59</v>
      </c>
      <c r="AP209" s="545">
        <f t="shared" si="29"/>
        <v>26904</v>
      </c>
      <c r="AQ209" s="545">
        <f t="shared" si="30"/>
        <v>208506</v>
      </c>
      <c r="AR209" s="546"/>
      <c r="AS209" s="538"/>
      <c r="AT209" s="538" t="s">
        <v>1220</v>
      </c>
      <c r="AU209" s="548"/>
      <c r="AV209" s="548">
        <f t="shared" si="31"/>
        <v>-45600</v>
      </c>
      <c r="AW209" s="606"/>
      <c r="AX209" s="549"/>
      <c r="AY209" s="538" t="s">
        <v>1255</v>
      </c>
      <c r="AZ209" s="538" t="s">
        <v>1256</v>
      </c>
      <c r="BA209" s="538"/>
      <c r="BB209" s="538" t="str">
        <f t="shared" si="32"/>
        <v>Jazwares- TARGET US FOB</v>
      </c>
      <c r="BC209" s="538" t="str">
        <f t="shared" si="33"/>
        <v>美国</v>
      </c>
    </row>
    <row r="210" s="496" customFormat="1" customHeight="1" spans="1:55">
      <c r="A210" s="527">
        <v>46174</v>
      </c>
      <c r="B210" s="527" t="str">
        <f ca="1" t="shared" si="27"/>
        <v/>
      </c>
      <c r="C210" s="346" t="str">
        <f>VLOOKUP(H210,名称!A:E,4,0)</f>
        <v>三代</v>
      </c>
      <c r="D210" s="588" t="s">
        <v>1322</v>
      </c>
      <c r="E210" s="588" t="s">
        <v>1224</v>
      </c>
      <c r="F210" s="588" t="s">
        <v>900</v>
      </c>
      <c r="G210" s="588" t="s">
        <v>901</v>
      </c>
      <c r="H210" s="588" t="s">
        <v>96</v>
      </c>
      <c r="I210" s="346"/>
      <c r="J210" s="589">
        <v>360</v>
      </c>
      <c r="K210" s="347">
        <f>VLOOKUP(H210,名称!A:C,2,0)</f>
        <v>5</v>
      </c>
      <c r="L210" s="348">
        <f t="shared" si="35"/>
        <v>1800</v>
      </c>
      <c r="M210" s="568">
        <f>VLOOKUP(H210,名称!A:E,3,0)</f>
        <v>12</v>
      </c>
      <c r="N210" s="599">
        <f t="shared" si="28"/>
        <v>30</v>
      </c>
      <c r="O210" s="587">
        <v>46226</v>
      </c>
      <c r="P210" s="587">
        <f>O210</f>
        <v>46226</v>
      </c>
      <c r="Q210" s="536">
        <v>46225</v>
      </c>
      <c r="R210" s="404" t="s">
        <v>1241</v>
      </c>
      <c r="S210" s="536">
        <v>46225</v>
      </c>
      <c r="T210" s="404" t="s">
        <v>1282</v>
      </c>
      <c r="U210" s="568"/>
      <c r="V210" s="404" t="s">
        <v>1376</v>
      </c>
      <c r="W210" s="348" t="str">
        <f>IFERROR(VLOOKUP(H210,名称!A:F,6,0),"")</f>
        <v>湖南</v>
      </c>
      <c r="X210" s="568" t="s">
        <v>1133</v>
      </c>
      <c r="Y210" s="568" t="s">
        <v>1133</v>
      </c>
      <c r="Z210" s="569">
        <v>46185</v>
      </c>
      <c r="AA210" s="570">
        <v>46189</v>
      </c>
      <c r="AB210" s="569">
        <v>46189</v>
      </c>
      <c r="AC210" s="568" t="s">
        <v>1133</v>
      </c>
      <c r="AD210" s="568" t="s">
        <v>1133</v>
      </c>
      <c r="AE210" s="588" t="s">
        <v>270</v>
      </c>
      <c r="AF210" s="568" t="s">
        <v>1228</v>
      </c>
      <c r="AG210" s="568" t="s">
        <v>270</v>
      </c>
      <c r="AH210" s="568" t="s">
        <v>1133</v>
      </c>
      <c r="AI210" s="568" t="s">
        <v>1228</v>
      </c>
      <c r="AJ210" s="568" t="s">
        <v>1133</v>
      </c>
      <c r="AK210" s="568" t="s">
        <v>270</v>
      </c>
      <c r="AL210" s="568"/>
      <c r="AM210" s="611" t="s">
        <v>1377</v>
      </c>
      <c r="AN210" s="588"/>
      <c r="AO210" s="531">
        <v>0.59</v>
      </c>
      <c r="AP210" s="532">
        <f t="shared" si="29"/>
        <v>212.4</v>
      </c>
      <c r="AQ210" s="532">
        <f t="shared" si="30"/>
        <v>1646.1</v>
      </c>
      <c r="AR210" s="533"/>
      <c r="AS210" s="527"/>
      <c r="AT210" s="527" t="s">
        <v>1220</v>
      </c>
      <c r="AU210" s="535">
        <f>348+12</f>
        <v>360</v>
      </c>
      <c r="AV210" s="535">
        <f t="shared" si="31"/>
        <v>0</v>
      </c>
      <c r="AW210" s="605"/>
      <c r="AX210" s="413" t="s">
        <v>1280</v>
      </c>
      <c r="AY210" s="527" t="s">
        <v>1255</v>
      </c>
      <c r="AZ210" s="527" t="s">
        <v>1256</v>
      </c>
      <c r="BA210" s="527"/>
      <c r="BB210" s="527" t="str">
        <f t="shared" si="32"/>
        <v>JAZWARES - HOT Topic/Box Lunch</v>
      </c>
      <c r="BC210" s="527" t="str">
        <f t="shared" si="33"/>
        <v>美国</v>
      </c>
    </row>
    <row r="211" s="496" customFormat="1" customHeight="1" spans="1:55">
      <c r="A211" s="527">
        <v>46174</v>
      </c>
      <c r="B211" s="527" t="str">
        <f ca="1" t="shared" si="27"/>
        <v/>
      </c>
      <c r="C211" s="346" t="str">
        <f>VLOOKUP(H211,名称!A:E,4,0)</f>
        <v>三代</v>
      </c>
      <c r="D211" s="588" t="s">
        <v>1322</v>
      </c>
      <c r="E211" s="588" t="s">
        <v>1224</v>
      </c>
      <c r="F211" s="588" t="s">
        <v>902</v>
      </c>
      <c r="G211" s="588" t="s">
        <v>903</v>
      </c>
      <c r="H211" s="588" t="s">
        <v>96</v>
      </c>
      <c r="I211" s="346"/>
      <c r="J211" s="589">
        <v>240</v>
      </c>
      <c r="K211" s="347">
        <f>VLOOKUP(H211,名称!A:C,2,0)</f>
        <v>5</v>
      </c>
      <c r="L211" s="348">
        <f t="shared" si="35"/>
        <v>1200</v>
      </c>
      <c r="M211" s="568">
        <f>VLOOKUP(H211,名称!A:E,3,0)</f>
        <v>12</v>
      </c>
      <c r="N211" s="599">
        <f t="shared" si="28"/>
        <v>20</v>
      </c>
      <c r="O211" s="587">
        <v>46226</v>
      </c>
      <c r="P211" s="587">
        <f>O211</f>
        <v>46226</v>
      </c>
      <c r="Q211" s="536">
        <v>46225</v>
      </c>
      <c r="R211" s="404" t="s">
        <v>1241</v>
      </c>
      <c r="S211" s="536">
        <v>46225</v>
      </c>
      <c r="T211" s="404" t="s">
        <v>1282</v>
      </c>
      <c r="U211" s="568"/>
      <c r="V211" s="404" t="s">
        <v>1278</v>
      </c>
      <c r="W211" s="348" t="str">
        <f>IFERROR(VLOOKUP(H211,名称!A:F,6,0),"")</f>
        <v>湖南</v>
      </c>
      <c r="X211" s="568" t="s">
        <v>1133</v>
      </c>
      <c r="Y211" s="568" t="s">
        <v>1133</v>
      </c>
      <c r="Z211" s="569">
        <v>46185</v>
      </c>
      <c r="AA211" s="570">
        <v>46189</v>
      </c>
      <c r="AB211" s="569">
        <v>46189</v>
      </c>
      <c r="AC211" s="568" t="s">
        <v>1133</v>
      </c>
      <c r="AD211" s="568" t="s">
        <v>1133</v>
      </c>
      <c r="AE211" s="588" t="s">
        <v>270</v>
      </c>
      <c r="AF211" s="568" t="s">
        <v>1228</v>
      </c>
      <c r="AG211" s="568" t="s">
        <v>270</v>
      </c>
      <c r="AH211" s="568" t="s">
        <v>1133</v>
      </c>
      <c r="AI211" s="568" t="s">
        <v>1228</v>
      </c>
      <c r="AJ211" s="568" t="s">
        <v>1133</v>
      </c>
      <c r="AK211" s="568" t="s">
        <v>270</v>
      </c>
      <c r="AL211" s="568"/>
      <c r="AM211" s="611" t="s">
        <v>1377</v>
      </c>
      <c r="AN211" s="588"/>
      <c r="AO211" s="531">
        <v>0.59</v>
      </c>
      <c r="AP211" s="532">
        <f t="shared" si="29"/>
        <v>141.6</v>
      </c>
      <c r="AQ211" s="532">
        <f t="shared" si="30"/>
        <v>1097.4</v>
      </c>
      <c r="AR211" s="533"/>
      <c r="AS211" s="527"/>
      <c r="AT211" s="527" t="s">
        <v>1220</v>
      </c>
      <c r="AU211" s="535">
        <f>228+12</f>
        <v>240</v>
      </c>
      <c r="AV211" s="535">
        <f t="shared" si="31"/>
        <v>0</v>
      </c>
      <c r="AW211" s="605"/>
      <c r="AX211" s="413" t="s">
        <v>1280</v>
      </c>
      <c r="AY211" s="527" t="s">
        <v>1255</v>
      </c>
      <c r="AZ211" s="527" t="s">
        <v>1256</v>
      </c>
      <c r="BA211" s="527"/>
      <c r="BB211" s="527" t="str">
        <f t="shared" si="32"/>
        <v>JAZWARES - HOT Topic/Box Lunch</v>
      </c>
      <c r="BC211" s="527" t="str">
        <f t="shared" si="33"/>
        <v>美国</v>
      </c>
    </row>
    <row r="212" s="497" customFormat="1" customHeight="1" spans="1:55">
      <c r="A212" s="553">
        <v>46174</v>
      </c>
      <c r="B212" s="553" t="str">
        <f ca="1" t="shared" si="27"/>
        <v/>
      </c>
      <c r="C212" s="554" t="str">
        <f>VLOOKUP(H212,名称!A:E,4,0)</f>
        <v>三代</v>
      </c>
      <c r="D212" s="436" t="s">
        <v>1378</v>
      </c>
      <c r="E212" s="595" t="s">
        <v>1224</v>
      </c>
      <c r="F212" s="595">
        <v>4500057174</v>
      </c>
      <c r="G212" s="436" t="s">
        <v>899</v>
      </c>
      <c r="H212" s="595" t="s">
        <v>198</v>
      </c>
      <c r="I212" s="554"/>
      <c r="J212" s="596">
        <v>12000</v>
      </c>
      <c r="K212" s="92">
        <f>VLOOKUP(H212,名称!A:C,2,0)</f>
        <v>0</v>
      </c>
      <c r="L212" s="32">
        <f t="shared" si="35"/>
        <v>0</v>
      </c>
      <c r="M212" s="557">
        <f>VLOOKUP(H212,名称!A:E,3,0)</f>
        <v>12</v>
      </c>
      <c r="N212" s="616">
        <f t="shared" si="28"/>
        <v>1000</v>
      </c>
      <c r="O212" s="597">
        <v>46234</v>
      </c>
      <c r="P212" s="597">
        <f>O212</f>
        <v>46234</v>
      </c>
      <c r="Q212" s="578">
        <v>46247</v>
      </c>
      <c r="R212" s="435" t="s">
        <v>1241</v>
      </c>
      <c r="S212" s="578">
        <v>46248</v>
      </c>
      <c r="T212" s="435" t="s">
        <v>1291</v>
      </c>
      <c r="U212" s="444" t="s">
        <v>1379</v>
      </c>
      <c r="V212" s="435" t="s">
        <v>1380</v>
      </c>
      <c r="W212" s="556" t="str">
        <f>IFERROR(VLOOKUP(H212,名称!A:F,6,0),"")</f>
        <v>湖南</v>
      </c>
      <c r="X212" s="557" t="s">
        <v>1133</v>
      </c>
      <c r="Y212" s="557" t="s">
        <v>1133</v>
      </c>
      <c r="Z212" s="580">
        <v>46198</v>
      </c>
      <c r="AA212" s="581">
        <v>46198</v>
      </c>
      <c r="AB212" s="580">
        <v>46203</v>
      </c>
      <c r="AC212" s="557" t="s">
        <v>1133</v>
      </c>
      <c r="AD212" s="541" t="s">
        <v>1133</v>
      </c>
      <c r="AE212" s="595" t="s">
        <v>270</v>
      </c>
      <c r="AF212" s="541" t="s">
        <v>1228</v>
      </c>
      <c r="AG212" s="444" t="s">
        <v>1381</v>
      </c>
      <c r="AH212" s="541" t="s">
        <v>1133</v>
      </c>
      <c r="AI212" s="541" t="s">
        <v>1228</v>
      </c>
      <c r="AJ212" s="541" t="s">
        <v>1133</v>
      </c>
      <c r="AK212" s="557" t="s">
        <v>270</v>
      </c>
      <c r="AL212" s="557"/>
      <c r="AM212" s="444" t="s">
        <v>1292</v>
      </c>
      <c r="AN212" s="595"/>
      <c r="AO212" s="560">
        <v>0.61</v>
      </c>
      <c r="AP212" s="561">
        <f t="shared" si="29"/>
        <v>7320</v>
      </c>
      <c r="AQ212" s="561">
        <f t="shared" si="30"/>
        <v>56730</v>
      </c>
      <c r="AR212" s="562"/>
      <c r="AS212" s="553"/>
      <c r="AT212" s="553" t="s">
        <v>1313</v>
      </c>
      <c r="AU212" s="564"/>
      <c r="AV212" s="564">
        <f t="shared" si="31"/>
        <v>-12000</v>
      </c>
      <c r="AW212" s="617"/>
      <c r="AX212" s="578"/>
      <c r="AY212" s="553" t="s">
        <v>1255</v>
      </c>
      <c r="AZ212" s="553" t="s">
        <v>1256</v>
      </c>
      <c r="BA212" s="553"/>
      <c r="BB212" s="553" t="str">
        <f t="shared" si="32"/>
        <v> JAZWARES - GAMESTOP</v>
      </c>
      <c r="BC212" s="553" t="str">
        <f t="shared" si="33"/>
        <v>美国</v>
      </c>
    </row>
    <row r="213" s="496" customFormat="1" customHeight="1" spans="1:55">
      <c r="A213" s="527">
        <v>46175</v>
      </c>
      <c r="B213" s="527" t="str">
        <f ca="1" t="shared" si="27"/>
        <v/>
      </c>
      <c r="C213" s="346" t="str">
        <f>VLOOKUP(H213,名称!A:E,4,0)</f>
        <v>三代</v>
      </c>
      <c r="D213" s="528" t="s">
        <v>1352</v>
      </c>
      <c r="E213" s="528" t="s">
        <v>1224</v>
      </c>
      <c r="F213" s="346" t="s">
        <v>839</v>
      </c>
      <c r="G213" s="346" t="s">
        <v>904</v>
      </c>
      <c r="H213" s="588" t="s">
        <v>181</v>
      </c>
      <c r="I213" s="346"/>
      <c r="J213" s="589">
        <v>140</v>
      </c>
      <c r="K213" s="347"/>
      <c r="L213" s="348"/>
      <c r="M213" s="568"/>
      <c r="N213" s="599"/>
      <c r="O213" s="587">
        <v>46181</v>
      </c>
      <c r="P213" s="587">
        <v>46181</v>
      </c>
      <c r="Q213" s="536" t="s">
        <v>1133</v>
      </c>
      <c r="R213" s="346"/>
      <c r="S213" s="536" t="s">
        <v>1133</v>
      </c>
      <c r="T213" s="346"/>
      <c r="U213" s="568"/>
      <c r="V213" s="346"/>
      <c r="W213" s="348" t="str">
        <f>IFERROR(VLOOKUP(H213,名称!A:F,6,0),"")</f>
        <v>湖南</v>
      </c>
      <c r="X213" s="568" t="s">
        <v>1133</v>
      </c>
      <c r="Y213" s="568" t="s">
        <v>1133</v>
      </c>
      <c r="Z213" s="568" t="s">
        <v>1228</v>
      </c>
      <c r="AA213" s="568" t="s">
        <v>1228</v>
      </c>
      <c r="AB213" s="568" t="s">
        <v>1228</v>
      </c>
      <c r="AC213" s="568" t="s">
        <v>1133</v>
      </c>
      <c r="AD213" s="568" t="s">
        <v>1133</v>
      </c>
      <c r="AE213" s="588" t="s">
        <v>510</v>
      </c>
      <c r="AF213" s="568" t="s">
        <v>1228</v>
      </c>
      <c r="AG213" s="568" t="s">
        <v>510</v>
      </c>
      <c r="AH213" s="568" t="s">
        <v>1133</v>
      </c>
      <c r="AI213" s="568" t="s">
        <v>1228</v>
      </c>
      <c r="AJ213" s="568" t="s">
        <v>1133</v>
      </c>
      <c r="AK213" s="568" t="s">
        <v>510</v>
      </c>
      <c r="AL213" s="568"/>
      <c r="AM213" s="568"/>
      <c r="AN213" s="588" t="s">
        <v>1382</v>
      </c>
      <c r="AO213" s="531"/>
      <c r="AP213" s="532">
        <f t="shared" si="29"/>
        <v>0</v>
      </c>
      <c r="AQ213" s="532">
        <f t="shared" si="30"/>
        <v>0</v>
      </c>
      <c r="AR213" s="533"/>
      <c r="AS213" s="527"/>
      <c r="AT213" s="527" t="s">
        <v>839</v>
      </c>
      <c r="AU213" s="535"/>
      <c r="AV213" s="535">
        <f t="shared" si="31"/>
        <v>-140</v>
      </c>
      <c r="AW213" s="605"/>
      <c r="AX213" s="536"/>
      <c r="AY213" s="527" t="s">
        <v>1133</v>
      </c>
      <c r="AZ213" s="527" t="s">
        <v>1256</v>
      </c>
      <c r="BA213" s="527"/>
      <c r="BB213" s="527" t="str">
        <f t="shared" si="32"/>
        <v>Sky Castle Toys, LLC</v>
      </c>
      <c r="BC213" s="527" t="str">
        <f t="shared" si="33"/>
        <v>美国</v>
      </c>
    </row>
    <row r="214" s="496" customFormat="1" customHeight="1" spans="1:55">
      <c r="A214" s="527">
        <v>46175</v>
      </c>
      <c r="B214" s="527" t="str">
        <f ca="1" t="shared" si="27"/>
        <v/>
      </c>
      <c r="C214" s="346" t="str">
        <f>VLOOKUP(H214,名称!A:E,4,0)</f>
        <v>三代</v>
      </c>
      <c r="D214" s="528" t="s">
        <v>1352</v>
      </c>
      <c r="E214" s="528" t="s">
        <v>1224</v>
      </c>
      <c r="F214" s="346" t="s">
        <v>839</v>
      </c>
      <c r="G214" s="346" t="s">
        <v>904</v>
      </c>
      <c r="H214" s="588" t="s">
        <v>204</v>
      </c>
      <c r="I214" s="346"/>
      <c r="J214" s="589">
        <v>140</v>
      </c>
      <c r="K214" s="347"/>
      <c r="L214" s="348"/>
      <c r="M214" s="568"/>
      <c r="N214" s="599"/>
      <c r="O214" s="587">
        <v>46181</v>
      </c>
      <c r="P214" s="587">
        <v>46181</v>
      </c>
      <c r="Q214" s="536" t="s">
        <v>1133</v>
      </c>
      <c r="R214" s="346"/>
      <c r="S214" s="536" t="s">
        <v>1133</v>
      </c>
      <c r="T214" s="346"/>
      <c r="U214" s="568"/>
      <c r="V214" s="346"/>
      <c r="W214" s="348" t="str">
        <f>IFERROR(VLOOKUP(H214,名称!A:F,6,0),"")</f>
        <v>湖南</v>
      </c>
      <c r="X214" s="568" t="s">
        <v>1133</v>
      </c>
      <c r="Y214" s="568" t="s">
        <v>1133</v>
      </c>
      <c r="Z214" s="568" t="s">
        <v>1228</v>
      </c>
      <c r="AA214" s="568" t="s">
        <v>1228</v>
      </c>
      <c r="AB214" s="568" t="s">
        <v>1228</v>
      </c>
      <c r="AC214" s="568" t="s">
        <v>1133</v>
      </c>
      <c r="AD214" s="568" t="s">
        <v>1133</v>
      </c>
      <c r="AE214" s="588" t="s">
        <v>510</v>
      </c>
      <c r="AF214" s="568" t="s">
        <v>1228</v>
      </c>
      <c r="AG214" s="568" t="s">
        <v>510</v>
      </c>
      <c r="AH214" s="568" t="s">
        <v>1133</v>
      </c>
      <c r="AI214" s="568" t="s">
        <v>1228</v>
      </c>
      <c r="AJ214" s="568" t="s">
        <v>1133</v>
      </c>
      <c r="AK214" s="568" t="s">
        <v>510</v>
      </c>
      <c r="AL214" s="568"/>
      <c r="AM214" s="568"/>
      <c r="AN214" s="588" t="s">
        <v>1383</v>
      </c>
      <c r="AO214" s="531"/>
      <c r="AP214" s="532">
        <f t="shared" si="29"/>
        <v>0</v>
      </c>
      <c r="AQ214" s="532">
        <f t="shared" si="30"/>
        <v>0</v>
      </c>
      <c r="AR214" s="533"/>
      <c r="AS214" s="527"/>
      <c r="AT214" s="346" t="s">
        <v>839</v>
      </c>
      <c r="AU214" s="535"/>
      <c r="AV214" s="535">
        <f t="shared" si="31"/>
        <v>-140</v>
      </c>
      <c r="AW214" s="605"/>
      <c r="AX214" s="536"/>
      <c r="AY214" s="527" t="s">
        <v>1133</v>
      </c>
      <c r="AZ214" s="527" t="s">
        <v>1256</v>
      </c>
      <c r="BA214" s="527"/>
      <c r="BB214" s="346" t="str">
        <f t="shared" si="32"/>
        <v>Sky Castle Toys, LLC</v>
      </c>
      <c r="BC214" s="346" t="str">
        <f t="shared" si="33"/>
        <v>美国</v>
      </c>
    </row>
    <row r="215" s="496" customFormat="1" customHeight="1" spans="1:55">
      <c r="A215" s="527">
        <v>46175</v>
      </c>
      <c r="B215" s="527" t="str">
        <f ca="1" t="shared" si="27"/>
        <v/>
      </c>
      <c r="C215" s="346" t="str">
        <f>VLOOKUP(H215,名称!A:E,4,0)</f>
        <v>三代</v>
      </c>
      <c r="D215" s="528" t="s">
        <v>1352</v>
      </c>
      <c r="E215" s="528" t="s">
        <v>1224</v>
      </c>
      <c r="F215" s="346" t="s">
        <v>839</v>
      </c>
      <c r="G215" s="346" t="s">
        <v>904</v>
      </c>
      <c r="H215" s="588" t="s">
        <v>89</v>
      </c>
      <c r="I215" s="346"/>
      <c r="J215" s="589">
        <v>20</v>
      </c>
      <c r="K215" s="347"/>
      <c r="L215" s="348"/>
      <c r="M215" s="568"/>
      <c r="N215" s="599"/>
      <c r="O215" s="587">
        <v>46181</v>
      </c>
      <c r="P215" s="587">
        <v>46181</v>
      </c>
      <c r="Q215" s="536" t="s">
        <v>1133</v>
      </c>
      <c r="R215" s="346"/>
      <c r="S215" s="536" t="s">
        <v>1133</v>
      </c>
      <c r="T215" s="346"/>
      <c r="U215" s="568"/>
      <c r="V215" s="346"/>
      <c r="W215" s="348" t="str">
        <f>IFERROR(VLOOKUP(H215,名称!A:F,6,0),"")</f>
        <v>东莞</v>
      </c>
      <c r="X215" s="568" t="s">
        <v>1133</v>
      </c>
      <c r="Y215" s="568" t="s">
        <v>1133</v>
      </c>
      <c r="Z215" s="568" t="s">
        <v>1228</v>
      </c>
      <c r="AA215" s="568" t="s">
        <v>1228</v>
      </c>
      <c r="AB215" s="568" t="s">
        <v>1228</v>
      </c>
      <c r="AC215" s="568" t="s">
        <v>1318</v>
      </c>
      <c r="AD215" s="568" t="s">
        <v>1228</v>
      </c>
      <c r="AE215" s="588" t="s">
        <v>510</v>
      </c>
      <c r="AF215" s="568" t="s">
        <v>1228</v>
      </c>
      <c r="AG215" s="568" t="s">
        <v>510</v>
      </c>
      <c r="AH215" s="568" t="s">
        <v>1307</v>
      </c>
      <c r="AI215" s="568" t="s">
        <v>1228</v>
      </c>
      <c r="AJ215" s="568" t="s">
        <v>510</v>
      </c>
      <c r="AK215" s="568" t="s">
        <v>1133</v>
      </c>
      <c r="AL215" s="568"/>
      <c r="AM215" s="568"/>
      <c r="AN215" s="588" t="s">
        <v>1384</v>
      </c>
      <c r="AO215" s="531"/>
      <c r="AP215" s="532">
        <f t="shared" si="29"/>
        <v>0</v>
      </c>
      <c r="AQ215" s="532">
        <f t="shared" si="30"/>
        <v>0</v>
      </c>
      <c r="AR215" s="533"/>
      <c r="AS215" s="527"/>
      <c r="AT215" s="346" t="s">
        <v>839</v>
      </c>
      <c r="AU215" s="535"/>
      <c r="AV215" s="535">
        <f t="shared" si="31"/>
        <v>-20</v>
      </c>
      <c r="AW215" s="605"/>
      <c r="AX215" s="536"/>
      <c r="AY215" s="527" t="s">
        <v>1133</v>
      </c>
      <c r="AZ215" s="527" t="s">
        <v>1256</v>
      </c>
      <c r="BA215" s="527"/>
      <c r="BB215" s="346" t="str">
        <f t="shared" si="32"/>
        <v>Sky Castle Toys, LLC</v>
      </c>
      <c r="BC215" s="346" t="str">
        <f t="shared" si="33"/>
        <v>美国</v>
      </c>
    </row>
    <row r="216" s="496" customFormat="1" customHeight="1" spans="1:55">
      <c r="A216" s="527">
        <v>46175</v>
      </c>
      <c r="B216" s="527" t="str">
        <f ca="1" t="shared" si="27"/>
        <v/>
      </c>
      <c r="C216" s="346" t="e">
        <f>VLOOKUP(H216,名称!A:E,4,0)</f>
        <v>#N/A</v>
      </c>
      <c r="D216" s="528" t="s">
        <v>1352</v>
      </c>
      <c r="E216" s="528" t="s">
        <v>1224</v>
      </c>
      <c r="F216" s="346" t="s">
        <v>839</v>
      </c>
      <c r="G216" s="346" t="s">
        <v>904</v>
      </c>
      <c r="H216" s="588" t="s">
        <v>905</v>
      </c>
      <c r="I216" s="346"/>
      <c r="J216" s="589">
        <v>10</v>
      </c>
      <c r="K216" s="347"/>
      <c r="L216" s="348"/>
      <c r="M216" s="568"/>
      <c r="N216" s="599"/>
      <c r="O216" s="587">
        <v>46181</v>
      </c>
      <c r="P216" s="587">
        <v>46181</v>
      </c>
      <c r="Q216" s="536" t="s">
        <v>1133</v>
      </c>
      <c r="R216" s="346"/>
      <c r="S216" s="536" t="s">
        <v>1133</v>
      </c>
      <c r="T216" s="346"/>
      <c r="U216" s="568"/>
      <c r="V216" s="346"/>
      <c r="W216" s="348" t="str">
        <f>IFERROR(VLOOKUP(H216,名称!A:F,6,0),"")</f>
        <v/>
      </c>
      <c r="X216" s="568" t="s">
        <v>1133</v>
      </c>
      <c r="Y216" s="568" t="s">
        <v>1133</v>
      </c>
      <c r="Z216" s="568" t="s">
        <v>1228</v>
      </c>
      <c r="AA216" s="568" t="s">
        <v>1228</v>
      </c>
      <c r="AB216" s="568" t="s">
        <v>1228</v>
      </c>
      <c r="AC216" s="568" t="s">
        <v>1284</v>
      </c>
      <c r="AD216" s="568" t="s">
        <v>1228</v>
      </c>
      <c r="AE216" s="588" t="s">
        <v>510</v>
      </c>
      <c r="AF216" s="568" t="s">
        <v>1228</v>
      </c>
      <c r="AG216" s="568" t="s">
        <v>510</v>
      </c>
      <c r="AH216" s="568" t="s">
        <v>1307</v>
      </c>
      <c r="AI216" s="568" t="s">
        <v>1228</v>
      </c>
      <c r="AJ216" s="568" t="s">
        <v>1133</v>
      </c>
      <c r="AK216" s="568" t="s">
        <v>1133</v>
      </c>
      <c r="AL216" s="568"/>
      <c r="AM216" s="568"/>
      <c r="AN216" s="588" t="s">
        <v>1385</v>
      </c>
      <c r="AO216" s="531"/>
      <c r="AP216" s="532">
        <f t="shared" si="29"/>
        <v>0</v>
      </c>
      <c r="AQ216" s="532">
        <f t="shared" si="30"/>
        <v>0</v>
      </c>
      <c r="AR216" s="533"/>
      <c r="AS216" s="527"/>
      <c r="AT216" s="346" t="s">
        <v>839</v>
      </c>
      <c r="AU216" s="535"/>
      <c r="AV216" s="535">
        <f t="shared" si="31"/>
        <v>-10</v>
      </c>
      <c r="AW216" s="605"/>
      <c r="AX216" s="536"/>
      <c r="AY216" s="527" t="s">
        <v>1133</v>
      </c>
      <c r="AZ216" s="527" t="s">
        <v>1256</v>
      </c>
      <c r="BA216" s="527"/>
      <c r="BB216" s="346" t="str">
        <f t="shared" si="32"/>
        <v>Sky Castle Toys, LLC</v>
      </c>
      <c r="BC216" s="346" t="str">
        <f t="shared" si="33"/>
        <v>美国</v>
      </c>
    </row>
    <row r="217" s="496" customFormat="1" customHeight="1" spans="1:55">
      <c r="A217" s="527">
        <v>46175</v>
      </c>
      <c r="B217" s="527" t="str">
        <f ca="1" t="shared" si="27"/>
        <v/>
      </c>
      <c r="C217" s="346" t="e">
        <f>VLOOKUP(H217,名称!A:E,4,0)</f>
        <v>#N/A</v>
      </c>
      <c r="D217" s="528" t="s">
        <v>1352</v>
      </c>
      <c r="E217" s="528" t="s">
        <v>1224</v>
      </c>
      <c r="F217" s="346" t="s">
        <v>839</v>
      </c>
      <c r="G217" s="346" t="s">
        <v>904</v>
      </c>
      <c r="H217" s="588" t="s">
        <v>906</v>
      </c>
      <c r="I217" s="346"/>
      <c r="J217" s="589">
        <v>10</v>
      </c>
      <c r="K217" s="347"/>
      <c r="L217" s="348"/>
      <c r="M217" s="568"/>
      <c r="N217" s="599"/>
      <c r="O217" s="587">
        <v>46181</v>
      </c>
      <c r="P217" s="587">
        <v>46181</v>
      </c>
      <c r="Q217" s="536" t="s">
        <v>1133</v>
      </c>
      <c r="R217" s="346"/>
      <c r="S217" s="536" t="s">
        <v>1133</v>
      </c>
      <c r="T217" s="346"/>
      <c r="U217" s="568"/>
      <c r="V217" s="346"/>
      <c r="W217" s="348" t="str">
        <f>IFERROR(VLOOKUP(H217,名称!A:F,6,0),"")</f>
        <v/>
      </c>
      <c r="X217" s="568" t="s">
        <v>1133</v>
      </c>
      <c r="Y217" s="568" t="s">
        <v>1133</v>
      </c>
      <c r="Z217" s="568" t="s">
        <v>1228</v>
      </c>
      <c r="AA217" s="568" t="s">
        <v>1228</v>
      </c>
      <c r="AB217" s="568" t="s">
        <v>1228</v>
      </c>
      <c r="AC217" s="568" t="s">
        <v>1284</v>
      </c>
      <c r="AD217" s="568" t="s">
        <v>1228</v>
      </c>
      <c r="AE217" s="588" t="s">
        <v>510</v>
      </c>
      <c r="AF217" s="568" t="s">
        <v>1228</v>
      </c>
      <c r="AG217" s="568" t="s">
        <v>510</v>
      </c>
      <c r="AH217" s="568" t="s">
        <v>1307</v>
      </c>
      <c r="AI217" s="568" t="s">
        <v>1228</v>
      </c>
      <c r="AJ217" s="568" t="s">
        <v>1133</v>
      </c>
      <c r="AK217" s="568" t="s">
        <v>1133</v>
      </c>
      <c r="AL217" s="568"/>
      <c r="AM217" s="611"/>
      <c r="AN217" s="588" t="s">
        <v>1386</v>
      </c>
      <c r="AO217" s="531"/>
      <c r="AP217" s="532">
        <f t="shared" si="29"/>
        <v>0</v>
      </c>
      <c r="AQ217" s="532">
        <f t="shared" si="30"/>
        <v>0</v>
      </c>
      <c r="AR217" s="533"/>
      <c r="AS217" s="527"/>
      <c r="AT217" s="346" t="s">
        <v>839</v>
      </c>
      <c r="AU217" s="535"/>
      <c r="AV217" s="535">
        <f t="shared" si="31"/>
        <v>-10</v>
      </c>
      <c r="AW217" s="605"/>
      <c r="AX217" s="536"/>
      <c r="AY217" s="527" t="s">
        <v>1133</v>
      </c>
      <c r="AZ217" s="527" t="s">
        <v>1256</v>
      </c>
      <c r="BA217" s="527"/>
      <c r="BB217" s="346" t="str">
        <f t="shared" si="32"/>
        <v>Sky Castle Toys, LLC</v>
      </c>
      <c r="BC217" s="346" t="str">
        <f t="shared" si="33"/>
        <v>美国</v>
      </c>
    </row>
    <row r="218" s="496" customFormat="1" customHeight="1" spans="1:55">
      <c r="A218" s="527">
        <v>46175</v>
      </c>
      <c r="B218" s="527" t="str">
        <f ca="1" t="shared" si="27"/>
        <v/>
      </c>
      <c r="C218" s="346" t="e">
        <f>VLOOKUP(H218,名称!A:E,4,0)</f>
        <v>#N/A</v>
      </c>
      <c r="D218" s="528" t="s">
        <v>1352</v>
      </c>
      <c r="E218" s="528" t="s">
        <v>1224</v>
      </c>
      <c r="F218" s="346" t="s">
        <v>839</v>
      </c>
      <c r="G218" s="346" t="s">
        <v>904</v>
      </c>
      <c r="H218" s="588" t="s">
        <v>907</v>
      </c>
      <c r="I218" s="346"/>
      <c r="J218" s="589">
        <v>10</v>
      </c>
      <c r="K218" s="347"/>
      <c r="L218" s="348"/>
      <c r="M218" s="568"/>
      <c r="N218" s="599"/>
      <c r="O218" s="587">
        <v>46181</v>
      </c>
      <c r="P218" s="587">
        <v>46181</v>
      </c>
      <c r="Q218" s="536" t="s">
        <v>1133</v>
      </c>
      <c r="R218" s="346"/>
      <c r="S218" s="536" t="s">
        <v>1133</v>
      </c>
      <c r="T218" s="346"/>
      <c r="U218" s="568"/>
      <c r="V218" s="346"/>
      <c r="W218" s="348" t="str">
        <f>IFERROR(VLOOKUP(H218,名称!A:F,6,0),"")</f>
        <v/>
      </c>
      <c r="X218" s="568" t="s">
        <v>1133</v>
      </c>
      <c r="Y218" s="568" t="s">
        <v>1133</v>
      </c>
      <c r="Z218" s="568" t="s">
        <v>1228</v>
      </c>
      <c r="AA218" s="568" t="s">
        <v>1228</v>
      </c>
      <c r="AB218" s="568" t="s">
        <v>1228</v>
      </c>
      <c r="AC218" s="568" t="s">
        <v>1284</v>
      </c>
      <c r="AD218" s="568" t="s">
        <v>1228</v>
      </c>
      <c r="AE218" s="588" t="s">
        <v>510</v>
      </c>
      <c r="AF218" s="568" t="s">
        <v>1228</v>
      </c>
      <c r="AG218" s="568" t="s">
        <v>510</v>
      </c>
      <c r="AH218" s="568" t="s">
        <v>1307</v>
      </c>
      <c r="AI218" s="568" t="s">
        <v>1228</v>
      </c>
      <c r="AJ218" s="568" t="s">
        <v>1133</v>
      </c>
      <c r="AK218" s="568" t="s">
        <v>1133</v>
      </c>
      <c r="AL218" s="568"/>
      <c r="AM218" s="611"/>
      <c r="AN218" s="588" t="s">
        <v>1386</v>
      </c>
      <c r="AO218" s="531"/>
      <c r="AP218" s="532">
        <f t="shared" si="29"/>
        <v>0</v>
      </c>
      <c r="AQ218" s="532">
        <f t="shared" si="30"/>
        <v>0</v>
      </c>
      <c r="AR218" s="533"/>
      <c r="AS218" s="527"/>
      <c r="AT218" s="346" t="s">
        <v>839</v>
      </c>
      <c r="AU218" s="535"/>
      <c r="AV218" s="535">
        <f t="shared" si="31"/>
        <v>-10</v>
      </c>
      <c r="AW218" s="605"/>
      <c r="AX218" s="536"/>
      <c r="AY218" s="527" t="s">
        <v>1133</v>
      </c>
      <c r="AZ218" s="527" t="s">
        <v>1256</v>
      </c>
      <c r="BA218" s="527"/>
      <c r="BB218" s="346" t="str">
        <f t="shared" si="32"/>
        <v>Sky Castle Toys, LLC</v>
      </c>
      <c r="BC218" s="346" t="str">
        <f t="shared" si="33"/>
        <v>美国</v>
      </c>
    </row>
    <row r="219" s="495" customFormat="1" customHeight="1" spans="1:55">
      <c r="A219" s="538">
        <v>46177</v>
      </c>
      <c r="B219" s="538" t="str">
        <f ca="1" t="shared" si="27"/>
        <v/>
      </c>
      <c r="C219" s="539" t="str">
        <f>VLOOKUP(H219,名称!A:E,4,0)</f>
        <v>三代</v>
      </c>
      <c r="D219" s="591" t="s">
        <v>1387</v>
      </c>
      <c r="E219" s="591" t="s">
        <v>1388</v>
      </c>
      <c r="F219" s="591" t="s">
        <v>908</v>
      </c>
      <c r="G219" s="591" t="s">
        <v>909</v>
      </c>
      <c r="H219" s="591" t="s">
        <v>99</v>
      </c>
      <c r="I219" s="118"/>
      <c r="J219" s="592">
        <f>2400+600</f>
        <v>3000</v>
      </c>
      <c r="K219" s="92">
        <f>VLOOKUP(H219,名称!A:C,2,0)</f>
        <v>7</v>
      </c>
      <c r="L219" s="32">
        <f t="shared" ref="L219:L265" si="36">J219*K219</f>
        <v>21000</v>
      </c>
      <c r="M219" s="541">
        <f>VLOOKUP(H219,名称!A:E,3,0)</f>
        <v>24</v>
      </c>
      <c r="N219" s="586">
        <f t="shared" ref="N219:N265" si="37">J219/M219</f>
        <v>125</v>
      </c>
      <c r="O219" s="590">
        <v>46266</v>
      </c>
      <c r="P219" s="590">
        <v>46266</v>
      </c>
      <c r="Q219" s="549">
        <v>46266</v>
      </c>
      <c r="R219" s="539"/>
      <c r="S219" s="549" t="s">
        <v>1133</v>
      </c>
      <c r="T219" s="539"/>
      <c r="U219" s="541"/>
      <c r="V219" s="539"/>
      <c r="W219" s="518" t="str">
        <f>IFERROR(VLOOKUP(H219,名称!A:F,6,0),"")</f>
        <v>湖南</v>
      </c>
      <c r="X219" s="541" t="s">
        <v>1133</v>
      </c>
      <c r="Y219" s="541" t="s">
        <v>1133</v>
      </c>
      <c r="Z219" s="541" t="s">
        <v>1249</v>
      </c>
      <c r="AA219" s="552">
        <v>46178</v>
      </c>
      <c r="AB219" s="567">
        <v>46195</v>
      </c>
      <c r="AC219" s="541" t="s">
        <v>1284</v>
      </c>
      <c r="AD219" s="541" t="s">
        <v>1228</v>
      </c>
      <c r="AE219" s="591" t="s">
        <v>510</v>
      </c>
      <c r="AF219" s="541" t="s">
        <v>1228</v>
      </c>
      <c r="AG219" s="541" t="s">
        <v>510</v>
      </c>
      <c r="AH219" s="541" t="s">
        <v>1307</v>
      </c>
      <c r="AI219" s="541" t="s">
        <v>1228</v>
      </c>
      <c r="AJ219" s="541" t="s">
        <v>1133</v>
      </c>
      <c r="AK219" s="541" t="s">
        <v>1133</v>
      </c>
      <c r="AL219" s="541"/>
      <c r="AM219" s="618" t="s">
        <v>1293</v>
      </c>
      <c r="AN219" s="591"/>
      <c r="AO219" s="544">
        <v>0.87</v>
      </c>
      <c r="AP219" s="545">
        <f t="shared" si="29"/>
        <v>2610</v>
      </c>
      <c r="AQ219" s="545">
        <f t="shared" si="30"/>
        <v>20227.5</v>
      </c>
      <c r="AR219" s="546"/>
      <c r="AS219" s="538"/>
      <c r="AT219" s="538" t="s">
        <v>1220</v>
      </c>
      <c r="AU219" s="548"/>
      <c r="AV219" s="548">
        <f t="shared" si="31"/>
        <v>-3000</v>
      </c>
      <c r="AW219" s="606"/>
      <c r="AX219" s="420" t="s">
        <v>1280</v>
      </c>
      <c r="AY219" s="538" t="s">
        <v>1317</v>
      </c>
      <c r="AZ219" s="538" t="s">
        <v>1256</v>
      </c>
      <c r="BA219" s="538"/>
      <c r="BB219" s="538" t="str">
        <f t="shared" si="32"/>
        <v>Sheng Tai_Camtec</v>
      </c>
      <c r="BC219" s="538" t="str">
        <f t="shared" si="33"/>
        <v>新加坡</v>
      </c>
    </row>
    <row r="220" s="495" customFormat="1" customHeight="1" spans="1:55">
      <c r="A220" s="538">
        <v>46177</v>
      </c>
      <c r="B220" s="538" t="str">
        <f ca="1" t="shared" si="27"/>
        <v/>
      </c>
      <c r="C220" s="539" t="str">
        <f>VLOOKUP(H220,名称!A:E,4,0)</f>
        <v>三代</v>
      </c>
      <c r="D220" s="591" t="s">
        <v>1387</v>
      </c>
      <c r="E220" s="591" t="s">
        <v>1388</v>
      </c>
      <c r="F220" s="591" t="s">
        <v>908</v>
      </c>
      <c r="G220" s="591" t="s">
        <v>909</v>
      </c>
      <c r="H220" s="591" t="s">
        <v>67</v>
      </c>
      <c r="I220" s="118"/>
      <c r="J220" s="592">
        <f>2400+600</f>
        <v>3000</v>
      </c>
      <c r="K220" s="92">
        <f>VLOOKUP(H220,名称!A:C,2,0)</f>
        <v>12</v>
      </c>
      <c r="L220" s="32">
        <f t="shared" si="36"/>
        <v>36000</v>
      </c>
      <c r="M220" s="541">
        <f>VLOOKUP(H220,名称!A:E,3,0)</f>
        <v>6</v>
      </c>
      <c r="N220" s="586">
        <f t="shared" si="37"/>
        <v>500</v>
      </c>
      <c r="O220" s="590">
        <v>46266</v>
      </c>
      <c r="P220" s="590">
        <v>46266</v>
      </c>
      <c r="Q220" s="549">
        <v>46266</v>
      </c>
      <c r="R220" s="539"/>
      <c r="S220" s="549" t="s">
        <v>1133</v>
      </c>
      <c r="T220" s="539"/>
      <c r="U220" s="541"/>
      <c r="V220" s="539"/>
      <c r="W220" s="518" t="str">
        <f>IFERROR(VLOOKUP(H220,名称!A:F,6,0),"")</f>
        <v>湖南</v>
      </c>
      <c r="X220" s="541" t="s">
        <v>1133</v>
      </c>
      <c r="Y220" s="541" t="s">
        <v>1133</v>
      </c>
      <c r="Z220" s="541" t="s">
        <v>1249</v>
      </c>
      <c r="AA220" s="552">
        <v>46178</v>
      </c>
      <c r="AB220" s="567">
        <v>46195</v>
      </c>
      <c r="AC220" s="541" t="s">
        <v>1318</v>
      </c>
      <c r="AD220" s="541" t="s">
        <v>1228</v>
      </c>
      <c r="AE220" s="591" t="s">
        <v>510</v>
      </c>
      <c r="AF220" s="541" t="s">
        <v>1228</v>
      </c>
      <c r="AG220" s="541" t="s">
        <v>510</v>
      </c>
      <c r="AH220" s="541" t="s">
        <v>1307</v>
      </c>
      <c r="AI220" s="541" t="s">
        <v>1228</v>
      </c>
      <c r="AJ220" s="541" t="s">
        <v>510</v>
      </c>
      <c r="AK220" s="541" t="s">
        <v>1133</v>
      </c>
      <c r="AL220" s="541"/>
      <c r="AM220" s="618" t="s">
        <v>1293</v>
      </c>
      <c r="AN220" s="591"/>
      <c r="AO220" s="544">
        <v>2.04</v>
      </c>
      <c r="AP220" s="545">
        <f t="shared" si="29"/>
        <v>6120</v>
      </c>
      <c r="AQ220" s="545">
        <f t="shared" si="30"/>
        <v>47430</v>
      </c>
      <c r="AR220" s="546"/>
      <c r="AS220" s="538"/>
      <c r="AT220" s="455" t="s">
        <v>1220</v>
      </c>
      <c r="AU220" s="548"/>
      <c r="AV220" s="548">
        <f t="shared" si="31"/>
        <v>-3000</v>
      </c>
      <c r="AW220" s="606"/>
      <c r="AX220" s="420" t="s">
        <v>1280</v>
      </c>
      <c r="AY220" s="538" t="s">
        <v>1317</v>
      </c>
      <c r="AZ220" s="538" t="s">
        <v>1256</v>
      </c>
      <c r="BA220" s="538"/>
      <c r="BB220" s="455" t="str">
        <f t="shared" si="32"/>
        <v>Sheng Tai_Camtec</v>
      </c>
      <c r="BC220" s="455" t="str">
        <f t="shared" si="33"/>
        <v>新加坡</v>
      </c>
    </row>
    <row r="221" s="495" customFormat="1" customHeight="1" spans="1:55">
      <c r="A221" s="538">
        <v>46177</v>
      </c>
      <c r="B221" s="538" t="str">
        <f ca="1" t="shared" si="27"/>
        <v/>
      </c>
      <c r="C221" s="539" t="str">
        <f>VLOOKUP(H221,名称!A:E,4,0)</f>
        <v>三代</v>
      </c>
      <c r="D221" s="591" t="s">
        <v>1387</v>
      </c>
      <c r="E221" s="591" t="s">
        <v>1388</v>
      </c>
      <c r="F221" s="591" t="s">
        <v>908</v>
      </c>
      <c r="G221" s="591" t="s">
        <v>909</v>
      </c>
      <c r="H221" s="591" t="s">
        <v>112</v>
      </c>
      <c r="I221" s="118"/>
      <c r="J221" s="592">
        <f>750+50</f>
        <v>800</v>
      </c>
      <c r="K221" s="92">
        <f>VLOOKUP(H221,名称!A:C,2,0)</f>
        <v>50</v>
      </c>
      <c r="L221" s="32">
        <f t="shared" si="36"/>
        <v>40000</v>
      </c>
      <c r="M221" s="541">
        <f>VLOOKUP(H221,名称!A:E,3,0)</f>
        <v>2</v>
      </c>
      <c r="N221" s="586">
        <f t="shared" si="37"/>
        <v>400</v>
      </c>
      <c r="O221" s="590">
        <v>46266</v>
      </c>
      <c r="P221" s="590">
        <v>46266</v>
      </c>
      <c r="Q221" s="549">
        <v>46266</v>
      </c>
      <c r="R221" s="539"/>
      <c r="S221" s="549" t="s">
        <v>1133</v>
      </c>
      <c r="T221" s="539"/>
      <c r="U221" s="541"/>
      <c r="V221" s="539"/>
      <c r="W221" s="518" t="str">
        <f>IFERROR(VLOOKUP(H221,名称!A:F,6,0),"")</f>
        <v>湖南</v>
      </c>
      <c r="X221" s="541" t="s">
        <v>1133</v>
      </c>
      <c r="Y221" s="541" t="s">
        <v>1133</v>
      </c>
      <c r="Z221" s="541" t="s">
        <v>1249</v>
      </c>
      <c r="AA221" s="552">
        <v>46178</v>
      </c>
      <c r="AB221" s="567">
        <v>46195</v>
      </c>
      <c r="AC221" s="541" t="s">
        <v>1133</v>
      </c>
      <c r="AD221" s="541" t="s">
        <v>1133</v>
      </c>
      <c r="AE221" s="591" t="s">
        <v>510</v>
      </c>
      <c r="AF221" s="541" t="s">
        <v>1228</v>
      </c>
      <c r="AG221" s="541" t="s">
        <v>510</v>
      </c>
      <c r="AH221" s="541" t="s">
        <v>1133</v>
      </c>
      <c r="AI221" s="541" t="s">
        <v>1228</v>
      </c>
      <c r="AJ221" s="541" t="s">
        <v>1133</v>
      </c>
      <c r="AK221" s="541" t="s">
        <v>1356</v>
      </c>
      <c r="AL221" s="541"/>
      <c r="AM221" s="618" t="s">
        <v>1293</v>
      </c>
      <c r="AN221" s="591"/>
      <c r="AO221" s="544">
        <v>9.42</v>
      </c>
      <c r="AP221" s="545">
        <f t="shared" si="29"/>
        <v>7536</v>
      </c>
      <c r="AQ221" s="545">
        <f t="shared" si="30"/>
        <v>58404</v>
      </c>
      <c r="AR221" s="546"/>
      <c r="AS221" s="538"/>
      <c r="AT221" s="538" t="s">
        <v>1220</v>
      </c>
      <c r="AU221" s="548"/>
      <c r="AV221" s="548">
        <f t="shared" si="31"/>
        <v>-800</v>
      </c>
      <c r="AW221" s="606"/>
      <c r="AX221" s="549"/>
      <c r="AY221" s="538" t="s">
        <v>1317</v>
      </c>
      <c r="AZ221" s="538" t="s">
        <v>1256</v>
      </c>
      <c r="BA221" s="538"/>
      <c r="BB221" s="538" t="str">
        <f t="shared" si="32"/>
        <v>Sheng Tai_Camtec</v>
      </c>
      <c r="BC221" s="538" t="str">
        <f t="shared" si="33"/>
        <v>新加坡</v>
      </c>
    </row>
    <row r="222" s="495" customFormat="1" customHeight="1" spans="1:55">
      <c r="A222" s="538">
        <v>46177</v>
      </c>
      <c r="B222" s="538" t="str">
        <f ca="1" t="shared" si="27"/>
        <v/>
      </c>
      <c r="C222" s="539" t="str">
        <f>VLOOKUP(H222,名称!A:E,4,0)</f>
        <v>三代</v>
      </c>
      <c r="D222" s="591" t="s">
        <v>1387</v>
      </c>
      <c r="E222" s="591" t="s">
        <v>1388</v>
      </c>
      <c r="F222" s="591" t="s">
        <v>908</v>
      </c>
      <c r="G222" s="591" t="s">
        <v>909</v>
      </c>
      <c r="H222" s="591" t="s">
        <v>119</v>
      </c>
      <c r="I222" s="118"/>
      <c r="J222" s="592">
        <v>1200</v>
      </c>
      <c r="K222" s="92">
        <f>VLOOKUP(H222,名称!A:C,2,0)</f>
        <v>5</v>
      </c>
      <c r="L222" s="32">
        <f t="shared" si="36"/>
        <v>6000</v>
      </c>
      <c r="M222" s="541">
        <f>VLOOKUP(H222,名称!A:E,3,0)</f>
        <v>24</v>
      </c>
      <c r="N222" s="586">
        <f t="shared" si="37"/>
        <v>50</v>
      </c>
      <c r="O222" s="590">
        <v>46266</v>
      </c>
      <c r="P222" s="590">
        <v>46266</v>
      </c>
      <c r="Q222" s="549">
        <v>46266</v>
      </c>
      <c r="R222" s="539"/>
      <c r="S222" s="549" t="s">
        <v>1133</v>
      </c>
      <c r="T222" s="539"/>
      <c r="U222" s="541"/>
      <c r="V222" s="539"/>
      <c r="W222" s="518" t="str">
        <f>IFERROR(VLOOKUP(H222,名称!A:F,6,0),"")</f>
        <v>湖南</v>
      </c>
      <c r="X222" s="541" t="s">
        <v>1133</v>
      </c>
      <c r="Y222" s="541" t="s">
        <v>1133</v>
      </c>
      <c r="Z222" s="541" t="s">
        <v>1249</v>
      </c>
      <c r="AA222" s="552">
        <v>46178</v>
      </c>
      <c r="AB222" s="567">
        <v>46195</v>
      </c>
      <c r="AC222" s="541" t="s">
        <v>1133</v>
      </c>
      <c r="AD222" s="541" t="s">
        <v>1133</v>
      </c>
      <c r="AE222" s="591" t="s">
        <v>510</v>
      </c>
      <c r="AF222" s="541" t="s">
        <v>1228</v>
      </c>
      <c r="AG222" s="541" t="s">
        <v>510</v>
      </c>
      <c r="AH222" s="541" t="s">
        <v>1133</v>
      </c>
      <c r="AI222" s="541" t="s">
        <v>1228</v>
      </c>
      <c r="AJ222" s="541" t="s">
        <v>1133</v>
      </c>
      <c r="AK222" s="541" t="s">
        <v>510</v>
      </c>
      <c r="AL222" s="541"/>
      <c r="AM222" s="431" t="s">
        <v>1293</v>
      </c>
      <c r="AN222" s="591"/>
      <c r="AO222" s="544">
        <v>0.63</v>
      </c>
      <c r="AP222" s="545">
        <f t="shared" si="29"/>
        <v>756</v>
      </c>
      <c r="AQ222" s="545">
        <f t="shared" si="30"/>
        <v>5859</v>
      </c>
      <c r="AR222" s="546"/>
      <c r="AS222" s="538"/>
      <c r="AT222" s="538" t="s">
        <v>1220</v>
      </c>
      <c r="AU222" s="548"/>
      <c r="AV222" s="548">
        <f t="shared" si="31"/>
        <v>-1200</v>
      </c>
      <c r="AW222" s="606"/>
      <c r="AX222" s="420" t="s">
        <v>1280</v>
      </c>
      <c r="AY222" s="538" t="s">
        <v>1317</v>
      </c>
      <c r="AZ222" s="538" t="s">
        <v>1256</v>
      </c>
      <c r="BA222" s="538"/>
      <c r="BB222" s="538" t="str">
        <f t="shared" si="32"/>
        <v>Sheng Tai_Camtec</v>
      </c>
      <c r="BC222" s="538" t="str">
        <f t="shared" si="33"/>
        <v>新加坡</v>
      </c>
    </row>
    <row r="223" s="495" customFormat="1" customHeight="1" spans="1:55">
      <c r="A223" s="538">
        <v>46177</v>
      </c>
      <c r="B223" s="538" t="str">
        <f ca="1" t="shared" si="27"/>
        <v/>
      </c>
      <c r="C223" s="539" t="str">
        <f>VLOOKUP(H223,名称!A:E,4,0)</f>
        <v>三代</v>
      </c>
      <c r="D223" s="591" t="s">
        <v>1387</v>
      </c>
      <c r="E223" s="591" t="s">
        <v>1388</v>
      </c>
      <c r="F223" s="591" t="s">
        <v>908</v>
      </c>
      <c r="G223" s="591" t="s">
        <v>909</v>
      </c>
      <c r="H223" s="591" t="s">
        <v>125</v>
      </c>
      <c r="I223" s="118"/>
      <c r="J223" s="592">
        <v>900</v>
      </c>
      <c r="K223" s="92">
        <f>VLOOKUP(H223,名称!A:C,2,0)</f>
        <v>12</v>
      </c>
      <c r="L223" s="32">
        <f t="shared" si="36"/>
        <v>10800</v>
      </c>
      <c r="M223" s="541">
        <f>VLOOKUP(H223,名称!A:E,3,0)</f>
        <v>12</v>
      </c>
      <c r="N223" s="586">
        <f t="shared" si="37"/>
        <v>75</v>
      </c>
      <c r="O223" s="590">
        <v>46266</v>
      </c>
      <c r="P223" s="590">
        <v>46266</v>
      </c>
      <c r="Q223" s="549">
        <v>46266</v>
      </c>
      <c r="R223" s="539"/>
      <c r="S223" s="549" t="s">
        <v>1133</v>
      </c>
      <c r="T223" s="539"/>
      <c r="U223" s="541"/>
      <c r="V223" s="539"/>
      <c r="W223" s="518" t="str">
        <f>IFERROR(VLOOKUP(H223,名称!A:F,6,0),"")</f>
        <v>湖南</v>
      </c>
      <c r="X223" s="541" t="s">
        <v>1133</v>
      </c>
      <c r="Y223" s="541" t="s">
        <v>1133</v>
      </c>
      <c r="Z223" s="541" t="s">
        <v>1249</v>
      </c>
      <c r="AA223" s="552">
        <v>46178</v>
      </c>
      <c r="AB223" s="567">
        <v>46195</v>
      </c>
      <c r="AC223" s="541" t="s">
        <v>1302</v>
      </c>
      <c r="AD223" s="541" t="s">
        <v>1133</v>
      </c>
      <c r="AE223" s="591" t="s">
        <v>510</v>
      </c>
      <c r="AF223" s="541" t="s">
        <v>1228</v>
      </c>
      <c r="AG223" s="541" t="s">
        <v>510</v>
      </c>
      <c r="AH223" s="541" t="s">
        <v>1307</v>
      </c>
      <c r="AI223" s="541" t="s">
        <v>1228</v>
      </c>
      <c r="AJ223" s="541" t="s">
        <v>1133</v>
      </c>
      <c r="AK223" s="541" t="s">
        <v>1133</v>
      </c>
      <c r="AL223" s="541"/>
      <c r="AM223" s="431" t="s">
        <v>1293</v>
      </c>
      <c r="AN223" s="591"/>
      <c r="AO223" s="544">
        <v>1.6</v>
      </c>
      <c r="AP223" s="545">
        <f t="shared" si="29"/>
        <v>1440</v>
      </c>
      <c r="AQ223" s="545">
        <f t="shared" si="30"/>
        <v>11160</v>
      </c>
      <c r="AR223" s="546"/>
      <c r="AS223" s="538"/>
      <c r="AT223" s="455" t="s">
        <v>1220</v>
      </c>
      <c r="AU223" s="548"/>
      <c r="AV223" s="548">
        <f t="shared" si="31"/>
        <v>-900</v>
      </c>
      <c r="AW223" s="606"/>
      <c r="AX223" s="420" t="s">
        <v>1280</v>
      </c>
      <c r="AY223" s="538" t="s">
        <v>1317</v>
      </c>
      <c r="AZ223" s="538" t="s">
        <v>1256</v>
      </c>
      <c r="BA223" s="538"/>
      <c r="BB223" s="455" t="str">
        <f t="shared" si="32"/>
        <v>Sheng Tai_Camtec</v>
      </c>
      <c r="BC223" s="455" t="str">
        <f t="shared" si="33"/>
        <v>新加坡</v>
      </c>
    </row>
    <row r="224" s="495" customFormat="1" customHeight="1" spans="1:55">
      <c r="A224" s="538">
        <v>46177</v>
      </c>
      <c r="B224" s="538" t="str">
        <f ca="1" t="shared" si="27"/>
        <v/>
      </c>
      <c r="C224" s="539" t="str">
        <f>VLOOKUP(H224,名称!A:E,4,0)</f>
        <v>三代</v>
      </c>
      <c r="D224" s="591" t="s">
        <v>1387</v>
      </c>
      <c r="E224" s="591" t="s">
        <v>1388</v>
      </c>
      <c r="F224" s="591" t="s">
        <v>908</v>
      </c>
      <c r="G224" s="591" t="s">
        <v>909</v>
      </c>
      <c r="H224" s="591" t="s">
        <v>97</v>
      </c>
      <c r="I224" s="118"/>
      <c r="J224" s="592">
        <v>1200</v>
      </c>
      <c r="K224" s="92">
        <f>VLOOKUP(H224,名称!A:C,2,0)</f>
        <v>5</v>
      </c>
      <c r="L224" s="32">
        <f t="shared" si="36"/>
        <v>6000</v>
      </c>
      <c r="M224" s="541">
        <f>VLOOKUP(H224,名称!A:E,3,0)</f>
        <v>24</v>
      </c>
      <c r="N224" s="586">
        <f t="shared" si="37"/>
        <v>50</v>
      </c>
      <c r="O224" s="590">
        <v>46266</v>
      </c>
      <c r="P224" s="590">
        <v>46266</v>
      </c>
      <c r="Q224" s="549">
        <v>46266</v>
      </c>
      <c r="R224" s="539"/>
      <c r="S224" s="549" t="s">
        <v>1133</v>
      </c>
      <c r="T224" s="539"/>
      <c r="U224" s="541"/>
      <c r="V224" s="539"/>
      <c r="W224" s="518" t="str">
        <f>IFERROR(VLOOKUP(H224,名称!A:F,6,0),"")</f>
        <v>湖南</v>
      </c>
      <c r="X224" s="541" t="s">
        <v>1133</v>
      </c>
      <c r="Y224" s="541" t="s">
        <v>1133</v>
      </c>
      <c r="Z224" s="541" t="s">
        <v>1249</v>
      </c>
      <c r="AA224" s="552">
        <v>46178</v>
      </c>
      <c r="AB224" s="567">
        <v>46195</v>
      </c>
      <c r="AC224" s="541" t="s">
        <v>1133</v>
      </c>
      <c r="AD224" s="541" t="s">
        <v>1133</v>
      </c>
      <c r="AE224" s="591" t="s">
        <v>510</v>
      </c>
      <c r="AF224" s="541" t="s">
        <v>1228</v>
      </c>
      <c r="AG224" s="541" t="s">
        <v>510</v>
      </c>
      <c r="AH224" s="541" t="s">
        <v>1133</v>
      </c>
      <c r="AI224" s="541" t="s">
        <v>1228</v>
      </c>
      <c r="AJ224" s="541" t="s">
        <v>1133</v>
      </c>
      <c r="AK224" s="541" t="s">
        <v>510</v>
      </c>
      <c r="AL224" s="541"/>
      <c r="AM224" s="431" t="s">
        <v>1293</v>
      </c>
      <c r="AN224" s="591"/>
      <c r="AO224" s="544">
        <v>0.63</v>
      </c>
      <c r="AP224" s="545">
        <f t="shared" si="29"/>
        <v>756</v>
      </c>
      <c r="AQ224" s="545">
        <f t="shared" si="30"/>
        <v>5859</v>
      </c>
      <c r="AR224" s="546"/>
      <c r="AS224" s="538"/>
      <c r="AT224" s="538" t="s">
        <v>1220</v>
      </c>
      <c r="AU224" s="548"/>
      <c r="AV224" s="548">
        <f t="shared" si="31"/>
        <v>-1200</v>
      </c>
      <c r="AW224" s="606"/>
      <c r="AX224" s="420" t="s">
        <v>1280</v>
      </c>
      <c r="AY224" s="538" t="s">
        <v>1317</v>
      </c>
      <c r="AZ224" s="538" t="s">
        <v>1256</v>
      </c>
      <c r="BA224" s="538"/>
      <c r="BB224" s="538" t="str">
        <f t="shared" si="32"/>
        <v>Sheng Tai_Camtec</v>
      </c>
      <c r="BC224" s="538" t="str">
        <f t="shared" si="33"/>
        <v>新加坡</v>
      </c>
    </row>
    <row r="225" s="495" customFormat="1" customHeight="1" spans="1:55">
      <c r="A225" s="538">
        <v>46177</v>
      </c>
      <c r="B225" s="538" t="str">
        <f ca="1" t="shared" si="27"/>
        <v/>
      </c>
      <c r="C225" s="539" t="str">
        <f>VLOOKUP(H225,名称!A:E,4,0)</f>
        <v>三代</v>
      </c>
      <c r="D225" s="591" t="s">
        <v>1387</v>
      </c>
      <c r="E225" s="591" t="s">
        <v>1388</v>
      </c>
      <c r="F225" s="591" t="s">
        <v>908</v>
      </c>
      <c r="G225" s="591" t="s">
        <v>909</v>
      </c>
      <c r="H225" s="591" t="s">
        <v>98</v>
      </c>
      <c r="I225" s="118"/>
      <c r="J225" s="592">
        <v>900</v>
      </c>
      <c r="K225" s="92">
        <f>VLOOKUP(H225,名称!A:C,2,0)</f>
        <v>12</v>
      </c>
      <c r="L225" s="32">
        <f t="shared" si="36"/>
        <v>10800</v>
      </c>
      <c r="M225" s="541">
        <f>VLOOKUP(H225,名称!A:E,3,0)</f>
        <v>12</v>
      </c>
      <c r="N225" s="586">
        <f t="shared" si="37"/>
        <v>75</v>
      </c>
      <c r="O225" s="590">
        <v>46266</v>
      </c>
      <c r="P225" s="590">
        <v>46266</v>
      </c>
      <c r="Q225" s="549">
        <v>46266</v>
      </c>
      <c r="R225" s="539"/>
      <c r="S225" s="549" t="s">
        <v>1133</v>
      </c>
      <c r="T225" s="539"/>
      <c r="U225" s="541"/>
      <c r="V225" s="539"/>
      <c r="W225" s="518" t="str">
        <f>IFERROR(VLOOKUP(H225,名称!A:F,6,0),"")</f>
        <v>湖南</v>
      </c>
      <c r="X225" s="541" t="s">
        <v>1133</v>
      </c>
      <c r="Y225" s="541" t="s">
        <v>1133</v>
      </c>
      <c r="Z225" s="541" t="s">
        <v>1249</v>
      </c>
      <c r="AA225" s="552">
        <v>46178</v>
      </c>
      <c r="AB225" s="567">
        <v>46195</v>
      </c>
      <c r="AC225" s="541" t="s">
        <v>1302</v>
      </c>
      <c r="AD225" s="541" t="s">
        <v>1133</v>
      </c>
      <c r="AE225" s="591" t="s">
        <v>510</v>
      </c>
      <c r="AF225" s="541" t="s">
        <v>1228</v>
      </c>
      <c r="AG225" s="541" t="s">
        <v>510</v>
      </c>
      <c r="AH225" s="541" t="s">
        <v>1307</v>
      </c>
      <c r="AI225" s="541" t="s">
        <v>1228</v>
      </c>
      <c r="AJ225" s="541" t="s">
        <v>1133</v>
      </c>
      <c r="AK225" s="541" t="s">
        <v>1133</v>
      </c>
      <c r="AL225" s="541"/>
      <c r="AM225" s="431" t="s">
        <v>1293</v>
      </c>
      <c r="AN225" s="591"/>
      <c r="AO225" s="544">
        <v>1.6</v>
      </c>
      <c r="AP225" s="545">
        <f t="shared" si="29"/>
        <v>1440</v>
      </c>
      <c r="AQ225" s="545">
        <f t="shared" si="30"/>
        <v>11160</v>
      </c>
      <c r="AR225" s="546"/>
      <c r="AS225" s="538"/>
      <c r="AT225" s="538" t="s">
        <v>1220</v>
      </c>
      <c r="AU225" s="548"/>
      <c r="AV225" s="548">
        <f t="shared" si="31"/>
        <v>-900</v>
      </c>
      <c r="AW225" s="606"/>
      <c r="AX225" s="431" t="s">
        <v>1280</v>
      </c>
      <c r="AY225" s="538" t="s">
        <v>1317</v>
      </c>
      <c r="AZ225" s="538" t="s">
        <v>1256</v>
      </c>
      <c r="BA225" s="538"/>
      <c r="BB225" s="538" t="str">
        <f t="shared" si="32"/>
        <v>Sheng Tai_Camtec</v>
      </c>
      <c r="BC225" s="538" t="str">
        <f t="shared" si="33"/>
        <v>新加坡</v>
      </c>
    </row>
    <row r="226" s="496" customFormat="1" customHeight="1" spans="1:55">
      <c r="A226" s="527">
        <v>46177</v>
      </c>
      <c r="B226" s="527" t="str">
        <f ca="1" t="shared" si="27"/>
        <v/>
      </c>
      <c r="C226" s="346" t="str">
        <f>VLOOKUP(H226,名称!A:E,4,0)</f>
        <v>三代</v>
      </c>
      <c r="D226" s="588" t="s">
        <v>1257</v>
      </c>
      <c r="E226" s="408" t="s">
        <v>1389</v>
      </c>
      <c r="F226" s="588" t="s">
        <v>916</v>
      </c>
      <c r="G226" s="588" t="s">
        <v>917</v>
      </c>
      <c r="H226" s="588" t="s">
        <v>117</v>
      </c>
      <c r="I226" s="346"/>
      <c r="J226" s="589">
        <v>2250</v>
      </c>
      <c r="K226" s="347">
        <f>VLOOKUP(H226,名称!A:C,2,0)</f>
        <v>50</v>
      </c>
      <c r="L226" s="348">
        <f t="shared" si="36"/>
        <v>112500</v>
      </c>
      <c r="M226" s="568">
        <f>VLOOKUP(H226,名称!A:E,3,0)</f>
        <v>2</v>
      </c>
      <c r="N226" s="599">
        <f t="shared" si="37"/>
        <v>1125</v>
      </c>
      <c r="O226" s="587">
        <v>46241</v>
      </c>
      <c r="P226" s="587">
        <v>46241</v>
      </c>
      <c r="Q226" s="536">
        <v>46241</v>
      </c>
      <c r="R226" s="404" t="s">
        <v>1277</v>
      </c>
      <c r="S226" s="536">
        <v>46241</v>
      </c>
      <c r="T226" s="404" t="s">
        <v>1241</v>
      </c>
      <c r="U226" s="568"/>
      <c r="V226" s="346"/>
      <c r="W226" s="348" t="str">
        <f>IFERROR(VLOOKUP(H226,名称!A:F,6,0),"")</f>
        <v>湖南</v>
      </c>
      <c r="X226" s="568" t="s">
        <v>1133</v>
      </c>
      <c r="Y226" s="568" t="s">
        <v>1133</v>
      </c>
      <c r="Z226" s="569">
        <v>46177</v>
      </c>
      <c r="AA226" s="570">
        <v>46189</v>
      </c>
      <c r="AB226" s="569">
        <v>46197</v>
      </c>
      <c r="AC226" s="568" t="s">
        <v>1133</v>
      </c>
      <c r="AD226" s="568" t="s">
        <v>1133</v>
      </c>
      <c r="AE226" s="346" t="s">
        <v>334</v>
      </c>
      <c r="AF226" s="568" t="s">
        <v>1228</v>
      </c>
      <c r="AG226" s="568" t="s">
        <v>334</v>
      </c>
      <c r="AH226" s="568" t="s">
        <v>1133</v>
      </c>
      <c r="AI226" s="568" t="s">
        <v>1228</v>
      </c>
      <c r="AJ226" s="568" t="s">
        <v>1133</v>
      </c>
      <c r="AK226" s="568" t="s">
        <v>1356</v>
      </c>
      <c r="AL226" s="415" t="s">
        <v>1228</v>
      </c>
      <c r="AM226" s="568" t="s">
        <v>1390</v>
      </c>
      <c r="AN226" s="588" t="s">
        <v>1261</v>
      </c>
      <c r="AO226" s="531">
        <v>9.42</v>
      </c>
      <c r="AP226" s="532">
        <f t="shared" si="29"/>
        <v>21195</v>
      </c>
      <c r="AQ226" s="532">
        <f t="shared" si="30"/>
        <v>164261.25</v>
      </c>
      <c r="AR226" s="533"/>
      <c r="AS226" s="527"/>
      <c r="AT226" s="403" t="s">
        <v>1220</v>
      </c>
      <c r="AU226" s="535"/>
      <c r="AV226" s="535">
        <f t="shared" si="31"/>
        <v>-2250</v>
      </c>
      <c r="AW226" s="605"/>
      <c r="AX226" s="536"/>
      <c r="AY226" s="527" t="s">
        <v>1262</v>
      </c>
      <c r="AZ226" s="527" t="s">
        <v>1372</v>
      </c>
      <c r="BA226" s="527"/>
      <c r="BB226" s="527" t="str">
        <f t="shared" si="32"/>
        <v>Character Options</v>
      </c>
      <c r="BC226" s="527" t="str">
        <f t="shared" si="33"/>
        <v>爱尔兰</v>
      </c>
    </row>
    <row r="227" s="495" customFormat="1" customHeight="1" spans="1:55">
      <c r="A227" s="538">
        <v>46177</v>
      </c>
      <c r="B227" s="538" t="str">
        <f ca="1" t="shared" si="27"/>
        <v/>
      </c>
      <c r="C227" s="539" t="str">
        <f>VLOOKUP(H227,名称!A:E,4,0)</f>
        <v>三代</v>
      </c>
      <c r="D227" s="591" t="s">
        <v>1257</v>
      </c>
      <c r="E227" s="591" t="s">
        <v>1258</v>
      </c>
      <c r="F227" s="591" t="s">
        <v>914</v>
      </c>
      <c r="G227" s="591" t="s">
        <v>915</v>
      </c>
      <c r="H227" s="591" t="s">
        <v>117</v>
      </c>
      <c r="I227" s="118"/>
      <c r="J227" s="592">
        <v>2250</v>
      </c>
      <c r="K227" s="92">
        <f>VLOOKUP(H227,名称!A:C,2,0)</f>
        <v>50</v>
      </c>
      <c r="L227" s="32">
        <f t="shared" si="36"/>
        <v>112500</v>
      </c>
      <c r="M227" s="541">
        <f>VLOOKUP(H227,名称!A:E,3,0)</f>
        <v>2</v>
      </c>
      <c r="N227" s="586">
        <f t="shared" si="37"/>
        <v>1125</v>
      </c>
      <c r="O227" s="590">
        <v>46255</v>
      </c>
      <c r="P227" s="590">
        <v>46255</v>
      </c>
      <c r="Q227" s="549">
        <v>46254</v>
      </c>
      <c r="R227" s="539"/>
      <c r="S227" s="549">
        <v>46255</v>
      </c>
      <c r="T227" s="539"/>
      <c r="U227" s="541"/>
      <c r="V227" s="539"/>
      <c r="W227" s="518" t="str">
        <f>IFERROR(VLOOKUP(H227,名称!A:F,6,0),"")</f>
        <v>湖南</v>
      </c>
      <c r="X227" s="541" t="s">
        <v>1133</v>
      </c>
      <c r="Y227" s="541" t="s">
        <v>1133</v>
      </c>
      <c r="Z227" s="567">
        <v>46177</v>
      </c>
      <c r="AA227" s="552">
        <v>46189</v>
      </c>
      <c r="AB227" s="567">
        <v>46197</v>
      </c>
      <c r="AC227" s="541" t="s">
        <v>1133</v>
      </c>
      <c r="AD227" s="541" t="s">
        <v>1133</v>
      </c>
      <c r="AE227" s="539" t="s">
        <v>334</v>
      </c>
      <c r="AF227" s="541" t="s">
        <v>1228</v>
      </c>
      <c r="AG227" s="541" t="s">
        <v>334</v>
      </c>
      <c r="AH227" s="541" t="s">
        <v>1133</v>
      </c>
      <c r="AI227" s="541" t="s">
        <v>1228</v>
      </c>
      <c r="AJ227" s="541" t="s">
        <v>1133</v>
      </c>
      <c r="AK227" s="541" t="s">
        <v>1356</v>
      </c>
      <c r="AL227" s="431" t="s">
        <v>1228</v>
      </c>
      <c r="AM227" s="541" t="s">
        <v>1391</v>
      </c>
      <c r="AN227" s="591" t="s">
        <v>1261</v>
      </c>
      <c r="AO227" s="544">
        <v>9.42</v>
      </c>
      <c r="AP227" s="545">
        <f t="shared" si="29"/>
        <v>21195</v>
      </c>
      <c r="AQ227" s="545">
        <f t="shared" si="30"/>
        <v>164261.25</v>
      </c>
      <c r="AR227" s="546"/>
      <c r="AS227" s="538"/>
      <c r="AT227" s="455" t="s">
        <v>1220</v>
      </c>
      <c r="AU227" s="548"/>
      <c r="AV227" s="548">
        <f t="shared" si="31"/>
        <v>-2250</v>
      </c>
      <c r="AW227" s="606"/>
      <c r="AX227" s="549"/>
      <c r="AY227" s="538" t="s">
        <v>1262</v>
      </c>
      <c r="AZ227" s="538" t="s">
        <v>1372</v>
      </c>
      <c r="BA227" s="538"/>
      <c r="BB227" s="538" t="str">
        <f t="shared" si="32"/>
        <v>Character Options</v>
      </c>
      <c r="BC227" s="538" t="str">
        <f t="shared" si="33"/>
        <v>英国</v>
      </c>
    </row>
    <row r="228" s="495" customFormat="1" customHeight="1" spans="1:55">
      <c r="A228" s="538">
        <v>46178</v>
      </c>
      <c r="B228" s="538" t="str">
        <f ca="1" t="shared" si="27"/>
        <v>异常</v>
      </c>
      <c r="C228" s="539" t="str">
        <f>VLOOKUP(H228,名称!A:E,4,0)</f>
        <v>三代</v>
      </c>
      <c r="D228" s="591" t="s">
        <v>1392</v>
      </c>
      <c r="E228" s="591" t="s">
        <v>1224</v>
      </c>
      <c r="F228" s="591">
        <v>6957956</v>
      </c>
      <c r="G228" s="591" t="s">
        <v>920</v>
      </c>
      <c r="H228" s="591" t="s">
        <v>199</v>
      </c>
      <c r="I228" s="118"/>
      <c r="J228" s="592">
        <v>75000</v>
      </c>
      <c r="K228" s="92">
        <f>VLOOKUP(H228,名称!A:C,2,0)</f>
        <v>5</v>
      </c>
      <c r="L228" s="32">
        <f t="shared" si="36"/>
        <v>375000</v>
      </c>
      <c r="M228" s="541">
        <f>VLOOKUP(H228,名称!A:E,3,0)</f>
        <v>24</v>
      </c>
      <c r="N228" s="586">
        <f t="shared" si="37"/>
        <v>3125</v>
      </c>
      <c r="O228" s="590">
        <v>46321</v>
      </c>
      <c r="P228" s="590">
        <v>46321</v>
      </c>
      <c r="Q228" s="549">
        <v>46321</v>
      </c>
      <c r="R228" s="539"/>
      <c r="S228" s="566">
        <v>46321</v>
      </c>
      <c r="T228" s="539"/>
      <c r="U228" s="541"/>
      <c r="V228" s="539"/>
      <c r="W228" s="518" t="str">
        <f>IFERROR(VLOOKUP(H228,名称!A:F,6,0),"")</f>
        <v>湖南</v>
      </c>
      <c r="X228" s="541" t="s">
        <v>1133</v>
      </c>
      <c r="Y228" s="541" t="s">
        <v>1133</v>
      </c>
      <c r="Z228" s="541" t="s">
        <v>1233</v>
      </c>
      <c r="AA228" s="552"/>
      <c r="AB228" s="541"/>
      <c r="AC228" s="541" t="s">
        <v>1133</v>
      </c>
      <c r="AD228" s="541" t="s">
        <v>1133</v>
      </c>
      <c r="AE228" s="591" t="s">
        <v>270</v>
      </c>
      <c r="AF228" s="431" t="s">
        <v>1228</v>
      </c>
      <c r="AG228" s="541" t="s">
        <v>270</v>
      </c>
      <c r="AH228" s="541" t="s">
        <v>1133</v>
      </c>
      <c r="AI228" s="431" t="s">
        <v>1228</v>
      </c>
      <c r="AJ228" s="541" t="s">
        <v>1133</v>
      </c>
      <c r="AK228" s="541" t="s">
        <v>270</v>
      </c>
      <c r="AL228" s="431" t="s">
        <v>1228</v>
      </c>
      <c r="AM228" s="541"/>
      <c r="AN228" s="541"/>
      <c r="AO228" s="544">
        <v>0.89</v>
      </c>
      <c r="AP228" s="545">
        <f t="shared" si="29"/>
        <v>66750</v>
      </c>
      <c r="AQ228" s="545">
        <f t="shared" si="30"/>
        <v>517312.5</v>
      </c>
      <c r="AR228" s="546"/>
      <c r="AS228" s="538"/>
      <c r="AT228" s="538" t="s">
        <v>1313</v>
      </c>
      <c r="AU228" s="548"/>
      <c r="AV228" s="548">
        <f t="shared" si="31"/>
        <v>-75000</v>
      </c>
      <c r="AW228" s="606"/>
      <c r="AX228" s="549"/>
      <c r="AY228" s="538" t="s">
        <v>1255</v>
      </c>
      <c r="AZ228" s="538" t="s">
        <v>1256</v>
      </c>
      <c r="BA228" s="538"/>
      <c r="BB228" s="538" t="str">
        <f t="shared" si="32"/>
        <v>JAZWARES - FIVE BELOW FOB</v>
      </c>
      <c r="BC228" s="538" t="str">
        <f t="shared" si="33"/>
        <v>美国</v>
      </c>
    </row>
    <row r="229" s="496" customFormat="1" customHeight="1" spans="1:55">
      <c r="A229" s="527">
        <v>46181</v>
      </c>
      <c r="B229" s="527" t="str">
        <f ca="1" t="shared" si="27"/>
        <v/>
      </c>
      <c r="C229" s="346" t="str">
        <f>VLOOKUP(H229,名称!A:E,4,0)</f>
        <v>三代</v>
      </c>
      <c r="D229" s="588" t="s">
        <v>1393</v>
      </c>
      <c r="E229" s="588" t="s">
        <v>1394</v>
      </c>
      <c r="F229" s="588" t="s">
        <v>921</v>
      </c>
      <c r="G229" s="588" t="s">
        <v>922</v>
      </c>
      <c r="H229" s="588" t="s">
        <v>55</v>
      </c>
      <c r="I229" s="346"/>
      <c r="J229" s="589">
        <v>5488</v>
      </c>
      <c r="K229" s="347">
        <f>VLOOKUP(H229,名称!A:C,2,0)</f>
        <v>7</v>
      </c>
      <c r="L229" s="348">
        <f t="shared" si="36"/>
        <v>38416</v>
      </c>
      <c r="M229" s="568">
        <f>VLOOKUP(H229,名称!A:E,3,0)</f>
        <v>16</v>
      </c>
      <c r="N229" s="599">
        <f t="shared" si="37"/>
        <v>343</v>
      </c>
      <c r="O229" s="587">
        <v>46239</v>
      </c>
      <c r="P229" s="587">
        <v>46239</v>
      </c>
      <c r="Q229" s="536">
        <v>46239</v>
      </c>
      <c r="R229" s="404" t="s">
        <v>1241</v>
      </c>
      <c r="S229" s="536" t="s">
        <v>1133</v>
      </c>
      <c r="T229" s="346"/>
      <c r="U229" s="568"/>
      <c r="V229" s="346"/>
      <c r="W229" s="348" t="str">
        <f>IFERROR(VLOOKUP(H229,名称!A:F,6,0),"")</f>
        <v>湖南</v>
      </c>
      <c r="X229" s="568" t="s">
        <v>1248</v>
      </c>
      <c r="Y229" s="569">
        <v>46190</v>
      </c>
      <c r="Z229" s="568" t="s">
        <v>1249</v>
      </c>
      <c r="AA229" s="570">
        <v>46183</v>
      </c>
      <c r="AB229" s="569">
        <v>46184</v>
      </c>
      <c r="AC229" s="568" t="s">
        <v>1284</v>
      </c>
      <c r="AD229" s="568" t="s">
        <v>1228</v>
      </c>
      <c r="AE229" s="588" t="s">
        <v>510</v>
      </c>
      <c r="AF229" s="568" t="s">
        <v>1228</v>
      </c>
      <c r="AG229" s="568" t="s">
        <v>510</v>
      </c>
      <c r="AH229" s="568" t="s">
        <v>1307</v>
      </c>
      <c r="AI229" s="568" t="s">
        <v>1228</v>
      </c>
      <c r="AJ229" s="568" t="s">
        <v>1133</v>
      </c>
      <c r="AK229" s="568" t="s">
        <v>1133</v>
      </c>
      <c r="AL229" s="568"/>
      <c r="AM229" s="415" t="s">
        <v>1292</v>
      </c>
      <c r="AN229" s="568" t="s">
        <v>1251</v>
      </c>
      <c r="AO229" s="531">
        <v>0.88</v>
      </c>
      <c r="AP229" s="532">
        <f t="shared" si="29"/>
        <v>4829.44</v>
      </c>
      <c r="AQ229" s="532">
        <f t="shared" si="30"/>
        <v>37428.16</v>
      </c>
      <c r="AR229" s="533"/>
      <c r="AS229" s="527"/>
      <c r="AT229" s="527" t="s">
        <v>1220</v>
      </c>
      <c r="AU229" s="535">
        <f>1840+3648</f>
        <v>5488</v>
      </c>
      <c r="AV229" s="535">
        <f t="shared" si="31"/>
        <v>0</v>
      </c>
      <c r="AW229" s="605"/>
      <c r="AX229" s="413" t="s">
        <v>1280</v>
      </c>
      <c r="AY229" s="527" t="s">
        <v>1317</v>
      </c>
      <c r="AZ229" s="527" t="s">
        <v>1256</v>
      </c>
      <c r="BA229" s="527"/>
      <c r="BB229" s="527" t="str">
        <f t="shared" si="32"/>
        <v>BOTI</v>
      </c>
      <c r="BC229" s="527" t="str">
        <f t="shared" si="33"/>
        <v>比利时</v>
      </c>
    </row>
    <row r="230" s="496" customFormat="1" customHeight="1" spans="1:55">
      <c r="A230" s="527">
        <v>46181</v>
      </c>
      <c r="B230" s="527" t="str">
        <f ca="1" t="shared" si="27"/>
        <v/>
      </c>
      <c r="C230" s="346" t="str">
        <f>VLOOKUP(H230,名称!A:E,4,0)</f>
        <v>三代</v>
      </c>
      <c r="D230" s="588" t="s">
        <v>1393</v>
      </c>
      <c r="E230" s="588" t="s">
        <v>1394</v>
      </c>
      <c r="F230" s="588" t="s">
        <v>921</v>
      </c>
      <c r="G230" s="588" t="s">
        <v>922</v>
      </c>
      <c r="H230" s="588" t="s">
        <v>61</v>
      </c>
      <c r="I230" s="118"/>
      <c r="J230" s="589">
        <v>5016</v>
      </c>
      <c r="K230" s="92">
        <f>VLOOKUP(H230,名称!A:C,2,0)</f>
        <v>5</v>
      </c>
      <c r="L230" s="32">
        <f t="shared" si="36"/>
        <v>25080</v>
      </c>
      <c r="M230" s="568">
        <f>VLOOKUP(H230,名称!A:E,3,0)</f>
        <v>24</v>
      </c>
      <c r="N230" s="599">
        <f t="shared" si="37"/>
        <v>209</v>
      </c>
      <c r="O230" s="587">
        <v>46239</v>
      </c>
      <c r="P230" s="587">
        <v>46239</v>
      </c>
      <c r="Q230" s="536">
        <v>46239</v>
      </c>
      <c r="R230" s="404" t="s">
        <v>1241</v>
      </c>
      <c r="S230" s="536" t="s">
        <v>1133</v>
      </c>
      <c r="T230" s="346"/>
      <c r="U230" s="568"/>
      <c r="V230" s="346"/>
      <c r="W230" s="348" t="str">
        <f>IFERROR(VLOOKUP(H230,名称!A:F,6,0),"")</f>
        <v>湖南</v>
      </c>
      <c r="X230" s="568" t="s">
        <v>1248</v>
      </c>
      <c r="Y230" s="569">
        <v>46190</v>
      </c>
      <c r="Z230" s="568" t="s">
        <v>1249</v>
      </c>
      <c r="AA230" s="570">
        <v>46183</v>
      </c>
      <c r="AB230" s="569">
        <v>46184</v>
      </c>
      <c r="AC230" s="568" t="s">
        <v>1133</v>
      </c>
      <c r="AD230" s="568" t="s">
        <v>1133</v>
      </c>
      <c r="AE230" s="588" t="s">
        <v>510</v>
      </c>
      <c r="AF230" s="568" t="s">
        <v>1228</v>
      </c>
      <c r="AG230" s="568" t="s">
        <v>510</v>
      </c>
      <c r="AH230" s="568" t="s">
        <v>1133</v>
      </c>
      <c r="AI230" s="568" t="s">
        <v>1228</v>
      </c>
      <c r="AJ230" s="568" t="s">
        <v>1133</v>
      </c>
      <c r="AK230" s="568" t="s">
        <v>510</v>
      </c>
      <c r="AL230" s="568"/>
      <c r="AM230" s="415" t="s">
        <v>1292</v>
      </c>
      <c r="AN230" s="588" t="s">
        <v>1251</v>
      </c>
      <c r="AO230" s="531">
        <v>0.63</v>
      </c>
      <c r="AP230" s="532">
        <f t="shared" si="29"/>
        <v>3160.08</v>
      </c>
      <c r="AQ230" s="532">
        <f t="shared" si="30"/>
        <v>24490.62</v>
      </c>
      <c r="AR230" s="533"/>
      <c r="AS230" s="527"/>
      <c r="AT230" s="527" t="s">
        <v>1220</v>
      </c>
      <c r="AU230" s="535">
        <f>4992+24</f>
        <v>5016</v>
      </c>
      <c r="AV230" s="535">
        <f t="shared" si="31"/>
        <v>0</v>
      </c>
      <c r="AW230" s="605"/>
      <c r="AX230" s="413" t="s">
        <v>1280</v>
      </c>
      <c r="AY230" s="527" t="s">
        <v>1317</v>
      </c>
      <c r="AZ230" s="527" t="s">
        <v>1256</v>
      </c>
      <c r="BA230" s="527"/>
      <c r="BB230" s="527" t="str">
        <f t="shared" si="32"/>
        <v>BOTI</v>
      </c>
      <c r="BC230" s="527" t="str">
        <f t="shared" si="33"/>
        <v>比利时</v>
      </c>
    </row>
    <row r="231" s="496" customFormat="1" customHeight="1" spans="1:55">
      <c r="A231" s="527">
        <v>46181</v>
      </c>
      <c r="B231" s="527" t="str">
        <f ca="1" t="shared" si="27"/>
        <v/>
      </c>
      <c r="C231" s="346" t="str">
        <f>VLOOKUP(H231,名称!A:E,4,0)</f>
        <v>三代</v>
      </c>
      <c r="D231" s="588" t="s">
        <v>1393</v>
      </c>
      <c r="E231" s="588" t="s">
        <v>1394</v>
      </c>
      <c r="F231" s="588" t="s">
        <v>921</v>
      </c>
      <c r="G231" s="588" t="s">
        <v>922</v>
      </c>
      <c r="H231" s="588" t="s">
        <v>66</v>
      </c>
      <c r="I231" s="346"/>
      <c r="J231" s="589">
        <v>4500</v>
      </c>
      <c r="K231" s="347">
        <f>VLOOKUP(H231,名称!A:C,2,0)</f>
        <v>12</v>
      </c>
      <c r="L231" s="348">
        <f t="shared" si="36"/>
        <v>54000</v>
      </c>
      <c r="M231" s="568">
        <f>VLOOKUP(H231,名称!A:E,3,0)</f>
        <v>6</v>
      </c>
      <c r="N231" s="599">
        <f t="shared" si="37"/>
        <v>750</v>
      </c>
      <c r="O231" s="587">
        <v>46239</v>
      </c>
      <c r="P231" s="587">
        <v>46239</v>
      </c>
      <c r="Q231" s="536">
        <v>46239</v>
      </c>
      <c r="R231" s="404" t="s">
        <v>1241</v>
      </c>
      <c r="S231" s="536" t="s">
        <v>1133</v>
      </c>
      <c r="T231" s="346"/>
      <c r="U231" s="568"/>
      <c r="V231" s="346"/>
      <c r="W231" s="348" t="str">
        <f>IFERROR(VLOOKUP(H231,名称!A:F,6,0),"")</f>
        <v>湖南</v>
      </c>
      <c r="X231" s="568" t="s">
        <v>1248</v>
      </c>
      <c r="Y231" s="569">
        <v>46190</v>
      </c>
      <c r="Z231" s="568" t="s">
        <v>1249</v>
      </c>
      <c r="AA231" s="570">
        <v>46183</v>
      </c>
      <c r="AB231" s="569">
        <v>46184</v>
      </c>
      <c r="AC231" s="568" t="s">
        <v>1318</v>
      </c>
      <c r="AD231" s="568" t="s">
        <v>1228</v>
      </c>
      <c r="AE231" s="588" t="s">
        <v>510</v>
      </c>
      <c r="AF231" s="568" t="s">
        <v>1228</v>
      </c>
      <c r="AG231" s="568" t="s">
        <v>510</v>
      </c>
      <c r="AH231" s="568" t="s">
        <v>1307</v>
      </c>
      <c r="AI231" s="568" t="s">
        <v>1228</v>
      </c>
      <c r="AJ231" s="568" t="s">
        <v>510</v>
      </c>
      <c r="AK231" s="568" t="s">
        <v>1133</v>
      </c>
      <c r="AL231" s="568"/>
      <c r="AM231" s="415" t="s">
        <v>1292</v>
      </c>
      <c r="AN231" s="568" t="s">
        <v>1251</v>
      </c>
      <c r="AO231" s="531">
        <v>2.04</v>
      </c>
      <c r="AP231" s="532">
        <f t="shared" si="29"/>
        <v>9180</v>
      </c>
      <c r="AQ231" s="532">
        <f t="shared" si="30"/>
        <v>71145</v>
      </c>
      <c r="AR231" s="533"/>
      <c r="AS231" s="527"/>
      <c r="AT231" s="527" t="s">
        <v>1220</v>
      </c>
      <c r="AU231" s="535">
        <f>4464+36</f>
        <v>4500</v>
      </c>
      <c r="AV231" s="535">
        <f t="shared" si="31"/>
        <v>0</v>
      </c>
      <c r="AW231" s="605"/>
      <c r="AX231" s="413" t="s">
        <v>1280</v>
      </c>
      <c r="AY231" s="527" t="s">
        <v>1317</v>
      </c>
      <c r="AZ231" s="527" t="s">
        <v>1256</v>
      </c>
      <c r="BA231" s="527"/>
      <c r="BB231" s="527" t="str">
        <f t="shared" si="32"/>
        <v>BOTI</v>
      </c>
      <c r="BC231" s="527" t="str">
        <f t="shared" si="33"/>
        <v>比利时</v>
      </c>
    </row>
    <row r="232" s="496" customFormat="1" customHeight="1" spans="1:55">
      <c r="A232" s="527">
        <v>46181</v>
      </c>
      <c r="B232" s="527" t="str">
        <f ca="1" t="shared" si="27"/>
        <v/>
      </c>
      <c r="C232" s="346" t="str">
        <f>VLOOKUP(H232,名称!A:E,4,0)</f>
        <v>三代</v>
      </c>
      <c r="D232" s="588" t="s">
        <v>1393</v>
      </c>
      <c r="E232" s="588" t="s">
        <v>1394</v>
      </c>
      <c r="F232" s="588" t="s">
        <v>921</v>
      </c>
      <c r="G232" s="588" t="s">
        <v>922</v>
      </c>
      <c r="H232" s="588" t="s">
        <v>85</v>
      </c>
      <c r="I232" s="118"/>
      <c r="J232" s="589">
        <v>6000</v>
      </c>
      <c r="K232" s="92">
        <f>VLOOKUP(H232,名称!A:C,2,0)</f>
        <v>5</v>
      </c>
      <c r="L232" s="32">
        <f t="shared" si="36"/>
        <v>30000</v>
      </c>
      <c r="M232" s="568">
        <f>VLOOKUP(H232,名称!A:E,3,0)</f>
        <v>24</v>
      </c>
      <c r="N232" s="599">
        <f t="shared" si="37"/>
        <v>250</v>
      </c>
      <c r="O232" s="587">
        <v>46239</v>
      </c>
      <c r="P232" s="587">
        <v>46239</v>
      </c>
      <c r="Q232" s="536">
        <v>46244</v>
      </c>
      <c r="R232" s="404" t="s">
        <v>1277</v>
      </c>
      <c r="S232" s="536" t="s">
        <v>1133</v>
      </c>
      <c r="T232" s="346"/>
      <c r="U232" s="568"/>
      <c r="V232" s="346"/>
      <c r="W232" s="348" t="str">
        <f>IFERROR(VLOOKUP(H232,名称!A:F,6,0),"")</f>
        <v>湖南</v>
      </c>
      <c r="X232" s="568" t="s">
        <v>1248</v>
      </c>
      <c r="Y232" s="569">
        <v>46190</v>
      </c>
      <c r="Z232" s="568" t="s">
        <v>1249</v>
      </c>
      <c r="AA232" s="570">
        <v>46183</v>
      </c>
      <c r="AB232" s="569">
        <v>46184</v>
      </c>
      <c r="AC232" s="568" t="s">
        <v>1133</v>
      </c>
      <c r="AD232" s="415" t="s">
        <v>1133</v>
      </c>
      <c r="AE232" s="588" t="s">
        <v>510</v>
      </c>
      <c r="AF232" s="568" t="s">
        <v>1228</v>
      </c>
      <c r="AG232" s="568" t="s">
        <v>510</v>
      </c>
      <c r="AH232" s="568" t="s">
        <v>1133</v>
      </c>
      <c r="AI232" s="568" t="s">
        <v>1228</v>
      </c>
      <c r="AJ232" s="568" t="s">
        <v>1133</v>
      </c>
      <c r="AK232" s="568" t="s">
        <v>510</v>
      </c>
      <c r="AL232" s="568"/>
      <c r="AM232" s="415" t="s">
        <v>1292</v>
      </c>
      <c r="AN232" s="415" t="s">
        <v>1395</v>
      </c>
      <c r="AO232" s="531">
        <v>0.83</v>
      </c>
      <c r="AP232" s="532">
        <f t="shared" si="29"/>
        <v>4980</v>
      </c>
      <c r="AQ232" s="532">
        <f t="shared" si="30"/>
        <v>38595</v>
      </c>
      <c r="AR232" s="533"/>
      <c r="AS232" s="527"/>
      <c r="AT232" s="527" t="s">
        <v>1220</v>
      </c>
      <c r="AU232" s="535">
        <v>6000</v>
      </c>
      <c r="AV232" s="535">
        <f t="shared" si="31"/>
        <v>0</v>
      </c>
      <c r="AW232" s="605"/>
      <c r="AX232" s="413" t="s">
        <v>1280</v>
      </c>
      <c r="AY232" s="527" t="s">
        <v>1317</v>
      </c>
      <c r="AZ232" s="527" t="s">
        <v>1256</v>
      </c>
      <c r="BA232" s="527"/>
      <c r="BB232" s="527" t="str">
        <f t="shared" si="32"/>
        <v>BOTI</v>
      </c>
      <c r="BC232" s="527" t="str">
        <f t="shared" si="33"/>
        <v>比利时</v>
      </c>
    </row>
    <row r="233" s="495" customFormat="1" customHeight="1" spans="1:55">
      <c r="A233" s="538">
        <v>46181</v>
      </c>
      <c r="B233" s="538" t="str">
        <f ca="1" t="shared" si="27"/>
        <v>异常</v>
      </c>
      <c r="C233" s="539" t="str">
        <f>VLOOKUP(H233,名称!A:E,4,0)</f>
        <v>三代</v>
      </c>
      <c r="D233" s="619" t="s">
        <v>1240</v>
      </c>
      <c r="E233" s="619" t="s">
        <v>1224</v>
      </c>
      <c r="F233" s="619" t="s">
        <v>923</v>
      </c>
      <c r="G233" s="619" t="s">
        <v>924</v>
      </c>
      <c r="H233" s="619" t="s">
        <v>94</v>
      </c>
      <c r="I233" s="118"/>
      <c r="J233" s="620">
        <v>52320</v>
      </c>
      <c r="K233" s="92">
        <f>VLOOKUP(H233,名称!A:C,2,0)</f>
        <v>5</v>
      </c>
      <c r="L233" s="32">
        <f t="shared" si="36"/>
        <v>261600</v>
      </c>
      <c r="M233" s="541">
        <f>VLOOKUP(H233,名称!A:E,3,0)</f>
        <v>24</v>
      </c>
      <c r="N233" s="586">
        <f t="shared" si="37"/>
        <v>2180</v>
      </c>
      <c r="O233" s="621">
        <v>46295</v>
      </c>
      <c r="P233" s="621">
        <v>46295</v>
      </c>
      <c r="Q233" s="420">
        <v>46295</v>
      </c>
      <c r="R233" s="539"/>
      <c r="S233" s="420">
        <v>46295</v>
      </c>
      <c r="T233" s="539"/>
      <c r="U233" s="541"/>
      <c r="V233" s="539" t="s">
        <v>1396</v>
      </c>
      <c r="W233" s="518" t="str">
        <f>IFERROR(VLOOKUP(H233,名称!A:F,6,0),"")</f>
        <v>湖南</v>
      </c>
      <c r="X233" s="541" t="s">
        <v>1133</v>
      </c>
      <c r="Y233" s="541" t="s">
        <v>1133</v>
      </c>
      <c r="Z233" s="541" t="s">
        <v>1233</v>
      </c>
      <c r="AA233" s="552"/>
      <c r="AB233" s="541"/>
      <c r="AC233" s="541" t="s">
        <v>1133</v>
      </c>
      <c r="AD233" s="541" t="s">
        <v>1133</v>
      </c>
      <c r="AE233" s="591" t="s">
        <v>270</v>
      </c>
      <c r="AF233" s="541" t="s">
        <v>1228</v>
      </c>
      <c r="AG233" s="541" t="s">
        <v>270</v>
      </c>
      <c r="AH233" s="541" t="s">
        <v>1133</v>
      </c>
      <c r="AI233" s="541" t="s">
        <v>1228</v>
      </c>
      <c r="AJ233" s="541" t="s">
        <v>1133</v>
      </c>
      <c r="AK233" s="541" t="s">
        <v>270</v>
      </c>
      <c r="AL233" s="541"/>
      <c r="AM233" s="541"/>
      <c r="AN233" s="591"/>
      <c r="AO233" s="544">
        <v>0.61</v>
      </c>
      <c r="AP233" s="545">
        <f t="shared" si="29"/>
        <v>31915.2</v>
      </c>
      <c r="AQ233" s="545">
        <f t="shared" si="30"/>
        <v>247342.8</v>
      </c>
      <c r="AR233" s="546"/>
      <c r="AS233" s="538"/>
      <c r="AT233" s="538" t="s">
        <v>1220</v>
      </c>
      <c r="AU233" s="548"/>
      <c r="AV233" s="548">
        <f t="shared" si="31"/>
        <v>-52320</v>
      </c>
      <c r="AW233" s="606"/>
      <c r="AX233" s="420" t="s">
        <v>1280</v>
      </c>
      <c r="AY233" s="538" t="s">
        <v>1255</v>
      </c>
      <c r="AZ233" s="538" t="s">
        <v>1256</v>
      </c>
      <c r="BA233" s="538"/>
      <c r="BB233" s="538" t="str">
        <f t="shared" si="32"/>
        <v>JAZWARES - TARGET US DOM</v>
      </c>
      <c r="BC233" s="538" t="str">
        <f t="shared" si="33"/>
        <v>美国</v>
      </c>
    </row>
    <row r="234" s="495" customFormat="1" customHeight="1" spans="1:55">
      <c r="A234" s="538">
        <v>46181</v>
      </c>
      <c r="B234" s="538" t="str">
        <f ca="1" t="shared" si="27"/>
        <v/>
      </c>
      <c r="C234" s="539" t="str">
        <f>VLOOKUP(H234,名称!A:E,4,0)</f>
        <v>三代</v>
      </c>
      <c r="D234" s="619" t="s">
        <v>1240</v>
      </c>
      <c r="E234" s="619" t="s">
        <v>1224</v>
      </c>
      <c r="F234" s="619" t="s">
        <v>925</v>
      </c>
      <c r="G234" s="619" t="s">
        <v>926</v>
      </c>
      <c r="H234" s="619" t="s">
        <v>110</v>
      </c>
      <c r="I234" s="118"/>
      <c r="J234" s="620">
        <v>45600</v>
      </c>
      <c r="K234" s="92">
        <f>VLOOKUP(H234,名称!A:C,2,0)</f>
        <v>0</v>
      </c>
      <c r="L234" s="32">
        <f t="shared" si="36"/>
        <v>0</v>
      </c>
      <c r="M234" s="541">
        <f>VLOOKUP(H234,名称!A:E,3,0)</f>
        <v>24</v>
      </c>
      <c r="N234" s="586">
        <f t="shared" si="37"/>
        <v>1900</v>
      </c>
      <c r="O234" s="621">
        <v>46280</v>
      </c>
      <c r="P234" s="420">
        <v>46280</v>
      </c>
      <c r="Q234" s="549">
        <v>46280</v>
      </c>
      <c r="R234" s="539"/>
      <c r="S234" s="549">
        <v>46280</v>
      </c>
      <c r="T234" s="539"/>
      <c r="U234" s="541"/>
      <c r="V234" s="539"/>
      <c r="W234" s="518" t="str">
        <f>IFERROR(VLOOKUP(H234,名称!A:F,6,0),"")</f>
        <v>东莞</v>
      </c>
      <c r="X234" s="541" t="s">
        <v>1133</v>
      </c>
      <c r="Y234" s="541" t="s">
        <v>1133</v>
      </c>
      <c r="Z234" s="567">
        <v>46240</v>
      </c>
      <c r="AA234" s="552">
        <v>46241</v>
      </c>
      <c r="AB234" s="567">
        <v>46241</v>
      </c>
      <c r="AC234" s="541" t="s">
        <v>1133</v>
      </c>
      <c r="AD234" s="541" t="s">
        <v>1133</v>
      </c>
      <c r="AE234" s="591" t="s">
        <v>270</v>
      </c>
      <c r="AF234" s="541" t="s">
        <v>1228</v>
      </c>
      <c r="AG234" s="541" t="s">
        <v>270</v>
      </c>
      <c r="AH234" s="541" t="s">
        <v>1133</v>
      </c>
      <c r="AI234" s="541" t="s">
        <v>1228</v>
      </c>
      <c r="AJ234" s="541" t="s">
        <v>1133</v>
      </c>
      <c r="AK234" s="541" t="s">
        <v>270</v>
      </c>
      <c r="AL234" s="541"/>
      <c r="AM234" s="431" t="s">
        <v>1293</v>
      </c>
      <c r="AN234" s="591"/>
      <c r="AO234" s="544">
        <v>0.59</v>
      </c>
      <c r="AP234" s="545">
        <f t="shared" si="29"/>
        <v>26904</v>
      </c>
      <c r="AQ234" s="545">
        <f t="shared" si="30"/>
        <v>208506</v>
      </c>
      <c r="AR234" s="546"/>
      <c r="AS234" s="538"/>
      <c r="AT234" s="538" t="s">
        <v>1220</v>
      </c>
      <c r="AU234" s="548"/>
      <c r="AV234" s="548">
        <f t="shared" si="31"/>
        <v>-45600</v>
      </c>
      <c r="AW234" s="606"/>
      <c r="AX234" s="549"/>
      <c r="AY234" s="538" t="s">
        <v>1255</v>
      </c>
      <c r="AZ234" s="538" t="s">
        <v>1256</v>
      </c>
      <c r="BA234" s="538"/>
      <c r="BB234" s="538" t="str">
        <f t="shared" si="32"/>
        <v>JAZWARES - TARGET US DOM</v>
      </c>
      <c r="BC234" s="538" t="str">
        <f t="shared" si="33"/>
        <v>美国</v>
      </c>
    </row>
    <row r="235" s="495" customFormat="1" customHeight="1" spans="1:55">
      <c r="A235" s="538">
        <v>46181</v>
      </c>
      <c r="B235" s="538" t="str">
        <f ca="1" t="shared" si="27"/>
        <v/>
      </c>
      <c r="C235" s="539" t="str">
        <f>VLOOKUP(H235,名称!A:E,4,0)</f>
        <v>三代</v>
      </c>
      <c r="D235" s="619" t="s">
        <v>1240</v>
      </c>
      <c r="E235" s="619" t="s">
        <v>1224</v>
      </c>
      <c r="F235" s="619" t="s">
        <v>927</v>
      </c>
      <c r="G235" s="619" t="s">
        <v>928</v>
      </c>
      <c r="H235" s="619" t="s">
        <v>109</v>
      </c>
      <c r="I235" s="118"/>
      <c r="J235" s="620">
        <v>45600</v>
      </c>
      <c r="K235" s="92">
        <f>VLOOKUP(H235,名称!A:C,2,0)</f>
        <v>0</v>
      </c>
      <c r="L235" s="32">
        <f t="shared" si="36"/>
        <v>0</v>
      </c>
      <c r="M235" s="541">
        <f>VLOOKUP(H235,名称!A:E,3,0)</f>
        <v>24</v>
      </c>
      <c r="N235" s="586">
        <f t="shared" si="37"/>
        <v>1900</v>
      </c>
      <c r="O235" s="621">
        <v>46280</v>
      </c>
      <c r="P235" s="420">
        <v>46280</v>
      </c>
      <c r="Q235" s="549">
        <v>46280</v>
      </c>
      <c r="R235" s="539"/>
      <c r="S235" s="549">
        <v>46280</v>
      </c>
      <c r="T235" s="539"/>
      <c r="U235" s="541"/>
      <c r="V235" s="539"/>
      <c r="W235" s="518" t="str">
        <f>IFERROR(VLOOKUP(H235,名称!A:F,6,0),"")</f>
        <v>东莞</v>
      </c>
      <c r="X235" s="541" t="s">
        <v>1133</v>
      </c>
      <c r="Y235" s="541" t="s">
        <v>1133</v>
      </c>
      <c r="Z235" s="567">
        <v>46240</v>
      </c>
      <c r="AA235" s="552">
        <v>46241</v>
      </c>
      <c r="AB235" s="567">
        <v>46241</v>
      </c>
      <c r="AC235" s="541" t="s">
        <v>1133</v>
      </c>
      <c r="AD235" s="541" t="s">
        <v>1133</v>
      </c>
      <c r="AE235" s="591" t="s">
        <v>270</v>
      </c>
      <c r="AF235" s="541" t="s">
        <v>1228</v>
      </c>
      <c r="AG235" s="541" t="s">
        <v>270</v>
      </c>
      <c r="AH235" s="541" t="s">
        <v>1133</v>
      </c>
      <c r="AI235" s="541" t="s">
        <v>1228</v>
      </c>
      <c r="AJ235" s="541" t="s">
        <v>1133</v>
      </c>
      <c r="AK235" s="541" t="s">
        <v>270</v>
      </c>
      <c r="AL235" s="541"/>
      <c r="AM235" s="431" t="s">
        <v>1293</v>
      </c>
      <c r="AN235" s="591"/>
      <c r="AO235" s="544">
        <v>0.6</v>
      </c>
      <c r="AP235" s="545">
        <f t="shared" si="29"/>
        <v>27360</v>
      </c>
      <c r="AQ235" s="545">
        <f t="shared" si="30"/>
        <v>212040</v>
      </c>
      <c r="AR235" s="546"/>
      <c r="AS235" s="538"/>
      <c r="AT235" s="455" t="s">
        <v>1220</v>
      </c>
      <c r="AU235" s="548"/>
      <c r="AV235" s="548">
        <f t="shared" si="31"/>
        <v>-45600</v>
      </c>
      <c r="AW235" s="606"/>
      <c r="AX235" s="549"/>
      <c r="AY235" s="538" t="s">
        <v>1255</v>
      </c>
      <c r="AZ235" s="538" t="s">
        <v>1256</v>
      </c>
      <c r="BA235" s="538"/>
      <c r="BB235" s="538" t="str">
        <f t="shared" si="32"/>
        <v>JAZWARES - TARGET US DOM</v>
      </c>
      <c r="BC235" s="538" t="str">
        <f t="shared" si="33"/>
        <v>美国</v>
      </c>
    </row>
    <row r="236" s="495" customFormat="1" customHeight="1" spans="1:55">
      <c r="A236" s="538">
        <v>46181</v>
      </c>
      <c r="B236" s="538" t="str">
        <f ca="1" t="shared" si="27"/>
        <v>异常</v>
      </c>
      <c r="C236" s="539" t="str">
        <f>VLOOKUP(H236,名称!A:E,4,0)</f>
        <v>三代</v>
      </c>
      <c r="D236" s="619" t="s">
        <v>1240</v>
      </c>
      <c r="E236" s="619" t="s">
        <v>1224</v>
      </c>
      <c r="F236" s="619" t="s">
        <v>929</v>
      </c>
      <c r="G236" s="619" t="s">
        <v>930</v>
      </c>
      <c r="H236" s="619" t="s">
        <v>199</v>
      </c>
      <c r="I236" s="118"/>
      <c r="J236" s="620">
        <v>45600</v>
      </c>
      <c r="K236" s="92">
        <f>VLOOKUP(H236,名称!A:C,2,0)</f>
        <v>5</v>
      </c>
      <c r="L236" s="32">
        <f t="shared" si="36"/>
        <v>228000</v>
      </c>
      <c r="M236" s="541">
        <f>VLOOKUP(H236,名称!A:E,3,0)</f>
        <v>24</v>
      </c>
      <c r="N236" s="586">
        <f t="shared" si="37"/>
        <v>1900</v>
      </c>
      <c r="O236" s="621">
        <v>46305</v>
      </c>
      <c r="P236" s="420">
        <v>46305</v>
      </c>
      <c r="Q236" s="420">
        <v>46305</v>
      </c>
      <c r="R236" s="539"/>
      <c r="S236" s="549">
        <v>46310</v>
      </c>
      <c r="T236" s="539"/>
      <c r="U236" s="541"/>
      <c r="V236" s="539"/>
      <c r="W236" s="518" t="str">
        <f>IFERROR(VLOOKUP(H236,名称!A:F,6,0),"")</f>
        <v>湖南</v>
      </c>
      <c r="X236" s="541" t="s">
        <v>1133</v>
      </c>
      <c r="Y236" s="541" t="s">
        <v>1133</v>
      </c>
      <c r="Z236" s="541" t="s">
        <v>1233</v>
      </c>
      <c r="AA236" s="552"/>
      <c r="AB236" s="541"/>
      <c r="AC236" s="541" t="s">
        <v>1133</v>
      </c>
      <c r="AD236" s="541" t="s">
        <v>1133</v>
      </c>
      <c r="AE236" s="591" t="s">
        <v>270</v>
      </c>
      <c r="AF236" s="431" t="s">
        <v>1228</v>
      </c>
      <c r="AG236" s="541" t="s">
        <v>270</v>
      </c>
      <c r="AH236" s="541" t="s">
        <v>1133</v>
      </c>
      <c r="AI236" s="431" t="s">
        <v>1228</v>
      </c>
      <c r="AJ236" s="541" t="s">
        <v>1133</v>
      </c>
      <c r="AK236" s="541" t="s">
        <v>270</v>
      </c>
      <c r="AL236" s="431" t="s">
        <v>1228</v>
      </c>
      <c r="AM236" s="541"/>
      <c r="AN236" s="591"/>
      <c r="AO236" s="544">
        <v>0.89</v>
      </c>
      <c r="AP236" s="545">
        <f t="shared" si="29"/>
        <v>40584</v>
      </c>
      <c r="AQ236" s="545">
        <f t="shared" si="30"/>
        <v>314526</v>
      </c>
      <c r="AR236" s="546"/>
      <c r="AS236" s="538"/>
      <c r="AT236" s="538" t="s">
        <v>1313</v>
      </c>
      <c r="AU236" s="548"/>
      <c r="AV236" s="548">
        <f t="shared" si="31"/>
        <v>-45600</v>
      </c>
      <c r="AW236" s="606"/>
      <c r="AX236" s="549"/>
      <c r="AY236" s="538" t="s">
        <v>1255</v>
      </c>
      <c r="AZ236" s="538" t="s">
        <v>1256</v>
      </c>
      <c r="BA236" s="538"/>
      <c r="BB236" s="538" t="str">
        <f t="shared" si="32"/>
        <v>JAZWARES - TARGET US DOM</v>
      </c>
      <c r="BC236" s="538" t="str">
        <f t="shared" si="33"/>
        <v>美国</v>
      </c>
    </row>
    <row r="237" s="495" customFormat="1" customHeight="1" spans="1:55">
      <c r="A237" s="538">
        <v>46181</v>
      </c>
      <c r="B237" s="538" t="str">
        <f ca="1" t="shared" si="27"/>
        <v>异常</v>
      </c>
      <c r="C237" s="539" t="str">
        <f>VLOOKUP(H237,名称!A:E,4,0)</f>
        <v>三代</v>
      </c>
      <c r="D237" s="619" t="s">
        <v>1240</v>
      </c>
      <c r="E237" s="619" t="s">
        <v>1224</v>
      </c>
      <c r="F237" s="619" t="s">
        <v>931</v>
      </c>
      <c r="G237" s="619" t="s">
        <v>932</v>
      </c>
      <c r="H237" s="619" t="s">
        <v>59</v>
      </c>
      <c r="I237" s="118"/>
      <c r="J237" s="620">
        <v>76944</v>
      </c>
      <c r="K237" s="92">
        <f>VLOOKUP(H237,名称!A:C,2,0)</f>
        <v>5</v>
      </c>
      <c r="L237" s="32">
        <f t="shared" si="36"/>
        <v>384720</v>
      </c>
      <c r="M237" s="541">
        <f>VLOOKUP(H237,名称!A:E,3,0)</f>
        <v>24</v>
      </c>
      <c r="N237" s="586">
        <f t="shared" si="37"/>
        <v>3206</v>
      </c>
      <c r="O237" s="621">
        <v>46295</v>
      </c>
      <c r="P237" s="420">
        <v>46295</v>
      </c>
      <c r="Q237" s="549">
        <v>46294</v>
      </c>
      <c r="R237" s="539"/>
      <c r="S237" s="549">
        <v>46295</v>
      </c>
      <c r="T237" s="539"/>
      <c r="U237" s="541"/>
      <c r="V237" s="539"/>
      <c r="W237" s="518" t="str">
        <f>IFERROR(VLOOKUP(H237,名称!A:F,6,0),"")</f>
        <v>湖南</v>
      </c>
      <c r="X237" s="541" t="s">
        <v>1133</v>
      </c>
      <c r="Y237" s="541" t="s">
        <v>1133</v>
      </c>
      <c r="Z237" s="541" t="s">
        <v>1233</v>
      </c>
      <c r="AA237" s="552"/>
      <c r="AB237" s="541"/>
      <c r="AC237" s="541" t="s">
        <v>1133</v>
      </c>
      <c r="AD237" s="541" t="s">
        <v>1133</v>
      </c>
      <c r="AE237" s="591" t="s">
        <v>270</v>
      </c>
      <c r="AF237" s="541" t="s">
        <v>1228</v>
      </c>
      <c r="AG237" s="541" t="s">
        <v>270</v>
      </c>
      <c r="AH237" s="541" t="s">
        <v>1133</v>
      </c>
      <c r="AI237" s="541"/>
      <c r="AJ237" s="541" t="s">
        <v>1133</v>
      </c>
      <c r="AK237" s="541" t="s">
        <v>270</v>
      </c>
      <c r="AL237" s="541"/>
      <c r="AM237" s="422" t="s">
        <v>1250</v>
      </c>
      <c r="AN237" s="591"/>
      <c r="AO237" s="544">
        <v>0.61</v>
      </c>
      <c r="AP237" s="545">
        <f t="shared" si="29"/>
        <v>46935.84</v>
      </c>
      <c r="AQ237" s="545">
        <f t="shared" si="30"/>
        <v>363752.76</v>
      </c>
      <c r="AR237" s="546"/>
      <c r="AS237" s="538"/>
      <c r="AT237" s="538" t="s">
        <v>1220</v>
      </c>
      <c r="AU237" s="548"/>
      <c r="AV237" s="548">
        <f t="shared" si="31"/>
        <v>-76944</v>
      </c>
      <c r="AW237" s="606"/>
      <c r="AX237" s="420" t="s">
        <v>1280</v>
      </c>
      <c r="AY237" s="538" t="s">
        <v>1255</v>
      </c>
      <c r="AZ237" s="538" t="s">
        <v>1256</v>
      </c>
      <c r="BA237" s="538"/>
      <c r="BB237" s="538" t="str">
        <f t="shared" si="32"/>
        <v>JAZWARES - TARGET US DOM</v>
      </c>
      <c r="BC237" s="538" t="str">
        <f t="shared" si="33"/>
        <v>美国</v>
      </c>
    </row>
    <row r="238" s="495" customFormat="1" customHeight="1" spans="1:55">
      <c r="A238" s="538">
        <v>46181</v>
      </c>
      <c r="B238" s="538" t="str">
        <f ca="1" t="shared" si="27"/>
        <v/>
      </c>
      <c r="C238" s="539" t="str">
        <f>VLOOKUP(H238,名称!A:E,4,0)</f>
        <v>三代</v>
      </c>
      <c r="D238" s="619" t="s">
        <v>1240</v>
      </c>
      <c r="E238" s="619" t="s">
        <v>1224</v>
      </c>
      <c r="F238" s="619" t="s">
        <v>933</v>
      </c>
      <c r="G238" s="619" t="s">
        <v>934</v>
      </c>
      <c r="H238" s="619" t="s">
        <v>67</v>
      </c>
      <c r="I238" s="118"/>
      <c r="J238" s="620">
        <v>22800</v>
      </c>
      <c r="K238" s="92">
        <f>VLOOKUP(H238,名称!A:C,2,0)</f>
        <v>12</v>
      </c>
      <c r="L238" s="32">
        <f t="shared" si="36"/>
        <v>273600</v>
      </c>
      <c r="M238" s="541">
        <f>VLOOKUP(H238,名称!A:E,3,0)</f>
        <v>6</v>
      </c>
      <c r="N238" s="586">
        <f t="shared" si="37"/>
        <v>3800</v>
      </c>
      <c r="O238" s="621">
        <v>46280</v>
      </c>
      <c r="P238" s="420">
        <v>46280</v>
      </c>
      <c r="Q238" s="549">
        <v>46280</v>
      </c>
      <c r="R238" s="539"/>
      <c r="S238" s="549">
        <v>46280</v>
      </c>
      <c r="T238" s="539"/>
      <c r="U238" s="541"/>
      <c r="V238" s="539"/>
      <c r="W238" s="518" t="str">
        <f>IFERROR(VLOOKUP(H238,名称!A:F,6,0),"")</f>
        <v>湖南</v>
      </c>
      <c r="X238" s="541" t="s">
        <v>1133</v>
      </c>
      <c r="Y238" s="541" t="s">
        <v>1133</v>
      </c>
      <c r="Z238" s="567">
        <v>46240</v>
      </c>
      <c r="AA238" s="552">
        <v>46241</v>
      </c>
      <c r="AB238" s="567">
        <v>46241</v>
      </c>
      <c r="AC238" s="541" t="s">
        <v>1318</v>
      </c>
      <c r="AD238" s="431" t="s">
        <v>1228</v>
      </c>
      <c r="AE238" s="591" t="s">
        <v>270</v>
      </c>
      <c r="AF238" s="541" t="s">
        <v>1228</v>
      </c>
      <c r="AG238" s="541" t="s">
        <v>270</v>
      </c>
      <c r="AH238" s="541" t="s">
        <v>1285</v>
      </c>
      <c r="AI238" s="541" t="s">
        <v>1228</v>
      </c>
      <c r="AJ238" s="541" t="s">
        <v>510</v>
      </c>
      <c r="AK238" s="541" t="s">
        <v>1133</v>
      </c>
      <c r="AL238" s="541"/>
      <c r="AM238" s="431" t="s">
        <v>1293</v>
      </c>
      <c r="AN238" s="591"/>
      <c r="AO238" s="619">
        <v>2.02</v>
      </c>
      <c r="AP238" s="545">
        <f t="shared" si="29"/>
        <v>46056</v>
      </c>
      <c r="AQ238" s="545">
        <f t="shared" si="30"/>
        <v>356934</v>
      </c>
      <c r="AR238" s="546"/>
      <c r="AS238" s="538"/>
      <c r="AT238" s="538" t="s">
        <v>1220</v>
      </c>
      <c r="AU238" s="548"/>
      <c r="AV238" s="548">
        <f t="shared" si="31"/>
        <v>-22800</v>
      </c>
      <c r="AW238" s="606"/>
      <c r="AX238" s="420" t="s">
        <v>1280</v>
      </c>
      <c r="AY238" s="538" t="s">
        <v>1255</v>
      </c>
      <c r="AZ238" s="538" t="s">
        <v>1256</v>
      </c>
      <c r="BA238" s="538"/>
      <c r="BB238" s="538" t="str">
        <f t="shared" si="32"/>
        <v>JAZWARES - TARGET US DOM</v>
      </c>
      <c r="BC238" s="538" t="str">
        <f t="shared" si="33"/>
        <v>美国</v>
      </c>
    </row>
    <row r="239" s="495" customFormat="1" customHeight="1" spans="1:55">
      <c r="A239" s="538">
        <v>46182</v>
      </c>
      <c r="B239" s="538" t="str">
        <f ca="1" t="shared" si="27"/>
        <v/>
      </c>
      <c r="C239" s="539" t="str">
        <f>VLOOKUP(H239,名称!A:E,4,0)</f>
        <v>三代</v>
      </c>
      <c r="D239" s="591" t="s">
        <v>1397</v>
      </c>
      <c r="E239" s="591" t="s">
        <v>1398</v>
      </c>
      <c r="F239" s="591" t="s">
        <v>945</v>
      </c>
      <c r="G239" s="591" t="s">
        <v>946</v>
      </c>
      <c r="H239" s="591" t="s">
        <v>109</v>
      </c>
      <c r="I239" s="118"/>
      <c r="J239" s="592">
        <v>4800</v>
      </c>
      <c r="K239" s="92">
        <f>VLOOKUP(H239,名称!A:C,2,0)</f>
        <v>0</v>
      </c>
      <c r="L239" s="32">
        <f t="shared" si="36"/>
        <v>0</v>
      </c>
      <c r="M239" s="541">
        <f>VLOOKUP(H239,名称!A:E,3,0)</f>
        <v>24</v>
      </c>
      <c r="N239" s="586">
        <f t="shared" si="37"/>
        <v>200</v>
      </c>
      <c r="O239" s="590">
        <v>46242</v>
      </c>
      <c r="P239" s="549">
        <v>46242</v>
      </c>
      <c r="Q239" s="549">
        <v>46246</v>
      </c>
      <c r="R239" s="539"/>
      <c r="S239" s="549" t="s">
        <v>1133</v>
      </c>
      <c r="T239" s="539"/>
      <c r="U239" s="541"/>
      <c r="V239" s="539"/>
      <c r="W239" s="518" t="str">
        <f>IFERROR(VLOOKUP(H239,名称!A:F,6,0),"")</f>
        <v>东莞</v>
      </c>
      <c r="X239" s="541" t="s">
        <v>1248</v>
      </c>
      <c r="Y239" s="567">
        <v>46197</v>
      </c>
      <c r="Z239" s="567">
        <v>46190</v>
      </c>
      <c r="AA239" s="552">
        <v>46190</v>
      </c>
      <c r="AB239" s="567">
        <v>46213</v>
      </c>
      <c r="AC239" s="541" t="s">
        <v>1133</v>
      </c>
      <c r="AD239" s="431" t="s">
        <v>1133</v>
      </c>
      <c r="AE239" s="591" t="s">
        <v>510</v>
      </c>
      <c r="AF239" s="541" t="s">
        <v>1228</v>
      </c>
      <c r="AG239" s="541" t="s">
        <v>510</v>
      </c>
      <c r="AH239" s="541" t="s">
        <v>1133</v>
      </c>
      <c r="AI239" s="541" t="s">
        <v>1228</v>
      </c>
      <c r="AJ239" s="541" t="s">
        <v>1133</v>
      </c>
      <c r="AK239" s="541" t="s">
        <v>510</v>
      </c>
      <c r="AL239" s="431" t="s">
        <v>1228</v>
      </c>
      <c r="AM239" s="431" t="s">
        <v>1292</v>
      </c>
      <c r="AN239" s="591" t="s">
        <v>1399</v>
      </c>
      <c r="AO239" s="544">
        <v>0.64</v>
      </c>
      <c r="AP239" s="545">
        <f t="shared" si="29"/>
        <v>3072</v>
      </c>
      <c r="AQ239" s="545">
        <f t="shared" si="30"/>
        <v>23808</v>
      </c>
      <c r="AR239" s="546"/>
      <c r="AS239" s="538"/>
      <c r="AT239" s="538" t="s">
        <v>1220</v>
      </c>
      <c r="AU239" s="548"/>
      <c r="AV239" s="548">
        <f t="shared" si="31"/>
        <v>-4800</v>
      </c>
      <c r="AW239" s="458" t="s">
        <v>1228</v>
      </c>
      <c r="AX239" s="549"/>
      <c r="AY239" s="538" t="s">
        <v>1262</v>
      </c>
      <c r="AZ239" s="538" t="s">
        <v>1372</v>
      </c>
      <c r="BA239" s="538"/>
      <c r="BB239" s="538" t="str">
        <f t="shared" si="32"/>
        <v>WRT World Enterprises, Inc</v>
      </c>
      <c r="BC239" s="538" t="str">
        <f t="shared" si="33"/>
        <v>厄瓜多尔</v>
      </c>
    </row>
    <row r="240" s="497" customFormat="1" customHeight="1" spans="1:55">
      <c r="A240" s="553">
        <v>46182</v>
      </c>
      <c r="B240" s="553" t="str">
        <f ca="1" t="shared" ref="B240:B272" si="38">IF(TODAY()-5&gt;=A240,IF(AB240="","异常",""),"")</f>
        <v/>
      </c>
      <c r="C240" s="554" t="str">
        <f>VLOOKUP(H240,名称!A:E,4,0)</f>
        <v>三代</v>
      </c>
      <c r="D240" s="595" t="s">
        <v>1397</v>
      </c>
      <c r="E240" s="595" t="s">
        <v>1398</v>
      </c>
      <c r="F240" s="595" t="s">
        <v>945</v>
      </c>
      <c r="G240" s="595" t="s">
        <v>946</v>
      </c>
      <c r="H240" s="595" t="s">
        <v>100</v>
      </c>
      <c r="I240" s="554"/>
      <c r="J240" s="596">
        <v>1440</v>
      </c>
      <c r="K240" s="92">
        <f>VLOOKUP(H240,名称!A:C,2,0)</f>
        <v>0</v>
      </c>
      <c r="L240" s="32">
        <f t="shared" si="36"/>
        <v>0</v>
      </c>
      <c r="M240" s="557">
        <f>VLOOKUP(H240,名称!A:E,3,0)</f>
        <v>12</v>
      </c>
      <c r="N240" s="616">
        <f t="shared" si="37"/>
        <v>120</v>
      </c>
      <c r="O240" s="597">
        <v>46242</v>
      </c>
      <c r="P240" s="578">
        <v>46242</v>
      </c>
      <c r="Q240" s="578">
        <v>46247</v>
      </c>
      <c r="R240" s="435" t="s">
        <v>1241</v>
      </c>
      <c r="S240" s="578" t="s">
        <v>1133</v>
      </c>
      <c r="T240" s="554"/>
      <c r="U240" s="557"/>
      <c r="V240" s="554"/>
      <c r="W240" s="556" t="str">
        <f>IFERROR(VLOOKUP(H240,名称!A:F,6,0),"")</f>
        <v>东莞</v>
      </c>
      <c r="X240" s="557" t="s">
        <v>1248</v>
      </c>
      <c r="Y240" s="580">
        <v>46197</v>
      </c>
      <c r="Z240" s="580">
        <v>46190</v>
      </c>
      <c r="AA240" s="581">
        <v>46190</v>
      </c>
      <c r="AB240" s="580">
        <v>46213</v>
      </c>
      <c r="AC240" s="557" t="s">
        <v>1133</v>
      </c>
      <c r="AD240" s="431" t="s">
        <v>1133</v>
      </c>
      <c r="AE240" s="595" t="s">
        <v>510</v>
      </c>
      <c r="AF240" s="541" t="s">
        <v>1228</v>
      </c>
      <c r="AG240" s="557" t="s">
        <v>510</v>
      </c>
      <c r="AH240" s="541" t="s">
        <v>1133</v>
      </c>
      <c r="AI240" s="541" t="s">
        <v>1228</v>
      </c>
      <c r="AJ240" s="541" t="s">
        <v>1133</v>
      </c>
      <c r="AK240" s="557" t="s">
        <v>1133</v>
      </c>
      <c r="AL240" s="444" t="s">
        <v>1228</v>
      </c>
      <c r="AM240" s="444" t="s">
        <v>1292</v>
      </c>
      <c r="AN240" s="595" t="s">
        <v>1399</v>
      </c>
      <c r="AO240" s="560">
        <v>1.35</v>
      </c>
      <c r="AP240" s="561">
        <f t="shared" ref="AP240:AP272" si="39">J240*AO240</f>
        <v>1944</v>
      </c>
      <c r="AQ240" s="561">
        <f t="shared" ref="AQ240:AQ272" si="40">AP240*7.75</f>
        <v>15066</v>
      </c>
      <c r="AR240" s="562"/>
      <c r="AS240" s="553"/>
      <c r="AT240" s="434" t="s">
        <v>1220</v>
      </c>
      <c r="AU240" s="564"/>
      <c r="AV240" s="564">
        <f t="shared" ref="AV240:AV272" si="41">AU240-J240</f>
        <v>-1440</v>
      </c>
      <c r="AW240" s="622" t="s">
        <v>1228</v>
      </c>
      <c r="AX240" s="578"/>
      <c r="AY240" s="553" t="s">
        <v>1262</v>
      </c>
      <c r="AZ240" s="553" t="s">
        <v>1372</v>
      </c>
      <c r="BA240" s="553"/>
      <c r="BB240" s="553" t="str">
        <f t="shared" ref="BB240:BB272" si="42">D240</f>
        <v>WRT World Enterprises, Inc</v>
      </c>
      <c r="BC240" s="553" t="str">
        <f t="shared" ref="BC240:BC272" si="43">E240</f>
        <v>厄瓜多尔</v>
      </c>
    </row>
    <row r="241" s="495" customFormat="1" customHeight="1" spans="1:55">
      <c r="A241" s="538">
        <v>46182</v>
      </c>
      <c r="B241" s="538" t="str">
        <f ca="1" t="shared" si="38"/>
        <v/>
      </c>
      <c r="C241" s="539" t="str">
        <f>VLOOKUP(H241,名称!A:E,4,0)</f>
        <v>三代</v>
      </c>
      <c r="D241" s="591" t="s">
        <v>1397</v>
      </c>
      <c r="E241" s="591" t="s">
        <v>1398</v>
      </c>
      <c r="F241" s="591" t="s">
        <v>945</v>
      </c>
      <c r="G241" s="591" t="s">
        <v>946</v>
      </c>
      <c r="H241" s="591" t="s">
        <v>121</v>
      </c>
      <c r="I241" s="118"/>
      <c r="J241" s="592">
        <v>3840</v>
      </c>
      <c r="K241" s="92">
        <f>VLOOKUP(H241,名称!A:C,2,0)</f>
        <v>7</v>
      </c>
      <c r="L241" s="32">
        <f t="shared" si="36"/>
        <v>26880</v>
      </c>
      <c r="M241" s="541">
        <f>VLOOKUP(H241,名称!A:E,3,0)</f>
        <v>12</v>
      </c>
      <c r="N241" s="586">
        <f t="shared" si="37"/>
        <v>320</v>
      </c>
      <c r="O241" s="590">
        <v>46242</v>
      </c>
      <c r="P241" s="549">
        <v>46242</v>
      </c>
      <c r="Q241" s="549">
        <v>46244</v>
      </c>
      <c r="R241" s="539"/>
      <c r="S241" s="549" t="s">
        <v>1133</v>
      </c>
      <c r="T241" s="539"/>
      <c r="U241" s="541"/>
      <c r="V241" s="539"/>
      <c r="W241" s="518" t="str">
        <f>IFERROR(VLOOKUP(H241,名称!A:F,6,0),"")</f>
        <v>湖南</v>
      </c>
      <c r="X241" s="541" t="s">
        <v>1248</v>
      </c>
      <c r="Y241" s="567">
        <v>46197</v>
      </c>
      <c r="Z241" s="567">
        <v>46190</v>
      </c>
      <c r="AA241" s="552">
        <v>46190</v>
      </c>
      <c r="AB241" s="567">
        <v>46213</v>
      </c>
      <c r="AC241" s="541" t="s">
        <v>1284</v>
      </c>
      <c r="AD241" s="431" t="s">
        <v>1228</v>
      </c>
      <c r="AE241" s="591" t="s">
        <v>510</v>
      </c>
      <c r="AF241" s="541" t="s">
        <v>1228</v>
      </c>
      <c r="AG241" s="541" t="s">
        <v>510</v>
      </c>
      <c r="AH241" s="541" t="s">
        <v>1307</v>
      </c>
      <c r="AI241" s="541" t="s">
        <v>1228</v>
      </c>
      <c r="AJ241" s="541" t="s">
        <v>1133</v>
      </c>
      <c r="AK241" s="541" t="s">
        <v>1133</v>
      </c>
      <c r="AL241" s="431" t="s">
        <v>1228</v>
      </c>
      <c r="AM241" s="431" t="s">
        <v>1292</v>
      </c>
      <c r="AN241" s="591" t="s">
        <v>1399</v>
      </c>
      <c r="AO241" s="544">
        <v>0.79</v>
      </c>
      <c r="AP241" s="545">
        <f t="shared" si="39"/>
        <v>3033.6</v>
      </c>
      <c r="AQ241" s="545">
        <f t="shared" si="40"/>
        <v>23510.4</v>
      </c>
      <c r="AR241" s="546"/>
      <c r="AS241" s="538"/>
      <c r="AT241" s="538" t="s">
        <v>1220</v>
      </c>
      <c r="AU241" s="548">
        <v>3840</v>
      </c>
      <c r="AV241" s="548">
        <f t="shared" si="41"/>
        <v>0</v>
      </c>
      <c r="AW241" s="458" t="s">
        <v>1228</v>
      </c>
      <c r="AX241" s="420" t="s">
        <v>1280</v>
      </c>
      <c r="AY241" s="538" t="s">
        <v>1262</v>
      </c>
      <c r="AZ241" s="538" t="s">
        <v>1372</v>
      </c>
      <c r="BA241" s="538"/>
      <c r="BB241" s="538" t="str">
        <f t="shared" si="42"/>
        <v>WRT World Enterprises, Inc</v>
      </c>
      <c r="BC241" s="538" t="str">
        <f t="shared" si="43"/>
        <v>厄瓜多尔</v>
      </c>
    </row>
    <row r="242" s="496" customFormat="1" customHeight="1" spans="1:55">
      <c r="A242" s="527">
        <v>46182</v>
      </c>
      <c r="B242" s="527" t="str">
        <f ca="1" t="shared" si="38"/>
        <v/>
      </c>
      <c r="C242" s="346" t="str">
        <f>VLOOKUP(H242,名称!A:E,4,0)</f>
        <v>三代</v>
      </c>
      <c r="D242" s="588" t="s">
        <v>1397</v>
      </c>
      <c r="E242" s="588" t="s">
        <v>1398</v>
      </c>
      <c r="F242" s="588" t="s">
        <v>945</v>
      </c>
      <c r="G242" s="588" t="s">
        <v>946</v>
      </c>
      <c r="H242" s="588" t="s">
        <v>99</v>
      </c>
      <c r="I242" s="118"/>
      <c r="J242" s="589">
        <v>1440</v>
      </c>
      <c r="K242" s="92">
        <f>VLOOKUP(H242,名称!A:C,2,0)</f>
        <v>7</v>
      </c>
      <c r="L242" s="32">
        <f t="shared" si="36"/>
        <v>10080</v>
      </c>
      <c r="M242" s="568">
        <f>VLOOKUP(H242,名称!A:E,3,0)</f>
        <v>24</v>
      </c>
      <c r="N242" s="599">
        <f t="shared" si="37"/>
        <v>60</v>
      </c>
      <c r="O242" s="587">
        <v>46242</v>
      </c>
      <c r="P242" s="536">
        <v>46242</v>
      </c>
      <c r="Q242" s="536">
        <v>46244</v>
      </c>
      <c r="R242" s="404" t="s">
        <v>1241</v>
      </c>
      <c r="S242" s="536" t="s">
        <v>1133</v>
      </c>
      <c r="T242" s="346"/>
      <c r="U242" s="568"/>
      <c r="V242" s="346"/>
      <c r="W242" s="348" t="str">
        <f>IFERROR(VLOOKUP(H242,名称!A:F,6,0),"")</f>
        <v>湖南</v>
      </c>
      <c r="X242" s="568" t="s">
        <v>1248</v>
      </c>
      <c r="Y242" s="569">
        <v>46197</v>
      </c>
      <c r="Z242" s="569">
        <v>46190</v>
      </c>
      <c r="AA242" s="570">
        <v>46190</v>
      </c>
      <c r="AB242" s="569">
        <v>46213</v>
      </c>
      <c r="AC242" s="568" t="s">
        <v>1284</v>
      </c>
      <c r="AD242" s="415" t="s">
        <v>1228</v>
      </c>
      <c r="AE242" s="588" t="s">
        <v>510</v>
      </c>
      <c r="AF242" s="568" t="s">
        <v>1228</v>
      </c>
      <c r="AG242" s="568" t="s">
        <v>510</v>
      </c>
      <c r="AH242" s="568" t="s">
        <v>1307</v>
      </c>
      <c r="AI242" s="568" t="s">
        <v>1228</v>
      </c>
      <c r="AJ242" s="568" t="s">
        <v>1133</v>
      </c>
      <c r="AK242" s="568" t="s">
        <v>1133</v>
      </c>
      <c r="AL242" s="415" t="s">
        <v>1228</v>
      </c>
      <c r="AM242" s="415" t="s">
        <v>1292</v>
      </c>
      <c r="AN242" s="588" t="s">
        <v>1399</v>
      </c>
      <c r="AO242" s="531">
        <v>0.9</v>
      </c>
      <c r="AP242" s="532">
        <f t="shared" si="39"/>
        <v>1296</v>
      </c>
      <c r="AQ242" s="532">
        <f t="shared" si="40"/>
        <v>10044</v>
      </c>
      <c r="AR242" s="533"/>
      <c r="AS242" s="527"/>
      <c r="AT242" s="527" t="s">
        <v>1220</v>
      </c>
      <c r="AU242" s="535">
        <v>1440</v>
      </c>
      <c r="AV242" s="535">
        <f t="shared" si="41"/>
        <v>0</v>
      </c>
      <c r="AW242" s="608" t="s">
        <v>1228</v>
      </c>
      <c r="AX242" s="413" t="s">
        <v>1280</v>
      </c>
      <c r="AY242" s="527" t="s">
        <v>1262</v>
      </c>
      <c r="AZ242" s="527" t="s">
        <v>1372</v>
      </c>
      <c r="BA242" s="527"/>
      <c r="BB242" s="527" t="str">
        <f t="shared" si="42"/>
        <v>WRT World Enterprises, Inc</v>
      </c>
      <c r="BC242" s="527" t="str">
        <f t="shared" si="43"/>
        <v>厄瓜多尔</v>
      </c>
    </row>
    <row r="243" s="495" customFormat="1" customHeight="1" spans="1:55">
      <c r="A243" s="538">
        <v>46182</v>
      </c>
      <c r="B243" s="538" t="str">
        <f ca="1" t="shared" si="38"/>
        <v/>
      </c>
      <c r="C243" s="539" t="str">
        <f>VLOOKUP(H243,名称!A:E,4,0)</f>
        <v>三代</v>
      </c>
      <c r="D243" s="591" t="s">
        <v>1397</v>
      </c>
      <c r="E243" s="591" t="s">
        <v>1398</v>
      </c>
      <c r="F243" s="591" t="s">
        <v>945</v>
      </c>
      <c r="G243" s="591" t="s">
        <v>946</v>
      </c>
      <c r="H243" s="591" t="s">
        <v>59</v>
      </c>
      <c r="I243" s="118"/>
      <c r="J243" s="592">
        <v>4800</v>
      </c>
      <c r="K243" s="92">
        <f>VLOOKUP(H243,名称!A:C,2,0)</f>
        <v>5</v>
      </c>
      <c r="L243" s="32">
        <f t="shared" si="36"/>
        <v>24000</v>
      </c>
      <c r="M243" s="541">
        <f>VLOOKUP(H243,名称!A:E,3,0)</f>
        <v>24</v>
      </c>
      <c r="N243" s="586">
        <f t="shared" si="37"/>
        <v>200</v>
      </c>
      <c r="O243" s="590">
        <v>46242</v>
      </c>
      <c r="P243" s="549">
        <v>46242</v>
      </c>
      <c r="Q243" s="566">
        <v>46246</v>
      </c>
      <c r="R243" s="539"/>
      <c r="S243" s="549" t="s">
        <v>1133</v>
      </c>
      <c r="T243" s="539"/>
      <c r="U243" s="541"/>
      <c r="V243" s="539"/>
      <c r="W243" s="518" t="str">
        <f>IFERROR(VLOOKUP(H243,名称!A:F,6,0),"")</f>
        <v>湖南</v>
      </c>
      <c r="X243" s="541" t="s">
        <v>1248</v>
      </c>
      <c r="Y243" s="567">
        <v>46197</v>
      </c>
      <c r="Z243" s="567">
        <v>46190</v>
      </c>
      <c r="AA243" s="552">
        <v>46190</v>
      </c>
      <c r="AB243" s="567">
        <v>46213</v>
      </c>
      <c r="AC243" s="541" t="s">
        <v>1133</v>
      </c>
      <c r="AD243" s="541" t="s">
        <v>1133</v>
      </c>
      <c r="AE243" s="591" t="s">
        <v>510</v>
      </c>
      <c r="AF243" s="541" t="s">
        <v>1228</v>
      </c>
      <c r="AG243" s="541" t="s">
        <v>510</v>
      </c>
      <c r="AH243" s="541" t="s">
        <v>1133</v>
      </c>
      <c r="AI243" s="541" t="s">
        <v>1228</v>
      </c>
      <c r="AJ243" s="541" t="s">
        <v>1133</v>
      </c>
      <c r="AK243" s="541" t="s">
        <v>510</v>
      </c>
      <c r="AL243" s="431" t="s">
        <v>1228</v>
      </c>
      <c r="AM243" s="431" t="s">
        <v>1292</v>
      </c>
      <c r="AN243" s="591" t="s">
        <v>1399</v>
      </c>
      <c r="AO243" s="544">
        <v>0.65</v>
      </c>
      <c r="AP243" s="545">
        <f t="shared" si="39"/>
        <v>3120</v>
      </c>
      <c r="AQ243" s="545">
        <f t="shared" si="40"/>
        <v>24180</v>
      </c>
      <c r="AR243" s="546"/>
      <c r="AS243" s="538"/>
      <c r="AT243" s="538" t="s">
        <v>1220</v>
      </c>
      <c r="AU243" s="548">
        <f>4704+96</f>
        <v>4800</v>
      </c>
      <c r="AV243" s="548">
        <f t="shared" si="41"/>
        <v>0</v>
      </c>
      <c r="AW243" s="458" t="s">
        <v>1228</v>
      </c>
      <c r="AX243" s="420" t="s">
        <v>1280</v>
      </c>
      <c r="AY243" s="538" t="s">
        <v>1262</v>
      </c>
      <c r="AZ243" s="538" t="s">
        <v>1372</v>
      </c>
      <c r="BA243" s="538"/>
      <c r="BB243" s="538" t="str">
        <f t="shared" si="42"/>
        <v>WRT World Enterprises, Inc</v>
      </c>
      <c r="BC243" s="538" t="str">
        <f t="shared" si="43"/>
        <v>厄瓜多尔</v>
      </c>
    </row>
    <row r="244" s="496" customFormat="1" customHeight="1" spans="1:55">
      <c r="A244" s="527">
        <v>46182</v>
      </c>
      <c r="B244" s="527" t="str">
        <f ca="1" t="shared" si="38"/>
        <v/>
      </c>
      <c r="C244" s="346" t="str">
        <f>VLOOKUP(H244,名称!A:E,4,0)</f>
        <v>三代</v>
      </c>
      <c r="D244" s="588" t="s">
        <v>1397</v>
      </c>
      <c r="E244" s="588" t="s">
        <v>1398</v>
      </c>
      <c r="F244" s="588" t="s">
        <v>945</v>
      </c>
      <c r="G244" s="588" t="s">
        <v>946</v>
      </c>
      <c r="H244" s="588" t="s">
        <v>66</v>
      </c>
      <c r="I244" s="346"/>
      <c r="J244" s="589">
        <v>1920</v>
      </c>
      <c r="K244" s="347">
        <f>VLOOKUP(H244,名称!A:C,2,0)</f>
        <v>12</v>
      </c>
      <c r="L244" s="348">
        <f t="shared" si="36"/>
        <v>23040</v>
      </c>
      <c r="M244" s="568">
        <f>VLOOKUP(H244,名称!A:E,3,0)</f>
        <v>6</v>
      </c>
      <c r="N244" s="599">
        <f t="shared" si="37"/>
        <v>320</v>
      </c>
      <c r="O244" s="587">
        <v>46242</v>
      </c>
      <c r="P244" s="536">
        <v>46242</v>
      </c>
      <c r="Q244" s="536">
        <v>46244</v>
      </c>
      <c r="R244" s="404" t="s">
        <v>1241</v>
      </c>
      <c r="S244" s="536" t="s">
        <v>1133</v>
      </c>
      <c r="T244" s="346"/>
      <c r="U244" s="568"/>
      <c r="V244" s="346"/>
      <c r="W244" s="348" t="str">
        <f>IFERROR(VLOOKUP(H244,名称!A:F,6,0),"")</f>
        <v>湖南</v>
      </c>
      <c r="X244" s="568" t="s">
        <v>1248</v>
      </c>
      <c r="Y244" s="569">
        <v>46197</v>
      </c>
      <c r="Z244" s="569">
        <v>46190</v>
      </c>
      <c r="AA244" s="570">
        <v>46190</v>
      </c>
      <c r="AB244" s="569">
        <v>46213</v>
      </c>
      <c r="AC244" s="568" t="s">
        <v>1318</v>
      </c>
      <c r="AD244" s="415" t="s">
        <v>1228</v>
      </c>
      <c r="AE244" s="588" t="s">
        <v>510</v>
      </c>
      <c r="AF244" s="568" t="s">
        <v>1228</v>
      </c>
      <c r="AG244" s="568" t="s">
        <v>510</v>
      </c>
      <c r="AH244" s="568" t="s">
        <v>1307</v>
      </c>
      <c r="AI244" s="568" t="s">
        <v>1228</v>
      </c>
      <c r="AJ244" s="568" t="s">
        <v>510</v>
      </c>
      <c r="AK244" s="568" t="s">
        <v>1133</v>
      </c>
      <c r="AL244" s="415" t="s">
        <v>1228</v>
      </c>
      <c r="AM244" s="415" t="s">
        <v>1292</v>
      </c>
      <c r="AN244" s="588" t="s">
        <v>1399</v>
      </c>
      <c r="AO244" s="531">
        <v>2.09</v>
      </c>
      <c r="AP244" s="532">
        <f t="shared" si="39"/>
        <v>4012.8</v>
      </c>
      <c r="AQ244" s="532">
        <f t="shared" si="40"/>
        <v>31099.2</v>
      </c>
      <c r="AR244" s="533"/>
      <c r="AS244" s="527"/>
      <c r="AT244" s="527" t="s">
        <v>1220</v>
      </c>
      <c r="AU244" s="535">
        <f>1332+588</f>
        <v>1920</v>
      </c>
      <c r="AV244" s="535">
        <f t="shared" si="41"/>
        <v>0</v>
      </c>
      <c r="AW244" s="608" t="s">
        <v>1228</v>
      </c>
      <c r="AX244" s="413" t="s">
        <v>1280</v>
      </c>
      <c r="AY244" s="527" t="s">
        <v>1262</v>
      </c>
      <c r="AZ244" s="527" t="s">
        <v>1372</v>
      </c>
      <c r="BA244" s="527"/>
      <c r="BB244" s="527" t="str">
        <f t="shared" si="42"/>
        <v>WRT World Enterprises, Inc</v>
      </c>
      <c r="BC244" s="527" t="str">
        <f t="shared" si="43"/>
        <v>厄瓜多尔</v>
      </c>
    </row>
    <row r="245" s="496" customFormat="1" customHeight="1" spans="1:55">
      <c r="A245" s="527">
        <v>46182</v>
      </c>
      <c r="B245" s="527" t="str">
        <f ca="1" t="shared" si="38"/>
        <v/>
      </c>
      <c r="C245" s="346" t="str">
        <f>VLOOKUP(H245,名称!A:E,4,0)</f>
        <v>三代</v>
      </c>
      <c r="D245" s="588" t="s">
        <v>1397</v>
      </c>
      <c r="E245" s="588" t="s">
        <v>1398</v>
      </c>
      <c r="F245" s="588" t="s">
        <v>945</v>
      </c>
      <c r="G245" s="588" t="s">
        <v>946</v>
      </c>
      <c r="H245" s="588" t="s">
        <v>68</v>
      </c>
      <c r="I245" s="346"/>
      <c r="J245" s="589">
        <v>1440</v>
      </c>
      <c r="K245" s="347">
        <f>VLOOKUP(H245,名称!A:C,2,0)</f>
        <v>32</v>
      </c>
      <c r="L245" s="348">
        <f t="shared" si="36"/>
        <v>46080</v>
      </c>
      <c r="M245" s="568">
        <f>VLOOKUP(H245,名称!A:E,3,0)</f>
        <v>4</v>
      </c>
      <c r="N245" s="599">
        <f t="shared" si="37"/>
        <v>360</v>
      </c>
      <c r="O245" s="587">
        <v>46242</v>
      </c>
      <c r="P245" s="536">
        <v>46242</v>
      </c>
      <c r="Q245" s="536">
        <v>46244</v>
      </c>
      <c r="R245" s="404" t="s">
        <v>1241</v>
      </c>
      <c r="S245" s="536" t="s">
        <v>1133</v>
      </c>
      <c r="T245" s="346"/>
      <c r="U245" s="568"/>
      <c r="V245" s="346"/>
      <c r="W245" s="348" t="str">
        <f>IFERROR(VLOOKUP(H245,名称!A:F,6,0),"")</f>
        <v>湖南</v>
      </c>
      <c r="X245" s="568" t="s">
        <v>1248</v>
      </c>
      <c r="Y245" s="569">
        <v>46197</v>
      </c>
      <c r="Z245" s="569">
        <v>46190</v>
      </c>
      <c r="AA245" s="570">
        <v>46190</v>
      </c>
      <c r="AB245" s="569">
        <v>46213</v>
      </c>
      <c r="AC245" s="568" t="s">
        <v>1133</v>
      </c>
      <c r="AD245" s="415" t="s">
        <v>1133</v>
      </c>
      <c r="AE245" s="588" t="s">
        <v>510</v>
      </c>
      <c r="AF245" s="568" t="s">
        <v>1228</v>
      </c>
      <c r="AG245" s="568" t="s">
        <v>510</v>
      </c>
      <c r="AH245" s="568" t="s">
        <v>1307</v>
      </c>
      <c r="AI245" s="568" t="s">
        <v>1228</v>
      </c>
      <c r="AJ245" s="568" t="s">
        <v>1133</v>
      </c>
      <c r="AK245" s="568" t="s">
        <v>1133</v>
      </c>
      <c r="AL245" s="415" t="s">
        <v>1228</v>
      </c>
      <c r="AM245" s="415" t="s">
        <v>1292</v>
      </c>
      <c r="AN245" s="588" t="s">
        <v>1399</v>
      </c>
      <c r="AO245" s="531">
        <v>3.23</v>
      </c>
      <c r="AP245" s="532">
        <f t="shared" si="39"/>
        <v>4651.2</v>
      </c>
      <c r="AQ245" s="532">
        <f t="shared" si="40"/>
        <v>36046.8</v>
      </c>
      <c r="AR245" s="533"/>
      <c r="AS245" s="527"/>
      <c r="AT245" s="527" t="s">
        <v>1220</v>
      </c>
      <c r="AU245" s="535">
        <v>1440</v>
      </c>
      <c r="AV245" s="535">
        <f t="shared" si="41"/>
        <v>0</v>
      </c>
      <c r="AW245" s="608" t="s">
        <v>1228</v>
      </c>
      <c r="AX245" s="413" t="s">
        <v>1280</v>
      </c>
      <c r="AY245" s="527" t="s">
        <v>1262</v>
      </c>
      <c r="AZ245" s="527" t="s">
        <v>1372</v>
      </c>
      <c r="BA245" s="527"/>
      <c r="BB245" s="527" t="str">
        <f t="shared" si="42"/>
        <v>WRT World Enterprises, Inc</v>
      </c>
      <c r="BC245" s="527" t="str">
        <f t="shared" si="43"/>
        <v>厄瓜多尔</v>
      </c>
    </row>
    <row r="246" s="496" customFormat="1" customHeight="1" spans="1:55">
      <c r="A246" s="527">
        <v>46182</v>
      </c>
      <c r="B246" s="527" t="str">
        <f ca="1" t="shared" si="38"/>
        <v/>
      </c>
      <c r="C246" s="346" t="str">
        <f>VLOOKUP(H246,名称!A:E,4,0)</f>
        <v>三代</v>
      </c>
      <c r="D246" s="588" t="s">
        <v>1397</v>
      </c>
      <c r="E246" s="588" t="s">
        <v>1398</v>
      </c>
      <c r="F246" s="588" t="s">
        <v>945</v>
      </c>
      <c r="G246" s="588" t="s">
        <v>946</v>
      </c>
      <c r="H246" s="588" t="s">
        <v>72</v>
      </c>
      <c r="I246" s="118"/>
      <c r="J246" s="589">
        <v>2400</v>
      </c>
      <c r="K246" s="92">
        <f>VLOOKUP(H246,名称!A:C,2,0)</f>
        <v>12</v>
      </c>
      <c r="L246" s="32">
        <f t="shared" si="36"/>
        <v>28800</v>
      </c>
      <c r="M246" s="568">
        <f>VLOOKUP(H246,名称!A:E,3,0)</f>
        <v>12</v>
      </c>
      <c r="N246" s="599">
        <f t="shared" si="37"/>
        <v>200</v>
      </c>
      <c r="O246" s="587">
        <v>46242</v>
      </c>
      <c r="P246" s="536">
        <v>46242</v>
      </c>
      <c r="Q246" s="536">
        <v>46244</v>
      </c>
      <c r="R246" s="404" t="s">
        <v>1241</v>
      </c>
      <c r="S246" s="536" t="s">
        <v>1133</v>
      </c>
      <c r="T246" s="346"/>
      <c r="U246" s="568"/>
      <c r="V246" s="346"/>
      <c r="W246" s="348" t="str">
        <f>IFERROR(VLOOKUP(H246,名称!A:F,6,0),"")</f>
        <v>湖南</v>
      </c>
      <c r="X246" s="568" t="s">
        <v>1248</v>
      </c>
      <c r="Y246" s="569">
        <v>46197</v>
      </c>
      <c r="Z246" s="569">
        <v>46190</v>
      </c>
      <c r="AA246" s="570">
        <v>46190</v>
      </c>
      <c r="AB246" s="569">
        <v>46213</v>
      </c>
      <c r="AC246" s="568" t="s">
        <v>1302</v>
      </c>
      <c r="AD246" s="415" t="s">
        <v>1133</v>
      </c>
      <c r="AE246" s="588" t="s">
        <v>510</v>
      </c>
      <c r="AF246" s="568" t="s">
        <v>1228</v>
      </c>
      <c r="AG246" s="568" t="s">
        <v>510</v>
      </c>
      <c r="AH246" s="568" t="s">
        <v>1307</v>
      </c>
      <c r="AI246" s="568" t="s">
        <v>1228</v>
      </c>
      <c r="AJ246" s="568" t="s">
        <v>1133</v>
      </c>
      <c r="AK246" s="568" t="s">
        <v>1133</v>
      </c>
      <c r="AL246" s="415" t="s">
        <v>1228</v>
      </c>
      <c r="AM246" s="415" t="s">
        <v>1292</v>
      </c>
      <c r="AN246" s="588" t="s">
        <v>1399</v>
      </c>
      <c r="AO246" s="531">
        <v>1.65</v>
      </c>
      <c r="AP246" s="532">
        <f t="shared" si="39"/>
        <v>3960</v>
      </c>
      <c r="AQ246" s="532">
        <f t="shared" si="40"/>
        <v>30690</v>
      </c>
      <c r="AR246" s="533"/>
      <c r="AS246" s="527"/>
      <c r="AT246" s="527" t="s">
        <v>1220</v>
      </c>
      <c r="AU246" s="535">
        <v>2400</v>
      </c>
      <c r="AV246" s="535">
        <f t="shared" si="41"/>
        <v>0</v>
      </c>
      <c r="AW246" s="608" t="s">
        <v>1228</v>
      </c>
      <c r="AX246" s="415" t="s">
        <v>1280</v>
      </c>
      <c r="AY246" s="527" t="s">
        <v>1262</v>
      </c>
      <c r="AZ246" s="527" t="s">
        <v>1372</v>
      </c>
      <c r="BA246" s="527"/>
      <c r="BB246" s="527" t="str">
        <f t="shared" si="42"/>
        <v>WRT World Enterprises, Inc</v>
      </c>
      <c r="BC246" s="527" t="str">
        <f t="shared" si="43"/>
        <v>厄瓜多尔</v>
      </c>
    </row>
    <row r="247" s="495" customFormat="1" customHeight="1" spans="1:55">
      <c r="A247" s="538">
        <v>46182</v>
      </c>
      <c r="B247" s="538" t="str">
        <f ca="1" t="shared" si="38"/>
        <v/>
      </c>
      <c r="C247" s="539" t="str">
        <f>VLOOKUP(H247,名称!A:E,4,0)</f>
        <v>三代</v>
      </c>
      <c r="D247" s="591" t="s">
        <v>1397</v>
      </c>
      <c r="E247" s="591" t="s">
        <v>1400</v>
      </c>
      <c r="F247" s="591" t="s">
        <v>947</v>
      </c>
      <c r="G247" s="591" t="s">
        <v>948</v>
      </c>
      <c r="H247" s="591" t="s">
        <v>109</v>
      </c>
      <c r="I247" s="118"/>
      <c r="J247" s="592">
        <v>720</v>
      </c>
      <c r="K247" s="92">
        <f>VLOOKUP(H247,名称!A:C,2,0)</f>
        <v>0</v>
      </c>
      <c r="L247" s="32">
        <f t="shared" si="36"/>
        <v>0</v>
      </c>
      <c r="M247" s="541">
        <f>VLOOKUP(H247,名称!A:E,3,0)</f>
        <v>24</v>
      </c>
      <c r="N247" s="586">
        <f t="shared" si="37"/>
        <v>30</v>
      </c>
      <c r="O247" s="590">
        <v>46242</v>
      </c>
      <c r="P247" s="549">
        <v>46242</v>
      </c>
      <c r="Q247" s="549">
        <v>46246</v>
      </c>
      <c r="R247" s="539"/>
      <c r="S247" s="549" t="s">
        <v>1133</v>
      </c>
      <c r="T247" s="539"/>
      <c r="U247" s="541"/>
      <c r="V247" s="539"/>
      <c r="W247" s="518" t="str">
        <f>IFERROR(VLOOKUP(H247,名称!A:F,6,0),"")</f>
        <v>东莞</v>
      </c>
      <c r="X247" s="541" t="s">
        <v>1133</v>
      </c>
      <c r="Y247" s="541" t="s">
        <v>1133</v>
      </c>
      <c r="Z247" s="567">
        <v>46190</v>
      </c>
      <c r="AA247" s="552">
        <v>46190</v>
      </c>
      <c r="AB247" s="567">
        <v>46213</v>
      </c>
      <c r="AC247" s="541" t="s">
        <v>1133</v>
      </c>
      <c r="AD247" s="431" t="s">
        <v>1133</v>
      </c>
      <c r="AE247" s="591" t="s">
        <v>510</v>
      </c>
      <c r="AF247" s="541" t="s">
        <v>1228</v>
      </c>
      <c r="AG247" s="541" t="s">
        <v>510</v>
      </c>
      <c r="AH247" s="541" t="s">
        <v>1133</v>
      </c>
      <c r="AI247" s="541" t="s">
        <v>1228</v>
      </c>
      <c r="AJ247" s="541" t="s">
        <v>1133</v>
      </c>
      <c r="AK247" s="541" t="s">
        <v>510</v>
      </c>
      <c r="AL247" s="431" t="s">
        <v>1228</v>
      </c>
      <c r="AM247" s="431" t="s">
        <v>1292</v>
      </c>
      <c r="AN247" s="591"/>
      <c r="AO247" s="544">
        <v>0.64</v>
      </c>
      <c r="AP247" s="545">
        <f t="shared" si="39"/>
        <v>460.8</v>
      </c>
      <c r="AQ247" s="545">
        <f t="shared" si="40"/>
        <v>3571.2</v>
      </c>
      <c r="AR247" s="546"/>
      <c r="AS247" s="538"/>
      <c r="AT247" s="538" t="s">
        <v>1220</v>
      </c>
      <c r="AU247" s="548"/>
      <c r="AV247" s="548">
        <f t="shared" si="41"/>
        <v>-720</v>
      </c>
      <c r="AW247" s="606"/>
      <c r="AX247" s="549"/>
      <c r="AY247" s="538" t="s">
        <v>1262</v>
      </c>
      <c r="AZ247" s="538" t="s">
        <v>1372</v>
      </c>
      <c r="BA247" s="538"/>
      <c r="BB247" s="538" t="str">
        <f t="shared" si="42"/>
        <v>WRT World Enterprises, Inc</v>
      </c>
      <c r="BC247" s="538" t="str">
        <f t="shared" si="43"/>
        <v>多米尼加共和国</v>
      </c>
    </row>
    <row r="248" s="495" customFormat="1" customHeight="1" spans="1:55">
      <c r="A248" s="538">
        <v>46182</v>
      </c>
      <c r="B248" s="538" t="str">
        <f ca="1" t="shared" si="38"/>
        <v/>
      </c>
      <c r="C248" s="539" t="str">
        <f>VLOOKUP(H248,名称!A:E,4,0)</f>
        <v>三代</v>
      </c>
      <c r="D248" s="591" t="s">
        <v>1397</v>
      </c>
      <c r="E248" s="591" t="s">
        <v>1400</v>
      </c>
      <c r="F248" s="591" t="s">
        <v>947</v>
      </c>
      <c r="G248" s="591" t="s">
        <v>948</v>
      </c>
      <c r="H248" s="591" t="s">
        <v>100</v>
      </c>
      <c r="I248" s="118"/>
      <c r="J248" s="592">
        <v>240</v>
      </c>
      <c r="K248" s="92">
        <f>VLOOKUP(H248,名称!A:C,2,0)</f>
        <v>0</v>
      </c>
      <c r="L248" s="32">
        <f t="shared" si="36"/>
        <v>0</v>
      </c>
      <c r="M248" s="541">
        <f>VLOOKUP(H248,名称!A:E,3,0)</f>
        <v>12</v>
      </c>
      <c r="N248" s="586">
        <f t="shared" si="37"/>
        <v>20</v>
      </c>
      <c r="O248" s="590">
        <v>46242</v>
      </c>
      <c r="P248" s="549">
        <v>46242</v>
      </c>
      <c r="Q248" s="549">
        <v>46246</v>
      </c>
      <c r="R248" s="539"/>
      <c r="S248" s="549" t="s">
        <v>1133</v>
      </c>
      <c r="T248" s="539"/>
      <c r="U248" s="541"/>
      <c r="V248" s="539"/>
      <c r="W248" s="518" t="str">
        <f>IFERROR(VLOOKUP(H248,名称!A:F,6,0),"")</f>
        <v>东莞</v>
      </c>
      <c r="X248" s="541" t="s">
        <v>1133</v>
      </c>
      <c r="Y248" s="541" t="s">
        <v>1133</v>
      </c>
      <c r="Z248" s="567">
        <v>46190</v>
      </c>
      <c r="AA248" s="552">
        <v>46190</v>
      </c>
      <c r="AB248" s="567">
        <v>46213</v>
      </c>
      <c r="AC248" s="541" t="s">
        <v>1133</v>
      </c>
      <c r="AD248" s="541"/>
      <c r="AE248" s="591" t="s">
        <v>510</v>
      </c>
      <c r="AF248" s="541" t="s">
        <v>1228</v>
      </c>
      <c r="AG248" s="541" t="s">
        <v>510</v>
      </c>
      <c r="AH248" s="541" t="s">
        <v>1133</v>
      </c>
      <c r="AI248" s="541" t="s">
        <v>1228</v>
      </c>
      <c r="AJ248" s="541" t="s">
        <v>1133</v>
      </c>
      <c r="AK248" s="541" t="s">
        <v>1133</v>
      </c>
      <c r="AL248" s="431" t="s">
        <v>1228</v>
      </c>
      <c r="AM248" s="431" t="s">
        <v>1292</v>
      </c>
      <c r="AN248" s="591"/>
      <c r="AO248" s="544">
        <v>1.35</v>
      </c>
      <c r="AP248" s="545">
        <f t="shared" si="39"/>
        <v>324</v>
      </c>
      <c r="AQ248" s="545">
        <f t="shared" si="40"/>
        <v>2511</v>
      </c>
      <c r="AR248" s="546"/>
      <c r="AS248" s="538"/>
      <c r="AT248" s="455" t="s">
        <v>1220</v>
      </c>
      <c r="AU248" s="548"/>
      <c r="AV248" s="548">
        <f t="shared" si="41"/>
        <v>-240</v>
      </c>
      <c r="AW248" s="606"/>
      <c r="AX248" s="549"/>
      <c r="AY248" s="538" t="s">
        <v>1262</v>
      </c>
      <c r="AZ248" s="538" t="s">
        <v>1372</v>
      </c>
      <c r="BA248" s="538"/>
      <c r="BB248" s="538" t="str">
        <f t="shared" si="42"/>
        <v>WRT World Enterprises, Inc</v>
      </c>
      <c r="BC248" s="538" t="str">
        <f t="shared" si="43"/>
        <v>多米尼加共和国</v>
      </c>
    </row>
    <row r="249" s="495" customFormat="1" customHeight="1" spans="1:55">
      <c r="A249" s="538">
        <v>46182</v>
      </c>
      <c r="B249" s="538" t="str">
        <f ca="1" t="shared" si="38"/>
        <v/>
      </c>
      <c r="C249" s="539" t="str">
        <f>VLOOKUP(H249,名称!A:E,4,0)</f>
        <v>三代</v>
      </c>
      <c r="D249" s="591" t="s">
        <v>1397</v>
      </c>
      <c r="E249" s="591" t="s">
        <v>1400</v>
      </c>
      <c r="F249" s="591" t="s">
        <v>947</v>
      </c>
      <c r="G249" s="591" t="s">
        <v>948</v>
      </c>
      <c r="H249" s="591" t="s">
        <v>121</v>
      </c>
      <c r="I249" s="118"/>
      <c r="J249" s="592">
        <v>600</v>
      </c>
      <c r="K249" s="92">
        <f>VLOOKUP(H249,名称!A:C,2,0)</f>
        <v>7</v>
      </c>
      <c r="L249" s="32">
        <f t="shared" si="36"/>
        <v>4200</v>
      </c>
      <c r="M249" s="541">
        <f>VLOOKUP(H249,名称!A:E,3,0)</f>
        <v>12</v>
      </c>
      <c r="N249" s="586">
        <f t="shared" si="37"/>
        <v>50</v>
      </c>
      <c r="O249" s="590">
        <v>46242</v>
      </c>
      <c r="P249" s="549">
        <v>46242</v>
      </c>
      <c r="Q249" s="549">
        <v>46244</v>
      </c>
      <c r="R249" s="539"/>
      <c r="S249" s="549" t="s">
        <v>1133</v>
      </c>
      <c r="T249" s="539"/>
      <c r="U249" s="541"/>
      <c r="V249" s="539"/>
      <c r="W249" s="518" t="str">
        <f>IFERROR(VLOOKUP(H249,名称!A:F,6,0),"")</f>
        <v>湖南</v>
      </c>
      <c r="X249" s="541" t="s">
        <v>1133</v>
      </c>
      <c r="Y249" s="541" t="s">
        <v>1133</v>
      </c>
      <c r="Z249" s="567">
        <v>46190</v>
      </c>
      <c r="AA249" s="552">
        <v>46190</v>
      </c>
      <c r="AB249" s="567">
        <v>46213</v>
      </c>
      <c r="AC249" s="541" t="s">
        <v>1284</v>
      </c>
      <c r="AD249" s="431" t="s">
        <v>1228</v>
      </c>
      <c r="AE249" s="591" t="s">
        <v>510</v>
      </c>
      <c r="AF249" s="541" t="s">
        <v>1228</v>
      </c>
      <c r="AG249" s="541" t="s">
        <v>510</v>
      </c>
      <c r="AH249" s="541" t="s">
        <v>1307</v>
      </c>
      <c r="AI249" s="541" t="s">
        <v>1228</v>
      </c>
      <c r="AJ249" s="541" t="s">
        <v>1133</v>
      </c>
      <c r="AK249" s="541" t="s">
        <v>1133</v>
      </c>
      <c r="AL249" s="431" t="s">
        <v>1228</v>
      </c>
      <c r="AM249" s="431" t="s">
        <v>1292</v>
      </c>
      <c r="AN249" s="591"/>
      <c r="AO249" s="544">
        <v>0.79</v>
      </c>
      <c r="AP249" s="545">
        <f t="shared" si="39"/>
        <v>474</v>
      </c>
      <c r="AQ249" s="545">
        <f t="shared" si="40"/>
        <v>3673.5</v>
      </c>
      <c r="AR249" s="546"/>
      <c r="AS249" s="538"/>
      <c r="AT249" s="538" t="s">
        <v>1220</v>
      </c>
      <c r="AU249" s="548">
        <v>600</v>
      </c>
      <c r="AV249" s="548">
        <f t="shared" si="41"/>
        <v>0</v>
      </c>
      <c r="AW249" s="606"/>
      <c r="AX249" s="420" t="s">
        <v>1280</v>
      </c>
      <c r="AY249" s="538" t="s">
        <v>1262</v>
      </c>
      <c r="AZ249" s="538" t="s">
        <v>1372</v>
      </c>
      <c r="BA249" s="538"/>
      <c r="BB249" s="538" t="str">
        <f t="shared" si="42"/>
        <v>WRT World Enterprises, Inc</v>
      </c>
      <c r="BC249" s="538" t="str">
        <f t="shared" si="43"/>
        <v>多米尼加共和国</v>
      </c>
    </row>
    <row r="250" s="496" customFormat="1" customHeight="1" spans="1:55">
      <c r="A250" s="527">
        <v>46182</v>
      </c>
      <c r="B250" s="527" t="str">
        <f ca="1" t="shared" si="38"/>
        <v/>
      </c>
      <c r="C250" s="346" t="str">
        <f>VLOOKUP(H250,名称!A:E,4,0)</f>
        <v>三代</v>
      </c>
      <c r="D250" s="588" t="s">
        <v>1397</v>
      </c>
      <c r="E250" s="588" t="s">
        <v>1400</v>
      </c>
      <c r="F250" s="588" t="s">
        <v>947</v>
      </c>
      <c r="G250" s="588" t="s">
        <v>948</v>
      </c>
      <c r="H250" s="588" t="s">
        <v>99</v>
      </c>
      <c r="I250" s="118"/>
      <c r="J250" s="589">
        <v>240</v>
      </c>
      <c r="K250" s="92">
        <f>VLOOKUP(H250,名称!A:C,2,0)</f>
        <v>7</v>
      </c>
      <c r="L250" s="32">
        <f t="shared" si="36"/>
        <v>1680</v>
      </c>
      <c r="M250" s="568">
        <f>VLOOKUP(H250,名称!A:E,3,0)</f>
        <v>24</v>
      </c>
      <c r="N250" s="599">
        <f t="shared" si="37"/>
        <v>10</v>
      </c>
      <c r="O250" s="587">
        <v>46242</v>
      </c>
      <c r="P250" s="536">
        <v>46242</v>
      </c>
      <c r="Q250" s="536">
        <v>46244</v>
      </c>
      <c r="R250" s="404" t="s">
        <v>1241</v>
      </c>
      <c r="S250" s="536" t="s">
        <v>1133</v>
      </c>
      <c r="T250" s="346"/>
      <c r="U250" s="568"/>
      <c r="V250" s="346"/>
      <c r="W250" s="348" t="str">
        <f>IFERROR(VLOOKUP(H250,名称!A:F,6,0),"")</f>
        <v>湖南</v>
      </c>
      <c r="X250" s="568" t="s">
        <v>1133</v>
      </c>
      <c r="Y250" s="568" t="s">
        <v>1133</v>
      </c>
      <c r="Z250" s="569">
        <v>46190</v>
      </c>
      <c r="AA250" s="570">
        <v>46190</v>
      </c>
      <c r="AB250" s="569">
        <v>46213</v>
      </c>
      <c r="AC250" s="568" t="s">
        <v>1284</v>
      </c>
      <c r="AD250" s="415" t="s">
        <v>1228</v>
      </c>
      <c r="AE250" s="588" t="s">
        <v>510</v>
      </c>
      <c r="AF250" s="568" t="s">
        <v>1228</v>
      </c>
      <c r="AG250" s="568" t="s">
        <v>510</v>
      </c>
      <c r="AH250" s="568" t="s">
        <v>1307</v>
      </c>
      <c r="AI250" s="568" t="s">
        <v>1228</v>
      </c>
      <c r="AJ250" s="568" t="s">
        <v>1133</v>
      </c>
      <c r="AK250" s="568" t="s">
        <v>1133</v>
      </c>
      <c r="AL250" s="415" t="s">
        <v>1228</v>
      </c>
      <c r="AM250" s="415" t="s">
        <v>1292</v>
      </c>
      <c r="AN250" s="588"/>
      <c r="AO250" s="531">
        <v>0.9</v>
      </c>
      <c r="AP250" s="532">
        <f t="shared" si="39"/>
        <v>216</v>
      </c>
      <c r="AQ250" s="532">
        <f t="shared" si="40"/>
        <v>1674</v>
      </c>
      <c r="AR250" s="533"/>
      <c r="AS250" s="527"/>
      <c r="AT250" s="527" t="s">
        <v>1220</v>
      </c>
      <c r="AU250" s="535">
        <v>240</v>
      </c>
      <c r="AV250" s="535">
        <f t="shared" si="41"/>
        <v>0</v>
      </c>
      <c r="AW250" s="605"/>
      <c r="AX250" s="413" t="s">
        <v>1280</v>
      </c>
      <c r="AY250" s="527" t="s">
        <v>1262</v>
      </c>
      <c r="AZ250" s="527" t="s">
        <v>1372</v>
      </c>
      <c r="BA250" s="527"/>
      <c r="BB250" s="527" t="str">
        <f t="shared" si="42"/>
        <v>WRT World Enterprises, Inc</v>
      </c>
      <c r="BC250" s="527" t="str">
        <f t="shared" si="43"/>
        <v>多米尼加共和国</v>
      </c>
    </row>
    <row r="251" s="496" customFormat="1" customHeight="1" spans="1:55">
      <c r="A251" s="527">
        <v>46182</v>
      </c>
      <c r="B251" s="527" t="str">
        <f ca="1" t="shared" si="38"/>
        <v/>
      </c>
      <c r="C251" s="346" t="str">
        <f>VLOOKUP(H251,名称!A:E,4,0)</f>
        <v>三代</v>
      </c>
      <c r="D251" s="588" t="s">
        <v>1397</v>
      </c>
      <c r="E251" s="588" t="s">
        <v>1400</v>
      </c>
      <c r="F251" s="588" t="s">
        <v>947</v>
      </c>
      <c r="G251" s="588" t="s">
        <v>948</v>
      </c>
      <c r="H251" s="588" t="s">
        <v>59</v>
      </c>
      <c r="I251" s="346"/>
      <c r="J251" s="589">
        <v>648</v>
      </c>
      <c r="K251" s="347">
        <f>VLOOKUP(H251,名称!A:C,2,0)</f>
        <v>5</v>
      </c>
      <c r="L251" s="348">
        <f t="shared" si="36"/>
        <v>3240</v>
      </c>
      <c r="M251" s="568">
        <f>VLOOKUP(H251,名称!A:E,3,0)</f>
        <v>24</v>
      </c>
      <c r="N251" s="599">
        <f t="shared" si="37"/>
        <v>27</v>
      </c>
      <c r="O251" s="587">
        <v>46242</v>
      </c>
      <c r="P251" s="536">
        <v>46242</v>
      </c>
      <c r="Q251" s="536">
        <v>46244</v>
      </c>
      <c r="R251" s="404" t="s">
        <v>1241</v>
      </c>
      <c r="S251" s="536" t="s">
        <v>1133</v>
      </c>
      <c r="T251" s="346"/>
      <c r="U251" s="568"/>
      <c r="V251" s="346"/>
      <c r="W251" s="348" t="str">
        <f>IFERROR(VLOOKUP(H251,名称!A:F,6,0),"")</f>
        <v>湖南</v>
      </c>
      <c r="X251" s="568" t="s">
        <v>1133</v>
      </c>
      <c r="Y251" s="568" t="s">
        <v>1133</v>
      </c>
      <c r="Z251" s="569">
        <v>46190</v>
      </c>
      <c r="AA251" s="570">
        <v>46190</v>
      </c>
      <c r="AB251" s="569">
        <v>46213</v>
      </c>
      <c r="AC251" s="568" t="s">
        <v>1133</v>
      </c>
      <c r="AD251" s="415" t="s">
        <v>1133</v>
      </c>
      <c r="AE251" s="588" t="s">
        <v>510</v>
      </c>
      <c r="AF251" s="568" t="s">
        <v>1228</v>
      </c>
      <c r="AG251" s="568" t="s">
        <v>510</v>
      </c>
      <c r="AH251" s="568" t="s">
        <v>1133</v>
      </c>
      <c r="AI251" s="568" t="s">
        <v>1228</v>
      </c>
      <c r="AJ251" s="568" t="s">
        <v>1133</v>
      </c>
      <c r="AK251" s="568" t="s">
        <v>510</v>
      </c>
      <c r="AL251" s="415" t="s">
        <v>1228</v>
      </c>
      <c r="AM251" s="415" t="s">
        <v>1292</v>
      </c>
      <c r="AN251" s="588"/>
      <c r="AO251" s="531">
        <v>0.65</v>
      </c>
      <c r="AP251" s="532">
        <f t="shared" si="39"/>
        <v>421.2</v>
      </c>
      <c r="AQ251" s="532">
        <f t="shared" si="40"/>
        <v>3264.3</v>
      </c>
      <c r="AR251" s="533"/>
      <c r="AS251" s="527"/>
      <c r="AT251" s="527" t="s">
        <v>1220</v>
      </c>
      <c r="AU251" s="535">
        <v>648</v>
      </c>
      <c r="AV251" s="535">
        <f t="shared" si="41"/>
        <v>0</v>
      </c>
      <c r="AW251" s="605"/>
      <c r="AX251" s="413" t="s">
        <v>1280</v>
      </c>
      <c r="AY251" s="527" t="s">
        <v>1262</v>
      </c>
      <c r="AZ251" s="527" t="s">
        <v>1372</v>
      </c>
      <c r="BA251" s="527"/>
      <c r="BB251" s="527" t="str">
        <f t="shared" si="42"/>
        <v>WRT World Enterprises, Inc</v>
      </c>
      <c r="BC251" s="527" t="str">
        <f t="shared" si="43"/>
        <v>多米尼加共和国</v>
      </c>
    </row>
    <row r="252" s="496" customFormat="1" customHeight="1" spans="1:55">
      <c r="A252" s="527">
        <v>46182</v>
      </c>
      <c r="B252" s="527" t="str">
        <f ca="1" t="shared" si="38"/>
        <v/>
      </c>
      <c r="C252" s="346" t="str">
        <f>VLOOKUP(H252,名称!A:E,4,0)</f>
        <v>三代</v>
      </c>
      <c r="D252" s="588" t="s">
        <v>1397</v>
      </c>
      <c r="E252" s="588" t="s">
        <v>1400</v>
      </c>
      <c r="F252" s="588" t="s">
        <v>947</v>
      </c>
      <c r="G252" s="588" t="s">
        <v>948</v>
      </c>
      <c r="H252" s="588" t="s">
        <v>66</v>
      </c>
      <c r="I252" s="346"/>
      <c r="J252" s="589">
        <v>324</v>
      </c>
      <c r="K252" s="347">
        <f>VLOOKUP(H252,名称!A:C,2,0)</f>
        <v>12</v>
      </c>
      <c r="L252" s="348">
        <f t="shared" si="36"/>
        <v>3888</v>
      </c>
      <c r="M252" s="568">
        <f>VLOOKUP(H252,名称!A:E,3,0)</f>
        <v>6</v>
      </c>
      <c r="N252" s="599">
        <f t="shared" si="37"/>
        <v>54</v>
      </c>
      <c r="O252" s="587">
        <v>46242</v>
      </c>
      <c r="P252" s="536">
        <v>46242</v>
      </c>
      <c r="Q252" s="536">
        <v>46244</v>
      </c>
      <c r="R252" s="404" t="s">
        <v>1241</v>
      </c>
      <c r="S252" s="536" t="s">
        <v>1133</v>
      </c>
      <c r="T252" s="346"/>
      <c r="U252" s="568"/>
      <c r="V252" s="346"/>
      <c r="W252" s="348" t="str">
        <f>IFERROR(VLOOKUP(H252,名称!A:F,6,0),"")</f>
        <v>湖南</v>
      </c>
      <c r="X252" s="568" t="s">
        <v>1133</v>
      </c>
      <c r="Y252" s="568" t="s">
        <v>1133</v>
      </c>
      <c r="Z252" s="569">
        <v>46190</v>
      </c>
      <c r="AA252" s="570">
        <v>46190</v>
      </c>
      <c r="AB252" s="569">
        <v>46213</v>
      </c>
      <c r="AC252" s="568" t="s">
        <v>1318</v>
      </c>
      <c r="AD252" s="415" t="s">
        <v>1228</v>
      </c>
      <c r="AE252" s="588" t="s">
        <v>510</v>
      </c>
      <c r="AF252" s="568" t="s">
        <v>1228</v>
      </c>
      <c r="AG252" s="568" t="s">
        <v>510</v>
      </c>
      <c r="AH252" s="568" t="s">
        <v>1307</v>
      </c>
      <c r="AI252" s="568" t="s">
        <v>1228</v>
      </c>
      <c r="AJ252" s="568" t="s">
        <v>510</v>
      </c>
      <c r="AK252" s="568" t="s">
        <v>1133</v>
      </c>
      <c r="AL252" s="415" t="s">
        <v>1228</v>
      </c>
      <c r="AM252" s="415" t="s">
        <v>1292</v>
      </c>
      <c r="AN252" s="588"/>
      <c r="AO252" s="531">
        <v>2.09</v>
      </c>
      <c r="AP252" s="532">
        <f t="shared" si="39"/>
        <v>677.16</v>
      </c>
      <c r="AQ252" s="532">
        <f t="shared" si="40"/>
        <v>5247.99</v>
      </c>
      <c r="AR252" s="533"/>
      <c r="AS252" s="527"/>
      <c r="AT252" s="527" t="s">
        <v>1220</v>
      </c>
      <c r="AU252" s="535">
        <v>324</v>
      </c>
      <c r="AV252" s="535">
        <f t="shared" si="41"/>
        <v>0</v>
      </c>
      <c r="AW252" s="605"/>
      <c r="AX252" s="413" t="s">
        <v>1280</v>
      </c>
      <c r="AY252" s="527" t="s">
        <v>1262</v>
      </c>
      <c r="AZ252" s="527" t="s">
        <v>1372</v>
      </c>
      <c r="BA252" s="527"/>
      <c r="BB252" s="527" t="str">
        <f t="shared" si="42"/>
        <v>WRT World Enterprises, Inc</v>
      </c>
      <c r="BC252" s="527" t="str">
        <f t="shared" si="43"/>
        <v>多米尼加共和国</v>
      </c>
    </row>
    <row r="253" s="496" customFormat="1" customHeight="1" spans="1:55">
      <c r="A253" s="527">
        <v>46182</v>
      </c>
      <c r="B253" s="527" t="str">
        <f ca="1" t="shared" si="38"/>
        <v/>
      </c>
      <c r="C253" s="346" t="str">
        <f>VLOOKUP(H253,名称!A:E,4,0)</f>
        <v>三代</v>
      </c>
      <c r="D253" s="588" t="s">
        <v>1397</v>
      </c>
      <c r="E253" s="588" t="s">
        <v>1400</v>
      </c>
      <c r="F253" s="588" t="s">
        <v>947</v>
      </c>
      <c r="G253" s="588" t="s">
        <v>948</v>
      </c>
      <c r="H253" s="588" t="s">
        <v>68</v>
      </c>
      <c r="I253" s="346"/>
      <c r="J253" s="589">
        <v>264</v>
      </c>
      <c r="K253" s="347">
        <f>VLOOKUP(H253,名称!A:C,2,0)</f>
        <v>32</v>
      </c>
      <c r="L253" s="348">
        <f t="shared" si="36"/>
        <v>8448</v>
      </c>
      <c r="M253" s="568">
        <f>VLOOKUP(H253,名称!A:E,3,0)</f>
        <v>4</v>
      </c>
      <c r="N253" s="599">
        <f t="shared" si="37"/>
        <v>66</v>
      </c>
      <c r="O253" s="587">
        <v>46242</v>
      </c>
      <c r="P253" s="536">
        <v>46242</v>
      </c>
      <c r="Q253" s="536">
        <v>46244</v>
      </c>
      <c r="R253" s="404" t="s">
        <v>1241</v>
      </c>
      <c r="S253" s="536" t="s">
        <v>1133</v>
      </c>
      <c r="T253" s="346"/>
      <c r="U253" s="568"/>
      <c r="V253" s="346"/>
      <c r="W253" s="348" t="str">
        <f>IFERROR(VLOOKUP(H253,名称!A:F,6,0),"")</f>
        <v>湖南</v>
      </c>
      <c r="X253" s="568" t="s">
        <v>1133</v>
      </c>
      <c r="Y253" s="568" t="s">
        <v>1133</v>
      </c>
      <c r="Z253" s="569">
        <v>46190</v>
      </c>
      <c r="AA253" s="570">
        <v>46190</v>
      </c>
      <c r="AB253" s="569">
        <v>46213</v>
      </c>
      <c r="AC253" s="568" t="s">
        <v>1133</v>
      </c>
      <c r="AD253" s="415" t="s">
        <v>1133</v>
      </c>
      <c r="AE253" s="588" t="s">
        <v>510</v>
      </c>
      <c r="AF253" s="568" t="s">
        <v>1228</v>
      </c>
      <c r="AG253" s="568" t="s">
        <v>510</v>
      </c>
      <c r="AH253" s="568" t="s">
        <v>1307</v>
      </c>
      <c r="AI253" s="568" t="s">
        <v>1228</v>
      </c>
      <c r="AJ253" s="568" t="s">
        <v>1133</v>
      </c>
      <c r="AK253" s="568" t="s">
        <v>1133</v>
      </c>
      <c r="AL253" s="415" t="s">
        <v>1228</v>
      </c>
      <c r="AM253" s="415" t="s">
        <v>1292</v>
      </c>
      <c r="AN253" s="588"/>
      <c r="AO253" s="531">
        <v>3.23</v>
      </c>
      <c r="AP253" s="532">
        <f t="shared" si="39"/>
        <v>852.72</v>
      </c>
      <c r="AQ253" s="532">
        <f t="shared" si="40"/>
        <v>6608.58</v>
      </c>
      <c r="AR253" s="533"/>
      <c r="AS253" s="527"/>
      <c r="AT253" s="527" t="s">
        <v>1220</v>
      </c>
      <c r="AU253" s="535">
        <v>264</v>
      </c>
      <c r="AV253" s="535">
        <f t="shared" si="41"/>
        <v>0</v>
      </c>
      <c r="AW253" s="605"/>
      <c r="AX253" s="413" t="s">
        <v>1280</v>
      </c>
      <c r="AY253" s="527" t="s">
        <v>1262</v>
      </c>
      <c r="AZ253" s="527" t="s">
        <v>1372</v>
      </c>
      <c r="BA253" s="527"/>
      <c r="BB253" s="527" t="str">
        <f t="shared" si="42"/>
        <v>WRT World Enterprises, Inc</v>
      </c>
      <c r="BC253" s="527" t="str">
        <f t="shared" si="43"/>
        <v>多米尼加共和国</v>
      </c>
    </row>
    <row r="254" s="496" customFormat="1" customHeight="1" spans="1:55">
      <c r="A254" s="527">
        <v>46182</v>
      </c>
      <c r="B254" s="527" t="str">
        <f ca="1" t="shared" si="38"/>
        <v/>
      </c>
      <c r="C254" s="346" t="str">
        <f>VLOOKUP(H254,名称!A:E,4,0)</f>
        <v>三代</v>
      </c>
      <c r="D254" s="588" t="s">
        <v>1397</v>
      </c>
      <c r="E254" s="588" t="s">
        <v>1400</v>
      </c>
      <c r="F254" s="588" t="s">
        <v>947</v>
      </c>
      <c r="G254" s="588" t="s">
        <v>948</v>
      </c>
      <c r="H254" s="588" t="s">
        <v>72</v>
      </c>
      <c r="I254" s="118"/>
      <c r="J254" s="589">
        <v>420</v>
      </c>
      <c r="K254" s="92">
        <f>VLOOKUP(H254,名称!A:C,2,0)</f>
        <v>12</v>
      </c>
      <c r="L254" s="32">
        <f t="shared" si="36"/>
        <v>5040</v>
      </c>
      <c r="M254" s="568">
        <f>VLOOKUP(H254,名称!A:E,3,0)</f>
        <v>12</v>
      </c>
      <c r="N254" s="599">
        <f t="shared" si="37"/>
        <v>35</v>
      </c>
      <c r="O254" s="587">
        <v>46242</v>
      </c>
      <c r="P254" s="536">
        <v>46242</v>
      </c>
      <c r="Q254" s="536">
        <v>46244</v>
      </c>
      <c r="R254" s="404" t="s">
        <v>1241</v>
      </c>
      <c r="S254" s="536" t="s">
        <v>1133</v>
      </c>
      <c r="T254" s="346"/>
      <c r="U254" s="568"/>
      <c r="V254" s="346"/>
      <c r="W254" s="348" t="str">
        <f>IFERROR(VLOOKUP(H254,名称!A:F,6,0),"")</f>
        <v>湖南</v>
      </c>
      <c r="X254" s="568" t="s">
        <v>1133</v>
      </c>
      <c r="Y254" s="568" t="s">
        <v>1133</v>
      </c>
      <c r="Z254" s="569">
        <v>46190</v>
      </c>
      <c r="AA254" s="570">
        <v>46190</v>
      </c>
      <c r="AB254" s="569">
        <v>46213</v>
      </c>
      <c r="AC254" s="568" t="s">
        <v>1302</v>
      </c>
      <c r="AD254" s="415" t="s">
        <v>1133</v>
      </c>
      <c r="AE254" s="588" t="s">
        <v>510</v>
      </c>
      <c r="AF254" s="568" t="s">
        <v>1228</v>
      </c>
      <c r="AG254" s="568" t="s">
        <v>510</v>
      </c>
      <c r="AH254" s="568" t="s">
        <v>1307</v>
      </c>
      <c r="AI254" s="568" t="s">
        <v>1228</v>
      </c>
      <c r="AJ254" s="568" t="s">
        <v>1133</v>
      </c>
      <c r="AK254" s="568" t="s">
        <v>1133</v>
      </c>
      <c r="AL254" s="415" t="s">
        <v>1228</v>
      </c>
      <c r="AM254" s="415" t="s">
        <v>1292</v>
      </c>
      <c r="AN254" s="588"/>
      <c r="AO254" s="531">
        <v>1.65</v>
      </c>
      <c r="AP254" s="532">
        <f t="shared" si="39"/>
        <v>693</v>
      </c>
      <c r="AQ254" s="532">
        <f t="shared" si="40"/>
        <v>5370.75</v>
      </c>
      <c r="AR254" s="533"/>
      <c r="AS254" s="527"/>
      <c r="AT254" s="527" t="s">
        <v>1220</v>
      </c>
      <c r="AU254" s="535">
        <v>420</v>
      </c>
      <c r="AV254" s="535">
        <f t="shared" si="41"/>
        <v>0</v>
      </c>
      <c r="AW254" s="605"/>
      <c r="AX254" s="415" t="s">
        <v>1280</v>
      </c>
      <c r="AY254" s="527" t="s">
        <v>1262</v>
      </c>
      <c r="AZ254" s="527" t="s">
        <v>1372</v>
      </c>
      <c r="BA254" s="527"/>
      <c r="BB254" s="527" t="str">
        <f t="shared" si="42"/>
        <v>WRT World Enterprises, Inc</v>
      </c>
      <c r="BC254" s="527" t="str">
        <f t="shared" si="43"/>
        <v>多米尼加共和国</v>
      </c>
    </row>
    <row r="255" s="495" customFormat="1" customHeight="1" spans="1:55">
      <c r="A255" s="538">
        <v>46182</v>
      </c>
      <c r="B255" s="538" t="str">
        <f ca="1" t="shared" si="38"/>
        <v/>
      </c>
      <c r="C255" s="539" t="str">
        <f>VLOOKUP(H255,名称!A:E,4,0)</f>
        <v>三代</v>
      </c>
      <c r="D255" s="591" t="s">
        <v>1397</v>
      </c>
      <c r="E255" s="591" t="s">
        <v>1401</v>
      </c>
      <c r="F255" s="591" t="s">
        <v>949</v>
      </c>
      <c r="G255" s="591" t="s">
        <v>950</v>
      </c>
      <c r="H255" s="591" t="s">
        <v>109</v>
      </c>
      <c r="I255" s="118"/>
      <c r="J255" s="592">
        <v>384</v>
      </c>
      <c r="K255" s="92">
        <f>VLOOKUP(H255,名称!A:C,2,0)</f>
        <v>0</v>
      </c>
      <c r="L255" s="32">
        <f t="shared" si="36"/>
        <v>0</v>
      </c>
      <c r="M255" s="541">
        <f>VLOOKUP(H255,名称!A:E,3,0)</f>
        <v>24</v>
      </c>
      <c r="N255" s="586">
        <f t="shared" si="37"/>
        <v>16</v>
      </c>
      <c r="O255" s="590">
        <v>46242</v>
      </c>
      <c r="P255" s="549">
        <v>46242</v>
      </c>
      <c r="Q255" s="549">
        <v>46246</v>
      </c>
      <c r="R255" s="539"/>
      <c r="S255" s="549" t="s">
        <v>1133</v>
      </c>
      <c r="T255" s="539"/>
      <c r="U255" s="541"/>
      <c r="V255" s="539"/>
      <c r="W255" s="518" t="str">
        <f>IFERROR(VLOOKUP(H255,名称!A:F,6,0),"")</f>
        <v>东莞</v>
      </c>
      <c r="X255" s="541" t="s">
        <v>1133</v>
      </c>
      <c r="Y255" s="541" t="s">
        <v>1133</v>
      </c>
      <c r="Z255" s="567">
        <v>46190</v>
      </c>
      <c r="AA255" s="552">
        <v>46190</v>
      </c>
      <c r="AB255" s="567">
        <v>46213</v>
      </c>
      <c r="AC255" s="541" t="s">
        <v>1133</v>
      </c>
      <c r="AD255" s="431" t="s">
        <v>1133</v>
      </c>
      <c r="AE255" s="591" t="s">
        <v>510</v>
      </c>
      <c r="AF255" s="541" t="s">
        <v>1228</v>
      </c>
      <c r="AG255" s="541" t="s">
        <v>510</v>
      </c>
      <c r="AH255" s="541" t="s">
        <v>1133</v>
      </c>
      <c r="AI255" s="541" t="s">
        <v>1228</v>
      </c>
      <c r="AJ255" s="541" t="s">
        <v>1133</v>
      </c>
      <c r="AK255" s="541" t="s">
        <v>510</v>
      </c>
      <c r="AL255" s="431" t="s">
        <v>1228</v>
      </c>
      <c r="AM255" s="431" t="s">
        <v>1292</v>
      </c>
      <c r="AN255" s="591"/>
      <c r="AO255" s="544">
        <v>0.64</v>
      </c>
      <c r="AP255" s="545">
        <f t="shared" si="39"/>
        <v>245.76</v>
      </c>
      <c r="AQ255" s="545">
        <f t="shared" si="40"/>
        <v>1904.64</v>
      </c>
      <c r="AR255" s="546"/>
      <c r="AS255" s="538"/>
      <c r="AT255" s="538" t="s">
        <v>1220</v>
      </c>
      <c r="AU255" s="548"/>
      <c r="AV255" s="548">
        <f t="shared" si="41"/>
        <v>-384</v>
      </c>
      <c r="AW255" s="606"/>
      <c r="AX255" s="549"/>
      <c r="AY255" s="538" t="s">
        <v>1262</v>
      </c>
      <c r="AZ255" s="538" t="s">
        <v>1372</v>
      </c>
      <c r="BA255" s="538"/>
      <c r="BB255" s="538" t="str">
        <f t="shared" si="42"/>
        <v>WRT World Enterprises, Inc</v>
      </c>
      <c r="BC255" s="538" t="str">
        <f t="shared" si="43"/>
        <v>萨尔瓦多</v>
      </c>
    </row>
    <row r="256" s="495" customFormat="1" customHeight="1" spans="1:55">
      <c r="A256" s="538">
        <v>46182</v>
      </c>
      <c r="B256" s="538" t="str">
        <f ca="1" t="shared" si="38"/>
        <v/>
      </c>
      <c r="C256" s="539" t="str">
        <f>VLOOKUP(H256,名称!A:E,4,0)</f>
        <v>三代</v>
      </c>
      <c r="D256" s="591" t="s">
        <v>1397</v>
      </c>
      <c r="E256" s="591" t="s">
        <v>1401</v>
      </c>
      <c r="F256" s="591" t="s">
        <v>949</v>
      </c>
      <c r="G256" s="591" t="s">
        <v>950</v>
      </c>
      <c r="H256" s="591" t="s">
        <v>100</v>
      </c>
      <c r="I256" s="118"/>
      <c r="J256" s="592">
        <v>120</v>
      </c>
      <c r="K256" s="92">
        <f>VLOOKUP(H256,名称!A:C,2,0)</f>
        <v>0</v>
      </c>
      <c r="L256" s="32">
        <f t="shared" si="36"/>
        <v>0</v>
      </c>
      <c r="M256" s="541">
        <f>VLOOKUP(H256,名称!A:E,3,0)</f>
        <v>12</v>
      </c>
      <c r="N256" s="586">
        <f t="shared" si="37"/>
        <v>10</v>
      </c>
      <c r="O256" s="590">
        <v>46242</v>
      </c>
      <c r="P256" s="549">
        <v>46242</v>
      </c>
      <c r="Q256" s="549">
        <v>46246</v>
      </c>
      <c r="R256" s="539"/>
      <c r="S256" s="549" t="s">
        <v>1133</v>
      </c>
      <c r="T256" s="539"/>
      <c r="U256" s="541"/>
      <c r="V256" s="539"/>
      <c r="W256" s="518" t="str">
        <f>IFERROR(VLOOKUP(H256,名称!A:F,6,0),"")</f>
        <v>东莞</v>
      </c>
      <c r="X256" s="541" t="s">
        <v>1133</v>
      </c>
      <c r="Y256" s="541" t="s">
        <v>1133</v>
      </c>
      <c r="Z256" s="567">
        <v>46190</v>
      </c>
      <c r="AA256" s="552">
        <v>46190</v>
      </c>
      <c r="AB256" s="567">
        <v>46213</v>
      </c>
      <c r="AC256" s="541" t="s">
        <v>1133</v>
      </c>
      <c r="AD256" s="541" t="s">
        <v>1133</v>
      </c>
      <c r="AE256" s="591" t="s">
        <v>510</v>
      </c>
      <c r="AF256" s="541" t="s">
        <v>1228</v>
      </c>
      <c r="AG256" s="541" t="s">
        <v>510</v>
      </c>
      <c r="AH256" s="541" t="s">
        <v>1133</v>
      </c>
      <c r="AI256" s="541" t="s">
        <v>1228</v>
      </c>
      <c r="AJ256" s="541" t="s">
        <v>1133</v>
      </c>
      <c r="AK256" s="541" t="s">
        <v>1133</v>
      </c>
      <c r="AL256" s="431" t="s">
        <v>1228</v>
      </c>
      <c r="AM256" s="431" t="s">
        <v>1292</v>
      </c>
      <c r="AN256" s="591"/>
      <c r="AO256" s="544">
        <v>1.35</v>
      </c>
      <c r="AP256" s="545">
        <f t="shared" si="39"/>
        <v>162</v>
      </c>
      <c r="AQ256" s="545">
        <f t="shared" si="40"/>
        <v>1255.5</v>
      </c>
      <c r="AR256" s="546"/>
      <c r="AS256" s="538"/>
      <c r="AT256" s="455" t="s">
        <v>1220</v>
      </c>
      <c r="AU256" s="548"/>
      <c r="AV256" s="548">
        <f t="shared" si="41"/>
        <v>-120</v>
      </c>
      <c r="AW256" s="606"/>
      <c r="AX256" s="549"/>
      <c r="AY256" s="538" t="s">
        <v>1262</v>
      </c>
      <c r="AZ256" s="538" t="s">
        <v>1372</v>
      </c>
      <c r="BA256" s="538"/>
      <c r="BB256" s="538" t="str">
        <f t="shared" si="42"/>
        <v>WRT World Enterprises, Inc</v>
      </c>
      <c r="BC256" s="538" t="str">
        <f t="shared" si="43"/>
        <v>萨尔瓦多</v>
      </c>
    </row>
    <row r="257" s="495" customFormat="1" customHeight="1" spans="1:55">
      <c r="A257" s="538">
        <v>46182</v>
      </c>
      <c r="B257" s="538" t="str">
        <f ca="1" t="shared" si="38"/>
        <v/>
      </c>
      <c r="C257" s="539" t="str">
        <f>VLOOKUP(H257,名称!A:E,4,0)</f>
        <v>三代</v>
      </c>
      <c r="D257" s="591" t="s">
        <v>1397</v>
      </c>
      <c r="E257" s="591" t="s">
        <v>1401</v>
      </c>
      <c r="F257" s="591" t="s">
        <v>949</v>
      </c>
      <c r="G257" s="591" t="s">
        <v>950</v>
      </c>
      <c r="H257" s="591" t="s">
        <v>121</v>
      </c>
      <c r="I257" s="118"/>
      <c r="J257" s="592">
        <v>300</v>
      </c>
      <c r="K257" s="92">
        <f>VLOOKUP(H257,名称!A:C,2,0)</f>
        <v>7</v>
      </c>
      <c r="L257" s="32">
        <f t="shared" si="36"/>
        <v>2100</v>
      </c>
      <c r="M257" s="541">
        <f>VLOOKUP(H257,名称!A:E,3,0)</f>
        <v>12</v>
      </c>
      <c r="N257" s="586">
        <f t="shared" si="37"/>
        <v>25</v>
      </c>
      <c r="O257" s="590">
        <v>46242</v>
      </c>
      <c r="P257" s="549">
        <v>46242</v>
      </c>
      <c r="Q257" s="549">
        <v>46244</v>
      </c>
      <c r="R257" s="539"/>
      <c r="S257" s="549" t="s">
        <v>1133</v>
      </c>
      <c r="T257" s="539"/>
      <c r="U257" s="541"/>
      <c r="V257" s="539"/>
      <c r="W257" s="518" t="str">
        <f>IFERROR(VLOOKUP(H257,名称!A:F,6,0),"")</f>
        <v>湖南</v>
      </c>
      <c r="X257" s="541" t="s">
        <v>1133</v>
      </c>
      <c r="Y257" s="541" t="s">
        <v>1133</v>
      </c>
      <c r="Z257" s="567">
        <v>46190</v>
      </c>
      <c r="AA257" s="552">
        <v>46190</v>
      </c>
      <c r="AB257" s="567">
        <v>46213</v>
      </c>
      <c r="AC257" s="541" t="s">
        <v>1284</v>
      </c>
      <c r="AD257" s="431" t="s">
        <v>1228</v>
      </c>
      <c r="AE257" s="591" t="s">
        <v>510</v>
      </c>
      <c r="AF257" s="541" t="s">
        <v>1228</v>
      </c>
      <c r="AG257" s="541" t="s">
        <v>510</v>
      </c>
      <c r="AH257" s="541" t="s">
        <v>1307</v>
      </c>
      <c r="AI257" s="541" t="s">
        <v>1228</v>
      </c>
      <c r="AJ257" s="541" t="s">
        <v>1133</v>
      </c>
      <c r="AK257" s="541" t="s">
        <v>1133</v>
      </c>
      <c r="AL257" s="431" t="s">
        <v>1228</v>
      </c>
      <c r="AM257" s="431" t="s">
        <v>1292</v>
      </c>
      <c r="AN257" s="591"/>
      <c r="AO257" s="544">
        <v>0.79</v>
      </c>
      <c r="AP257" s="545">
        <f t="shared" si="39"/>
        <v>237</v>
      </c>
      <c r="AQ257" s="545">
        <f t="shared" si="40"/>
        <v>1836.75</v>
      </c>
      <c r="AR257" s="546"/>
      <c r="AS257" s="538"/>
      <c r="AT257" s="538" t="s">
        <v>1220</v>
      </c>
      <c r="AU257" s="548">
        <v>300</v>
      </c>
      <c r="AV257" s="548">
        <f t="shared" si="41"/>
        <v>0</v>
      </c>
      <c r="AW257" s="606"/>
      <c r="AX257" s="420" t="s">
        <v>1280</v>
      </c>
      <c r="AY257" s="538" t="s">
        <v>1262</v>
      </c>
      <c r="AZ257" s="538" t="s">
        <v>1372</v>
      </c>
      <c r="BA257" s="538"/>
      <c r="BB257" s="538" t="str">
        <f t="shared" si="42"/>
        <v>WRT World Enterprises, Inc</v>
      </c>
      <c r="BC257" s="538" t="str">
        <f t="shared" si="43"/>
        <v>萨尔瓦多</v>
      </c>
    </row>
    <row r="258" s="496" customFormat="1" customHeight="1" spans="1:55">
      <c r="A258" s="527">
        <v>46182</v>
      </c>
      <c r="B258" s="527" t="str">
        <f ca="1" t="shared" si="38"/>
        <v/>
      </c>
      <c r="C258" s="346" t="str">
        <f>VLOOKUP(H258,名称!A:E,4,0)</f>
        <v>三代</v>
      </c>
      <c r="D258" s="588" t="s">
        <v>1397</v>
      </c>
      <c r="E258" s="588" t="s">
        <v>1401</v>
      </c>
      <c r="F258" s="588" t="s">
        <v>949</v>
      </c>
      <c r="G258" s="588" t="s">
        <v>950</v>
      </c>
      <c r="H258" s="588" t="s">
        <v>99</v>
      </c>
      <c r="I258" s="118"/>
      <c r="J258" s="589">
        <v>120</v>
      </c>
      <c r="K258" s="92">
        <f>VLOOKUP(H258,名称!A:C,2,0)</f>
        <v>7</v>
      </c>
      <c r="L258" s="32">
        <f t="shared" si="36"/>
        <v>840</v>
      </c>
      <c r="M258" s="568">
        <f>VLOOKUP(H258,名称!A:E,3,0)</f>
        <v>24</v>
      </c>
      <c r="N258" s="599">
        <f t="shared" si="37"/>
        <v>5</v>
      </c>
      <c r="O258" s="587">
        <v>46242</v>
      </c>
      <c r="P258" s="536">
        <v>46242</v>
      </c>
      <c r="Q258" s="536">
        <v>46244</v>
      </c>
      <c r="R258" s="404" t="s">
        <v>1241</v>
      </c>
      <c r="S258" s="536" t="s">
        <v>1133</v>
      </c>
      <c r="T258" s="346"/>
      <c r="U258" s="568"/>
      <c r="V258" s="346"/>
      <c r="W258" s="348" t="str">
        <f>IFERROR(VLOOKUP(H258,名称!A:F,6,0),"")</f>
        <v>湖南</v>
      </c>
      <c r="X258" s="568" t="s">
        <v>1133</v>
      </c>
      <c r="Y258" s="568" t="s">
        <v>1133</v>
      </c>
      <c r="Z258" s="569">
        <v>46190</v>
      </c>
      <c r="AA258" s="570">
        <v>46190</v>
      </c>
      <c r="AB258" s="569">
        <v>46213</v>
      </c>
      <c r="AC258" s="568" t="s">
        <v>1284</v>
      </c>
      <c r="AD258" s="415" t="s">
        <v>1228</v>
      </c>
      <c r="AE258" s="588" t="s">
        <v>510</v>
      </c>
      <c r="AF258" s="568" t="s">
        <v>1228</v>
      </c>
      <c r="AG258" s="568" t="s">
        <v>510</v>
      </c>
      <c r="AH258" s="568" t="s">
        <v>1307</v>
      </c>
      <c r="AI258" s="568" t="s">
        <v>1228</v>
      </c>
      <c r="AJ258" s="568" t="s">
        <v>1133</v>
      </c>
      <c r="AK258" s="568" t="s">
        <v>1133</v>
      </c>
      <c r="AL258" s="415" t="s">
        <v>1228</v>
      </c>
      <c r="AM258" s="415" t="s">
        <v>1292</v>
      </c>
      <c r="AN258" s="588"/>
      <c r="AO258" s="531">
        <v>0.9</v>
      </c>
      <c r="AP258" s="532">
        <f t="shared" si="39"/>
        <v>108</v>
      </c>
      <c r="AQ258" s="532">
        <f t="shared" si="40"/>
        <v>837</v>
      </c>
      <c r="AR258" s="533"/>
      <c r="AS258" s="527"/>
      <c r="AT258" s="527" t="s">
        <v>1220</v>
      </c>
      <c r="AU258" s="535">
        <v>120</v>
      </c>
      <c r="AV258" s="535">
        <f t="shared" si="41"/>
        <v>0</v>
      </c>
      <c r="AW258" s="605"/>
      <c r="AX258" s="413" t="s">
        <v>1280</v>
      </c>
      <c r="AY258" s="527" t="s">
        <v>1262</v>
      </c>
      <c r="AZ258" s="527" t="s">
        <v>1372</v>
      </c>
      <c r="BA258" s="527"/>
      <c r="BB258" s="527" t="str">
        <f t="shared" si="42"/>
        <v>WRT World Enterprises, Inc</v>
      </c>
      <c r="BC258" s="527" t="str">
        <f t="shared" si="43"/>
        <v>萨尔瓦多</v>
      </c>
    </row>
    <row r="259" s="496" customFormat="1" customHeight="1" spans="1:55">
      <c r="A259" s="527">
        <v>46182</v>
      </c>
      <c r="B259" s="527" t="str">
        <f ca="1" t="shared" si="38"/>
        <v/>
      </c>
      <c r="C259" s="346" t="str">
        <f>VLOOKUP(H259,名称!A:E,4,0)</f>
        <v>三代</v>
      </c>
      <c r="D259" s="588" t="s">
        <v>1397</v>
      </c>
      <c r="E259" s="588" t="s">
        <v>1401</v>
      </c>
      <c r="F259" s="588" t="s">
        <v>949</v>
      </c>
      <c r="G259" s="588" t="s">
        <v>950</v>
      </c>
      <c r="H259" s="588" t="s">
        <v>59</v>
      </c>
      <c r="I259" s="346"/>
      <c r="J259" s="589">
        <v>384</v>
      </c>
      <c r="K259" s="347">
        <f>VLOOKUP(H259,名称!A:C,2,0)</f>
        <v>5</v>
      </c>
      <c r="L259" s="348">
        <f t="shared" si="36"/>
        <v>1920</v>
      </c>
      <c r="M259" s="568">
        <f>VLOOKUP(H259,名称!A:E,3,0)</f>
        <v>24</v>
      </c>
      <c r="N259" s="599">
        <f t="shared" si="37"/>
        <v>16</v>
      </c>
      <c r="O259" s="587">
        <v>46242</v>
      </c>
      <c r="P259" s="536">
        <v>46242</v>
      </c>
      <c r="Q259" s="536">
        <v>46244</v>
      </c>
      <c r="R259" s="415" t="s">
        <v>1241</v>
      </c>
      <c r="S259" s="536" t="s">
        <v>1133</v>
      </c>
      <c r="T259" s="346"/>
      <c r="U259" s="568"/>
      <c r="V259" s="346"/>
      <c r="W259" s="348" t="str">
        <f>IFERROR(VLOOKUP(H259,名称!A:F,6,0),"")</f>
        <v>湖南</v>
      </c>
      <c r="X259" s="568" t="s">
        <v>1133</v>
      </c>
      <c r="Y259" s="568" t="s">
        <v>1133</v>
      </c>
      <c r="Z259" s="569">
        <v>46190</v>
      </c>
      <c r="AA259" s="570">
        <v>46190</v>
      </c>
      <c r="AB259" s="569">
        <v>46213</v>
      </c>
      <c r="AC259" s="568" t="s">
        <v>1133</v>
      </c>
      <c r="AD259" s="415" t="s">
        <v>1133</v>
      </c>
      <c r="AE259" s="588" t="s">
        <v>510</v>
      </c>
      <c r="AF259" s="568" t="s">
        <v>1228</v>
      </c>
      <c r="AG259" s="568" t="s">
        <v>510</v>
      </c>
      <c r="AH259" s="568" t="s">
        <v>1133</v>
      </c>
      <c r="AI259" s="568" t="s">
        <v>1228</v>
      </c>
      <c r="AJ259" s="568" t="s">
        <v>1133</v>
      </c>
      <c r="AK259" s="568" t="s">
        <v>510</v>
      </c>
      <c r="AL259" s="415" t="s">
        <v>1228</v>
      </c>
      <c r="AM259" s="415" t="s">
        <v>1292</v>
      </c>
      <c r="AN259" s="588"/>
      <c r="AO259" s="531">
        <v>0.65</v>
      </c>
      <c r="AP259" s="532">
        <f t="shared" si="39"/>
        <v>249.6</v>
      </c>
      <c r="AQ259" s="532">
        <f t="shared" si="40"/>
        <v>1934.4</v>
      </c>
      <c r="AR259" s="533"/>
      <c r="AS259" s="527"/>
      <c r="AT259" s="527" t="s">
        <v>1220</v>
      </c>
      <c r="AU259" s="535">
        <v>384</v>
      </c>
      <c r="AV259" s="535">
        <f t="shared" si="41"/>
        <v>0</v>
      </c>
      <c r="AW259" s="605"/>
      <c r="AX259" s="413" t="s">
        <v>1280</v>
      </c>
      <c r="AY259" s="527" t="s">
        <v>1262</v>
      </c>
      <c r="AZ259" s="527" t="s">
        <v>1372</v>
      </c>
      <c r="BA259" s="527"/>
      <c r="BB259" s="527" t="str">
        <f t="shared" si="42"/>
        <v>WRT World Enterprises, Inc</v>
      </c>
      <c r="BC259" s="527" t="str">
        <f t="shared" si="43"/>
        <v>萨尔瓦多</v>
      </c>
    </row>
    <row r="260" s="496" customFormat="1" customHeight="1" spans="1:55">
      <c r="A260" s="527">
        <v>46182</v>
      </c>
      <c r="B260" s="527" t="str">
        <f ca="1" t="shared" si="38"/>
        <v/>
      </c>
      <c r="C260" s="346" t="str">
        <f>VLOOKUP(H260,名称!A:E,4,0)</f>
        <v>三代</v>
      </c>
      <c r="D260" s="588" t="s">
        <v>1397</v>
      </c>
      <c r="E260" s="588" t="s">
        <v>1401</v>
      </c>
      <c r="F260" s="588" t="s">
        <v>949</v>
      </c>
      <c r="G260" s="588" t="s">
        <v>950</v>
      </c>
      <c r="H260" s="588" t="s">
        <v>66</v>
      </c>
      <c r="I260" s="346"/>
      <c r="J260" s="589">
        <v>144</v>
      </c>
      <c r="K260" s="347">
        <f>VLOOKUP(H260,名称!A:C,2,0)</f>
        <v>12</v>
      </c>
      <c r="L260" s="348">
        <f t="shared" si="36"/>
        <v>1728</v>
      </c>
      <c r="M260" s="568">
        <f>VLOOKUP(H260,名称!A:E,3,0)</f>
        <v>6</v>
      </c>
      <c r="N260" s="599">
        <f t="shared" si="37"/>
        <v>24</v>
      </c>
      <c r="O260" s="587">
        <v>46242</v>
      </c>
      <c r="P260" s="536">
        <v>46242</v>
      </c>
      <c r="Q260" s="536">
        <v>46244</v>
      </c>
      <c r="R260" s="415" t="s">
        <v>1241</v>
      </c>
      <c r="S260" s="536" t="s">
        <v>1133</v>
      </c>
      <c r="T260" s="346"/>
      <c r="U260" s="568"/>
      <c r="V260" s="346"/>
      <c r="W260" s="348" t="str">
        <f>IFERROR(VLOOKUP(H260,名称!A:F,6,0),"")</f>
        <v>湖南</v>
      </c>
      <c r="X260" s="568" t="s">
        <v>1133</v>
      </c>
      <c r="Y260" s="568" t="s">
        <v>1133</v>
      </c>
      <c r="Z260" s="569">
        <v>46190</v>
      </c>
      <c r="AA260" s="570">
        <v>46190</v>
      </c>
      <c r="AB260" s="569">
        <v>46213</v>
      </c>
      <c r="AC260" s="568" t="s">
        <v>1318</v>
      </c>
      <c r="AD260" s="415" t="s">
        <v>1228</v>
      </c>
      <c r="AE260" s="588" t="s">
        <v>510</v>
      </c>
      <c r="AF260" s="568" t="s">
        <v>1228</v>
      </c>
      <c r="AG260" s="568" t="s">
        <v>510</v>
      </c>
      <c r="AH260" s="568" t="s">
        <v>1307</v>
      </c>
      <c r="AI260" s="568" t="s">
        <v>1228</v>
      </c>
      <c r="AJ260" s="568" t="s">
        <v>510</v>
      </c>
      <c r="AK260" s="568" t="s">
        <v>1133</v>
      </c>
      <c r="AL260" s="415" t="s">
        <v>1228</v>
      </c>
      <c r="AM260" s="415" t="s">
        <v>1292</v>
      </c>
      <c r="AN260" s="588"/>
      <c r="AO260" s="531">
        <v>2.09</v>
      </c>
      <c r="AP260" s="532">
        <f t="shared" si="39"/>
        <v>300.96</v>
      </c>
      <c r="AQ260" s="532">
        <f t="shared" si="40"/>
        <v>2332.44</v>
      </c>
      <c r="AR260" s="533"/>
      <c r="AS260" s="527"/>
      <c r="AT260" s="527" t="s">
        <v>1220</v>
      </c>
      <c r="AU260" s="535">
        <v>144</v>
      </c>
      <c r="AV260" s="535">
        <f t="shared" si="41"/>
        <v>0</v>
      </c>
      <c r="AW260" s="605"/>
      <c r="AX260" s="413" t="s">
        <v>1280</v>
      </c>
      <c r="AY260" s="527" t="s">
        <v>1262</v>
      </c>
      <c r="AZ260" s="527" t="s">
        <v>1372</v>
      </c>
      <c r="BA260" s="527"/>
      <c r="BB260" s="527" t="str">
        <f t="shared" si="42"/>
        <v>WRT World Enterprises, Inc</v>
      </c>
      <c r="BC260" s="527" t="str">
        <f t="shared" si="43"/>
        <v>萨尔瓦多</v>
      </c>
    </row>
    <row r="261" s="496" customFormat="1" customHeight="1" spans="1:55">
      <c r="A261" s="527">
        <v>46182</v>
      </c>
      <c r="B261" s="527" t="str">
        <f ca="1" t="shared" si="38"/>
        <v/>
      </c>
      <c r="C261" s="346" t="str">
        <f>VLOOKUP(H261,名称!A:E,4,0)</f>
        <v>三代</v>
      </c>
      <c r="D261" s="588" t="s">
        <v>1397</v>
      </c>
      <c r="E261" s="588" t="s">
        <v>1401</v>
      </c>
      <c r="F261" s="588" t="s">
        <v>949</v>
      </c>
      <c r="G261" s="588" t="s">
        <v>950</v>
      </c>
      <c r="H261" s="588" t="s">
        <v>68</v>
      </c>
      <c r="I261" s="346"/>
      <c r="J261" s="589">
        <v>132</v>
      </c>
      <c r="K261" s="347">
        <f>VLOOKUP(H261,名称!A:C,2,0)</f>
        <v>32</v>
      </c>
      <c r="L261" s="348">
        <f t="shared" si="36"/>
        <v>4224</v>
      </c>
      <c r="M261" s="568">
        <f>VLOOKUP(H261,名称!A:E,3,0)</f>
        <v>4</v>
      </c>
      <c r="N261" s="599">
        <f t="shared" si="37"/>
        <v>33</v>
      </c>
      <c r="O261" s="587">
        <v>46242</v>
      </c>
      <c r="P261" s="536">
        <v>46242</v>
      </c>
      <c r="Q261" s="536">
        <v>46244</v>
      </c>
      <c r="R261" s="415" t="s">
        <v>1241</v>
      </c>
      <c r="S261" s="536" t="s">
        <v>1133</v>
      </c>
      <c r="T261" s="346"/>
      <c r="U261" s="568"/>
      <c r="V261" s="346"/>
      <c r="W261" s="348" t="str">
        <f>IFERROR(VLOOKUP(H261,名称!A:F,6,0),"")</f>
        <v>湖南</v>
      </c>
      <c r="X261" s="568" t="s">
        <v>1133</v>
      </c>
      <c r="Y261" s="568" t="s">
        <v>1133</v>
      </c>
      <c r="Z261" s="569">
        <v>46190</v>
      </c>
      <c r="AA261" s="570">
        <v>46190</v>
      </c>
      <c r="AB261" s="569">
        <v>46213</v>
      </c>
      <c r="AC261" s="568" t="s">
        <v>1133</v>
      </c>
      <c r="AD261" s="415" t="s">
        <v>1133</v>
      </c>
      <c r="AE261" s="588" t="s">
        <v>510</v>
      </c>
      <c r="AF261" s="568" t="s">
        <v>1228</v>
      </c>
      <c r="AG261" s="568" t="s">
        <v>510</v>
      </c>
      <c r="AH261" s="568" t="s">
        <v>1307</v>
      </c>
      <c r="AI261" s="568" t="s">
        <v>1228</v>
      </c>
      <c r="AJ261" s="568" t="s">
        <v>1133</v>
      </c>
      <c r="AK261" s="568" t="s">
        <v>1133</v>
      </c>
      <c r="AL261" s="415" t="s">
        <v>1228</v>
      </c>
      <c r="AM261" s="415" t="s">
        <v>1292</v>
      </c>
      <c r="AN261" s="588"/>
      <c r="AO261" s="531">
        <v>3.23</v>
      </c>
      <c r="AP261" s="532">
        <f t="shared" si="39"/>
        <v>426.36</v>
      </c>
      <c r="AQ261" s="532">
        <f t="shared" si="40"/>
        <v>3304.29</v>
      </c>
      <c r="AR261" s="533"/>
      <c r="AS261" s="527"/>
      <c r="AT261" s="527" t="s">
        <v>1220</v>
      </c>
      <c r="AU261" s="535">
        <v>132</v>
      </c>
      <c r="AV261" s="535">
        <f t="shared" si="41"/>
        <v>0</v>
      </c>
      <c r="AW261" s="605"/>
      <c r="AX261" s="413" t="s">
        <v>1280</v>
      </c>
      <c r="AY261" s="527" t="s">
        <v>1262</v>
      </c>
      <c r="AZ261" s="527" t="s">
        <v>1372</v>
      </c>
      <c r="BA261" s="527"/>
      <c r="BB261" s="527" t="str">
        <f t="shared" si="42"/>
        <v>WRT World Enterprises, Inc</v>
      </c>
      <c r="BC261" s="527" t="str">
        <f t="shared" si="43"/>
        <v>萨尔瓦多</v>
      </c>
    </row>
    <row r="262" s="496" customFormat="1" customHeight="1" spans="1:55">
      <c r="A262" s="527">
        <v>46182</v>
      </c>
      <c r="B262" s="527" t="str">
        <f ca="1" t="shared" si="38"/>
        <v/>
      </c>
      <c r="C262" s="346" t="str">
        <f>VLOOKUP(H262,名称!A:E,4,0)</f>
        <v>三代</v>
      </c>
      <c r="D262" s="588" t="s">
        <v>1397</v>
      </c>
      <c r="E262" s="588" t="s">
        <v>1401</v>
      </c>
      <c r="F262" s="588" t="s">
        <v>949</v>
      </c>
      <c r="G262" s="588" t="s">
        <v>950</v>
      </c>
      <c r="H262" s="588" t="s">
        <v>72</v>
      </c>
      <c r="I262" s="118"/>
      <c r="J262" s="589">
        <v>216</v>
      </c>
      <c r="K262" s="92">
        <f>VLOOKUP(H262,名称!A:C,2,0)</f>
        <v>12</v>
      </c>
      <c r="L262" s="32">
        <f t="shared" si="36"/>
        <v>2592</v>
      </c>
      <c r="M262" s="568">
        <f>VLOOKUP(H262,名称!A:E,3,0)</f>
        <v>12</v>
      </c>
      <c r="N262" s="599">
        <f t="shared" si="37"/>
        <v>18</v>
      </c>
      <c r="O262" s="587">
        <v>46242</v>
      </c>
      <c r="P262" s="536">
        <v>46242</v>
      </c>
      <c r="Q262" s="536">
        <v>46244</v>
      </c>
      <c r="R262" s="415" t="s">
        <v>1241</v>
      </c>
      <c r="S262" s="536" t="s">
        <v>1133</v>
      </c>
      <c r="T262" s="346"/>
      <c r="U262" s="568"/>
      <c r="V262" s="346"/>
      <c r="W262" s="348" t="str">
        <f>IFERROR(VLOOKUP(H262,名称!A:F,6,0),"")</f>
        <v>湖南</v>
      </c>
      <c r="X262" s="568" t="s">
        <v>1133</v>
      </c>
      <c r="Y262" s="568" t="s">
        <v>1133</v>
      </c>
      <c r="Z262" s="569">
        <v>46190</v>
      </c>
      <c r="AA262" s="570">
        <v>46190</v>
      </c>
      <c r="AB262" s="569">
        <v>46213</v>
      </c>
      <c r="AC262" s="568" t="s">
        <v>1302</v>
      </c>
      <c r="AD262" s="415" t="s">
        <v>1133</v>
      </c>
      <c r="AE262" s="588" t="s">
        <v>510</v>
      </c>
      <c r="AF262" s="568" t="s">
        <v>1228</v>
      </c>
      <c r="AG262" s="568" t="s">
        <v>510</v>
      </c>
      <c r="AH262" s="568" t="s">
        <v>1307</v>
      </c>
      <c r="AI262" s="568" t="s">
        <v>1228</v>
      </c>
      <c r="AJ262" s="568" t="s">
        <v>1133</v>
      </c>
      <c r="AK262" s="568" t="s">
        <v>1133</v>
      </c>
      <c r="AL262" s="415" t="s">
        <v>1228</v>
      </c>
      <c r="AM262" s="415" t="s">
        <v>1292</v>
      </c>
      <c r="AN262" s="588"/>
      <c r="AO262" s="531">
        <v>1.65</v>
      </c>
      <c r="AP262" s="532">
        <f t="shared" si="39"/>
        <v>356.4</v>
      </c>
      <c r="AQ262" s="532">
        <f t="shared" si="40"/>
        <v>2762.1</v>
      </c>
      <c r="AR262" s="533"/>
      <c r="AS262" s="527"/>
      <c r="AT262" s="527" t="s">
        <v>1220</v>
      </c>
      <c r="AU262" s="535">
        <v>216</v>
      </c>
      <c r="AV262" s="535">
        <f t="shared" si="41"/>
        <v>0</v>
      </c>
      <c r="AW262" s="605"/>
      <c r="AX262" s="415" t="s">
        <v>1280</v>
      </c>
      <c r="AY262" s="527" t="s">
        <v>1262</v>
      </c>
      <c r="AZ262" s="527" t="s">
        <v>1372</v>
      </c>
      <c r="BA262" s="527"/>
      <c r="BB262" s="527" t="str">
        <f t="shared" si="42"/>
        <v>WRT World Enterprises, Inc</v>
      </c>
      <c r="BC262" s="527" t="str">
        <f t="shared" si="43"/>
        <v>萨尔瓦多</v>
      </c>
    </row>
    <row r="263" s="495" customFormat="1" customHeight="1" spans="1:55">
      <c r="A263" s="538">
        <v>46182</v>
      </c>
      <c r="B263" s="538" t="str">
        <f ca="1" t="shared" si="38"/>
        <v/>
      </c>
      <c r="C263" s="539" t="str">
        <f>VLOOKUP(H263,名称!A:E,4,0)</f>
        <v>三代</v>
      </c>
      <c r="D263" s="591" t="s">
        <v>1402</v>
      </c>
      <c r="E263" s="591" t="s">
        <v>1403</v>
      </c>
      <c r="F263" s="591" t="s">
        <v>939</v>
      </c>
      <c r="G263" s="591" t="s">
        <v>940</v>
      </c>
      <c r="H263" s="591" t="s">
        <v>85</v>
      </c>
      <c r="I263" s="118"/>
      <c r="J263" s="592">
        <v>2616</v>
      </c>
      <c r="K263" s="92">
        <f>VLOOKUP(H263,名称!A:C,2,0)</f>
        <v>5</v>
      </c>
      <c r="L263" s="32">
        <f t="shared" si="36"/>
        <v>13080</v>
      </c>
      <c r="M263" s="541">
        <f>VLOOKUP(H263,名称!A:E,3,0)</f>
        <v>24</v>
      </c>
      <c r="N263" s="586">
        <f t="shared" si="37"/>
        <v>109</v>
      </c>
      <c r="O263" s="590">
        <v>46239</v>
      </c>
      <c r="P263" s="549">
        <v>46239</v>
      </c>
      <c r="Q263" s="549">
        <v>46251</v>
      </c>
      <c r="R263" s="539"/>
      <c r="S263" s="549" t="s">
        <v>1133</v>
      </c>
      <c r="T263" s="539"/>
      <c r="U263" s="541"/>
      <c r="V263" s="542">
        <v>46255</v>
      </c>
      <c r="W263" s="518" t="str">
        <f>IFERROR(VLOOKUP(H263,名称!A:F,6,0),"")</f>
        <v>湖南</v>
      </c>
      <c r="X263" s="541" t="s">
        <v>1133</v>
      </c>
      <c r="Y263" s="541" t="s">
        <v>1133</v>
      </c>
      <c r="Z263" s="541" t="s">
        <v>1249</v>
      </c>
      <c r="AA263" s="552">
        <v>46189</v>
      </c>
      <c r="AB263" s="567">
        <v>46197</v>
      </c>
      <c r="AC263" s="541" t="s">
        <v>1133</v>
      </c>
      <c r="AD263" s="541" t="s">
        <v>1133</v>
      </c>
      <c r="AE263" s="591" t="s">
        <v>510</v>
      </c>
      <c r="AF263" s="541" t="s">
        <v>1228</v>
      </c>
      <c r="AG263" s="541" t="s">
        <v>510</v>
      </c>
      <c r="AH263" s="541" t="s">
        <v>1133</v>
      </c>
      <c r="AI263" s="541" t="s">
        <v>1228</v>
      </c>
      <c r="AJ263" s="541" t="s">
        <v>1133</v>
      </c>
      <c r="AK263" s="541" t="s">
        <v>510</v>
      </c>
      <c r="AL263" s="541"/>
      <c r="AM263" s="431" t="s">
        <v>1292</v>
      </c>
      <c r="AN263" s="591" t="s">
        <v>1295</v>
      </c>
      <c r="AO263" s="544">
        <v>0.83</v>
      </c>
      <c r="AP263" s="545">
        <f t="shared" si="39"/>
        <v>2171.28</v>
      </c>
      <c r="AQ263" s="545">
        <f t="shared" si="40"/>
        <v>16827.42</v>
      </c>
      <c r="AR263" s="546"/>
      <c r="AS263" s="538"/>
      <c r="AT263" s="538" t="s">
        <v>1220</v>
      </c>
      <c r="AU263" s="548"/>
      <c r="AV263" s="548">
        <f t="shared" si="41"/>
        <v>-2616</v>
      </c>
      <c r="AW263" s="606"/>
      <c r="AX263" s="420" t="s">
        <v>1280</v>
      </c>
      <c r="AY263" s="538" t="s">
        <v>1317</v>
      </c>
      <c r="AZ263" s="538" t="s">
        <v>1256</v>
      </c>
      <c r="BA263" s="538"/>
      <c r="BB263" s="538" t="str">
        <f t="shared" si="42"/>
        <v>Planet Fun</v>
      </c>
      <c r="BC263" s="538" t="str">
        <f t="shared" si="43"/>
        <v>新西兰</v>
      </c>
    </row>
    <row r="264" s="495" customFormat="1" customHeight="1" spans="1:55">
      <c r="A264" s="538">
        <v>46182</v>
      </c>
      <c r="B264" s="538" t="str">
        <f ca="1" t="shared" si="38"/>
        <v/>
      </c>
      <c r="C264" s="539" t="str">
        <f>VLOOKUP(H264,名称!A:E,4,0)</f>
        <v>三代</v>
      </c>
      <c r="D264" s="591" t="s">
        <v>1402</v>
      </c>
      <c r="E264" s="591" t="s">
        <v>1403</v>
      </c>
      <c r="F264" s="591" t="s">
        <v>939</v>
      </c>
      <c r="G264" s="591" t="s">
        <v>940</v>
      </c>
      <c r="H264" s="591" t="s">
        <v>88</v>
      </c>
      <c r="I264" s="118"/>
      <c r="J264" s="592">
        <v>2400</v>
      </c>
      <c r="K264" s="92">
        <f>VLOOKUP(H264,名称!A:C,2,0)</f>
        <v>5</v>
      </c>
      <c r="L264" s="32">
        <f t="shared" si="36"/>
        <v>12000</v>
      </c>
      <c r="M264" s="541">
        <f>VLOOKUP(H264,名称!A:E,3,0)</f>
        <v>24</v>
      </c>
      <c r="N264" s="586">
        <f t="shared" si="37"/>
        <v>100</v>
      </c>
      <c r="O264" s="590">
        <v>46239</v>
      </c>
      <c r="P264" s="549">
        <v>46239</v>
      </c>
      <c r="Q264" s="549">
        <v>46251</v>
      </c>
      <c r="R264" s="539"/>
      <c r="S264" s="549" t="s">
        <v>1133</v>
      </c>
      <c r="T264" s="539"/>
      <c r="U264" s="541"/>
      <c r="V264" s="567">
        <v>46255</v>
      </c>
      <c r="W264" s="518" t="str">
        <f>IFERROR(VLOOKUP(H264,名称!A:F,6,0),"")</f>
        <v>湖南</v>
      </c>
      <c r="X264" s="541" t="s">
        <v>1133</v>
      </c>
      <c r="Y264" s="541" t="s">
        <v>1133</v>
      </c>
      <c r="Z264" s="541" t="s">
        <v>1249</v>
      </c>
      <c r="AA264" s="552">
        <v>46189</v>
      </c>
      <c r="AB264" s="567">
        <v>46197</v>
      </c>
      <c r="AC264" s="541" t="s">
        <v>1133</v>
      </c>
      <c r="AD264" s="431" t="s">
        <v>1133</v>
      </c>
      <c r="AE264" s="591" t="s">
        <v>510</v>
      </c>
      <c r="AF264" s="541" t="s">
        <v>1228</v>
      </c>
      <c r="AG264" s="541" t="s">
        <v>510</v>
      </c>
      <c r="AH264" s="541" t="s">
        <v>1133</v>
      </c>
      <c r="AI264" s="541" t="s">
        <v>1228</v>
      </c>
      <c r="AJ264" s="541" t="s">
        <v>1133</v>
      </c>
      <c r="AK264" s="541" t="s">
        <v>510</v>
      </c>
      <c r="AL264" s="541"/>
      <c r="AM264" s="431" t="s">
        <v>1292</v>
      </c>
      <c r="AN264" s="591"/>
      <c r="AO264" s="544">
        <v>0.6</v>
      </c>
      <c r="AP264" s="545">
        <f t="shared" si="39"/>
        <v>1440</v>
      </c>
      <c r="AQ264" s="545">
        <f t="shared" si="40"/>
        <v>11160</v>
      </c>
      <c r="AR264" s="546"/>
      <c r="AS264" s="538"/>
      <c r="AT264" s="538" t="s">
        <v>1310</v>
      </c>
      <c r="AU264" s="548"/>
      <c r="AV264" s="548">
        <f t="shared" si="41"/>
        <v>-2400</v>
      </c>
      <c r="AW264" s="606"/>
      <c r="AX264" s="549"/>
      <c r="AY264" s="538" t="s">
        <v>1317</v>
      </c>
      <c r="AZ264" s="538" t="s">
        <v>1256</v>
      </c>
      <c r="BA264" s="538"/>
      <c r="BB264" s="538" t="str">
        <f t="shared" si="42"/>
        <v>Planet Fun</v>
      </c>
      <c r="BC264" s="538" t="str">
        <f t="shared" si="43"/>
        <v>新西兰</v>
      </c>
    </row>
    <row r="265" s="495" customFormat="1" customHeight="1" spans="1:55">
      <c r="A265" s="538">
        <v>46182</v>
      </c>
      <c r="B265" s="538" t="str">
        <f ca="1" t="shared" si="38"/>
        <v/>
      </c>
      <c r="C265" s="539" t="str">
        <f>VLOOKUP(H265,名称!A:E,4,0)</f>
        <v>三代</v>
      </c>
      <c r="D265" s="591" t="s">
        <v>1402</v>
      </c>
      <c r="E265" s="591" t="s">
        <v>1403</v>
      </c>
      <c r="F265" s="591" t="s">
        <v>939</v>
      </c>
      <c r="G265" s="591" t="s">
        <v>940</v>
      </c>
      <c r="H265" s="591" t="s">
        <v>89</v>
      </c>
      <c r="I265" s="118"/>
      <c r="J265" s="592">
        <v>1002</v>
      </c>
      <c r="K265" s="92">
        <f>VLOOKUP(H265,名称!A:C,2,0)</f>
        <v>12</v>
      </c>
      <c r="L265" s="32">
        <f t="shared" si="36"/>
        <v>12024</v>
      </c>
      <c r="M265" s="541">
        <f>VLOOKUP(H265,名称!A:E,3,0)</f>
        <v>6</v>
      </c>
      <c r="N265" s="586">
        <f t="shared" si="37"/>
        <v>167</v>
      </c>
      <c r="O265" s="590">
        <v>46239</v>
      </c>
      <c r="P265" s="549">
        <v>46239</v>
      </c>
      <c r="Q265" s="420">
        <v>46255</v>
      </c>
      <c r="R265" s="539"/>
      <c r="S265" s="549" t="s">
        <v>1133</v>
      </c>
      <c r="T265" s="539"/>
      <c r="U265" s="541"/>
      <c r="V265" s="567">
        <v>46255</v>
      </c>
      <c r="W265" s="518" t="str">
        <f>IFERROR(VLOOKUP(H265,名称!A:F,6,0),"")</f>
        <v>东莞</v>
      </c>
      <c r="X265" s="541" t="s">
        <v>1133</v>
      </c>
      <c r="Y265" s="541" t="s">
        <v>1133</v>
      </c>
      <c r="Z265" s="541" t="s">
        <v>1249</v>
      </c>
      <c r="AA265" s="552">
        <v>46189</v>
      </c>
      <c r="AB265" s="567">
        <v>46197</v>
      </c>
      <c r="AC265" s="541" t="s">
        <v>1318</v>
      </c>
      <c r="AD265" s="431" t="s">
        <v>1228</v>
      </c>
      <c r="AE265" s="591" t="s">
        <v>510</v>
      </c>
      <c r="AF265" s="541" t="s">
        <v>1228</v>
      </c>
      <c r="AG265" s="541" t="s">
        <v>510</v>
      </c>
      <c r="AH265" s="541" t="s">
        <v>1307</v>
      </c>
      <c r="AI265" s="541" t="s">
        <v>1228</v>
      </c>
      <c r="AJ265" s="541" t="s">
        <v>510</v>
      </c>
      <c r="AK265" s="541" t="s">
        <v>1133</v>
      </c>
      <c r="AL265" s="541"/>
      <c r="AM265" s="431" t="s">
        <v>1292</v>
      </c>
      <c r="AN265" s="591"/>
      <c r="AO265" s="544">
        <v>2.02</v>
      </c>
      <c r="AP265" s="545">
        <f t="shared" si="39"/>
        <v>2024.04</v>
      </c>
      <c r="AQ265" s="545">
        <f t="shared" si="40"/>
        <v>15686.31</v>
      </c>
      <c r="AR265" s="546"/>
      <c r="AS265" s="538"/>
      <c r="AT265" s="538" t="s">
        <v>1220</v>
      </c>
      <c r="AU265" s="548"/>
      <c r="AV265" s="548">
        <f t="shared" si="41"/>
        <v>-1002</v>
      </c>
      <c r="AW265" s="606"/>
      <c r="AX265" s="549"/>
      <c r="AY265" s="538" t="s">
        <v>1317</v>
      </c>
      <c r="AZ265" s="538" t="s">
        <v>1256</v>
      </c>
      <c r="BA265" s="538"/>
      <c r="BB265" s="538" t="str">
        <f t="shared" si="42"/>
        <v>Planet Fun</v>
      </c>
      <c r="BC265" s="538" t="str">
        <f t="shared" si="43"/>
        <v>新西兰</v>
      </c>
    </row>
    <row r="266" s="496" customFormat="1" customHeight="1" spans="1:55">
      <c r="A266" s="527">
        <v>46182</v>
      </c>
      <c r="B266" s="527" t="str">
        <f ca="1" t="shared" si="38"/>
        <v/>
      </c>
      <c r="C266" s="346" t="str">
        <f>VLOOKUP(H266,名称!A:E,4,0)</f>
        <v>三代</v>
      </c>
      <c r="D266" s="588" t="s">
        <v>1257</v>
      </c>
      <c r="E266" s="588" t="s">
        <v>1258</v>
      </c>
      <c r="F266" s="588" t="s">
        <v>935</v>
      </c>
      <c r="G266" s="588" t="s">
        <v>936</v>
      </c>
      <c r="H266" s="588" t="s">
        <v>112</v>
      </c>
      <c r="I266" s="346"/>
      <c r="J266" s="589">
        <v>3000</v>
      </c>
      <c r="K266" s="347">
        <f>VLOOKUP(H266,名称!A:C,2,0)</f>
        <v>50</v>
      </c>
      <c r="L266" s="348">
        <f t="shared" ref="L266:L272" si="44">J266*K266</f>
        <v>150000</v>
      </c>
      <c r="M266" s="568">
        <f>VLOOKUP(H266,名称!A:E,3,0)</f>
        <v>2</v>
      </c>
      <c r="N266" s="599">
        <f t="shared" ref="N266:N272" si="45">J266/M266</f>
        <v>1500</v>
      </c>
      <c r="O266" s="587">
        <v>46246</v>
      </c>
      <c r="P266" s="536">
        <v>46246</v>
      </c>
      <c r="Q266" s="536">
        <v>46245</v>
      </c>
      <c r="R266" s="404" t="s">
        <v>1241</v>
      </c>
      <c r="S266" s="536">
        <v>46246</v>
      </c>
      <c r="T266" s="404" t="s">
        <v>1291</v>
      </c>
      <c r="U266" s="568"/>
      <c r="V266" s="404" t="s">
        <v>1404</v>
      </c>
      <c r="W266" s="348" t="str">
        <f>IFERROR(VLOOKUP(H266,名称!A:F,6,0),"")</f>
        <v>湖南</v>
      </c>
      <c r="X266" s="568" t="s">
        <v>1133</v>
      </c>
      <c r="Y266" s="568" t="s">
        <v>1133</v>
      </c>
      <c r="Z266" s="569">
        <v>46189</v>
      </c>
      <c r="AA266" s="570">
        <v>46211</v>
      </c>
      <c r="AB266" s="569">
        <v>46219</v>
      </c>
      <c r="AC266" s="568" t="s">
        <v>1133</v>
      </c>
      <c r="AD266" s="415" t="s">
        <v>1133</v>
      </c>
      <c r="AE266" s="346" t="s">
        <v>334</v>
      </c>
      <c r="AF266" s="568" t="s">
        <v>1228</v>
      </c>
      <c r="AG266" s="568" t="s">
        <v>334</v>
      </c>
      <c r="AH266" s="568" t="s">
        <v>1133</v>
      </c>
      <c r="AI266" s="568" t="s">
        <v>1228</v>
      </c>
      <c r="AJ266" s="568" t="s">
        <v>1133</v>
      </c>
      <c r="AK266" s="415" t="s">
        <v>1356</v>
      </c>
      <c r="AL266" s="415" t="s">
        <v>1228</v>
      </c>
      <c r="AM266" s="568" t="s">
        <v>1405</v>
      </c>
      <c r="AN266" s="588" t="s">
        <v>1261</v>
      </c>
      <c r="AO266" s="531">
        <v>9.15</v>
      </c>
      <c r="AP266" s="532">
        <f t="shared" si="39"/>
        <v>27450</v>
      </c>
      <c r="AQ266" s="532">
        <f t="shared" si="40"/>
        <v>212737.5</v>
      </c>
      <c r="AR266" s="533"/>
      <c r="AS266" s="527"/>
      <c r="AT266" s="527" t="s">
        <v>1220</v>
      </c>
      <c r="AU266" s="535"/>
      <c r="AV266" s="535">
        <f t="shared" si="41"/>
        <v>-3000</v>
      </c>
      <c r="AW266" s="605"/>
      <c r="AX266" s="536"/>
      <c r="AY266" s="527" t="s">
        <v>1262</v>
      </c>
      <c r="AZ266" s="527" t="s">
        <v>1372</v>
      </c>
      <c r="BA266" s="527"/>
      <c r="BB266" s="527" t="str">
        <f t="shared" si="42"/>
        <v>Character Options</v>
      </c>
      <c r="BC266" s="527" t="str">
        <f t="shared" si="43"/>
        <v>英国</v>
      </c>
    </row>
    <row r="267" s="495" customFormat="1" customHeight="1" spans="1:55">
      <c r="A267" s="538">
        <v>46182</v>
      </c>
      <c r="B267" s="538" t="str">
        <f ca="1" t="shared" si="38"/>
        <v/>
      </c>
      <c r="C267" s="539" t="str">
        <f>VLOOKUP(H267,名称!A:E,4,0)</f>
        <v>三代</v>
      </c>
      <c r="D267" s="591" t="s">
        <v>1257</v>
      </c>
      <c r="E267" s="591" t="s">
        <v>1258</v>
      </c>
      <c r="F267" s="591" t="s">
        <v>937</v>
      </c>
      <c r="G267" s="591" t="s">
        <v>938</v>
      </c>
      <c r="H267" s="591" t="s">
        <v>117</v>
      </c>
      <c r="I267" s="118"/>
      <c r="J267" s="592">
        <v>5400</v>
      </c>
      <c r="K267" s="92">
        <f>VLOOKUP(H267,名称!A:C,2,0)</f>
        <v>50</v>
      </c>
      <c r="L267" s="32">
        <f t="shared" si="44"/>
        <v>270000</v>
      </c>
      <c r="M267" s="541">
        <f>VLOOKUP(H267,名称!A:E,3,0)</f>
        <v>2</v>
      </c>
      <c r="N267" s="586">
        <f t="shared" si="45"/>
        <v>2700</v>
      </c>
      <c r="O267" s="590">
        <v>46276</v>
      </c>
      <c r="P267" s="549">
        <v>46276</v>
      </c>
      <c r="Q267" s="549">
        <v>46275</v>
      </c>
      <c r="R267" s="539"/>
      <c r="S267" s="549">
        <v>46276</v>
      </c>
      <c r="T267" s="539"/>
      <c r="U267" s="541"/>
      <c r="V267" s="539"/>
      <c r="W267" s="518" t="str">
        <f>IFERROR(VLOOKUP(H267,名称!A:F,6,0),"")</f>
        <v>湖南</v>
      </c>
      <c r="X267" s="541" t="s">
        <v>1133</v>
      </c>
      <c r="Y267" s="541" t="s">
        <v>1133</v>
      </c>
      <c r="Z267" s="567">
        <v>46181</v>
      </c>
      <c r="AA267" s="552">
        <v>46234</v>
      </c>
      <c r="AB267" s="567">
        <v>46234</v>
      </c>
      <c r="AC267" s="541" t="s">
        <v>1133</v>
      </c>
      <c r="AD267" s="431" t="s">
        <v>1133</v>
      </c>
      <c r="AE267" s="539" t="s">
        <v>334</v>
      </c>
      <c r="AF267" s="541" t="s">
        <v>1228</v>
      </c>
      <c r="AG267" s="541" t="s">
        <v>334</v>
      </c>
      <c r="AH267" s="541" t="s">
        <v>1133</v>
      </c>
      <c r="AI267" s="541" t="s">
        <v>1228</v>
      </c>
      <c r="AJ267" s="541" t="s">
        <v>1133</v>
      </c>
      <c r="AK267" s="431" t="s">
        <v>1356</v>
      </c>
      <c r="AL267" s="431" t="s">
        <v>1228</v>
      </c>
      <c r="AM267" s="541" t="s">
        <v>1406</v>
      </c>
      <c r="AN267" s="591" t="s">
        <v>1261</v>
      </c>
      <c r="AO267" s="544">
        <v>9.15</v>
      </c>
      <c r="AP267" s="545">
        <f t="shared" si="39"/>
        <v>49410</v>
      </c>
      <c r="AQ267" s="545">
        <f t="shared" si="40"/>
        <v>382927.5</v>
      </c>
      <c r="AR267" s="546"/>
      <c r="AS267" s="538"/>
      <c r="AT267" s="455" t="s">
        <v>1220</v>
      </c>
      <c r="AU267" s="548"/>
      <c r="AV267" s="548">
        <f t="shared" si="41"/>
        <v>-5400</v>
      </c>
      <c r="AW267" s="606"/>
      <c r="AX267" s="549"/>
      <c r="AY267" s="538" t="s">
        <v>1262</v>
      </c>
      <c r="AZ267" s="538" t="s">
        <v>1372</v>
      </c>
      <c r="BA267" s="538"/>
      <c r="BB267" s="538" t="str">
        <f t="shared" si="42"/>
        <v>Character Options</v>
      </c>
      <c r="BC267" s="538" t="str">
        <f t="shared" si="43"/>
        <v>英国</v>
      </c>
    </row>
    <row r="268" s="496" customFormat="1" customHeight="1" spans="1:55">
      <c r="A268" s="527">
        <v>46183</v>
      </c>
      <c r="B268" s="527" t="str">
        <f ca="1" t="shared" si="38"/>
        <v/>
      </c>
      <c r="C268" s="346" t="str">
        <f>VLOOKUP(H268,名称!A:E,4,0)</f>
        <v>三代</v>
      </c>
      <c r="D268" s="588" t="s">
        <v>1407</v>
      </c>
      <c r="E268" s="588" t="s">
        <v>1224</v>
      </c>
      <c r="F268" s="588" t="s">
        <v>951</v>
      </c>
      <c r="G268" s="588" t="s">
        <v>952</v>
      </c>
      <c r="H268" s="588" t="s">
        <v>59</v>
      </c>
      <c r="I268" s="346"/>
      <c r="J268" s="589">
        <v>6000</v>
      </c>
      <c r="K268" s="347">
        <f>VLOOKUP(H268,名称!A:C,2,0)</f>
        <v>5</v>
      </c>
      <c r="L268" s="348">
        <f t="shared" si="44"/>
        <v>30000</v>
      </c>
      <c r="M268" s="568">
        <f>VLOOKUP(H268,名称!A:E,3,0)</f>
        <v>24</v>
      </c>
      <c r="N268" s="599">
        <f t="shared" si="45"/>
        <v>250</v>
      </c>
      <c r="O268" s="587">
        <v>46238</v>
      </c>
      <c r="P268" s="536">
        <v>46238</v>
      </c>
      <c r="Q268" s="536">
        <v>46237</v>
      </c>
      <c r="R268" s="404" t="s">
        <v>1241</v>
      </c>
      <c r="S268" s="536">
        <v>46245</v>
      </c>
      <c r="T268" s="404" t="s">
        <v>1241</v>
      </c>
      <c r="U268" s="568"/>
      <c r="V268" s="404" t="s">
        <v>1278</v>
      </c>
      <c r="W268" s="348" t="str">
        <f>IFERROR(VLOOKUP(H268,名称!A:F,6,0),"")</f>
        <v>湖南</v>
      </c>
      <c r="X268" s="568" t="s">
        <v>1133</v>
      </c>
      <c r="Y268" s="568" t="s">
        <v>1133</v>
      </c>
      <c r="Z268" s="569">
        <v>46198</v>
      </c>
      <c r="AA268" s="570">
        <v>46198</v>
      </c>
      <c r="AB268" s="569">
        <v>46203</v>
      </c>
      <c r="AC268" s="415" t="s">
        <v>1133</v>
      </c>
      <c r="AD268" s="415" t="s">
        <v>1133</v>
      </c>
      <c r="AE268" s="588" t="s">
        <v>270</v>
      </c>
      <c r="AF268" s="568" t="s">
        <v>1228</v>
      </c>
      <c r="AG268" s="568" t="s">
        <v>270</v>
      </c>
      <c r="AH268" s="415" t="s">
        <v>1133</v>
      </c>
      <c r="AI268" s="568" t="s">
        <v>1228</v>
      </c>
      <c r="AJ268" s="415" t="s">
        <v>1133</v>
      </c>
      <c r="AK268" s="415" t="s">
        <v>270</v>
      </c>
      <c r="AL268" s="568"/>
      <c r="AM268" s="415" t="s">
        <v>1292</v>
      </c>
      <c r="AN268" s="588"/>
      <c r="AO268" s="531">
        <v>0.65</v>
      </c>
      <c r="AP268" s="532">
        <f t="shared" si="39"/>
        <v>3900</v>
      </c>
      <c r="AQ268" s="532">
        <f t="shared" si="40"/>
        <v>30225</v>
      </c>
      <c r="AR268" s="533"/>
      <c r="AS268" s="527"/>
      <c r="AT268" s="527" t="s">
        <v>1220</v>
      </c>
      <c r="AU268" s="535">
        <f>5976+24</f>
        <v>6000</v>
      </c>
      <c r="AV268" s="535">
        <f t="shared" si="41"/>
        <v>0</v>
      </c>
      <c r="AW268" s="605"/>
      <c r="AX268" s="413" t="s">
        <v>1280</v>
      </c>
      <c r="AY268" s="527" t="s">
        <v>1255</v>
      </c>
      <c r="AZ268" s="527" t="s">
        <v>1256</v>
      </c>
      <c r="BA268" s="527"/>
      <c r="BB268" s="527" t="str">
        <f t="shared" si="42"/>
        <v>JAZWARES - FRED MEYER INC DOM</v>
      </c>
      <c r="BC268" s="527" t="str">
        <f t="shared" si="43"/>
        <v>美国</v>
      </c>
    </row>
    <row r="269" s="496" customFormat="1" customHeight="1" spans="1:55">
      <c r="A269" s="527">
        <v>46183</v>
      </c>
      <c r="B269" s="527" t="str">
        <f ca="1" t="shared" si="38"/>
        <v/>
      </c>
      <c r="C269" s="346" t="str">
        <f>VLOOKUP(H269,名称!A:E,4,0)</f>
        <v>三代</v>
      </c>
      <c r="D269" s="588" t="s">
        <v>1407</v>
      </c>
      <c r="E269" s="588" t="s">
        <v>1224</v>
      </c>
      <c r="F269" s="588" t="s">
        <v>953</v>
      </c>
      <c r="G269" s="588" t="s">
        <v>954</v>
      </c>
      <c r="H269" s="588" t="s">
        <v>67</v>
      </c>
      <c r="I269" s="346"/>
      <c r="J269" s="589">
        <v>3000</v>
      </c>
      <c r="K269" s="347">
        <f>VLOOKUP(H269,名称!A:C,2,0)</f>
        <v>12</v>
      </c>
      <c r="L269" s="348">
        <f t="shared" si="44"/>
        <v>36000</v>
      </c>
      <c r="M269" s="568">
        <f>VLOOKUP(H269,名称!A:E,3,0)</f>
        <v>6</v>
      </c>
      <c r="N269" s="599">
        <f t="shared" si="45"/>
        <v>500</v>
      </c>
      <c r="O269" s="587">
        <v>46238</v>
      </c>
      <c r="P269" s="536">
        <v>46238</v>
      </c>
      <c r="Q269" s="536">
        <v>46238</v>
      </c>
      <c r="R269" s="404" t="s">
        <v>1241</v>
      </c>
      <c r="S269" s="536">
        <v>46245</v>
      </c>
      <c r="T269" s="415" t="s">
        <v>1241</v>
      </c>
      <c r="U269" s="568"/>
      <c r="V269" s="404" t="s">
        <v>1278</v>
      </c>
      <c r="W269" s="348" t="str">
        <f>IFERROR(VLOOKUP(H269,名称!A:F,6,0),"")</f>
        <v>湖南</v>
      </c>
      <c r="X269" s="568" t="s">
        <v>1133</v>
      </c>
      <c r="Y269" s="568" t="s">
        <v>1133</v>
      </c>
      <c r="Z269" s="569">
        <v>46198</v>
      </c>
      <c r="AA269" s="570">
        <v>46198</v>
      </c>
      <c r="AB269" s="569">
        <v>46203</v>
      </c>
      <c r="AC269" s="415" t="s">
        <v>1318</v>
      </c>
      <c r="AD269" s="415" t="s">
        <v>1228</v>
      </c>
      <c r="AE269" s="588" t="s">
        <v>270</v>
      </c>
      <c r="AF269" s="568" t="s">
        <v>1228</v>
      </c>
      <c r="AG269" s="568" t="s">
        <v>270</v>
      </c>
      <c r="AH269" s="415" t="s">
        <v>1285</v>
      </c>
      <c r="AI269" s="568" t="s">
        <v>1228</v>
      </c>
      <c r="AJ269" s="415" t="s">
        <v>510</v>
      </c>
      <c r="AK269" s="415" t="s">
        <v>1133</v>
      </c>
      <c r="AL269" s="568"/>
      <c r="AM269" s="415" t="s">
        <v>1292</v>
      </c>
      <c r="AN269" s="588"/>
      <c r="AO269" s="531">
        <v>2.02</v>
      </c>
      <c r="AP269" s="532">
        <f t="shared" si="39"/>
        <v>6060</v>
      </c>
      <c r="AQ269" s="532">
        <f t="shared" si="40"/>
        <v>46965</v>
      </c>
      <c r="AR269" s="533"/>
      <c r="AS269" s="527"/>
      <c r="AT269" s="527" t="s">
        <v>1220</v>
      </c>
      <c r="AU269" s="535">
        <v>3000</v>
      </c>
      <c r="AV269" s="535">
        <f t="shared" si="41"/>
        <v>0</v>
      </c>
      <c r="AW269" s="605"/>
      <c r="AX269" s="413" t="s">
        <v>1280</v>
      </c>
      <c r="AY269" s="527" t="s">
        <v>1255</v>
      </c>
      <c r="AZ269" s="527" t="s">
        <v>1256</v>
      </c>
      <c r="BA269" s="527"/>
      <c r="BB269" s="527" t="str">
        <f t="shared" si="42"/>
        <v>JAZWARES - FRED MEYER INC DOM</v>
      </c>
      <c r="BC269" s="527" t="str">
        <f t="shared" si="43"/>
        <v>美国</v>
      </c>
    </row>
    <row r="270" s="496" customFormat="1" customHeight="1" spans="1:55">
      <c r="A270" s="527">
        <v>46183</v>
      </c>
      <c r="B270" s="527" t="str">
        <f ca="1" t="shared" si="38"/>
        <v/>
      </c>
      <c r="C270" s="346" t="str">
        <f>VLOOKUP(H270,名称!A:E,4,0)</f>
        <v>三代</v>
      </c>
      <c r="D270" s="588" t="s">
        <v>1408</v>
      </c>
      <c r="E270" s="588" t="s">
        <v>1224</v>
      </c>
      <c r="F270" s="588" t="s">
        <v>955</v>
      </c>
      <c r="G270" s="588" t="s">
        <v>956</v>
      </c>
      <c r="H270" s="588" t="s">
        <v>67</v>
      </c>
      <c r="I270" s="346"/>
      <c r="J270" s="589">
        <v>3000</v>
      </c>
      <c r="K270" s="347">
        <f>VLOOKUP(H270,名称!A:C,2,0)</f>
        <v>12</v>
      </c>
      <c r="L270" s="348">
        <f t="shared" si="44"/>
        <v>36000</v>
      </c>
      <c r="M270" s="568">
        <f>VLOOKUP(H270,名称!A:E,3,0)</f>
        <v>6</v>
      </c>
      <c r="N270" s="599">
        <f t="shared" si="45"/>
        <v>500</v>
      </c>
      <c r="O270" s="587">
        <v>46238</v>
      </c>
      <c r="P270" s="536">
        <v>46238</v>
      </c>
      <c r="Q270" s="536">
        <v>46238</v>
      </c>
      <c r="R270" s="404" t="s">
        <v>1241</v>
      </c>
      <c r="S270" s="536">
        <v>46245</v>
      </c>
      <c r="T270" s="415" t="s">
        <v>1241</v>
      </c>
      <c r="U270" s="568"/>
      <c r="V270" s="404" t="s">
        <v>1278</v>
      </c>
      <c r="W270" s="348" t="str">
        <f>IFERROR(VLOOKUP(H270,名称!A:F,6,0),"")</f>
        <v>湖南</v>
      </c>
      <c r="X270" s="568" t="s">
        <v>1133</v>
      </c>
      <c r="Y270" s="568" t="s">
        <v>1133</v>
      </c>
      <c r="Z270" s="569">
        <v>46198</v>
      </c>
      <c r="AA270" s="570">
        <v>46198</v>
      </c>
      <c r="AB270" s="569">
        <v>46203</v>
      </c>
      <c r="AC270" s="415" t="s">
        <v>1318</v>
      </c>
      <c r="AD270" s="415" t="s">
        <v>1228</v>
      </c>
      <c r="AE270" s="588" t="s">
        <v>270</v>
      </c>
      <c r="AF270" s="568" t="s">
        <v>1228</v>
      </c>
      <c r="AG270" s="568" t="s">
        <v>270</v>
      </c>
      <c r="AH270" s="415" t="s">
        <v>1285</v>
      </c>
      <c r="AI270" s="568" t="s">
        <v>1228</v>
      </c>
      <c r="AJ270" s="415" t="s">
        <v>510</v>
      </c>
      <c r="AK270" s="415" t="s">
        <v>1133</v>
      </c>
      <c r="AL270" s="568"/>
      <c r="AM270" s="415" t="s">
        <v>1292</v>
      </c>
      <c r="AN270" s="588"/>
      <c r="AO270" s="531">
        <v>2.02</v>
      </c>
      <c r="AP270" s="532">
        <f t="shared" si="39"/>
        <v>6060</v>
      </c>
      <c r="AQ270" s="532">
        <f t="shared" si="40"/>
        <v>46965</v>
      </c>
      <c r="AR270" s="533"/>
      <c r="AS270" s="527"/>
      <c r="AT270" s="527" t="s">
        <v>1220</v>
      </c>
      <c r="AU270" s="535">
        <v>3000</v>
      </c>
      <c r="AV270" s="535">
        <f t="shared" si="41"/>
        <v>0</v>
      </c>
      <c r="AW270" s="605"/>
      <c r="AX270" s="413" t="s">
        <v>1280</v>
      </c>
      <c r="AY270" s="527" t="s">
        <v>1255</v>
      </c>
      <c r="AZ270" s="527" t="s">
        <v>1256</v>
      </c>
      <c r="BA270" s="527"/>
      <c r="BB270" s="527" t="str">
        <f t="shared" si="42"/>
        <v>JAZWARES - Kroger DOM</v>
      </c>
      <c r="BC270" s="527" t="str">
        <f t="shared" si="43"/>
        <v>美国</v>
      </c>
    </row>
    <row r="271" s="495" customFormat="1" customHeight="1" spans="1:55">
      <c r="A271" s="538">
        <v>46183</v>
      </c>
      <c r="B271" s="538" t="str">
        <f ca="1" t="shared" si="38"/>
        <v/>
      </c>
      <c r="C271" s="539" t="str">
        <f>VLOOKUP(H271,名称!A:E,4,0)</f>
        <v>三代</v>
      </c>
      <c r="D271" s="591" t="s">
        <v>1409</v>
      </c>
      <c r="E271" s="591" t="s">
        <v>1224</v>
      </c>
      <c r="F271" s="591" t="s">
        <v>957</v>
      </c>
      <c r="G271" s="591" t="s">
        <v>958</v>
      </c>
      <c r="H271" s="591" t="s">
        <v>102</v>
      </c>
      <c r="I271" s="118"/>
      <c r="J271" s="592">
        <f>204204-5000-74212</f>
        <v>124992</v>
      </c>
      <c r="K271" s="92">
        <f>VLOOKUP(H271,名称!A:C,2,0)</f>
        <v>5</v>
      </c>
      <c r="L271" s="32">
        <f t="shared" si="44"/>
        <v>624960</v>
      </c>
      <c r="M271" s="541">
        <f>VLOOKUP(H271,名称!A:E,3,0)</f>
        <v>12</v>
      </c>
      <c r="N271" s="586">
        <f t="shared" si="45"/>
        <v>10416</v>
      </c>
      <c r="O271" s="590">
        <v>46284</v>
      </c>
      <c r="P271" s="549">
        <v>46284</v>
      </c>
      <c r="Q271" s="549">
        <v>46283</v>
      </c>
      <c r="R271" s="539"/>
      <c r="S271" s="549">
        <v>46284</v>
      </c>
      <c r="T271" s="539"/>
      <c r="U271" s="541"/>
      <c r="V271" s="539"/>
      <c r="W271" s="518" t="str">
        <f>IFERROR(VLOOKUP(H271,名称!A:F,6,0),"")</f>
        <v>湖南</v>
      </c>
      <c r="X271" s="541" t="s">
        <v>1133</v>
      </c>
      <c r="Y271" s="541" t="s">
        <v>1133</v>
      </c>
      <c r="Z271" s="567">
        <v>46216</v>
      </c>
      <c r="AA271" s="552">
        <v>46217</v>
      </c>
      <c r="AB271" s="552">
        <v>46217</v>
      </c>
      <c r="AC271" s="431" t="s">
        <v>1133</v>
      </c>
      <c r="AD271" s="431" t="s">
        <v>1133</v>
      </c>
      <c r="AE271" s="591" t="s">
        <v>270</v>
      </c>
      <c r="AF271" s="541" t="s">
        <v>1228</v>
      </c>
      <c r="AG271" s="541" t="s">
        <v>270</v>
      </c>
      <c r="AH271" s="431" t="s">
        <v>1133</v>
      </c>
      <c r="AI271" s="541" t="s">
        <v>1228</v>
      </c>
      <c r="AJ271" s="431" t="s">
        <v>1133</v>
      </c>
      <c r="AK271" s="431" t="s">
        <v>270</v>
      </c>
      <c r="AL271" s="541"/>
      <c r="AM271" s="431" t="s">
        <v>1250</v>
      </c>
      <c r="AN271" s="591"/>
      <c r="AO271" s="544">
        <v>0.63</v>
      </c>
      <c r="AP271" s="545">
        <f t="shared" si="39"/>
        <v>78744.96</v>
      </c>
      <c r="AQ271" s="545">
        <f t="shared" si="40"/>
        <v>610273.44</v>
      </c>
      <c r="AR271" s="546"/>
      <c r="AS271" s="538"/>
      <c r="AT271" s="538" t="s">
        <v>1220</v>
      </c>
      <c r="AU271" s="548"/>
      <c r="AV271" s="548">
        <f t="shared" si="41"/>
        <v>-124992</v>
      </c>
      <c r="AW271" s="606"/>
      <c r="AX271" s="420" t="s">
        <v>1280</v>
      </c>
      <c r="AY271" s="538" t="s">
        <v>1255</v>
      </c>
      <c r="AZ271" s="538" t="s">
        <v>1256</v>
      </c>
      <c r="BA271" s="538"/>
      <c r="BB271" s="538" t="str">
        <f t="shared" si="42"/>
        <v>JAZWARES - DOLLAR TREE INC.</v>
      </c>
      <c r="BC271" s="538" t="str">
        <f t="shared" si="43"/>
        <v>美国</v>
      </c>
    </row>
    <row r="272" s="495" customFormat="1" customHeight="1" spans="1:55">
      <c r="A272" s="549">
        <v>46183</v>
      </c>
      <c r="B272" s="549" t="str">
        <f ca="1" t="shared" si="38"/>
        <v/>
      </c>
      <c r="C272" s="541" t="str">
        <f>VLOOKUP(H272,名称!A:E,4,0)</f>
        <v>三代</v>
      </c>
      <c r="D272" s="541" t="s">
        <v>1409</v>
      </c>
      <c r="E272" s="541" t="s">
        <v>1224</v>
      </c>
      <c r="F272" s="541" t="s">
        <v>957</v>
      </c>
      <c r="G272" s="541" t="s">
        <v>958</v>
      </c>
      <c r="H272" s="422" t="s">
        <v>59</v>
      </c>
      <c r="I272" s="129"/>
      <c r="J272" s="623">
        <f>74212+8+12</f>
        <v>74232</v>
      </c>
      <c r="K272" s="95">
        <f>VLOOKUP(H272,名称!A:C,2,0)</f>
        <v>5</v>
      </c>
      <c r="L272" s="96">
        <f t="shared" si="44"/>
        <v>371160</v>
      </c>
      <c r="M272" s="604">
        <f>VLOOKUP(H272,名称!A:E,3,0)</f>
        <v>24</v>
      </c>
      <c r="N272" s="586">
        <f t="shared" si="45"/>
        <v>3093</v>
      </c>
      <c r="O272" s="566">
        <v>46309</v>
      </c>
      <c r="P272" s="566">
        <v>46309</v>
      </c>
      <c r="Q272" s="566">
        <v>46309</v>
      </c>
      <c r="R272" s="541"/>
      <c r="S272" s="549">
        <v>46284</v>
      </c>
      <c r="T272" s="541"/>
      <c r="U272" s="541"/>
      <c r="V272" s="422" t="s">
        <v>1410</v>
      </c>
      <c r="W272" s="518" t="str">
        <f>IFERROR(VLOOKUP(H272,名称!A:F,6,0),"")</f>
        <v>湖南</v>
      </c>
      <c r="X272" s="541" t="s">
        <v>1133</v>
      </c>
      <c r="Y272" s="541" t="s">
        <v>1133</v>
      </c>
      <c r="Z272" s="567">
        <v>46216</v>
      </c>
      <c r="AA272" s="552">
        <v>46217</v>
      </c>
      <c r="AB272" s="552">
        <v>46217</v>
      </c>
      <c r="AC272" s="431" t="s">
        <v>1133</v>
      </c>
      <c r="AD272" s="431" t="s">
        <v>1133</v>
      </c>
      <c r="AE272" s="541" t="s">
        <v>270</v>
      </c>
      <c r="AF272" s="541" t="s">
        <v>1228</v>
      </c>
      <c r="AG272" s="541" t="s">
        <v>270</v>
      </c>
      <c r="AH272" s="431" t="s">
        <v>1133</v>
      </c>
      <c r="AI272" s="541" t="s">
        <v>1228</v>
      </c>
      <c r="AJ272" s="431" t="s">
        <v>1133</v>
      </c>
      <c r="AK272" s="431" t="s">
        <v>270</v>
      </c>
      <c r="AL272" s="541"/>
      <c r="AM272" s="431" t="s">
        <v>1250</v>
      </c>
      <c r="AN272" s="541"/>
      <c r="AO272" s="624">
        <v>0.63</v>
      </c>
      <c r="AP272" s="625">
        <f t="shared" si="39"/>
        <v>46766.16</v>
      </c>
      <c r="AQ272" s="625">
        <f t="shared" si="40"/>
        <v>362437.74</v>
      </c>
      <c r="AR272" s="626"/>
      <c r="AS272" s="549"/>
      <c r="AT272" s="549" t="s">
        <v>1220</v>
      </c>
      <c r="AU272" s="548"/>
      <c r="AV272" s="548">
        <f t="shared" si="41"/>
        <v>-74232</v>
      </c>
      <c r="AW272" s="627"/>
      <c r="AX272" s="420" t="s">
        <v>1280</v>
      </c>
      <c r="AY272" s="549" t="s">
        <v>1255</v>
      </c>
      <c r="AZ272" s="549" t="s">
        <v>1256</v>
      </c>
      <c r="BA272" s="549"/>
      <c r="BB272" s="549" t="str">
        <f t="shared" si="42"/>
        <v>JAZWARES - DOLLAR TREE INC.</v>
      </c>
      <c r="BC272" s="549" t="str">
        <f t="shared" si="43"/>
        <v>美国</v>
      </c>
    </row>
    <row r="273" s="495" customFormat="1" customHeight="1" spans="1:55">
      <c r="A273" s="538">
        <v>46185</v>
      </c>
      <c r="B273" s="538" t="str">
        <f ca="1" t="shared" ref="B273:B311" si="46">IF(TODAY()-5&gt;=A273,IF(AB273="","异常",""),"")</f>
        <v/>
      </c>
      <c r="C273" s="539" t="e">
        <f>VLOOKUP(H273,名称!A:E,4,0)</f>
        <v>#N/A</v>
      </c>
      <c r="D273" s="591" t="s">
        <v>1411</v>
      </c>
      <c r="E273" s="591" t="s">
        <v>1412</v>
      </c>
      <c r="F273" s="591" t="s">
        <v>839</v>
      </c>
      <c r="G273" s="591" t="s">
        <v>1413</v>
      </c>
      <c r="H273" s="591" t="s">
        <v>242</v>
      </c>
      <c r="I273" s="118"/>
      <c r="J273" s="592">
        <v>10010</v>
      </c>
      <c r="K273" s="92"/>
      <c r="L273" s="32"/>
      <c r="M273" s="541">
        <v>11</v>
      </c>
      <c r="N273" s="586">
        <f t="shared" ref="N273:N325" si="47">J273/M273</f>
        <v>910</v>
      </c>
      <c r="O273" s="590">
        <v>46233</v>
      </c>
      <c r="P273" s="549">
        <v>46233</v>
      </c>
      <c r="Q273" s="549" t="s">
        <v>1133</v>
      </c>
      <c r="R273" s="539"/>
      <c r="S273" s="549" t="s">
        <v>1133</v>
      </c>
      <c r="T273" s="539"/>
      <c r="U273" s="541"/>
      <c r="V273" s="539"/>
      <c r="W273" s="518" t="str">
        <f>IFERROR(VLOOKUP(H273,名称!A:F,6,0),"")</f>
        <v/>
      </c>
      <c r="X273" s="541" t="s">
        <v>1133</v>
      </c>
      <c r="Y273" s="541" t="s">
        <v>1133</v>
      </c>
      <c r="Z273" s="567" t="s">
        <v>1133</v>
      </c>
      <c r="AA273" s="552" t="s">
        <v>1133</v>
      </c>
      <c r="AB273" s="552" t="s">
        <v>1133</v>
      </c>
      <c r="AC273" s="431" t="s">
        <v>1133</v>
      </c>
      <c r="AD273" s="431" t="s">
        <v>1133</v>
      </c>
      <c r="AE273" s="541" t="s">
        <v>1133</v>
      </c>
      <c r="AF273" s="541" t="s">
        <v>1133</v>
      </c>
      <c r="AG273" s="541" t="s">
        <v>961</v>
      </c>
      <c r="AH273" s="431" t="s">
        <v>1133</v>
      </c>
      <c r="AI273" s="541" t="s">
        <v>1133</v>
      </c>
      <c r="AJ273" s="431" t="s">
        <v>1133</v>
      </c>
      <c r="AK273" s="431" t="s">
        <v>1133</v>
      </c>
      <c r="AL273" s="541"/>
      <c r="AM273" s="431"/>
      <c r="AN273" s="591" t="s">
        <v>1414</v>
      </c>
      <c r="AO273" s="544"/>
      <c r="AP273" s="545">
        <f t="shared" ref="AP273:AP311" si="48">J273*AO273</f>
        <v>0</v>
      </c>
      <c r="AQ273" s="545">
        <f t="shared" ref="AQ273:AQ311" si="49">AP273*7.75</f>
        <v>0</v>
      </c>
      <c r="AR273" s="546"/>
      <c r="AS273" s="538"/>
      <c r="AT273" s="549" t="s">
        <v>839</v>
      </c>
      <c r="AU273" s="548"/>
      <c r="AV273" s="548">
        <f t="shared" ref="AV273:AV311" si="50">AU273-J273</f>
        <v>-10010</v>
      </c>
      <c r="AW273" s="606"/>
      <c r="AX273" s="420"/>
      <c r="AY273" s="538"/>
      <c r="AZ273" s="538" t="s">
        <v>1222</v>
      </c>
      <c r="BA273" s="538"/>
      <c r="BB273" s="538" t="str">
        <f t="shared" ref="BB273:BB311" si="51">D273</f>
        <v>SKY Castle Toys, LLC</v>
      </c>
      <c r="BC273" s="538" t="str">
        <f t="shared" ref="BC273:BC311" si="52">E273</f>
        <v>纽约</v>
      </c>
    </row>
    <row r="274" s="495" customFormat="1" customHeight="1" spans="1:55">
      <c r="A274" s="538">
        <v>46185</v>
      </c>
      <c r="B274" s="538" t="str">
        <f ca="1" t="shared" si="46"/>
        <v>异常</v>
      </c>
      <c r="C274" s="539" t="str">
        <f>VLOOKUP(H274,名称!A:E,4,0)</f>
        <v>三代</v>
      </c>
      <c r="D274" s="591" t="s">
        <v>1240</v>
      </c>
      <c r="E274" s="619" t="s">
        <v>1224</v>
      </c>
      <c r="F274" s="619" t="s">
        <v>964</v>
      </c>
      <c r="G274" s="619" t="s">
        <v>965</v>
      </c>
      <c r="H274" s="619" t="s">
        <v>97</v>
      </c>
      <c r="I274" s="118"/>
      <c r="J274" s="620">
        <v>45600</v>
      </c>
      <c r="K274" s="92">
        <f>VLOOKUP(H274,名称!A:C,2,0)</f>
        <v>5</v>
      </c>
      <c r="L274" s="32">
        <f t="shared" ref="L274:L281" si="53">J274*K274</f>
        <v>228000</v>
      </c>
      <c r="M274" s="541">
        <f>VLOOKUP(H274,名称!A:E,3,0)</f>
        <v>24</v>
      </c>
      <c r="N274" s="586">
        <f t="shared" si="47"/>
        <v>1900</v>
      </c>
      <c r="O274" s="621">
        <v>46280</v>
      </c>
      <c r="P274" s="420">
        <v>46280</v>
      </c>
      <c r="Q274" s="566">
        <v>46281</v>
      </c>
      <c r="R274" s="539"/>
      <c r="S274" s="566">
        <v>46281</v>
      </c>
      <c r="T274" s="539"/>
      <c r="U274" s="541"/>
      <c r="V274" s="539"/>
      <c r="W274" s="518" t="str">
        <f>IFERROR(VLOOKUP(H274,名称!A:F,6,0),"")</f>
        <v>湖南</v>
      </c>
      <c r="X274" s="431" t="s">
        <v>1133</v>
      </c>
      <c r="Y274" s="431" t="s">
        <v>1133</v>
      </c>
      <c r="Z274" s="541" t="s">
        <v>1233</v>
      </c>
      <c r="AA274" s="552"/>
      <c r="AB274" s="541"/>
      <c r="AC274" s="431" t="s">
        <v>1133</v>
      </c>
      <c r="AD274" s="431" t="s">
        <v>1133</v>
      </c>
      <c r="AE274" s="591" t="s">
        <v>270</v>
      </c>
      <c r="AF274" s="431" t="s">
        <v>1228</v>
      </c>
      <c r="AG274" s="541" t="s">
        <v>270</v>
      </c>
      <c r="AH274" s="431" t="s">
        <v>1133</v>
      </c>
      <c r="AI274" s="431" t="s">
        <v>1228</v>
      </c>
      <c r="AJ274" s="431" t="s">
        <v>1133</v>
      </c>
      <c r="AK274" s="431" t="s">
        <v>270</v>
      </c>
      <c r="AL274" s="541"/>
      <c r="AM274" s="431" t="s">
        <v>1250</v>
      </c>
      <c r="AN274" s="591"/>
      <c r="AO274" s="544">
        <v>0.61</v>
      </c>
      <c r="AP274" s="545">
        <f t="shared" si="48"/>
        <v>27816</v>
      </c>
      <c r="AQ274" s="545">
        <f t="shared" si="49"/>
        <v>215574</v>
      </c>
      <c r="AR274" s="546"/>
      <c r="AS274" s="538"/>
      <c r="AT274" s="455" t="s">
        <v>1220</v>
      </c>
      <c r="AU274" s="548"/>
      <c r="AV274" s="548">
        <f t="shared" si="50"/>
        <v>-45600</v>
      </c>
      <c r="AW274" s="606"/>
      <c r="AX274" s="420" t="s">
        <v>1280</v>
      </c>
      <c r="AY274" s="538" t="s">
        <v>1255</v>
      </c>
      <c r="AZ274" s="538" t="s">
        <v>1256</v>
      </c>
      <c r="BA274" s="538"/>
      <c r="BB274" s="455" t="str">
        <f t="shared" si="51"/>
        <v>JAZWARES - TARGET US DOM</v>
      </c>
      <c r="BC274" s="455" t="str">
        <f t="shared" si="52"/>
        <v>美国</v>
      </c>
    </row>
    <row r="275" s="495" customFormat="1" customHeight="1" spans="1:55">
      <c r="A275" s="538">
        <v>46185</v>
      </c>
      <c r="B275" s="538" t="str">
        <f ca="1" t="shared" si="46"/>
        <v>异常</v>
      </c>
      <c r="C275" s="539" t="str">
        <f>VLOOKUP(H275,名称!A:E,4,0)</f>
        <v>三代</v>
      </c>
      <c r="D275" s="591" t="s">
        <v>1240</v>
      </c>
      <c r="E275" s="619" t="s">
        <v>1224</v>
      </c>
      <c r="F275" s="619" t="s">
        <v>966</v>
      </c>
      <c r="G275" s="619" t="s">
        <v>967</v>
      </c>
      <c r="H275" s="619" t="s">
        <v>119</v>
      </c>
      <c r="I275" s="118"/>
      <c r="J275" s="620">
        <v>45600</v>
      </c>
      <c r="K275" s="92">
        <f>VLOOKUP(H275,名称!A:C,2,0)</f>
        <v>5</v>
      </c>
      <c r="L275" s="32">
        <f t="shared" si="53"/>
        <v>228000</v>
      </c>
      <c r="M275" s="541">
        <f>VLOOKUP(H275,名称!A:E,3,0)</f>
        <v>24</v>
      </c>
      <c r="N275" s="586">
        <f t="shared" si="47"/>
        <v>1900</v>
      </c>
      <c r="O275" s="621">
        <v>46280</v>
      </c>
      <c r="P275" s="420" t="s">
        <v>1225</v>
      </c>
      <c r="Q275" s="420" t="s">
        <v>1225</v>
      </c>
      <c r="R275" s="539"/>
      <c r="S275" s="420" t="s">
        <v>1225</v>
      </c>
      <c r="T275" s="539"/>
      <c r="U275" s="541"/>
      <c r="V275" s="539"/>
      <c r="W275" s="518" t="str">
        <f>IFERROR(VLOOKUP(H275,名称!A:F,6,0),"")</f>
        <v>湖南</v>
      </c>
      <c r="X275" s="431" t="s">
        <v>1133</v>
      </c>
      <c r="Y275" s="431" t="s">
        <v>1133</v>
      </c>
      <c r="Z275" s="541" t="s">
        <v>1233</v>
      </c>
      <c r="AA275" s="552"/>
      <c r="AB275" s="541"/>
      <c r="AC275" s="431" t="s">
        <v>1133</v>
      </c>
      <c r="AD275" s="431" t="s">
        <v>1133</v>
      </c>
      <c r="AE275" s="591" t="s">
        <v>270</v>
      </c>
      <c r="AF275" s="431" t="s">
        <v>1228</v>
      </c>
      <c r="AG275" s="541" t="s">
        <v>270</v>
      </c>
      <c r="AH275" s="431" t="s">
        <v>1133</v>
      </c>
      <c r="AI275" s="431" t="s">
        <v>1228</v>
      </c>
      <c r="AJ275" s="431" t="s">
        <v>1133</v>
      </c>
      <c r="AK275" s="431" t="s">
        <v>270</v>
      </c>
      <c r="AL275" s="541"/>
      <c r="AM275" s="541"/>
      <c r="AN275" s="591"/>
      <c r="AO275" s="544">
        <v>0.61</v>
      </c>
      <c r="AP275" s="545">
        <f t="shared" si="48"/>
        <v>27816</v>
      </c>
      <c r="AQ275" s="545">
        <f t="shared" si="49"/>
        <v>215574</v>
      </c>
      <c r="AR275" s="546"/>
      <c r="AS275" s="538"/>
      <c r="AT275" s="455" t="s">
        <v>1220</v>
      </c>
      <c r="AU275" s="548"/>
      <c r="AV275" s="548">
        <f t="shared" si="50"/>
        <v>-45600</v>
      </c>
      <c r="AW275" s="606"/>
      <c r="AX275" s="420" t="s">
        <v>1280</v>
      </c>
      <c r="AY275" s="538" t="s">
        <v>1255</v>
      </c>
      <c r="AZ275" s="538" t="s">
        <v>1256</v>
      </c>
      <c r="BA275" s="538"/>
      <c r="BB275" s="455" t="str">
        <f t="shared" si="51"/>
        <v>JAZWARES - TARGET US DOM</v>
      </c>
      <c r="BC275" s="455" t="str">
        <f t="shared" si="52"/>
        <v>美国</v>
      </c>
    </row>
    <row r="276" s="495" customFormat="1" customHeight="1" spans="1:55">
      <c r="A276" s="538">
        <v>46185</v>
      </c>
      <c r="B276" s="538" t="str">
        <f ca="1" t="shared" si="46"/>
        <v>异常</v>
      </c>
      <c r="C276" s="539" t="str">
        <f>VLOOKUP(H276,名称!A:E,4,0)</f>
        <v>三代</v>
      </c>
      <c r="D276" s="591" t="s">
        <v>1240</v>
      </c>
      <c r="E276" s="619" t="s">
        <v>1224</v>
      </c>
      <c r="F276" s="619" t="s">
        <v>968</v>
      </c>
      <c r="G276" s="619" t="s">
        <v>969</v>
      </c>
      <c r="H276" s="619" t="s">
        <v>61</v>
      </c>
      <c r="I276" s="118"/>
      <c r="J276" s="620">
        <v>46176</v>
      </c>
      <c r="K276" s="92">
        <f>VLOOKUP(H276,名称!A:C,2,0)</f>
        <v>5</v>
      </c>
      <c r="L276" s="32">
        <f t="shared" si="53"/>
        <v>230880</v>
      </c>
      <c r="M276" s="541">
        <f>VLOOKUP(H276,名称!A:E,3,0)</f>
        <v>24</v>
      </c>
      <c r="N276" s="586">
        <f t="shared" si="47"/>
        <v>1924</v>
      </c>
      <c r="O276" s="621">
        <v>46290</v>
      </c>
      <c r="P276" s="420">
        <v>46290</v>
      </c>
      <c r="Q276" s="549">
        <v>46289</v>
      </c>
      <c r="R276" s="539"/>
      <c r="S276" s="420">
        <v>46290</v>
      </c>
      <c r="T276" s="539"/>
      <c r="U276" s="541"/>
      <c r="V276" s="539" t="s">
        <v>1375</v>
      </c>
      <c r="W276" s="518" t="str">
        <f>IFERROR(VLOOKUP(H276,名称!A:F,6,0),"")</f>
        <v>湖南</v>
      </c>
      <c r="X276" s="431" t="s">
        <v>1133</v>
      </c>
      <c r="Y276" s="431" t="s">
        <v>1133</v>
      </c>
      <c r="Z276" s="541" t="s">
        <v>1233</v>
      </c>
      <c r="AA276" s="552"/>
      <c r="AB276" s="541"/>
      <c r="AC276" s="431" t="s">
        <v>1133</v>
      </c>
      <c r="AD276" s="431" t="s">
        <v>1133</v>
      </c>
      <c r="AE276" s="591" t="s">
        <v>270</v>
      </c>
      <c r="AF276" s="431" t="s">
        <v>1228</v>
      </c>
      <c r="AG276" s="541" t="s">
        <v>270</v>
      </c>
      <c r="AH276" s="431" t="s">
        <v>1133</v>
      </c>
      <c r="AI276" s="431" t="s">
        <v>1228</v>
      </c>
      <c r="AJ276" s="431" t="s">
        <v>1133</v>
      </c>
      <c r="AK276" s="431" t="s">
        <v>270</v>
      </c>
      <c r="AL276" s="541"/>
      <c r="AM276" s="541"/>
      <c r="AN276" s="591"/>
      <c r="AO276" s="544">
        <v>0.61</v>
      </c>
      <c r="AP276" s="545">
        <f t="shared" si="48"/>
        <v>28167.36</v>
      </c>
      <c r="AQ276" s="545">
        <f t="shared" si="49"/>
        <v>218297.04</v>
      </c>
      <c r="AR276" s="546"/>
      <c r="AS276" s="538"/>
      <c r="AT276" s="455" t="s">
        <v>1220</v>
      </c>
      <c r="AU276" s="548"/>
      <c r="AV276" s="548">
        <f t="shared" si="50"/>
        <v>-46176</v>
      </c>
      <c r="AW276" s="606"/>
      <c r="AX276" s="420" t="s">
        <v>1280</v>
      </c>
      <c r="AY276" s="538" t="s">
        <v>1255</v>
      </c>
      <c r="AZ276" s="538" t="s">
        <v>1222</v>
      </c>
      <c r="BA276" s="538"/>
      <c r="BB276" s="455" t="str">
        <f t="shared" si="51"/>
        <v>JAZWARES - TARGET US DOM</v>
      </c>
      <c r="BC276" s="455" t="str">
        <f t="shared" si="52"/>
        <v>美国</v>
      </c>
    </row>
    <row r="277" s="495" customFormat="1" customHeight="1" spans="1:55">
      <c r="A277" s="538">
        <v>46185</v>
      </c>
      <c r="B277" s="538" t="str">
        <f ca="1" t="shared" si="46"/>
        <v>异常</v>
      </c>
      <c r="C277" s="539" t="str">
        <f>VLOOKUP(H277,名称!A:E,4,0)</f>
        <v>三代</v>
      </c>
      <c r="D277" s="591" t="s">
        <v>1240</v>
      </c>
      <c r="E277" s="619" t="s">
        <v>1224</v>
      </c>
      <c r="F277" s="619" t="s">
        <v>970</v>
      </c>
      <c r="G277" s="619" t="s">
        <v>971</v>
      </c>
      <c r="H277" s="619" t="s">
        <v>85</v>
      </c>
      <c r="I277" s="118"/>
      <c r="J277" s="620">
        <f>52320-3000-4008-5004</f>
        <v>40308</v>
      </c>
      <c r="K277" s="92">
        <f>VLOOKUP(H277,名称!A:C,2,0)</f>
        <v>5</v>
      </c>
      <c r="L277" s="32">
        <f t="shared" si="53"/>
        <v>201540</v>
      </c>
      <c r="M277" s="541">
        <f>VLOOKUP(H277,名称!A:E,3,0)</f>
        <v>24</v>
      </c>
      <c r="N277" s="586">
        <f t="shared" si="47"/>
        <v>1679.5</v>
      </c>
      <c r="O277" s="621">
        <v>46290</v>
      </c>
      <c r="P277" s="420" t="s">
        <v>1225</v>
      </c>
      <c r="Q277" s="420" t="s">
        <v>1225</v>
      </c>
      <c r="R277" s="539"/>
      <c r="S277" s="420" t="s">
        <v>1225</v>
      </c>
      <c r="T277" s="539"/>
      <c r="U277" s="541"/>
      <c r="V277" s="539" t="s">
        <v>1375</v>
      </c>
      <c r="W277" s="518" t="str">
        <f>IFERROR(VLOOKUP(H277,名称!A:F,6,0),"")</f>
        <v>湖南</v>
      </c>
      <c r="X277" s="431" t="s">
        <v>1133</v>
      </c>
      <c r="Y277" s="431" t="s">
        <v>1133</v>
      </c>
      <c r="Z277" s="541" t="s">
        <v>1233</v>
      </c>
      <c r="AA277" s="552"/>
      <c r="AB277" s="541"/>
      <c r="AC277" s="431" t="s">
        <v>1133</v>
      </c>
      <c r="AD277" s="431" t="s">
        <v>1133</v>
      </c>
      <c r="AE277" s="591" t="s">
        <v>270</v>
      </c>
      <c r="AF277" s="431" t="s">
        <v>1228</v>
      </c>
      <c r="AG277" s="541" t="s">
        <v>270</v>
      </c>
      <c r="AH277" s="431" t="s">
        <v>1133</v>
      </c>
      <c r="AI277" s="431" t="s">
        <v>1228</v>
      </c>
      <c r="AJ277" s="431" t="s">
        <v>1133</v>
      </c>
      <c r="AK277" s="431" t="s">
        <v>270</v>
      </c>
      <c r="AL277" s="541"/>
      <c r="AM277" s="541"/>
      <c r="AN277" s="591" t="s">
        <v>1295</v>
      </c>
      <c r="AO277" s="544">
        <v>0.83</v>
      </c>
      <c r="AP277" s="545">
        <f t="shared" si="48"/>
        <v>33455.64</v>
      </c>
      <c r="AQ277" s="545">
        <f t="shared" si="49"/>
        <v>259281.21</v>
      </c>
      <c r="AR277" s="546"/>
      <c r="AS277" s="538"/>
      <c r="AT277" s="455" t="s">
        <v>1220</v>
      </c>
      <c r="AU277" s="548"/>
      <c r="AV277" s="548">
        <f t="shared" si="50"/>
        <v>-40308</v>
      </c>
      <c r="AW277" s="606"/>
      <c r="AX277" s="420" t="s">
        <v>1280</v>
      </c>
      <c r="AY277" s="538" t="s">
        <v>1255</v>
      </c>
      <c r="AZ277" s="538" t="s">
        <v>1256</v>
      </c>
      <c r="BA277" s="538"/>
      <c r="BB277" s="455" t="str">
        <f t="shared" si="51"/>
        <v>JAZWARES - TARGET US DOM</v>
      </c>
      <c r="BC277" s="455" t="str">
        <f t="shared" si="52"/>
        <v>美国</v>
      </c>
    </row>
    <row r="278" s="495" customFormat="1" customHeight="1" spans="1:55">
      <c r="A278" s="538">
        <v>46185</v>
      </c>
      <c r="B278" s="538" t="str">
        <f ca="1" t="shared" si="46"/>
        <v>异常</v>
      </c>
      <c r="C278" s="539" t="str">
        <f>VLOOKUP(H278,名称!A:E,4,0)</f>
        <v>三代</v>
      </c>
      <c r="D278" s="591" t="s">
        <v>1240</v>
      </c>
      <c r="E278" s="619" t="s">
        <v>1224</v>
      </c>
      <c r="F278" s="619" t="s">
        <v>972</v>
      </c>
      <c r="G278" s="619" t="s">
        <v>973</v>
      </c>
      <c r="H278" s="619" t="s">
        <v>109</v>
      </c>
      <c r="I278" s="118"/>
      <c r="J278" s="620">
        <v>45000</v>
      </c>
      <c r="K278" s="92">
        <f>VLOOKUP(H278,名称!A:C,2,0)</f>
        <v>0</v>
      </c>
      <c r="L278" s="32">
        <f t="shared" si="53"/>
        <v>0</v>
      </c>
      <c r="M278" s="541">
        <f>VLOOKUP(H278,名称!A:E,3,0)</f>
        <v>24</v>
      </c>
      <c r="N278" s="586">
        <f t="shared" si="47"/>
        <v>1875</v>
      </c>
      <c r="O278" s="621">
        <v>46295</v>
      </c>
      <c r="P278" s="420">
        <v>46295</v>
      </c>
      <c r="Q278" s="549">
        <v>46294</v>
      </c>
      <c r="R278" s="539"/>
      <c r="S278" s="420">
        <v>46295</v>
      </c>
      <c r="T278" s="539"/>
      <c r="U278" s="541"/>
      <c r="V278" s="539"/>
      <c r="W278" s="518" t="str">
        <f>IFERROR(VLOOKUP(H278,名称!A:F,6,0),"")</f>
        <v>东莞</v>
      </c>
      <c r="X278" s="431" t="s">
        <v>1133</v>
      </c>
      <c r="Y278" s="431" t="s">
        <v>1133</v>
      </c>
      <c r="Z278" s="541" t="s">
        <v>1233</v>
      </c>
      <c r="AA278" s="552"/>
      <c r="AB278" s="541"/>
      <c r="AC278" s="431" t="s">
        <v>1133</v>
      </c>
      <c r="AD278" s="431" t="s">
        <v>1133</v>
      </c>
      <c r="AE278" s="591" t="s">
        <v>270</v>
      </c>
      <c r="AF278" s="431" t="s">
        <v>1228</v>
      </c>
      <c r="AG278" s="541" t="s">
        <v>270</v>
      </c>
      <c r="AH278" s="431" t="s">
        <v>1133</v>
      </c>
      <c r="AI278" s="431" t="s">
        <v>1228</v>
      </c>
      <c r="AJ278" s="431" t="s">
        <v>1133</v>
      </c>
      <c r="AK278" s="431" t="s">
        <v>270</v>
      </c>
      <c r="AL278" s="541"/>
      <c r="AM278" s="541"/>
      <c r="AN278" s="591"/>
      <c r="AO278" s="544">
        <v>0.64</v>
      </c>
      <c r="AP278" s="545">
        <f t="shared" si="48"/>
        <v>28800</v>
      </c>
      <c r="AQ278" s="545">
        <f t="shared" si="49"/>
        <v>223200</v>
      </c>
      <c r="AR278" s="546"/>
      <c r="AS278" s="538"/>
      <c r="AT278" s="455" t="s">
        <v>1220</v>
      </c>
      <c r="AU278" s="548"/>
      <c r="AV278" s="548">
        <f t="shared" si="50"/>
        <v>-45000</v>
      </c>
      <c r="AW278" s="606"/>
      <c r="AX278" s="549"/>
      <c r="AY278" s="538" t="s">
        <v>1255</v>
      </c>
      <c r="AZ278" s="538" t="s">
        <v>1256</v>
      </c>
      <c r="BA278" s="538"/>
      <c r="BB278" s="455" t="str">
        <f t="shared" si="51"/>
        <v>JAZWARES - TARGET US DOM</v>
      </c>
      <c r="BC278" s="455" t="str">
        <f t="shared" si="52"/>
        <v>美国</v>
      </c>
    </row>
    <row r="279" s="495" customFormat="1" customHeight="1" spans="1:55">
      <c r="A279" s="538">
        <v>46185</v>
      </c>
      <c r="B279" s="538" t="str">
        <f ca="1" t="shared" si="46"/>
        <v>异常</v>
      </c>
      <c r="C279" s="539" t="str">
        <f>VLOOKUP(H279,名称!A:E,4,0)</f>
        <v>三代</v>
      </c>
      <c r="D279" s="591" t="s">
        <v>1240</v>
      </c>
      <c r="E279" s="619" t="s">
        <v>1224</v>
      </c>
      <c r="F279" s="619" t="s">
        <v>974</v>
      </c>
      <c r="G279" s="619" t="s">
        <v>975</v>
      </c>
      <c r="H279" s="619" t="s">
        <v>67</v>
      </c>
      <c r="I279" s="118"/>
      <c r="J279" s="620">
        <v>30000</v>
      </c>
      <c r="K279" s="92">
        <f>VLOOKUP(H279,名称!A:C,2,0)</f>
        <v>12</v>
      </c>
      <c r="L279" s="32">
        <f t="shared" si="53"/>
        <v>360000</v>
      </c>
      <c r="M279" s="541">
        <f>VLOOKUP(H279,名称!A:E,3,0)</f>
        <v>6</v>
      </c>
      <c r="N279" s="586">
        <f t="shared" si="47"/>
        <v>5000</v>
      </c>
      <c r="O279" s="621">
        <v>46295</v>
      </c>
      <c r="P279" s="420">
        <v>46295</v>
      </c>
      <c r="Q279" s="549">
        <v>46294</v>
      </c>
      <c r="R279" s="539"/>
      <c r="S279" s="420">
        <v>46295</v>
      </c>
      <c r="T279" s="539"/>
      <c r="U279" s="541"/>
      <c r="V279" s="539"/>
      <c r="W279" s="518" t="str">
        <f>IFERROR(VLOOKUP(H279,名称!A:F,6,0),"")</f>
        <v>湖南</v>
      </c>
      <c r="X279" s="431" t="s">
        <v>1133</v>
      </c>
      <c r="Y279" s="431" t="s">
        <v>1133</v>
      </c>
      <c r="Z279" s="541" t="s">
        <v>1233</v>
      </c>
      <c r="AA279" s="552"/>
      <c r="AB279" s="541"/>
      <c r="AC279" s="431" t="s">
        <v>1318</v>
      </c>
      <c r="AD279" s="431" t="s">
        <v>1228</v>
      </c>
      <c r="AE279" s="591" t="s">
        <v>270</v>
      </c>
      <c r="AF279" s="431" t="s">
        <v>1228</v>
      </c>
      <c r="AG279" s="541" t="s">
        <v>270</v>
      </c>
      <c r="AH279" s="431" t="s">
        <v>1285</v>
      </c>
      <c r="AI279" s="431" t="s">
        <v>1228</v>
      </c>
      <c r="AJ279" s="431" t="s">
        <v>510</v>
      </c>
      <c r="AK279" s="431" t="s">
        <v>1133</v>
      </c>
      <c r="AL279" s="541"/>
      <c r="AM279" s="541"/>
      <c r="AN279" s="591"/>
      <c r="AO279" s="544">
        <v>2.02</v>
      </c>
      <c r="AP279" s="545">
        <f t="shared" si="48"/>
        <v>60600</v>
      </c>
      <c r="AQ279" s="545">
        <f t="shared" si="49"/>
        <v>469650</v>
      </c>
      <c r="AR279" s="546"/>
      <c r="AS279" s="538"/>
      <c r="AT279" s="455" t="s">
        <v>1220</v>
      </c>
      <c r="AU279" s="548"/>
      <c r="AV279" s="548">
        <f t="shared" si="50"/>
        <v>-30000</v>
      </c>
      <c r="AW279" s="606"/>
      <c r="AX279" s="420" t="s">
        <v>1280</v>
      </c>
      <c r="AY279" s="538" t="s">
        <v>1255</v>
      </c>
      <c r="AZ279" s="538" t="s">
        <v>1256</v>
      </c>
      <c r="BA279" s="538"/>
      <c r="BB279" s="455" t="str">
        <f t="shared" si="51"/>
        <v>JAZWARES - TARGET US DOM</v>
      </c>
      <c r="BC279" s="455" t="str">
        <f t="shared" si="52"/>
        <v>美国</v>
      </c>
    </row>
    <row r="280" s="495" customFormat="1" customHeight="1" spans="1:55">
      <c r="A280" s="538">
        <v>46185</v>
      </c>
      <c r="B280" s="538" t="str">
        <f ca="1" t="shared" si="46"/>
        <v>异常</v>
      </c>
      <c r="C280" s="539" t="str">
        <f>VLOOKUP(H280,名称!A:E,4,0)</f>
        <v>三代</v>
      </c>
      <c r="D280" s="591" t="s">
        <v>1240</v>
      </c>
      <c r="E280" s="619" t="s">
        <v>1224</v>
      </c>
      <c r="F280" s="619" t="s">
        <v>976</v>
      </c>
      <c r="G280" s="619" t="s">
        <v>977</v>
      </c>
      <c r="H280" s="619" t="s">
        <v>119</v>
      </c>
      <c r="I280" s="118"/>
      <c r="J280" s="620">
        <v>45000</v>
      </c>
      <c r="K280" s="92">
        <f>VLOOKUP(H280,名称!A:C,2,0)</f>
        <v>5</v>
      </c>
      <c r="L280" s="32">
        <f t="shared" si="53"/>
        <v>225000</v>
      </c>
      <c r="M280" s="541">
        <f>VLOOKUP(H280,名称!A:E,3,0)</f>
        <v>24</v>
      </c>
      <c r="N280" s="586">
        <f t="shared" si="47"/>
        <v>1875</v>
      </c>
      <c r="O280" s="621">
        <v>46295</v>
      </c>
      <c r="P280" s="420" t="s">
        <v>1225</v>
      </c>
      <c r="Q280" s="420" t="s">
        <v>1225</v>
      </c>
      <c r="R280" s="539"/>
      <c r="S280" s="420" t="s">
        <v>1225</v>
      </c>
      <c r="T280" s="539"/>
      <c r="U280" s="541"/>
      <c r="V280" s="539"/>
      <c r="W280" s="518" t="str">
        <f>IFERROR(VLOOKUP(H280,名称!A:F,6,0),"")</f>
        <v>湖南</v>
      </c>
      <c r="X280" s="431" t="s">
        <v>1133</v>
      </c>
      <c r="Y280" s="431" t="s">
        <v>1133</v>
      </c>
      <c r="Z280" s="541" t="s">
        <v>1233</v>
      </c>
      <c r="AA280" s="552"/>
      <c r="AB280" s="541"/>
      <c r="AC280" s="431" t="s">
        <v>1133</v>
      </c>
      <c r="AD280" s="431" t="s">
        <v>1133</v>
      </c>
      <c r="AE280" s="591" t="s">
        <v>270</v>
      </c>
      <c r="AF280" s="431" t="s">
        <v>1228</v>
      </c>
      <c r="AG280" s="541" t="s">
        <v>270</v>
      </c>
      <c r="AH280" s="431" t="s">
        <v>1133</v>
      </c>
      <c r="AI280" s="431" t="s">
        <v>1228</v>
      </c>
      <c r="AJ280" s="431" t="s">
        <v>1133</v>
      </c>
      <c r="AK280" s="431" t="s">
        <v>1133</v>
      </c>
      <c r="AL280" s="541"/>
      <c r="AM280" s="541"/>
      <c r="AN280" s="591"/>
      <c r="AO280" s="544">
        <v>0.61</v>
      </c>
      <c r="AP280" s="545">
        <f t="shared" si="48"/>
        <v>27450</v>
      </c>
      <c r="AQ280" s="545">
        <f t="shared" si="49"/>
        <v>212737.5</v>
      </c>
      <c r="AR280" s="546"/>
      <c r="AS280" s="538"/>
      <c r="AT280" s="455" t="s">
        <v>1220</v>
      </c>
      <c r="AU280" s="548"/>
      <c r="AV280" s="548">
        <f t="shared" si="50"/>
        <v>-45000</v>
      </c>
      <c r="AW280" s="606"/>
      <c r="AX280" s="420" t="s">
        <v>1280</v>
      </c>
      <c r="AY280" s="538" t="s">
        <v>1255</v>
      </c>
      <c r="AZ280" s="538" t="s">
        <v>1256</v>
      </c>
      <c r="BA280" s="538"/>
      <c r="BB280" s="455" t="str">
        <f t="shared" si="51"/>
        <v>JAZWARES - TARGET US DOM</v>
      </c>
      <c r="BC280" s="455" t="str">
        <f t="shared" si="52"/>
        <v>美国</v>
      </c>
    </row>
    <row r="281" s="495" customFormat="1" customHeight="1" spans="1:55">
      <c r="A281" s="538">
        <v>46185</v>
      </c>
      <c r="B281" s="549" t="str">
        <f ca="1" t="shared" si="46"/>
        <v>异常</v>
      </c>
      <c r="C281" s="539" t="str">
        <f>VLOOKUP(H281,名称!A:E,4,0)</f>
        <v>三代</v>
      </c>
      <c r="D281" s="591" t="s">
        <v>1240</v>
      </c>
      <c r="E281" s="619" t="s">
        <v>1224</v>
      </c>
      <c r="F281" s="619" t="s">
        <v>978</v>
      </c>
      <c r="G281" s="619" t="s">
        <v>979</v>
      </c>
      <c r="H281" s="619" t="s">
        <v>199</v>
      </c>
      <c r="I281" s="118"/>
      <c r="J281" s="620">
        <v>20016</v>
      </c>
      <c r="K281" s="95">
        <f>VLOOKUP(H281,名称!A:C,2,0)</f>
        <v>5</v>
      </c>
      <c r="L281" s="96">
        <f t="shared" si="53"/>
        <v>100080</v>
      </c>
      <c r="M281" s="541">
        <f>VLOOKUP(H281,名称!A:E,3,0)</f>
        <v>24</v>
      </c>
      <c r="N281" s="586">
        <f t="shared" si="47"/>
        <v>834</v>
      </c>
      <c r="O281" s="621">
        <v>46309</v>
      </c>
      <c r="P281" s="621">
        <v>46309</v>
      </c>
      <c r="Q281" s="420">
        <v>46309</v>
      </c>
      <c r="R281" s="539"/>
      <c r="S281" s="420">
        <v>46313</v>
      </c>
      <c r="T281" s="539"/>
      <c r="U281" s="541"/>
      <c r="V281" s="539"/>
      <c r="W281" s="518" t="str">
        <f>IFERROR(VLOOKUP(H281,名称!A:F,6,0),"")</f>
        <v>湖南</v>
      </c>
      <c r="X281" s="431" t="s">
        <v>1133</v>
      </c>
      <c r="Y281" s="431" t="s">
        <v>1133</v>
      </c>
      <c r="Z281" s="541" t="s">
        <v>1233</v>
      </c>
      <c r="AA281" s="552"/>
      <c r="AB281" s="541"/>
      <c r="AC281" s="431" t="s">
        <v>1133</v>
      </c>
      <c r="AD281" s="431" t="s">
        <v>1133</v>
      </c>
      <c r="AE281" s="591" t="s">
        <v>270</v>
      </c>
      <c r="AF281" s="431" t="s">
        <v>1228</v>
      </c>
      <c r="AG281" s="541" t="s">
        <v>270</v>
      </c>
      <c r="AH281" s="431" t="s">
        <v>1133</v>
      </c>
      <c r="AI281" s="431" t="s">
        <v>1228</v>
      </c>
      <c r="AJ281" s="431" t="s">
        <v>1133</v>
      </c>
      <c r="AK281" s="541" t="s">
        <v>270</v>
      </c>
      <c r="AL281" s="431" t="s">
        <v>1228</v>
      </c>
      <c r="AM281" s="541"/>
      <c r="AN281" s="591"/>
      <c r="AO281" s="544">
        <v>0.89</v>
      </c>
      <c r="AP281" s="545">
        <f t="shared" si="48"/>
        <v>17814.24</v>
      </c>
      <c r="AQ281" s="545">
        <f t="shared" si="49"/>
        <v>138060.36</v>
      </c>
      <c r="AR281" s="546"/>
      <c r="AS281" s="538"/>
      <c r="AT281" s="455" t="s">
        <v>1310</v>
      </c>
      <c r="AU281" s="548"/>
      <c r="AV281" s="548">
        <f t="shared" si="50"/>
        <v>-20016</v>
      </c>
      <c r="AW281" s="606"/>
      <c r="AX281" s="549"/>
      <c r="AY281" s="538" t="s">
        <v>1255</v>
      </c>
      <c r="AZ281" s="538" t="s">
        <v>1256</v>
      </c>
      <c r="BA281" s="538"/>
      <c r="BB281" s="455" t="str">
        <f t="shared" si="51"/>
        <v>JAZWARES - TARGET US DOM</v>
      </c>
      <c r="BC281" s="455" t="str">
        <f t="shared" si="52"/>
        <v>美国</v>
      </c>
    </row>
    <row r="282" s="496" customFormat="1" customHeight="1" spans="1:55">
      <c r="A282" s="527">
        <v>46185</v>
      </c>
      <c r="B282" s="527" t="str">
        <f ca="1" t="shared" si="46"/>
        <v/>
      </c>
      <c r="C282" s="346" t="e">
        <f>VLOOKUP(H282,名称!A:E,4,0)</f>
        <v>#N/A</v>
      </c>
      <c r="D282" s="588" t="s">
        <v>1411</v>
      </c>
      <c r="E282" s="588" t="s">
        <v>1415</v>
      </c>
      <c r="F282" s="588" t="s">
        <v>839</v>
      </c>
      <c r="G282" s="588" t="s">
        <v>963</v>
      </c>
      <c r="H282" s="588" t="s">
        <v>242</v>
      </c>
      <c r="I282" s="346"/>
      <c r="J282" s="589">
        <v>10000</v>
      </c>
      <c r="K282" s="347"/>
      <c r="L282" s="348"/>
      <c r="M282" s="568">
        <v>100</v>
      </c>
      <c r="N282" s="599">
        <f t="shared" si="47"/>
        <v>100</v>
      </c>
      <c r="O282" s="587">
        <v>46203</v>
      </c>
      <c r="P282" s="587">
        <v>46203</v>
      </c>
      <c r="Q282" s="536">
        <v>46206</v>
      </c>
      <c r="R282" s="404" t="s">
        <v>1241</v>
      </c>
      <c r="S282" s="413" t="s">
        <v>1133</v>
      </c>
      <c r="T282" s="568"/>
      <c r="U282" s="568"/>
      <c r="V282" s="346"/>
      <c r="W282" s="348" t="str">
        <f>IFERROR(VLOOKUP(H282,名称!A:F,6,0),"")</f>
        <v/>
      </c>
      <c r="X282" s="415" t="s">
        <v>1133</v>
      </c>
      <c r="Y282" s="415" t="s">
        <v>1133</v>
      </c>
      <c r="Z282" s="415" t="s">
        <v>1133</v>
      </c>
      <c r="AA282" s="415" t="s">
        <v>1133</v>
      </c>
      <c r="AB282" s="415" t="s">
        <v>1133</v>
      </c>
      <c r="AC282" s="415" t="s">
        <v>1133</v>
      </c>
      <c r="AD282" s="415" t="s">
        <v>1133</v>
      </c>
      <c r="AE282" s="415" t="s">
        <v>1416</v>
      </c>
      <c r="AF282" s="415" t="s">
        <v>1133</v>
      </c>
      <c r="AG282" s="568" t="s">
        <v>961</v>
      </c>
      <c r="AH282" s="415" t="s">
        <v>1133</v>
      </c>
      <c r="AI282" s="415" t="s">
        <v>1133</v>
      </c>
      <c r="AJ282" s="415" t="s">
        <v>1133</v>
      </c>
      <c r="AK282" s="415" t="s">
        <v>1133</v>
      </c>
      <c r="AL282" s="346"/>
      <c r="AM282" s="568"/>
      <c r="AN282" s="408" t="s">
        <v>1417</v>
      </c>
      <c r="AO282" s="531"/>
      <c r="AP282" s="532">
        <f t="shared" si="48"/>
        <v>0</v>
      </c>
      <c r="AQ282" s="532">
        <f t="shared" si="49"/>
        <v>0</v>
      </c>
      <c r="AR282" s="533"/>
      <c r="AS282" s="527"/>
      <c r="AT282" s="413" t="s">
        <v>839</v>
      </c>
      <c r="AU282" s="535"/>
      <c r="AV282" s="535">
        <f t="shared" si="50"/>
        <v>-10000</v>
      </c>
      <c r="AW282" s="605"/>
      <c r="AX282" s="536"/>
      <c r="AY282" s="527"/>
      <c r="AZ282" s="527" t="s">
        <v>1222</v>
      </c>
      <c r="BA282" s="527"/>
      <c r="BB282" s="403" t="str">
        <f t="shared" si="51"/>
        <v>SKY Castle Toys, LLC</v>
      </c>
      <c r="BC282" s="403" t="str">
        <f t="shared" si="52"/>
        <v>圣迭戈</v>
      </c>
    </row>
    <row r="283" s="496" customFormat="1" customHeight="1" spans="1:55">
      <c r="A283" s="527">
        <v>46185</v>
      </c>
      <c r="B283" s="527" t="str">
        <f ca="1" t="shared" si="46"/>
        <v/>
      </c>
      <c r="C283" s="346" t="e">
        <f>VLOOKUP(H283,名称!A:E,4,0)</f>
        <v>#N/A</v>
      </c>
      <c r="D283" s="588" t="s">
        <v>1411</v>
      </c>
      <c r="E283" s="588" t="s">
        <v>1224</v>
      </c>
      <c r="F283" s="588" t="s">
        <v>839</v>
      </c>
      <c r="G283" s="588" t="s">
        <v>959</v>
      </c>
      <c r="H283" s="588" t="s">
        <v>242</v>
      </c>
      <c r="I283" s="346"/>
      <c r="J283" s="589">
        <v>200</v>
      </c>
      <c r="K283" s="347"/>
      <c r="L283" s="348"/>
      <c r="M283" s="568">
        <v>200</v>
      </c>
      <c r="N283" s="599">
        <f t="shared" si="47"/>
        <v>1</v>
      </c>
      <c r="O283" s="587">
        <v>46191</v>
      </c>
      <c r="P283" s="587">
        <v>46191</v>
      </c>
      <c r="Q283" s="413" t="s">
        <v>1133</v>
      </c>
      <c r="R283" s="346"/>
      <c r="S283" s="413" t="s">
        <v>1133</v>
      </c>
      <c r="T283" s="346"/>
      <c r="U283" s="568"/>
      <c r="V283" s="346"/>
      <c r="W283" s="348" t="str">
        <f>IFERROR(VLOOKUP(H283,名称!A:F,6,0),"")</f>
        <v/>
      </c>
      <c r="X283" s="415" t="s">
        <v>1133</v>
      </c>
      <c r="Y283" s="415" t="s">
        <v>1133</v>
      </c>
      <c r="Z283" s="415" t="s">
        <v>1133</v>
      </c>
      <c r="AA283" s="415" t="s">
        <v>1133</v>
      </c>
      <c r="AB283" s="415" t="s">
        <v>1133</v>
      </c>
      <c r="AC283" s="415" t="s">
        <v>1133</v>
      </c>
      <c r="AD283" s="415" t="s">
        <v>1133</v>
      </c>
      <c r="AE283" s="408" t="s">
        <v>1133</v>
      </c>
      <c r="AF283" s="415" t="s">
        <v>1133</v>
      </c>
      <c r="AG283" s="568" t="s">
        <v>961</v>
      </c>
      <c r="AH283" s="415" t="s">
        <v>1133</v>
      </c>
      <c r="AI283" s="415" t="s">
        <v>1133</v>
      </c>
      <c r="AJ283" s="415" t="s">
        <v>1133</v>
      </c>
      <c r="AK283" s="415" t="s">
        <v>1133</v>
      </c>
      <c r="AL283" s="568"/>
      <c r="AM283" s="568"/>
      <c r="AN283" s="588" t="s">
        <v>1418</v>
      </c>
      <c r="AO283" s="531"/>
      <c r="AP283" s="532">
        <f t="shared" si="48"/>
        <v>0</v>
      </c>
      <c r="AQ283" s="532">
        <f t="shared" si="49"/>
        <v>0</v>
      </c>
      <c r="AR283" s="533"/>
      <c r="AS283" s="527"/>
      <c r="AT283" s="403" t="s">
        <v>839</v>
      </c>
      <c r="AU283" s="535"/>
      <c r="AV283" s="535">
        <f t="shared" si="50"/>
        <v>-200</v>
      </c>
      <c r="AW283" s="605"/>
      <c r="AX283" s="536"/>
      <c r="AY283" s="527"/>
      <c r="AZ283" s="527" t="s">
        <v>1256</v>
      </c>
      <c r="BA283" s="527"/>
      <c r="BB283" s="403" t="str">
        <f t="shared" si="51"/>
        <v>SKY Castle Toys, LLC</v>
      </c>
      <c r="BC283" s="403" t="str">
        <f t="shared" si="52"/>
        <v>美国</v>
      </c>
    </row>
    <row r="284" s="495" customFormat="1" customHeight="1" spans="1:55">
      <c r="A284" s="538">
        <v>46185</v>
      </c>
      <c r="B284" s="538" t="str">
        <f ca="1" t="shared" si="46"/>
        <v/>
      </c>
      <c r="C284" s="539" t="e">
        <f>VLOOKUP(H284,名称!A:E,4,0)</f>
        <v>#N/A</v>
      </c>
      <c r="D284" s="591" t="s">
        <v>1411</v>
      </c>
      <c r="E284" s="591" t="s">
        <v>1412</v>
      </c>
      <c r="F284" s="591" t="s">
        <v>839</v>
      </c>
      <c r="G284" s="591" t="s">
        <v>960</v>
      </c>
      <c r="H284" s="591" t="s">
        <v>242</v>
      </c>
      <c r="I284" s="539"/>
      <c r="J284" s="592">
        <f>10008+10008</f>
        <v>20016</v>
      </c>
      <c r="K284" s="92"/>
      <c r="L284" s="32"/>
      <c r="M284" s="541">
        <v>18</v>
      </c>
      <c r="N284" s="586">
        <f t="shared" si="47"/>
        <v>1112</v>
      </c>
      <c r="O284" s="590">
        <v>46266</v>
      </c>
      <c r="P284" s="590">
        <v>46266</v>
      </c>
      <c r="Q284" s="420" t="s">
        <v>1133</v>
      </c>
      <c r="R284" s="539"/>
      <c r="S284" s="420" t="s">
        <v>1133</v>
      </c>
      <c r="T284" s="539"/>
      <c r="U284" s="541"/>
      <c r="V284" s="539"/>
      <c r="W284" s="518" t="str">
        <f>IFERROR(VLOOKUP(H284,名称!A:F,6,0),"")</f>
        <v/>
      </c>
      <c r="X284" s="431" t="s">
        <v>1133</v>
      </c>
      <c r="Y284" s="431" t="s">
        <v>1133</v>
      </c>
      <c r="Z284" s="431" t="s">
        <v>1133</v>
      </c>
      <c r="AA284" s="431" t="s">
        <v>1133</v>
      </c>
      <c r="AB284" s="431" t="s">
        <v>1133</v>
      </c>
      <c r="AC284" s="431" t="s">
        <v>1133</v>
      </c>
      <c r="AD284" s="431" t="s">
        <v>1133</v>
      </c>
      <c r="AE284" s="431" t="s">
        <v>1133</v>
      </c>
      <c r="AF284" s="431" t="s">
        <v>1133</v>
      </c>
      <c r="AG284" s="541" t="s">
        <v>961</v>
      </c>
      <c r="AH284" s="431" t="s">
        <v>1133</v>
      </c>
      <c r="AI284" s="431" t="s">
        <v>1133</v>
      </c>
      <c r="AJ284" s="431" t="s">
        <v>1133</v>
      </c>
      <c r="AK284" s="431" t="s">
        <v>1133</v>
      </c>
      <c r="AL284" s="541"/>
      <c r="AM284" s="541"/>
      <c r="AN284" s="619" t="s">
        <v>1419</v>
      </c>
      <c r="AO284" s="544"/>
      <c r="AP284" s="545">
        <f t="shared" si="48"/>
        <v>0</v>
      </c>
      <c r="AQ284" s="545">
        <f t="shared" si="49"/>
        <v>0</v>
      </c>
      <c r="AR284" s="546"/>
      <c r="AS284" s="538"/>
      <c r="AT284" s="420" t="s">
        <v>839</v>
      </c>
      <c r="AU284" s="548"/>
      <c r="AV284" s="548">
        <f t="shared" si="50"/>
        <v>-20016</v>
      </c>
      <c r="AW284" s="606"/>
      <c r="AX284" s="549"/>
      <c r="AY284" s="538"/>
      <c r="AZ284" s="538" t="s">
        <v>1222</v>
      </c>
      <c r="BA284" s="538"/>
      <c r="BB284" s="455" t="str">
        <f t="shared" si="51"/>
        <v>SKY Castle Toys, LLC</v>
      </c>
      <c r="BC284" s="455" t="str">
        <f t="shared" si="52"/>
        <v>纽约</v>
      </c>
    </row>
    <row r="285" s="495" customFormat="1" customHeight="1" spans="1:55">
      <c r="A285" s="538">
        <v>46189</v>
      </c>
      <c r="B285" s="549" t="str">
        <f ca="1" t="shared" si="46"/>
        <v/>
      </c>
      <c r="C285" s="541" t="str">
        <f>VLOOKUP(H285,名称!A:E,4,0)</f>
        <v>三代</v>
      </c>
      <c r="D285" s="619" t="s">
        <v>1420</v>
      </c>
      <c r="E285" s="619" t="s">
        <v>1421</v>
      </c>
      <c r="F285" s="619" t="s">
        <v>981</v>
      </c>
      <c r="G285" s="619" t="s">
        <v>982</v>
      </c>
      <c r="H285" s="619" t="s">
        <v>118</v>
      </c>
      <c r="I285" s="118"/>
      <c r="J285" s="592">
        <v>800</v>
      </c>
      <c r="K285" s="95">
        <f>VLOOKUP(H285,名称!A:C,2,0)</f>
        <v>0</v>
      </c>
      <c r="L285" s="96">
        <f t="shared" ref="L285:L315" si="54">J285*K285</f>
        <v>0</v>
      </c>
      <c r="M285" s="541">
        <f>VLOOKUP(H285,名称!A:E,3,0)</f>
        <v>4</v>
      </c>
      <c r="N285" s="586">
        <f t="shared" si="47"/>
        <v>200</v>
      </c>
      <c r="O285" s="590">
        <v>46286</v>
      </c>
      <c r="P285" s="590">
        <v>46286</v>
      </c>
      <c r="Q285" s="549">
        <v>46286</v>
      </c>
      <c r="R285" s="539"/>
      <c r="S285" s="420" t="s">
        <v>1133</v>
      </c>
      <c r="T285" s="539"/>
      <c r="U285" s="541"/>
      <c r="V285" s="539"/>
      <c r="W285" s="518" t="str">
        <f>IFERROR(VLOOKUP(H285,名称!A:F,6,0),"")</f>
        <v>湖南</v>
      </c>
      <c r="X285" s="541" t="s">
        <v>1248</v>
      </c>
      <c r="Y285" s="431" t="s">
        <v>1233</v>
      </c>
      <c r="Z285" s="431" t="s">
        <v>1249</v>
      </c>
      <c r="AA285" s="552">
        <v>46205</v>
      </c>
      <c r="AB285" s="567">
        <v>46245</v>
      </c>
      <c r="AC285" s="431" t="s">
        <v>1133</v>
      </c>
      <c r="AD285" s="431" t="s">
        <v>1133</v>
      </c>
      <c r="AE285" s="619" t="s">
        <v>510</v>
      </c>
      <c r="AF285" s="431" t="s">
        <v>1228</v>
      </c>
      <c r="AG285" s="431" t="s">
        <v>510</v>
      </c>
      <c r="AH285" s="431" t="s">
        <v>1307</v>
      </c>
      <c r="AI285" s="431" t="s">
        <v>1228</v>
      </c>
      <c r="AJ285" s="431" t="s">
        <v>1133</v>
      </c>
      <c r="AK285" s="431" t="s">
        <v>1133</v>
      </c>
      <c r="AL285" s="541"/>
      <c r="AM285" s="431" t="s">
        <v>1250</v>
      </c>
      <c r="AN285" s="619" t="s">
        <v>1251</v>
      </c>
      <c r="AO285" s="544">
        <v>0</v>
      </c>
      <c r="AP285" s="545">
        <f t="shared" si="48"/>
        <v>0</v>
      </c>
      <c r="AQ285" s="545">
        <f t="shared" si="49"/>
        <v>0</v>
      </c>
      <c r="AR285" s="546"/>
      <c r="AS285" s="538"/>
      <c r="AT285" s="420" t="s">
        <v>1220</v>
      </c>
      <c r="AU285" s="548"/>
      <c r="AV285" s="548">
        <f t="shared" si="50"/>
        <v>-800</v>
      </c>
      <c r="AW285" s="606"/>
      <c r="AX285" s="549"/>
      <c r="AY285" s="455" t="s">
        <v>1317</v>
      </c>
      <c r="AZ285" s="549" t="s">
        <v>1256</v>
      </c>
      <c r="BA285" s="538"/>
      <c r="BB285" s="455" t="str">
        <f t="shared" si="51"/>
        <v>Banter Toys</v>
      </c>
      <c r="BC285" s="455" t="str">
        <f t="shared" si="52"/>
        <v>澳大利亚</v>
      </c>
    </row>
    <row r="286" s="497" customFormat="1" customHeight="1" spans="1:55">
      <c r="A286" s="578">
        <v>46190</v>
      </c>
      <c r="B286" s="578" t="str">
        <f ca="1" t="shared" si="46"/>
        <v/>
      </c>
      <c r="C286" s="557" t="str">
        <f>VLOOKUP(H286,名称!A:E,4,0)</f>
        <v>三代</v>
      </c>
      <c r="D286" s="444" t="s">
        <v>1257</v>
      </c>
      <c r="E286" s="444" t="s">
        <v>1258</v>
      </c>
      <c r="F286" s="444" t="s">
        <v>983</v>
      </c>
      <c r="G286" s="444" t="s">
        <v>984</v>
      </c>
      <c r="H286" s="436" t="s">
        <v>66</v>
      </c>
      <c r="I286" s="554"/>
      <c r="J286" s="596">
        <v>12000</v>
      </c>
      <c r="K286" s="95">
        <f>VLOOKUP(H286,名称!A:C,2,0)</f>
        <v>12</v>
      </c>
      <c r="L286" s="96">
        <f t="shared" si="54"/>
        <v>144000</v>
      </c>
      <c r="M286" s="557">
        <f>VLOOKUP(H286,名称!A:E,3,0)</f>
        <v>6</v>
      </c>
      <c r="N286" s="616">
        <f t="shared" si="47"/>
        <v>2000</v>
      </c>
      <c r="O286" s="578">
        <v>46251</v>
      </c>
      <c r="P286" s="578">
        <v>46251</v>
      </c>
      <c r="Q286" s="578">
        <v>46248</v>
      </c>
      <c r="R286" s="435" t="s">
        <v>1241</v>
      </c>
      <c r="S286" s="578">
        <v>46251</v>
      </c>
      <c r="T286" s="435" t="s">
        <v>1241</v>
      </c>
      <c r="U286" s="444" t="s">
        <v>1259</v>
      </c>
      <c r="V286" s="456">
        <v>46254</v>
      </c>
      <c r="W286" s="556" t="str">
        <f>IFERROR(VLOOKUP(H286,名称!A:F,6,0),"")</f>
        <v>湖南</v>
      </c>
      <c r="X286" s="444" t="s">
        <v>1133</v>
      </c>
      <c r="Y286" s="444" t="s">
        <v>1133</v>
      </c>
      <c r="Z286" s="580">
        <v>46190</v>
      </c>
      <c r="AA286" s="581">
        <v>46200</v>
      </c>
      <c r="AB286" s="580">
        <v>46203</v>
      </c>
      <c r="AC286" s="557" t="s">
        <v>1318</v>
      </c>
      <c r="AD286" s="541" t="s">
        <v>1228</v>
      </c>
      <c r="AE286" s="444" t="s">
        <v>334</v>
      </c>
      <c r="AF286" s="541" t="s">
        <v>1228</v>
      </c>
      <c r="AG286" s="444" t="s">
        <v>334</v>
      </c>
      <c r="AH286" s="541" t="s">
        <v>1361</v>
      </c>
      <c r="AI286" s="541" t="s">
        <v>1228</v>
      </c>
      <c r="AJ286" s="541" t="s">
        <v>1422</v>
      </c>
      <c r="AK286" s="557" t="s">
        <v>1133</v>
      </c>
      <c r="AL286" s="444" t="s">
        <v>1228</v>
      </c>
      <c r="AM286" s="444" t="s">
        <v>1423</v>
      </c>
      <c r="AN286" s="444" t="s">
        <v>1261</v>
      </c>
      <c r="AO286" s="560">
        <v>2.02</v>
      </c>
      <c r="AP286" s="561">
        <f t="shared" si="48"/>
        <v>24240</v>
      </c>
      <c r="AQ286" s="561">
        <f t="shared" si="49"/>
        <v>187860</v>
      </c>
      <c r="AR286" s="562"/>
      <c r="AS286" s="553"/>
      <c r="AT286" s="434" t="s">
        <v>1220</v>
      </c>
      <c r="AU286" s="628">
        <f>11964+36</f>
        <v>12000</v>
      </c>
      <c r="AV286" s="564">
        <f t="shared" si="50"/>
        <v>0</v>
      </c>
      <c r="AW286" s="617"/>
      <c r="AX286" s="440" t="s">
        <v>1280</v>
      </c>
      <c r="AY286" s="440" t="s">
        <v>1262</v>
      </c>
      <c r="AZ286" s="440" t="s">
        <v>1263</v>
      </c>
      <c r="BA286" s="553"/>
      <c r="BB286" s="434" t="str">
        <f t="shared" si="51"/>
        <v>Character Options</v>
      </c>
      <c r="BC286" s="434" t="str">
        <f t="shared" si="52"/>
        <v>英国</v>
      </c>
    </row>
    <row r="287" s="497" customFormat="1" customHeight="1" spans="1:55">
      <c r="A287" s="578">
        <v>46190</v>
      </c>
      <c r="B287" s="578" t="str">
        <f ca="1" t="shared" si="46"/>
        <v/>
      </c>
      <c r="C287" s="557" t="str">
        <f>VLOOKUP(H287,名称!A:E,4,0)</f>
        <v>三代</v>
      </c>
      <c r="D287" s="444" t="s">
        <v>1257</v>
      </c>
      <c r="E287" s="444" t="s">
        <v>1258</v>
      </c>
      <c r="F287" s="444" t="s">
        <v>983</v>
      </c>
      <c r="G287" s="444" t="s">
        <v>984</v>
      </c>
      <c r="H287" s="436" t="s">
        <v>68</v>
      </c>
      <c r="I287" s="554"/>
      <c r="J287" s="596">
        <v>10080</v>
      </c>
      <c r="K287" s="95">
        <f>VLOOKUP(H287,名称!A:C,2,0)</f>
        <v>32</v>
      </c>
      <c r="L287" s="96">
        <f t="shared" si="54"/>
        <v>322560</v>
      </c>
      <c r="M287" s="557">
        <f>VLOOKUP(H287,名称!A:E,3,0)</f>
        <v>4</v>
      </c>
      <c r="N287" s="616">
        <f t="shared" si="47"/>
        <v>2520</v>
      </c>
      <c r="O287" s="578">
        <v>46251</v>
      </c>
      <c r="P287" s="578">
        <v>46251</v>
      </c>
      <c r="Q287" s="578">
        <v>46248</v>
      </c>
      <c r="R287" s="435" t="s">
        <v>1241</v>
      </c>
      <c r="S287" s="578">
        <v>46251</v>
      </c>
      <c r="T287" s="435" t="s">
        <v>1241</v>
      </c>
      <c r="U287" s="444" t="s">
        <v>1259</v>
      </c>
      <c r="V287" s="456">
        <v>46254</v>
      </c>
      <c r="W287" s="556" t="str">
        <f>IFERROR(VLOOKUP(H287,名称!A:F,6,0),"")</f>
        <v>湖南</v>
      </c>
      <c r="X287" s="444" t="s">
        <v>1133</v>
      </c>
      <c r="Y287" s="444" t="s">
        <v>1133</v>
      </c>
      <c r="Z287" s="580">
        <v>46190</v>
      </c>
      <c r="AA287" s="581">
        <v>46200</v>
      </c>
      <c r="AB287" s="580">
        <v>46203</v>
      </c>
      <c r="AC287" s="557" t="s">
        <v>1133</v>
      </c>
      <c r="AD287" s="541" t="s">
        <v>1133</v>
      </c>
      <c r="AE287" s="444" t="s">
        <v>334</v>
      </c>
      <c r="AF287" s="541" t="s">
        <v>1228</v>
      </c>
      <c r="AG287" s="444" t="s">
        <v>334</v>
      </c>
      <c r="AH287" s="541" t="s">
        <v>1361</v>
      </c>
      <c r="AI287" s="541" t="s">
        <v>1228</v>
      </c>
      <c r="AJ287" s="541"/>
      <c r="AK287" s="557" t="s">
        <v>1133</v>
      </c>
      <c r="AL287" s="444" t="s">
        <v>1228</v>
      </c>
      <c r="AM287" s="444" t="s">
        <v>1424</v>
      </c>
      <c r="AN287" s="444"/>
      <c r="AO287" s="560">
        <v>3.09</v>
      </c>
      <c r="AP287" s="561">
        <f t="shared" si="48"/>
        <v>31147.2</v>
      </c>
      <c r="AQ287" s="561">
        <f t="shared" si="49"/>
        <v>241390.8</v>
      </c>
      <c r="AR287" s="562"/>
      <c r="AS287" s="553"/>
      <c r="AT287" s="440" t="s">
        <v>1220</v>
      </c>
      <c r="AU287" s="564">
        <f>7728+1656+696</f>
        <v>10080</v>
      </c>
      <c r="AV287" s="564">
        <f t="shared" si="50"/>
        <v>0</v>
      </c>
      <c r="AW287" s="617"/>
      <c r="AX287" s="440" t="s">
        <v>1280</v>
      </c>
      <c r="AY287" s="440" t="s">
        <v>1262</v>
      </c>
      <c r="AZ287" s="440" t="s">
        <v>1263</v>
      </c>
      <c r="BA287" s="553"/>
      <c r="BB287" s="434" t="str">
        <f t="shared" si="51"/>
        <v>Character Options</v>
      </c>
      <c r="BC287" s="434" t="str">
        <f t="shared" si="52"/>
        <v>英国</v>
      </c>
    </row>
    <row r="288" s="497" customFormat="1" customHeight="1" spans="1:55">
      <c r="A288" s="578">
        <v>46190</v>
      </c>
      <c r="B288" s="578" t="str">
        <f ca="1" t="shared" si="46"/>
        <v/>
      </c>
      <c r="C288" s="557" t="str">
        <f>VLOOKUP(H288,名称!A:E,4,0)</f>
        <v>三代</v>
      </c>
      <c r="D288" s="444" t="s">
        <v>1257</v>
      </c>
      <c r="E288" s="444" t="s">
        <v>1258</v>
      </c>
      <c r="F288" s="444" t="s">
        <v>983</v>
      </c>
      <c r="G288" s="444" t="s">
        <v>984</v>
      </c>
      <c r="H288" s="436" t="s">
        <v>113</v>
      </c>
      <c r="I288" s="554"/>
      <c r="J288" s="596">
        <v>6048</v>
      </c>
      <c r="K288" s="95">
        <f>VLOOKUP(H288,名称!A:C,2,0)</f>
        <v>12</v>
      </c>
      <c r="L288" s="96">
        <f t="shared" si="54"/>
        <v>72576</v>
      </c>
      <c r="M288" s="557">
        <f>VLOOKUP(H288,名称!A:E,3,0)</f>
        <v>6</v>
      </c>
      <c r="N288" s="616">
        <f t="shared" si="47"/>
        <v>1008</v>
      </c>
      <c r="O288" s="578">
        <v>46251</v>
      </c>
      <c r="P288" s="578">
        <v>46251</v>
      </c>
      <c r="Q288" s="578">
        <v>46248</v>
      </c>
      <c r="R288" s="435" t="s">
        <v>1241</v>
      </c>
      <c r="S288" s="578">
        <v>46251</v>
      </c>
      <c r="T288" s="435" t="s">
        <v>1425</v>
      </c>
      <c r="U288" s="444" t="s">
        <v>1259</v>
      </c>
      <c r="V288" s="456">
        <v>46254</v>
      </c>
      <c r="W288" s="556" t="str">
        <f>IFERROR(VLOOKUP(H288,名称!A:F,6,0),"")</f>
        <v>湖南</v>
      </c>
      <c r="X288" s="444" t="s">
        <v>1133</v>
      </c>
      <c r="Y288" s="444" t="s">
        <v>1133</v>
      </c>
      <c r="Z288" s="580">
        <v>46190</v>
      </c>
      <c r="AA288" s="581">
        <v>46200</v>
      </c>
      <c r="AB288" s="580">
        <v>46203</v>
      </c>
      <c r="AC288" s="557"/>
      <c r="AD288" s="541"/>
      <c r="AE288" s="444" t="s">
        <v>334</v>
      </c>
      <c r="AF288" s="541"/>
      <c r="AG288" s="444" t="s">
        <v>334</v>
      </c>
      <c r="AH288" s="541" t="s">
        <v>1361</v>
      </c>
      <c r="AI288" s="541" t="s">
        <v>1228</v>
      </c>
      <c r="AJ288" s="541"/>
      <c r="AK288" s="557"/>
      <c r="AL288" s="444" t="s">
        <v>1228</v>
      </c>
      <c r="AM288" s="444" t="s">
        <v>1426</v>
      </c>
      <c r="AN288" s="444"/>
      <c r="AO288" s="560">
        <v>1.52</v>
      </c>
      <c r="AP288" s="561">
        <f t="shared" si="48"/>
        <v>9192.96</v>
      </c>
      <c r="AQ288" s="561">
        <f t="shared" si="49"/>
        <v>71245.44</v>
      </c>
      <c r="AR288" s="562"/>
      <c r="AS288" s="553"/>
      <c r="AT288" s="440" t="s">
        <v>1220</v>
      </c>
      <c r="AU288" s="564">
        <v>6048</v>
      </c>
      <c r="AV288" s="564">
        <f t="shared" si="50"/>
        <v>0</v>
      </c>
      <c r="AW288" s="617"/>
      <c r="AX288" s="440" t="s">
        <v>1280</v>
      </c>
      <c r="AY288" s="440" t="s">
        <v>1262</v>
      </c>
      <c r="AZ288" s="440" t="s">
        <v>1263</v>
      </c>
      <c r="BA288" s="553"/>
      <c r="BB288" s="434" t="str">
        <f t="shared" si="51"/>
        <v>Character Options</v>
      </c>
      <c r="BC288" s="434" t="str">
        <f t="shared" si="52"/>
        <v>英国</v>
      </c>
    </row>
    <row r="289" s="497" customFormat="1" customHeight="1" spans="1:55">
      <c r="A289" s="578">
        <v>46190</v>
      </c>
      <c r="B289" s="578" t="str">
        <f ca="1" t="shared" si="46"/>
        <v/>
      </c>
      <c r="C289" s="557" t="str">
        <f>VLOOKUP(H289,名称!A:E,4,0)</f>
        <v>三代</v>
      </c>
      <c r="D289" s="444" t="s">
        <v>1257</v>
      </c>
      <c r="E289" s="444" t="s">
        <v>1258</v>
      </c>
      <c r="F289" s="444" t="s">
        <v>983</v>
      </c>
      <c r="G289" s="444" t="s">
        <v>984</v>
      </c>
      <c r="H289" s="436" t="s">
        <v>104</v>
      </c>
      <c r="I289" s="554"/>
      <c r="J289" s="596">
        <v>6048</v>
      </c>
      <c r="K289" s="95">
        <f>VLOOKUP(H289,名称!A:C,2,0)</f>
        <v>12</v>
      </c>
      <c r="L289" s="96">
        <f t="shared" si="54"/>
        <v>72576</v>
      </c>
      <c r="M289" s="557">
        <f>VLOOKUP(H289,名称!A:E,3,0)</f>
        <v>6</v>
      </c>
      <c r="N289" s="616">
        <f t="shared" si="47"/>
        <v>1008</v>
      </c>
      <c r="O289" s="578">
        <v>46251</v>
      </c>
      <c r="P289" s="578">
        <v>46251</v>
      </c>
      <c r="Q289" s="578">
        <v>46248</v>
      </c>
      <c r="R289" s="435" t="s">
        <v>1241</v>
      </c>
      <c r="S289" s="578">
        <v>46251</v>
      </c>
      <c r="T289" s="435" t="s">
        <v>1241</v>
      </c>
      <c r="U289" s="444" t="s">
        <v>1259</v>
      </c>
      <c r="V289" s="456">
        <v>46254</v>
      </c>
      <c r="W289" s="556" t="str">
        <f>IFERROR(VLOOKUP(H289,名称!A:F,6,0),"")</f>
        <v>湖南</v>
      </c>
      <c r="X289" s="444" t="s">
        <v>1133</v>
      </c>
      <c r="Y289" s="444" t="s">
        <v>1133</v>
      </c>
      <c r="Z289" s="580">
        <v>46190</v>
      </c>
      <c r="AA289" s="581">
        <v>46200</v>
      </c>
      <c r="AB289" s="580">
        <v>46203</v>
      </c>
      <c r="AC289" s="557" t="s">
        <v>1302</v>
      </c>
      <c r="AD289" s="541" t="s">
        <v>1228</v>
      </c>
      <c r="AE289" s="444" t="s">
        <v>334</v>
      </c>
      <c r="AF289" s="541"/>
      <c r="AG289" s="444" t="s">
        <v>1270</v>
      </c>
      <c r="AH289" s="541" t="s">
        <v>1361</v>
      </c>
      <c r="AI289" s="541" t="s">
        <v>1228</v>
      </c>
      <c r="AJ289" s="541" t="s">
        <v>1133</v>
      </c>
      <c r="AK289" s="557" t="s">
        <v>1133</v>
      </c>
      <c r="AL289" s="444" t="s">
        <v>1228</v>
      </c>
      <c r="AM289" s="444" t="s">
        <v>1427</v>
      </c>
      <c r="AN289" s="444"/>
      <c r="AO289" s="560">
        <v>1.52</v>
      </c>
      <c r="AP289" s="561">
        <f t="shared" si="48"/>
        <v>9192.96</v>
      </c>
      <c r="AQ289" s="561">
        <f t="shared" si="49"/>
        <v>71245.44</v>
      </c>
      <c r="AR289" s="562"/>
      <c r="AS289" s="553"/>
      <c r="AT289" s="434" t="s">
        <v>1220</v>
      </c>
      <c r="AU289" s="564">
        <f>6006+42</f>
        <v>6048</v>
      </c>
      <c r="AV289" s="564">
        <f t="shared" si="50"/>
        <v>0</v>
      </c>
      <c r="AW289" s="617"/>
      <c r="AX289" s="440" t="s">
        <v>1280</v>
      </c>
      <c r="AY289" s="440" t="s">
        <v>1262</v>
      </c>
      <c r="AZ289" s="440" t="s">
        <v>1263</v>
      </c>
      <c r="BA289" s="553"/>
      <c r="BB289" s="434" t="str">
        <f t="shared" si="51"/>
        <v>Character Options</v>
      </c>
      <c r="BC289" s="434" t="str">
        <f t="shared" si="52"/>
        <v>英国</v>
      </c>
    </row>
    <row r="290" s="497" customFormat="1" customHeight="1" spans="1:55">
      <c r="A290" s="553">
        <v>46190</v>
      </c>
      <c r="B290" s="578" t="str">
        <f ca="1" t="shared" si="46"/>
        <v/>
      </c>
      <c r="C290" s="557" t="str">
        <f>VLOOKUP(H290,名称!A:E,4,0)</f>
        <v>三代</v>
      </c>
      <c r="D290" s="436" t="s">
        <v>1257</v>
      </c>
      <c r="E290" s="436" t="s">
        <v>1258</v>
      </c>
      <c r="F290" s="436" t="s">
        <v>983</v>
      </c>
      <c r="G290" s="436" t="s">
        <v>984</v>
      </c>
      <c r="H290" s="436" t="s">
        <v>89</v>
      </c>
      <c r="I290" s="554"/>
      <c r="J290" s="596">
        <v>12000</v>
      </c>
      <c r="K290" s="95">
        <f>VLOOKUP(H290,名称!A:C,2,0)</f>
        <v>12</v>
      </c>
      <c r="L290" s="96">
        <f t="shared" si="54"/>
        <v>144000</v>
      </c>
      <c r="M290" s="557">
        <f>VLOOKUP(H290,名称!A:E,3,0)</f>
        <v>6</v>
      </c>
      <c r="N290" s="616">
        <f t="shared" si="47"/>
        <v>2000</v>
      </c>
      <c r="O290" s="597">
        <v>46251</v>
      </c>
      <c r="P290" s="578">
        <v>46251</v>
      </c>
      <c r="Q290" s="578">
        <v>46251</v>
      </c>
      <c r="R290" s="435" t="s">
        <v>1241</v>
      </c>
      <c r="S290" s="578">
        <v>46251</v>
      </c>
      <c r="T290" s="435" t="s">
        <v>1241</v>
      </c>
      <c r="U290" s="444" t="s">
        <v>1259</v>
      </c>
      <c r="V290" s="441">
        <v>46254</v>
      </c>
      <c r="W290" s="556" t="str">
        <f>IFERROR(VLOOKUP(H290,名称!A:F,6,0),"")</f>
        <v>东莞</v>
      </c>
      <c r="X290" s="444" t="s">
        <v>1133</v>
      </c>
      <c r="Y290" s="444" t="s">
        <v>1133</v>
      </c>
      <c r="Z290" s="580">
        <v>46190</v>
      </c>
      <c r="AA290" s="581">
        <v>46200</v>
      </c>
      <c r="AB290" s="580">
        <v>46203</v>
      </c>
      <c r="AC290" s="557" t="s">
        <v>1318</v>
      </c>
      <c r="AD290" s="541" t="s">
        <v>1228</v>
      </c>
      <c r="AE290" s="436" t="s">
        <v>334</v>
      </c>
      <c r="AF290" s="431" t="s">
        <v>1228</v>
      </c>
      <c r="AG290" s="444" t="s">
        <v>334</v>
      </c>
      <c r="AH290" s="541" t="s">
        <v>1361</v>
      </c>
      <c r="AI290" s="541" t="s">
        <v>1228</v>
      </c>
      <c r="AJ290" s="541" t="s">
        <v>1422</v>
      </c>
      <c r="AK290" s="557" t="s">
        <v>1133</v>
      </c>
      <c r="AL290" s="444" t="s">
        <v>1228</v>
      </c>
      <c r="AM290" s="444" t="s">
        <v>1428</v>
      </c>
      <c r="AN290" s="436" t="s">
        <v>1261</v>
      </c>
      <c r="AO290" s="560">
        <v>1.83</v>
      </c>
      <c r="AP290" s="561">
        <f t="shared" si="48"/>
        <v>21960</v>
      </c>
      <c r="AQ290" s="561">
        <f t="shared" si="49"/>
        <v>170190</v>
      </c>
      <c r="AR290" s="562"/>
      <c r="AS290" s="553"/>
      <c r="AT290" s="440" t="s">
        <v>1313</v>
      </c>
      <c r="AU290" s="564"/>
      <c r="AV290" s="564">
        <f t="shared" si="50"/>
        <v>-12000</v>
      </c>
      <c r="AW290" s="617"/>
      <c r="AX290" s="578"/>
      <c r="AY290" s="434" t="s">
        <v>1262</v>
      </c>
      <c r="AZ290" s="440" t="s">
        <v>1263</v>
      </c>
      <c r="BA290" s="553"/>
      <c r="BB290" s="434" t="str">
        <f t="shared" si="51"/>
        <v>Character Options</v>
      </c>
      <c r="BC290" s="434" t="str">
        <f t="shared" si="52"/>
        <v>英国</v>
      </c>
    </row>
    <row r="291" s="496" customFormat="1" customHeight="1" spans="1:55">
      <c r="A291" s="536">
        <v>46195</v>
      </c>
      <c r="B291" s="536" t="str">
        <f ca="1" t="shared" si="46"/>
        <v/>
      </c>
      <c r="C291" s="568" t="str">
        <f>VLOOKUP(H291,名称!A:E,4,0)</f>
        <v>三代</v>
      </c>
      <c r="D291" s="408" t="s">
        <v>1429</v>
      </c>
      <c r="E291" s="408" t="s">
        <v>1224</v>
      </c>
      <c r="F291" s="408" t="s">
        <v>985</v>
      </c>
      <c r="G291" s="408" t="s">
        <v>986</v>
      </c>
      <c r="H291" s="408" t="s">
        <v>96</v>
      </c>
      <c r="I291" s="346"/>
      <c r="J291" s="589">
        <v>3000</v>
      </c>
      <c r="K291" s="629">
        <f>VLOOKUP(H291,名称!A:C,2,0)</f>
        <v>5</v>
      </c>
      <c r="L291" s="599">
        <f t="shared" si="54"/>
        <v>15000</v>
      </c>
      <c r="M291" s="568">
        <f>VLOOKUP(H291,名称!A:E,3,0)</f>
        <v>12</v>
      </c>
      <c r="N291" s="599">
        <f t="shared" si="47"/>
        <v>250</v>
      </c>
      <c r="O291" s="587">
        <v>46254</v>
      </c>
      <c r="P291" s="536">
        <v>46254</v>
      </c>
      <c r="Q291" s="536">
        <v>46244</v>
      </c>
      <c r="R291" s="404" t="s">
        <v>1241</v>
      </c>
      <c r="S291" s="536">
        <v>46261</v>
      </c>
      <c r="T291" s="404" t="s">
        <v>1291</v>
      </c>
      <c r="U291" s="568"/>
      <c r="V291" s="404" t="s">
        <v>1283</v>
      </c>
      <c r="W291" s="348" t="str">
        <f>IFERROR(VLOOKUP(H291,名称!A:F,6,0),"")</f>
        <v>湖南</v>
      </c>
      <c r="X291" s="415" t="s">
        <v>1133</v>
      </c>
      <c r="Y291" s="415" t="s">
        <v>1133</v>
      </c>
      <c r="Z291" s="569">
        <v>46198</v>
      </c>
      <c r="AA291" s="570">
        <v>46198</v>
      </c>
      <c r="AB291" s="569">
        <v>46203</v>
      </c>
      <c r="AC291" s="568"/>
      <c r="AD291" s="568"/>
      <c r="AE291" s="588" t="s">
        <v>270</v>
      </c>
      <c r="AF291" s="568"/>
      <c r="AG291" s="568" t="s">
        <v>270</v>
      </c>
      <c r="AH291" s="568"/>
      <c r="AI291" s="568"/>
      <c r="AJ291" s="568"/>
      <c r="AK291" s="415" t="s">
        <v>270</v>
      </c>
      <c r="AL291" s="568"/>
      <c r="AM291" s="415" t="s">
        <v>1292</v>
      </c>
      <c r="AN291" s="588"/>
      <c r="AO291" s="531">
        <v>0.59</v>
      </c>
      <c r="AP291" s="532">
        <f t="shared" si="48"/>
        <v>1770</v>
      </c>
      <c r="AQ291" s="532">
        <f t="shared" si="49"/>
        <v>13717.5</v>
      </c>
      <c r="AR291" s="533"/>
      <c r="AS291" s="527"/>
      <c r="AT291" s="403" t="s">
        <v>1220</v>
      </c>
      <c r="AU291" s="535">
        <f>2952+48</f>
        <v>3000</v>
      </c>
      <c r="AV291" s="535">
        <f t="shared" si="50"/>
        <v>0</v>
      </c>
      <c r="AW291" s="605"/>
      <c r="AX291" s="413" t="s">
        <v>1280</v>
      </c>
      <c r="AY291" s="403" t="s">
        <v>1255</v>
      </c>
      <c r="AZ291" s="536" t="s">
        <v>1256</v>
      </c>
      <c r="BA291" s="527"/>
      <c r="BB291" s="403" t="str">
        <f t="shared" si="51"/>
        <v>JAZWARES - MEIJER INC. DOM</v>
      </c>
      <c r="BC291" s="403" t="str">
        <f t="shared" si="52"/>
        <v>美国</v>
      </c>
    </row>
    <row r="292" s="495" customFormat="1" customHeight="1" spans="1:55">
      <c r="A292" s="538">
        <v>46196</v>
      </c>
      <c r="B292" s="549" t="str">
        <f ca="1" t="shared" si="46"/>
        <v/>
      </c>
      <c r="C292" s="541" t="str">
        <f>VLOOKUP(H292,名称!A:E,4,0)</f>
        <v>三代</v>
      </c>
      <c r="D292" s="619" t="s">
        <v>1430</v>
      </c>
      <c r="E292" s="591" t="s">
        <v>1431</v>
      </c>
      <c r="F292" s="619" t="s">
        <v>987</v>
      </c>
      <c r="G292" s="619" t="s">
        <v>988</v>
      </c>
      <c r="H292" s="591" t="s">
        <v>191</v>
      </c>
      <c r="I292" s="118"/>
      <c r="J292" s="592">
        <v>2940</v>
      </c>
      <c r="K292" s="95">
        <f>VLOOKUP(H292,名称!A:C,2,0)</f>
        <v>7</v>
      </c>
      <c r="L292" s="96">
        <f t="shared" si="54"/>
        <v>20580</v>
      </c>
      <c r="M292" s="541">
        <f>VLOOKUP(H292,名称!A:E,3,0)</f>
        <v>12</v>
      </c>
      <c r="N292" s="586">
        <f t="shared" si="47"/>
        <v>245</v>
      </c>
      <c r="O292" s="590">
        <v>46260</v>
      </c>
      <c r="P292" s="590">
        <v>46260</v>
      </c>
      <c r="Q292" s="549">
        <v>46260</v>
      </c>
      <c r="R292" s="539"/>
      <c r="S292" s="420" t="s">
        <v>1133</v>
      </c>
      <c r="T292" s="539"/>
      <c r="U292" s="431"/>
      <c r="V292" s="539" t="s">
        <v>1432</v>
      </c>
      <c r="W292" s="518" t="str">
        <f>IFERROR(VLOOKUP(H292,名称!A:F,6,0),"")</f>
        <v>湖南</v>
      </c>
      <c r="X292" s="541" t="s">
        <v>1248</v>
      </c>
      <c r="Y292" s="478">
        <v>46203</v>
      </c>
      <c r="Z292" s="431" t="s">
        <v>1433</v>
      </c>
      <c r="AA292" s="431" t="s">
        <v>1433</v>
      </c>
      <c r="AB292" s="431" t="s">
        <v>1433</v>
      </c>
      <c r="AC292" s="541" t="s">
        <v>1284</v>
      </c>
      <c r="AD292" s="586" t="s">
        <v>1228</v>
      </c>
      <c r="AE292" s="591" t="s">
        <v>510</v>
      </c>
      <c r="AF292" s="541" t="s">
        <v>1228</v>
      </c>
      <c r="AG292" s="541" t="s">
        <v>510</v>
      </c>
      <c r="AH292" s="541" t="s">
        <v>1307</v>
      </c>
      <c r="AI292" s="541" t="s">
        <v>1228</v>
      </c>
      <c r="AJ292" s="431" t="s">
        <v>1133</v>
      </c>
      <c r="AK292" s="431" t="s">
        <v>1133</v>
      </c>
      <c r="AL292" s="541"/>
      <c r="AM292" s="431" t="s">
        <v>1293</v>
      </c>
      <c r="AN292" s="619" t="s">
        <v>1434</v>
      </c>
      <c r="AO292" s="544">
        <v>0.77</v>
      </c>
      <c r="AP292" s="545">
        <f t="shared" si="48"/>
        <v>2263.8</v>
      </c>
      <c r="AQ292" s="545">
        <f t="shared" si="49"/>
        <v>17544.45</v>
      </c>
      <c r="AR292" s="546"/>
      <c r="AS292" s="538"/>
      <c r="AT292" s="455" t="s">
        <v>1220</v>
      </c>
      <c r="AU292" s="548"/>
      <c r="AV292" s="548">
        <f t="shared" si="50"/>
        <v>-2940</v>
      </c>
      <c r="AW292" s="606"/>
      <c r="AX292" s="420" t="s">
        <v>1280</v>
      </c>
      <c r="AY292" s="455" t="s">
        <v>1269</v>
      </c>
      <c r="AZ292" s="549" t="s">
        <v>1256</v>
      </c>
      <c r="BA292" s="538"/>
      <c r="BB292" s="455" t="str">
        <f t="shared" si="51"/>
        <v>Grasper Global Private Limited</v>
      </c>
      <c r="BC292" s="455" t="str">
        <f t="shared" si="52"/>
        <v>佛山市</v>
      </c>
    </row>
    <row r="293" s="495" customFormat="1" customHeight="1" spans="1:55">
      <c r="A293" s="549">
        <v>46196</v>
      </c>
      <c r="B293" s="549" t="str">
        <f ca="1" t="shared" si="46"/>
        <v/>
      </c>
      <c r="C293" s="541" t="str">
        <f>VLOOKUP(H293,名称!A:E,4,0)</f>
        <v>三代</v>
      </c>
      <c r="D293" s="431" t="s">
        <v>1430</v>
      </c>
      <c r="E293" s="541" t="s">
        <v>1431</v>
      </c>
      <c r="F293" s="431" t="s">
        <v>987</v>
      </c>
      <c r="G293" s="431" t="s">
        <v>988</v>
      </c>
      <c r="H293" s="541" t="s">
        <v>192</v>
      </c>
      <c r="I293" s="129"/>
      <c r="J293" s="586">
        <v>1032</v>
      </c>
      <c r="K293" s="95">
        <f>VLOOKUP(H293,名称!A:C,2,0)</f>
        <v>7</v>
      </c>
      <c r="L293" s="96">
        <f t="shared" si="54"/>
        <v>7224</v>
      </c>
      <c r="M293" s="541">
        <f>VLOOKUP(H293,名称!A:E,3,0)</f>
        <v>12</v>
      </c>
      <c r="N293" s="586">
        <f t="shared" si="47"/>
        <v>86</v>
      </c>
      <c r="O293" s="549">
        <v>46260</v>
      </c>
      <c r="P293" s="549">
        <v>46260</v>
      </c>
      <c r="Q293" s="549">
        <v>46260</v>
      </c>
      <c r="R293" s="541"/>
      <c r="S293" s="420" t="s">
        <v>1133</v>
      </c>
      <c r="T293" s="541"/>
      <c r="U293" s="431"/>
      <c r="V293" s="541" t="s">
        <v>1435</v>
      </c>
      <c r="W293" s="518" t="str">
        <f>IFERROR(VLOOKUP(H293,名称!A:F,6,0),"")</f>
        <v>湖南</v>
      </c>
      <c r="X293" s="541" t="s">
        <v>1248</v>
      </c>
      <c r="Y293" s="478">
        <v>46203</v>
      </c>
      <c r="Z293" s="431" t="s">
        <v>1433</v>
      </c>
      <c r="AA293" s="431" t="s">
        <v>1433</v>
      </c>
      <c r="AB293" s="431" t="s">
        <v>1433</v>
      </c>
      <c r="AC293" s="541" t="s">
        <v>1284</v>
      </c>
      <c r="AD293" s="586" t="s">
        <v>1228</v>
      </c>
      <c r="AE293" s="541" t="s">
        <v>510</v>
      </c>
      <c r="AF293" s="541" t="s">
        <v>1228</v>
      </c>
      <c r="AG293" s="541" t="s">
        <v>510</v>
      </c>
      <c r="AH293" s="541" t="s">
        <v>1307</v>
      </c>
      <c r="AI293" s="541" t="s">
        <v>1228</v>
      </c>
      <c r="AJ293" s="431" t="s">
        <v>1133</v>
      </c>
      <c r="AK293" s="431" t="s">
        <v>1133</v>
      </c>
      <c r="AL293" s="541"/>
      <c r="AM293" s="431" t="s">
        <v>1293</v>
      </c>
      <c r="AN293" s="431" t="s">
        <v>1434</v>
      </c>
      <c r="AO293" s="624">
        <v>0.77</v>
      </c>
      <c r="AP293" s="625">
        <f t="shared" si="48"/>
        <v>794.64</v>
      </c>
      <c r="AQ293" s="625">
        <f t="shared" si="49"/>
        <v>6158.46</v>
      </c>
      <c r="AR293" s="626"/>
      <c r="AS293" s="549"/>
      <c r="AT293" s="420" t="s">
        <v>1220</v>
      </c>
      <c r="AU293" s="548"/>
      <c r="AV293" s="548">
        <f t="shared" si="50"/>
        <v>-1032</v>
      </c>
      <c r="AW293" s="627"/>
      <c r="AX293" s="420" t="s">
        <v>1280</v>
      </c>
      <c r="AY293" s="420" t="s">
        <v>1269</v>
      </c>
      <c r="AZ293" s="549" t="s">
        <v>1256</v>
      </c>
      <c r="BA293" s="549"/>
      <c r="BB293" s="455" t="str">
        <f t="shared" si="51"/>
        <v>Grasper Global Private Limited</v>
      </c>
      <c r="BC293" s="455" t="str">
        <f t="shared" si="52"/>
        <v>佛山市</v>
      </c>
    </row>
    <row r="294" s="495" customFormat="1" customHeight="1" spans="1:55">
      <c r="A294" s="549">
        <v>46196</v>
      </c>
      <c r="B294" s="549" t="str">
        <f ca="1" t="shared" si="46"/>
        <v/>
      </c>
      <c r="C294" s="541" t="str">
        <f>VLOOKUP(H294,名称!A:E,4,0)</f>
        <v>三代</v>
      </c>
      <c r="D294" s="431" t="s">
        <v>1430</v>
      </c>
      <c r="E294" s="541" t="s">
        <v>1431</v>
      </c>
      <c r="F294" s="431" t="s">
        <v>987</v>
      </c>
      <c r="G294" s="431" t="s">
        <v>988</v>
      </c>
      <c r="H294" s="541" t="s">
        <v>193</v>
      </c>
      <c r="I294" s="129"/>
      <c r="J294" s="586">
        <v>3000</v>
      </c>
      <c r="K294" s="95">
        <f>VLOOKUP(H294,名称!A:C,2,0)</f>
        <v>7</v>
      </c>
      <c r="L294" s="96">
        <f t="shared" si="54"/>
        <v>21000</v>
      </c>
      <c r="M294" s="541">
        <f>VLOOKUP(H294,名称!A:E,3,0)</f>
        <v>12</v>
      </c>
      <c r="N294" s="586">
        <f t="shared" si="47"/>
        <v>250</v>
      </c>
      <c r="O294" s="549">
        <v>46260</v>
      </c>
      <c r="P294" s="549">
        <v>46260</v>
      </c>
      <c r="Q294" s="549">
        <v>46260</v>
      </c>
      <c r="R294" s="541"/>
      <c r="S294" s="420" t="s">
        <v>1133</v>
      </c>
      <c r="T294" s="541"/>
      <c r="U294" s="431"/>
      <c r="V294" s="541" t="s">
        <v>1436</v>
      </c>
      <c r="W294" s="518" t="str">
        <f>IFERROR(VLOOKUP(H294,名称!A:F,6,0),"")</f>
        <v>湖南</v>
      </c>
      <c r="X294" s="541" t="s">
        <v>1248</v>
      </c>
      <c r="Y294" s="478">
        <v>46203</v>
      </c>
      <c r="Z294" s="431" t="s">
        <v>1433</v>
      </c>
      <c r="AA294" s="431" t="s">
        <v>1433</v>
      </c>
      <c r="AB294" s="431" t="s">
        <v>1433</v>
      </c>
      <c r="AC294" s="541" t="s">
        <v>1284</v>
      </c>
      <c r="AD294" s="586" t="s">
        <v>1228</v>
      </c>
      <c r="AE294" s="541" t="s">
        <v>510</v>
      </c>
      <c r="AF294" s="541" t="s">
        <v>1228</v>
      </c>
      <c r="AG294" s="541" t="s">
        <v>510</v>
      </c>
      <c r="AH294" s="541" t="s">
        <v>1307</v>
      </c>
      <c r="AI294" s="541" t="s">
        <v>1228</v>
      </c>
      <c r="AJ294" s="431" t="s">
        <v>1133</v>
      </c>
      <c r="AK294" s="431" t="s">
        <v>1133</v>
      </c>
      <c r="AL294" s="541"/>
      <c r="AM294" s="431" t="s">
        <v>1293</v>
      </c>
      <c r="AN294" s="431" t="s">
        <v>1434</v>
      </c>
      <c r="AO294" s="624">
        <v>0.77</v>
      </c>
      <c r="AP294" s="625">
        <f t="shared" si="48"/>
        <v>2310</v>
      </c>
      <c r="AQ294" s="625">
        <f t="shared" si="49"/>
        <v>17902.5</v>
      </c>
      <c r="AR294" s="626"/>
      <c r="AS294" s="549"/>
      <c r="AT294" s="420" t="s">
        <v>1220</v>
      </c>
      <c r="AU294" s="548"/>
      <c r="AV294" s="548">
        <f t="shared" si="50"/>
        <v>-3000</v>
      </c>
      <c r="AW294" s="627"/>
      <c r="AX294" s="420" t="s">
        <v>1280</v>
      </c>
      <c r="AY294" s="420" t="s">
        <v>1269</v>
      </c>
      <c r="AZ294" s="549" t="s">
        <v>1256</v>
      </c>
      <c r="BA294" s="549"/>
      <c r="BB294" s="455" t="str">
        <f t="shared" si="51"/>
        <v>Grasper Global Private Limited</v>
      </c>
      <c r="BC294" s="455" t="str">
        <f t="shared" si="52"/>
        <v>佛山市</v>
      </c>
    </row>
    <row r="295" s="495" customFormat="1" customHeight="1" spans="1:55">
      <c r="A295" s="549">
        <v>46196</v>
      </c>
      <c r="B295" s="549" t="str">
        <f ca="1" t="shared" si="46"/>
        <v/>
      </c>
      <c r="C295" s="541" t="str">
        <f>VLOOKUP(H295,名称!A:E,4,0)</f>
        <v>三代</v>
      </c>
      <c r="D295" s="431" t="s">
        <v>1430</v>
      </c>
      <c r="E295" s="541" t="s">
        <v>1431</v>
      </c>
      <c r="F295" s="431" t="s">
        <v>987</v>
      </c>
      <c r="G295" s="431" t="s">
        <v>988</v>
      </c>
      <c r="H295" s="541" t="s">
        <v>194</v>
      </c>
      <c r="I295" s="129"/>
      <c r="J295" s="586">
        <v>1380</v>
      </c>
      <c r="K295" s="95">
        <f>VLOOKUP(H295,名称!A:C,2,0)</f>
        <v>7</v>
      </c>
      <c r="L295" s="96">
        <f t="shared" si="54"/>
        <v>9660</v>
      </c>
      <c r="M295" s="541">
        <f>VLOOKUP(H295,名称!A:E,3,0)</f>
        <v>12</v>
      </c>
      <c r="N295" s="586">
        <f t="shared" si="47"/>
        <v>115</v>
      </c>
      <c r="O295" s="549">
        <v>46260</v>
      </c>
      <c r="P295" s="549">
        <v>46260</v>
      </c>
      <c r="Q295" s="549">
        <v>46260</v>
      </c>
      <c r="R295" s="541"/>
      <c r="S295" s="420" t="s">
        <v>1133</v>
      </c>
      <c r="T295" s="541"/>
      <c r="U295" s="431"/>
      <c r="V295" s="541" t="s">
        <v>1437</v>
      </c>
      <c r="W295" s="518" t="str">
        <f>IFERROR(VLOOKUP(H295,名称!A:F,6,0),"")</f>
        <v>湖南</v>
      </c>
      <c r="X295" s="541" t="s">
        <v>1248</v>
      </c>
      <c r="Y295" s="478">
        <v>46203</v>
      </c>
      <c r="Z295" s="431" t="s">
        <v>1433</v>
      </c>
      <c r="AA295" s="431" t="s">
        <v>1433</v>
      </c>
      <c r="AB295" s="431" t="s">
        <v>1433</v>
      </c>
      <c r="AC295" s="541" t="s">
        <v>1284</v>
      </c>
      <c r="AD295" s="586" t="s">
        <v>1228</v>
      </c>
      <c r="AE295" s="541" t="s">
        <v>510</v>
      </c>
      <c r="AF295" s="541" t="s">
        <v>1228</v>
      </c>
      <c r="AG295" s="541" t="s">
        <v>510</v>
      </c>
      <c r="AH295" s="541" t="s">
        <v>1307</v>
      </c>
      <c r="AI295" s="541" t="s">
        <v>1228</v>
      </c>
      <c r="AJ295" s="431" t="s">
        <v>1133</v>
      </c>
      <c r="AK295" s="431" t="s">
        <v>1133</v>
      </c>
      <c r="AL295" s="541"/>
      <c r="AM295" s="431" t="s">
        <v>1293</v>
      </c>
      <c r="AN295" s="431" t="s">
        <v>1434</v>
      </c>
      <c r="AO295" s="624">
        <v>0.77</v>
      </c>
      <c r="AP295" s="625">
        <f t="shared" si="48"/>
        <v>1062.6</v>
      </c>
      <c r="AQ295" s="625">
        <f t="shared" si="49"/>
        <v>8235.15</v>
      </c>
      <c r="AR295" s="626"/>
      <c r="AS295" s="549"/>
      <c r="AT295" s="420" t="s">
        <v>1220</v>
      </c>
      <c r="AU295" s="548"/>
      <c r="AV295" s="548">
        <f t="shared" si="50"/>
        <v>-1380</v>
      </c>
      <c r="AW295" s="627"/>
      <c r="AX295" s="420" t="s">
        <v>1280</v>
      </c>
      <c r="AY295" s="420" t="s">
        <v>1269</v>
      </c>
      <c r="AZ295" s="549" t="s">
        <v>1256</v>
      </c>
      <c r="BA295" s="549"/>
      <c r="BB295" s="455" t="str">
        <f t="shared" si="51"/>
        <v>Grasper Global Private Limited</v>
      </c>
      <c r="BC295" s="455" t="str">
        <f t="shared" si="52"/>
        <v>佛山市</v>
      </c>
    </row>
    <row r="296" s="495" customFormat="1" customHeight="1" spans="1:55">
      <c r="A296" s="549">
        <v>46196</v>
      </c>
      <c r="B296" s="549" t="str">
        <f ca="1" t="shared" si="46"/>
        <v/>
      </c>
      <c r="C296" s="541" t="str">
        <f>VLOOKUP(H296,名称!A:E,4,0)</f>
        <v>三代</v>
      </c>
      <c r="D296" s="431" t="s">
        <v>1430</v>
      </c>
      <c r="E296" s="541" t="s">
        <v>1431</v>
      </c>
      <c r="F296" s="431" t="s">
        <v>987</v>
      </c>
      <c r="G296" s="431" t="s">
        <v>988</v>
      </c>
      <c r="H296" s="541" t="s">
        <v>195</v>
      </c>
      <c r="I296" s="129"/>
      <c r="J296" s="586">
        <v>3060</v>
      </c>
      <c r="K296" s="95">
        <f>VLOOKUP(H296,名称!A:C,2,0)</f>
        <v>7</v>
      </c>
      <c r="L296" s="96">
        <f t="shared" si="54"/>
        <v>21420</v>
      </c>
      <c r="M296" s="541">
        <f>VLOOKUP(H296,名称!A:E,3,0)</f>
        <v>12</v>
      </c>
      <c r="N296" s="586">
        <f t="shared" si="47"/>
        <v>255</v>
      </c>
      <c r="O296" s="549">
        <v>46260</v>
      </c>
      <c r="P296" s="549">
        <v>46260</v>
      </c>
      <c r="Q296" s="549">
        <v>46260</v>
      </c>
      <c r="R296" s="541"/>
      <c r="S296" s="420" t="s">
        <v>1133</v>
      </c>
      <c r="T296" s="541"/>
      <c r="U296" s="431"/>
      <c r="V296" s="541" t="s">
        <v>1438</v>
      </c>
      <c r="W296" s="518" t="str">
        <f>IFERROR(VLOOKUP(H296,名称!A:F,6,0),"")</f>
        <v>湖南</v>
      </c>
      <c r="X296" s="541" t="s">
        <v>1248</v>
      </c>
      <c r="Y296" s="478">
        <v>46203</v>
      </c>
      <c r="Z296" s="431" t="s">
        <v>1433</v>
      </c>
      <c r="AA296" s="431" t="s">
        <v>1433</v>
      </c>
      <c r="AB296" s="431" t="s">
        <v>1433</v>
      </c>
      <c r="AC296" s="541" t="s">
        <v>1284</v>
      </c>
      <c r="AD296" s="586" t="s">
        <v>1228</v>
      </c>
      <c r="AE296" s="541" t="s">
        <v>510</v>
      </c>
      <c r="AF296" s="541" t="s">
        <v>1228</v>
      </c>
      <c r="AG296" s="541" t="s">
        <v>510</v>
      </c>
      <c r="AH296" s="541" t="s">
        <v>1307</v>
      </c>
      <c r="AI296" s="541" t="s">
        <v>1228</v>
      </c>
      <c r="AJ296" s="431" t="s">
        <v>1133</v>
      </c>
      <c r="AK296" s="431" t="s">
        <v>1133</v>
      </c>
      <c r="AL296" s="541"/>
      <c r="AM296" s="431" t="s">
        <v>1293</v>
      </c>
      <c r="AN296" s="431" t="s">
        <v>1434</v>
      </c>
      <c r="AO296" s="624">
        <v>0.77</v>
      </c>
      <c r="AP296" s="625">
        <f t="shared" si="48"/>
        <v>2356.2</v>
      </c>
      <c r="AQ296" s="625">
        <f t="shared" si="49"/>
        <v>18260.55</v>
      </c>
      <c r="AR296" s="626"/>
      <c r="AS296" s="549"/>
      <c r="AT296" s="420" t="s">
        <v>1220</v>
      </c>
      <c r="AU296" s="548"/>
      <c r="AV296" s="548">
        <f t="shared" si="50"/>
        <v>-3060</v>
      </c>
      <c r="AW296" s="627"/>
      <c r="AX296" s="420" t="s">
        <v>1280</v>
      </c>
      <c r="AY296" s="420" t="s">
        <v>1269</v>
      </c>
      <c r="AZ296" s="549" t="s">
        <v>1256</v>
      </c>
      <c r="BA296" s="549"/>
      <c r="BB296" s="455" t="str">
        <f t="shared" si="51"/>
        <v>Grasper Global Private Limited</v>
      </c>
      <c r="BC296" s="455" t="str">
        <f t="shared" si="52"/>
        <v>佛山市</v>
      </c>
    </row>
    <row r="297" s="495" customFormat="1" customHeight="1" spans="1:55">
      <c r="A297" s="549">
        <v>46196</v>
      </c>
      <c r="B297" s="549" t="str">
        <f ca="1" t="shared" si="46"/>
        <v/>
      </c>
      <c r="C297" s="541" t="str">
        <f>VLOOKUP(H297,名称!A:E,4,0)</f>
        <v>三代</v>
      </c>
      <c r="D297" s="431" t="s">
        <v>1430</v>
      </c>
      <c r="E297" s="541" t="s">
        <v>1431</v>
      </c>
      <c r="F297" s="431" t="s">
        <v>987</v>
      </c>
      <c r="G297" s="431" t="s">
        <v>988</v>
      </c>
      <c r="H297" s="541" t="s">
        <v>196</v>
      </c>
      <c r="I297" s="129"/>
      <c r="J297" s="586">
        <v>2904</v>
      </c>
      <c r="K297" s="95">
        <f>VLOOKUP(H297,名称!A:C,2,0)</f>
        <v>7</v>
      </c>
      <c r="L297" s="96">
        <f t="shared" si="54"/>
        <v>20328</v>
      </c>
      <c r="M297" s="541">
        <f>VLOOKUP(H297,名称!A:E,3,0)</f>
        <v>12</v>
      </c>
      <c r="N297" s="586">
        <f t="shared" si="47"/>
        <v>242</v>
      </c>
      <c r="O297" s="549">
        <v>46260</v>
      </c>
      <c r="P297" s="549">
        <v>46260</v>
      </c>
      <c r="Q297" s="549">
        <v>46260</v>
      </c>
      <c r="R297" s="541"/>
      <c r="S297" s="420" t="s">
        <v>1133</v>
      </c>
      <c r="T297" s="541"/>
      <c r="U297" s="431"/>
      <c r="V297" s="541" t="s">
        <v>1439</v>
      </c>
      <c r="W297" s="518" t="str">
        <f>IFERROR(VLOOKUP(H297,名称!A:F,6,0),"")</f>
        <v>湖南</v>
      </c>
      <c r="X297" s="541" t="s">
        <v>1248</v>
      </c>
      <c r="Y297" s="478">
        <v>46203</v>
      </c>
      <c r="Z297" s="431" t="s">
        <v>1433</v>
      </c>
      <c r="AA297" s="431" t="s">
        <v>1433</v>
      </c>
      <c r="AB297" s="431" t="s">
        <v>1433</v>
      </c>
      <c r="AC297" s="541" t="s">
        <v>1284</v>
      </c>
      <c r="AD297" s="586" t="s">
        <v>1228</v>
      </c>
      <c r="AE297" s="541" t="s">
        <v>510</v>
      </c>
      <c r="AF297" s="541" t="s">
        <v>1228</v>
      </c>
      <c r="AG297" s="541" t="s">
        <v>510</v>
      </c>
      <c r="AH297" s="541" t="s">
        <v>1307</v>
      </c>
      <c r="AI297" s="541" t="s">
        <v>1228</v>
      </c>
      <c r="AJ297" s="431" t="s">
        <v>1133</v>
      </c>
      <c r="AK297" s="431" t="s">
        <v>1133</v>
      </c>
      <c r="AL297" s="541"/>
      <c r="AM297" s="431" t="s">
        <v>1293</v>
      </c>
      <c r="AN297" s="431" t="s">
        <v>1434</v>
      </c>
      <c r="AO297" s="624">
        <v>0.77</v>
      </c>
      <c r="AP297" s="625">
        <f t="shared" si="48"/>
        <v>2236.08</v>
      </c>
      <c r="AQ297" s="625">
        <f t="shared" si="49"/>
        <v>17329.62</v>
      </c>
      <c r="AR297" s="626"/>
      <c r="AS297" s="549"/>
      <c r="AT297" s="420" t="s">
        <v>1220</v>
      </c>
      <c r="AU297" s="548"/>
      <c r="AV297" s="548">
        <f t="shared" si="50"/>
        <v>-2904</v>
      </c>
      <c r="AW297" s="627"/>
      <c r="AX297" s="420" t="s">
        <v>1280</v>
      </c>
      <c r="AY297" s="420" t="s">
        <v>1269</v>
      </c>
      <c r="AZ297" s="549" t="s">
        <v>1256</v>
      </c>
      <c r="BA297" s="549"/>
      <c r="BB297" s="455" t="str">
        <f t="shared" si="51"/>
        <v>Grasper Global Private Limited</v>
      </c>
      <c r="BC297" s="455" t="str">
        <f t="shared" si="52"/>
        <v>佛山市</v>
      </c>
    </row>
    <row r="298" s="495" customFormat="1" customHeight="1" spans="1:55">
      <c r="A298" s="549">
        <v>46196</v>
      </c>
      <c r="B298" s="549" t="str">
        <f ca="1" t="shared" si="46"/>
        <v/>
      </c>
      <c r="C298" s="541" t="str">
        <f>VLOOKUP(H298,名称!A:E,4,0)</f>
        <v>三代</v>
      </c>
      <c r="D298" s="431" t="s">
        <v>1430</v>
      </c>
      <c r="E298" s="541" t="s">
        <v>1431</v>
      </c>
      <c r="F298" s="431" t="s">
        <v>987</v>
      </c>
      <c r="G298" s="431" t="s">
        <v>988</v>
      </c>
      <c r="H298" s="431" t="s">
        <v>66</v>
      </c>
      <c r="I298" s="129"/>
      <c r="J298" s="586">
        <v>3492</v>
      </c>
      <c r="K298" s="95">
        <f>VLOOKUP(H298,名称!A:C,2,0)</f>
        <v>12</v>
      </c>
      <c r="L298" s="96">
        <f t="shared" si="54"/>
        <v>41904</v>
      </c>
      <c r="M298" s="541">
        <f>VLOOKUP(H298,名称!A:E,3,0)</f>
        <v>6</v>
      </c>
      <c r="N298" s="586">
        <f t="shared" si="47"/>
        <v>582</v>
      </c>
      <c r="O298" s="549">
        <v>46260</v>
      </c>
      <c r="P298" s="549">
        <v>46260</v>
      </c>
      <c r="Q298" s="549">
        <v>46260</v>
      </c>
      <c r="R298" s="541"/>
      <c r="S298" s="420" t="s">
        <v>1133</v>
      </c>
      <c r="T298" s="541"/>
      <c r="U298" s="431"/>
      <c r="V298" s="431"/>
      <c r="W298" s="518" t="str">
        <f>IFERROR(VLOOKUP(H298,名称!A:F,6,0),"")</f>
        <v>湖南</v>
      </c>
      <c r="X298" s="541" t="s">
        <v>1248</v>
      </c>
      <c r="Y298" s="478">
        <v>46203</v>
      </c>
      <c r="Z298" s="431" t="s">
        <v>1433</v>
      </c>
      <c r="AA298" s="431" t="s">
        <v>1433</v>
      </c>
      <c r="AB298" s="431" t="s">
        <v>1433</v>
      </c>
      <c r="AC298" s="431" t="s">
        <v>1318</v>
      </c>
      <c r="AD298" s="586" t="s">
        <v>1228</v>
      </c>
      <c r="AE298" s="541" t="s">
        <v>510</v>
      </c>
      <c r="AF298" s="541" t="s">
        <v>1228</v>
      </c>
      <c r="AG298" s="541" t="s">
        <v>510</v>
      </c>
      <c r="AH298" s="431" t="s">
        <v>1307</v>
      </c>
      <c r="AI298" s="541" t="s">
        <v>1228</v>
      </c>
      <c r="AJ298" s="431" t="s">
        <v>510</v>
      </c>
      <c r="AK298" s="431" t="s">
        <v>1133</v>
      </c>
      <c r="AL298" s="541"/>
      <c r="AM298" s="431" t="s">
        <v>1293</v>
      </c>
      <c r="AN298" s="431" t="s">
        <v>1434</v>
      </c>
      <c r="AO298" s="624">
        <v>2.02</v>
      </c>
      <c r="AP298" s="625">
        <f t="shared" si="48"/>
        <v>7053.84</v>
      </c>
      <c r="AQ298" s="625">
        <f t="shared" si="49"/>
        <v>54667.26</v>
      </c>
      <c r="AR298" s="626"/>
      <c r="AS298" s="549"/>
      <c r="AT298" s="420" t="s">
        <v>1220</v>
      </c>
      <c r="AU298" s="548"/>
      <c r="AV298" s="548">
        <f t="shared" si="50"/>
        <v>-3492</v>
      </c>
      <c r="AW298" s="627"/>
      <c r="AX298" s="420" t="s">
        <v>1280</v>
      </c>
      <c r="AY298" s="420" t="s">
        <v>1269</v>
      </c>
      <c r="AZ298" s="549" t="s">
        <v>1256</v>
      </c>
      <c r="BA298" s="549"/>
      <c r="BB298" s="455" t="str">
        <f t="shared" si="51"/>
        <v>Grasper Global Private Limited</v>
      </c>
      <c r="BC298" s="455" t="str">
        <f t="shared" si="52"/>
        <v>佛山市</v>
      </c>
    </row>
    <row r="299" s="495" customFormat="1" customHeight="1" spans="1:55">
      <c r="A299" s="549">
        <v>46196</v>
      </c>
      <c r="B299" s="549" t="str">
        <f ca="1" t="shared" si="46"/>
        <v/>
      </c>
      <c r="C299" s="541" t="str">
        <f>VLOOKUP(H299,名称!A:E,4,0)</f>
        <v>三代</v>
      </c>
      <c r="D299" s="431" t="s">
        <v>1430</v>
      </c>
      <c r="E299" s="541" t="s">
        <v>1431</v>
      </c>
      <c r="F299" s="431" t="s">
        <v>987</v>
      </c>
      <c r="G299" s="431" t="s">
        <v>988</v>
      </c>
      <c r="H299" s="431" t="s">
        <v>68</v>
      </c>
      <c r="I299" s="129"/>
      <c r="J299" s="586">
        <v>768</v>
      </c>
      <c r="K299" s="95">
        <f>VLOOKUP(H299,名称!A:C,2,0)</f>
        <v>32</v>
      </c>
      <c r="L299" s="96">
        <f t="shared" si="54"/>
        <v>24576</v>
      </c>
      <c r="M299" s="541">
        <f>VLOOKUP(H299,名称!A:E,3,0)</f>
        <v>4</v>
      </c>
      <c r="N299" s="586">
        <f t="shared" si="47"/>
        <v>192</v>
      </c>
      <c r="O299" s="549">
        <v>46260</v>
      </c>
      <c r="P299" s="549">
        <v>46260</v>
      </c>
      <c r="Q299" s="549">
        <v>46260</v>
      </c>
      <c r="R299" s="541"/>
      <c r="S299" s="420" t="s">
        <v>1133</v>
      </c>
      <c r="T299" s="541"/>
      <c r="U299" s="431"/>
      <c r="V299" s="431" t="s">
        <v>1440</v>
      </c>
      <c r="W299" s="518" t="str">
        <f>IFERROR(VLOOKUP(H299,名称!A:F,6,0),"")</f>
        <v>湖南</v>
      </c>
      <c r="X299" s="541" t="s">
        <v>1248</v>
      </c>
      <c r="Y299" s="478">
        <v>46203</v>
      </c>
      <c r="Z299" s="431" t="s">
        <v>1433</v>
      </c>
      <c r="AA299" s="431" t="s">
        <v>1433</v>
      </c>
      <c r="AB299" s="431" t="s">
        <v>1433</v>
      </c>
      <c r="AC299" s="431" t="s">
        <v>1133</v>
      </c>
      <c r="AD299" s="586" t="s">
        <v>1228</v>
      </c>
      <c r="AE299" s="541" t="s">
        <v>510</v>
      </c>
      <c r="AF299" s="541" t="s">
        <v>1228</v>
      </c>
      <c r="AG299" s="541" t="s">
        <v>510</v>
      </c>
      <c r="AH299" s="541" t="s">
        <v>1307</v>
      </c>
      <c r="AI299" s="541" t="s">
        <v>1228</v>
      </c>
      <c r="AJ299" s="431" t="s">
        <v>1133</v>
      </c>
      <c r="AK299" s="431" t="s">
        <v>1133</v>
      </c>
      <c r="AL299" s="541"/>
      <c r="AM299" s="431" t="s">
        <v>1293</v>
      </c>
      <c r="AN299" s="431" t="s">
        <v>1434</v>
      </c>
      <c r="AO299" s="624">
        <v>2.99</v>
      </c>
      <c r="AP299" s="625">
        <f t="shared" si="48"/>
        <v>2296.32</v>
      </c>
      <c r="AQ299" s="625">
        <f t="shared" si="49"/>
        <v>17796.48</v>
      </c>
      <c r="AR299" s="626"/>
      <c r="AS299" s="549"/>
      <c r="AT299" s="420" t="s">
        <v>1220</v>
      </c>
      <c r="AU299" s="548"/>
      <c r="AV299" s="548">
        <f t="shared" si="50"/>
        <v>-768</v>
      </c>
      <c r="AW299" s="627"/>
      <c r="AX299" s="420" t="s">
        <v>1280</v>
      </c>
      <c r="AY299" s="420" t="s">
        <v>1269</v>
      </c>
      <c r="AZ299" s="549" t="s">
        <v>1256</v>
      </c>
      <c r="BA299" s="549"/>
      <c r="BB299" s="455" t="str">
        <f t="shared" si="51"/>
        <v>Grasper Global Private Limited</v>
      </c>
      <c r="BC299" s="455" t="str">
        <f t="shared" si="52"/>
        <v>佛山市</v>
      </c>
    </row>
    <row r="300" s="495" customFormat="1" customHeight="1" spans="1:55">
      <c r="A300" s="549">
        <v>46196</v>
      </c>
      <c r="B300" s="549" t="str">
        <f ca="1" t="shared" si="46"/>
        <v/>
      </c>
      <c r="C300" s="541" t="str">
        <f>VLOOKUP(H300,名称!A:E,4,0)</f>
        <v>三代</v>
      </c>
      <c r="D300" s="431" t="s">
        <v>1430</v>
      </c>
      <c r="E300" s="541" t="s">
        <v>1431</v>
      </c>
      <c r="F300" s="431" t="s">
        <v>987</v>
      </c>
      <c r="G300" s="431" t="s">
        <v>988</v>
      </c>
      <c r="H300" s="541" t="s">
        <v>185</v>
      </c>
      <c r="I300" s="129"/>
      <c r="J300" s="586">
        <v>804</v>
      </c>
      <c r="K300" s="95">
        <f>VLOOKUP(H300,名称!A:C,2,0)</f>
        <v>12</v>
      </c>
      <c r="L300" s="96">
        <f t="shared" si="54"/>
        <v>9648</v>
      </c>
      <c r="M300" s="541">
        <f>VLOOKUP(H300,名称!A:E,3,0)</f>
        <v>6</v>
      </c>
      <c r="N300" s="586">
        <f t="shared" si="47"/>
        <v>134</v>
      </c>
      <c r="O300" s="549">
        <v>46260</v>
      </c>
      <c r="P300" s="549">
        <v>46260</v>
      </c>
      <c r="Q300" s="549">
        <v>46260</v>
      </c>
      <c r="R300" s="541"/>
      <c r="S300" s="420" t="s">
        <v>1133</v>
      </c>
      <c r="T300" s="541"/>
      <c r="U300" s="431"/>
      <c r="V300" s="541" t="s">
        <v>1432</v>
      </c>
      <c r="W300" s="518" t="str">
        <f>IFERROR(VLOOKUP(H300,名称!A:F,6,0),"")</f>
        <v>湖南</v>
      </c>
      <c r="X300" s="541" t="s">
        <v>1248</v>
      </c>
      <c r="Y300" s="478">
        <v>46203</v>
      </c>
      <c r="Z300" s="431" t="s">
        <v>1433</v>
      </c>
      <c r="AA300" s="431" t="s">
        <v>1433</v>
      </c>
      <c r="AB300" s="431" t="s">
        <v>1433</v>
      </c>
      <c r="AC300" s="541" t="s">
        <v>1284</v>
      </c>
      <c r="AD300" s="586" t="s">
        <v>1228</v>
      </c>
      <c r="AE300" s="541" t="s">
        <v>510</v>
      </c>
      <c r="AF300" s="541" t="s">
        <v>1228</v>
      </c>
      <c r="AG300" s="541" t="s">
        <v>510</v>
      </c>
      <c r="AH300" s="541" t="s">
        <v>1307</v>
      </c>
      <c r="AI300" s="541" t="s">
        <v>1228</v>
      </c>
      <c r="AJ300" s="431" t="s">
        <v>1133</v>
      </c>
      <c r="AK300" s="431" t="s">
        <v>1133</v>
      </c>
      <c r="AL300" s="541"/>
      <c r="AM300" s="431" t="s">
        <v>1293</v>
      </c>
      <c r="AN300" s="431" t="s">
        <v>1434</v>
      </c>
      <c r="AO300" s="624">
        <v>1.45</v>
      </c>
      <c r="AP300" s="625">
        <f t="shared" si="48"/>
        <v>1165.8</v>
      </c>
      <c r="AQ300" s="625">
        <f t="shared" si="49"/>
        <v>9034.95</v>
      </c>
      <c r="AR300" s="626"/>
      <c r="AS300" s="549"/>
      <c r="AT300" s="420" t="s">
        <v>1220</v>
      </c>
      <c r="AU300" s="548"/>
      <c r="AV300" s="548">
        <f t="shared" si="50"/>
        <v>-804</v>
      </c>
      <c r="AW300" s="627"/>
      <c r="AX300" s="431" t="s">
        <v>1280</v>
      </c>
      <c r="AY300" s="420" t="s">
        <v>1269</v>
      </c>
      <c r="AZ300" s="549" t="s">
        <v>1256</v>
      </c>
      <c r="BA300" s="549"/>
      <c r="BB300" s="455" t="str">
        <f t="shared" si="51"/>
        <v>Grasper Global Private Limited</v>
      </c>
      <c r="BC300" s="455" t="str">
        <f t="shared" si="52"/>
        <v>佛山市</v>
      </c>
    </row>
    <row r="301" s="495" customFormat="1" customHeight="1" spans="1:55">
      <c r="A301" s="549">
        <v>46196</v>
      </c>
      <c r="B301" s="549" t="str">
        <f ca="1" t="shared" si="46"/>
        <v/>
      </c>
      <c r="C301" s="541" t="str">
        <f>VLOOKUP(H301,名称!A:E,4,0)</f>
        <v>三代</v>
      </c>
      <c r="D301" s="431" t="s">
        <v>1430</v>
      </c>
      <c r="E301" s="541" t="s">
        <v>1431</v>
      </c>
      <c r="F301" s="431" t="s">
        <v>987</v>
      </c>
      <c r="G301" s="431" t="s">
        <v>988</v>
      </c>
      <c r="H301" s="541" t="s">
        <v>186</v>
      </c>
      <c r="I301" s="129"/>
      <c r="J301" s="586">
        <v>1350</v>
      </c>
      <c r="K301" s="95">
        <f>VLOOKUP(H301,名称!A:C,2,0)</f>
        <v>12</v>
      </c>
      <c r="L301" s="96">
        <f t="shared" si="54"/>
        <v>16200</v>
      </c>
      <c r="M301" s="541">
        <f>VLOOKUP(H301,名称!A:E,3,0)</f>
        <v>6</v>
      </c>
      <c r="N301" s="586">
        <f t="shared" si="47"/>
        <v>225</v>
      </c>
      <c r="O301" s="549">
        <v>46260</v>
      </c>
      <c r="P301" s="549">
        <v>46260</v>
      </c>
      <c r="Q301" s="549">
        <v>46260</v>
      </c>
      <c r="R301" s="541"/>
      <c r="S301" s="420" t="s">
        <v>1133</v>
      </c>
      <c r="T301" s="541"/>
      <c r="U301" s="431"/>
      <c r="V301" s="541" t="s">
        <v>1435</v>
      </c>
      <c r="W301" s="518" t="str">
        <f>IFERROR(VLOOKUP(H301,名称!A:F,6,0),"")</f>
        <v>湖南</v>
      </c>
      <c r="X301" s="541" t="s">
        <v>1248</v>
      </c>
      <c r="Y301" s="478">
        <v>46203</v>
      </c>
      <c r="Z301" s="431" t="s">
        <v>1433</v>
      </c>
      <c r="AA301" s="431" t="s">
        <v>1433</v>
      </c>
      <c r="AB301" s="431" t="s">
        <v>1433</v>
      </c>
      <c r="AC301" s="541" t="s">
        <v>1284</v>
      </c>
      <c r="AD301" s="586" t="s">
        <v>1228</v>
      </c>
      <c r="AE301" s="541" t="s">
        <v>510</v>
      </c>
      <c r="AF301" s="541" t="s">
        <v>1228</v>
      </c>
      <c r="AG301" s="541" t="s">
        <v>510</v>
      </c>
      <c r="AH301" s="541" t="s">
        <v>1307</v>
      </c>
      <c r="AI301" s="541" t="s">
        <v>1228</v>
      </c>
      <c r="AJ301" s="431" t="s">
        <v>1133</v>
      </c>
      <c r="AK301" s="431" t="s">
        <v>1133</v>
      </c>
      <c r="AL301" s="541"/>
      <c r="AM301" s="431" t="s">
        <v>1293</v>
      </c>
      <c r="AN301" s="431" t="s">
        <v>1434</v>
      </c>
      <c r="AO301" s="624">
        <v>1.45</v>
      </c>
      <c r="AP301" s="625">
        <f t="shared" si="48"/>
        <v>1957.5</v>
      </c>
      <c r="AQ301" s="625">
        <f t="shared" si="49"/>
        <v>15170.63</v>
      </c>
      <c r="AR301" s="626"/>
      <c r="AS301" s="549"/>
      <c r="AT301" s="420" t="s">
        <v>1220</v>
      </c>
      <c r="AU301" s="548"/>
      <c r="AV301" s="548">
        <f t="shared" si="50"/>
        <v>-1350</v>
      </c>
      <c r="AW301" s="627"/>
      <c r="AX301" s="431" t="s">
        <v>1280</v>
      </c>
      <c r="AY301" s="420" t="s">
        <v>1269</v>
      </c>
      <c r="AZ301" s="549" t="s">
        <v>1256</v>
      </c>
      <c r="BA301" s="549"/>
      <c r="BB301" s="455" t="str">
        <f t="shared" si="51"/>
        <v>Grasper Global Private Limited</v>
      </c>
      <c r="BC301" s="455" t="str">
        <f t="shared" si="52"/>
        <v>佛山市</v>
      </c>
    </row>
    <row r="302" s="495" customFormat="1" customHeight="1" spans="1:55">
      <c r="A302" s="549">
        <v>46196</v>
      </c>
      <c r="B302" s="549" t="str">
        <f ca="1" t="shared" si="46"/>
        <v/>
      </c>
      <c r="C302" s="541" t="str">
        <f>VLOOKUP(H302,名称!A:E,4,0)</f>
        <v>三代</v>
      </c>
      <c r="D302" s="431" t="s">
        <v>1430</v>
      </c>
      <c r="E302" s="541" t="s">
        <v>1431</v>
      </c>
      <c r="F302" s="431" t="s">
        <v>987</v>
      </c>
      <c r="G302" s="431" t="s">
        <v>988</v>
      </c>
      <c r="H302" s="541" t="s">
        <v>187</v>
      </c>
      <c r="I302" s="129"/>
      <c r="J302" s="586">
        <v>2502</v>
      </c>
      <c r="K302" s="95">
        <f>VLOOKUP(H302,名称!A:C,2,0)</f>
        <v>12</v>
      </c>
      <c r="L302" s="96">
        <f t="shared" si="54"/>
        <v>30024</v>
      </c>
      <c r="M302" s="541">
        <f>VLOOKUP(H302,名称!A:E,3,0)</f>
        <v>6</v>
      </c>
      <c r="N302" s="586">
        <f t="shared" si="47"/>
        <v>417</v>
      </c>
      <c r="O302" s="549">
        <v>46260</v>
      </c>
      <c r="P302" s="549">
        <v>46260</v>
      </c>
      <c r="Q302" s="549">
        <v>46260</v>
      </c>
      <c r="R302" s="541"/>
      <c r="S302" s="420" t="s">
        <v>1133</v>
      </c>
      <c r="T302" s="541"/>
      <c r="U302" s="431"/>
      <c r="V302" s="541" t="s">
        <v>1436</v>
      </c>
      <c r="W302" s="518" t="str">
        <f>IFERROR(VLOOKUP(H302,名称!A:F,6,0),"")</f>
        <v>湖南</v>
      </c>
      <c r="X302" s="541" t="s">
        <v>1248</v>
      </c>
      <c r="Y302" s="478">
        <v>46203</v>
      </c>
      <c r="Z302" s="431" t="s">
        <v>1433</v>
      </c>
      <c r="AA302" s="431" t="s">
        <v>1433</v>
      </c>
      <c r="AB302" s="431" t="s">
        <v>1433</v>
      </c>
      <c r="AC302" s="541" t="s">
        <v>1284</v>
      </c>
      <c r="AD302" s="586" t="s">
        <v>1228</v>
      </c>
      <c r="AE302" s="541" t="s">
        <v>510</v>
      </c>
      <c r="AF302" s="541" t="s">
        <v>1228</v>
      </c>
      <c r="AG302" s="541" t="s">
        <v>510</v>
      </c>
      <c r="AH302" s="541" t="s">
        <v>1307</v>
      </c>
      <c r="AI302" s="541" t="s">
        <v>1228</v>
      </c>
      <c r="AJ302" s="431" t="s">
        <v>1133</v>
      </c>
      <c r="AK302" s="431" t="s">
        <v>1133</v>
      </c>
      <c r="AL302" s="541"/>
      <c r="AM302" s="431" t="s">
        <v>1293</v>
      </c>
      <c r="AN302" s="431" t="s">
        <v>1434</v>
      </c>
      <c r="AO302" s="624">
        <v>1.45</v>
      </c>
      <c r="AP302" s="625">
        <f t="shared" si="48"/>
        <v>3627.9</v>
      </c>
      <c r="AQ302" s="625">
        <f t="shared" si="49"/>
        <v>28116.23</v>
      </c>
      <c r="AR302" s="626"/>
      <c r="AS302" s="549"/>
      <c r="AT302" s="420" t="s">
        <v>1220</v>
      </c>
      <c r="AU302" s="548"/>
      <c r="AV302" s="548">
        <f t="shared" si="50"/>
        <v>-2502</v>
      </c>
      <c r="AW302" s="627"/>
      <c r="AX302" s="431" t="s">
        <v>1280</v>
      </c>
      <c r="AY302" s="420" t="s">
        <v>1269</v>
      </c>
      <c r="AZ302" s="549" t="s">
        <v>1256</v>
      </c>
      <c r="BA302" s="549"/>
      <c r="BB302" s="455" t="str">
        <f t="shared" si="51"/>
        <v>Grasper Global Private Limited</v>
      </c>
      <c r="BC302" s="455" t="str">
        <f t="shared" si="52"/>
        <v>佛山市</v>
      </c>
    </row>
    <row r="303" s="495" customFormat="1" customHeight="1" spans="1:55">
      <c r="A303" s="549">
        <v>46196</v>
      </c>
      <c r="B303" s="549" t="str">
        <f ca="1" t="shared" si="46"/>
        <v/>
      </c>
      <c r="C303" s="541" t="str">
        <f>VLOOKUP(H303,名称!A:E,4,0)</f>
        <v>三代</v>
      </c>
      <c r="D303" s="431" t="s">
        <v>1430</v>
      </c>
      <c r="E303" s="541" t="s">
        <v>1431</v>
      </c>
      <c r="F303" s="431" t="s">
        <v>987</v>
      </c>
      <c r="G303" s="431" t="s">
        <v>988</v>
      </c>
      <c r="H303" s="541" t="s">
        <v>188</v>
      </c>
      <c r="I303" s="129"/>
      <c r="J303" s="586">
        <v>1200</v>
      </c>
      <c r="K303" s="95">
        <f>VLOOKUP(H303,名称!A:C,2,0)</f>
        <v>12</v>
      </c>
      <c r="L303" s="96">
        <f t="shared" si="54"/>
        <v>14400</v>
      </c>
      <c r="M303" s="541">
        <f>VLOOKUP(H303,名称!A:E,3,0)</f>
        <v>6</v>
      </c>
      <c r="N303" s="586">
        <f t="shared" si="47"/>
        <v>200</v>
      </c>
      <c r="O303" s="549">
        <v>46260</v>
      </c>
      <c r="P303" s="549">
        <v>46260</v>
      </c>
      <c r="Q303" s="549">
        <v>46260</v>
      </c>
      <c r="R303" s="541"/>
      <c r="S303" s="420" t="s">
        <v>1133</v>
      </c>
      <c r="T303" s="541"/>
      <c r="U303" s="431"/>
      <c r="V303" s="541" t="s">
        <v>1437</v>
      </c>
      <c r="W303" s="518" t="str">
        <f>IFERROR(VLOOKUP(H303,名称!A:F,6,0),"")</f>
        <v>湖南</v>
      </c>
      <c r="X303" s="541" t="s">
        <v>1248</v>
      </c>
      <c r="Y303" s="478">
        <v>46203</v>
      </c>
      <c r="Z303" s="431" t="s">
        <v>1433</v>
      </c>
      <c r="AA303" s="431" t="s">
        <v>1433</v>
      </c>
      <c r="AB303" s="431" t="s">
        <v>1433</v>
      </c>
      <c r="AC303" s="541" t="s">
        <v>1284</v>
      </c>
      <c r="AD303" s="586" t="s">
        <v>1228</v>
      </c>
      <c r="AE303" s="541" t="s">
        <v>510</v>
      </c>
      <c r="AF303" s="541" t="s">
        <v>1228</v>
      </c>
      <c r="AG303" s="541" t="s">
        <v>510</v>
      </c>
      <c r="AH303" s="541" t="s">
        <v>1307</v>
      </c>
      <c r="AI303" s="541" t="s">
        <v>1228</v>
      </c>
      <c r="AJ303" s="431" t="s">
        <v>1133</v>
      </c>
      <c r="AK303" s="431" t="s">
        <v>1133</v>
      </c>
      <c r="AL303" s="541"/>
      <c r="AM303" s="431" t="s">
        <v>1293</v>
      </c>
      <c r="AN303" s="431" t="s">
        <v>1434</v>
      </c>
      <c r="AO303" s="624">
        <v>1.45</v>
      </c>
      <c r="AP303" s="625">
        <f t="shared" si="48"/>
        <v>1740</v>
      </c>
      <c r="AQ303" s="625">
        <f t="shared" si="49"/>
        <v>13485</v>
      </c>
      <c r="AR303" s="626"/>
      <c r="AS303" s="549"/>
      <c r="AT303" s="420" t="s">
        <v>1220</v>
      </c>
      <c r="AU303" s="548"/>
      <c r="AV303" s="548">
        <f t="shared" si="50"/>
        <v>-1200</v>
      </c>
      <c r="AW303" s="627"/>
      <c r="AX303" s="431" t="s">
        <v>1280</v>
      </c>
      <c r="AY303" s="420" t="s">
        <v>1269</v>
      </c>
      <c r="AZ303" s="549" t="s">
        <v>1256</v>
      </c>
      <c r="BA303" s="549"/>
      <c r="BB303" s="455" t="str">
        <f t="shared" si="51"/>
        <v>Grasper Global Private Limited</v>
      </c>
      <c r="BC303" s="455" t="str">
        <f t="shared" si="52"/>
        <v>佛山市</v>
      </c>
    </row>
    <row r="304" s="495" customFormat="1" customHeight="1" spans="1:55">
      <c r="A304" s="549">
        <v>46196</v>
      </c>
      <c r="B304" s="549" t="str">
        <f ca="1" t="shared" si="46"/>
        <v/>
      </c>
      <c r="C304" s="541" t="str">
        <f>VLOOKUP(H304,名称!A:E,4,0)</f>
        <v>三代</v>
      </c>
      <c r="D304" s="431" t="s">
        <v>1430</v>
      </c>
      <c r="E304" s="541" t="s">
        <v>1431</v>
      </c>
      <c r="F304" s="431" t="s">
        <v>987</v>
      </c>
      <c r="G304" s="431" t="s">
        <v>988</v>
      </c>
      <c r="H304" s="541" t="s">
        <v>189</v>
      </c>
      <c r="I304" s="129"/>
      <c r="J304" s="586">
        <v>1506</v>
      </c>
      <c r="K304" s="95">
        <f>VLOOKUP(H304,名称!A:C,2,0)</f>
        <v>12</v>
      </c>
      <c r="L304" s="96">
        <f t="shared" si="54"/>
        <v>18072</v>
      </c>
      <c r="M304" s="541">
        <f>VLOOKUP(H304,名称!A:E,3,0)</f>
        <v>6</v>
      </c>
      <c r="N304" s="586">
        <f t="shared" si="47"/>
        <v>251</v>
      </c>
      <c r="O304" s="549">
        <v>46260</v>
      </c>
      <c r="P304" s="549">
        <v>46260</v>
      </c>
      <c r="Q304" s="549">
        <v>46260</v>
      </c>
      <c r="R304" s="541"/>
      <c r="S304" s="420" t="s">
        <v>1133</v>
      </c>
      <c r="T304" s="541"/>
      <c r="U304" s="431"/>
      <c r="V304" s="541" t="s">
        <v>1438</v>
      </c>
      <c r="W304" s="518" t="str">
        <f>IFERROR(VLOOKUP(H304,名称!A:F,6,0),"")</f>
        <v>湖南</v>
      </c>
      <c r="X304" s="541" t="s">
        <v>1248</v>
      </c>
      <c r="Y304" s="478">
        <v>46203</v>
      </c>
      <c r="Z304" s="431" t="s">
        <v>1433</v>
      </c>
      <c r="AA304" s="431" t="s">
        <v>1433</v>
      </c>
      <c r="AB304" s="431" t="s">
        <v>1433</v>
      </c>
      <c r="AC304" s="541" t="s">
        <v>1284</v>
      </c>
      <c r="AD304" s="586" t="s">
        <v>1228</v>
      </c>
      <c r="AE304" s="541" t="s">
        <v>510</v>
      </c>
      <c r="AF304" s="541" t="s">
        <v>1228</v>
      </c>
      <c r="AG304" s="541" t="s">
        <v>510</v>
      </c>
      <c r="AH304" s="541" t="s">
        <v>1307</v>
      </c>
      <c r="AI304" s="541" t="s">
        <v>1228</v>
      </c>
      <c r="AJ304" s="431" t="s">
        <v>1133</v>
      </c>
      <c r="AK304" s="431" t="s">
        <v>1133</v>
      </c>
      <c r="AL304" s="541"/>
      <c r="AM304" s="431" t="s">
        <v>1293</v>
      </c>
      <c r="AN304" s="431" t="s">
        <v>1434</v>
      </c>
      <c r="AO304" s="624">
        <v>1.45</v>
      </c>
      <c r="AP304" s="625">
        <f t="shared" si="48"/>
        <v>2183.7</v>
      </c>
      <c r="AQ304" s="625">
        <f t="shared" si="49"/>
        <v>16923.68</v>
      </c>
      <c r="AR304" s="626"/>
      <c r="AS304" s="549"/>
      <c r="AT304" s="420" t="s">
        <v>1220</v>
      </c>
      <c r="AU304" s="548"/>
      <c r="AV304" s="548">
        <f t="shared" si="50"/>
        <v>-1506</v>
      </c>
      <c r="AW304" s="627"/>
      <c r="AX304" s="431" t="s">
        <v>1280</v>
      </c>
      <c r="AY304" s="420" t="s">
        <v>1269</v>
      </c>
      <c r="AZ304" s="549" t="s">
        <v>1256</v>
      </c>
      <c r="BA304" s="549"/>
      <c r="BB304" s="455" t="str">
        <f t="shared" si="51"/>
        <v>Grasper Global Private Limited</v>
      </c>
      <c r="BC304" s="455" t="str">
        <f t="shared" si="52"/>
        <v>佛山市</v>
      </c>
    </row>
    <row r="305" s="495" customFormat="1" customHeight="1" spans="1:55">
      <c r="A305" s="549">
        <v>46196</v>
      </c>
      <c r="B305" s="549" t="str">
        <f ca="1" t="shared" si="46"/>
        <v/>
      </c>
      <c r="C305" s="541" t="str">
        <f>VLOOKUP(H305,名称!A:E,4,0)</f>
        <v>三代</v>
      </c>
      <c r="D305" s="431" t="s">
        <v>1430</v>
      </c>
      <c r="E305" s="541" t="s">
        <v>1431</v>
      </c>
      <c r="F305" s="431" t="s">
        <v>987</v>
      </c>
      <c r="G305" s="431" t="s">
        <v>988</v>
      </c>
      <c r="H305" s="541" t="s">
        <v>190</v>
      </c>
      <c r="I305" s="129"/>
      <c r="J305" s="586">
        <v>1488</v>
      </c>
      <c r="K305" s="95">
        <f>VLOOKUP(H305,名称!A:C,2,0)</f>
        <v>12</v>
      </c>
      <c r="L305" s="96">
        <f t="shared" si="54"/>
        <v>17856</v>
      </c>
      <c r="M305" s="541">
        <f>VLOOKUP(H305,名称!A:E,3,0)</f>
        <v>6</v>
      </c>
      <c r="N305" s="586">
        <f t="shared" si="47"/>
        <v>248</v>
      </c>
      <c r="O305" s="549">
        <v>46260</v>
      </c>
      <c r="P305" s="549">
        <v>46260</v>
      </c>
      <c r="Q305" s="549">
        <v>46260</v>
      </c>
      <c r="R305" s="541"/>
      <c r="S305" s="420" t="s">
        <v>1133</v>
      </c>
      <c r="T305" s="541"/>
      <c r="U305" s="431"/>
      <c r="V305" s="541" t="s">
        <v>1439</v>
      </c>
      <c r="W305" s="518" t="str">
        <f>IFERROR(VLOOKUP(H305,名称!A:F,6,0),"")</f>
        <v>湖南</v>
      </c>
      <c r="X305" s="541" t="s">
        <v>1248</v>
      </c>
      <c r="Y305" s="478">
        <v>46203</v>
      </c>
      <c r="Z305" s="431" t="s">
        <v>1433</v>
      </c>
      <c r="AA305" s="431" t="s">
        <v>1433</v>
      </c>
      <c r="AB305" s="431" t="s">
        <v>1433</v>
      </c>
      <c r="AC305" s="541" t="s">
        <v>1284</v>
      </c>
      <c r="AD305" s="586" t="s">
        <v>1228</v>
      </c>
      <c r="AE305" s="541" t="s">
        <v>510</v>
      </c>
      <c r="AF305" s="541" t="s">
        <v>1228</v>
      </c>
      <c r="AG305" s="541" t="s">
        <v>510</v>
      </c>
      <c r="AH305" s="541" t="s">
        <v>1307</v>
      </c>
      <c r="AI305" s="541" t="s">
        <v>1228</v>
      </c>
      <c r="AJ305" s="431" t="s">
        <v>1133</v>
      </c>
      <c r="AK305" s="431" t="s">
        <v>1133</v>
      </c>
      <c r="AL305" s="541"/>
      <c r="AM305" s="431" t="s">
        <v>1293</v>
      </c>
      <c r="AN305" s="431" t="s">
        <v>1434</v>
      </c>
      <c r="AO305" s="624">
        <v>1.45</v>
      </c>
      <c r="AP305" s="625">
        <f t="shared" si="48"/>
        <v>2157.6</v>
      </c>
      <c r="AQ305" s="625">
        <f t="shared" si="49"/>
        <v>16721.4</v>
      </c>
      <c r="AR305" s="626"/>
      <c r="AS305" s="549"/>
      <c r="AT305" s="420" t="s">
        <v>1220</v>
      </c>
      <c r="AU305" s="548"/>
      <c r="AV305" s="548">
        <f t="shared" si="50"/>
        <v>-1488</v>
      </c>
      <c r="AW305" s="627"/>
      <c r="AX305" s="431" t="s">
        <v>1280</v>
      </c>
      <c r="AY305" s="420" t="s">
        <v>1269</v>
      </c>
      <c r="AZ305" s="549" t="s">
        <v>1256</v>
      </c>
      <c r="BA305" s="549"/>
      <c r="BB305" s="455" t="str">
        <f t="shared" si="51"/>
        <v>Grasper Global Private Limited</v>
      </c>
      <c r="BC305" s="455" t="str">
        <f t="shared" si="52"/>
        <v>佛山市</v>
      </c>
    </row>
    <row r="306" s="495" customFormat="1" customHeight="1" spans="1:55">
      <c r="A306" s="549">
        <v>46196</v>
      </c>
      <c r="B306" s="549" t="str">
        <f ca="1" t="shared" si="46"/>
        <v/>
      </c>
      <c r="C306" s="541" t="str">
        <f>VLOOKUP(H306,名称!A:E,4,0)</f>
        <v>三代</v>
      </c>
      <c r="D306" s="431" t="s">
        <v>1430</v>
      </c>
      <c r="E306" s="541" t="s">
        <v>1431</v>
      </c>
      <c r="F306" s="431" t="s">
        <v>987</v>
      </c>
      <c r="G306" s="431" t="s">
        <v>988</v>
      </c>
      <c r="H306" s="541" t="s">
        <v>181</v>
      </c>
      <c r="I306" s="129"/>
      <c r="J306" s="586">
        <v>4200</v>
      </c>
      <c r="K306" s="95">
        <f>VLOOKUP(H306,名称!A:C,2,0)</f>
        <v>5</v>
      </c>
      <c r="L306" s="96">
        <f t="shared" si="54"/>
        <v>21000</v>
      </c>
      <c r="M306" s="541">
        <f>VLOOKUP(H306,名称!A:E,3,0)</f>
        <v>100</v>
      </c>
      <c r="N306" s="586">
        <f t="shared" si="47"/>
        <v>42</v>
      </c>
      <c r="O306" s="549">
        <v>46260</v>
      </c>
      <c r="P306" s="549">
        <v>46260</v>
      </c>
      <c r="Q306" s="549">
        <v>46260</v>
      </c>
      <c r="R306" s="541"/>
      <c r="S306" s="420" t="s">
        <v>1133</v>
      </c>
      <c r="T306" s="541"/>
      <c r="U306" s="431"/>
      <c r="V306" s="431" t="s">
        <v>1441</v>
      </c>
      <c r="W306" s="518" t="str">
        <f>IFERROR(VLOOKUP(H306,名称!A:F,6,0),"")</f>
        <v>湖南</v>
      </c>
      <c r="X306" s="541" t="s">
        <v>1248</v>
      </c>
      <c r="Y306" s="478">
        <v>46203</v>
      </c>
      <c r="Z306" s="431" t="s">
        <v>1433</v>
      </c>
      <c r="AA306" s="431" t="s">
        <v>1433</v>
      </c>
      <c r="AB306" s="431" t="s">
        <v>1433</v>
      </c>
      <c r="AC306" s="431" t="s">
        <v>1133</v>
      </c>
      <c r="AD306" s="586" t="s">
        <v>1228</v>
      </c>
      <c r="AE306" s="541" t="s">
        <v>510</v>
      </c>
      <c r="AF306" s="541" t="s">
        <v>1228</v>
      </c>
      <c r="AG306" s="541" t="s">
        <v>1442</v>
      </c>
      <c r="AH306" s="431" t="s">
        <v>1133</v>
      </c>
      <c r="AI306" s="541" t="s">
        <v>1228</v>
      </c>
      <c r="AJ306" s="431" t="s">
        <v>1133</v>
      </c>
      <c r="AK306" s="431" t="s">
        <v>510</v>
      </c>
      <c r="AL306" s="541"/>
      <c r="AM306" s="431" t="s">
        <v>1293</v>
      </c>
      <c r="AN306" s="431" t="s">
        <v>1443</v>
      </c>
      <c r="AO306" s="624">
        <v>0.75</v>
      </c>
      <c r="AP306" s="625">
        <f t="shared" si="48"/>
        <v>3150</v>
      </c>
      <c r="AQ306" s="625">
        <f t="shared" si="49"/>
        <v>24412.5</v>
      </c>
      <c r="AR306" s="626"/>
      <c r="AS306" s="549"/>
      <c r="AT306" s="420" t="s">
        <v>1220</v>
      </c>
      <c r="AU306" s="548"/>
      <c r="AV306" s="548">
        <f t="shared" si="50"/>
        <v>-4200</v>
      </c>
      <c r="AW306" s="627"/>
      <c r="AX306" s="420" t="s">
        <v>1280</v>
      </c>
      <c r="AY306" s="420" t="s">
        <v>1269</v>
      </c>
      <c r="AZ306" s="549" t="s">
        <v>1256</v>
      </c>
      <c r="BA306" s="549"/>
      <c r="BB306" s="455" t="str">
        <f t="shared" si="51"/>
        <v>Grasper Global Private Limited</v>
      </c>
      <c r="BC306" s="455" t="str">
        <f t="shared" si="52"/>
        <v>佛山市</v>
      </c>
    </row>
    <row r="307" s="495" customFormat="1" customHeight="1" spans="1:55">
      <c r="A307" s="549">
        <v>46196</v>
      </c>
      <c r="B307" s="549" t="str">
        <f ca="1" t="shared" si="46"/>
        <v/>
      </c>
      <c r="C307" s="541" t="str">
        <f>VLOOKUP(H307,名称!A:E,4,0)</f>
        <v>三代</v>
      </c>
      <c r="D307" s="431" t="s">
        <v>1420</v>
      </c>
      <c r="E307" s="431" t="s">
        <v>1421</v>
      </c>
      <c r="F307" s="541"/>
      <c r="G307" s="431" t="s">
        <v>989</v>
      </c>
      <c r="H307" s="431" t="s">
        <v>109</v>
      </c>
      <c r="I307" s="129"/>
      <c r="J307" s="586">
        <v>9768</v>
      </c>
      <c r="K307" s="95">
        <f>VLOOKUP(H307,名称!A:C,2,0)</f>
        <v>0</v>
      </c>
      <c r="L307" s="96">
        <f t="shared" si="54"/>
        <v>0</v>
      </c>
      <c r="M307" s="541">
        <f>VLOOKUP(H307,名称!A:E,3,0)</f>
        <v>24</v>
      </c>
      <c r="N307" s="586">
        <f t="shared" si="47"/>
        <v>407</v>
      </c>
      <c r="O307" s="549">
        <v>46268</v>
      </c>
      <c r="P307" s="549">
        <v>46268</v>
      </c>
      <c r="Q307" s="549">
        <v>46268</v>
      </c>
      <c r="R307" s="541"/>
      <c r="S307" s="420" t="s">
        <v>1133</v>
      </c>
      <c r="T307" s="541"/>
      <c r="U307" s="541"/>
      <c r="V307" s="541"/>
      <c r="W307" s="518" t="str">
        <f>IFERROR(VLOOKUP(H307,名称!A:F,6,0),"")</f>
        <v>东莞</v>
      </c>
      <c r="X307" s="541" t="s">
        <v>1248</v>
      </c>
      <c r="Y307" s="478">
        <v>46206</v>
      </c>
      <c r="Z307" s="431" t="s">
        <v>1249</v>
      </c>
      <c r="AA307" s="552">
        <v>46198</v>
      </c>
      <c r="AB307" s="567">
        <v>46205</v>
      </c>
      <c r="AC307" s="431" t="s">
        <v>1133</v>
      </c>
      <c r="AD307" s="431" t="s">
        <v>1133</v>
      </c>
      <c r="AE307" s="541" t="s">
        <v>510</v>
      </c>
      <c r="AF307" s="541" t="s">
        <v>1228</v>
      </c>
      <c r="AG307" s="541" t="s">
        <v>510</v>
      </c>
      <c r="AH307" s="431" t="s">
        <v>1133</v>
      </c>
      <c r="AI307" s="541" t="s">
        <v>1228</v>
      </c>
      <c r="AJ307" s="431" t="s">
        <v>1133</v>
      </c>
      <c r="AK307" s="431" t="s">
        <v>510</v>
      </c>
      <c r="AL307" s="541"/>
      <c r="AM307" s="431" t="s">
        <v>1250</v>
      </c>
      <c r="AN307" s="431" t="s">
        <v>1251</v>
      </c>
      <c r="AO307" s="624">
        <v>0.6</v>
      </c>
      <c r="AP307" s="625">
        <f t="shared" si="48"/>
        <v>5860.8</v>
      </c>
      <c r="AQ307" s="625">
        <f t="shared" si="49"/>
        <v>45421.2</v>
      </c>
      <c r="AR307" s="626"/>
      <c r="AS307" s="549"/>
      <c r="AT307" s="420" t="s">
        <v>1220</v>
      </c>
      <c r="AU307" s="548"/>
      <c r="AV307" s="548">
        <f t="shared" si="50"/>
        <v>-9768</v>
      </c>
      <c r="AW307" s="627"/>
      <c r="AX307" s="549"/>
      <c r="AY307" s="420" t="s">
        <v>1269</v>
      </c>
      <c r="AZ307" s="549" t="s">
        <v>1256</v>
      </c>
      <c r="BA307" s="549"/>
      <c r="BB307" s="455" t="str">
        <f t="shared" si="51"/>
        <v>Banter Toys</v>
      </c>
      <c r="BC307" s="455" t="str">
        <f t="shared" si="52"/>
        <v>澳大利亚</v>
      </c>
    </row>
    <row r="308" s="495" customFormat="1" customHeight="1" spans="1:55">
      <c r="A308" s="549">
        <v>46196</v>
      </c>
      <c r="B308" s="549" t="str">
        <f ca="1" t="shared" si="46"/>
        <v/>
      </c>
      <c r="C308" s="541" t="str">
        <f>VLOOKUP(H308,名称!A:E,4,0)</f>
        <v>三代</v>
      </c>
      <c r="D308" s="431" t="s">
        <v>1420</v>
      </c>
      <c r="E308" s="431" t="s">
        <v>1421</v>
      </c>
      <c r="F308" s="541"/>
      <c r="G308" s="431" t="s">
        <v>989</v>
      </c>
      <c r="H308" s="431" t="s">
        <v>99</v>
      </c>
      <c r="I308" s="129"/>
      <c r="J308" s="586">
        <v>19032</v>
      </c>
      <c r="K308" s="95">
        <f>VLOOKUP(H308,名称!A:C,2,0)</f>
        <v>7</v>
      </c>
      <c r="L308" s="96">
        <f t="shared" si="54"/>
        <v>133224</v>
      </c>
      <c r="M308" s="541">
        <f>VLOOKUP(H308,名称!A:E,3,0)</f>
        <v>24</v>
      </c>
      <c r="N308" s="586">
        <f t="shared" si="47"/>
        <v>793</v>
      </c>
      <c r="O308" s="549">
        <v>46268</v>
      </c>
      <c r="P308" s="549">
        <v>46268</v>
      </c>
      <c r="Q308" s="549">
        <v>46268</v>
      </c>
      <c r="R308" s="541"/>
      <c r="S308" s="420" t="s">
        <v>1133</v>
      </c>
      <c r="T308" s="541"/>
      <c r="U308" s="541"/>
      <c r="V308" s="541"/>
      <c r="W308" s="518" t="str">
        <f>IFERROR(VLOOKUP(H308,名称!A:F,6,0),"")</f>
        <v>湖南</v>
      </c>
      <c r="X308" s="541" t="s">
        <v>1248</v>
      </c>
      <c r="Y308" s="478">
        <v>46206</v>
      </c>
      <c r="Z308" s="431" t="s">
        <v>1249</v>
      </c>
      <c r="AA308" s="552">
        <v>46198</v>
      </c>
      <c r="AB308" s="567">
        <v>46205</v>
      </c>
      <c r="AC308" s="541" t="s">
        <v>1284</v>
      </c>
      <c r="AD308" s="586" t="s">
        <v>1228</v>
      </c>
      <c r="AE308" s="541" t="s">
        <v>510</v>
      </c>
      <c r="AF308" s="541" t="s">
        <v>1228</v>
      </c>
      <c r="AG308" s="541" t="s">
        <v>510</v>
      </c>
      <c r="AH308" s="431" t="s">
        <v>1307</v>
      </c>
      <c r="AI308" s="541" t="s">
        <v>1228</v>
      </c>
      <c r="AJ308" s="431" t="s">
        <v>1133</v>
      </c>
      <c r="AK308" s="431" t="s">
        <v>1133</v>
      </c>
      <c r="AL308" s="541"/>
      <c r="AM308" s="431" t="s">
        <v>1250</v>
      </c>
      <c r="AN308" s="431" t="s">
        <v>1251</v>
      </c>
      <c r="AO308" s="624">
        <v>0.85</v>
      </c>
      <c r="AP308" s="625">
        <f t="shared" si="48"/>
        <v>16177.2</v>
      </c>
      <c r="AQ308" s="625">
        <f t="shared" si="49"/>
        <v>125373.3</v>
      </c>
      <c r="AR308" s="626"/>
      <c r="AS308" s="549"/>
      <c r="AT308" s="420" t="s">
        <v>1220</v>
      </c>
      <c r="AU308" s="548"/>
      <c r="AV308" s="548">
        <f t="shared" si="50"/>
        <v>-19032</v>
      </c>
      <c r="AW308" s="627"/>
      <c r="AX308" s="420" t="s">
        <v>1280</v>
      </c>
      <c r="AY308" s="420" t="s">
        <v>1269</v>
      </c>
      <c r="AZ308" s="549" t="s">
        <v>1256</v>
      </c>
      <c r="BA308" s="549"/>
      <c r="BB308" s="455" t="str">
        <f t="shared" si="51"/>
        <v>Banter Toys</v>
      </c>
      <c r="BC308" s="455" t="str">
        <f t="shared" si="52"/>
        <v>澳大利亚</v>
      </c>
    </row>
    <row r="309" s="495" customFormat="1" customHeight="1" spans="1:55">
      <c r="A309" s="549">
        <v>46196</v>
      </c>
      <c r="B309" s="549" t="str">
        <f ca="1" t="shared" si="46"/>
        <v/>
      </c>
      <c r="C309" s="541" t="str">
        <f>VLOOKUP(H309,名称!A:E,4,0)</f>
        <v>三代</v>
      </c>
      <c r="D309" s="431" t="s">
        <v>1420</v>
      </c>
      <c r="E309" s="431" t="s">
        <v>1421</v>
      </c>
      <c r="F309" s="541"/>
      <c r="G309" s="431" t="s">
        <v>989</v>
      </c>
      <c r="H309" s="431" t="s">
        <v>66</v>
      </c>
      <c r="I309" s="129"/>
      <c r="J309" s="586">
        <v>6222</v>
      </c>
      <c r="K309" s="95">
        <f>VLOOKUP(H309,名称!A:C,2,0)</f>
        <v>12</v>
      </c>
      <c r="L309" s="96">
        <f t="shared" si="54"/>
        <v>74664</v>
      </c>
      <c r="M309" s="541">
        <f>VLOOKUP(H309,名称!A:E,3,0)</f>
        <v>6</v>
      </c>
      <c r="N309" s="586">
        <f t="shared" si="47"/>
        <v>1037</v>
      </c>
      <c r="O309" s="549">
        <v>46268</v>
      </c>
      <c r="P309" s="549">
        <v>46268</v>
      </c>
      <c r="Q309" s="549">
        <v>46268</v>
      </c>
      <c r="R309" s="541"/>
      <c r="S309" s="420" t="s">
        <v>1133</v>
      </c>
      <c r="T309" s="541"/>
      <c r="U309" s="541"/>
      <c r="V309" s="541"/>
      <c r="W309" s="518" t="str">
        <f>IFERROR(VLOOKUP(H309,名称!A:F,6,0),"")</f>
        <v>湖南</v>
      </c>
      <c r="X309" s="541" t="s">
        <v>1248</v>
      </c>
      <c r="Y309" s="478">
        <v>46206</v>
      </c>
      <c r="Z309" s="431" t="s">
        <v>1249</v>
      </c>
      <c r="AA309" s="552">
        <v>46198</v>
      </c>
      <c r="AB309" s="567">
        <v>46205</v>
      </c>
      <c r="AC309" s="431" t="s">
        <v>1318</v>
      </c>
      <c r="AD309" s="586" t="s">
        <v>1228</v>
      </c>
      <c r="AE309" s="541" t="s">
        <v>510</v>
      </c>
      <c r="AF309" s="541" t="s">
        <v>1228</v>
      </c>
      <c r="AG309" s="541" t="s">
        <v>510</v>
      </c>
      <c r="AH309" s="431" t="s">
        <v>1307</v>
      </c>
      <c r="AI309" s="541" t="s">
        <v>1228</v>
      </c>
      <c r="AJ309" s="431" t="s">
        <v>510</v>
      </c>
      <c r="AK309" s="431" t="s">
        <v>1133</v>
      </c>
      <c r="AL309" s="541"/>
      <c r="AM309" s="431" t="s">
        <v>1250</v>
      </c>
      <c r="AN309" s="431" t="s">
        <v>1251</v>
      </c>
      <c r="AO309" s="624">
        <v>2.02</v>
      </c>
      <c r="AP309" s="625">
        <f t="shared" si="48"/>
        <v>12568.44</v>
      </c>
      <c r="AQ309" s="625">
        <f t="shared" si="49"/>
        <v>97405.41</v>
      </c>
      <c r="AR309" s="626"/>
      <c r="AS309" s="549"/>
      <c r="AT309" s="420" t="s">
        <v>1220</v>
      </c>
      <c r="AU309" s="548"/>
      <c r="AV309" s="548">
        <f t="shared" si="50"/>
        <v>-6222</v>
      </c>
      <c r="AW309" s="627"/>
      <c r="AX309" s="420" t="s">
        <v>1280</v>
      </c>
      <c r="AY309" s="420" t="s">
        <v>1269</v>
      </c>
      <c r="AZ309" s="549" t="s">
        <v>1256</v>
      </c>
      <c r="BA309" s="549"/>
      <c r="BB309" s="455" t="str">
        <f t="shared" si="51"/>
        <v>Banter Toys</v>
      </c>
      <c r="BC309" s="455" t="str">
        <f t="shared" si="52"/>
        <v>澳大利亚</v>
      </c>
    </row>
    <row r="310" s="495" customFormat="1" customHeight="1" spans="1:55">
      <c r="A310" s="549">
        <v>46196</v>
      </c>
      <c r="B310" s="549" t="str">
        <f ca="1" t="shared" si="46"/>
        <v/>
      </c>
      <c r="C310" s="541" t="str">
        <f>VLOOKUP(H310,名称!A:E,4,0)</f>
        <v>三代</v>
      </c>
      <c r="D310" s="431" t="s">
        <v>1420</v>
      </c>
      <c r="E310" s="431" t="s">
        <v>1421</v>
      </c>
      <c r="F310" s="541"/>
      <c r="G310" s="431" t="s">
        <v>989</v>
      </c>
      <c r="H310" s="431" t="s">
        <v>68</v>
      </c>
      <c r="I310" s="129"/>
      <c r="J310" s="586">
        <v>1464</v>
      </c>
      <c r="K310" s="95">
        <f>VLOOKUP(H310,名称!A:C,2,0)</f>
        <v>32</v>
      </c>
      <c r="L310" s="96">
        <f t="shared" si="54"/>
        <v>46848</v>
      </c>
      <c r="M310" s="541">
        <f>VLOOKUP(H310,名称!A:E,3,0)</f>
        <v>4</v>
      </c>
      <c r="N310" s="586">
        <f t="shared" si="47"/>
        <v>366</v>
      </c>
      <c r="O310" s="549">
        <v>46268</v>
      </c>
      <c r="P310" s="549">
        <v>46268</v>
      </c>
      <c r="Q310" s="549">
        <v>46268</v>
      </c>
      <c r="R310" s="541"/>
      <c r="S310" s="420" t="s">
        <v>1133</v>
      </c>
      <c r="T310" s="541"/>
      <c r="U310" s="541"/>
      <c r="V310" s="541"/>
      <c r="W310" s="518" t="str">
        <f>IFERROR(VLOOKUP(H310,名称!A:F,6,0),"")</f>
        <v>湖南</v>
      </c>
      <c r="X310" s="541" t="s">
        <v>1248</v>
      </c>
      <c r="Y310" s="478">
        <v>46206</v>
      </c>
      <c r="Z310" s="431" t="s">
        <v>1249</v>
      </c>
      <c r="AA310" s="552">
        <v>46198</v>
      </c>
      <c r="AB310" s="567">
        <v>46205</v>
      </c>
      <c r="AC310" s="431" t="s">
        <v>1133</v>
      </c>
      <c r="AD310" s="431" t="s">
        <v>1133</v>
      </c>
      <c r="AE310" s="541" t="s">
        <v>510</v>
      </c>
      <c r="AF310" s="541" t="s">
        <v>1228</v>
      </c>
      <c r="AG310" s="541" t="s">
        <v>510</v>
      </c>
      <c r="AH310" s="431" t="s">
        <v>1307</v>
      </c>
      <c r="AI310" s="541" t="s">
        <v>1228</v>
      </c>
      <c r="AJ310" s="431" t="s">
        <v>1133</v>
      </c>
      <c r="AK310" s="431" t="s">
        <v>1133</v>
      </c>
      <c r="AL310" s="541"/>
      <c r="AM310" s="431" t="s">
        <v>1250</v>
      </c>
      <c r="AN310" s="431" t="s">
        <v>1251</v>
      </c>
      <c r="AO310" s="624">
        <v>3.09</v>
      </c>
      <c r="AP310" s="625">
        <f t="shared" si="48"/>
        <v>4523.76</v>
      </c>
      <c r="AQ310" s="625">
        <f t="shared" si="49"/>
        <v>35059.14</v>
      </c>
      <c r="AR310" s="626"/>
      <c r="AS310" s="549"/>
      <c r="AT310" s="420" t="s">
        <v>1220</v>
      </c>
      <c r="AU310" s="548"/>
      <c r="AV310" s="548">
        <f t="shared" si="50"/>
        <v>-1464</v>
      </c>
      <c r="AW310" s="627"/>
      <c r="AX310" s="420" t="s">
        <v>1280</v>
      </c>
      <c r="AY310" s="420" t="s">
        <v>1269</v>
      </c>
      <c r="AZ310" s="549" t="s">
        <v>1256</v>
      </c>
      <c r="BA310" s="549"/>
      <c r="BB310" s="455" t="str">
        <f t="shared" si="51"/>
        <v>Banter Toys</v>
      </c>
      <c r="BC310" s="455" t="str">
        <f t="shared" si="52"/>
        <v>澳大利亚</v>
      </c>
    </row>
    <row r="311" s="495" customFormat="1" customHeight="1" spans="1:55">
      <c r="A311" s="549">
        <v>46196</v>
      </c>
      <c r="B311" s="549" t="str">
        <f ca="1" t="shared" si="46"/>
        <v/>
      </c>
      <c r="C311" s="541" t="str">
        <f>VLOOKUP(H311,名称!A:E,4,0)</f>
        <v>三代</v>
      </c>
      <c r="D311" s="431" t="s">
        <v>1420</v>
      </c>
      <c r="E311" s="431" t="s">
        <v>1421</v>
      </c>
      <c r="F311" s="541"/>
      <c r="G311" s="431" t="s">
        <v>989</v>
      </c>
      <c r="H311" s="431" t="s">
        <v>85</v>
      </c>
      <c r="I311" s="129"/>
      <c r="J311" s="586">
        <v>9768</v>
      </c>
      <c r="K311" s="95">
        <f>VLOOKUP(H311,名称!A:C,2,0)</f>
        <v>5</v>
      </c>
      <c r="L311" s="96">
        <f t="shared" si="54"/>
        <v>48840</v>
      </c>
      <c r="M311" s="541">
        <f>VLOOKUP(H311,名称!A:E,3,0)</f>
        <v>24</v>
      </c>
      <c r="N311" s="586">
        <f t="shared" si="47"/>
        <v>407</v>
      </c>
      <c r="O311" s="549">
        <v>46268</v>
      </c>
      <c r="P311" s="549">
        <v>46268</v>
      </c>
      <c r="Q311" s="549">
        <v>46268</v>
      </c>
      <c r="R311" s="541"/>
      <c r="S311" s="420" t="s">
        <v>1133</v>
      </c>
      <c r="T311" s="541"/>
      <c r="U311" s="541"/>
      <c r="V311" s="541"/>
      <c r="W311" s="518" t="str">
        <f>IFERROR(VLOOKUP(H311,名称!A:F,6,0),"")</f>
        <v>湖南</v>
      </c>
      <c r="X311" s="541" t="s">
        <v>1248</v>
      </c>
      <c r="Y311" s="478">
        <v>46206</v>
      </c>
      <c r="Z311" s="431" t="s">
        <v>1249</v>
      </c>
      <c r="AA311" s="552">
        <v>46198</v>
      </c>
      <c r="AB311" s="567">
        <v>46205</v>
      </c>
      <c r="AC311" s="431" t="s">
        <v>1133</v>
      </c>
      <c r="AD311" s="431" t="s">
        <v>1133</v>
      </c>
      <c r="AE311" s="541" t="s">
        <v>510</v>
      </c>
      <c r="AF311" s="541" t="s">
        <v>1228</v>
      </c>
      <c r="AG311" s="541" t="s">
        <v>510</v>
      </c>
      <c r="AH311" s="431" t="s">
        <v>1133</v>
      </c>
      <c r="AI311" s="541" t="s">
        <v>1228</v>
      </c>
      <c r="AJ311" s="431" t="s">
        <v>1133</v>
      </c>
      <c r="AK311" s="431" t="s">
        <v>510</v>
      </c>
      <c r="AL311" s="541"/>
      <c r="AM311" s="431" t="s">
        <v>1250</v>
      </c>
      <c r="AN311" s="431" t="s">
        <v>1395</v>
      </c>
      <c r="AO311" s="624">
        <v>0.83</v>
      </c>
      <c r="AP311" s="625">
        <f t="shared" si="48"/>
        <v>8107.44</v>
      </c>
      <c r="AQ311" s="625">
        <f t="shared" si="49"/>
        <v>62832.66</v>
      </c>
      <c r="AR311" s="626"/>
      <c r="AS311" s="549"/>
      <c r="AT311" s="420" t="s">
        <v>1220</v>
      </c>
      <c r="AU311" s="548"/>
      <c r="AV311" s="548">
        <f t="shared" si="50"/>
        <v>-9768</v>
      </c>
      <c r="AW311" s="627"/>
      <c r="AX311" s="420" t="s">
        <v>1280</v>
      </c>
      <c r="AY311" s="420" t="s">
        <v>1269</v>
      </c>
      <c r="AZ311" s="549" t="s">
        <v>1256</v>
      </c>
      <c r="BA311" s="549"/>
      <c r="BB311" s="455" t="str">
        <f t="shared" si="51"/>
        <v>Banter Toys</v>
      </c>
      <c r="BC311" s="455" t="str">
        <f t="shared" si="52"/>
        <v>澳大利亚</v>
      </c>
    </row>
    <row r="312" s="495" customFormat="1" customHeight="1" spans="1:55">
      <c r="A312" s="549">
        <v>46196</v>
      </c>
      <c r="B312" s="549" t="str">
        <f ca="1" t="shared" ref="B312:B375" si="55">IF(TODAY()-5&gt;=A312,IF(AB312="","异常",""),"")</f>
        <v/>
      </c>
      <c r="C312" s="541" t="str">
        <f>VLOOKUP(H312,名称!A:E,4,0)</f>
        <v>三代</v>
      </c>
      <c r="D312" s="431" t="s">
        <v>1311</v>
      </c>
      <c r="E312" s="431" t="s">
        <v>1325</v>
      </c>
      <c r="F312" s="541">
        <v>2551020483</v>
      </c>
      <c r="G312" s="431" t="s">
        <v>990</v>
      </c>
      <c r="H312" s="431" t="s">
        <v>83</v>
      </c>
      <c r="I312" s="129"/>
      <c r="J312" s="586">
        <v>4008</v>
      </c>
      <c r="K312" s="95">
        <f>VLOOKUP(H312,名称!A:C,2,0)</f>
        <v>5</v>
      </c>
      <c r="L312" s="96">
        <f t="shared" si="54"/>
        <v>20040</v>
      </c>
      <c r="M312" s="541">
        <f>VLOOKUP(H312,名称!A:E,3,0)</f>
        <v>12</v>
      </c>
      <c r="N312" s="586">
        <f t="shared" si="47"/>
        <v>334</v>
      </c>
      <c r="O312" s="549">
        <v>46262</v>
      </c>
      <c r="P312" s="549">
        <v>46276</v>
      </c>
      <c r="Q312" s="549">
        <v>46276</v>
      </c>
      <c r="R312" s="541"/>
      <c r="S312" s="549">
        <v>46279</v>
      </c>
      <c r="T312" s="541"/>
      <c r="U312" s="541"/>
      <c r="V312" s="541"/>
      <c r="W312" s="518" t="str">
        <f>IFERROR(VLOOKUP(H312,名称!A:F,6,0),"")</f>
        <v>湖南</v>
      </c>
      <c r="X312" s="431" t="s">
        <v>1133</v>
      </c>
      <c r="Y312" s="431" t="s">
        <v>1133</v>
      </c>
      <c r="Z312" s="567">
        <v>46209</v>
      </c>
      <c r="AA312" s="552">
        <v>46212</v>
      </c>
      <c r="AB312" s="567">
        <v>46213</v>
      </c>
      <c r="AC312" s="541" t="s">
        <v>1133</v>
      </c>
      <c r="AD312" s="541" t="s">
        <v>1133</v>
      </c>
      <c r="AE312" s="541" t="s">
        <v>253</v>
      </c>
      <c r="AF312" s="541" t="s">
        <v>1228</v>
      </c>
      <c r="AG312" s="541" t="s">
        <v>253</v>
      </c>
      <c r="AH312" s="541" t="s">
        <v>1133</v>
      </c>
      <c r="AI312" s="541" t="s">
        <v>1228</v>
      </c>
      <c r="AJ312" s="541" t="s">
        <v>1133</v>
      </c>
      <c r="AK312" s="541" t="s">
        <v>253</v>
      </c>
      <c r="AL312" s="541"/>
      <c r="AM312" s="431" t="s">
        <v>1250</v>
      </c>
      <c r="AN312" s="469" t="s">
        <v>1312</v>
      </c>
      <c r="AO312" s="624">
        <v>0.83</v>
      </c>
      <c r="AP312" s="625">
        <f t="shared" ref="AP312:AP375" si="56">J312*AO312</f>
        <v>3326.64</v>
      </c>
      <c r="AQ312" s="625">
        <f t="shared" ref="AQ312:AQ375" si="57">AP312*7.75</f>
        <v>25781.46</v>
      </c>
      <c r="AR312" s="626"/>
      <c r="AS312" s="549"/>
      <c r="AT312" s="420" t="s">
        <v>1313</v>
      </c>
      <c r="AU312" s="548"/>
      <c r="AV312" s="548">
        <f t="shared" ref="AV312:AV375" si="58">AU312-J312</f>
        <v>-4008</v>
      </c>
      <c r="AW312" s="627"/>
      <c r="AX312" s="549"/>
      <c r="AY312" s="420" t="s">
        <v>1255</v>
      </c>
      <c r="AZ312" s="549" t="s">
        <v>1256</v>
      </c>
      <c r="BA312" s="549"/>
      <c r="BB312" s="455" t="str">
        <f t="shared" ref="BB312:BB375" si="59">D312</f>
        <v>JAZWARES - WALMART CA</v>
      </c>
      <c r="BC312" s="455" t="str">
        <f t="shared" ref="BC312:BC375" si="60">E312</f>
        <v>加拿大</v>
      </c>
    </row>
    <row r="313" s="495" customFormat="1" customHeight="1" spans="1:55">
      <c r="A313" s="549">
        <v>46196</v>
      </c>
      <c r="B313" s="549" t="str">
        <f ca="1" t="shared" si="55"/>
        <v/>
      </c>
      <c r="C313" s="541" t="str">
        <f>VLOOKUP(H313,名称!A:E,4,0)</f>
        <v>三代</v>
      </c>
      <c r="D313" s="431" t="s">
        <v>1311</v>
      </c>
      <c r="E313" s="431" t="s">
        <v>1325</v>
      </c>
      <c r="F313" s="541">
        <v>2551020484</v>
      </c>
      <c r="G313" s="431" t="s">
        <v>991</v>
      </c>
      <c r="H313" s="431" t="s">
        <v>83</v>
      </c>
      <c r="I313" s="129"/>
      <c r="J313" s="586">
        <v>2004</v>
      </c>
      <c r="K313" s="95">
        <f>VLOOKUP(H313,名称!A:C,2,0)</f>
        <v>5</v>
      </c>
      <c r="L313" s="96">
        <f t="shared" si="54"/>
        <v>10020</v>
      </c>
      <c r="M313" s="541">
        <f>VLOOKUP(H313,名称!A:E,3,0)</f>
        <v>12</v>
      </c>
      <c r="N313" s="586">
        <f t="shared" si="47"/>
        <v>167</v>
      </c>
      <c r="O313" s="549">
        <v>46269</v>
      </c>
      <c r="P313" s="549">
        <v>46269</v>
      </c>
      <c r="Q313" s="549">
        <v>46269</v>
      </c>
      <c r="R313" s="541"/>
      <c r="S313" s="549">
        <v>46272</v>
      </c>
      <c r="T313" s="541"/>
      <c r="U313" s="541"/>
      <c r="V313" s="541"/>
      <c r="W313" s="518" t="str">
        <f>IFERROR(VLOOKUP(H313,名称!A:F,6,0),"")</f>
        <v>湖南</v>
      </c>
      <c r="X313" s="541" t="s">
        <v>1133</v>
      </c>
      <c r="Y313" s="431" t="s">
        <v>1133</v>
      </c>
      <c r="Z313" s="567">
        <v>46209</v>
      </c>
      <c r="AA313" s="552">
        <v>46212</v>
      </c>
      <c r="AB313" s="567">
        <v>46213</v>
      </c>
      <c r="AC313" s="541" t="s">
        <v>1133</v>
      </c>
      <c r="AD313" s="541" t="s">
        <v>1133</v>
      </c>
      <c r="AE313" s="541" t="s">
        <v>253</v>
      </c>
      <c r="AF313" s="541" t="s">
        <v>1228</v>
      </c>
      <c r="AG313" s="541" t="s">
        <v>253</v>
      </c>
      <c r="AH313" s="541" t="s">
        <v>1133</v>
      </c>
      <c r="AI313" s="541" t="s">
        <v>1228</v>
      </c>
      <c r="AJ313" s="541" t="s">
        <v>1133</v>
      </c>
      <c r="AK313" s="541" t="s">
        <v>253</v>
      </c>
      <c r="AL313" s="541"/>
      <c r="AM313" s="431" t="s">
        <v>1250</v>
      </c>
      <c r="AN313" s="469" t="s">
        <v>1312</v>
      </c>
      <c r="AO313" s="624">
        <v>0.83</v>
      </c>
      <c r="AP313" s="625">
        <f t="shared" si="56"/>
        <v>1663.32</v>
      </c>
      <c r="AQ313" s="625">
        <f t="shared" si="57"/>
        <v>12890.73</v>
      </c>
      <c r="AR313" s="626"/>
      <c r="AS313" s="549"/>
      <c r="AT313" s="420" t="s">
        <v>1313</v>
      </c>
      <c r="AU313" s="548"/>
      <c r="AV313" s="548">
        <f t="shared" si="58"/>
        <v>-2004</v>
      </c>
      <c r="AW313" s="627"/>
      <c r="AX313" s="549"/>
      <c r="AY313" s="420" t="s">
        <v>1255</v>
      </c>
      <c r="AZ313" s="549" t="s">
        <v>1256</v>
      </c>
      <c r="BA313" s="549"/>
      <c r="BB313" s="455" t="str">
        <f t="shared" si="59"/>
        <v>JAZWARES - WALMART CA</v>
      </c>
      <c r="BC313" s="455" t="str">
        <f t="shared" si="60"/>
        <v>加拿大</v>
      </c>
    </row>
    <row r="314" s="495" customFormat="1" customHeight="1" spans="1:55">
      <c r="A314" s="549">
        <v>46196</v>
      </c>
      <c r="B314" s="549" t="str">
        <f ca="1" t="shared" si="55"/>
        <v/>
      </c>
      <c r="C314" s="541" t="str">
        <f>VLOOKUP(H314,名称!A:E,4,0)</f>
        <v>三代</v>
      </c>
      <c r="D314" s="431" t="s">
        <v>1311</v>
      </c>
      <c r="E314" s="431" t="s">
        <v>1325</v>
      </c>
      <c r="F314" s="541">
        <v>2551020485</v>
      </c>
      <c r="G314" s="431" t="s">
        <v>992</v>
      </c>
      <c r="H314" s="630" t="s">
        <v>83</v>
      </c>
      <c r="I314" s="129"/>
      <c r="J314" s="586">
        <v>1992</v>
      </c>
      <c r="K314" s="95">
        <f>VLOOKUP(H314,名称!A:C,2,0)</f>
        <v>5</v>
      </c>
      <c r="L314" s="96">
        <f t="shared" si="54"/>
        <v>9960</v>
      </c>
      <c r="M314" s="541">
        <f>VLOOKUP(H314,名称!A:E,3,0)</f>
        <v>12</v>
      </c>
      <c r="N314" s="586">
        <f t="shared" si="47"/>
        <v>166</v>
      </c>
      <c r="O314" s="549">
        <v>46276</v>
      </c>
      <c r="P314" s="549">
        <v>46276</v>
      </c>
      <c r="Q314" s="549">
        <v>46276</v>
      </c>
      <c r="R314" s="541"/>
      <c r="S314" s="549">
        <v>46279</v>
      </c>
      <c r="T314" s="541"/>
      <c r="U314" s="541"/>
      <c r="V314" s="541"/>
      <c r="W314" s="518" t="str">
        <f>IFERROR(VLOOKUP(H314,名称!A:F,6,0),"")</f>
        <v>湖南</v>
      </c>
      <c r="X314" s="541" t="s">
        <v>1133</v>
      </c>
      <c r="Y314" s="541" t="s">
        <v>1133</v>
      </c>
      <c r="Z314" s="567">
        <v>46209</v>
      </c>
      <c r="AA314" s="552">
        <v>46212</v>
      </c>
      <c r="AB314" s="567">
        <v>46213</v>
      </c>
      <c r="AC314" s="541" t="s">
        <v>1133</v>
      </c>
      <c r="AD314" s="541" t="s">
        <v>1133</v>
      </c>
      <c r="AE314" s="541" t="s">
        <v>253</v>
      </c>
      <c r="AF314" s="541" t="s">
        <v>1228</v>
      </c>
      <c r="AG314" s="541" t="s">
        <v>253</v>
      </c>
      <c r="AH314" s="541" t="s">
        <v>1133</v>
      </c>
      <c r="AI314" s="541" t="s">
        <v>1228</v>
      </c>
      <c r="AJ314" s="541" t="s">
        <v>1133</v>
      </c>
      <c r="AK314" s="541" t="s">
        <v>253</v>
      </c>
      <c r="AL314" s="541"/>
      <c r="AM314" s="431" t="s">
        <v>1250</v>
      </c>
      <c r="AN314" s="469" t="s">
        <v>1312</v>
      </c>
      <c r="AO314" s="624">
        <v>0.83</v>
      </c>
      <c r="AP314" s="625">
        <f t="shared" si="56"/>
        <v>1653.36</v>
      </c>
      <c r="AQ314" s="625">
        <f t="shared" si="57"/>
        <v>12813.54</v>
      </c>
      <c r="AR314" s="626"/>
      <c r="AS314" s="549"/>
      <c r="AT314" s="420" t="s">
        <v>1313</v>
      </c>
      <c r="AU314" s="548"/>
      <c r="AV314" s="548">
        <f t="shared" si="58"/>
        <v>-1992</v>
      </c>
      <c r="AW314" s="627"/>
      <c r="AX314" s="549"/>
      <c r="AY314" s="420" t="s">
        <v>1255</v>
      </c>
      <c r="AZ314" s="549" t="s">
        <v>1256</v>
      </c>
      <c r="BA314" s="549"/>
      <c r="BB314" s="455" t="str">
        <f t="shared" si="59"/>
        <v>JAZWARES - WALMART CA</v>
      </c>
      <c r="BC314" s="455" t="str">
        <f t="shared" si="60"/>
        <v>加拿大</v>
      </c>
    </row>
    <row r="315" s="495" customFormat="1" customHeight="1" spans="1:55">
      <c r="A315" s="549">
        <v>46203</v>
      </c>
      <c r="B315" s="549" t="str">
        <f ca="1" t="shared" si="55"/>
        <v/>
      </c>
      <c r="C315" s="541" t="str">
        <f>VLOOKUP(H315,名称!A:E,4,0)</f>
        <v>三代</v>
      </c>
      <c r="D315" s="431" t="s">
        <v>1420</v>
      </c>
      <c r="E315" s="431" t="s">
        <v>1421</v>
      </c>
      <c r="F315" s="431" t="s">
        <v>998</v>
      </c>
      <c r="G315" s="631" t="s">
        <v>999</v>
      </c>
      <c r="H315" s="632" t="s">
        <v>112</v>
      </c>
      <c r="I315" s="633"/>
      <c r="J315" s="586">
        <f>1300+200</f>
        <v>1500</v>
      </c>
      <c r="K315" s="95">
        <f>VLOOKUP(H315,名称!A:C,2,0)</f>
        <v>50</v>
      </c>
      <c r="L315" s="96">
        <f t="shared" si="54"/>
        <v>75000</v>
      </c>
      <c r="M315" s="541">
        <f>VLOOKUP(H315,名称!A:E,3,0)</f>
        <v>2</v>
      </c>
      <c r="N315" s="586">
        <f t="shared" si="47"/>
        <v>750</v>
      </c>
      <c r="O315" s="549">
        <v>46269</v>
      </c>
      <c r="P315" s="549">
        <v>46269</v>
      </c>
      <c r="Q315" s="549">
        <v>46269</v>
      </c>
      <c r="R315" s="541"/>
      <c r="S315" s="420" t="s">
        <v>1133</v>
      </c>
      <c r="T315" s="541"/>
      <c r="U315" s="541"/>
      <c r="V315" s="541"/>
      <c r="W315" s="518" t="str">
        <f>IFERROR(VLOOKUP(H315,名称!A:F,6,0),"")</f>
        <v>湖南</v>
      </c>
      <c r="X315" s="431" t="s">
        <v>1248</v>
      </c>
      <c r="Y315" s="478">
        <v>46223</v>
      </c>
      <c r="Z315" s="431" t="s">
        <v>1249</v>
      </c>
      <c r="AA315" s="552">
        <v>46212</v>
      </c>
      <c r="AB315" s="567">
        <v>46213</v>
      </c>
      <c r="AC315" s="431" t="s">
        <v>1133</v>
      </c>
      <c r="AD315" s="431" t="s">
        <v>1133</v>
      </c>
      <c r="AE315" s="541" t="s">
        <v>510</v>
      </c>
      <c r="AF315" s="431" t="s">
        <v>1228</v>
      </c>
      <c r="AG315" s="541" t="s">
        <v>510</v>
      </c>
      <c r="AH315" s="431" t="s">
        <v>1133</v>
      </c>
      <c r="AI315" s="431" t="s">
        <v>1228</v>
      </c>
      <c r="AJ315" s="431" t="s">
        <v>1133</v>
      </c>
      <c r="AK315" s="431" t="s">
        <v>1356</v>
      </c>
      <c r="AL315" s="541"/>
      <c r="AM315" s="422" t="s">
        <v>1267</v>
      </c>
      <c r="AN315" s="431" t="s">
        <v>1251</v>
      </c>
      <c r="AO315" s="624">
        <v>9.15</v>
      </c>
      <c r="AP315" s="625">
        <f t="shared" si="56"/>
        <v>13725</v>
      </c>
      <c r="AQ315" s="625">
        <f t="shared" si="57"/>
        <v>106368.75</v>
      </c>
      <c r="AR315" s="626"/>
      <c r="AS315" s="549"/>
      <c r="AT315" s="420" t="s">
        <v>1220</v>
      </c>
      <c r="AU315" s="548"/>
      <c r="AV315" s="548">
        <f t="shared" si="58"/>
        <v>-1500</v>
      </c>
      <c r="AW315" s="627"/>
      <c r="AX315" s="549"/>
      <c r="AY315" s="420" t="s">
        <v>1269</v>
      </c>
      <c r="AZ315" s="549" t="s">
        <v>1256</v>
      </c>
      <c r="BA315" s="549"/>
      <c r="BB315" s="538" t="str">
        <f t="shared" si="59"/>
        <v>Banter Toys</v>
      </c>
      <c r="BC315" s="538" t="str">
        <f t="shared" si="60"/>
        <v>澳大利亚</v>
      </c>
    </row>
    <row r="316" s="495" customFormat="1" customHeight="1" spans="1:55">
      <c r="A316" s="549">
        <v>46204</v>
      </c>
      <c r="B316" s="549" t="str">
        <f ca="1" t="shared" si="55"/>
        <v>异常</v>
      </c>
      <c r="C316" s="541" t="str">
        <f>VLOOKUP(H316,名称!A:E,4,0)</f>
        <v>三代</v>
      </c>
      <c r="D316" s="431" t="s">
        <v>1429</v>
      </c>
      <c r="E316" s="431" t="s">
        <v>1224</v>
      </c>
      <c r="F316" s="431" t="s">
        <v>1010</v>
      </c>
      <c r="G316" s="431" t="s">
        <v>1011</v>
      </c>
      <c r="H316" s="618" t="s">
        <v>96</v>
      </c>
      <c r="I316" s="129"/>
      <c r="J316" s="586">
        <v>2004</v>
      </c>
      <c r="K316" s="95">
        <f>VLOOKUP(H316,名称!A:C,2,0)</f>
        <v>5</v>
      </c>
      <c r="L316" s="96">
        <f t="shared" ref="L316:L347" si="61">J316*K316</f>
        <v>10020</v>
      </c>
      <c r="M316" s="541">
        <f>VLOOKUP(H316,名称!A:E,3,0)</f>
        <v>12</v>
      </c>
      <c r="N316" s="586">
        <f t="shared" si="47"/>
        <v>167</v>
      </c>
      <c r="O316" s="549">
        <v>46370</v>
      </c>
      <c r="P316" s="549">
        <v>46370</v>
      </c>
      <c r="Q316" s="549">
        <v>46370</v>
      </c>
      <c r="R316" s="541"/>
      <c r="S316" s="549">
        <v>46371</v>
      </c>
      <c r="T316" s="541"/>
      <c r="U316" s="541"/>
      <c r="V316" s="541"/>
      <c r="W316" s="518" t="str">
        <f>IFERROR(VLOOKUP(H316,名称!A:F,6,0),"")</f>
        <v>湖南</v>
      </c>
      <c r="X316" s="431" t="s">
        <v>1133</v>
      </c>
      <c r="Y316" s="431" t="s">
        <v>1133</v>
      </c>
      <c r="Z316" s="541" t="s">
        <v>1233</v>
      </c>
      <c r="AA316" s="552"/>
      <c r="AB316" s="541"/>
      <c r="AC316" s="431" t="s">
        <v>1133</v>
      </c>
      <c r="AD316" s="431" t="s">
        <v>1133</v>
      </c>
      <c r="AE316" s="431" t="s">
        <v>270</v>
      </c>
      <c r="AF316" s="431" t="s">
        <v>1228</v>
      </c>
      <c r="AG316" s="431" t="s">
        <v>270</v>
      </c>
      <c r="AH316" s="431" t="s">
        <v>1133</v>
      </c>
      <c r="AI316" s="431" t="s">
        <v>1228</v>
      </c>
      <c r="AJ316" s="431" t="s">
        <v>1133</v>
      </c>
      <c r="AK316" s="431" t="s">
        <v>270</v>
      </c>
      <c r="AL316" s="541"/>
      <c r="AM316" s="541"/>
      <c r="AN316" s="541"/>
      <c r="AO316" s="624">
        <v>0.59</v>
      </c>
      <c r="AP316" s="625">
        <f t="shared" si="56"/>
        <v>1182.36</v>
      </c>
      <c r="AQ316" s="625">
        <f t="shared" si="57"/>
        <v>9163.29</v>
      </c>
      <c r="AR316" s="626"/>
      <c r="AS316" s="549"/>
      <c r="AT316" s="420" t="s">
        <v>1220</v>
      </c>
      <c r="AU316" s="548"/>
      <c r="AV316" s="548">
        <f t="shared" si="58"/>
        <v>-2004</v>
      </c>
      <c r="AW316" s="627"/>
      <c r="AX316" s="420" t="s">
        <v>1280</v>
      </c>
      <c r="AY316" s="420" t="s">
        <v>1255</v>
      </c>
      <c r="AZ316" s="420" t="s">
        <v>1256</v>
      </c>
      <c r="BA316" s="549"/>
      <c r="BB316" s="549" t="str">
        <f t="shared" si="59"/>
        <v>JAZWARES - MEIJER INC. DOM</v>
      </c>
      <c r="BC316" s="549" t="str">
        <f t="shared" si="60"/>
        <v>美国</v>
      </c>
    </row>
    <row r="317" s="495" customFormat="1" customHeight="1" spans="1:55">
      <c r="A317" s="549">
        <v>46204</v>
      </c>
      <c r="B317" s="549" t="str">
        <f ca="1" t="shared" si="55"/>
        <v>异常</v>
      </c>
      <c r="C317" s="541" t="str">
        <f>VLOOKUP(H317,名称!A:E,4,0)</f>
        <v>三代</v>
      </c>
      <c r="D317" s="431" t="s">
        <v>1429</v>
      </c>
      <c r="E317" s="431" t="s">
        <v>1224</v>
      </c>
      <c r="F317" s="431" t="s">
        <v>1012</v>
      </c>
      <c r="G317" s="431" t="s">
        <v>1013</v>
      </c>
      <c r="H317" s="431" t="s">
        <v>96</v>
      </c>
      <c r="I317" s="129"/>
      <c r="J317" s="586">
        <v>1500</v>
      </c>
      <c r="K317" s="95">
        <f>VLOOKUP(H317,名称!A:C,2,0)</f>
        <v>5</v>
      </c>
      <c r="L317" s="96">
        <f t="shared" si="61"/>
        <v>7500</v>
      </c>
      <c r="M317" s="541">
        <f>VLOOKUP(H317,名称!A:E,3,0)</f>
        <v>12</v>
      </c>
      <c r="N317" s="586">
        <f t="shared" si="47"/>
        <v>125</v>
      </c>
      <c r="O317" s="549">
        <v>46441</v>
      </c>
      <c r="P317" s="549">
        <v>46441</v>
      </c>
      <c r="Q317" s="549">
        <v>46441</v>
      </c>
      <c r="R317" s="541"/>
      <c r="S317" s="549">
        <v>46442</v>
      </c>
      <c r="T317" s="541"/>
      <c r="U317" s="541"/>
      <c r="V317" s="541"/>
      <c r="W317" s="518" t="str">
        <f>IFERROR(VLOOKUP(H317,名称!A:F,6,0),"")</f>
        <v>湖南</v>
      </c>
      <c r="X317" s="431" t="s">
        <v>1133</v>
      </c>
      <c r="Y317" s="431" t="s">
        <v>1133</v>
      </c>
      <c r="Z317" s="541" t="s">
        <v>1233</v>
      </c>
      <c r="AA317" s="552"/>
      <c r="AB317" s="541"/>
      <c r="AC317" s="431" t="s">
        <v>1133</v>
      </c>
      <c r="AD317" s="431" t="s">
        <v>1133</v>
      </c>
      <c r="AE317" s="431" t="s">
        <v>270</v>
      </c>
      <c r="AF317" s="431" t="s">
        <v>1228</v>
      </c>
      <c r="AG317" s="431" t="s">
        <v>270</v>
      </c>
      <c r="AH317" s="431" t="s">
        <v>1133</v>
      </c>
      <c r="AI317" s="431" t="s">
        <v>1228</v>
      </c>
      <c r="AJ317" s="431" t="s">
        <v>1133</v>
      </c>
      <c r="AK317" s="431" t="s">
        <v>270</v>
      </c>
      <c r="AL317" s="541"/>
      <c r="AM317" s="541"/>
      <c r="AN317" s="541"/>
      <c r="AO317" s="624">
        <v>0.59</v>
      </c>
      <c r="AP317" s="625">
        <f t="shared" si="56"/>
        <v>885</v>
      </c>
      <c r="AQ317" s="625">
        <f t="shared" si="57"/>
        <v>6858.75</v>
      </c>
      <c r="AR317" s="626"/>
      <c r="AS317" s="549"/>
      <c r="AT317" s="420" t="s">
        <v>1220</v>
      </c>
      <c r="AU317" s="548"/>
      <c r="AV317" s="548">
        <f t="shared" si="58"/>
        <v>-1500</v>
      </c>
      <c r="AW317" s="627"/>
      <c r="AX317" s="420" t="s">
        <v>1280</v>
      </c>
      <c r="AY317" s="420" t="s">
        <v>1255</v>
      </c>
      <c r="AZ317" s="420" t="s">
        <v>1256</v>
      </c>
      <c r="BA317" s="549"/>
      <c r="BB317" s="549" t="str">
        <f t="shared" si="59"/>
        <v>JAZWARES - MEIJER INC. DOM</v>
      </c>
      <c r="BC317" s="549" t="str">
        <f t="shared" si="60"/>
        <v>美国</v>
      </c>
    </row>
    <row r="318" s="495" customFormat="1" customHeight="1" spans="1:55">
      <c r="A318" s="549">
        <v>46204</v>
      </c>
      <c r="B318" s="549" t="str">
        <f ca="1" t="shared" si="55"/>
        <v>异常</v>
      </c>
      <c r="C318" s="541" t="str">
        <f>VLOOKUP(H318,名称!A:E,4,0)</f>
        <v>三代</v>
      </c>
      <c r="D318" s="431" t="s">
        <v>1429</v>
      </c>
      <c r="E318" s="431" t="s">
        <v>1224</v>
      </c>
      <c r="F318" s="431" t="s">
        <v>1000</v>
      </c>
      <c r="G318" s="431" t="s">
        <v>1001</v>
      </c>
      <c r="H318" s="431" t="s">
        <v>83</v>
      </c>
      <c r="I318" s="129"/>
      <c r="J318" s="586">
        <v>1008</v>
      </c>
      <c r="K318" s="95">
        <f>VLOOKUP(H318,名称!A:C,2,0)</f>
        <v>5</v>
      </c>
      <c r="L318" s="96">
        <f t="shared" si="61"/>
        <v>5040</v>
      </c>
      <c r="M318" s="541">
        <f>VLOOKUP(H318,名称!A:E,3,0)</f>
        <v>12</v>
      </c>
      <c r="N318" s="586">
        <f t="shared" si="47"/>
        <v>84</v>
      </c>
      <c r="O318" s="549">
        <v>46363</v>
      </c>
      <c r="P318" s="549">
        <v>46363</v>
      </c>
      <c r="Q318" s="549">
        <v>46363</v>
      </c>
      <c r="R318" s="541"/>
      <c r="S318" s="549">
        <v>46364</v>
      </c>
      <c r="T318" s="541"/>
      <c r="U318" s="541"/>
      <c r="V318" s="431" t="s">
        <v>1396</v>
      </c>
      <c r="W318" s="518" t="str">
        <f>IFERROR(VLOOKUP(H318,名称!A:F,6,0),"")</f>
        <v>湖南</v>
      </c>
      <c r="X318" s="431" t="s">
        <v>1133</v>
      </c>
      <c r="Y318" s="431" t="s">
        <v>1133</v>
      </c>
      <c r="Z318" s="541" t="s">
        <v>1233</v>
      </c>
      <c r="AA318" s="552"/>
      <c r="AB318" s="541"/>
      <c r="AC318" s="431" t="s">
        <v>1133</v>
      </c>
      <c r="AD318" s="431" t="s">
        <v>1133</v>
      </c>
      <c r="AE318" s="431" t="s">
        <v>270</v>
      </c>
      <c r="AF318" s="431" t="s">
        <v>1228</v>
      </c>
      <c r="AG318" s="431" t="s">
        <v>270</v>
      </c>
      <c r="AH318" s="431" t="s">
        <v>1133</v>
      </c>
      <c r="AI318" s="431" t="s">
        <v>1228</v>
      </c>
      <c r="AJ318" s="431" t="s">
        <v>1133</v>
      </c>
      <c r="AK318" s="431" t="s">
        <v>270</v>
      </c>
      <c r="AL318" s="541"/>
      <c r="AM318" s="541"/>
      <c r="AN318" s="431" t="s">
        <v>1349</v>
      </c>
      <c r="AO318" s="624">
        <v>0.83</v>
      </c>
      <c r="AP318" s="625">
        <f t="shared" si="56"/>
        <v>836.64</v>
      </c>
      <c r="AQ318" s="625">
        <f t="shared" si="57"/>
        <v>6483.96</v>
      </c>
      <c r="AR318" s="626"/>
      <c r="AS318" s="549"/>
      <c r="AT318" s="420" t="s">
        <v>1220</v>
      </c>
      <c r="AU318" s="548"/>
      <c r="AV318" s="548">
        <f t="shared" si="58"/>
        <v>-1008</v>
      </c>
      <c r="AW318" s="627"/>
      <c r="AX318" s="420" t="s">
        <v>1280</v>
      </c>
      <c r="AY318" s="420" t="s">
        <v>1255</v>
      </c>
      <c r="AZ318" s="420" t="s">
        <v>1256</v>
      </c>
      <c r="BA318" s="549"/>
      <c r="BB318" s="538" t="str">
        <f t="shared" si="59"/>
        <v>JAZWARES - MEIJER INC. DOM</v>
      </c>
      <c r="BC318" s="538" t="str">
        <f t="shared" si="60"/>
        <v>美国</v>
      </c>
    </row>
    <row r="319" s="495" customFormat="1" customHeight="1" spans="1:55">
      <c r="A319" s="549">
        <v>46204</v>
      </c>
      <c r="B319" s="549" t="str">
        <f ca="1" t="shared" si="55"/>
        <v>异常</v>
      </c>
      <c r="C319" s="541" t="str">
        <f>VLOOKUP(H319,名称!A:E,4,0)</f>
        <v>三代</v>
      </c>
      <c r="D319" s="431" t="s">
        <v>1429</v>
      </c>
      <c r="E319" s="431" t="s">
        <v>1224</v>
      </c>
      <c r="F319" s="431" t="s">
        <v>1002</v>
      </c>
      <c r="G319" s="431" t="s">
        <v>1003</v>
      </c>
      <c r="H319" s="431" t="s">
        <v>83</v>
      </c>
      <c r="I319" s="129"/>
      <c r="J319" s="586">
        <v>2004</v>
      </c>
      <c r="K319" s="95">
        <f>VLOOKUP(H319,名称!A:C,2,0)</f>
        <v>5</v>
      </c>
      <c r="L319" s="96">
        <f t="shared" si="61"/>
        <v>10020</v>
      </c>
      <c r="M319" s="541">
        <f>VLOOKUP(H319,名称!A:E,3,0)</f>
        <v>12</v>
      </c>
      <c r="N319" s="586">
        <f t="shared" si="47"/>
        <v>167</v>
      </c>
      <c r="O319" s="549">
        <v>46433</v>
      </c>
      <c r="P319" s="549">
        <v>46433</v>
      </c>
      <c r="Q319" s="549">
        <v>46433</v>
      </c>
      <c r="R319" s="541"/>
      <c r="S319" s="549">
        <v>46434</v>
      </c>
      <c r="T319" s="541"/>
      <c r="U319" s="541"/>
      <c r="V319" s="541"/>
      <c r="W319" s="518" t="str">
        <f>IFERROR(VLOOKUP(H319,名称!A:F,6,0),"")</f>
        <v>湖南</v>
      </c>
      <c r="X319" s="431" t="s">
        <v>1133</v>
      </c>
      <c r="Y319" s="431" t="s">
        <v>1133</v>
      </c>
      <c r="Z319" s="541" t="s">
        <v>1233</v>
      </c>
      <c r="AA319" s="552"/>
      <c r="AB319" s="541"/>
      <c r="AC319" s="431" t="s">
        <v>1133</v>
      </c>
      <c r="AD319" s="431" t="s">
        <v>1133</v>
      </c>
      <c r="AE319" s="431" t="s">
        <v>270</v>
      </c>
      <c r="AF319" s="431" t="s">
        <v>1228</v>
      </c>
      <c r="AG319" s="431" t="s">
        <v>270</v>
      </c>
      <c r="AH319" s="431" t="s">
        <v>1133</v>
      </c>
      <c r="AI319" s="431" t="s">
        <v>1228</v>
      </c>
      <c r="AJ319" s="431" t="s">
        <v>1133</v>
      </c>
      <c r="AK319" s="431" t="s">
        <v>270</v>
      </c>
      <c r="AL319" s="541"/>
      <c r="AM319" s="541"/>
      <c r="AN319" s="431" t="s">
        <v>1349</v>
      </c>
      <c r="AO319" s="624">
        <v>0.83</v>
      </c>
      <c r="AP319" s="625">
        <f t="shared" si="56"/>
        <v>1663.32</v>
      </c>
      <c r="AQ319" s="625">
        <f t="shared" si="57"/>
        <v>12890.73</v>
      </c>
      <c r="AR319" s="626"/>
      <c r="AS319" s="549"/>
      <c r="AT319" s="420" t="s">
        <v>1220</v>
      </c>
      <c r="AU319" s="548"/>
      <c r="AV319" s="548">
        <f t="shared" si="58"/>
        <v>-2004</v>
      </c>
      <c r="AW319" s="627"/>
      <c r="AX319" s="420" t="s">
        <v>1280</v>
      </c>
      <c r="AY319" s="420" t="s">
        <v>1255</v>
      </c>
      <c r="AZ319" s="420" t="s">
        <v>1256</v>
      </c>
      <c r="BA319" s="549"/>
      <c r="BB319" s="538" t="str">
        <f t="shared" si="59"/>
        <v>JAZWARES - MEIJER INC. DOM</v>
      </c>
      <c r="BC319" s="538" t="str">
        <f t="shared" si="60"/>
        <v>美国</v>
      </c>
    </row>
    <row r="320" s="495" customFormat="1" customHeight="1" spans="1:55">
      <c r="A320" s="549">
        <v>46204</v>
      </c>
      <c r="B320" s="549" t="str">
        <f ca="1" t="shared" si="55"/>
        <v>异常</v>
      </c>
      <c r="C320" s="541" t="str">
        <f>VLOOKUP(H320,名称!A:E,4,0)</f>
        <v>三代</v>
      </c>
      <c r="D320" s="431" t="s">
        <v>1429</v>
      </c>
      <c r="E320" s="431" t="s">
        <v>1224</v>
      </c>
      <c r="F320" s="431" t="s">
        <v>1004</v>
      </c>
      <c r="G320" s="431" t="s">
        <v>1005</v>
      </c>
      <c r="H320" s="431" t="s">
        <v>59</v>
      </c>
      <c r="I320" s="129"/>
      <c r="J320" s="586">
        <v>6000</v>
      </c>
      <c r="K320" s="95">
        <f>VLOOKUP(H320,名称!A:C,2,0)</f>
        <v>5</v>
      </c>
      <c r="L320" s="96">
        <f t="shared" si="61"/>
        <v>30000</v>
      </c>
      <c r="M320" s="541">
        <f>VLOOKUP(H320,名称!A:E,3,0)</f>
        <v>24</v>
      </c>
      <c r="N320" s="586">
        <f t="shared" si="47"/>
        <v>250</v>
      </c>
      <c r="O320" s="549">
        <v>46347</v>
      </c>
      <c r="P320" s="549">
        <v>46347</v>
      </c>
      <c r="Q320" s="549">
        <v>46347</v>
      </c>
      <c r="R320" s="541"/>
      <c r="S320" s="549">
        <v>46349</v>
      </c>
      <c r="T320" s="541"/>
      <c r="U320" s="541"/>
      <c r="V320" s="431" t="s">
        <v>1396</v>
      </c>
      <c r="W320" s="518" t="str">
        <f>IFERROR(VLOOKUP(H320,名称!A:F,6,0),"")</f>
        <v>湖南</v>
      </c>
      <c r="X320" s="431" t="s">
        <v>1133</v>
      </c>
      <c r="Y320" s="431" t="s">
        <v>1133</v>
      </c>
      <c r="Z320" s="541" t="s">
        <v>1233</v>
      </c>
      <c r="AA320" s="552"/>
      <c r="AB320" s="541"/>
      <c r="AC320" s="431" t="s">
        <v>1133</v>
      </c>
      <c r="AD320" s="431" t="s">
        <v>1133</v>
      </c>
      <c r="AE320" s="431" t="s">
        <v>270</v>
      </c>
      <c r="AF320" s="431" t="s">
        <v>1228</v>
      </c>
      <c r="AG320" s="431" t="s">
        <v>270</v>
      </c>
      <c r="AH320" s="431" t="s">
        <v>1133</v>
      </c>
      <c r="AI320" s="431" t="s">
        <v>1228</v>
      </c>
      <c r="AJ320" s="431" t="s">
        <v>1133</v>
      </c>
      <c r="AK320" s="431" t="s">
        <v>270</v>
      </c>
      <c r="AL320" s="541"/>
      <c r="AM320" s="541"/>
      <c r="AN320" s="541"/>
      <c r="AO320" s="624">
        <v>0.62</v>
      </c>
      <c r="AP320" s="625">
        <f t="shared" si="56"/>
        <v>3720</v>
      </c>
      <c r="AQ320" s="625">
        <f t="shared" si="57"/>
        <v>28830</v>
      </c>
      <c r="AR320" s="626"/>
      <c r="AS320" s="549"/>
      <c r="AT320" s="420" t="s">
        <v>1220</v>
      </c>
      <c r="AU320" s="548"/>
      <c r="AV320" s="548">
        <f t="shared" si="58"/>
        <v>-6000</v>
      </c>
      <c r="AW320" s="627"/>
      <c r="AX320" s="420" t="s">
        <v>1280</v>
      </c>
      <c r="AY320" s="420" t="s">
        <v>1255</v>
      </c>
      <c r="AZ320" s="420" t="s">
        <v>1256</v>
      </c>
      <c r="BA320" s="549"/>
      <c r="BB320" s="549" t="str">
        <f t="shared" si="59"/>
        <v>JAZWARES - MEIJER INC. DOM</v>
      </c>
      <c r="BC320" s="549" t="str">
        <f t="shared" si="60"/>
        <v>美国</v>
      </c>
    </row>
    <row r="321" s="495" customFormat="1" customHeight="1" spans="1:55">
      <c r="A321" s="549">
        <v>46204</v>
      </c>
      <c r="B321" s="549" t="str">
        <f ca="1" t="shared" si="55"/>
        <v>异常</v>
      </c>
      <c r="C321" s="541" t="str">
        <f>VLOOKUP(H321,名称!A:E,4,0)</f>
        <v>三代</v>
      </c>
      <c r="D321" s="431" t="s">
        <v>1429</v>
      </c>
      <c r="E321" s="431" t="s">
        <v>1224</v>
      </c>
      <c r="F321" s="431" t="s">
        <v>1006</v>
      </c>
      <c r="G321" s="431" t="s">
        <v>1007</v>
      </c>
      <c r="H321" s="431" t="s">
        <v>59</v>
      </c>
      <c r="I321" s="129"/>
      <c r="J321" s="586">
        <v>8016</v>
      </c>
      <c r="K321" s="95">
        <f>VLOOKUP(H321,名称!A:C,2,0)</f>
        <v>5</v>
      </c>
      <c r="L321" s="96">
        <f t="shared" si="61"/>
        <v>40080</v>
      </c>
      <c r="M321" s="541">
        <f>VLOOKUP(H321,名称!A:E,3,0)</f>
        <v>24</v>
      </c>
      <c r="N321" s="586">
        <f t="shared" si="47"/>
        <v>334</v>
      </c>
      <c r="O321" s="549">
        <v>46391</v>
      </c>
      <c r="P321" s="549">
        <v>46391</v>
      </c>
      <c r="Q321" s="549">
        <v>46391</v>
      </c>
      <c r="R321" s="541"/>
      <c r="S321" s="549">
        <v>46392</v>
      </c>
      <c r="T321" s="541"/>
      <c r="U321" s="541"/>
      <c r="V321" s="541"/>
      <c r="W321" s="518" t="str">
        <f>IFERROR(VLOOKUP(H321,名称!A:F,6,0),"")</f>
        <v>湖南</v>
      </c>
      <c r="X321" s="431" t="s">
        <v>1133</v>
      </c>
      <c r="Y321" s="431" t="s">
        <v>1133</v>
      </c>
      <c r="Z321" s="541" t="s">
        <v>1233</v>
      </c>
      <c r="AA321" s="552"/>
      <c r="AB321" s="541"/>
      <c r="AC321" s="431" t="s">
        <v>1133</v>
      </c>
      <c r="AD321" s="431" t="s">
        <v>1133</v>
      </c>
      <c r="AE321" s="431" t="s">
        <v>270</v>
      </c>
      <c r="AF321" s="431" t="s">
        <v>1228</v>
      </c>
      <c r="AG321" s="431" t="s">
        <v>270</v>
      </c>
      <c r="AH321" s="431" t="s">
        <v>1133</v>
      </c>
      <c r="AI321" s="431" t="s">
        <v>1228</v>
      </c>
      <c r="AJ321" s="431" t="s">
        <v>1133</v>
      </c>
      <c r="AK321" s="431" t="s">
        <v>270</v>
      </c>
      <c r="AL321" s="541"/>
      <c r="AM321" s="541"/>
      <c r="AN321" s="541"/>
      <c r="AO321" s="624">
        <v>0.62</v>
      </c>
      <c r="AP321" s="625">
        <f t="shared" si="56"/>
        <v>4969.92</v>
      </c>
      <c r="AQ321" s="625">
        <f t="shared" si="57"/>
        <v>38516.88</v>
      </c>
      <c r="AR321" s="626"/>
      <c r="AS321" s="549"/>
      <c r="AT321" s="420" t="s">
        <v>1220</v>
      </c>
      <c r="AU321" s="548"/>
      <c r="AV321" s="548">
        <f t="shared" si="58"/>
        <v>-8016</v>
      </c>
      <c r="AW321" s="627"/>
      <c r="AX321" s="420" t="s">
        <v>1280</v>
      </c>
      <c r="AY321" s="420" t="s">
        <v>1255</v>
      </c>
      <c r="AZ321" s="420" t="s">
        <v>1256</v>
      </c>
      <c r="BA321" s="549"/>
      <c r="BB321" s="549" t="str">
        <f t="shared" si="59"/>
        <v>JAZWARES - MEIJER INC. DOM</v>
      </c>
      <c r="BC321" s="549" t="str">
        <f t="shared" si="60"/>
        <v>美国</v>
      </c>
    </row>
    <row r="322" s="495" customFormat="1" customHeight="1" spans="1:55">
      <c r="A322" s="549">
        <v>46204</v>
      </c>
      <c r="B322" s="549" t="str">
        <f ca="1" t="shared" si="55"/>
        <v>异常</v>
      </c>
      <c r="C322" s="541" t="str">
        <f>VLOOKUP(H322,名称!A:E,4,0)</f>
        <v>三代</v>
      </c>
      <c r="D322" s="431" t="s">
        <v>1429</v>
      </c>
      <c r="E322" s="431" t="s">
        <v>1224</v>
      </c>
      <c r="F322" s="431" t="s">
        <v>1008</v>
      </c>
      <c r="G322" s="431" t="s">
        <v>1009</v>
      </c>
      <c r="H322" s="431" t="s">
        <v>59</v>
      </c>
      <c r="I322" s="129"/>
      <c r="J322" s="586">
        <v>6000</v>
      </c>
      <c r="K322" s="95">
        <f>VLOOKUP(H322,名称!A:C,2,0)</f>
        <v>5</v>
      </c>
      <c r="L322" s="96">
        <f t="shared" si="61"/>
        <v>30000</v>
      </c>
      <c r="M322" s="541">
        <f>VLOOKUP(H322,名称!A:E,3,0)</f>
        <v>24</v>
      </c>
      <c r="N322" s="586">
        <f t="shared" si="47"/>
        <v>250</v>
      </c>
      <c r="O322" s="549">
        <v>46447</v>
      </c>
      <c r="P322" s="549">
        <v>46447</v>
      </c>
      <c r="Q322" s="549">
        <v>46447</v>
      </c>
      <c r="R322" s="541"/>
      <c r="S322" s="549">
        <v>46448</v>
      </c>
      <c r="T322" s="541"/>
      <c r="U322" s="541"/>
      <c r="V322" s="541"/>
      <c r="W322" s="518" t="str">
        <f>IFERROR(VLOOKUP(H322,名称!A:F,6,0),"")</f>
        <v>湖南</v>
      </c>
      <c r="X322" s="431" t="s">
        <v>1133</v>
      </c>
      <c r="Y322" s="431" t="s">
        <v>1133</v>
      </c>
      <c r="Z322" s="541" t="s">
        <v>1233</v>
      </c>
      <c r="AA322" s="552"/>
      <c r="AB322" s="541"/>
      <c r="AC322" s="431" t="s">
        <v>1133</v>
      </c>
      <c r="AD322" s="431" t="s">
        <v>1133</v>
      </c>
      <c r="AE322" s="431" t="s">
        <v>270</v>
      </c>
      <c r="AF322" s="431" t="s">
        <v>1228</v>
      </c>
      <c r="AG322" s="431" t="s">
        <v>270</v>
      </c>
      <c r="AH322" s="431" t="s">
        <v>1133</v>
      </c>
      <c r="AI322" s="431" t="s">
        <v>1228</v>
      </c>
      <c r="AJ322" s="431" t="s">
        <v>1133</v>
      </c>
      <c r="AK322" s="431" t="s">
        <v>270</v>
      </c>
      <c r="AL322" s="541"/>
      <c r="AM322" s="541"/>
      <c r="AN322" s="541"/>
      <c r="AO322" s="624">
        <v>0.62</v>
      </c>
      <c r="AP322" s="625">
        <f t="shared" si="56"/>
        <v>3720</v>
      </c>
      <c r="AQ322" s="625">
        <f t="shared" si="57"/>
        <v>28830</v>
      </c>
      <c r="AR322" s="626"/>
      <c r="AS322" s="549"/>
      <c r="AT322" s="420" t="s">
        <v>1220</v>
      </c>
      <c r="AU322" s="548"/>
      <c r="AV322" s="548">
        <f t="shared" si="58"/>
        <v>-6000</v>
      </c>
      <c r="AW322" s="627"/>
      <c r="AX322" s="420" t="s">
        <v>1280</v>
      </c>
      <c r="AY322" s="420" t="s">
        <v>1255</v>
      </c>
      <c r="AZ322" s="420" t="s">
        <v>1256</v>
      </c>
      <c r="BA322" s="549"/>
      <c r="BB322" s="549" t="str">
        <f t="shared" si="59"/>
        <v>JAZWARES - MEIJER INC. DOM</v>
      </c>
      <c r="BC322" s="549" t="str">
        <f t="shared" si="60"/>
        <v>美国</v>
      </c>
    </row>
    <row r="323" s="495" customFormat="1" customHeight="1" spans="1:55">
      <c r="A323" s="549">
        <v>46205</v>
      </c>
      <c r="B323" s="549" t="str">
        <f ca="1" t="shared" si="55"/>
        <v/>
      </c>
      <c r="C323" s="541" t="str">
        <f>VLOOKUP(H323,名称!A:E,4,0)</f>
        <v>三代</v>
      </c>
      <c r="D323" s="467" t="s">
        <v>1444</v>
      </c>
      <c r="E323" s="467" t="s">
        <v>1224</v>
      </c>
      <c r="F323" s="431" t="s">
        <v>1016</v>
      </c>
      <c r="G323" s="431" t="s">
        <v>1017</v>
      </c>
      <c r="H323" s="431" t="s">
        <v>85</v>
      </c>
      <c r="I323" s="129"/>
      <c r="J323" s="586">
        <v>9000</v>
      </c>
      <c r="K323" s="95">
        <f>VLOOKUP(H323,名称!A:C,2,0)</f>
        <v>5</v>
      </c>
      <c r="L323" s="96">
        <f t="shared" si="61"/>
        <v>45000</v>
      </c>
      <c r="M323" s="541">
        <f>VLOOKUP(H323,名称!A:E,3,0)</f>
        <v>24</v>
      </c>
      <c r="N323" s="586">
        <f t="shared" si="47"/>
        <v>375</v>
      </c>
      <c r="O323" s="549">
        <v>46265</v>
      </c>
      <c r="P323" s="549">
        <v>46265</v>
      </c>
      <c r="Q323" s="549">
        <v>46265</v>
      </c>
      <c r="R323" s="541"/>
      <c r="S323" s="549">
        <v>46266</v>
      </c>
      <c r="T323" s="541"/>
      <c r="U323" s="541"/>
      <c r="V323" s="541"/>
      <c r="W323" s="518" t="str">
        <f>IFERROR(VLOOKUP(H323,名称!A:F,6,0),"")</f>
        <v>湖南</v>
      </c>
      <c r="X323" s="431" t="s">
        <v>1133</v>
      </c>
      <c r="Y323" s="431" t="s">
        <v>1133</v>
      </c>
      <c r="Z323" s="431" t="s">
        <v>1249</v>
      </c>
      <c r="AA323" s="552">
        <v>46211</v>
      </c>
      <c r="AB323" s="567">
        <v>46211</v>
      </c>
      <c r="AC323" s="431" t="s">
        <v>1133</v>
      </c>
      <c r="AD323" s="431" t="s">
        <v>1133</v>
      </c>
      <c r="AE323" s="431" t="s">
        <v>510</v>
      </c>
      <c r="AF323" s="431" t="s">
        <v>1228</v>
      </c>
      <c r="AG323" s="431" t="s">
        <v>510</v>
      </c>
      <c r="AH323" s="431" t="s">
        <v>1133</v>
      </c>
      <c r="AI323" s="431" t="s">
        <v>1228</v>
      </c>
      <c r="AJ323" s="431" t="s">
        <v>1133</v>
      </c>
      <c r="AK323" s="431" t="s">
        <v>510</v>
      </c>
      <c r="AL323" s="541"/>
      <c r="AM323" s="431" t="s">
        <v>1293</v>
      </c>
      <c r="AN323" s="586" t="s">
        <v>1349</v>
      </c>
      <c r="AO323" s="624">
        <v>0.88</v>
      </c>
      <c r="AP323" s="625">
        <f t="shared" si="56"/>
        <v>7920</v>
      </c>
      <c r="AQ323" s="625">
        <f t="shared" si="57"/>
        <v>61380</v>
      </c>
      <c r="AR323" s="626"/>
      <c r="AS323" s="549"/>
      <c r="AT323" s="420" t="s">
        <v>1220</v>
      </c>
      <c r="AU323" s="548"/>
      <c r="AV323" s="548">
        <f t="shared" si="58"/>
        <v>-9000</v>
      </c>
      <c r="AW323" s="627"/>
      <c r="AX323" s="420" t="s">
        <v>1280</v>
      </c>
      <c r="AY323" s="420" t="s">
        <v>1255</v>
      </c>
      <c r="AZ323" s="420" t="s">
        <v>1256</v>
      </c>
      <c r="BA323" s="549"/>
      <c r="BB323" s="549" t="str">
        <f t="shared" si="59"/>
        <v>Toysmith</v>
      </c>
      <c r="BC323" s="549" t="str">
        <f t="shared" si="60"/>
        <v>美国</v>
      </c>
    </row>
    <row r="324" s="495" customFormat="1" customHeight="1" spans="1:55">
      <c r="A324" s="549">
        <v>46205</v>
      </c>
      <c r="B324" s="549" t="str">
        <f ca="1" t="shared" si="55"/>
        <v>异常</v>
      </c>
      <c r="C324" s="541" t="str">
        <f>VLOOKUP(H324,名称!A:E,4,0)</f>
        <v>三代</v>
      </c>
      <c r="D324" s="431" t="s">
        <v>1240</v>
      </c>
      <c r="E324" s="467" t="s">
        <v>1224</v>
      </c>
      <c r="F324" s="431" t="s">
        <v>1018</v>
      </c>
      <c r="G324" s="431" t="s">
        <v>1019</v>
      </c>
      <c r="H324" s="431" t="s">
        <v>59</v>
      </c>
      <c r="I324" s="129"/>
      <c r="J324" s="586">
        <v>30000</v>
      </c>
      <c r="K324" s="95">
        <f>VLOOKUP(H324,名称!A:C,2,0)</f>
        <v>5</v>
      </c>
      <c r="L324" s="96">
        <f t="shared" si="61"/>
        <v>150000</v>
      </c>
      <c r="M324" s="541">
        <f>VLOOKUP(H324,名称!A:E,3,0)</f>
        <v>24</v>
      </c>
      <c r="N324" s="586">
        <f t="shared" si="47"/>
        <v>1250</v>
      </c>
      <c r="O324" s="549">
        <v>46293</v>
      </c>
      <c r="P324" s="549">
        <v>46293</v>
      </c>
      <c r="Q324" s="549">
        <v>46293</v>
      </c>
      <c r="R324" s="541"/>
      <c r="S324" s="549">
        <v>46294</v>
      </c>
      <c r="T324" s="541"/>
      <c r="U324" s="541"/>
      <c r="V324" s="541"/>
      <c r="W324" s="518" t="str">
        <f>IFERROR(VLOOKUP(H324,名称!A:F,6,0),"")</f>
        <v>湖南</v>
      </c>
      <c r="X324" s="431" t="s">
        <v>1133</v>
      </c>
      <c r="Y324" s="431" t="s">
        <v>1133</v>
      </c>
      <c r="Z324" s="541" t="s">
        <v>1233</v>
      </c>
      <c r="AA324" s="552"/>
      <c r="AB324" s="541"/>
      <c r="AC324" s="431" t="s">
        <v>1133</v>
      </c>
      <c r="AD324" s="431" t="s">
        <v>1133</v>
      </c>
      <c r="AE324" s="431" t="s">
        <v>270</v>
      </c>
      <c r="AF324" s="431" t="s">
        <v>1228</v>
      </c>
      <c r="AG324" s="431" t="s">
        <v>270</v>
      </c>
      <c r="AH324" s="431" t="s">
        <v>1133</v>
      </c>
      <c r="AI324" s="431" t="s">
        <v>1228</v>
      </c>
      <c r="AJ324" s="431" t="s">
        <v>1133</v>
      </c>
      <c r="AK324" s="431" t="s">
        <v>270</v>
      </c>
      <c r="AL324" s="541"/>
      <c r="AM324" s="422" t="s">
        <v>1250</v>
      </c>
      <c r="AN324" s="541"/>
      <c r="AO324" s="624">
        <v>0.62</v>
      </c>
      <c r="AP324" s="625">
        <f t="shared" si="56"/>
        <v>18600</v>
      </c>
      <c r="AQ324" s="625">
        <f t="shared" si="57"/>
        <v>144150</v>
      </c>
      <c r="AR324" s="626"/>
      <c r="AS324" s="549"/>
      <c r="AT324" s="420" t="s">
        <v>1220</v>
      </c>
      <c r="AU324" s="548"/>
      <c r="AV324" s="548">
        <f t="shared" si="58"/>
        <v>-30000</v>
      </c>
      <c r="AW324" s="627"/>
      <c r="AX324" s="420" t="s">
        <v>1280</v>
      </c>
      <c r="AY324" s="420" t="s">
        <v>1255</v>
      </c>
      <c r="AZ324" s="420" t="s">
        <v>1256</v>
      </c>
      <c r="BA324" s="549"/>
      <c r="BB324" s="549" t="str">
        <f t="shared" si="59"/>
        <v>JAZWARES - TARGET US DOM</v>
      </c>
      <c r="BC324" s="549" t="str">
        <f t="shared" si="60"/>
        <v>美国</v>
      </c>
    </row>
    <row r="325" s="495" customFormat="1" customHeight="1" spans="1:55">
      <c r="A325" s="549">
        <v>46206</v>
      </c>
      <c r="B325" s="549" t="str">
        <f ca="1" t="shared" si="55"/>
        <v>异常</v>
      </c>
      <c r="C325" s="541" t="str">
        <f>VLOOKUP(H325,名称!A:E,4,0)</f>
        <v>三代</v>
      </c>
      <c r="D325" s="431" t="s">
        <v>1445</v>
      </c>
      <c r="E325" s="467" t="s">
        <v>1224</v>
      </c>
      <c r="F325" s="431" t="s">
        <v>1020</v>
      </c>
      <c r="G325" s="431" t="s">
        <v>1021</v>
      </c>
      <c r="H325" s="431" t="s">
        <v>107</v>
      </c>
      <c r="I325" s="129"/>
      <c r="J325" s="586">
        <v>20000</v>
      </c>
      <c r="K325" s="95">
        <f>VLOOKUP(H325,名称!A:C,2,0)</f>
        <v>12</v>
      </c>
      <c r="L325" s="96">
        <f t="shared" si="61"/>
        <v>240000</v>
      </c>
      <c r="M325" s="541">
        <f>VLOOKUP(H325,名称!A:E,3,0)</f>
        <v>5</v>
      </c>
      <c r="N325" s="586">
        <f t="shared" si="47"/>
        <v>4000</v>
      </c>
      <c r="O325" s="549">
        <v>46321</v>
      </c>
      <c r="P325" s="549">
        <v>46321</v>
      </c>
      <c r="Q325" s="549">
        <v>46321</v>
      </c>
      <c r="R325" s="541"/>
      <c r="S325" s="549">
        <v>46322</v>
      </c>
      <c r="T325" s="541"/>
      <c r="U325" s="541"/>
      <c r="V325" s="541"/>
      <c r="W325" s="518" t="str">
        <f>IFERROR(VLOOKUP(H325,名称!A:F,6,0),"")</f>
        <v>湖南</v>
      </c>
      <c r="X325" s="431" t="s">
        <v>1133</v>
      </c>
      <c r="Y325" s="431" t="s">
        <v>1133</v>
      </c>
      <c r="Z325" s="541" t="s">
        <v>1233</v>
      </c>
      <c r="AA325" s="552"/>
      <c r="AB325" s="541"/>
      <c r="AC325" s="541" t="s">
        <v>1302</v>
      </c>
      <c r="AD325" s="431" t="s">
        <v>1228</v>
      </c>
      <c r="AE325" s="431" t="s">
        <v>270</v>
      </c>
      <c r="AF325" s="431" t="s">
        <v>1228</v>
      </c>
      <c r="AG325" s="431" t="s">
        <v>270</v>
      </c>
      <c r="AH325" s="431" t="s">
        <v>1285</v>
      </c>
      <c r="AI325" s="431" t="s">
        <v>1228</v>
      </c>
      <c r="AJ325" s="431" t="s">
        <v>510</v>
      </c>
      <c r="AK325" s="431" t="s">
        <v>1133</v>
      </c>
      <c r="AL325" s="541"/>
      <c r="AM325" s="541"/>
      <c r="AN325" s="541"/>
      <c r="AO325" s="624">
        <v>2.12</v>
      </c>
      <c r="AP325" s="625">
        <f t="shared" si="56"/>
        <v>42400</v>
      </c>
      <c r="AQ325" s="625">
        <f t="shared" si="57"/>
        <v>328600</v>
      </c>
      <c r="AR325" s="626"/>
      <c r="AS325" s="549"/>
      <c r="AT325" s="420" t="s">
        <v>1220</v>
      </c>
      <c r="AU325" s="548"/>
      <c r="AV325" s="548">
        <f t="shared" si="58"/>
        <v>-20000</v>
      </c>
      <c r="AW325" s="627"/>
      <c r="AX325" s="420" t="s">
        <v>1280</v>
      </c>
      <c r="AY325" s="420" t="s">
        <v>1255</v>
      </c>
      <c r="AZ325" s="420" t="s">
        <v>1256</v>
      </c>
      <c r="BA325" s="549"/>
      <c r="BB325" s="549" t="str">
        <f t="shared" si="59"/>
        <v>JAZWARES - WALGREEN</v>
      </c>
      <c r="BC325" s="549" t="str">
        <f t="shared" si="60"/>
        <v>美国</v>
      </c>
    </row>
    <row r="326" s="496" customFormat="1" customHeight="1" spans="1:55">
      <c r="A326" s="536">
        <v>46207</v>
      </c>
      <c r="B326" s="536" t="str">
        <f ca="1" t="shared" si="55"/>
        <v/>
      </c>
      <c r="C326" s="568" t="e">
        <f>VLOOKUP(H326,名称!A:E,4,0)</f>
        <v>#N/A</v>
      </c>
      <c r="D326" s="415" t="s">
        <v>1133</v>
      </c>
      <c r="E326" s="415" t="s">
        <v>1133</v>
      </c>
      <c r="F326" s="568" t="s">
        <v>839</v>
      </c>
      <c r="G326" s="568" t="s">
        <v>1028</v>
      </c>
      <c r="H326" s="415" t="s">
        <v>1029</v>
      </c>
      <c r="I326" s="568"/>
      <c r="J326" s="599">
        <v>180</v>
      </c>
      <c r="K326" s="629" t="e">
        <f>VLOOKUP(H326,名称!A:C,2,0)</f>
        <v>#N/A</v>
      </c>
      <c r="L326" s="599" t="e">
        <f t="shared" si="61"/>
        <v>#N/A</v>
      </c>
      <c r="M326" s="568"/>
      <c r="N326" s="599"/>
      <c r="O326" s="536">
        <v>46216</v>
      </c>
      <c r="P326" s="536">
        <v>46216</v>
      </c>
      <c r="Q326" s="536">
        <v>46216</v>
      </c>
      <c r="R326" s="568"/>
      <c r="S326" s="413" t="s">
        <v>1133</v>
      </c>
      <c r="T326" s="568"/>
      <c r="U326" s="568"/>
      <c r="V326" s="568"/>
      <c r="W326" s="348" t="str">
        <f>IFERROR(VLOOKUP(H326,名称!A:F,6,0),"")</f>
        <v/>
      </c>
      <c r="X326" s="415" t="s">
        <v>1133</v>
      </c>
      <c r="Y326" s="415" t="s">
        <v>1133</v>
      </c>
      <c r="Z326" s="415" t="s">
        <v>1133</v>
      </c>
      <c r="AA326" s="415" t="s">
        <v>1133</v>
      </c>
      <c r="AB326" s="415" t="s">
        <v>1133</v>
      </c>
      <c r="AC326" s="415" t="s">
        <v>1133</v>
      </c>
      <c r="AD326" s="415" t="s">
        <v>1133</v>
      </c>
      <c r="AE326" s="415" t="s">
        <v>510</v>
      </c>
      <c r="AF326" s="415" t="s">
        <v>1228</v>
      </c>
      <c r="AG326" s="415" t="s">
        <v>510</v>
      </c>
      <c r="AH326" s="415" t="s">
        <v>1133</v>
      </c>
      <c r="AI326" s="415" t="s">
        <v>1228</v>
      </c>
      <c r="AJ326" s="415" t="s">
        <v>1133</v>
      </c>
      <c r="AK326" s="415" t="s">
        <v>510</v>
      </c>
      <c r="AL326" s="568"/>
      <c r="AM326" s="568"/>
      <c r="AN326" s="568" t="s">
        <v>1028</v>
      </c>
      <c r="AO326" s="634">
        <v>0</v>
      </c>
      <c r="AP326" s="635">
        <f t="shared" si="56"/>
        <v>0</v>
      </c>
      <c r="AQ326" s="635">
        <f t="shared" si="57"/>
        <v>0</v>
      </c>
      <c r="AR326" s="636"/>
      <c r="AS326" s="536"/>
      <c r="AT326" s="536" t="s">
        <v>839</v>
      </c>
      <c r="AU326" s="535"/>
      <c r="AV326" s="535">
        <f t="shared" si="58"/>
        <v>-180</v>
      </c>
      <c r="AW326" s="637"/>
      <c r="AX326" s="536"/>
      <c r="AY326" s="536"/>
      <c r="AZ326" s="536" t="s">
        <v>1256</v>
      </c>
      <c r="BA326" s="536"/>
      <c r="BB326" s="536" t="str">
        <f t="shared" si="59"/>
        <v>/</v>
      </c>
      <c r="BC326" s="536" t="str">
        <f t="shared" si="60"/>
        <v>/</v>
      </c>
    </row>
    <row r="327" s="496" customFormat="1" customHeight="1" spans="1:55">
      <c r="A327" s="536">
        <v>46207</v>
      </c>
      <c r="B327" s="536" t="str">
        <f ca="1" t="shared" si="55"/>
        <v/>
      </c>
      <c r="C327" s="568" t="e">
        <f>VLOOKUP(H327,名称!A:E,4,0)</f>
        <v>#N/A</v>
      </c>
      <c r="D327" s="415" t="s">
        <v>1133</v>
      </c>
      <c r="E327" s="415" t="s">
        <v>1133</v>
      </c>
      <c r="F327" s="568" t="s">
        <v>839</v>
      </c>
      <c r="G327" s="415" t="s">
        <v>1025</v>
      </c>
      <c r="H327" s="415" t="s">
        <v>242</v>
      </c>
      <c r="I327" s="568"/>
      <c r="J327" s="599">
        <v>800</v>
      </c>
      <c r="K327" s="629" t="e">
        <f>VLOOKUP(H327,名称!A:C,2,0)</f>
        <v>#N/A</v>
      </c>
      <c r="L327" s="599" t="e">
        <f t="shared" si="61"/>
        <v>#N/A</v>
      </c>
      <c r="M327" s="568"/>
      <c r="N327" s="599"/>
      <c r="O327" s="536">
        <v>46216</v>
      </c>
      <c r="P327" s="536">
        <v>46216</v>
      </c>
      <c r="Q327" s="536">
        <v>46216</v>
      </c>
      <c r="R327" s="568"/>
      <c r="S327" s="413" t="s">
        <v>1133</v>
      </c>
      <c r="T327" s="568"/>
      <c r="U327" s="568"/>
      <c r="V327" s="568"/>
      <c r="W327" s="348" t="str">
        <f>IFERROR(VLOOKUP(H327,名称!A:F,6,0),"")</f>
        <v/>
      </c>
      <c r="X327" s="415" t="s">
        <v>1133</v>
      </c>
      <c r="Y327" s="415" t="s">
        <v>1133</v>
      </c>
      <c r="Z327" s="415" t="s">
        <v>1133</v>
      </c>
      <c r="AA327" s="415" t="s">
        <v>1133</v>
      </c>
      <c r="AB327" s="415" t="s">
        <v>1133</v>
      </c>
      <c r="AC327" s="415" t="s">
        <v>1133</v>
      </c>
      <c r="AD327" s="415" t="s">
        <v>1133</v>
      </c>
      <c r="AE327" s="415" t="s">
        <v>1133</v>
      </c>
      <c r="AF327" s="415" t="s">
        <v>1228</v>
      </c>
      <c r="AG327" s="415" t="s">
        <v>1026</v>
      </c>
      <c r="AH327" s="415" t="s">
        <v>1133</v>
      </c>
      <c r="AI327" s="415" t="s">
        <v>1228</v>
      </c>
      <c r="AJ327" s="415" t="s">
        <v>1133</v>
      </c>
      <c r="AK327" s="415" t="s">
        <v>1133</v>
      </c>
      <c r="AL327" s="568"/>
      <c r="AM327" s="415" t="s">
        <v>1133</v>
      </c>
      <c r="AN327" s="415" t="s">
        <v>1446</v>
      </c>
      <c r="AO327" s="634">
        <v>0</v>
      </c>
      <c r="AP327" s="635">
        <f t="shared" si="56"/>
        <v>0</v>
      </c>
      <c r="AQ327" s="635">
        <f t="shared" si="57"/>
        <v>0</v>
      </c>
      <c r="AR327" s="636"/>
      <c r="AS327" s="536"/>
      <c r="AT327" s="536" t="s">
        <v>839</v>
      </c>
      <c r="AU327" s="535"/>
      <c r="AV327" s="535">
        <f t="shared" si="58"/>
        <v>-800</v>
      </c>
      <c r="AW327" s="637"/>
      <c r="AX327" s="536"/>
      <c r="AY327" s="536"/>
      <c r="AZ327" s="536" t="s">
        <v>1256</v>
      </c>
      <c r="BA327" s="536"/>
      <c r="BB327" s="536" t="str">
        <f t="shared" si="59"/>
        <v>/</v>
      </c>
      <c r="BC327" s="536" t="str">
        <f t="shared" si="60"/>
        <v>/</v>
      </c>
    </row>
    <row r="328" s="495" customFormat="1" customHeight="1" spans="1:55">
      <c r="A328" s="549">
        <v>46207</v>
      </c>
      <c r="B328" s="549" t="str">
        <f ca="1" t="shared" si="55"/>
        <v/>
      </c>
      <c r="C328" s="541" t="str">
        <f>VLOOKUP(H328,名称!A:E,4,0)</f>
        <v>三代</v>
      </c>
      <c r="D328" s="431" t="s">
        <v>1257</v>
      </c>
      <c r="E328" s="431" t="s">
        <v>1258</v>
      </c>
      <c r="F328" s="431" t="s">
        <v>1022</v>
      </c>
      <c r="G328" s="431" t="s">
        <v>1023</v>
      </c>
      <c r="H328" s="431" t="s">
        <v>84</v>
      </c>
      <c r="I328" s="129"/>
      <c r="J328" s="586">
        <f>72000/2</f>
        <v>36000</v>
      </c>
      <c r="K328" s="95">
        <f>VLOOKUP(H328,名称!A:C,2,0)</f>
        <v>5</v>
      </c>
      <c r="L328" s="96">
        <f t="shared" si="61"/>
        <v>180000</v>
      </c>
      <c r="M328" s="541">
        <f>VLOOKUP(H328,名称!A:E,3,0)</f>
        <v>18</v>
      </c>
      <c r="N328" s="586">
        <f>J328/M328</f>
        <v>2000</v>
      </c>
      <c r="O328" s="549">
        <v>46249</v>
      </c>
      <c r="P328" s="549">
        <v>46254</v>
      </c>
      <c r="Q328" s="549">
        <v>46254</v>
      </c>
      <c r="R328" s="541"/>
      <c r="S328" s="549">
        <v>46255</v>
      </c>
      <c r="T328" s="541"/>
      <c r="U328" s="541"/>
      <c r="V328" s="541"/>
      <c r="W328" s="518" t="str">
        <f>IFERROR(VLOOKUP(H328,名称!A:F,6,0),"")</f>
        <v>湖南</v>
      </c>
      <c r="X328" s="541" t="s">
        <v>1133</v>
      </c>
      <c r="Y328" s="541" t="s">
        <v>1133</v>
      </c>
      <c r="Z328" s="431" t="s">
        <v>1249</v>
      </c>
      <c r="AA328" s="552">
        <v>46211</v>
      </c>
      <c r="AB328" s="567">
        <v>46226</v>
      </c>
      <c r="AC328" s="541" t="s">
        <v>1133</v>
      </c>
      <c r="AD328" s="541" t="s">
        <v>1133</v>
      </c>
      <c r="AE328" s="431" t="s">
        <v>334</v>
      </c>
      <c r="AF328" s="541" t="s">
        <v>1228</v>
      </c>
      <c r="AG328" s="431" t="s">
        <v>334</v>
      </c>
      <c r="AH328" s="541" t="s">
        <v>1133</v>
      </c>
      <c r="AI328" s="541" t="s">
        <v>1228</v>
      </c>
      <c r="AJ328" s="541" t="s">
        <v>1133</v>
      </c>
      <c r="AK328" s="431" t="s">
        <v>334</v>
      </c>
      <c r="AL328" s="431" t="s">
        <v>1228</v>
      </c>
      <c r="AM328" s="431" t="s">
        <v>1447</v>
      </c>
      <c r="AN328" s="431" t="s">
        <v>1448</v>
      </c>
      <c r="AO328" s="624">
        <v>0.88</v>
      </c>
      <c r="AP328" s="625">
        <f t="shared" si="56"/>
        <v>31680</v>
      </c>
      <c r="AQ328" s="625">
        <f t="shared" si="57"/>
        <v>245520</v>
      </c>
      <c r="AR328" s="626"/>
      <c r="AS328" s="549"/>
      <c r="AT328" s="549" t="s">
        <v>1310</v>
      </c>
      <c r="AU328" s="548"/>
      <c r="AV328" s="548">
        <f t="shared" si="58"/>
        <v>-36000</v>
      </c>
      <c r="AW328" s="627"/>
      <c r="AX328" s="549"/>
      <c r="AY328" s="420" t="s">
        <v>1273</v>
      </c>
      <c r="AZ328" s="420" t="s">
        <v>1274</v>
      </c>
      <c r="BA328" s="549"/>
      <c r="BB328" s="549" t="str">
        <f t="shared" si="59"/>
        <v>Character Options</v>
      </c>
      <c r="BC328" s="549" t="str">
        <f t="shared" si="60"/>
        <v>英国</v>
      </c>
    </row>
    <row r="329" s="495" customFormat="1" customHeight="1" spans="1:55">
      <c r="A329" s="549">
        <v>46207</v>
      </c>
      <c r="B329" s="549" t="str">
        <f ca="1" t="shared" si="55"/>
        <v/>
      </c>
      <c r="C329" s="541" t="str">
        <f>VLOOKUP(H329,名称!A:E,4,0)</f>
        <v>三代</v>
      </c>
      <c r="D329" s="431" t="s">
        <v>1257</v>
      </c>
      <c r="E329" s="431" t="s">
        <v>1258</v>
      </c>
      <c r="F329" s="431" t="s">
        <v>1022</v>
      </c>
      <c r="G329" s="431" t="s">
        <v>1023</v>
      </c>
      <c r="H329" s="431" t="s">
        <v>84</v>
      </c>
      <c r="I329" s="129"/>
      <c r="J329" s="586">
        <f>72000/2</f>
        <v>36000</v>
      </c>
      <c r="K329" s="95">
        <f>VLOOKUP(H329,名称!A:C,2,0)</f>
        <v>5</v>
      </c>
      <c r="L329" s="96">
        <f t="shared" si="61"/>
        <v>180000</v>
      </c>
      <c r="M329" s="541">
        <f>VLOOKUP(H329,名称!A:E,3,0)</f>
        <v>18</v>
      </c>
      <c r="N329" s="586">
        <f>J329/M329</f>
        <v>2000</v>
      </c>
      <c r="O329" s="420">
        <v>46272</v>
      </c>
      <c r="P329" s="420">
        <v>46272</v>
      </c>
      <c r="Q329" s="420">
        <v>46267</v>
      </c>
      <c r="R329" s="541"/>
      <c r="S329" s="594">
        <v>46268</v>
      </c>
      <c r="T329" s="541"/>
      <c r="U329" s="541"/>
      <c r="V329" s="541"/>
      <c r="W329" s="518" t="str">
        <f>IFERROR(VLOOKUP(H329,名称!A:F,6,0),"")</f>
        <v>湖南</v>
      </c>
      <c r="X329" s="541" t="s">
        <v>1133</v>
      </c>
      <c r="Y329" s="541" t="s">
        <v>1133</v>
      </c>
      <c r="Z329" s="431" t="s">
        <v>1249</v>
      </c>
      <c r="AA329" s="552">
        <v>46211</v>
      </c>
      <c r="AB329" s="567">
        <v>46226</v>
      </c>
      <c r="AC329" s="541" t="s">
        <v>1133</v>
      </c>
      <c r="AD329" s="541" t="s">
        <v>1133</v>
      </c>
      <c r="AE329" s="431" t="s">
        <v>334</v>
      </c>
      <c r="AF329" s="541" t="s">
        <v>1228</v>
      </c>
      <c r="AG329" s="431" t="s">
        <v>334</v>
      </c>
      <c r="AH329" s="541" t="s">
        <v>1133</v>
      </c>
      <c r="AI329" s="541" t="s">
        <v>1228</v>
      </c>
      <c r="AJ329" s="541" t="s">
        <v>1133</v>
      </c>
      <c r="AK329" s="431" t="s">
        <v>334</v>
      </c>
      <c r="AL329" s="431" t="s">
        <v>1228</v>
      </c>
      <c r="AM329" s="431" t="s">
        <v>1449</v>
      </c>
      <c r="AN329" s="431" t="s">
        <v>1448</v>
      </c>
      <c r="AO329" s="624">
        <v>0.88</v>
      </c>
      <c r="AP329" s="625">
        <f t="shared" si="56"/>
        <v>31680</v>
      </c>
      <c r="AQ329" s="625">
        <f t="shared" si="57"/>
        <v>245520</v>
      </c>
      <c r="AR329" s="626"/>
      <c r="AS329" s="549"/>
      <c r="AT329" s="549" t="s">
        <v>1310</v>
      </c>
      <c r="AU329" s="548"/>
      <c r="AV329" s="548">
        <f t="shared" si="58"/>
        <v>-36000</v>
      </c>
      <c r="AW329" s="627"/>
      <c r="AX329" s="549"/>
      <c r="AY329" s="420" t="s">
        <v>1273</v>
      </c>
      <c r="AZ329" s="420" t="s">
        <v>1274</v>
      </c>
      <c r="BA329" s="549"/>
      <c r="BB329" s="549" t="str">
        <f t="shared" si="59"/>
        <v>Character Options</v>
      </c>
      <c r="BC329" s="549" t="str">
        <f t="shared" si="60"/>
        <v>英国</v>
      </c>
    </row>
    <row r="330" s="495" customFormat="1" customHeight="1" spans="1:55">
      <c r="A330" s="549">
        <v>46207</v>
      </c>
      <c r="B330" s="549" t="str">
        <f ca="1" t="shared" si="55"/>
        <v/>
      </c>
      <c r="C330" s="541" t="str">
        <f>VLOOKUP(H330,名称!A:E,4,0)</f>
        <v>三代</v>
      </c>
      <c r="D330" s="431" t="s">
        <v>1257</v>
      </c>
      <c r="E330" s="431" t="s">
        <v>1258</v>
      </c>
      <c r="F330" s="431" t="s">
        <v>1022</v>
      </c>
      <c r="G330" s="431" t="s">
        <v>1023</v>
      </c>
      <c r="H330" s="431" t="s">
        <v>180</v>
      </c>
      <c r="I330" s="129"/>
      <c r="J330" s="586">
        <v>18000</v>
      </c>
      <c r="K330" s="95">
        <f>VLOOKUP(H330,名称!A:C,2,0)</f>
        <v>5</v>
      </c>
      <c r="L330" s="96">
        <f t="shared" si="61"/>
        <v>90000</v>
      </c>
      <c r="M330" s="541">
        <f>VLOOKUP(H330,名称!A:E,3,0)</f>
        <v>18</v>
      </c>
      <c r="N330" s="586">
        <f>J330/M330</f>
        <v>1000</v>
      </c>
      <c r="O330" s="549">
        <v>46356</v>
      </c>
      <c r="P330" s="549">
        <v>46356</v>
      </c>
      <c r="Q330" s="549">
        <v>46356</v>
      </c>
      <c r="R330" s="541"/>
      <c r="S330" s="549">
        <v>46356</v>
      </c>
      <c r="T330" s="541"/>
      <c r="U330" s="541"/>
      <c r="V330" s="541"/>
      <c r="W330" s="518" t="str">
        <f>IFERROR(VLOOKUP(H330,名称!A:F,6,0),"")</f>
        <v>湖南</v>
      </c>
      <c r="X330" s="541"/>
      <c r="Y330" s="541"/>
      <c r="Z330" s="431" t="s">
        <v>1249</v>
      </c>
      <c r="AA330" s="552">
        <v>46211</v>
      </c>
      <c r="AB330" s="567">
        <v>46226</v>
      </c>
      <c r="AC330" s="541"/>
      <c r="AD330" s="541"/>
      <c r="AE330" s="431" t="s">
        <v>334</v>
      </c>
      <c r="AF330" s="541" t="s">
        <v>1233</v>
      </c>
      <c r="AG330" s="431" t="s">
        <v>510</v>
      </c>
      <c r="AH330" s="541" t="s">
        <v>1133</v>
      </c>
      <c r="AI330" s="541" t="s">
        <v>1233</v>
      </c>
      <c r="AJ330" s="541" t="s">
        <v>1133</v>
      </c>
      <c r="AK330" s="541" t="s">
        <v>334</v>
      </c>
      <c r="AL330" s="541" t="s">
        <v>1233</v>
      </c>
      <c r="AM330" s="431" t="s">
        <v>1450</v>
      </c>
      <c r="AN330" s="431" t="s">
        <v>1448</v>
      </c>
      <c r="AO330" s="624">
        <v>0.88</v>
      </c>
      <c r="AP330" s="625">
        <f t="shared" si="56"/>
        <v>15840</v>
      </c>
      <c r="AQ330" s="625">
        <f t="shared" si="57"/>
        <v>122760</v>
      </c>
      <c r="AR330" s="626"/>
      <c r="AS330" s="549"/>
      <c r="AT330" s="549" t="s">
        <v>1310</v>
      </c>
      <c r="AU330" s="548"/>
      <c r="AV330" s="548">
        <f t="shared" si="58"/>
        <v>-18000</v>
      </c>
      <c r="AW330" s="627"/>
      <c r="AX330" s="549"/>
      <c r="AY330" s="420" t="s">
        <v>1273</v>
      </c>
      <c r="AZ330" s="420" t="s">
        <v>1274</v>
      </c>
      <c r="BA330" s="549"/>
      <c r="BB330" s="549" t="str">
        <f t="shared" si="59"/>
        <v>Character Options</v>
      </c>
      <c r="BC330" s="549" t="str">
        <f t="shared" si="60"/>
        <v>英国</v>
      </c>
    </row>
    <row r="331" s="495" customFormat="1" customHeight="1" spans="1:55">
      <c r="A331" s="549">
        <v>46207</v>
      </c>
      <c r="B331" s="549" t="str">
        <f ca="1" t="shared" si="55"/>
        <v/>
      </c>
      <c r="C331" s="541" t="str">
        <f>VLOOKUP(H331,名称!A:E,4,0)</f>
        <v>三代</v>
      </c>
      <c r="D331" s="431" t="s">
        <v>1257</v>
      </c>
      <c r="E331" s="431" t="s">
        <v>1258</v>
      </c>
      <c r="F331" s="431" t="s">
        <v>1022</v>
      </c>
      <c r="G331" s="431" t="s">
        <v>1023</v>
      </c>
      <c r="H331" s="431" t="s">
        <v>94</v>
      </c>
      <c r="I331" s="129"/>
      <c r="J331" s="586">
        <f>12000-6624</f>
        <v>5376</v>
      </c>
      <c r="K331" s="95">
        <f>VLOOKUP(H331,名称!A:C,2,0)</f>
        <v>5</v>
      </c>
      <c r="L331" s="96">
        <f t="shared" si="61"/>
        <v>26880</v>
      </c>
      <c r="M331" s="541">
        <f>VLOOKUP(H331,名称!A:E,3,0)</f>
        <v>24</v>
      </c>
      <c r="N331" s="586">
        <f>J331/M331</f>
        <v>224</v>
      </c>
      <c r="O331" s="549">
        <v>46249</v>
      </c>
      <c r="P331" s="549">
        <v>46254</v>
      </c>
      <c r="Q331" s="549">
        <v>46254</v>
      </c>
      <c r="R331" s="541"/>
      <c r="S331" s="549">
        <v>46255</v>
      </c>
      <c r="T331" s="541"/>
      <c r="U331" s="541"/>
      <c r="V331" s="541"/>
      <c r="W331" s="518" t="str">
        <f>IFERROR(VLOOKUP(H331,名称!A:F,6,0),"")</f>
        <v>湖南</v>
      </c>
      <c r="X331" s="431" t="s">
        <v>1133</v>
      </c>
      <c r="Y331" s="431" t="s">
        <v>1133</v>
      </c>
      <c r="Z331" s="431" t="s">
        <v>1249</v>
      </c>
      <c r="AA331" s="552">
        <v>46211</v>
      </c>
      <c r="AB331" s="567">
        <v>46226</v>
      </c>
      <c r="AC331" s="541" t="s">
        <v>1133</v>
      </c>
      <c r="AD331" s="541" t="s">
        <v>1133</v>
      </c>
      <c r="AE331" s="431" t="s">
        <v>334</v>
      </c>
      <c r="AF331" s="541" t="s">
        <v>1228</v>
      </c>
      <c r="AG331" s="422" t="s">
        <v>334</v>
      </c>
      <c r="AH331" s="541" t="s">
        <v>1133</v>
      </c>
      <c r="AI331" s="541" t="s">
        <v>1228</v>
      </c>
      <c r="AJ331" s="541" t="s">
        <v>1133</v>
      </c>
      <c r="AK331" s="431" t="s">
        <v>334</v>
      </c>
      <c r="AL331" s="431" t="s">
        <v>1228</v>
      </c>
      <c r="AM331" s="431" t="s">
        <v>1451</v>
      </c>
      <c r="AN331" s="422" t="s">
        <v>1272</v>
      </c>
      <c r="AO331" s="624">
        <v>0.6</v>
      </c>
      <c r="AP331" s="625">
        <f t="shared" si="56"/>
        <v>3225.6</v>
      </c>
      <c r="AQ331" s="625">
        <f t="shared" si="57"/>
        <v>24998.4</v>
      </c>
      <c r="AR331" s="626"/>
      <c r="AS331" s="549"/>
      <c r="AT331" s="420" t="s">
        <v>1220</v>
      </c>
      <c r="AU331" s="548"/>
      <c r="AV331" s="548">
        <f t="shared" si="58"/>
        <v>-5376</v>
      </c>
      <c r="AW331" s="627"/>
      <c r="AX331" s="420" t="s">
        <v>1280</v>
      </c>
      <c r="AY331" s="420" t="s">
        <v>1273</v>
      </c>
      <c r="AZ331" s="420" t="s">
        <v>1274</v>
      </c>
      <c r="BA331" s="549"/>
      <c r="BB331" s="549" t="str">
        <f t="shared" si="59"/>
        <v>Character Options</v>
      </c>
      <c r="BC331" s="549" t="str">
        <f t="shared" si="60"/>
        <v>英国</v>
      </c>
    </row>
    <row r="332" s="495" customFormat="1" customHeight="1" spans="1:55">
      <c r="A332" s="549">
        <v>46207</v>
      </c>
      <c r="B332" s="549" t="str">
        <f ca="1" t="shared" si="55"/>
        <v/>
      </c>
      <c r="C332" s="541" t="str">
        <f>VLOOKUP(H332,名称!A:E,4,0)</f>
        <v>三代</v>
      </c>
      <c r="D332" s="431" t="s">
        <v>1257</v>
      </c>
      <c r="E332" s="431" t="s">
        <v>1258</v>
      </c>
      <c r="F332" s="431" t="s">
        <v>1022</v>
      </c>
      <c r="G332" s="431" t="s">
        <v>1023</v>
      </c>
      <c r="H332" s="431" t="s">
        <v>94</v>
      </c>
      <c r="I332" s="129"/>
      <c r="J332" s="586">
        <v>6624</v>
      </c>
      <c r="K332" s="95">
        <f>VLOOKUP(H332,名称!A:C,2,0)</f>
        <v>5</v>
      </c>
      <c r="L332" s="96">
        <f t="shared" si="61"/>
        <v>33120</v>
      </c>
      <c r="M332" s="541">
        <f>VLOOKUP(H332,名称!A:E,3,0)</f>
        <v>24</v>
      </c>
      <c r="N332" s="586">
        <f>J332/M332</f>
        <v>276</v>
      </c>
      <c r="O332" s="420">
        <v>46272</v>
      </c>
      <c r="P332" s="420">
        <v>46272</v>
      </c>
      <c r="Q332" s="420">
        <v>46266</v>
      </c>
      <c r="R332" s="541"/>
      <c r="S332" s="594">
        <v>46268</v>
      </c>
      <c r="T332" s="541"/>
      <c r="U332" s="541"/>
      <c r="V332" s="541"/>
      <c r="W332" s="518" t="str">
        <f>IFERROR(VLOOKUP(H332,名称!A:F,6,0),"")</f>
        <v>湖南</v>
      </c>
      <c r="X332" s="431" t="s">
        <v>1133</v>
      </c>
      <c r="Y332" s="431" t="s">
        <v>1133</v>
      </c>
      <c r="Z332" s="431" t="s">
        <v>1249</v>
      </c>
      <c r="AA332" s="552">
        <v>46211</v>
      </c>
      <c r="AB332" s="567">
        <v>46226</v>
      </c>
      <c r="AC332" s="541" t="s">
        <v>1133</v>
      </c>
      <c r="AD332" s="541" t="s">
        <v>1133</v>
      </c>
      <c r="AE332" s="431" t="s">
        <v>334</v>
      </c>
      <c r="AF332" s="541" t="s">
        <v>1228</v>
      </c>
      <c r="AG332" s="422" t="s">
        <v>334</v>
      </c>
      <c r="AH332" s="541" t="s">
        <v>1133</v>
      </c>
      <c r="AI332" s="541" t="s">
        <v>1228</v>
      </c>
      <c r="AJ332" s="541" t="s">
        <v>1133</v>
      </c>
      <c r="AK332" s="431" t="s">
        <v>334</v>
      </c>
      <c r="AL332" s="431" t="s">
        <v>1228</v>
      </c>
      <c r="AM332" s="431" t="s">
        <v>1452</v>
      </c>
      <c r="AN332" s="422" t="s">
        <v>1272</v>
      </c>
      <c r="AO332" s="624">
        <v>0.6</v>
      </c>
      <c r="AP332" s="625">
        <f t="shared" si="56"/>
        <v>3974.4</v>
      </c>
      <c r="AQ332" s="625">
        <f t="shared" si="57"/>
        <v>30801.6</v>
      </c>
      <c r="AR332" s="626"/>
      <c r="AS332" s="549"/>
      <c r="AT332" s="420" t="s">
        <v>1220</v>
      </c>
      <c r="AU332" s="548"/>
      <c r="AV332" s="548">
        <f t="shared" si="58"/>
        <v>-6624</v>
      </c>
      <c r="AW332" s="627"/>
      <c r="AX332" s="420" t="s">
        <v>1280</v>
      </c>
      <c r="AY332" s="420" t="s">
        <v>1273</v>
      </c>
      <c r="AZ332" s="420" t="s">
        <v>1274</v>
      </c>
      <c r="BA332" s="549"/>
      <c r="BB332" s="549" t="str">
        <f t="shared" si="59"/>
        <v>Character Options</v>
      </c>
      <c r="BC332" s="549" t="str">
        <f t="shared" si="60"/>
        <v>英国</v>
      </c>
    </row>
    <row r="333" s="496" customFormat="1" customHeight="1" spans="1:55">
      <c r="A333" s="536">
        <v>46207</v>
      </c>
      <c r="B333" s="536" t="str">
        <f ca="1" t="shared" si="55"/>
        <v/>
      </c>
      <c r="C333" s="568" t="e">
        <f>VLOOKUP(H333,名称!A:E,4,0)</f>
        <v>#N/A</v>
      </c>
      <c r="D333" s="415" t="s">
        <v>1133</v>
      </c>
      <c r="E333" s="415" t="s">
        <v>1133</v>
      </c>
      <c r="F333" s="568" t="s">
        <v>839</v>
      </c>
      <c r="G333" s="415" t="s">
        <v>1024</v>
      </c>
      <c r="H333" s="415" t="s">
        <v>242</v>
      </c>
      <c r="I333" s="568"/>
      <c r="J333" s="599">
        <v>2750</v>
      </c>
      <c r="K333" s="629" t="e">
        <f>VLOOKUP(H333,名称!A:C,2,0)</f>
        <v>#N/A</v>
      </c>
      <c r="L333" s="599" t="e">
        <f t="shared" si="61"/>
        <v>#N/A</v>
      </c>
      <c r="M333" s="568"/>
      <c r="N333" s="599"/>
      <c r="O333" s="536">
        <v>46216</v>
      </c>
      <c r="P333" s="536">
        <v>46216</v>
      </c>
      <c r="Q333" s="536">
        <v>46216</v>
      </c>
      <c r="R333" s="568"/>
      <c r="S333" s="413" t="s">
        <v>1133</v>
      </c>
      <c r="T333" s="568"/>
      <c r="U333" s="568"/>
      <c r="V333" s="568"/>
      <c r="W333" s="348" t="str">
        <f>IFERROR(VLOOKUP(H333,名称!A:F,6,0),"")</f>
        <v/>
      </c>
      <c r="X333" s="415" t="s">
        <v>1133</v>
      </c>
      <c r="Y333" s="415" t="s">
        <v>1133</v>
      </c>
      <c r="Z333" s="415" t="s">
        <v>1133</v>
      </c>
      <c r="AA333" s="415" t="s">
        <v>1133</v>
      </c>
      <c r="AB333" s="415" t="s">
        <v>1133</v>
      </c>
      <c r="AC333" s="415" t="s">
        <v>1133</v>
      </c>
      <c r="AD333" s="415" t="s">
        <v>1133</v>
      </c>
      <c r="AE333" s="415" t="s">
        <v>1133</v>
      </c>
      <c r="AF333" s="415" t="s">
        <v>1228</v>
      </c>
      <c r="AG333" s="415" t="s">
        <v>242</v>
      </c>
      <c r="AH333" s="415" t="s">
        <v>1133</v>
      </c>
      <c r="AI333" s="415" t="s">
        <v>1228</v>
      </c>
      <c r="AJ333" s="415" t="s">
        <v>1133</v>
      </c>
      <c r="AK333" s="415" t="s">
        <v>1133</v>
      </c>
      <c r="AL333" s="568"/>
      <c r="AM333" s="415" t="s">
        <v>1133</v>
      </c>
      <c r="AN333" s="415" t="s">
        <v>1453</v>
      </c>
      <c r="AO333" s="634">
        <v>0</v>
      </c>
      <c r="AP333" s="635">
        <f t="shared" si="56"/>
        <v>0</v>
      </c>
      <c r="AQ333" s="635">
        <f t="shared" si="57"/>
        <v>0</v>
      </c>
      <c r="AR333" s="636"/>
      <c r="AS333" s="536"/>
      <c r="AT333" s="536" t="s">
        <v>839</v>
      </c>
      <c r="AU333" s="535"/>
      <c r="AV333" s="535">
        <f t="shared" si="58"/>
        <v>-2750</v>
      </c>
      <c r="AW333" s="637"/>
      <c r="AX333" s="536"/>
      <c r="AY333" s="536"/>
      <c r="AZ333" s="536" t="s">
        <v>1256</v>
      </c>
      <c r="BA333" s="536"/>
      <c r="BB333" s="536" t="str">
        <f t="shared" si="59"/>
        <v>/</v>
      </c>
      <c r="BC333" s="536" t="str">
        <f t="shared" si="60"/>
        <v>/</v>
      </c>
    </row>
    <row r="334" s="496" customFormat="1" customHeight="1" spans="1:55">
      <c r="A334" s="536">
        <v>46207</v>
      </c>
      <c r="B334" s="536" t="str">
        <f ca="1" t="shared" si="55"/>
        <v/>
      </c>
      <c r="C334" s="568" t="str">
        <f>VLOOKUP(H334,名称!A:E,4,0)</f>
        <v>三代</v>
      </c>
      <c r="D334" s="415" t="s">
        <v>1133</v>
      </c>
      <c r="E334" s="415" t="s">
        <v>1133</v>
      </c>
      <c r="F334" s="568" t="s">
        <v>839</v>
      </c>
      <c r="G334" s="568" t="s">
        <v>839</v>
      </c>
      <c r="H334" s="415" t="s">
        <v>181</v>
      </c>
      <c r="I334" s="568"/>
      <c r="J334" s="599">
        <v>850</v>
      </c>
      <c r="K334" s="629">
        <f>VLOOKUP(H334,名称!A:C,2,0)</f>
        <v>5</v>
      </c>
      <c r="L334" s="599">
        <f t="shared" si="61"/>
        <v>4250</v>
      </c>
      <c r="M334" s="568"/>
      <c r="N334" s="599"/>
      <c r="O334" s="536">
        <v>46216</v>
      </c>
      <c r="P334" s="536">
        <v>46216</v>
      </c>
      <c r="Q334" s="536">
        <v>46216</v>
      </c>
      <c r="R334" s="568"/>
      <c r="S334" s="413" t="s">
        <v>1133</v>
      </c>
      <c r="T334" s="568"/>
      <c r="U334" s="568"/>
      <c r="V334" s="568"/>
      <c r="W334" s="348" t="str">
        <f>IFERROR(VLOOKUP(H334,名称!A:F,6,0),"")</f>
        <v>湖南</v>
      </c>
      <c r="X334" s="415" t="s">
        <v>1133</v>
      </c>
      <c r="Y334" s="415" t="s">
        <v>1133</v>
      </c>
      <c r="Z334" s="415" t="s">
        <v>1133</v>
      </c>
      <c r="AA334" s="415" t="s">
        <v>1133</v>
      </c>
      <c r="AB334" s="415" t="s">
        <v>1133</v>
      </c>
      <c r="AC334" s="415" t="s">
        <v>1133</v>
      </c>
      <c r="AD334" s="415" t="s">
        <v>1133</v>
      </c>
      <c r="AE334" s="415" t="s">
        <v>270</v>
      </c>
      <c r="AF334" s="415" t="s">
        <v>1228</v>
      </c>
      <c r="AG334" s="415" t="s">
        <v>270</v>
      </c>
      <c r="AH334" s="415" t="s">
        <v>1133</v>
      </c>
      <c r="AI334" s="415" t="s">
        <v>1228</v>
      </c>
      <c r="AJ334" s="415" t="s">
        <v>1133</v>
      </c>
      <c r="AK334" s="415" t="s">
        <v>270</v>
      </c>
      <c r="AL334" s="568"/>
      <c r="AM334" s="568"/>
      <c r="AN334" s="415" t="s">
        <v>1454</v>
      </c>
      <c r="AO334" s="634">
        <v>0</v>
      </c>
      <c r="AP334" s="635">
        <f t="shared" si="56"/>
        <v>0</v>
      </c>
      <c r="AQ334" s="635">
        <f t="shared" si="57"/>
        <v>0</v>
      </c>
      <c r="AR334" s="636"/>
      <c r="AS334" s="536"/>
      <c r="AT334" s="536" t="s">
        <v>839</v>
      </c>
      <c r="AU334" s="535"/>
      <c r="AV334" s="535">
        <f t="shared" si="58"/>
        <v>-850</v>
      </c>
      <c r="AW334" s="637"/>
      <c r="AX334" s="536"/>
      <c r="AY334" s="536"/>
      <c r="AZ334" s="536" t="s">
        <v>1256</v>
      </c>
      <c r="BA334" s="536"/>
      <c r="BB334" s="536" t="str">
        <f t="shared" si="59"/>
        <v>/</v>
      </c>
      <c r="BC334" s="536" t="str">
        <f t="shared" si="60"/>
        <v>/</v>
      </c>
    </row>
    <row r="335" s="496" customFormat="1" customHeight="1" spans="1:55">
      <c r="A335" s="536">
        <v>46210</v>
      </c>
      <c r="B335" s="536" t="str">
        <f ca="1" t="shared" si="55"/>
        <v/>
      </c>
      <c r="C335" s="568" t="str">
        <f>VLOOKUP(H335,名称!A:E,4,0)</f>
        <v>三代</v>
      </c>
      <c r="D335" s="415" t="s">
        <v>1392</v>
      </c>
      <c r="E335" s="415" t="s">
        <v>1224</v>
      </c>
      <c r="F335" s="568">
        <v>6953930003</v>
      </c>
      <c r="G335" s="415" t="s">
        <v>1030</v>
      </c>
      <c r="H335" s="415" t="s">
        <v>119</v>
      </c>
      <c r="I335" s="568"/>
      <c r="J335" s="599">
        <v>24</v>
      </c>
      <c r="K335" s="629">
        <f>VLOOKUP(H335,名称!A:C,2,0)</f>
        <v>5</v>
      </c>
      <c r="L335" s="599">
        <f t="shared" si="61"/>
        <v>120</v>
      </c>
      <c r="M335" s="568">
        <f>VLOOKUP(H335,名称!A:E,3,0)</f>
        <v>24</v>
      </c>
      <c r="N335" s="599">
        <f t="shared" ref="N335:N377" si="62">J335/M335</f>
        <v>1</v>
      </c>
      <c r="O335" s="536">
        <v>46241</v>
      </c>
      <c r="P335" s="536">
        <v>46227</v>
      </c>
      <c r="Q335" s="536">
        <v>46227</v>
      </c>
      <c r="R335" s="415" t="s">
        <v>1291</v>
      </c>
      <c r="S335" s="536">
        <v>46244</v>
      </c>
      <c r="T335" s="415" t="s">
        <v>1282</v>
      </c>
      <c r="U335" s="568"/>
      <c r="V335" s="415" t="s">
        <v>1455</v>
      </c>
      <c r="W335" s="348" t="str">
        <f>IFERROR(VLOOKUP(H335,名称!A:F,6,0),"")</f>
        <v>湖南</v>
      </c>
      <c r="X335" s="415" t="s">
        <v>1133</v>
      </c>
      <c r="Y335" s="415" t="s">
        <v>1133</v>
      </c>
      <c r="Z335" s="569">
        <v>46210</v>
      </c>
      <c r="AA335" s="570">
        <v>46212</v>
      </c>
      <c r="AB335" s="569">
        <v>46213</v>
      </c>
      <c r="AC335" s="415" t="s">
        <v>1133</v>
      </c>
      <c r="AD335" s="415" t="s">
        <v>1133</v>
      </c>
      <c r="AE335" s="415" t="s">
        <v>270</v>
      </c>
      <c r="AF335" s="415" t="s">
        <v>1228</v>
      </c>
      <c r="AG335" s="415" t="s">
        <v>270</v>
      </c>
      <c r="AH335" s="415" t="s">
        <v>1133</v>
      </c>
      <c r="AI335" s="415" t="s">
        <v>1228</v>
      </c>
      <c r="AJ335" s="415" t="s">
        <v>1133</v>
      </c>
      <c r="AK335" s="568" t="s">
        <v>270</v>
      </c>
      <c r="AL335" s="568"/>
      <c r="AM335" s="415" t="s">
        <v>1292</v>
      </c>
      <c r="AN335" s="568"/>
      <c r="AO335" s="634">
        <v>0.62</v>
      </c>
      <c r="AP335" s="635">
        <f t="shared" si="56"/>
        <v>14.88</v>
      </c>
      <c r="AQ335" s="635">
        <f t="shared" si="57"/>
        <v>115.32</v>
      </c>
      <c r="AR335" s="636"/>
      <c r="AS335" s="536"/>
      <c r="AT335" s="413" t="s">
        <v>1220</v>
      </c>
      <c r="AU335" s="535">
        <v>24</v>
      </c>
      <c r="AV335" s="535">
        <f t="shared" si="58"/>
        <v>0</v>
      </c>
      <c r="AW335" s="637"/>
      <c r="AX335" s="413" t="s">
        <v>1280</v>
      </c>
      <c r="AY335" s="413" t="s">
        <v>1255</v>
      </c>
      <c r="AZ335" s="536" t="s">
        <v>1256</v>
      </c>
      <c r="BA335" s="536"/>
      <c r="BB335" s="536" t="str">
        <f t="shared" si="59"/>
        <v>JAZWARES - FIVE BELOW FOB</v>
      </c>
      <c r="BC335" s="536" t="str">
        <f t="shared" si="60"/>
        <v>美国</v>
      </c>
    </row>
    <row r="336" s="496" customFormat="1" customHeight="1" spans="1:55">
      <c r="A336" s="536">
        <v>46210</v>
      </c>
      <c r="B336" s="536" t="str">
        <f ca="1" t="shared" si="55"/>
        <v/>
      </c>
      <c r="C336" s="568" t="str">
        <f>VLOOKUP(H336,名称!A:E,4,0)</f>
        <v>三代</v>
      </c>
      <c r="D336" s="415" t="s">
        <v>1392</v>
      </c>
      <c r="E336" s="415" t="s">
        <v>1224</v>
      </c>
      <c r="F336" s="568">
        <v>6953930003</v>
      </c>
      <c r="G336" s="415" t="s">
        <v>1030</v>
      </c>
      <c r="H336" s="415" t="s">
        <v>119</v>
      </c>
      <c r="I336" s="568"/>
      <c r="J336" s="599">
        <v>18696</v>
      </c>
      <c r="K336" s="629">
        <f>VLOOKUP(H336,名称!A:C,2,0)</f>
        <v>5</v>
      </c>
      <c r="L336" s="599">
        <f t="shared" si="61"/>
        <v>93480</v>
      </c>
      <c r="M336" s="568">
        <f>VLOOKUP(H336,名称!A:E,3,0)</f>
        <v>24</v>
      </c>
      <c r="N336" s="599">
        <f t="shared" si="62"/>
        <v>779</v>
      </c>
      <c r="O336" s="536">
        <v>46241</v>
      </c>
      <c r="P336" s="536">
        <v>46241</v>
      </c>
      <c r="Q336" s="536">
        <v>46244</v>
      </c>
      <c r="R336" s="415" t="s">
        <v>1241</v>
      </c>
      <c r="S336" s="536">
        <v>46244</v>
      </c>
      <c r="T336" s="415" t="s">
        <v>1282</v>
      </c>
      <c r="U336" s="415" t="s">
        <v>1456</v>
      </c>
      <c r="V336" s="415" t="s">
        <v>1455</v>
      </c>
      <c r="W336" s="348" t="str">
        <f>IFERROR(VLOOKUP(H336,名称!A:F,6,0),"")</f>
        <v>湖南</v>
      </c>
      <c r="X336" s="415" t="s">
        <v>1332</v>
      </c>
      <c r="Y336" s="415" t="s">
        <v>1228</v>
      </c>
      <c r="Z336" s="569">
        <v>46210</v>
      </c>
      <c r="AA336" s="570">
        <v>46212</v>
      </c>
      <c r="AB336" s="569">
        <v>46213</v>
      </c>
      <c r="AC336" s="415" t="s">
        <v>1133</v>
      </c>
      <c r="AD336" s="415" t="s">
        <v>1133</v>
      </c>
      <c r="AE336" s="415" t="s">
        <v>270</v>
      </c>
      <c r="AF336" s="415" t="s">
        <v>1228</v>
      </c>
      <c r="AG336" s="415" t="s">
        <v>270</v>
      </c>
      <c r="AH336" s="415" t="s">
        <v>1133</v>
      </c>
      <c r="AI336" s="415" t="s">
        <v>1228</v>
      </c>
      <c r="AJ336" s="415" t="s">
        <v>1133</v>
      </c>
      <c r="AK336" s="568" t="s">
        <v>270</v>
      </c>
      <c r="AL336" s="568"/>
      <c r="AM336" s="415" t="s">
        <v>1292</v>
      </c>
      <c r="AN336" s="568"/>
      <c r="AO336" s="634">
        <v>0.62</v>
      </c>
      <c r="AP336" s="635">
        <f t="shared" si="56"/>
        <v>11591.52</v>
      </c>
      <c r="AQ336" s="635">
        <f t="shared" si="57"/>
        <v>89834.28</v>
      </c>
      <c r="AR336" s="636"/>
      <c r="AS336" s="536"/>
      <c r="AT336" s="413" t="s">
        <v>1220</v>
      </c>
      <c r="AU336" s="535">
        <v>18696</v>
      </c>
      <c r="AV336" s="535">
        <f t="shared" si="58"/>
        <v>0</v>
      </c>
      <c r="AW336" s="638" t="s">
        <v>1228</v>
      </c>
      <c r="AX336" s="413" t="s">
        <v>1280</v>
      </c>
      <c r="AY336" s="413" t="s">
        <v>1255</v>
      </c>
      <c r="AZ336" s="536" t="s">
        <v>1256</v>
      </c>
      <c r="BA336" s="536"/>
      <c r="BB336" s="536" t="str">
        <f t="shared" si="59"/>
        <v>JAZWARES - FIVE BELOW FOB</v>
      </c>
      <c r="BC336" s="536" t="str">
        <f t="shared" si="60"/>
        <v>美国</v>
      </c>
    </row>
    <row r="337" s="496" customFormat="1" customHeight="1" spans="1:55">
      <c r="A337" s="536">
        <v>46210</v>
      </c>
      <c r="B337" s="536" t="str">
        <f ca="1" t="shared" si="55"/>
        <v/>
      </c>
      <c r="C337" s="568" t="str">
        <f>VLOOKUP(H337,名称!A:E,4,0)</f>
        <v>三代</v>
      </c>
      <c r="D337" s="415" t="s">
        <v>1392</v>
      </c>
      <c r="E337" s="415" t="s">
        <v>1224</v>
      </c>
      <c r="F337" s="568">
        <v>6953930004</v>
      </c>
      <c r="G337" s="415" t="s">
        <v>1031</v>
      </c>
      <c r="H337" s="415" t="s">
        <v>119</v>
      </c>
      <c r="I337" s="568"/>
      <c r="J337" s="599">
        <v>18048</v>
      </c>
      <c r="K337" s="629">
        <f>VLOOKUP(H337,名称!A:C,2,0)</f>
        <v>5</v>
      </c>
      <c r="L337" s="599">
        <f t="shared" si="61"/>
        <v>90240</v>
      </c>
      <c r="M337" s="568">
        <f>VLOOKUP(H337,名称!A:E,3,0)</f>
        <v>24</v>
      </c>
      <c r="N337" s="599">
        <f t="shared" si="62"/>
        <v>752</v>
      </c>
      <c r="O337" s="536">
        <v>46241</v>
      </c>
      <c r="P337" s="536">
        <v>46241</v>
      </c>
      <c r="Q337" s="536">
        <v>46244</v>
      </c>
      <c r="R337" s="415" t="s">
        <v>1241</v>
      </c>
      <c r="S337" s="536">
        <v>46244</v>
      </c>
      <c r="T337" s="415" t="s">
        <v>1282</v>
      </c>
      <c r="U337" s="568"/>
      <c r="V337" s="415" t="s">
        <v>1455</v>
      </c>
      <c r="W337" s="348" t="str">
        <f>IFERROR(VLOOKUP(H337,名称!A:F,6,0),"")</f>
        <v>湖南</v>
      </c>
      <c r="X337" s="415" t="s">
        <v>1332</v>
      </c>
      <c r="Y337" s="415" t="s">
        <v>1228</v>
      </c>
      <c r="Z337" s="569">
        <v>46210</v>
      </c>
      <c r="AA337" s="570">
        <v>46212</v>
      </c>
      <c r="AB337" s="569">
        <v>46213</v>
      </c>
      <c r="AC337" s="415" t="s">
        <v>1133</v>
      </c>
      <c r="AD337" s="415" t="s">
        <v>1133</v>
      </c>
      <c r="AE337" s="415" t="s">
        <v>270</v>
      </c>
      <c r="AF337" s="415" t="s">
        <v>1228</v>
      </c>
      <c r="AG337" s="415" t="s">
        <v>270</v>
      </c>
      <c r="AH337" s="415" t="s">
        <v>1133</v>
      </c>
      <c r="AI337" s="415" t="s">
        <v>1228</v>
      </c>
      <c r="AJ337" s="415" t="s">
        <v>1133</v>
      </c>
      <c r="AK337" s="568" t="s">
        <v>270</v>
      </c>
      <c r="AL337" s="568"/>
      <c r="AM337" s="415" t="s">
        <v>1292</v>
      </c>
      <c r="AN337" s="568"/>
      <c r="AO337" s="634">
        <v>0.62</v>
      </c>
      <c r="AP337" s="635">
        <f t="shared" si="56"/>
        <v>11189.76</v>
      </c>
      <c r="AQ337" s="635">
        <f t="shared" si="57"/>
        <v>86720.64</v>
      </c>
      <c r="AR337" s="636"/>
      <c r="AS337" s="536"/>
      <c r="AT337" s="413" t="s">
        <v>1220</v>
      </c>
      <c r="AU337" s="535">
        <v>18048</v>
      </c>
      <c r="AV337" s="535">
        <f t="shared" si="58"/>
        <v>0</v>
      </c>
      <c r="AW337" s="638" t="s">
        <v>1228</v>
      </c>
      <c r="AX337" s="413" t="s">
        <v>1280</v>
      </c>
      <c r="AY337" s="413" t="s">
        <v>1255</v>
      </c>
      <c r="AZ337" s="536" t="s">
        <v>1256</v>
      </c>
      <c r="BA337" s="536"/>
      <c r="BB337" s="536" t="str">
        <f t="shared" si="59"/>
        <v>JAZWARES - FIVE BELOW FOB</v>
      </c>
      <c r="BC337" s="536" t="str">
        <f t="shared" si="60"/>
        <v>美国</v>
      </c>
    </row>
    <row r="338" s="496" customFormat="1" customHeight="1" spans="1:55">
      <c r="A338" s="536">
        <v>46210</v>
      </c>
      <c r="B338" s="536" t="str">
        <f ca="1" t="shared" si="55"/>
        <v/>
      </c>
      <c r="C338" s="568" t="str">
        <f>VLOOKUP(H338,名称!A:E,4,0)</f>
        <v>三代</v>
      </c>
      <c r="D338" s="415" t="s">
        <v>1392</v>
      </c>
      <c r="E338" s="415" t="s">
        <v>1224</v>
      </c>
      <c r="F338" s="568">
        <v>6953930005</v>
      </c>
      <c r="G338" s="415" t="s">
        <v>1032</v>
      </c>
      <c r="H338" s="415" t="s">
        <v>119</v>
      </c>
      <c r="I338" s="568"/>
      <c r="J338" s="599">
        <v>11424</v>
      </c>
      <c r="K338" s="629">
        <f>VLOOKUP(H338,名称!A:C,2,0)</f>
        <v>5</v>
      </c>
      <c r="L338" s="599">
        <f t="shared" si="61"/>
        <v>57120</v>
      </c>
      <c r="M338" s="568">
        <f>VLOOKUP(H338,名称!A:E,3,0)</f>
        <v>24</v>
      </c>
      <c r="N338" s="599">
        <f t="shared" si="62"/>
        <v>476</v>
      </c>
      <c r="O338" s="536">
        <v>46241</v>
      </c>
      <c r="P338" s="536">
        <v>46241</v>
      </c>
      <c r="Q338" s="536">
        <v>46244</v>
      </c>
      <c r="R338" s="415" t="s">
        <v>1241</v>
      </c>
      <c r="S338" s="536">
        <v>46244</v>
      </c>
      <c r="T338" s="415" t="s">
        <v>1282</v>
      </c>
      <c r="U338" s="568"/>
      <c r="V338" s="415" t="s">
        <v>1455</v>
      </c>
      <c r="W338" s="348" t="str">
        <f>IFERROR(VLOOKUP(H338,名称!A:F,6,0),"")</f>
        <v>湖南</v>
      </c>
      <c r="X338" s="415" t="s">
        <v>1332</v>
      </c>
      <c r="Y338" s="415" t="s">
        <v>1228</v>
      </c>
      <c r="Z338" s="569">
        <v>46210</v>
      </c>
      <c r="AA338" s="570">
        <v>46212</v>
      </c>
      <c r="AB338" s="569">
        <v>46213</v>
      </c>
      <c r="AC338" s="415" t="s">
        <v>1133</v>
      </c>
      <c r="AD338" s="415" t="s">
        <v>1133</v>
      </c>
      <c r="AE338" s="415" t="s">
        <v>270</v>
      </c>
      <c r="AF338" s="415" t="s">
        <v>1228</v>
      </c>
      <c r="AG338" s="415" t="s">
        <v>270</v>
      </c>
      <c r="AH338" s="415" t="s">
        <v>1133</v>
      </c>
      <c r="AI338" s="415" t="s">
        <v>1228</v>
      </c>
      <c r="AJ338" s="415" t="s">
        <v>1133</v>
      </c>
      <c r="AK338" s="568" t="s">
        <v>270</v>
      </c>
      <c r="AL338" s="568"/>
      <c r="AM338" s="415" t="s">
        <v>1292</v>
      </c>
      <c r="AN338" s="568"/>
      <c r="AO338" s="634">
        <v>0.62</v>
      </c>
      <c r="AP338" s="635">
        <f t="shared" si="56"/>
        <v>7082.88</v>
      </c>
      <c r="AQ338" s="635">
        <f t="shared" si="57"/>
        <v>54892.32</v>
      </c>
      <c r="AR338" s="636"/>
      <c r="AS338" s="536"/>
      <c r="AT338" s="413" t="s">
        <v>1220</v>
      </c>
      <c r="AU338" s="535">
        <f>11400+24</f>
        <v>11424</v>
      </c>
      <c r="AV338" s="535">
        <f t="shared" si="58"/>
        <v>0</v>
      </c>
      <c r="AW338" s="638" t="s">
        <v>1228</v>
      </c>
      <c r="AX338" s="413" t="s">
        <v>1280</v>
      </c>
      <c r="AY338" s="413" t="s">
        <v>1255</v>
      </c>
      <c r="AZ338" s="536" t="s">
        <v>1256</v>
      </c>
      <c r="BA338" s="536"/>
      <c r="BB338" s="536" t="str">
        <f t="shared" si="59"/>
        <v>JAZWARES - FIVE BELOW FOB</v>
      </c>
      <c r="BC338" s="536" t="str">
        <f t="shared" si="60"/>
        <v>美国</v>
      </c>
    </row>
    <row r="339" s="496" customFormat="1" customHeight="1" spans="1:55">
      <c r="A339" s="536">
        <v>46210</v>
      </c>
      <c r="B339" s="536" t="str">
        <f ca="1" t="shared" si="55"/>
        <v/>
      </c>
      <c r="C339" s="568" t="str">
        <f>VLOOKUP(H339,名称!A:E,4,0)</f>
        <v>三代</v>
      </c>
      <c r="D339" s="415" t="s">
        <v>1392</v>
      </c>
      <c r="E339" s="415" t="s">
        <v>1224</v>
      </c>
      <c r="F339" s="568">
        <v>6953930006</v>
      </c>
      <c r="G339" s="415" t="s">
        <v>1033</v>
      </c>
      <c r="H339" s="415" t="s">
        <v>119</v>
      </c>
      <c r="I339" s="568"/>
      <c r="J339" s="599">
        <v>16224</v>
      </c>
      <c r="K339" s="629">
        <f>VLOOKUP(H339,名称!A:C,2,0)</f>
        <v>5</v>
      </c>
      <c r="L339" s="599">
        <f t="shared" si="61"/>
        <v>81120</v>
      </c>
      <c r="M339" s="568">
        <f>VLOOKUP(H339,名称!A:E,3,0)</f>
        <v>24</v>
      </c>
      <c r="N339" s="599">
        <f t="shared" si="62"/>
        <v>676</v>
      </c>
      <c r="O339" s="536">
        <v>46241</v>
      </c>
      <c r="P339" s="536">
        <v>46241</v>
      </c>
      <c r="Q339" s="536">
        <v>46244</v>
      </c>
      <c r="R339" s="415" t="s">
        <v>1241</v>
      </c>
      <c r="S339" s="536">
        <v>46244</v>
      </c>
      <c r="T339" s="415" t="s">
        <v>1282</v>
      </c>
      <c r="U339" s="568"/>
      <c r="V339" s="415" t="s">
        <v>1455</v>
      </c>
      <c r="W339" s="348" t="str">
        <f>IFERROR(VLOOKUP(H339,名称!A:F,6,0),"")</f>
        <v>湖南</v>
      </c>
      <c r="X339" s="415" t="s">
        <v>1332</v>
      </c>
      <c r="Y339" s="415" t="s">
        <v>1228</v>
      </c>
      <c r="Z339" s="569">
        <v>46210</v>
      </c>
      <c r="AA339" s="570">
        <v>46212</v>
      </c>
      <c r="AB339" s="569">
        <v>46213</v>
      </c>
      <c r="AC339" s="415" t="s">
        <v>1133</v>
      </c>
      <c r="AD339" s="415" t="s">
        <v>1133</v>
      </c>
      <c r="AE339" s="415" t="s">
        <v>270</v>
      </c>
      <c r="AF339" s="415" t="s">
        <v>1228</v>
      </c>
      <c r="AG339" s="415" t="s">
        <v>270</v>
      </c>
      <c r="AH339" s="415" t="s">
        <v>1133</v>
      </c>
      <c r="AI339" s="415" t="s">
        <v>1228</v>
      </c>
      <c r="AJ339" s="415" t="s">
        <v>1133</v>
      </c>
      <c r="AK339" s="568" t="s">
        <v>270</v>
      </c>
      <c r="AL339" s="568"/>
      <c r="AM339" s="415" t="s">
        <v>1292</v>
      </c>
      <c r="AN339" s="568"/>
      <c r="AO339" s="634">
        <v>0.62</v>
      </c>
      <c r="AP339" s="635">
        <f t="shared" si="56"/>
        <v>10058.88</v>
      </c>
      <c r="AQ339" s="635">
        <f t="shared" si="57"/>
        <v>77956.32</v>
      </c>
      <c r="AR339" s="636"/>
      <c r="AS339" s="536"/>
      <c r="AT339" s="413" t="s">
        <v>1220</v>
      </c>
      <c r="AU339" s="535">
        <f>6024+6720+3480</f>
        <v>16224</v>
      </c>
      <c r="AV339" s="535">
        <f t="shared" si="58"/>
        <v>0</v>
      </c>
      <c r="AW339" s="638" t="s">
        <v>1228</v>
      </c>
      <c r="AX339" s="413" t="s">
        <v>1280</v>
      </c>
      <c r="AY339" s="413" t="s">
        <v>1255</v>
      </c>
      <c r="AZ339" s="536" t="s">
        <v>1256</v>
      </c>
      <c r="BA339" s="536"/>
      <c r="BB339" s="536" t="str">
        <f t="shared" si="59"/>
        <v>JAZWARES - FIVE BELOW FOB</v>
      </c>
      <c r="BC339" s="536" t="str">
        <f t="shared" si="60"/>
        <v>美国</v>
      </c>
    </row>
    <row r="340" s="496" customFormat="1" customHeight="1" spans="1:55">
      <c r="A340" s="536">
        <v>46210</v>
      </c>
      <c r="B340" s="536" t="str">
        <f ca="1" t="shared" si="55"/>
        <v/>
      </c>
      <c r="C340" s="568" t="str">
        <f>VLOOKUP(H340,名称!A:E,4,0)</f>
        <v>三代</v>
      </c>
      <c r="D340" s="415" t="s">
        <v>1392</v>
      </c>
      <c r="E340" s="415" t="s">
        <v>1224</v>
      </c>
      <c r="F340" s="568">
        <v>6953930007</v>
      </c>
      <c r="G340" s="415" t="s">
        <v>1034</v>
      </c>
      <c r="H340" s="415" t="s">
        <v>119</v>
      </c>
      <c r="I340" s="568"/>
      <c r="J340" s="599">
        <v>10608</v>
      </c>
      <c r="K340" s="629">
        <f>VLOOKUP(H340,名称!A:C,2,0)</f>
        <v>5</v>
      </c>
      <c r="L340" s="599">
        <f t="shared" si="61"/>
        <v>53040</v>
      </c>
      <c r="M340" s="568">
        <f>VLOOKUP(H340,名称!A:E,3,0)</f>
        <v>24</v>
      </c>
      <c r="N340" s="599">
        <f t="shared" si="62"/>
        <v>442</v>
      </c>
      <c r="O340" s="536">
        <v>46241</v>
      </c>
      <c r="P340" s="536">
        <v>46241</v>
      </c>
      <c r="Q340" s="536">
        <v>46244</v>
      </c>
      <c r="R340" s="415" t="s">
        <v>1241</v>
      </c>
      <c r="S340" s="536">
        <v>46244</v>
      </c>
      <c r="T340" s="415" t="s">
        <v>1282</v>
      </c>
      <c r="U340" s="568"/>
      <c r="V340" s="415" t="s">
        <v>1455</v>
      </c>
      <c r="W340" s="348" t="str">
        <f>IFERROR(VLOOKUP(H340,名称!A:F,6,0),"")</f>
        <v>湖南</v>
      </c>
      <c r="X340" s="415" t="s">
        <v>1332</v>
      </c>
      <c r="Y340" s="415" t="s">
        <v>1228</v>
      </c>
      <c r="Z340" s="569">
        <v>46210</v>
      </c>
      <c r="AA340" s="570">
        <v>46212</v>
      </c>
      <c r="AB340" s="569">
        <v>46213</v>
      </c>
      <c r="AC340" s="415" t="s">
        <v>1133</v>
      </c>
      <c r="AD340" s="415" t="s">
        <v>1133</v>
      </c>
      <c r="AE340" s="415" t="s">
        <v>270</v>
      </c>
      <c r="AF340" s="415" t="s">
        <v>1228</v>
      </c>
      <c r="AG340" s="415" t="s">
        <v>270</v>
      </c>
      <c r="AH340" s="415" t="s">
        <v>1133</v>
      </c>
      <c r="AI340" s="415" t="s">
        <v>1228</v>
      </c>
      <c r="AJ340" s="415" t="s">
        <v>1133</v>
      </c>
      <c r="AK340" s="568" t="s">
        <v>270</v>
      </c>
      <c r="AL340" s="568"/>
      <c r="AM340" s="415" t="s">
        <v>1292</v>
      </c>
      <c r="AN340" s="568"/>
      <c r="AO340" s="634">
        <v>0.62</v>
      </c>
      <c r="AP340" s="635">
        <f t="shared" si="56"/>
        <v>6576.96</v>
      </c>
      <c r="AQ340" s="635">
        <f t="shared" si="57"/>
        <v>50971.44</v>
      </c>
      <c r="AR340" s="636"/>
      <c r="AS340" s="536"/>
      <c r="AT340" s="413" t="s">
        <v>1220</v>
      </c>
      <c r="AU340" s="535">
        <v>10608</v>
      </c>
      <c r="AV340" s="535">
        <f t="shared" si="58"/>
        <v>0</v>
      </c>
      <c r="AW340" s="638" t="s">
        <v>1228</v>
      </c>
      <c r="AX340" s="413" t="s">
        <v>1280</v>
      </c>
      <c r="AY340" s="413" t="s">
        <v>1255</v>
      </c>
      <c r="AZ340" s="536" t="s">
        <v>1256</v>
      </c>
      <c r="BA340" s="536"/>
      <c r="BB340" s="536" t="str">
        <f t="shared" si="59"/>
        <v>JAZWARES - FIVE BELOW FOB</v>
      </c>
      <c r="BC340" s="536" t="str">
        <f t="shared" si="60"/>
        <v>美国</v>
      </c>
    </row>
    <row r="341" s="495" customFormat="1" customHeight="1" spans="1:55">
      <c r="A341" s="549">
        <v>46211</v>
      </c>
      <c r="B341" s="549" t="str">
        <f ca="1" t="shared" si="55"/>
        <v>异常</v>
      </c>
      <c r="C341" s="541" t="str">
        <f>VLOOKUP(H341,名称!A:E,4,0)</f>
        <v>三代</v>
      </c>
      <c r="D341" s="431" t="s">
        <v>1445</v>
      </c>
      <c r="E341" s="431" t="s">
        <v>1224</v>
      </c>
      <c r="F341" s="431" t="s">
        <v>1035</v>
      </c>
      <c r="G341" s="431" t="s">
        <v>1036</v>
      </c>
      <c r="H341" s="431" t="s">
        <v>107</v>
      </c>
      <c r="I341" s="129"/>
      <c r="J341" s="586">
        <v>2900</v>
      </c>
      <c r="K341" s="95">
        <f>VLOOKUP(H341,名称!A:C,2,0)</f>
        <v>12</v>
      </c>
      <c r="L341" s="96">
        <f t="shared" si="61"/>
        <v>34800</v>
      </c>
      <c r="M341" s="541">
        <f>VLOOKUP(H341,名称!A:E,3,0)</f>
        <v>5</v>
      </c>
      <c r="N341" s="586">
        <f t="shared" si="62"/>
        <v>580</v>
      </c>
      <c r="O341" s="549">
        <v>46321</v>
      </c>
      <c r="P341" s="549">
        <v>46321</v>
      </c>
      <c r="Q341" s="549">
        <v>46321</v>
      </c>
      <c r="R341" s="541"/>
      <c r="S341" s="420" t="s">
        <v>1225</v>
      </c>
      <c r="T341" s="541"/>
      <c r="U341" s="541"/>
      <c r="V341" s="541"/>
      <c r="W341" s="518" t="str">
        <f>IFERROR(VLOOKUP(H341,名称!A:F,6,0),"")</f>
        <v>湖南</v>
      </c>
      <c r="X341" s="431" t="s">
        <v>1133</v>
      </c>
      <c r="Y341" s="431" t="s">
        <v>1133</v>
      </c>
      <c r="Z341" s="431" t="s">
        <v>1233</v>
      </c>
      <c r="AA341" s="552"/>
      <c r="AB341" s="541"/>
      <c r="AC341" s="541" t="s">
        <v>1302</v>
      </c>
      <c r="AD341" s="431" t="s">
        <v>1228</v>
      </c>
      <c r="AE341" s="431" t="s">
        <v>270</v>
      </c>
      <c r="AF341" s="431" t="s">
        <v>1228</v>
      </c>
      <c r="AG341" s="431" t="s">
        <v>270</v>
      </c>
      <c r="AH341" s="431" t="s">
        <v>1285</v>
      </c>
      <c r="AI341" s="431" t="s">
        <v>1228</v>
      </c>
      <c r="AJ341" s="431" t="s">
        <v>510</v>
      </c>
      <c r="AK341" s="431" t="s">
        <v>1133</v>
      </c>
      <c r="AL341" s="541"/>
      <c r="AM341" s="541"/>
      <c r="AN341" s="541"/>
      <c r="AO341" s="624">
        <v>2.12</v>
      </c>
      <c r="AP341" s="625">
        <f t="shared" si="56"/>
        <v>6148</v>
      </c>
      <c r="AQ341" s="625">
        <f t="shared" si="57"/>
        <v>47647</v>
      </c>
      <c r="AR341" s="626"/>
      <c r="AS341" s="549"/>
      <c r="AT341" s="420" t="s">
        <v>1220</v>
      </c>
      <c r="AU341" s="548"/>
      <c r="AV341" s="548">
        <f t="shared" si="58"/>
        <v>-2900</v>
      </c>
      <c r="AW341" s="627"/>
      <c r="AX341" s="420" t="s">
        <v>1280</v>
      </c>
      <c r="AY341" s="420" t="s">
        <v>1255</v>
      </c>
      <c r="AZ341" s="549" t="s">
        <v>1256</v>
      </c>
      <c r="BA341" s="549"/>
      <c r="BB341" s="549" t="str">
        <f t="shared" si="59"/>
        <v>JAZWARES - WALGREEN</v>
      </c>
      <c r="BC341" s="549" t="str">
        <f t="shared" si="60"/>
        <v>美国</v>
      </c>
    </row>
    <row r="342" s="495" customFormat="1" customHeight="1" spans="1:55">
      <c r="A342" s="549">
        <v>46211</v>
      </c>
      <c r="B342" s="549" t="str">
        <f ca="1" t="shared" si="55"/>
        <v>异常</v>
      </c>
      <c r="C342" s="541" t="str">
        <f>VLOOKUP(H342,名称!A:E,4,0)</f>
        <v>三代</v>
      </c>
      <c r="D342" s="431" t="s">
        <v>1445</v>
      </c>
      <c r="E342" s="431" t="s">
        <v>1224</v>
      </c>
      <c r="F342" s="431" t="s">
        <v>1035</v>
      </c>
      <c r="G342" s="431" t="s">
        <v>1036</v>
      </c>
      <c r="H342" s="431" t="s">
        <v>107</v>
      </c>
      <c r="I342" s="129"/>
      <c r="J342" s="586">
        <f>10000-2900</f>
        <v>7100</v>
      </c>
      <c r="K342" s="95">
        <f>VLOOKUP(H342,名称!A:C,2,0)</f>
        <v>12</v>
      </c>
      <c r="L342" s="96">
        <f t="shared" si="61"/>
        <v>85200</v>
      </c>
      <c r="M342" s="541">
        <f>VLOOKUP(H342,名称!A:E,3,0)</f>
        <v>5</v>
      </c>
      <c r="N342" s="586">
        <f t="shared" si="62"/>
        <v>1420</v>
      </c>
      <c r="O342" s="549">
        <v>46321</v>
      </c>
      <c r="P342" s="420" t="s">
        <v>1225</v>
      </c>
      <c r="Q342" s="420" t="s">
        <v>1225</v>
      </c>
      <c r="R342" s="541"/>
      <c r="S342" s="420" t="s">
        <v>1225</v>
      </c>
      <c r="T342" s="541"/>
      <c r="U342" s="541"/>
      <c r="V342" s="541"/>
      <c r="W342" s="518" t="str">
        <f>IFERROR(VLOOKUP(H342,名称!A:F,6,0),"")</f>
        <v>湖南</v>
      </c>
      <c r="X342" s="431" t="s">
        <v>1133</v>
      </c>
      <c r="Y342" s="431" t="s">
        <v>1133</v>
      </c>
      <c r="Z342" s="431" t="s">
        <v>1233</v>
      </c>
      <c r="AA342" s="552"/>
      <c r="AB342" s="541"/>
      <c r="AC342" s="541" t="s">
        <v>1302</v>
      </c>
      <c r="AD342" s="431" t="s">
        <v>1228</v>
      </c>
      <c r="AE342" s="431" t="s">
        <v>270</v>
      </c>
      <c r="AF342" s="431" t="s">
        <v>1228</v>
      </c>
      <c r="AG342" s="431" t="s">
        <v>270</v>
      </c>
      <c r="AH342" s="431" t="s">
        <v>1285</v>
      </c>
      <c r="AI342" s="431" t="s">
        <v>1228</v>
      </c>
      <c r="AJ342" s="431" t="s">
        <v>510</v>
      </c>
      <c r="AK342" s="431" t="s">
        <v>1133</v>
      </c>
      <c r="AL342" s="541"/>
      <c r="AM342" s="541"/>
      <c r="AN342" s="541"/>
      <c r="AO342" s="624">
        <v>2.12</v>
      </c>
      <c r="AP342" s="625">
        <f t="shared" si="56"/>
        <v>15052</v>
      </c>
      <c r="AQ342" s="625">
        <f t="shared" si="57"/>
        <v>116653</v>
      </c>
      <c r="AR342" s="626"/>
      <c r="AS342" s="549"/>
      <c r="AT342" s="420" t="s">
        <v>1220</v>
      </c>
      <c r="AU342" s="548"/>
      <c r="AV342" s="548">
        <f t="shared" si="58"/>
        <v>-7100</v>
      </c>
      <c r="AW342" s="627"/>
      <c r="AX342" s="420" t="s">
        <v>1280</v>
      </c>
      <c r="AY342" s="420" t="s">
        <v>1255</v>
      </c>
      <c r="AZ342" s="549" t="s">
        <v>1256</v>
      </c>
      <c r="BA342" s="549"/>
      <c r="BB342" s="549" t="str">
        <f t="shared" si="59"/>
        <v>JAZWARES - WALGREEN</v>
      </c>
      <c r="BC342" s="549" t="str">
        <f t="shared" si="60"/>
        <v>美国</v>
      </c>
    </row>
    <row r="343" s="495" customFormat="1" customHeight="1" spans="1:55">
      <c r="A343" s="549">
        <v>46213</v>
      </c>
      <c r="B343" s="549" t="str">
        <f ca="1" t="shared" si="55"/>
        <v/>
      </c>
      <c r="C343" s="541" t="str">
        <f>VLOOKUP(H343,名称!A:E,4,0)</f>
        <v>三代</v>
      </c>
      <c r="D343" s="431" t="s">
        <v>1264</v>
      </c>
      <c r="E343" s="431" t="s">
        <v>1224</v>
      </c>
      <c r="F343" s="431" t="s">
        <v>1037</v>
      </c>
      <c r="G343" s="431" t="s">
        <v>1038</v>
      </c>
      <c r="H343" s="431" t="s">
        <v>99</v>
      </c>
      <c r="I343" s="129"/>
      <c r="J343" s="586">
        <v>1032</v>
      </c>
      <c r="K343" s="95">
        <f>VLOOKUP(H343,名称!A:C,2,0)</f>
        <v>7</v>
      </c>
      <c r="L343" s="96">
        <f t="shared" si="61"/>
        <v>7224</v>
      </c>
      <c r="M343" s="541">
        <f>VLOOKUP(H343,名称!A:E,3,0)</f>
        <v>24</v>
      </c>
      <c r="N343" s="586">
        <f t="shared" si="62"/>
        <v>43</v>
      </c>
      <c r="O343" s="549">
        <v>46275</v>
      </c>
      <c r="P343" s="549">
        <v>46275</v>
      </c>
      <c r="Q343" s="549">
        <v>46275</v>
      </c>
      <c r="R343" s="541"/>
      <c r="S343" s="420" t="s">
        <v>1133</v>
      </c>
      <c r="T343" s="541"/>
      <c r="U343" s="541"/>
      <c r="V343" s="541"/>
      <c r="W343" s="518" t="str">
        <f>IFERROR(VLOOKUP(H343,名称!A:F,6,0),"")</f>
        <v>湖南</v>
      </c>
      <c r="X343" s="431" t="s">
        <v>1248</v>
      </c>
      <c r="Y343" s="478">
        <v>46224</v>
      </c>
      <c r="Z343" s="431" t="s">
        <v>1249</v>
      </c>
      <c r="AA343" s="552">
        <v>46217</v>
      </c>
      <c r="AB343" s="567">
        <v>46220</v>
      </c>
      <c r="AC343" s="431" t="s">
        <v>1284</v>
      </c>
      <c r="AD343" s="431" t="s">
        <v>1228</v>
      </c>
      <c r="AE343" s="431" t="s">
        <v>510</v>
      </c>
      <c r="AF343" s="431" t="s">
        <v>1228</v>
      </c>
      <c r="AG343" s="431" t="s">
        <v>510</v>
      </c>
      <c r="AH343" s="431" t="s">
        <v>1307</v>
      </c>
      <c r="AI343" s="431" t="s">
        <v>1228</v>
      </c>
      <c r="AJ343" s="431" t="s">
        <v>1133</v>
      </c>
      <c r="AK343" s="431" t="s">
        <v>1133</v>
      </c>
      <c r="AL343" s="541"/>
      <c r="AM343" s="422" t="s">
        <v>1267</v>
      </c>
      <c r="AN343" s="431" t="s">
        <v>1268</v>
      </c>
      <c r="AO343" s="624">
        <v>0.9</v>
      </c>
      <c r="AP343" s="625">
        <f t="shared" si="56"/>
        <v>928.8</v>
      </c>
      <c r="AQ343" s="625">
        <f t="shared" si="57"/>
        <v>7198.2</v>
      </c>
      <c r="AR343" s="626"/>
      <c r="AS343" s="549"/>
      <c r="AT343" s="420" t="s">
        <v>1220</v>
      </c>
      <c r="AU343" s="548"/>
      <c r="AV343" s="548">
        <f t="shared" si="58"/>
        <v>-1032</v>
      </c>
      <c r="AW343" s="639" t="s">
        <v>1228</v>
      </c>
      <c r="AX343" s="420" t="s">
        <v>1280</v>
      </c>
      <c r="AY343" s="420" t="s">
        <v>1269</v>
      </c>
      <c r="AZ343" s="549" t="s">
        <v>1256</v>
      </c>
      <c r="BA343" s="549"/>
      <c r="BB343" s="549" t="str">
        <f t="shared" si="59"/>
        <v>PT MAP</v>
      </c>
      <c r="BC343" s="549" t="str">
        <f t="shared" si="60"/>
        <v>美国</v>
      </c>
    </row>
    <row r="344" s="495" customFormat="1" customHeight="1" spans="1:55">
      <c r="A344" s="549">
        <v>46213</v>
      </c>
      <c r="B344" s="549" t="str">
        <f ca="1" t="shared" si="55"/>
        <v/>
      </c>
      <c r="C344" s="541" t="str">
        <f>VLOOKUP(H344,名称!A:E,4,0)</f>
        <v>三代</v>
      </c>
      <c r="D344" s="431" t="s">
        <v>1264</v>
      </c>
      <c r="E344" s="431" t="s">
        <v>1224</v>
      </c>
      <c r="F344" s="431" t="s">
        <v>1037</v>
      </c>
      <c r="G344" s="431" t="s">
        <v>1038</v>
      </c>
      <c r="H344" s="431" t="s">
        <v>66</v>
      </c>
      <c r="I344" s="129"/>
      <c r="J344" s="586">
        <v>816</v>
      </c>
      <c r="K344" s="95">
        <f>VLOOKUP(H344,名称!A:C,2,0)</f>
        <v>12</v>
      </c>
      <c r="L344" s="96">
        <f t="shared" si="61"/>
        <v>9792</v>
      </c>
      <c r="M344" s="541">
        <f>VLOOKUP(H344,名称!A:E,3,0)</f>
        <v>6</v>
      </c>
      <c r="N344" s="586">
        <f t="shared" si="62"/>
        <v>136</v>
      </c>
      <c r="O344" s="549">
        <v>46275</v>
      </c>
      <c r="P344" s="549">
        <v>46275</v>
      </c>
      <c r="Q344" s="549">
        <v>46275</v>
      </c>
      <c r="R344" s="541"/>
      <c r="S344" s="420" t="s">
        <v>1133</v>
      </c>
      <c r="T344" s="541"/>
      <c r="U344" s="541"/>
      <c r="V344" s="541"/>
      <c r="W344" s="518" t="str">
        <f>IFERROR(VLOOKUP(H344,名称!A:F,6,0),"")</f>
        <v>湖南</v>
      </c>
      <c r="X344" s="431" t="s">
        <v>1248</v>
      </c>
      <c r="Y344" s="478">
        <v>46224</v>
      </c>
      <c r="Z344" s="431" t="s">
        <v>1249</v>
      </c>
      <c r="AA344" s="552">
        <v>46217</v>
      </c>
      <c r="AB344" s="567">
        <v>46220</v>
      </c>
      <c r="AC344" s="431" t="s">
        <v>1318</v>
      </c>
      <c r="AD344" s="431" t="s">
        <v>1228</v>
      </c>
      <c r="AE344" s="431" t="s">
        <v>510</v>
      </c>
      <c r="AF344" s="431" t="s">
        <v>1228</v>
      </c>
      <c r="AG344" s="431" t="s">
        <v>510</v>
      </c>
      <c r="AH344" s="431" t="s">
        <v>1307</v>
      </c>
      <c r="AI344" s="431" t="s">
        <v>1228</v>
      </c>
      <c r="AJ344" s="431" t="s">
        <v>510</v>
      </c>
      <c r="AK344" s="431" t="s">
        <v>1133</v>
      </c>
      <c r="AL344" s="541"/>
      <c r="AM344" s="422" t="s">
        <v>1267</v>
      </c>
      <c r="AN344" s="431" t="s">
        <v>1268</v>
      </c>
      <c r="AO344" s="624">
        <v>2.09</v>
      </c>
      <c r="AP344" s="625">
        <f t="shared" si="56"/>
        <v>1705.44</v>
      </c>
      <c r="AQ344" s="625">
        <f t="shared" si="57"/>
        <v>13217.16</v>
      </c>
      <c r="AR344" s="626"/>
      <c r="AS344" s="549"/>
      <c r="AT344" s="420" t="s">
        <v>1220</v>
      </c>
      <c r="AU344" s="548"/>
      <c r="AV344" s="548">
        <f t="shared" si="58"/>
        <v>-816</v>
      </c>
      <c r="AW344" s="639" t="s">
        <v>1228</v>
      </c>
      <c r="AX344" s="420" t="s">
        <v>1280</v>
      </c>
      <c r="AY344" s="420" t="s">
        <v>1269</v>
      </c>
      <c r="AZ344" s="549" t="s">
        <v>1256</v>
      </c>
      <c r="BA344" s="549"/>
      <c r="BB344" s="549" t="str">
        <f t="shared" si="59"/>
        <v>PT MAP</v>
      </c>
      <c r="BC344" s="549" t="str">
        <f t="shared" si="60"/>
        <v>美国</v>
      </c>
    </row>
    <row r="345" s="495" customFormat="1" customHeight="1" spans="1:55">
      <c r="A345" s="549">
        <v>46213</v>
      </c>
      <c r="B345" s="549" t="str">
        <f ca="1" t="shared" si="55"/>
        <v/>
      </c>
      <c r="C345" s="541" t="str">
        <f>VLOOKUP(H345,名称!A:E,4,0)</f>
        <v>三代</v>
      </c>
      <c r="D345" s="431" t="s">
        <v>1264</v>
      </c>
      <c r="E345" s="431" t="s">
        <v>1224</v>
      </c>
      <c r="F345" s="431" t="s">
        <v>1037</v>
      </c>
      <c r="G345" s="431" t="s">
        <v>1038</v>
      </c>
      <c r="H345" s="431" t="s">
        <v>85</v>
      </c>
      <c r="I345" s="129"/>
      <c r="J345" s="586">
        <v>1440</v>
      </c>
      <c r="K345" s="95">
        <f>VLOOKUP(H345,名称!A:C,2,0)</f>
        <v>5</v>
      </c>
      <c r="L345" s="96">
        <f t="shared" si="61"/>
        <v>7200</v>
      </c>
      <c r="M345" s="541">
        <f>VLOOKUP(H345,名称!A:E,3,0)</f>
        <v>24</v>
      </c>
      <c r="N345" s="586">
        <f t="shared" si="62"/>
        <v>60</v>
      </c>
      <c r="O345" s="549">
        <v>46275</v>
      </c>
      <c r="P345" s="549">
        <v>46275</v>
      </c>
      <c r="Q345" s="549">
        <v>46275</v>
      </c>
      <c r="R345" s="541"/>
      <c r="S345" s="420" t="s">
        <v>1133</v>
      </c>
      <c r="T345" s="541"/>
      <c r="U345" s="541"/>
      <c r="V345" s="541"/>
      <c r="W345" s="518" t="str">
        <f>IFERROR(VLOOKUP(H345,名称!A:F,6,0),"")</f>
        <v>湖南</v>
      </c>
      <c r="X345" s="431" t="s">
        <v>1248</v>
      </c>
      <c r="Y345" s="478">
        <v>46224</v>
      </c>
      <c r="Z345" s="431" t="s">
        <v>1249</v>
      </c>
      <c r="AA345" s="552">
        <v>46217</v>
      </c>
      <c r="AB345" s="567">
        <v>46220</v>
      </c>
      <c r="AC345" s="431" t="s">
        <v>1133</v>
      </c>
      <c r="AD345" s="640" t="s">
        <v>1133</v>
      </c>
      <c r="AE345" s="431" t="s">
        <v>510</v>
      </c>
      <c r="AF345" s="431" t="s">
        <v>1228</v>
      </c>
      <c r="AG345" s="431" t="s">
        <v>510</v>
      </c>
      <c r="AH345" s="431" t="s">
        <v>1133</v>
      </c>
      <c r="AI345" s="431" t="s">
        <v>1228</v>
      </c>
      <c r="AJ345" s="431" t="s">
        <v>1133</v>
      </c>
      <c r="AK345" s="431" t="s">
        <v>510</v>
      </c>
      <c r="AL345" s="541"/>
      <c r="AM345" s="422" t="s">
        <v>1267</v>
      </c>
      <c r="AN345" s="431" t="s">
        <v>1268</v>
      </c>
      <c r="AO345" s="624">
        <v>0.88</v>
      </c>
      <c r="AP345" s="625">
        <f t="shared" si="56"/>
        <v>1267.2</v>
      </c>
      <c r="AQ345" s="625">
        <f t="shared" si="57"/>
        <v>9820.8</v>
      </c>
      <c r="AR345" s="626"/>
      <c r="AS345" s="549"/>
      <c r="AT345" s="420" t="s">
        <v>1220</v>
      </c>
      <c r="AU345" s="548"/>
      <c r="AV345" s="548">
        <f t="shared" si="58"/>
        <v>-1440</v>
      </c>
      <c r="AW345" s="639" t="s">
        <v>1228</v>
      </c>
      <c r="AX345" s="420" t="s">
        <v>1280</v>
      </c>
      <c r="AY345" s="420" t="s">
        <v>1269</v>
      </c>
      <c r="AZ345" s="549" t="s">
        <v>1256</v>
      </c>
      <c r="BA345" s="549"/>
      <c r="BB345" s="549" t="str">
        <f t="shared" si="59"/>
        <v>PT MAP</v>
      </c>
      <c r="BC345" s="549" t="str">
        <f t="shared" si="60"/>
        <v>美国</v>
      </c>
    </row>
    <row r="346" s="495" customFormat="1" customHeight="1" spans="1:55">
      <c r="A346" s="549">
        <v>46213</v>
      </c>
      <c r="B346" s="549" t="str">
        <f ca="1" t="shared" si="55"/>
        <v/>
      </c>
      <c r="C346" s="541" t="str">
        <f>VLOOKUP(H346,名称!A:E,4,0)</f>
        <v>三代</v>
      </c>
      <c r="D346" s="431" t="s">
        <v>1264</v>
      </c>
      <c r="E346" s="431" t="s">
        <v>1224</v>
      </c>
      <c r="F346" s="431" t="s">
        <v>1037</v>
      </c>
      <c r="G346" s="431" t="s">
        <v>1038</v>
      </c>
      <c r="H346" s="431" t="s">
        <v>92</v>
      </c>
      <c r="I346" s="129"/>
      <c r="J346" s="586">
        <v>960</v>
      </c>
      <c r="K346" s="95">
        <f>VLOOKUP(H346,名称!A:C,2,0)</f>
        <v>7</v>
      </c>
      <c r="L346" s="96">
        <f t="shared" si="61"/>
        <v>6720</v>
      </c>
      <c r="M346" s="541">
        <f>VLOOKUP(H346,名称!A:E,3,0)</f>
        <v>16</v>
      </c>
      <c r="N346" s="586">
        <f t="shared" si="62"/>
        <v>60</v>
      </c>
      <c r="O346" s="549">
        <v>46275</v>
      </c>
      <c r="P346" s="549">
        <v>46275</v>
      </c>
      <c r="Q346" s="549">
        <v>46275</v>
      </c>
      <c r="R346" s="541"/>
      <c r="S346" s="420" t="s">
        <v>1133</v>
      </c>
      <c r="T346" s="541"/>
      <c r="U346" s="541"/>
      <c r="V346" s="541"/>
      <c r="W346" s="518" t="str">
        <f>IFERROR(VLOOKUP(H346,名称!A:F,6,0),"")</f>
        <v>湖南</v>
      </c>
      <c r="X346" s="431" t="s">
        <v>1248</v>
      </c>
      <c r="Y346" s="478">
        <v>46224</v>
      </c>
      <c r="Z346" s="431" t="s">
        <v>1249</v>
      </c>
      <c r="AA346" s="552">
        <v>46217</v>
      </c>
      <c r="AB346" s="567">
        <v>46220</v>
      </c>
      <c r="AC346" s="431" t="s">
        <v>1284</v>
      </c>
      <c r="AD346" s="431" t="s">
        <v>1228</v>
      </c>
      <c r="AE346" s="431" t="s">
        <v>510</v>
      </c>
      <c r="AF346" s="431" t="s">
        <v>1228</v>
      </c>
      <c r="AG346" s="431" t="s">
        <v>510</v>
      </c>
      <c r="AH346" s="431" t="s">
        <v>1307</v>
      </c>
      <c r="AI346" s="431" t="s">
        <v>1228</v>
      </c>
      <c r="AJ346" s="431" t="s">
        <v>1133</v>
      </c>
      <c r="AK346" s="431" t="s">
        <v>1133</v>
      </c>
      <c r="AL346" s="541"/>
      <c r="AM346" s="422" t="s">
        <v>1267</v>
      </c>
      <c r="AN346" s="431" t="s">
        <v>1268</v>
      </c>
      <c r="AO346" s="624">
        <v>0.91</v>
      </c>
      <c r="AP346" s="625">
        <f t="shared" si="56"/>
        <v>873.6</v>
      </c>
      <c r="AQ346" s="625">
        <f t="shared" si="57"/>
        <v>6770.4</v>
      </c>
      <c r="AR346" s="626"/>
      <c r="AS346" s="549"/>
      <c r="AT346" s="420" t="s">
        <v>1220</v>
      </c>
      <c r="AU346" s="548"/>
      <c r="AV346" s="548">
        <f t="shared" si="58"/>
        <v>-960</v>
      </c>
      <c r="AW346" s="639" t="s">
        <v>1228</v>
      </c>
      <c r="AX346" s="420" t="s">
        <v>1280</v>
      </c>
      <c r="AY346" s="420" t="s">
        <v>1269</v>
      </c>
      <c r="AZ346" s="549" t="s">
        <v>1256</v>
      </c>
      <c r="BA346" s="549"/>
      <c r="BB346" s="549" t="str">
        <f t="shared" si="59"/>
        <v>PT MAP</v>
      </c>
      <c r="BC346" s="549" t="str">
        <f t="shared" si="60"/>
        <v>美国</v>
      </c>
    </row>
    <row r="347" s="495" customFormat="1" customHeight="1" spans="1:55">
      <c r="A347" s="549">
        <v>46213</v>
      </c>
      <c r="B347" s="549" t="str">
        <f ca="1" t="shared" si="55"/>
        <v/>
      </c>
      <c r="C347" s="541" t="str">
        <f>VLOOKUP(H347,名称!A:E,4,0)</f>
        <v>三代</v>
      </c>
      <c r="D347" s="431" t="s">
        <v>1257</v>
      </c>
      <c r="E347" s="431" t="s">
        <v>1258</v>
      </c>
      <c r="F347" s="431" t="s">
        <v>1039</v>
      </c>
      <c r="G347" s="431" t="s">
        <v>1040</v>
      </c>
      <c r="H347" s="431" t="s">
        <v>84</v>
      </c>
      <c r="I347" s="129"/>
      <c r="J347" s="586">
        <v>48006</v>
      </c>
      <c r="K347" s="95">
        <f>VLOOKUP(H347,名称!A:C,2,0)</f>
        <v>5</v>
      </c>
      <c r="L347" s="96">
        <f t="shared" si="61"/>
        <v>240030</v>
      </c>
      <c r="M347" s="541">
        <f>VLOOKUP(H347,名称!A:E,3,0)</f>
        <v>18</v>
      </c>
      <c r="N347" s="586">
        <f t="shared" si="62"/>
        <v>2667</v>
      </c>
      <c r="O347" s="549">
        <v>46272</v>
      </c>
      <c r="P347" s="549">
        <v>46272</v>
      </c>
      <c r="Q347" s="549">
        <v>46272</v>
      </c>
      <c r="R347" s="541"/>
      <c r="S347" s="549">
        <v>46273</v>
      </c>
      <c r="T347" s="541"/>
      <c r="U347" s="541"/>
      <c r="V347" s="541"/>
      <c r="W347" s="518" t="str">
        <f>IFERROR(VLOOKUP(H347,名称!A:F,6,0),"")</f>
        <v>湖南</v>
      </c>
      <c r="X347" s="431" t="s">
        <v>1133</v>
      </c>
      <c r="Y347" s="431" t="s">
        <v>1133</v>
      </c>
      <c r="Z347" s="431" t="s">
        <v>1249</v>
      </c>
      <c r="AA347" s="479">
        <v>46234</v>
      </c>
      <c r="AB347" s="479">
        <v>46234</v>
      </c>
      <c r="AC347" s="541" t="s">
        <v>1133</v>
      </c>
      <c r="AD347" s="541" t="s">
        <v>1133</v>
      </c>
      <c r="AE347" s="431" t="s">
        <v>334</v>
      </c>
      <c r="AF347" s="541"/>
      <c r="AG347" s="431" t="s">
        <v>334</v>
      </c>
      <c r="AH347" s="541" t="s">
        <v>1133</v>
      </c>
      <c r="AI347" s="541" t="s">
        <v>1228</v>
      </c>
      <c r="AJ347" s="541" t="s">
        <v>1133</v>
      </c>
      <c r="AK347" s="431" t="s">
        <v>334</v>
      </c>
      <c r="AL347" s="431" t="s">
        <v>1228</v>
      </c>
      <c r="AM347" s="431" t="s">
        <v>1457</v>
      </c>
      <c r="AN347" s="431" t="s">
        <v>1458</v>
      </c>
      <c r="AO347" s="624">
        <v>0.88</v>
      </c>
      <c r="AP347" s="625">
        <f t="shared" si="56"/>
        <v>42245.28</v>
      </c>
      <c r="AQ347" s="625">
        <f t="shared" si="57"/>
        <v>327400.92</v>
      </c>
      <c r="AR347" s="626"/>
      <c r="AS347" s="549"/>
      <c r="AT347" s="549" t="s">
        <v>1310</v>
      </c>
      <c r="AU347" s="548"/>
      <c r="AV347" s="548">
        <f t="shared" si="58"/>
        <v>-48006</v>
      </c>
      <c r="AW347" s="627"/>
      <c r="AX347" s="549"/>
      <c r="AY347" s="420" t="s">
        <v>1273</v>
      </c>
      <c r="AZ347" s="420" t="s">
        <v>1274</v>
      </c>
      <c r="BA347" s="549"/>
      <c r="BB347" s="549" t="str">
        <f t="shared" si="59"/>
        <v>Character Options</v>
      </c>
      <c r="BC347" s="549" t="str">
        <f t="shared" si="60"/>
        <v>英国</v>
      </c>
    </row>
    <row r="348" s="495" customFormat="1" customHeight="1" spans="1:55">
      <c r="A348" s="549">
        <v>46216</v>
      </c>
      <c r="B348" s="549" t="str">
        <f ca="1" t="shared" si="55"/>
        <v/>
      </c>
      <c r="C348" s="541" t="str">
        <f>VLOOKUP(H348,名称!A:E,4,0)</f>
        <v>三代</v>
      </c>
      <c r="D348" s="431" t="s">
        <v>1459</v>
      </c>
      <c r="E348" s="431" t="s">
        <v>1460</v>
      </c>
      <c r="F348" s="431" t="s">
        <v>1041</v>
      </c>
      <c r="G348" s="431" t="s">
        <v>1042</v>
      </c>
      <c r="H348" s="431" t="s">
        <v>121</v>
      </c>
      <c r="I348" s="129"/>
      <c r="J348" s="586">
        <v>3000</v>
      </c>
      <c r="K348" s="95">
        <f>VLOOKUP(H348,名称!A:C,2,0)</f>
        <v>7</v>
      </c>
      <c r="L348" s="96">
        <f t="shared" ref="L348:L383" si="63">J348*K348</f>
        <v>21000</v>
      </c>
      <c r="M348" s="541">
        <f>VLOOKUP(H348,名称!A:E,3,0)</f>
        <v>12</v>
      </c>
      <c r="N348" s="586">
        <f t="shared" si="62"/>
        <v>250</v>
      </c>
      <c r="O348" s="549">
        <v>46275</v>
      </c>
      <c r="P348" s="549">
        <v>46275</v>
      </c>
      <c r="Q348" s="549">
        <v>46275</v>
      </c>
      <c r="R348" s="541"/>
      <c r="S348" s="549">
        <v>46279</v>
      </c>
      <c r="T348" s="541"/>
      <c r="U348" s="541"/>
      <c r="V348" s="541"/>
      <c r="W348" s="518" t="str">
        <f>IFERROR(VLOOKUP(H348,名称!A:F,6,0),"")</f>
        <v>湖南</v>
      </c>
      <c r="X348" s="431" t="s">
        <v>1248</v>
      </c>
      <c r="Y348" s="478">
        <v>46231</v>
      </c>
      <c r="Z348" s="431" t="s">
        <v>1249</v>
      </c>
      <c r="AA348" s="552">
        <v>46240</v>
      </c>
      <c r="AB348" s="552">
        <v>46240</v>
      </c>
      <c r="AC348" s="541" t="s">
        <v>1284</v>
      </c>
      <c r="AD348" s="431" t="s">
        <v>1228</v>
      </c>
      <c r="AE348" s="431" t="s">
        <v>510</v>
      </c>
      <c r="AF348" s="541" t="s">
        <v>1228</v>
      </c>
      <c r="AG348" s="431" t="s">
        <v>510</v>
      </c>
      <c r="AH348" s="541" t="s">
        <v>1307</v>
      </c>
      <c r="AI348" s="541" t="s">
        <v>1228</v>
      </c>
      <c r="AJ348" s="541" t="s">
        <v>1133</v>
      </c>
      <c r="AK348" s="541" t="s">
        <v>1133</v>
      </c>
      <c r="AL348" s="431" t="s">
        <v>1228</v>
      </c>
      <c r="AM348" s="431" t="s">
        <v>1461</v>
      </c>
      <c r="AN348" s="431" t="s">
        <v>1462</v>
      </c>
      <c r="AO348" s="624">
        <v>0.8</v>
      </c>
      <c r="AP348" s="625">
        <f t="shared" si="56"/>
        <v>2400</v>
      </c>
      <c r="AQ348" s="625">
        <f t="shared" si="57"/>
        <v>18600</v>
      </c>
      <c r="AR348" s="626"/>
      <c r="AS348" s="549"/>
      <c r="AT348" s="420" t="s">
        <v>1220</v>
      </c>
      <c r="AU348" s="548"/>
      <c r="AV348" s="548">
        <f t="shared" si="58"/>
        <v>-3000</v>
      </c>
      <c r="AW348" s="639" t="s">
        <v>1228</v>
      </c>
      <c r="AX348" s="420" t="s">
        <v>1280</v>
      </c>
      <c r="AY348" s="420" t="s">
        <v>1273</v>
      </c>
      <c r="AZ348" s="420" t="s">
        <v>1274</v>
      </c>
      <c r="BA348" s="549"/>
      <c r="BB348" s="549" t="str">
        <f t="shared" si="59"/>
        <v>Proxy (Far East) Limited</v>
      </c>
      <c r="BC348" s="549" t="str">
        <f t="shared" si="60"/>
        <v>瑞典</v>
      </c>
    </row>
    <row r="349" s="495" customFormat="1" customHeight="1" spans="1:55">
      <c r="A349" s="549">
        <v>46216</v>
      </c>
      <c r="B349" s="549" t="str">
        <f ca="1" t="shared" si="55"/>
        <v/>
      </c>
      <c r="C349" s="541" t="str">
        <f>VLOOKUP(H349,名称!A:E,4,0)</f>
        <v>三代</v>
      </c>
      <c r="D349" s="431" t="s">
        <v>1459</v>
      </c>
      <c r="E349" s="431" t="s">
        <v>1460</v>
      </c>
      <c r="F349" s="431" t="s">
        <v>1041</v>
      </c>
      <c r="G349" s="431" t="s">
        <v>1042</v>
      </c>
      <c r="H349" s="431" t="s">
        <v>59</v>
      </c>
      <c r="I349" s="129"/>
      <c r="J349" s="586">
        <v>8016</v>
      </c>
      <c r="K349" s="95">
        <f>VLOOKUP(H349,名称!A:C,2,0)</f>
        <v>5</v>
      </c>
      <c r="L349" s="96">
        <f t="shared" si="63"/>
        <v>40080</v>
      </c>
      <c r="M349" s="541">
        <f>VLOOKUP(H349,名称!A:E,3,0)</f>
        <v>24</v>
      </c>
      <c r="N349" s="586">
        <f t="shared" si="62"/>
        <v>334</v>
      </c>
      <c r="O349" s="549">
        <v>46275</v>
      </c>
      <c r="P349" s="549">
        <v>46275</v>
      </c>
      <c r="Q349" s="549">
        <v>46275</v>
      </c>
      <c r="R349" s="541"/>
      <c r="S349" s="549">
        <v>46279</v>
      </c>
      <c r="T349" s="541"/>
      <c r="U349" s="541"/>
      <c r="V349" s="431" t="s">
        <v>1314</v>
      </c>
      <c r="W349" s="518" t="str">
        <f>IFERROR(VLOOKUP(H349,名称!A:F,6,0),"")</f>
        <v>湖南</v>
      </c>
      <c r="X349" s="431" t="s">
        <v>1133</v>
      </c>
      <c r="Y349" s="431" t="s">
        <v>1133</v>
      </c>
      <c r="Z349" s="431" t="s">
        <v>1249</v>
      </c>
      <c r="AA349" s="552">
        <v>46240</v>
      </c>
      <c r="AB349" s="552">
        <v>46240</v>
      </c>
      <c r="AC349" s="431" t="s">
        <v>1133</v>
      </c>
      <c r="AD349" s="431" t="s">
        <v>1133</v>
      </c>
      <c r="AE349" s="431" t="s">
        <v>510</v>
      </c>
      <c r="AF349" s="431" t="s">
        <v>1228</v>
      </c>
      <c r="AG349" s="431" t="s">
        <v>1463</v>
      </c>
      <c r="AH349" s="431" t="s">
        <v>1133</v>
      </c>
      <c r="AI349" s="431" t="s">
        <v>1228</v>
      </c>
      <c r="AJ349" s="431" t="s">
        <v>1133</v>
      </c>
      <c r="AK349" s="431" t="s">
        <v>1464</v>
      </c>
      <c r="AL349" s="431" t="s">
        <v>1228</v>
      </c>
      <c r="AM349" s="431" t="s">
        <v>1465</v>
      </c>
      <c r="AN349" s="422" t="s">
        <v>1272</v>
      </c>
      <c r="AO349" s="624">
        <v>0.62</v>
      </c>
      <c r="AP349" s="625">
        <f t="shared" si="56"/>
        <v>4969.92</v>
      </c>
      <c r="AQ349" s="625">
        <f t="shared" si="57"/>
        <v>38516.88</v>
      </c>
      <c r="AR349" s="626"/>
      <c r="AS349" s="549"/>
      <c r="AT349" s="420" t="s">
        <v>1220</v>
      </c>
      <c r="AU349" s="548"/>
      <c r="AV349" s="548">
        <f t="shared" si="58"/>
        <v>-8016</v>
      </c>
      <c r="AW349" s="627"/>
      <c r="AX349" s="420" t="s">
        <v>1280</v>
      </c>
      <c r="AY349" s="420" t="s">
        <v>1273</v>
      </c>
      <c r="AZ349" s="420" t="s">
        <v>1274</v>
      </c>
      <c r="BA349" s="549"/>
      <c r="BB349" s="549" t="str">
        <f t="shared" si="59"/>
        <v>Proxy (Far East) Limited</v>
      </c>
      <c r="BC349" s="549" t="str">
        <f t="shared" si="60"/>
        <v>瑞典</v>
      </c>
    </row>
    <row r="350" s="495" customFormat="1" customHeight="1" spans="1:55">
      <c r="A350" s="549">
        <v>46216</v>
      </c>
      <c r="B350" s="549" t="str">
        <f ca="1" t="shared" si="55"/>
        <v/>
      </c>
      <c r="C350" s="541" t="str">
        <f>VLOOKUP(H350,名称!A:E,4,0)</f>
        <v>三代</v>
      </c>
      <c r="D350" s="431" t="s">
        <v>1459</v>
      </c>
      <c r="E350" s="431" t="s">
        <v>1460</v>
      </c>
      <c r="F350" s="431" t="s">
        <v>1041</v>
      </c>
      <c r="G350" s="431" t="s">
        <v>1042</v>
      </c>
      <c r="H350" s="431" t="s">
        <v>66</v>
      </c>
      <c r="I350" s="129"/>
      <c r="J350" s="586">
        <v>3000</v>
      </c>
      <c r="K350" s="95">
        <f>VLOOKUP(H350,名称!A:C,2,0)</f>
        <v>12</v>
      </c>
      <c r="L350" s="96">
        <f t="shared" si="63"/>
        <v>36000</v>
      </c>
      <c r="M350" s="541">
        <f>VLOOKUP(H350,名称!A:E,3,0)</f>
        <v>6</v>
      </c>
      <c r="N350" s="586">
        <f t="shared" si="62"/>
        <v>500</v>
      </c>
      <c r="O350" s="549">
        <v>46275</v>
      </c>
      <c r="P350" s="549">
        <v>46275</v>
      </c>
      <c r="Q350" s="549">
        <v>46275</v>
      </c>
      <c r="R350" s="541"/>
      <c r="S350" s="549">
        <v>46279</v>
      </c>
      <c r="T350" s="541"/>
      <c r="U350" s="541"/>
      <c r="V350" s="431" t="s">
        <v>1314</v>
      </c>
      <c r="W350" s="518" t="str">
        <f>IFERROR(VLOOKUP(H350,名称!A:F,6,0),"")</f>
        <v>湖南</v>
      </c>
      <c r="X350" s="431" t="s">
        <v>1133</v>
      </c>
      <c r="Y350" s="431" t="s">
        <v>1133</v>
      </c>
      <c r="Z350" s="431" t="s">
        <v>1249</v>
      </c>
      <c r="AA350" s="552">
        <v>46240</v>
      </c>
      <c r="AB350" s="552">
        <v>46240</v>
      </c>
      <c r="AC350" s="431" t="s">
        <v>1318</v>
      </c>
      <c r="AD350" s="431" t="s">
        <v>1228</v>
      </c>
      <c r="AE350" s="431" t="s">
        <v>510</v>
      </c>
      <c r="AF350" s="431" t="s">
        <v>1228</v>
      </c>
      <c r="AG350" s="431" t="s">
        <v>1464</v>
      </c>
      <c r="AH350" s="431" t="s">
        <v>1464</v>
      </c>
      <c r="AI350" s="431" t="s">
        <v>1228</v>
      </c>
      <c r="AJ350" s="541" t="s">
        <v>1422</v>
      </c>
      <c r="AK350" s="431" t="s">
        <v>1133</v>
      </c>
      <c r="AL350" s="431" t="s">
        <v>1228</v>
      </c>
      <c r="AM350" s="431" t="s">
        <v>1466</v>
      </c>
      <c r="AN350" s="431" t="s">
        <v>1467</v>
      </c>
      <c r="AO350" s="624">
        <v>2.09</v>
      </c>
      <c r="AP350" s="625">
        <f t="shared" si="56"/>
        <v>6270</v>
      </c>
      <c r="AQ350" s="625">
        <f t="shared" si="57"/>
        <v>48592.5</v>
      </c>
      <c r="AR350" s="626"/>
      <c r="AS350" s="549"/>
      <c r="AT350" s="420" t="s">
        <v>1220</v>
      </c>
      <c r="AU350" s="548"/>
      <c r="AV350" s="548">
        <f t="shared" si="58"/>
        <v>-3000</v>
      </c>
      <c r="AW350" s="627"/>
      <c r="AX350" s="420" t="s">
        <v>1280</v>
      </c>
      <c r="AY350" s="549"/>
      <c r="AZ350" s="420" t="s">
        <v>1274</v>
      </c>
      <c r="BA350" s="549"/>
      <c r="BB350" s="549" t="str">
        <f t="shared" si="59"/>
        <v>Proxy (Far East) Limited</v>
      </c>
      <c r="BC350" s="549" t="str">
        <f t="shared" si="60"/>
        <v>瑞典</v>
      </c>
    </row>
    <row r="351" s="495" customFormat="1" customHeight="1" spans="1:55">
      <c r="A351" s="549">
        <v>46216</v>
      </c>
      <c r="B351" s="549" t="str">
        <f ca="1" t="shared" si="55"/>
        <v/>
      </c>
      <c r="C351" s="541" t="str">
        <f>VLOOKUP(H351,名称!A:E,4,0)</f>
        <v>三代</v>
      </c>
      <c r="D351" s="431" t="s">
        <v>1459</v>
      </c>
      <c r="E351" s="431" t="s">
        <v>1460</v>
      </c>
      <c r="F351" s="431" t="s">
        <v>1041</v>
      </c>
      <c r="G351" s="431" t="s">
        <v>1042</v>
      </c>
      <c r="H351" s="431" t="s">
        <v>68</v>
      </c>
      <c r="I351" s="129"/>
      <c r="J351" s="586">
        <v>1500</v>
      </c>
      <c r="K351" s="95">
        <f>VLOOKUP(H351,名称!A:C,2,0)</f>
        <v>32</v>
      </c>
      <c r="L351" s="96">
        <f t="shared" si="63"/>
        <v>48000</v>
      </c>
      <c r="M351" s="541">
        <f>VLOOKUP(H351,名称!A:E,3,0)</f>
        <v>4</v>
      </c>
      <c r="N351" s="586">
        <f t="shared" si="62"/>
        <v>375</v>
      </c>
      <c r="O351" s="549">
        <v>46275</v>
      </c>
      <c r="P351" s="549">
        <v>46275</v>
      </c>
      <c r="Q351" s="549">
        <v>46275</v>
      </c>
      <c r="R351" s="541"/>
      <c r="S351" s="549">
        <v>46279</v>
      </c>
      <c r="T351" s="541"/>
      <c r="U351" s="541"/>
      <c r="V351" s="541"/>
      <c r="W351" s="518" t="str">
        <f>IFERROR(VLOOKUP(H351,名称!A:F,6,0),"")</f>
        <v>湖南</v>
      </c>
      <c r="X351" s="431" t="s">
        <v>1248</v>
      </c>
      <c r="Y351" s="478">
        <v>46231</v>
      </c>
      <c r="Z351" s="431" t="s">
        <v>1249</v>
      </c>
      <c r="AA351" s="552">
        <v>46240</v>
      </c>
      <c r="AB351" s="552">
        <v>46240</v>
      </c>
      <c r="AC351" s="431" t="s">
        <v>1133</v>
      </c>
      <c r="AD351" s="431" t="s">
        <v>1133</v>
      </c>
      <c r="AE351" s="431" t="s">
        <v>510</v>
      </c>
      <c r="AF351" s="431" t="s">
        <v>1228</v>
      </c>
      <c r="AG351" s="431" t="s">
        <v>510</v>
      </c>
      <c r="AH351" s="431" t="s">
        <v>1307</v>
      </c>
      <c r="AI351" s="431" t="s">
        <v>1228</v>
      </c>
      <c r="AJ351" s="431" t="s">
        <v>1133</v>
      </c>
      <c r="AK351" s="431" t="s">
        <v>1133</v>
      </c>
      <c r="AL351" s="431" t="s">
        <v>1228</v>
      </c>
      <c r="AM351" s="431" t="s">
        <v>1468</v>
      </c>
      <c r="AN351" s="431" t="s">
        <v>1462</v>
      </c>
      <c r="AO351" s="624">
        <v>3.23</v>
      </c>
      <c r="AP351" s="625">
        <f t="shared" si="56"/>
        <v>4845</v>
      </c>
      <c r="AQ351" s="625">
        <f t="shared" si="57"/>
        <v>37548.75</v>
      </c>
      <c r="AR351" s="626"/>
      <c r="AS351" s="549"/>
      <c r="AT351" s="420" t="s">
        <v>1220</v>
      </c>
      <c r="AU351" s="548"/>
      <c r="AV351" s="548">
        <f t="shared" si="58"/>
        <v>-1500</v>
      </c>
      <c r="AW351" s="639" t="s">
        <v>1228</v>
      </c>
      <c r="AX351" s="420" t="s">
        <v>1280</v>
      </c>
      <c r="AY351" s="420" t="s">
        <v>1273</v>
      </c>
      <c r="AZ351" s="420" t="s">
        <v>1274</v>
      </c>
      <c r="BA351" s="549"/>
      <c r="BB351" s="549" t="str">
        <f t="shared" si="59"/>
        <v>Proxy (Far East) Limited</v>
      </c>
      <c r="BC351" s="549" t="str">
        <f t="shared" si="60"/>
        <v>瑞典</v>
      </c>
    </row>
    <row r="352" s="495" customFormat="1" customHeight="1" spans="1:55">
      <c r="A352" s="549">
        <v>46216</v>
      </c>
      <c r="B352" s="549" t="str">
        <f ca="1" t="shared" si="55"/>
        <v/>
      </c>
      <c r="C352" s="541" t="str">
        <f>VLOOKUP(H352,名称!A:E,4,0)</f>
        <v>三代</v>
      </c>
      <c r="D352" s="431" t="s">
        <v>1459</v>
      </c>
      <c r="E352" s="431" t="s">
        <v>1460</v>
      </c>
      <c r="F352" s="431" t="s">
        <v>1041</v>
      </c>
      <c r="G352" s="431" t="s">
        <v>1042</v>
      </c>
      <c r="H352" s="431" t="s">
        <v>119</v>
      </c>
      <c r="I352" s="129"/>
      <c r="J352" s="586">
        <v>3000</v>
      </c>
      <c r="K352" s="95">
        <f>VLOOKUP(H352,名称!A:C,2,0)</f>
        <v>5</v>
      </c>
      <c r="L352" s="96">
        <f t="shared" si="63"/>
        <v>15000</v>
      </c>
      <c r="M352" s="541">
        <f>VLOOKUP(H352,名称!A:E,3,0)</f>
        <v>24</v>
      </c>
      <c r="N352" s="586">
        <f t="shared" si="62"/>
        <v>125</v>
      </c>
      <c r="O352" s="549">
        <v>46275</v>
      </c>
      <c r="P352" s="549">
        <v>46275</v>
      </c>
      <c r="Q352" s="549">
        <v>46275</v>
      </c>
      <c r="R352" s="541"/>
      <c r="S352" s="549">
        <v>46279</v>
      </c>
      <c r="T352" s="541"/>
      <c r="U352" s="541"/>
      <c r="V352" s="541"/>
      <c r="W352" s="518" t="str">
        <f>IFERROR(VLOOKUP(H352,名称!A:F,6,0),"")</f>
        <v>湖南</v>
      </c>
      <c r="X352" s="431" t="s">
        <v>1133</v>
      </c>
      <c r="Y352" s="431" t="s">
        <v>1133</v>
      </c>
      <c r="Z352" s="431" t="s">
        <v>1249</v>
      </c>
      <c r="AA352" s="552">
        <v>46240</v>
      </c>
      <c r="AB352" s="552">
        <v>46240</v>
      </c>
      <c r="AC352" s="431" t="s">
        <v>1133</v>
      </c>
      <c r="AD352" s="431" t="s">
        <v>1133</v>
      </c>
      <c r="AE352" s="431" t="s">
        <v>510</v>
      </c>
      <c r="AF352" s="431" t="s">
        <v>1228</v>
      </c>
      <c r="AG352" s="431" t="s">
        <v>1463</v>
      </c>
      <c r="AH352" s="431" t="s">
        <v>1133</v>
      </c>
      <c r="AI352" s="431" t="s">
        <v>1228</v>
      </c>
      <c r="AJ352" s="431" t="s">
        <v>1133</v>
      </c>
      <c r="AK352" s="431" t="s">
        <v>1464</v>
      </c>
      <c r="AL352" s="431" t="s">
        <v>1469</v>
      </c>
      <c r="AM352" s="431" t="s">
        <v>1470</v>
      </c>
      <c r="AN352" s="422" t="s">
        <v>1272</v>
      </c>
      <c r="AO352" s="624">
        <v>0.62</v>
      </c>
      <c r="AP352" s="625">
        <f t="shared" si="56"/>
        <v>1860</v>
      </c>
      <c r="AQ352" s="625">
        <f t="shared" si="57"/>
        <v>14415</v>
      </c>
      <c r="AR352" s="626"/>
      <c r="AS352" s="549"/>
      <c r="AT352" s="420" t="s">
        <v>1220</v>
      </c>
      <c r="AU352" s="548"/>
      <c r="AV352" s="548">
        <f t="shared" si="58"/>
        <v>-3000</v>
      </c>
      <c r="AW352" s="627"/>
      <c r="AX352" s="420" t="s">
        <v>1280</v>
      </c>
      <c r="AY352" s="420" t="s">
        <v>1273</v>
      </c>
      <c r="AZ352" s="420" t="s">
        <v>1274</v>
      </c>
      <c r="BA352" s="549"/>
      <c r="BB352" s="549" t="str">
        <f t="shared" si="59"/>
        <v>Proxy (Far East) Limited</v>
      </c>
      <c r="BC352" s="549" t="str">
        <f t="shared" si="60"/>
        <v>瑞典</v>
      </c>
    </row>
    <row r="353" s="496" customFormat="1" customHeight="1" spans="1:55">
      <c r="A353" s="536">
        <v>46216</v>
      </c>
      <c r="B353" s="536" t="str">
        <f ca="1" t="shared" si="55"/>
        <v/>
      </c>
      <c r="C353" s="568" t="str">
        <f>VLOOKUP(H353,名称!A:E,4,0)</f>
        <v>三代</v>
      </c>
      <c r="D353" s="415" t="s">
        <v>1133</v>
      </c>
      <c r="E353" s="415" t="s">
        <v>1133</v>
      </c>
      <c r="F353" s="568" t="s">
        <v>839</v>
      </c>
      <c r="G353" s="568" t="s">
        <v>839</v>
      </c>
      <c r="H353" s="415" t="s">
        <v>59</v>
      </c>
      <c r="I353" s="568"/>
      <c r="J353" s="599">
        <v>48</v>
      </c>
      <c r="K353" s="629">
        <f>VLOOKUP(H353,名称!A:C,2,0)</f>
        <v>5</v>
      </c>
      <c r="L353" s="599">
        <f t="shared" si="63"/>
        <v>240</v>
      </c>
      <c r="M353" s="568">
        <f>VLOOKUP(H353,名称!A:E,3,0)</f>
        <v>24</v>
      </c>
      <c r="N353" s="599">
        <f t="shared" si="62"/>
        <v>2</v>
      </c>
      <c r="O353" s="536">
        <v>46220</v>
      </c>
      <c r="P353" s="536">
        <v>46220</v>
      </c>
      <c r="Q353" s="413" t="s">
        <v>1133</v>
      </c>
      <c r="R353" s="568"/>
      <c r="S353" s="413" t="s">
        <v>1133</v>
      </c>
      <c r="T353" s="568"/>
      <c r="U353" s="568"/>
      <c r="V353" s="568"/>
      <c r="W353" s="348" t="str">
        <f>IFERROR(VLOOKUP(H353,名称!A:F,6,0),"")</f>
        <v>湖南</v>
      </c>
      <c r="X353" s="415" t="s">
        <v>1133</v>
      </c>
      <c r="Y353" s="415" t="s">
        <v>1133</v>
      </c>
      <c r="Z353" s="415" t="s">
        <v>1133</v>
      </c>
      <c r="AA353" s="415" t="s">
        <v>1133</v>
      </c>
      <c r="AB353" s="415" t="s">
        <v>1133</v>
      </c>
      <c r="AC353" s="415" t="s">
        <v>1133</v>
      </c>
      <c r="AD353" s="415" t="s">
        <v>1133</v>
      </c>
      <c r="AE353" s="415" t="s">
        <v>510</v>
      </c>
      <c r="AF353" s="415" t="s">
        <v>1228</v>
      </c>
      <c r="AG353" s="415" t="s">
        <v>510</v>
      </c>
      <c r="AH353" s="415" t="s">
        <v>1133</v>
      </c>
      <c r="AI353" s="415" t="s">
        <v>1228</v>
      </c>
      <c r="AJ353" s="415" t="s">
        <v>1133</v>
      </c>
      <c r="AK353" s="415" t="s">
        <v>510</v>
      </c>
      <c r="AL353" s="568"/>
      <c r="AM353" s="568"/>
      <c r="AN353" s="415" t="s">
        <v>1471</v>
      </c>
      <c r="AO353" s="634"/>
      <c r="AP353" s="635">
        <f t="shared" si="56"/>
        <v>0</v>
      </c>
      <c r="AQ353" s="635">
        <f t="shared" si="57"/>
        <v>0</v>
      </c>
      <c r="AR353" s="636"/>
      <c r="AS353" s="536"/>
      <c r="AT353" s="413" t="s">
        <v>839</v>
      </c>
      <c r="AU353" s="535"/>
      <c r="AV353" s="535">
        <f t="shared" si="58"/>
        <v>-48</v>
      </c>
      <c r="AW353" s="637"/>
      <c r="AX353" s="536"/>
      <c r="AY353" s="536"/>
      <c r="AZ353" s="536" t="s">
        <v>1256</v>
      </c>
      <c r="BA353" s="536"/>
      <c r="BB353" s="536" t="str">
        <f t="shared" si="59"/>
        <v>/</v>
      </c>
      <c r="BC353" s="536" t="str">
        <f t="shared" si="60"/>
        <v>/</v>
      </c>
    </row>
    <row r="354" s="496" customFormat="1" customHeight="1" spans="1:55">
      <c r="A354" s="536">
        <v>46216</v>
      </c>
      <c r="B354" s="536" t="str">
        <f ca="1" t="shared" si="55"/>
        <v/>
      </c>
      <c r="C354" s="568" t="str">
        <f>VLOOKUP(H354,名称!A:E,4,0)</f>
        <v>三代</v>
      </c>
      <c r="D354" s="415" t="s">
        <v>1133</v>
      </c>
      <c r="E354" s="415" t="s">
        <v>1133</v>
      </c>
      <c r="F354" s="568" t="s">
        <v>839</v>
      </c>
      <c r="G354" s="568" t="s">
        <v>839</v>
      </c>
      <c r="H354" s="415" t="s">
        <v>68</v>
      </c>
      <c r="I354" s="568"/>
      <c r="J354" s="599">
        <v>3</v>
      </c>
      <c r="K354" s="629">
        <f>VLOOKUP(H354,名称!A:C,2,0)</f>
        <v>32</v>
      </c>
      <c r="L354" s="599">
        <f t="shared" si="63"/>
        <v>96</v>
      </c>
      <c r="M354" s="568">
        <f>VLOOKUP(H354,名称!A:E,3,0)</f>
        <v>4</v>
      </c>
      <c r="N354" s="599">
        <f t="shared" si="62"/>
        <v>0.75</v>
      </c>
      <c r="O354" s="536">
        <v>46220</v>
      </c>
      <c r="P354" s="536">
        <v>46220</v>
      </c>
      <c r="Q354" s="413" t="s">
        <v>1133</v>
      </c>
      <c r="R354" s="568"/>
      <c r="S354" s="413" t="s">
        <v>1133</v>
      </c>
      <c r="T354" s="568"/>
      <c r="U354" s="568"/>
      <c r="V354" s="568"/>
      <c r="W354" s="348" t="str">
        <f>IFERROR(VLOOKUP(H354,名称!A:F,6,0),"")</f>
        <v>湖南</v>
      </c>
      <c r="X354" s="415" t="s">
        <v>1133</v>
      </c>
      <c r="Y354" s="415" t="s">
        <v>1133</v>
      </c>
      <c r="Z354" s="415" t="s">
        <v>1133</v>
      </c>
      <c r="AA354" s="415" t="s">
        <v>1133</v>
      </c>
      <c r="AB354" s="415" t="s">
        <v>1133</v>
      </c>
      <c r="AC354" s="415" t="s">
        <v>1133</v>
      </c>
      <c r="AD354" s="415" t="s">
        <v>1133</v>
      </c>
      <c r="AE354" s="415" t="s">
        <v>510</v>
      </c>
      <c r="AF354" s="415" t="s">
        <v>1228</v>
      </c>
      <c r="AG354" s="415" t="s">
        <v>510</v>
      </c>
      <c r="AH354" s="415" t="s">
        <v>1307</v>
      </c>
      <c r="AI354" s="415" t="s">
        <v>1228</v>
      </c>
      <c r="AJ354" s="415" t="s">
        <v>1133</v>
      </c>
      <c r="AK354" s="415" t="s">
        <v>1133</v>
      </c>
      <c r="AL354" s="568"/>
      <c r="AM354" s="568"/>
      <c r="AN354" s="415" t="s">
        <v>1472</v>
      </c>
      <c r="AO354" s="634"/>
      <c r="AP354" s="635">
        <f t="shared" si="56"/>
        <v>0</v>
      </c>
      <c r="AQ354" s="635">
        <f t="shared" si="57"/>
        <v>0</v>
      </c>
      <c r="AR354" s="636"/>
      <c r="AS354" s="536"/>
      <c r="AT354" s="413" t="s">
        <v>839</v>
      </c>
      <c r="AU354" s="535"/>
      <c r="AV354" s="535">
        <f t="shared" si="58"/>
        <v>-3</v>
      </c>
      <c r="AW354" s="637"/>
      <c r="AX354" s="536"/>
      <c r="AY354" s="536"/>
      <c r="AZ354" s="536" t="s">
        <v>1256</v>
      </c>
      <c r="BA354" s="536"/>
      <c r="BB354" s="536" t="str">
        <f t="shared" si="59"/>
        <v>/</v>
      </c>
      <c r="BC354" s="536" t="str">
        <f t="shared" si="60"/>
        <v>/</v>
      </c>
    </row>
    <row r="355" s="496" customFormat="1" customHeight="1" spans="1:55">
      <c r="A355" s="536">
        <v>46216</v>
      </c>
      <c r="B355" s="536" t="str">
        <f ca="1" t="shared" si="55"/>
        <v/>
      </c>
      <c r="C355" s="568" t="str">
        <f>VLOOKUP(H355,名称!A:E,4,0)</f>
        <v>三代</v>
      </c>
      <c r="D355" s="415" t="s">
        <v>1133</v>
      </c>
      <c r="E355" s="415" t="s">
        <v>1133</v>
      </c>
      <c r="F355" s="568" t="s">
        <v>839</v>
      </c>
      <c r="G355" s="568" t="s">
        <v>839</v>
      </c>
      <c r="H355" s="415" t="s">
        <v>71</v>
      </c>
      <c r="I355" s="568"/>
      <c r="J355" s="599">
        <v>2</v>
      </c>
      <c r="K355" s="629">
        <f>VLOOKUP(H355,名称!A:C,2,0)</f>
        <v>50</v>
      </c>
      <c r="L355" s="599">
        <f t="shared" si="63"/>
        <v>100</v>
      </c>
      <c r="M355" s="568">
        <f>VLOOKUP(H355,名称!A:E,3,0)</f>
        <v>4</v>
      </c>
      <c r="N355" s="599">
        <f t="shared" si="62"/>
        <v>0.5</v>
      </c>
      <c r="O355" s="536">
        <v>46220</v>
      </c>
      <c r="P355" s="536">
        <v>46220</v>
      </c>
      <c r="Q355" s="413" t="s">
        <v>1133</v>
      </c>
      <c r="R355" s="568"/>
      <c r="S355" s="413" t="s">
        <v>1133</v>
      </c>
      <c r="T355" s="568"/>
      <c r="U355" s="568"/>
      <c r="V355" s="568"/>
      <c r="W355" s="348" t="str">
        <f>IFERROR(VLOOKUP(H355,名称!A:F,6,0),"")</f>
        <v>东莞</v>
      </c>
      <c r="X355" s="415" t="s">
        <v>1133</v>
      </c>
      <c r="Y355" s="415" t="s">
        <v>1133</v>
      </c>
      <c r="Z355" s="415" t="s">
        <v>1133</v>
      </c>
      <c r="AA355" s="415" t="s">
        <v>1133</v>
      </c>
      <c r="AB355" s="415" t="s">
        <v>1133</v>
      </c>
      <c r="AC355" s="415" t="s">
        <v>1133</v>
      </c>
      <c r="AD355" s="415" t="s">
        <v>1133</v>
      </c>
      <c r="AE355" s="415" t="s">
        <v>510</v>
      </c>
      <c r="AF355" s="415" t="s">
        <v>1228</v>
      </c>
      <c r="AG355" s="415" t="s">
        <v>510</v>
      </c>
      <c r="AH355" s="415" t="s">
        <v>1307</v>
      </c>
      <c r="AI355" s="415" t="s">
        <v>1228</v>
      </c>
      <c r="AJ355" s="415" t="s">
        <v>510</v>
      </c>
      <c r="AK355" s="415" t="s">
        <v>1133</v>
      </c>
      <c r="AL355" s="568"/>
      <c r="AM355" s="568"/>
      <c r="AN355" s="415" t="s">
        <v>1131</v>
      </c>
      <c r="AO355" s="634"/>
      <c r="AP355" s="635">
        <f t="shared" si="56"/>
        <v>0</v>
      </c>
      <c r="AQ355" s="635">
        <f t="shared" si="57"/>
        <v>0</v>
      </c>
      <c r="AR355" s="636"/>
      <c r="AS355" s="536"/>
      <c r="AT355" s="413" t="s">
        <v>839</v>
      </c>
      <c r="AU355" s="535"/>
      <c r="AV355" s="535">
        <f t="shared" si="58"/>
        <v>-2</v>
      </c>
      <c r="AW355" s="637"/>
      <c r="AX355" s="536"/>
      <c r="AY355" s="536"/>
      <c r="AZ355" s="536" t="s">
        <v>1256</v>
      </c>
      <c r="BA355" s="536"/>
      <c r="BB355" s="536" t="str">
        <f t="shared" si="59"/>
        <v>/</v>
      </c>
      <c r="BC355" s="536" t="str">
        <f t="shared" si="60"/>
        <v>/</v>
      </c>
    </row>
    <row r="356" s="495" customFormat="1" customHeight="1" spans="1:55">
      <c r="A356" s="549">
        <v>46218</v>
      </c>
      <c r="B356" s="549" t="str">
        <f ca="1" t="shared" si="55"/>
        <v/>
      </c>
      <c r="C356" s="541" t="str">
        <f>VLOOKUP(H356,名称!A:E,4,0)</f>
        <v>三代</v>
      </c>
      <c r="D356" s="431" t="s">
        <v>1420</v>
      </c>
      <c r="E356" s="431" t="s">
        <v>1421</v>
      </c>
      <c r="F356" s="431" t="s">
        <v>1043</v>
      </c>
      <c r="G356" s="431" t="s">
        <v>1044</v>
      </c>
      <c r="H356" s="431" t="s">
        <v>109</v>
      </c>
      <c r="I356" s="129"/>
      <c r="J356" s="586">
        <v>6000</v>
      </c>
      <c r="K356" s="95">
        <f>VLOOKUP(H356,名称!A:C,2,0)</f>
        <v>0</v>
      </c>
      <c r="L356" s="96">
        <f t="shared" si="63"/>
        <v>0</v>
      </c>
      <c r="M356" s="541">
        <f>VLOOKUP(H356,名称!A:E,3,0)</f>
        <v>24</v>
      </c>
      <c r="N356" s="586">
        <f t="shared" si="62"/>
        <v>250</v>
      </c>
      <c r="O356" s="549">
        <v>46280</v>
      </c>
      <c r="P356" s="549">
        <v>46280</v>
      </c>
      <c r="Q356" s="549">
        <v>46280</v>
      </c>
      <c r="R356" s="541"/>
      <c r="S356" s="420" t="s">
        <v>1133</v>
      </c>
      <c r="T356" s="541"/>
      <c r="U356" s="541"/>
      <c r="V356" s="541"/>
      <c r="W356" s="518" t="str">
        <f>IFERROR(VLOOKUP(H356,名称!A:F,6,0),"")</f>
        <v>东莞</v>
      </c>
      <c r="X356" s="431" t="s">
        <v>1248</v>
      </c>
      <c r="Y356" s="478">
        <v>46225</v>
      </c>
      <c r="Z356" s="431" t="s">
        <v>1249</v>
      </c>
      <c r="AA356" s="552">
        <v>46224</v>
      </c>
      <c r="AB356" s="567">
        <v>46225</v>
      </c>
      <c r="AC356" s="431" t="s">
        <v>1133</v>
      </c>
      <c r="AD356" s="431" t="s">
        <v>1133</v>
      </c>
      <c r="AE356" s="431" t="s">
        <v>510</v>
      </c>
      <c r="AF356" s="431" t="s">
        <v>1228</v>
      </c>
      <c r="AG356" s="431" t="s">
        <v>510</v>
      </c>
      <c r="AH356" s="431" t="s">
        <v>1133</v>
      </c>
      <c r="AI356" s="431" t="s">
        <v>1228</v>
      </c>
      <c r="AJ356" s="431" t="s">
        <v>1133</v>
      </c>
      <c r="AK356" s="431" t="s">
        <v>510</v>
      </c>
      <c r="AL356" s="541"/>
      <c r="AM356" s="541"/>
      <c r="AN356" s="431" t="s">
        <v>1251</v>
      </c>
      <c r="AO356" s="624">
        <v>0.61</v>
      </c>
      <c r="AP356" s="625">
        <f t="shared" si="56"/>
        <v>3660</v>
      </c>
      <c r="AQ356" s="625">
        <f t="shared" si="57"/>
        <v>28365</v>
      </c>
      <c r="AR356" s="626"/>
      <c r="AS356" s="549"/>
      <c r="AT356" s="420" t="s">
        <v>1220</v>
      </c>
      <c r="AU356" s="548"/>
      <c r="AV356" s="548">
        <f t="shared" si="58"/>
        <v>-6000</v>
      </c>
      <c r="AW356" s="627"/>
      <c r="AX356" s="549"/>
      <c r="AY356" s="420" t="s">
        <v>1269</v>
      </c>
      <c r="AZ356" s="549" t="s">
        <v>1256</v>
      </c>
      <c r="BA356" s="549"/>
      <c r="BB356" s="549" t="str">
        <f t="shared" si="59"/>
        <v>Banter Toys</v>
      </c>
      <c r="BC356" s="549" t="str">
        <f t="shared" si="60"/>
        <v>澳大利亚</v>
      </c>
    </row>
    <row r="357" s="495" customFormat="1" customHeight="1" spans="1:55">
      <c r="A357" s="549">
        <v>46218</v>
      </c>
      <c r="B357" s="549" t="str">
        <f ca="1" t="shared" si="55"/>
        <v/>
      </c>
      <c r="C357" s="541" t="str">
        <f>VLOOKUP(H357,名称!A:E,4,0)</f>
        <v>三代</v>
      </c>
      <c r="D357" s="431" t="s">
        <v>1420</v>
      </c>
      <c r="E357" s="431" t="s">
        <v>1421</v>
      </c>
      <c r="F357" s="431" t="s">
        <v>1043</v>
      </c>
      <c r="G357" s="431" t="s">
        <v>1044</v>
      </c>
      <c r="H357" s="431" t="s">
        <v>66</v>
      </c>
      <c r="I357" s="129"/>
      <c r="J357" s="586">
        <v>4002</v>
      </c>
      <c r="K357" s="95">
        <f>VLOOKUP(H357,名称!A:C,2,0)</f>
        <v>12</v>
      </c>
      <c r="L357" s="96">
        <f t="shared" si="63"/>
        <v>48024</v>
      </c>
      <c r="M357" s="541">
        <f>VLOOKUP(H357,名称!A:E,3,0)</f>
        <v>6</v>
      </c>
      <c r="N357" s="586">
        <f t="shared" si="62"/>
        <v>667</v>
      </c>
      <c r="O357" s="549">
        <v>46280</v>
      </c>
      <c r="P357" s="549">
        <v>46280</v>
      </c>
      <c r="Q357" s="549">
        <v>46280</v>
      </c>
      <c r="R357" s="541"/>
      <c r="S357" s="420" t="s">
        <v>1133</v>
      </c>
      <c r="T357" s="541"/>
      <c r="U357" s="541"/>
      <c r="V357" s="541"/>
      <c r="W357" s="518" t="str">
        <f>IFERROR(VLOOKUP(H357,名称!A:F,6,0),"")</f>
        <v>湖南</v>
      </c>
      <c r="X357" s="431" t="s">
        <v>1248</v>
      </c>
      <c r="Y357" s="478">
        <v>46225</v>
      </c>
      <c r="Z357" s="431" t="s">
        <v>1249</v>
      </c>
      <c r="AA357" s="552">
        <v>46224</v>
      </c>
      <c r="AB357" s="567">
        <v>46225</v>
      </c>
      <c r="AC357" s="431" t="s">
        <v>1318</v>
      </c>
      <c r="AD357" s="431" t="s">
        <v>1228</v>
      </c>
      <c r="AE357" s="431" t="s">
        <v>510</v>
      </c>
      <c r="AF357" s="431" t="s">
        <v>1228</v>
      </c>
      <c r="AG357" s="431" t="s">
        <v>510</v>
      </c>
      <c r="AH357" s="431" t="s">
        <v>1307</v>
      </c>
      <c r="AI357" s="431" t="s">
        <v>1228</v>
      </c>
      <c r="AJ357" s="431" t="s">
        <v>510</v>
      </c>
      <c r="AK357" s="431" t="s">
        <v>1133</v>
      </c>
      <c r="AL357" s="541"/>
      <c r="AM357" s="541"/>
      <c r="AN357" s="431" t="s">
        <v>1251</v>
      </c>
      <c r="AO357" s="624">
        <v>2.04</v>
      </c>
      <c r="AP357" s="625">
        <f t="shared" si="56"/>
        <v>8164.08</v>
      </c>
      <c r="AQ357" s="625">
        <f t="shared" si="57"/>
        <v>63271.62</v>
      </c>
      <c r="AR357" s="626"/>
      <c r="AS357" s="549"/>
      <c r="AT357" s="420" t="s">
        <v>1220</v>
      </c>
      <c r="AU357" s="548"/>
      <c r="AV357" s="548">
        <f t="shared" si="58"/>
        <v>-4002</v>
      </c>
      <c r="AW357" s="627"/>
      <c r="AX357" s="420" t="s">
        <v>1280</v>
      </c>
      <c r="AY357" s="420" t="s">
        <v>1269</v>
      </c>
      <c r="AZ357" s="549" t="s">
        <v>1256</v>
      </c>
      <c r="BA357" s="549"/>
      <c r="BB357" s="549" t="str">
        <f t="shared" si="59"/>
        <v>Banter Toys</v>
      </c>
      <c r="BC357" s="549" t="str">
        <f t="shared" si="60"/>
        <v>澳大利亚</v>
      </c>
    </row>
    <row r="358" s="495" customFormat="1" customHeight="1" spans="1:55">
      <c r="A358" s="549">
        <v>46218</v>
      </c>
      <c r="B358" s="549" t="str">
        <f ca="1" t="shared" si="55"/>
        <v/>
      </c>
      <c r="C358" s="541" t="str">
        <f>VLOOKUP(H358,名称!A:E,4,0)</f>
        <v>三代</v>
      </c>
      <c r="D358" s="431" t="s">
        <v>1420</v>
      </c>
      <c r="E358" s="431" t="s">
        <v>1421</v>
      </c>
      <c r="F358" s="431" t="s">
        <v>1043</v>
      </c>
      <c r="G358" s="431" t="s">
        <v>1044</v>
      </c>
      <c r="H358" s="431" t="s">
        <v>85</v>
      </c>
      <c r="I358" s="129"/>
      <c r="J358" s="586">
        <v>16008</v>
      </c>
      <c r="K358" s="95">
        <f>VLOOKUP(H358,名称!A:C,2,0)</f>
        <v>5</v>
      </c>
      <c r="L358" s="96">
        <f t="shared" si="63"/>
        <v>80040</v>
      </c>
      <c r="M358" s="541">
        <f>VLOOKUP(H358,名称!A:E,3,0)</f>
        <v>24</v>
      </c>
      <c r="N358" s="586">
        <f t="shared" si="62"/>
        <v>667</v>
      </c>
      <c r="O358" s="549">
        <v>46280</v>
      </c>
      <c r="P358" s="549">
        <v>46280</v>
      </c>
      <c r="Q358" s="549">
        <v>46280</v>
      </c>
      <c r="R358" s="541"/>
      <c r="S358" s="420" t="s">
        <v>1133</v>
      </c>
      <c r="T358" s="541"/>
      <c r="U358" s="541"/>
      <c r="V358" s="541"/>
      <c r="W358" s="518" t="str">
        <f>IFERROR(VLOOKUP(H358,名称!A:F,6,0),"")</f>
        <v>湖南</v>
      </c>
      <c r="X358" s="431" t="s">
        <v>1248</v>
      </c>
      <c r="Y358" s="478">
        <v>46225</v>
      </c>
      <c r="Z358" s="431" t="s">
        <v>1249</v>
      </c>
      <c r="AA358" s="552">
        <v>46224</v>
      </c>
      <c r="AB358" s="567">
        <v>46225</v>
      </c>
      <c r="AC358" s="431" t="s">
        <v>1133</v>
      </c>
      <c r="AD358" s="431" t="s">
        <v>1133</v>
      </c>
      <c r="AE358" s="431" t="s">
        <v>510</v>
      </c>
      <c r="AF358" s="431" t="s">
        <v>1228</v>
      </c>
      <c r="AG358" s="431" t="s">
        <v>510</v>
      </c>
      <c r="AH358" s="431" t="s">
        <v>1133</v>
      </c>
      <c r="AI358" s="431" t="s">
        <v>1228</v>
      </c>
      <c r="AJ358" s="431" t="s">
        <v>1133</v>
      </c>
      <c r="AK358" s="431" t="s">
        <v>510</v>
      </c>
      <c r="AL358" s="541"/>
      <c r="AM358" s="541"/>
      <c r="AN358" s="431" t="s">
        <v>1395</v>
      </c>
      <c r="AO358" s="624">
        <v>0.88</v>
      </c>
      <c r="AP358" s="625">
        <f t="shared" si="56"/>
        <v>14087.04</v>
      </c>
      <c r="AQ358" s="625">
        <f t="shared" si="57"/>
        <v>109174.56</v>
      </c>
      <c r="AR358" s="626"/>
      <c r="AS358" s="549"/>
      <c r="AT358" s="420" t="s">
        <v>1220</v>
      </c>
      <c r="AU358" s="548"/>
      <c r="AV358" s="548">
        <f t="shared" si="58"/>
        <v>-16008</v>
      </c>
      <c r="AW358" s="627"/>
      <c r="AX358" s="420" t="s">
        <v>1280</v>
      </c>
      <c r="AY358" s="420" t="s">
        <v>1269</v>
      </c>
      <c r="AZ358" s="549" t="s">
        <v>1256</v>
      </c>
      <c r="BA358" s="549"/>
      <c r="BB358" s="549" t="str">
        <f t="shared" si="59"/>
        <v>Banter Toys</v>
      </c>
      <c r="BC358" s="549" t="str">
        <f t="shared" si="60"/>
        <v>澳大利亚</v>
      </c>
    </row>
    <row r="359" s="495" customFormat="1" customHeight="1" spans="1:55">
      <c r="A359" s="549">
        <v>46220</v>
      </c>
      <c r="B359" s="549" t="str">
        <f ca="1" t="shared" si="55"/>
        <v>异常</v>
      </c>
      <c r="C359" s="541" t="str">
        <f>VLOOKUP(H359,名称!A:E,4,0)</f>
        <v>三代</v>
      </c>
      <c r="D359" s="431" t="s">
        <v>1473</v>
      </c>
      <c r="E359" s="431" t="s">
        <v>1224</v>
      </c>
      <c r="F359" s="541"/>
      <c r="G359" s="431" t="s">
        <v>1045</v>
      </c>
      <c r="H359" s="431" t="s">
        <v>198</v>
      </c>
      <c r="I359" s="129"/>
      <c r="J359" s="586">
        <f>8400-3108</f>
        <v>5292</v>
      </c>
      <c r="K359" s="95">
        <f>VLOOKUP(H359,名称!A:C,2,0)</f>
        <v>0</v>
      </c>
      <c r="L359" s="96">
        <f t="shared" si="63"/>
        <v>0</v>
      </c>
      <c r="M359" s="541">
        <f>VLOOKUP(H359,名称!A:E,3,0)</f>
        <v>12</v>
      </c>
      <c r="N359" s="586">
        <f t="shared" si="62"/>
        <v>441</v>
      </c>
      <c r="O359" s="549">
        <v>46287</v>
      </c>
      <c r="P359" s="549">
        <v>46287</v>
      </c>
      <c r="Q359" s="549">
        <v>46295</v>
      </c>
      <c r="R359" s="541"/>
      <c r="S359" s="549">
        <v>46295</v>
      </c>
      <c r="T359" s="541"/>
      <c r="U359" s="541" t="s">
        <v>1399</v>
      </c>
      <c r="V359" s="431" t="s">
        <v>1283</v>
      </c>
      <c r="W359" s="518" t="str">
        <f>IFERROR(VLOOKUP(H359,名称!A:F,6,0),"")</f>
        <v>湖南</v>
      </c>
      <c r="X359" s="431" t="s">
        <v>1248</v>
      </c>
      <c r="Y359" s="478">
        <v>46234</v>
      </c>
      <c r="Z359" s="541" t="s">
        <v>1233</v>
      </c>
      <c r="AA359" s="552"/>
      <c r="AB359" s="541"/>
      <c r="AC359" s="431" t="s">
        <v>1133</v>
      </c>
      <c r="AD359" s="431" t="s">
        <v>1133</v>
      </c>
      <c r="AE359" s="431" t="s">
        <v>253</v>
      </c>
      <c r="AF359" s="431" t="s">
        <v>1228</v>
      </c>
      <c r="AG359" s="431" t="s">
        <v>1474</v>
      </c>
      <c r="AH359" s="431" t="s">
        <v>1133</v>
      </c>
      <c r="AI359" s="431" t="s">
        <v>1228</v>
      </c>
      <c r="AJ359" s="431" t="s">
        <v>1133</v>
      </c>
      <c r="AK359" s="431" t="s">
        <v>253</v>
      </c>
      <c r="AL359" s="541"/>
      <c r="AM359" s="431" t="s">
        <v>1250</v>
      </c>
      <c r="AN359" s="431" t="s">
        <v>1475</v>
      </c>
      <c r="AO359" s="624">
        <v>0.82</v>
      </c>
      <c r="AP359" s="625">
        <f t="shared" si="56"/>
        <v>4339.44</v>
      </c>
      <c r="AQ359" s="625">
        <f t="shared" si="57"/>
        <v>33630.66</v>
      </c>
      <c r="AR359" s="626"/>
      <c r="AS359" s="549"/>
      <c r="AT359" s="420" t="s">
        <v>1310</v>
      </c>
      <c r="AU359" s="548"/>
      <c r="AV359" s="548">
        <f t="shared" si="58"/>
        <v>-5292</v>
      </c>
      <c r="AW359" s="639" t="s">
        <v>1228</v>
      </c>
      <c r="AX359" s="549"/>
      <c r="AY359" s="420" t="s">
        <v>1255</v>
      </c>
      <c r="AZ359" s="549" t="s">
        <v>1256</v>
      </c>
      <c r="BA359" s="549"/>
      <c r="BB359" s="549" t="str">
        <f t="shared" si="59"/>
        <v>JAZWARES - Shopper Drug Mart</v>
      </c>
      <c r="BC359" s="549" t="str">
        <f t="shared" si="60"/>
        <v>美国</v>
      </c>
    </row>
    <row r="360" s="495" customFormat="1" customHeight="1" spans="1:55">
      <c r="A360" s="549">
        <v>46224</v>
      </c>
      <c r="B360" s="549" t="str">
        <f ca="1" t="shared" si="55"/>
        <v>异常</v>
      </c>
      <c r="C360" s="541" t="str">
        <f>VLOOKUP(H360,名称!A:E,4,0)</f>
        <v>三代</v>
      </c>
      <c r="D360" s="431" t="s">
        <v>1264</v>
      </c>
      <c r="E360" s="431" t="s">
        <v>1476</v>
      </c>
      <c r="F360" s="431" t="s">
        <v>1048</v>
      </c>
      <c r="G360" s="431" t="s">
        <v>1049</v>
      </c>
      <c r="H360" s="431" t="s">
        <v>99</v>
      </c>
      <c r="I360" s="129"/>
      <c r="J360" s="586">
        <v>1200</v>
      </c>
      <c r="K360" s="95">
        <f>VLOOKUP(H360,名称!A:C,2,0)</f>
        <v>7</v>
      </c>
      <c r="L360" s="96">
        <f t="shared" si="63"/>
        <v>8400</v>
      </c>
      <c r="M360" s="541">
        <f>VLOOKUP(H360,名称!A:E,3,0)</f>
        <v>24</v>
      </c>
      <c r="N360" s="586">
        <f t="shared" si="62"/>
        <v>50</v>
      </c>
      <c r="O360" s="549">
        <v>46325</v>
      </c>
      <c r="P360" s="549">
        <v>46325</v>
      </c>
      <c r="Q360" s="549">
        <v>46325</v>
      </c>
      <c r="R360" s="541"/>
      <c r="S360" s="420" t="s">
        <v>1133</v>
      </c>
      <c r="T360" s="541"/>
      <c r="U360" s="541"/>
      <c r="V360" s="541"/>
      <c r="W360" s="518" t="str">
        <f>IFERROR(VLOOKUP(H360,名称!A:F,6,0),"")</f>
        <v>湖南</v>
      </c>
      <c r="X360" s="431" t="s">
        <v>1248</v>
      </c>
      <c r="Y360" s="431" t="s">
        <v>1233</v>
      </c>
      <c r="Z360" s="431" t="s">
        <v>1249</v>
      </c>
      <c r="AA360" s="552">
        <v>46231</v>
      </c>
      <c r="AB360" s="541"/>
      <c r="AC360" s="431" t="s">
        <v>1284</v>
      </c>
      <c r="AD360" s="431" t="s">
        <v>1228</v>
      </c>
      <c r="AE360" s="431" t="s">
        <v>510</v>
      </c>
      <c r="AF360" s="431" t="s">
        <v>1228</v>
      </c>
      <c r="AG360" s="431" t="s">
        <v>510</v>
      </c>
      <c r="AH360" s="431" t="s">
        <v>1307</v>
      </c>
      <c r="AI360" s="431" t="s">
        <v>1228</v>
      </c>
      <c r="AJ360" s="431" t="s">
        <v>1133</v>
      </c>
      <c r="AK360" s="431" t="s">
        <v>1133</v>
      </c>
      <c r="AL360" s="541"/>
      <c r="AM360" s="431" t="s">
        <v>1267</v>
      </c>
      <c r="AN360" s="431" t="s">
        <v>1251</v>
      </c>
      <c r="AO360" s="624">
        <v>0.92</v>
      </c>
      <c r="AP360" s="625">
        <f t="shared" si="56"/>
        <v>1104</v>
      </c>
      <c r="AQ360" s="625">
        <f t="shared" si="57"/>
        <v>8556</v>
      </c>
      <c r="AR360" s="626"/>
      <c r="AS360" s="549"/>
      <c r="AT360" s="420" t="s">
        <v>1220</v>
      </c>
      <c r="AU360" s="548"/>
      <c r="AV360" s="548">
        <f t="shared" si="58"/>
        <v>-1200</v>
      </c>
      <c r="AW360" s="627"/>
      <c r="AX360" s="420" t="s">
        <v>1280</v>
      </c>
      <c r="AY360" s="420" t="s">
        <v>1269</v>
      </c>
      <c r="AZ360" s="549" t="s">
        <v>1256</v>
      </c>
      <c r="BA360" s="549"/>
      <c r="BB360" s="549" t="str">
        <f t="shared" si="59"/>
        <v>PT MAP</v>
      </c>
      <c r="BC360" s="549" t="str">
        <f t="shared" si="60"/>
        <v>印尼</v>
      </c>
    </row>
    <row r="361" s="495" customFormat="1" customHeight="1" spans="1:55">
      <c r="A361" s="549">
        <v>46224</v>
      </c>
      <c r="B361" s="549" t="str">
        <f ca="1" t="shared" si="55"/>
        <v>异常</v>
      </c>
      <c r="C361" s="541" t="str">
        <f>VLOOKUP(H361,名称!A:E,4,0)</f>
        <v>三代</v>
      </c>
      <c r="D361" s="431" t="s">
        <v>1264</v>
      </c>
      <c r="E361" s="431" t="s">
        <v>1476</v>
      </c>
      <c r="F361" s="431" t="s">
        <v>1048</v>
      </c>
      <c r="G361" s="431" t="s">
        <v>1049</v>
      </c>
      <c r="H361" s="431" t="s">
        <v>66</v>
      </c>
      <c r="I361" s="129"/>
      <c r="J361" s="586">
        <v>948</v>
      </c>
      <c r="K361" s="95">
        <f>VLOOKUP(H361,名称!A:C,2,0)</f>
        <v>12</v>
      </c>
      <c r="L361" s="96">
        <f t="shared" si="63"/>
        <v>11376</v>
      </c>
      <c r="M361" s="541">
        <f>VLOOKUP(H361,名称!A:E,3,0)</f>
        <v>6</v>
      </c>
      <c r="N361" s="586">
        <f t="shared" si="62"/>
        <v>158</v>
      </c>
      <c r="O361" s="549">
        <v>46325</v>
      </c>
      <c r="P361" s="549">
        <v>46325</v>
      </c>
      <c r="Q361" s="549">
        <v>46325</v>
      </c>
      <c r="R361" s="541"/>
      <c r="S361" s="420" t="s">
        <v>1133</v>
      </c>
      <c r="T361" s="541"/>
      <c r="U361" s="541"/>
      <c r="V361" s="541"/>
      <c r="W361" s="518" t="str">
        <f>IFERROR(VLOOKUP(H361,名称!A:F,6,0),"")</f>
        <v>湖南</v>
      </c>
      <c r="X361" s="431" t="s">
        <v>1248</v>
      </c>
      <c r="Y361" s="431" t="s">
        <v>1233</v>
      </c>
      <c r="Z361" s="431" t="s">
        <v>1249</v>
      </c>
      <c r="AA361" s="552">
        <v>46231</v>
      </c>
      <c r="AB361" s="541"/>
      <c r="AC361" s="431" t="s">
        <v>1318</v>
      </c>
      <c r="AD361" s="431" t="s">
        <v>1228</v>
      </c>
      <c r="AE361" s="431" t="s">
        <v>510</v>
      </c>
      <c r="AF361" s="431" t="s">
        <v>1228</v>
      </c>
      <c r="AG361" s="431" t="s">
        <v>510</v>
      </c>
      <c r="AH361" s="431" t="s">
        <v>1307</v>
      </c>
      <c r="AI361" s="431" t="s">
        <v>1228</v>
      </c>
      <c r="AJ361" s="431" t="s">
        <v>510</v>
      </c>
      <c r="AK361" s="431" t="s">
        <v>1133</v>
      </c>
      <c r="AL361" s="541"/>
      <c r="AM361" s="541"/>
      <c r="AN361" s="431" t="s">
        <v>1251</v>
      </c>
      <c r="AO361" s="624">
        <v>2.09</v>
      </c>
      <c r="AP361" s="625">
        <f t="shared" si="56"/>
        <v>1981.32</v>
      </c>
      <c r="AQ361" s="625">
        <f t="shared" si="57"/>
        <v>15355.23</v>
      </c>
      <c r="AR361" s="626"/>
      <c r="AS361" s="549"/>
      <c r="AT361" s="420" t="s">
        <v>1220</v>
      </c>
      <c r="AU361" s="548"/>
      <c r="AV361" s="548">
        <f t="shared" si="58"/>
        <v>-948</v>
      </c>
      <c r="AW361" s="627"/>
      <c r="AX361" s="420" t="s">
        <v>1280</v>
      </c>
      <c r="AY361" s="420" t="s">
        <v>1269</v>
      </c>
      <c r="AZ361" s="549" t="s">
        <v>1256</v>
      </c>
      <c r="BA361" s="549"/>
      <c r="BB361" s="549" t="str">
        <f t="shared" si="59"/>
        <v>PT MAP</v>
      </c>
      <c r="BC361" s="549" t="str">
        <f t="shared" si="60"/>
        <v>印尼</v>
      </c>
    </row>
    <row r="362" s="495" customFormat="1" customHeight="1" spans="1:55">
      <c r="A362" s="549">
        <v>46224</v>
      </c>
      <c r="B362" s="549" t="str">
        <f ca="1" t="shared" si="55"/>
        <v>异常</v>
      </c>
      <c r="C362" s="541" t="str">
        <f>VLOOKUP(H362,名称!A:E,4,0)</f>
        <v>三代</v>
      </c>
      <c r="D362" s="431" t="s">
        <v>1264</v>
      </c>
      <c r="E362" s="431" t="s">
        <v>1476</v>
      </c>
      <c r="F362" s="431" t="s">
        <v>1048</v>
      </c>
      <c r="G362" s="431" t="s">
        <v>1049</v>
      </c>
      <c r="H362" s="431" t="s">
        <v>85</v>
      </c>
      <c r="I362" s="129"/>
      <c r="J362" s="623">
        <f>840+408</f>
        <v>1248</v>
      </c>
      <c r="K362" s="95">
        <f>VLOOKUP(H362,名称!A:C,2,0)</f>
        <v>5</v>
      </c>
      <c r="L362" s="96">
        <f t="shared" si="63"/>
        <v>6240</v>
      </c>
      <c r="M362" s="541">
        <f>VLOOKUP(H362,名称!A:E,3,0)</f>
        <v>24</v>
      </c>
      <c r="N362" s="586">
        <f t="shared" si="62"/>
        <v>52</v>
      </c>
      <c r="O362" s="549">
        <v>46325</v>
      </c>
      <c r="P362" s="549">
        <v>46325</v>
      </c>
      <c r="Q362" s="549">
        <v>46325</v>
      </c>
      <c r="R362" s="541"/>
      <c r="S362" s="420" t="s">
        <v>1133</v>
      </c>
      <c r="T362" s="541"/>
      <c r="U362" s="541"/>
      <c r="V362" s="541"/>
      <c r="W362" s="518" t="str">
        <f>IFERROR(VLOOKUP(H362,名称!A:F,6,0),"")</f>
        <v>湖南</v>
      </c>
      <c r="X362" s="431" t="s">
        <v>1248</v>
      </c>
      <c r="Y362" s="431" t="s">
        <v>1233</v>
      </c>
      <c r="Z362" s="431" t="s">
        <v>1249</v>
      </c>
      <c r="AA362" s="552">
        <v>46231</v>
      </c>
      <c r="AB362" s="541"/>
      <c r="AC362" s="431" t="s">
        <v>1133</v>
      </c>
      <c r="AD362" s="431" t="s">
        <v>1133</v>
      </c>
      <c r="AE362" s="431" t="s">
        <v>510</v>
      </c>
      <c r="AF362" s="431" t="s">
        <v>1228</v>
      </c>
      <c r="AG362" s="431" t="s">
        <v>510</v>
      </c>
      <c r="AH362" s="431" t="s">
        <v>1133</v>
      </c>
      <c r="AI362" s="431" t="s">
        <v>1228</v>
      </c>
      <c r="AJ362" s="431" t="s">
        <v>1133</v>
      </c>
      <c r="AK362" s="431" t="s">
        <v>510</v>
      </c>
      <c r="AL362" s="541"/>
      <c r="AM362" s="541"/>
      <c r="AN362" s="431" t="s">
        <v>1251</v>
      </c>
      <c r="AO362" s="624">
        <v>0.91</v>
      </c>
      <c r="AP362" s="625">
        <f t="shared" si="56"/>
        <v>1135.68</v>
      </c>
      <c r="AQ362" s="625">
        <f t="shared" si="57"/>
        <v>8801.52</v>
      </c>
      <c r="AR362" s="626"/>
      <c r="AS362" s="549"/>
      <c r="AT362" s="420" t="s">
        <v>1220</v>
      </c>
      <c r="AU362" s="548"/>
      <c r="AV362" s="548">
        <f t="shared" si="58"/>
        <v>-1248</v>
      </c>
      <c r="AW362" s="627"/>
      <c r="AX362" s="420" t="s">
        <v>1280</v>
      </c>
      <c r="AY362" s="420" t="s">
        <v>1269</v>
      </c>
      <c r="AZ362" s="549" t="s">
        <v>1256</v>
      </c>
      <c r="BA362" s="549"/>
      <c r="BB362" s="549" t="str">
        <f t="shared" si="59"/>
        <v>PT MAP</v>
      </c>
      <c r="BC362" s="549" t="str">
        <f t="shared" si="60"/>
        <v>印尼</v>
      </c>
    </row>
    <row r="363" s="495" customFormat="1" customHeight="1" spans="1:55">
      <c r="A363" s="549">
        <v>46224</v>
      </c>
      <c r="B363" s="549" t="str">
        <f ca="1" t="shared" si="55"/>
        <v/>
      </c>
      <c r="C363" s="541" t="str">
        <f>VLOOKUP(H363,名称!A:E,4,0)</f>
        <v>三代</v>
      </c>
      <c r="D363" s="431" t="s">
        <v>1393</v>
      </c>
      <c r="E363" s="431" t="s">
        <v>1394</v>
      </c>
      <c r="F363" s="541">
        <v>141502</v>
      </c>
      <c r="G363" s="431" t="s">
        <v>1046</v>
      </c>
      <c r="H363" s="431" t="s">
        <v>55</v>
      </c>
      <c r="I363" s="129"/>
      <c r="J363" s="586">
        <v>7008</v>
      </c>
      <c r="K363" s="95">
        <f>VLOOKUP(H363,名称!A:C,2,0)</f>
        <v>7</v>
      </c>
      <c r="L363" s="96">
        <f t="shared" si="63"/>
        <v>49056</v>
      </c>
      <c r="M363" s="541">
        <f>VLOOKUP(H363,名称!A:E,3,0)</f>
        <v>16</v>
      </c>
      <c r="N363" s="586">
        <f t="shared" si="62"/>
        <v>438</v>
      </c>
      <c r="O363" s="549">
        <v>46286</v>
      </c>
      <c r="P363" s="549">
        <v>46286</v>
      </c>
      <c r="Q363" s="549">
        <v>46286</v>
      </c>
      <c r="R363" s="541"/>
      <c r="S363" s="420" t="s">
        <v>1133</v>
      </c>
      <c r="T363" s="541"/>
      <c r="U363" s="541"/>
      <c r="V363" s="541"/>
      <c r="W363" s="518" t="str">
        <f>IFERROR(VLOOKUP(H363,名称!A:F,6,0),"")</f>
        <v>湖南</v>
      </c>
      <c r="X363" s="431" t="s">
        <v>1248</v>
      </c>
      <c r="Y363" s="478">
        <v>46240</v>
      </c>
      <c r="Z363" s="431" t="s">
        <v>1249</v>
      </c>
      <c r="AA363" s="552">
        <v>46231</v>
      </c>
      <c r="AB363" s="567">
        <v>46240</v>
      </c>
      <c r="AC363" s="431" t="s">
        <v>1284</v>
      </c>
      <c r="AD363" s="431" t="s">
        <v>1228</v>
      </c>
      <c r="AE363" s="431" t="s">
        <v>510</v>
      </c>
      <c r="AF363" s="431" t="s">
        <v>1228</v>
      </c>
      <c r="AG363" s="431" t="s">
        <v>510</v>
      </c>
      <c r="AH363" s="431" t="s">
        <v>1307</v>
      </c>
      <c r="AI363" s="431" t="s">
        <v>1228</v>
      </c>
      <c r="AJ363" s="431" t="s">
        <v>1133</v>
      </c>
      <c r="AK363" s="431" t="s">
        <v>1133</v>
      </c>
      <c r="AL363" s="541"/>
      <c r="AM363" s="422" t="s">
        <v>1267</v>
      </c>
      <c r="AN363" s="431" t="s">
        <v>1251</v>
      </c>
      <c r="AO363" s="624">
        <v>0.89</v>
      </c>
      <c r="AP363" s="625">
        <f t="shared" si="56"/>
        <v>6237.12</v>
      </c>
      <c r="AQ363" s="625">
        <f t="shared" si="57"/>
        <v>48337.68</v>
      </c>
      <c r="AR363" s="626"/>
      <c r="AS363" s="549"/>
      <c r="AT363" s="420" t="s">
        <v>1220</v>
      </c>
      <c r="AU363" s="548"/>
      <c r="AV363" s="548">
        <f t="shared" si="58"/>
        <v>-7008</v>
      </c>
      <c r="AW363" s="639" t="s">
        <v>1228</v>
      </c>
      <c r="AX363" s="420" t="s">
        <v>1280</v>
      </c>
      <c r="AY363" s="420" t="s">
        <v>1269</v>
      </c>
      <c r="AZ363" s="549" t="s">
        <v>1256</v>
      </c>
      <c r="BA363" s="549"/>
      <c r="BB363" s="549" t="str">
        <f t="shared" si="59"/>
        <v>BOTI</v>
      </c>
      <c r="BC363" s="549" t="str">
        <f t="shared" si="60"/>
        <v>比利时</v>
      </c>
    </row>
    <row r="364" s="495" customFormat="1" customHeight="1" spans="1:55">
      <c r="A364" s="549">
        <v>46224</v>
      </c>
      <c r="B364" s="549" t="str">
        <f ca="1" t="shared" si="55"/>
        <v/>
      </c>
      <c r="C364" s="541" t="str">
        <f>VLOOKUP(H364,名称!A:E,4,0)</f>
        <v>三代</v>
      </c>
      <c r="D364" s="431" t="s">
        <v>1393</v>
      </c>
      <c r="E364" s="431" t="s">
        <v>1394</v>
      </c>
      <c r="F364" s="541">
        <v>141502</v>
      </c>
      <c r="G364" s="431" t="s">
        <v>1046</v>
      </c>
      <c r="H364" s="431" t="s">
        <v>61</v>
      </c>
      <c r="I364" s="129"/>
      <c r="J364" s="586">
        <v>4416</v>
      </c>
      <c r="K364" s="95">
        <f>VLOOKUP(H364,名称!A:C,2,0)</f>
        <v>5</v>
      </c>
      <c r="L364" s="96">
        <f t="shared" si="63"/>
        <v>22080</v>
      </c>
      <c r="M364" s="541">
        <f>VLOOKUP(H364,名称!A:E,3,0)</f>
        <v>24</v>
      </c>
      <c r="N364" s="586">
        <f t="shared" si="62"/>
        <v>184</v>
      </c>
      <c r="O364" s="549">
        <v>46286</v>
      </c>
      <c r="P364" s="549">
        <v>46286</v>
      </c>
      <c r="Q364" s="549">
        <v>46286</v>
      </c>
      <c r="R364" s="541"/>
      <c r="S364" s="420" t="s">
        <v>1133</v>
      </c>
      <c r="T364" s="541"/>
      <c r="U364" s="541"/>
      <c r="V364" s="541"/>
      <c r="W364" s="518" t="str">
        <f>IFERROR(VLOOKUP(H364,名称!A:F,6,0),"")</f>
        <v>湖南</v>
      </c>
      <c r="X364" s="431" t="s">
        <v>1248</v>
      </c>
      <c r="Y364" s="478">
        <v>46240</v>
      </c>
      <c r="Z364" s="431" t="s">
        <v>1249</v>
      </c>
      <c r="AA364" s="552">
        <v>46231</v>
      </c>
      <c r="AB364" s="567">
        <v>46240</v>
      </c>
      <c r="AC364" s="431" t="s">
        <v>1133</v>
      </c>
      <c r="AD364" s="431" t="s">
        <v>1133</v>
      </c>
      <c r="AE364" s="431" t="s">
        <v>510</v>
      </c>
      <c r="AF364" s="431" t="s">
        <v>1228</v>
      </c>
      <c r="AG364" s="431" t="s">
        <v>510</v>
      </c>
      <c r="AH364" s="431" t="s">
        <v>1133</v>
      </c>
      <c r="AI364" s="431" t="s">
        <v>1228</v>
      </c>
      <c r="AJ364" s="431" t="s">
        <v>1133</v>
      </c>
      <c r="AK364" s="431" t="s">
        <v>510</v>
      </c>
      <c r="AL364" s="541"/>
      <c r="AM364" s="422" t="s">
        <v>1267</v>
      </c>
      <c r="AN364" s="431" t="s">
        <v>1251</v>
      </c>
      <c r="AO364" s="624">
        <v>0.64</v>
      </c>
      <c r="AP364" s="625">
        <f t="shared" si="56"/>
        <v>2826.24</v>
      </c>
      <c r="AQ364" s="625">
        <f t="shared" si="57"/>
        <v>21903.36</v>
      </c>
      <c r="AR364" s="626"/>
      <c r="AS364" s="549"/>
      <c r="AT364" s="420" t="s">
        <v>1220</v>
      </c>
      <c r="AU364" s="548"/>
      <c r="AV364" s="548">
        <f t="shared" si="58"/>
        <v>-4416</v>
      </c>
      <c r="AW364" s="639" t="s">
        <v>1228</v>
      </c>
      <c r="AX364" s="420" t="s">
        <v>1280</v>
      </c>
      <c r="AY364" s="420" t="s">
        <v>1269</v>
      </c>
      <c r="AZ364" s="549" t="s">
        <v>1256</v>
      </c>
      <c r="BA364" s="549"/>
      <c r="BB364" s="549" t="str">
        <f t="shared" si="59"/>
        <v>BOTI</v>
      </c>
      <c r="BC364" s="549" t="str">
        <f t="shared" si="60"/>
        <v>比利时</v>
      </c>
    </row>
    <row r="365" s="495" customFormat="1" customHeight="1" spans="1:55">
      <c r="A365" s="549">
        <v>46224</v>
      </c>
      <c r="B365" s="549" t="str">
        <f ca="1" t="shared" si="55"/>
        <v/>
      </c>
      <c r="C365" s="541" t="str">
        <f>VLOOKUP(H365,名称!A:E,4,0)</f>
        <v>三代</v>
      </c>
      <c r="D365" s="431" t="s">
        <v>1393</v>
      </c>
      <c r="E365" s="431" t="s">
        <v>1394</v>
      </c>
      <c r="F365" s="541">
        <v>141502</v>
      </c>
      <c r="G365" s="431" t="s">
        <v>1046</v>
      </c>
      <c r="H365" s="431" t="s">
        <v>66</v>
      </c>
      <c r="I365" s="129"/>
      <c r="J365" s="586">
        <v>3000</v>
      </c>
      <c r="K365" s="95">
        <f>VLOOKUP(H365,名称!A:C,2,0)</f>
        <v>12</v>
      </c>
      <c r="L365" s="96">
        <f t="shared" si="63"/>
        <v>36000</v>
      </c>
      <c r="M365" s="541">
        <f>VLOOKUP(H365,名称!A:E,3,0)</f>
        <v>6</v>
      </c>
      <c r="N365" s="586">
        <f t="shared" si="62"/>
        <v>500</v>
      </c>
      <c r="O365" s="549">
        <v>46286</v>
      </c>
      <c r="P365" s="549">
        <v>46286</v>
      </c>
      <c r="Q365" s="549">
        <v>46286</v>
      </c>
      <c r="R365" s="541"/>
      <c r="S365" s="420" t="s">
        <v>1133</v>
      </c>
      <c r="T365" s="541"/>
      <c r="U365" s="541"/>
      <c r="V365" s="541"/>
      <c r="W365" s="518" t="str">
        <f>IFERROR(VLOOKUP(H365,名称!A:F,6,0),"")</f>
        <v>湖南</v>
      </c>
      <c r="X365" s="431" t="s">
        <v>1248</v>
      </c>
      <c r="Y365" s="478">
        <v>46240</v>
      </c>
      <c r="Z365" s="431" t="s">
        <v>1249</v>
      </c>
      <c r="AA365" s="552">
        <v>46231</v>
      </c>
      <c r="AB365" s="567">
        <v>46240</v>
      </c>
      <c r="AC365" s="431" t="s">
        <v>1318</v>
      </c>
      <c r="AD365" s="431" t="s">
        <v>1228</v>
      </c>
      <c r="AE365" s="431" t="s">
        <v>510</v>
      </c>
      <c r="AF365" s="431" t="s">
        <v>1228</v>
      </c>
      <c r="AG365" s="431" t="s">
        <v>510</v>
      </c>
      <c r="AH365" s="431" t="s">
        <v>1307</v>
      </c>
      <c r="AI365" s="431" t="s">
        <v>1228</v>
      </c>
      <c r="AJ365" s="431" t="s">
        <v>510</v>
      </c>
      <c r="AK365" s="431" t="s">
        <v>1133</v>
      </c>
      <c r="AL365" s="541"/>
      <c r="AM365" s="422" t="s">
        <v>1267</v>
      </c>
      <c r="AN365" s="431" t="s">
        <v>1251</v>
      </c>
      <c r="AO365" s="624">
        <v>2.04</v>
      </c>
      <c r="AP365" s="625">
        <f t="shared" si="56"/>
        <v>6120</v>
      </c>
      <c r="AQ365" s="625">
        <f t="shared" si="57"/>
        <v>47430</v>
      </c>
      <c r="AR365" s="626"/>
      <c r="AS365" s="549"/>
      <c r="AT365" s="420" t="s">
        <v>1220</v>
      </c>
      <c r="AU365" s="548"/>
      <c r="AV365" s="548">
        <f t="shared" si="58"/>
        <v>-3000</v>
      </c>
      <c r="AW365" s="639" t="s">
        <v>1228</v>
      </c>
      <c r="AX365" s="420" t="s">
        <v>1280</v>
      </c>
      <c r="AY365" s="420" t="s">
        <v>1269</v>
      </c>
      <c r="AZ365" s="549" t="s">
        <v>1256</v>
      </c>
      <c r="BA365" s="549"/>
      <c r="BB365" s="549" t="str">
        <f t="shared" si="59"/>
        <v>BOTI</v>
      </c>
      <c r="BC365" s="549" t="str">
        <f t="shared" si="60"/>
        <v>比利时</v>
      </c>
    </row>
    <row r="366" s="495" customFormat="1" customHeight="1" spans="1:55">
      <c r="A366" s="549">
        <v>46224</v>
      </c>
      <c r="B366" s="549" t="str">
        <f ca="1" t="shared" si="55"/>
        <v/>
      </c>
      <c r="C366" s="541" t="str">
        <f>VLOOKUP(H366,名称!A:E,4,0)</f>
        <v>三代</v>
      </c>
      <c r="D366" s="431" t="s">
        <v>1393</v>
      </c>
      <c r="E366" s="431" t="s">
        <v>1394</v>
      </c>
      <c r="F366" s="541">
        <v>141502</v>
      </c>
      <c r="G366" s="431" t="s">
        <v>1046</v>
      </c>
      <c r="H366" s="431" t="s">
        <v>85</v>
      </c>
      <c r="I366" s="129"/>
      <c r="J366" s="586">
        <v>10008</v>
      </c>
      <c r="K366" s="95">
        <f>VLOOKUP(H366,名称!A:C,2,0)</f>
        <v>5</v>
      </c>
      <c r="L366" s="96">
        <f t="shared" si="63"/>
        <v>50040</v>
      </c>
      <c r="M366" s="541">
        <f>VLOOKUP(H366,名称!A:E,3,0)</f>
        <v>24</v>
      </c>
      <c r="N366" s="586">
        <f t="shared" si="62"/>
        <v>417</v>
      </c>
      <c r="O366" s="549">
        <v>46286</v>
      </c>
      <c r="P366" s="549">
        <v>46286</v>
      </c>
      <c r="Q366" s="549">
        <v>46286</v>
      </c>
      <c r="R366" s="541"/>
      <c r="S366" s="420" t="s">
        <v>1133</v>
      </c>
      <c r="T366" s="541"/>
      <c r="U366" s="541"/>
      <c r="V366" s="541"/>
      <c r="W366" s="518" t="str">
        <f>IFERROR(VLOOKUP(H366,名称!A:F,6,0),"")</f>
        <v>湖南</v>
      </c>
      <c r="X366" s="431" t="s">
        <v>1248</v>
      </c>
      <c r="Y366" s="478">
        <v>46240</v>
      </c>
      <c r="Z366" s="431" t="s">
        <v>1249</v>
      </c>
      <c r="AA366" s="552">
        <v>46231</v>
      </c>
      <c r="AB366" s="567">
        <v>46240</v>
      </c>
      <c r="AC366" s="431" t="s">
        <v>1133</v>
      </c>
      <c r="AD366" s="431" t="s">
        <v>1133</v>
      </c>
      <c r="AE366" s="431" t="s">
        <v>510</v>
      </c>
      <c r="AF366" s="431" t="s">
        <v>1228</v>
      </c>
      <c r="AG366" s="431" t="s">
        <v>510</v>
      </c>
      <c r="AH366" s="431" t="s">
        <v>1133</v>
      </c>
      <c r="AI366" s="431" t="s">
        <v>1228</v>
      </c>
      <c r="AJ366" s="431" t="s">
        <v>1133</v>
      </c>
      <c r="AK366" s="431" t="s">
        <v>510</v>
      </c>
      <c r="AL366" s="541"/>
      <c r="AM366" s="422" t="s">
        <v>1267</v>
      </c>
      <c r="AN366" s="431" t="s">
        <v>1251</v>
      </c>
      <c r="AO366" s="624">
        <v>0.89</v>
      </c>
      <c r="AP366" s="625">
        <f t="shared" si="56"/>
        <v>8907.12</v>
      </c>
      <c r="AQ366" s="625">
        <f t="shared" si="57"/>
        <v>69030.18</v>
      </c>
      <c r="AR366" s="626"/>
      <c r="AS366" s="549"/>
      <c r="AT366" s="420" t="s">
        <v>1220</v>
      </c>
      <c r="AU366" s="548"/>
      <c r="AV366" s="548">
        <f t="shared" si="58"/>
        <v>-10008</v>
      </c>
      <c r="AW366" s="639" t="s">
        <v>1228</v>
      </c>
      <c r="AX366" s="420" t="s">
        <v>1280</v>
      </c>
      <c r="AY366" s="420" t="s">
        <v>1269</v>
      </c>
      <c r="AZ366" s="549" t="s">
        <v>1256</v>
      </c>
      <c r="BA366" s="549"/>
      <c r="BB366" s="549" t="str">
        <f t="shared" si="59"/>
        <v>BOTI</v>
      </c>
      <c r="BC366" s="549" t="str">
        <f t="shared" si="60"/>
        <v>比利时</v>
      </c>
    </row>
    <row r="367" s="495" customFormat="1" customHeight="1" spans="1:55">
      <c r="A367" s="549">
        <v>46224</v>
      </c>
      <c r="B367" s="549" t="str">
        <f ca="1" t="shared" si="55"/>
        <v>异常</v>
      </c>
      <c r="C367" s="541" t="str">
        <f>VLOOKUP(H367,名称!A:E,4,0)</f>
        <v>三代</v>
      </c>
      <c r="D367" s="431" t="s">
        <v>1473</v>
      </c>
      <c r="E367" s="431" t="s">
        <v>1224</v>
      </c>
      <c r="F367" s="541"/>
      <c r="G367" s="431" t="s">
        <v>1047</v>
      </c>
      <c r="H367" s="431" t="s">
        <v>198</v>
      </c>
      <c r="I367" s="129"/>
      <c r="J367" s="586">
        <v>3108</v>
      </c>
      <c r="K367" s="95">
        <f>VLOOKUP(H367,名称!A:C,2,0)</f>
        <v>0</v>
      </c>
      <c r="L367" s="96">
        <f t="shared" si="63"/>
        <v>0</v>
      </c>
      <c r="M367" s="541">
        <f>VLOOKUP(H367,名称!A:E,3,0)</f>
        <v>12</v>
      </c>
      <c r="N367" s="586">
        <f t="shared" si="62"/>
        <v>259</v>
      </c>
      <c r="O367" s="549">
        <v>46287</v>
      </c>
      <c r="P367" s="549">
        <v>46287</v>
      </c>
      <c r="Q367" s="549">
        <v>46295</v>
      </c>
      <c r="R367" s="541"/>
      <c r="S367" s="549">
        <v>46295</v>
      </c>
      <c r="T367" s="541"/>
      <c r="U367" s="541" t="s">
        <v>1399</v>
      </c>
      <c r="V367" s="431"/>
      <c r="W367" s="518" t="str">
        <f>IFERROR(VLOOKUP(H367,名称!A:F,6,0),"")</f>
        <v>湖南</v>
      </c>
      <c r="X367" s="431" t="s">
        <v>1248</v>
      </c>
      <c r="Y367" s="478">
        <v>46234</v>
      </c>
      <c r="Z367" s="541" t="s">
        <v>1233</v>
      </c>
      <c r="AA367" s="552"/>
      <c r="AB367" s="541"/>
      <c r="AC367" s="431" t="s">
        <v>1133</v>
      </c>
      <c r="AD367" s="431" t="s">
        <v>1133</v>
      </c>
      <c r="AE367" s="431" t="s">
        <v>253</v>
      </c>
      <c r="AF367" s="431" t="s">
        <v>1228</v>
      </c>
      <c r="AG367" s="431" t="s">
        <v>1474</v>
      </c>
      <c r="AH367" s="431" t="s">
        <v>1133</v>
      </c>
      <c r="AI367" s="431" t="s">
        <v>1228</v>
      </c>
      <c r="AJ367" s="431" t="s">
        <v>1133</v>
      </c>
      <c r="AK367" s="431" t="s">
        <v>253</v>
      </c>
      <c r="AL367" s="541"/>
      <c r="AM367" s="431" t="s">
        <v>1250</v>
      </c>
      <c r="AN367" s="431" t="s">
        <v>1475</v>
      </c>
      <c r="AO367" s="624">
        <v>0.82</v>
      </c>
      <c r="AP367" s="625">
        <f t="shared" si="56"/>
        <v>2548.56</v>
      </c>
      <c r="AQ367" s="625">
        <f t="shared" si="57"/>
        <v>19751.34</v>
      </c>
      <c r="AR367" s="626"/>
      <c r="AS367" s="549"/>
      <c r="AT367" s="420" t="s">
        <v>1310</v>
      </c>
      <c r="AU367" s="548"/>
      <c r="AV367" s="548">
        <f t="shared" si="58"/>
        <v>-3108</v>
      </c>
      <c r="AW367" s="639" t="s">
        <v>1228</v>
      </c>
      <c r="AX367" s="549"/>
      <c r="AY367" s="420" t="s">
        <v>1255</v>
      </c>
      <c r="AZ367" s="549" t="s">
        <v>1256</v>
      </c>
      <c r="BA367" s="549"/>
      <c r="BB367" s="549" t="str">
        <f t="shared" si="59"/>
        <v>JAZWARES - Shopper Drug Mart</v>
      </c>
      <c r="BC367" s="549" t="str">
        <f t="shared" si="60"/>
        <v>美国</v>
      </c>
    </row>
    <row r="368" s="495" customFormat="1" customHeight="1" spans="1:55">
      <c r="A368" s="549">
        <v>46225</v>
      </c>
      <c r="B368" s="549" t="str">
        <f ca="1" t="shared" si="55"/>
        <v/>
      </c>
      <c r="C368" s="541" t="str">
        <f>VLOOKUP(H368,名称!A:E,4,0)</f>
        <v>三代</v>
      </c>
      <c r="D368" s="431" t="s">
        <v>1429</v>
      </c>
      <c r="E368" s="431" t="s">
        <v>1224</v>
      </c>
      <c r="F368" s="431" t="s">
        <v>1050</v>
      </c>
      <c r="G368" s="431" t="s">
        <v>1051</v>
      </c>
      <c r="H368" s="431" t="s">
        <v>83</v>
      </c>
      <c r="I368" s="129"/>
      <c r="J368" s="469">
        <v>3000</v>
      </c>
      <c r="K368" s="95">
        <f>VLOOKUP(H368,名称!A:C,2,0)</f>
        <v>5</v>
      </c>
      <c r="L368" s="96">
        <f t="shared" si="63"/>
        <v>15000</v>
      </c>
      <c r="M368" s="541">
        <f>VLOOKUP(H368,名称!A:E,3,0)</f>
        <v>12</v>
      </c>
      <c r="N368" s="586">
        <f t="shared" si="62"/>
        <v>250</v>
      </c>
      <c r="O368" s="420">
        <v>46275</v>
      </c>
      <c r="P368" s="420">
        <v>46275</v>
      </c>
      <c r="Q368" s="420">
        <v>46275</v>
      </c>
      <c r="R368" s="541"/>
      <c r="S368" s="420">
        <v>46276</v>
      </c>
      <c r="T368" s="541"/>
      <c r="U368" s="541"/>
      <c r="V368" s="431" t="s">
        <v>1477</v>
      </c>
      <c r="W368" s="518" t="str">
        <f>IFERROR(VLOOKUP(H368,名称!A:F,6,0),"")</f>
        <v>湖南</v>
      </c>
      <c r="X368" s="431" t="s">
        <v>1133</v>
      </c>
      <c r="Y368" s="431" t="s">
        <v>1133</v>
      </c>
      <c r="Z368" s="567">
        <v>46233</v>
      </c>
      <c r="AA368" s="479">
        <v>46234</v>
      </c>
      <c r="AB368" s="567">
        <v>46234</v>
      </c>
      <c r="AC368" s="431" t="s">
        <v>1133</v>
      </c>
      <c r="AD368" s="431" t="s">
        <v>1133</v>
      </c>
      <c r="AE368" s="541" t="s">
        <v>270</v>
      </c>
      <c r="AF368" s="431" t="s">
        <v>1228</v>
      </c>
      <c r="AG368" s="541" t="s">
        <v>270</v>
      </c>
      <c r="AH368" s="431" t="s">
        <v>1133</v>
      </c>
      <c r="AI368" s="431" t="s">
        <v>1228</v>
      </c>
      <c r="AJ368" s="431" t="s">
        <v>1133</v>
      </c>
      <c r="AK368" s="431" t="s">
        <v>270</v>
      </c>
      <c r="AL368" s="541"/>
      <c r="AM368" s="431" t="s">
        <v>1293</v>
      </c>
      <c r="AN368" s="541" t="s">
        <v>1295</v>
      </c>
      <c r="AO368" s="624">
        <v>0.83</v>
      </c>
      <c r="AP368" s="625">
        <f t="shared" si="56"/>
        <v>2490</v>
      </c>
      <c r="AQ368" s="625">
        <f t="shared" si="57"/>
        <v>19297.5</v>
      </c>
      <c r="AR368" s="626"/>
      <c r="AS368" s="549"/>
      <c r="AT368" s="420" t="s">
        <v>1220</v>
      </c>
      <c r="AU368" s="548"/>
      <c r="AV368" s="548">
        <f t="shared" si="58"/>
        <v>-3000</v>
      </c>
      <c r="AW368" s="627"/>
      <c r="AX368" s="420" t="s">
        <v>1280</v>
      </c>
      <c r="AY368" s="549" t="s">
        <v>1255</v>
      </c>
      <c r="AZ368" s="549" t="s">
        <v>1256</v>
      </c>
      <c r="BA368" s="549"/>
      <c r="BB368" s="420" t="str">
        <f t="shared" si="59"/>
        <v>JAZWARES - MEIJER INC. DOM</v>
      </c>
      <c r="BC368" s="420" t="str">
        <f t="shared" si="60"/>
        <v>美国</v>
      </c>
    </row>
    <row r="369" s="495" customFormat="1" customHeight="1" spans="1:55">
      <c r="A369" s="549">
        <v>46225</v>
      </c>
      <c r="B369" s="549" t="str">
        <f ca="1" t="shared" si="55"/>
        <v>异常</v>
      </c>
      <c r="C369" s="541" t="str">
        <f>VLOOKUP(H369,名称!A:E,4,0)</f>
        <v>三代</v>
      </c>
      <c r="D369" s="431" t="s">
        <v>1429</v>
      </c>
      <c r="E369" s="431" t="s">
        <v>1224</v>
      </c>
      <c r="F369" s="431" t="s">
        <v>1052</v>
      </c>
      <c r="G369" s="431" t="s">
        <v>1053</v>
      </c>
      <c r="H369" s="431" t="s">
        <v>83</v>
      </c>
      <c r="I369" s="129"/>
      <c r="J369" s="469">
        <v>4008</v>
      </c>
      <c r="K369" s="95">
        <f>VLOOKUP(H369,名称!A:C,2,0)</f>
        <v>5</v>
      </c>
      <c r="L369" s="96">
        <f t="shared" si="63"/>
        <v>20040</v>
      </c>
      <c r="M369" s="541">
        <f>VLOOKUP(H369,名称!A:E,3,0)</f>
        <v>12</v>
      </c>
      <c r="N369" s="586">
        <f t="shared" si="62"/>
        <v>334</v>
      </c>
      <c r="O369" s="549">
        <v>46275</v>
      </c>
      <c r="P369" s="549">
        <v>46275</v>
      </c>
      <c r="Q369" s="566">
        <v>46281</v>
      </c>
      <c r="R369" s="541"/>
      <c r="S369" s="566">
        <v>46281</v>
      </c>
      <c r="T369" s="541"/>
      <c r="U369" s="541"/>
      <c r="V369" s="541"/>
      <c r="W369" s="518" t="str">
        <f>IFERROR(VLOOKUP(H369,名称!A:F,6,0),"")</f>
        <v>湖南</v>
      </c>
      <c r="X369" s="431" t="s">
        <v>1133</v>
      </c>
      <c r="Y369" s="431" t="s">
        <v>1133</v>
      </c>
      <c r="Z369" s="541" t="s">
        <v>1233</v>
      </c>
      <c r="AA369" s="552"/>
      <c r="AB369" s="541"/>
      <c r="AC369" s="431" t="s">
        <v>1133</v>
      </c>
      <c r="AD369" s="431" t="s">
        <v>1133</v>
      </c>
      <c r="AE369" s="541" t="s">
        <v>270</v>
      </c>
      <c r="AF369" s="431" t="s">
        <v>1228</v>
      </c>
      <c r="AG369" s="541" t="s">
        <v>270</v>
      </c>
      <c r="AH369" s="431" t="s">
        <v>1133</v>
      </c>
      <c r="AI369" s="431" t="s">
        <v>1228</v>
      </c>
      <c r="AJ369" s="431" t="s">
        <v>1133</v>
      </c>
      <c r="AK369" s="431" t="s">
        <v>270</v>
      </c>
      <c r="AL369" s="541"/>
      <c r="AM369" s="541"/>
      <c r="AN369" s="541" t="s">
        <v>1295</v>
      </c>
      <c r="AO369" s="624">
        <v>0.83</v>
      </c>
      <c r="AP369" s="625">
        <f t="shared" si="56"/>
        <v>3326.64</v>
      </c>
      <c r="AQ369" s="625">
        <f t="shared" si="57"/>
        <v>25781.46</v>
      </c>
      <c r="AR369" s="626"/>
      <c r="AS369" s="549"/>
      <c r="AT369" s="420" t="s">
        <v>1220</v>
      </c>
      <c r="AU369" s="548"/>
      <c r="AV369" s="548">
        <f t="shared" si="58"/>
        <v>-4008</v>
      </c>
      <c r="AW369" s="627"/>
      <c r="AX369" s="420" t="s">
        <v>1280</v>
      </c>
      <c r="AY369" s="549" t="s">
        <v>1255</v>
      </c>
      <c r="AZ369" s="549" t="s">
        <v>1256</v>
      </c>
      <c r="BA369" s="549"/>
      <c r="BB369" s="420" t="str">
        <f t="shared" si="59"/>
        <v>JAZWARES - MEIJER INC. DOM</v>
      </c>
      <c r="BC369" s="420" t="str">
        <f t="shared" si="60"/>
        <v>美国</v>
      </c>
    </row>
    <row r="370" s="495" customFormat="1" customHeight="1" spans="1:55">
      <c r="A370" s="549">
        <v>46225</v>
      </c>
      <c r="B370" s="549" t="str">
        <f ca="1" t="shared" si="55"/>
        <v>异常</v>
      </c>
      <c r="C370" s="541" t="str">
        <f>VLOOKUP(H370,名称!A:E,4,0)</f>
        <v>三代</v>
      </c>
      <c r="D370" s="431" t="s">
        <v>1429</v>
      </c>
      <c r="E370" s="431" t="s">
        <v>1224</v>
      </c>
      <c r="F370" s="431" t="s">
        <v>1054</v>
      </c>
      <c r="G370" s="431" t="s">
        <v>1055</v>
      </c>
      <c r="H370" s="431" t="s">
        <v>83</v>
      </c>
      <c r="I370" s="129"/>
      <c r="J370" s="469">
        <v>5004</v>
      </c>
      <c r="K370" s="95">
        <f>VLOOKUP(H370,名称!A:C,2,0)</f>
        <v>5</v>
      </c>
      <c r="L370" s="96">
        <f t="shared" si="63"/>
        <v>25020</v>
      </c>
      <c r="M370" s="541">
        <f>VLOOKUP(H370,名称!A:E,3,0)</f>
        <v>12</v>
      </c>
      <c r="N370" s="586">
        <f t="shared" si="62"/>
        <v>417</v>
      </c>
      <c r="O370" s="549">
        <v>46349</v>
      </c>
      <c r="P370" s="549">
        <v>46349</v>
      </c>
      <c r="Q370" s="549">
        <v>46349</v>
      </c>
      <c r="R370" s="541"/>
      <c r="S370" s="549">
        <v>46349</v>
      </c>
      <c r="T370" s="541"/>
      <c r="U370" s="541"/>
      <c r="V370" s="541"/>
      <c r="W370" s="518" t="str">
        <f>IFERROR(VLOOKUP(H370,名称!A:F,6,0),"")</f>
        <v>湖南</v>
      </c>
      <c r="X370" s="431" t="s">
        <v>1133</v>
      </c>
      <c r="Y370" s="431" t="s">
        <v>1133</v>
      </c>
      <c r="Z370" s="541" t="s">
        <v>1233</v>
      </c>
      <c r="AA370" s="552"/>
      <c r="AB370" s="541"/>
      <c r="AC370" s="431" t="s">
        <v>1133</v>
      </c>
      <c r="AD370" s="431" t="s">
        <v>1133</v>
      </c>
      <c r="AE370" s="541" t="s">
        <v>270</v>
      </c>
      <c r="AF370" s="431" t="s">
        <v>1228</v>
      </c>
      <c r="AG370" s="541" t="s">
        <v>270</v>
      </c>
      <c r="AH370" s="431" t="s">
        <v>1133</v>
      </c>
      <c r="AI370" s="431" t="s">
        <v>1228</v>
      </c>
      <c r="AJ370" s="431" t="s">
        <v>1133</v>
      </c>
      <c r="AK370" s="431" t="s">
        <v>270</v>
      </c>
      <c r="AL370" s="541"/>
      <c r="AM370" s="541"/>
      <c r="AN370" s="541" t="s">
        <v>1295</v>
      </c>
      <c r="AO370" s="624">
        <v>0.83</v>
      </c>
      <c r="AP370" s="625">
        <f t="shared" si="56"/>
        <v>4153.32</v>
      </c>
      <c r="AQ370" s="625">
        <f t="shared" si="57"/>
        <v>32188.23</v>
      </c>
      <c r="AR370" s="626"/>
      <c r="AS370" s="549"/>
      <c r="AT370" s="420" t="s">
        <v>1220</v>
      </c>
      <c r="AU370" s="548"/>
      <c r="AV370" s="548">
        <f t="shared" si="58"/>
        <v>-5004</v>
      </c>
      <c r="AW370" s="627"/>
      <c r="AX370" s="420" t="s">
        <v>1280</v>
      </c>
      <c r="AY370" s="549" t="s">
        <v>1255</v>
      </c>
      <c r="AZ370" s="549" t="s">
        <v>1256</v>
      </c>
      <c r="BA370" s="549"/>
      <c r="BB370" s="420" t="str">
        <f t="shared" si="59"/>
        <v>JAZWARES - MEIJER INC. DOM</v>
      </c>
      <c r="BC370" s="420" t="str">
        <f t="shared" si="60"/>
        <v>美国</v>
      </c>
    </row>
    <row r="371" s="495" customFormat="1" customHeight="1" spans="1:55">
      <c r="A371" s="549">
        <v>46225</v>
      </c>
      <c r="B371" s="549" t="str">
        <f ca="1" t="shared" si="55"/>
        <v/>
      </c>
      <c r="C371" s="541" t="str">
        <f>VLOOKUP(H371,名称!A:E,4,0)</f>
        <v>三代</v>
      </c>
      <c r="D371" s="431" t="s">
        <v>1257</v>
      </c>
      <c r="E371" s="431" t="s">
        <v>1258</v>
      </c>
      <c r="F371" s="431" t="s">
        <v>1056</v>
      </c>
      <c r="G371" s="431" t="s">
        <v>1057</v>
      </c>
      <c r="H371" s="431" t="s">
        <v>99</v>
      </c>
      <c r="I371" s="129"/>
      <c r="J371" s="586">
        <v>31104</v>
      </c>
      <c r="K371" s="95">
        <f>VLOOKUP(H371,名称!A:C,2,0)</f>
        <v>7</v>
      </c>
      <c r="L371" s="96">
        <f t="shared" si="63"/>
        <v>217728</v>
      </c>
      <c r="M371" s="541">
        <f>VLOOKUP(H371,名称!A:E,3,0)</f>
        <v>24</v>
      </c>
      <c r="N371" s="586">
        <f t="shared" si="62"/>
        <v>1296</v>
      </c>
      <c r="O371" s="549">
        <v>46283</v>
      </c>
      <c r="P371" s="549">
        <v>46275</v>
      </c>
      <c r="Q371" s="549">
        <v>46275</v>
      </c>
      <c r="R371" s="541"/>
      <c r="S371" s="549">
        <v>46275</v>
      </c>
      <c r="T371" s="541"/>
      <c r="U371" s="541"/>
      <c r="V371" s="541"/>
      <c r="W371" s="518" t="str">
        <f>IFERROR(VLOOKUP(H371,名称!A:F,6,0),"")</f>
        <v>湖南</v>
      </c>
      <c r="X371" s="431" t="s">
        <v>1133</v>
      </c>
      <c r="Y371" s="431" t="s">
        <v>1133</v>
      </c>
      <c r="Z371" s="431" t="s">
        <v>1249</v>
      </c>
      <c r="AA371" s="552">
        <v>46234</v>
      </c>
      <c r="AB371" s="567">
        <v>46237</v>
      </c>
      <c r="AC371" s="431" t="s">
        <v>1318</v>
      </c>
      <c r="AD371" s="431" t="s">
        <v>1228</v>
      </c>
      <c r="AE371" s="431" t="s">
        <v>334</v>
      </c>
      <c r="AF371" s="541"/>
      <c r="AG371" s="431" t="s">
        <v>812</v>
      </c>
      <c r="AH371" s="541"/>
      <c r="AI371" s="431" t="s">
        <v>1228</v>
      </c>
      <c r="AJ371" s="431" t="s">
        <v>1133</v>
      </c>
      <c r="AK371" s="431" t="s">
        <v>1133</v>
      </c>
      <c r="AL371" s="431" t="s">
        <v>1228</v>
      </c>
      <c r="AM371" s="431" t="s">
        <v>1478</v>
      </c>
      <c r="AN371" s="431" t="s">
        <v>1479</v>
      </c>
      <c r="AO371" s="624">
        <v>0.87</v>
      </c>
      <c r="AP371" s="625">
        <f t="shared" si="56"/>
        <v>27060.48</v>
      </c>
      <c r="AQ371" s="625">
        <f t="shared" si="57"/>
        <v>209718.72</v>
      </c>
      <c r="AR371" s="626"/>
      <c r="AS371" s="549"/>
      <c r="AT371" s="420" t="s">
        <v>1220</v>
      </c>
      <c r="AU371" s="548"/>
      <c r="AV371" s="548">
        <f t="shared" si="58"/>
        <v>-31104</v>
      </c>
      <c r="AW371" s="627"/>
      <c r="AX371" s="420" t="s">
        <v>1280</v>
      </c>
      <c r="AY371" s="420" t="s">
        <v>1273</v>
      </c>
      <c r="AZ371" s="420" t="s">
        <v>1274</v>
      </c>
      <c r="BA371" s="549"/>
      <c r="BB371" s="549" t="str">
        <f t="shared" si="59"/>
        <v>Character Options</v>
      </c>
      <c r="BC371" s="549" t="str">
        <f t="shared" si="60"/>
        <v>英国</v>
      </c>
    </row>
    <row r="372" s="495" customFormat="1" customHeight="1" spans="1:55">
      <c r="A372" s="549">
        <v>46225</v>
      </c>
      <c r="B372" s="549" t="str">
        <f ca="1" t="shared" si="55"/>
        <v/>
      </c>
      <c r="C372" s="541" t="str">
        <f>VLOOKUP(H372,名称!A:E,4,0)</f>
        <v>三代</v>
      </c>
      <c r="D372" s="431" t="s">
        <v>1257</v>
      </c>
      <c r="E372" s="431" t="s">
        <v>1258</v>
      </c>
      <c r="F372" s="431" t="s">
        <v>1056</v>
      </c>
      <c r="G372" s="431" t="s">
        <v>1057</v>
      </c>
      <c r="H372" s="431" t="s">
        <v>84</v>
      </c>
      <c r="I372" s="129"/>
      <c r="J372" s="586">
        <v>36000</v>
      </c>
      <c r="K372" s="95">
        <f>VLOOKUP(H372,名称!A:C,2,0)</f>
        <v>5</v>
      </c>
      <c r="L372" s="96">
        <f t="shared" si="63"/>
        <v>180000</v>
      </c>
      <c r="M372" s="541">
        <f>VLOOKUP(H372,名称!A:E,3,0)</f>
        <v>18</v>
      </c>
      <c r="N372" s="586">
        <f t="shared" si="62"/>
        <v>2000</v>
      </c>
      <c r="O372" s="549">
        <v>46283</v>
      </c>
      <c r="P372" s="549">
        <v>46283</v>
      </c>
      <c r="Q372" s="549">
        <v>46283</v>
      </c>
      <c r="R372" s="541"/>
      <c r="S372" s="549">
        <v>46283</v>
      </c>
      <c r="T372" s="541"/>
      <c r="U372" s="541"/>
      <c r="V372" s="541"/>
      <c r="W372" s="518" t="str">
        <f>IFERROR(VLOOKUP(H372,名称!A:F,6,0),"")</f>
        <v>湖南</v>
      </c>
      <c r="X372" s="431" t="s">
        <v>1133</v>
      </c>
      <c r="Y372" s="431" t="s">
        <v>1133</v>
      </c>
      <c r="Z372" s="431" t="s">
        <v>1249</v>
      </c>
      <c r="AA372" s="552">
        <v>46234</v>
      </c>
      <c r="AB372" s="567">
        <v>46237</v>
      </c>
      <c r="AC372" s="541" t="s">
        <v>1133</v>
      </c>
      <c r="AD372" s="541" t="s">
        <v>1133</v>
      </c>
      <c r="AE372" s="431" t="s">
        <v>334</v>
      </c>
      <c r="AF372" s="541"/>
      <c r="AG372" s="431" t="s">
        <v>510</v>
      </c>
      <c r="AH372" s="431" t="s">
        <v>1133</v>
      </c>
      <c r="AI372" s="431" t="s">
        <v>1228</v>
      </c>
      <c r="AJ372" s="431" t="s">
        <v>1133</v>
      </c>
      <c r="AK372" s="431" t="s">
        <v>334</v>
      </c>
      <c r="AL372" s="431" t="s">
        <v>1469</v>
      </c>
      <c r="AM372" s="431" t="s">
        <v>1480</v>
      </c>
      <c r="AN372" s="431" t="s">
        <v>1479</v>
      </c>
      <c r="AO372" s="624">
        <v>0.88</v>
      </c>
      <c r="AP372" s="625">
        <f t="shared" si="56"/>
        <v>31680</v>
      </c>
      <c r="AQ372" s="625">
        <f t="shared" si="57"/>
        <v>245520</v>
      </c>
      <c r="AR372" s="626"/>
      <c r="AS372" s="549"/>
      <c r="AT372" s="420" t="s">
        <v>1310</v>
      </c>
      <c r="AU372" s="548"/>
      <c r="AV372" s="548">
        <f t="shared" si="58"/>
        <v>-36000</v>
      </c>
      <c r="AW372" s="627"/>
      <c r="AX372" s="549"/>
      <c r="AY372" s="420" t="s">
        <v>1273</v>
      </c>
      <c r="AZ372" s="420" t="s">
        <v>1274</v>
      </c>
      <c r="BA372" s="549"/>
      <c r="BB372" s="549" t="str">
        <f t="shared" si="59"/>
        <v>Character Options</v>
      </c>
      <c r="BC372" s="549" t="str">
        <f t="shared" si="60"/>
        <v>英国</v>
      </c>
    </row>
    <row r="373" s="495" customFormat="1" customHeight="1" spans="1:55">
      <c r="A373" s="549">
        <v>46225</v>
      </c>
      <c r="B373" s="549" t="str">
        <f ca="1" t="shared" si="55"/>
        <v/>
      </c>
      <c r="C373" s="541" t="str">
        <f>VLOOKUP(H373,名称!A:E,4,0)</f>
        <v>三代</v>
      </c>
      <c r="D373" s="431" t="s">
        <v>1257</v>
      </c>
      <c r="E373" s="431" t="s">
        <v>1258</v>
      </c>
      <c r="F373" s="431" t="s">
        <v>1056</v>
      </c>
      <c r="G373" s="431" t="s">
        <v>1057</v>
      </c>
      <c r="H373" s="431" t="s">
        <v>119</v>
      </c>
      <c r="I373" s="129"/>
      <c r="J373" s="586">
        <v>24192</v>
      </c>
      <c r="K373" s="95">
        <f>VLOOKUP(H373,名称!A:C,2,0)</f>
        <v>5</v>
      </c>
      <c r="L373" s="96">
        <f t="shared" si="63"/>
        <v>120960</v>
      </c>
      <c r="M373" s="541">
        <f>VLOOKUP(H373,名称!A:E,3,0)</f>
        <v>24</v>
      </c>
      <c r="N373" s="586">
        <f t="shared" si="62"/>
        <v>1008</v>
      </c>
      <c r="O373" s="549">
        <v>46283</v>
      </c>
      <c r="P373" s="549">
        <v>46275</v>
      </c>
      <c r="Q373" s="549">
        <v>46275</v>
      </c>
      <c r="R373" s="541"/>
      <c r="S373" s="549">
        <v>46275</v>
      </c>
      <c r="T373" s="541"/>
      <c r="U373" s="541"/>
      <c r="V373" s="541"/>
      <c r="W373" s="518" t="str">
        <f>IFERROR(VLOOKUP(H373,名称!A:F,6,0),"")</f>
        <v>湖南</v>
      </c>
      <c r="X373" s="431" t="s">
        <v>1133</v>
      </c>
      <c r="Y373" s="431" t="s">
        <v>1133</v>
      </c>
      <c r="Z373" s="431" t="s">
        <v>1249</v>
      </c>
      <c r="AA373" s="552">
        <v>46234</v>
      </c>
      <c r="AB373" s="567">
        <v>46237</v>
      </c>
      <c r="AC373" s="431" t="s">
        <v>1133</v>
      </c>
      <c r="AD373" s="431" t="s">
        <v>1133</v>
      </c>
      <c r="AE373" s="431" t="s">
        <v>334</v>
      </c>
      <c r="AF373" s="541"/>
      <c r="AG373" s="431" t="s">
        <v>1463</v>
      </c>
      <c r="AH373" s="431" t="s">
        <v>1133</v>
      </c>
      <c r="AI373" s="431" t="s">
        <v>1228</v>
      </c>
      <c r="AJ373" s="431" t="s">
        <v>1133</v>
      </c>
      <c r="AK373" s="431" t="s">
        <v>334</v>
      </c>
      <c r="AL373" s="431" t="s">
        <v>1469</v>
      </c>
      <c r="AM373" s="431" t="s">
        <v>1481</v>
      </c>
      <c r="AN373" s="422" t="s">
        <v>1272</v>
      </c>
      <c r="AO373" s="624">
        <v>0.6</v>
      </c>
      <c r="AP373" s="625">
        <f t="shared" si="56"/>
        <v>14515.2</v>
      </c>
      <c r="AQ373" s="625">
        <f t="shared" si="57"/>
        <v>112492.8</v>
      </c>
      <c r="AR373" s="626"/>
      <c r="AS373" s="549"/>
      <c r="AT373" s="420" t="s">
        <v>1220</v>
      </c>
      <c r="AU373" s="548"/>
      <c r="AV373" s="548">
        <f t="shared" si="58"/>
        <v>-24192</v>
      </c>
      <c r="AW373" s="627"/>
      <c r="AX373" s="420" t="s">
        <v>1280</v>
      </c>
      <c r="AY373" s="420" t="s">
        <v>1273</v>
      </c>
      <c r="AZ373" s="420" t="s">
        <v>1274</v>
      </c>
      <c r="BA373" s="549"/>
      <c r="BB373" s="549" t="str">
        <f t="shared" si="59"/>
        <v>Character Options</v>
      </c>
      <c r="BC373" s="549" t="str">
        <f t="shared" si="60"/>
        <v>英国</v>
      </c>
    </row>
    <row r="374" s="495" customFormat="1" customHeight="1" spans="1:55">
      <c r="A374" s="549">
        <v>46231</v>
      </c>
      <c r="B374" s="549" t="str">
        <f ca="1" t="shared" si="55"/>
        <v>异常</v>
      </c>
      <c r="C374" s="541" t="str">
        <f>VLOOKUP(H374,名称!A:E,4,0)</f>
        <v>三代</v>
      </c>
      <c r="D374" s="431" t="s">
        <v>1257</v>
      </c>
      <c r="E374" s="431" t="s">
        <v>1258</v>
      </c>
      <c r="F374" s="431" t="s">
        <v>1058</v>
      </c>
      <c r="G374" s="431" t="s">
        <v>1059</v>
      </c>
      <c r="H374" s="431" t="s">
        <v>202</v>
      </c>
      <c r="I374" s="129"/>
      <c r="J374" s="586">
        <v>36000</v>
      </c>
      <c r="K374" s="95">
        <f>VLOOKUP(H374,名称!A:C,2,0)</f>
        <v>0</v>
      </c>
      <c r="L374" s="96">
        <f t="shared" si="63"/>
        <v>0</v>
      </c>
      <c r="M374" s="541">
        <f>VLOOKUP(H374,名称!A:E,3,0)</f>
        <v>24</v>
      </c>
      <c r="N374" s="586">
        <f t="shared" si="62"/>
        <v>1500</v>
      </c>
      <c r="O374" s="549">
        <v>46318</v>
      </c>
      <c r="P374" s="549">
        <v>46318</v>
      </c>
      <c r="Q374" s="549">
        <v>46315</v>
      </c>
      <c r="R374" s="541"/>
      <c r="S374" s="549">
        <v>46318</v>
      </c>
      <c r="T374" s="541"/>
      <c r="U374" s="541"/>
      <c r="V374" s="541"/>
      <c r="W374" s="518" t="str">
        <f>IFERROR(VLOOKUP(H374,名称!A:F,6,0),"")</f>
        <v>湖南</v>
      </c>
      <c r="X374" s="541"/>
      <c r="Y374" s="541"/>
      <c r="Z374" s="431" t="s">
        <v>1249</v>
      </c>
      <c r="AA374" s="552">
        <v>46238</v>
      </c>
      <c r="AB374" s="541"/>
      <c r="AC374" s="541"/>
      <c r="AD374" s="541"/>
      <c r="AE374" s="431" t="s">
        <v>334</v>
      </c>
      <c r="AF374" s="541"/>
      <c r="AG374" s="431" t="s">
        <v>334</v>
      </c>
      <c r="AH374" s="541"/>
      <c r="AI374" s="541"/>
      <c r="AJ374" s="541"/>
      <c r="AK374" s="541"/>
      <c r="AL374" s="431" t="s">
        <v>1233</v>
      </c>
      <c r="AM374" s="431" t="s">
        <v>1482</v>
      </c>
      <c r="AN374" s="431"/>
      <c r="AO374" s="624">
        <v>0.8</v>
      </c>
      <c r="AP374" s="625">
        <f t="shared" si="56"/>
        <v>28800</v>
      </c>
      <c r="AQ374" s="625">
        <f t="shared" si="57"/>
        <v>223200</v>
      </c>
      <c r="AR374" s="626"/>
      <c r="AS374" s="549"/>
      <c r="AT374" s="420" t="s">
        <v>1310</v>
      </c>
      <c r="AU374" s="548"/>
      <c r="AV374" s="548">
        <f t="shared" si="58"/>
        <v>-36000</v>
      </c>
      <c r="AW374" s="627"/>
      <c r="AX374" s="549"/>
      <c r="AY374" s="420" t="s">
        <v>1273</v>
      </c>
      <c r="AZ374" s="420" t="s">
        <v>1274</v>
      </c>
      <c r="BA374" s="549"/>
      <c r="BB374" s="549" t="str">
        <f t="shared" si="59"/>
        <v>Character Options</v>
      </c>
      <c r="BC374" s="549" t="str">
        <f t="shared" si="60"/>
        <v>英国</v>
      </c>
    </row>
    <row r="375" s="495" customFormat="1" customHeight="1" spans="1:55">
      <c r="A375" s="549">
        <v>46233</v>
      </c>
      <c r="B375" s="549" t="str">
        <f ca="1" t="shared" si="55"/>
        <v/>
      </c>
      <c r="C375" s="541" t="str">
        <f>VLOOKUP(H375,名称!A:E,4,0)</f>
        <v>三代</v>
      </c>
      <c r="D375" s="431" t="s">
        <v>1276</v>
      </c>
      <c r="E375" s="431" t="s">
        <v>1224</v>
      </c>
      <c r="F375" s="431" t="s">
        <v>1060</v>
      </c>
      <c r="G375" s="431" t="s">
        <v>1061</v>
      </c>
      <c r="H375" s="431" t="s">
        <v>95</v>
      </c>
      <c r="I375" s="129"/>
      <c r="J375" s="586">
        <v>15200</v>
      </c>
      <c r="K375" s="95">
        <f>VLOOKUP(H375,名称!A:C,2,0)</f>
        <v>32</v>
      </c>
      <c r="L375" s="96">
        <f t="shared" si="63"/>
        <v>486400</v>
      </c>
      <c r="M375" s="541">
        <f>VLOOKUP(H375,名称!A:E,3,0)</f>
        <v>4</v>
      </c>
      <c r="N375" s="586">
        <f t="shared" si="62"/>
        <v>3800</v>
      </c>
      <c r="O375" s="549">
        <v>46266</v>
      </c>
      <c r="P375" s="549">
        <v>46266</v>
      </c>
      <c r="Q375" s="566">
        <v>46272</v>
      </c>
      <c r="R375" s="541"/>
      <c r="S375" s="566">
        <v>46275</v>
      </c>
      <c r="T375" s="541"/>
      <c r="U375" s="422" t="s">
        <v>1299</v>
      </c>
      <c r="V375" s="541"/>
      <c r="W375" s="518" t="str">
        <f>IFERROR(VLOOKUP(H375,名称!A:F,6,0),"")</f>
        <v>湖南</v>
      </c>
      <c r="X375" s="431" t="s">
        <v>1133</v>
      </c>
      <c r="Y375" s="431" t="s">
        <v>1133</v>
      </c>
      <c r="Z375" s="567">
        <v>46240</v>
      </c>
      <c r="AA375" s="552">
        <v>46241</v>
      </c>
      <c r="AB375" s="567">
        <v>46241</v>
      </c>
      <c r="AC375" s="431" t="s">
        <v>1133</v>
      </c>
      <c r="AD375" s="431" t="s">
        <v>1133</v>
      </c>
      <c r="AE375" s="541" t="s">
        <v>270</v>
      </c>
      <c r="AF375" s="431" t="s">
        <v>1228</v>
      </c>
      <c r="AG375" s="541" t="s">
        <v>270</v>
      </c>
      <c r="AH375" s="431" t="s">
        <v>1285</v>
      </c>
      <c r="AI375" s="431" t="s">
        <v>1228</v>
      </c>
      <c r="AJ375" s="431" t="s">
        <v>1133</v>
      </c>
      <c r="AK375" s="431" t="s">
        <v>1133</v>
      </c>
      <c r="AL375" s="541"/>
      <c r="AM375" s="431" t="s">
        <v>1293</v>
      </c>
      <c r="AN375" s="541"/>
      <c r="AO375" s="624">
        <v>3.09</v>
      </c>
      <c r="AP375" s="625">
        <f t="shared" si="56"/>
        <v>46968</v>
      </c>
      <c r="AQ375" s="625">
        <f t="shared" si="57"/>
        <v>364002</v>
      </c>
      <c r="AR375" s="626"/>
      <c r="AS375" s="549"/>
      <c r="AT375" s="420" t="s">
        <v>1220</v>
      </c>
      <c r="AU375" s="548"/>
      <c r="AV375" s="548">
        <f t="shared" si="58"/>
        <v>-15200</v>
      </c>
      <c r="AW375" s="627"/>
      <c r="AX375" s="420" t="s">
        <v>1280</v>
      </c>
      <c r="AY375" s="420" t="s">
        <v>1483</v>
      </c>
      <c r="AZ375" s="549" t="s">
        <v>1256</v>
      </c>
      <c r="BA375" s="549"/>
      <c r="BB375" s="549" t="str">
        <f t="shared" si="59"/>
        <v>Jazwares- TARGET US DOM</v>
      </c>
      <c r="BC375" s="549" t="str">
        <f t="shared" si="60"/>
        <v>美国</v>
      </c>
    </row>
    <row r="376" s="495" customFormat="1" customHeight="1" spans="1:55">
      <c r="A376" s="549">
        <v>46233</v>
      </c>
      <c r="B376" s="549" t="str">
        <f ca="1" t="shared" ref="B376:B389" si="64">IF(TODAY()-5&gt;=A376,IF(AB376="","异常",""),"")</f>
        <v>异常</v>
      </c>
      <c r="C376" s="541" t="str">
        <f>VLOOKUP(H376,名称!A:E,4,0)</f>
        <v>三代</v>
      </c>
      <c r="D376" s="431" t="s">
        <v>1445</v>
      </c>
      <c r="E376" s="431" t="s">
        <v>1224</v>
      </c>
      <c r="F376" s="431" t="s">
        <v>1062</v>
      </c>
      <c r="G376" s="431" t="s">
        <v>1063</v>
      </c>
      <c r="H376" s="431" t="s">
        <v>200</v>
      </c>
      <c r="I376" s="129"/>
      <c r="J376" s="586">
        <v>48000</v>
      </c>
      <c r="K376" s="95">
        <f>VLOOKUP(H376,名称!A:C,2,0)</f>
        <v>5</v>
      </c>
      <c r="L376" s="96">
        <f t="shared" si="63"/>
        <v>240000</v>
      </c>
      <c r="M376" s="541">
        <f>VLOOKUP(H376,名称!A:E,3,0)</f>
        <v>12</v>
      </c>
      <c r="N376" s="586">
        <f t="shared" si="62"/>
        <v>4000</v>
      </c>
      <c r="O376" s="549">
        <v>46328</v>
      </c>
      <c r="P376" s="549">
        <v>46328</v>
      </c>
      <c r="Q376" s="549">
        <v>46328</v>
      </c>
      <c r="R376" s="541"/>
      <c r="S376" s="549">
        <v>46329</v>
      </c>
      <c r="T376" s="541"/>
      <c r="U376" s="541"/>
      <c r="V376" s="541"/>
      <c r="W376" s="518" t="str">
        <f>IFERROR(VLOOKUP(H376,名称!A:F,6,0),"")</f>
        <v>湖南</v>
      </c>
      <c r="X376" s="431" t="s">
        <v>1133</v>
      </c>
      <c r="Y376" s="431" t="s">
        <v>1133</v>
      </c>
      <c r="Z376" s="541" t="s">
        <v>1233</v>
      </c>
      <c r="AA376" s="552"/>
      <c r="AB376" s="541"/>
      <c r="AC376" s="431" t="s">
        <v>1133</v>
      </c>
      <c r="AD376" s="431" t="s">
        <v>1133</v>
      </c>
      <c r="AE376" s="541" t="s">
        <v>270</v>
      </c>
      <c r="AF376" s="431" t="s">
        <v>1228</v>
      </c>
      <c r="AG376" s="541" t="s">
        <v>270</v>
      </c>
      <c r="AH376" s="431" t="s">
        <v>1133</v>
      </c>
      <c r="AI376" s="431" t="s">
        <v>1228</v>
      </c>
      <c r="AJ376" s="431" t="s">
        <v>1133</v>
      </c>
      <c r="AK376" s="431" t="s">
        <v>270</v>
      </c>
      <c r="AL376" s="431" t="s">
        <v>1228</v>
      </c>
      <c r="AM376" s="541"/>
      <c r="AN376" s="541"/>
      <c r="AO376" s="624">
        <v>0.91</v>
      </c>
      <c r="AP376" s="625">
        <f t="shared" ref="AP376:AP432" si="65">J376*AO376</f>
        <v>43680</v>
      </c>
      <c r="AQ376" s="625">
        <f t="shared" ref="AQ376:AQ432" si="66">AP376*7.75</f>
        <v>338520</v>
      </c>
      <c r="AR376" s="626"/>
      <c r="AS376" s="549"/>
      <c r="AT376" s="420" t="s">
        <v>1310</v>
      </c>
      <c r="AU376" s="548"/>
      <c r="AV376" s="548">
        <f>AU376-J376</f>
        <v>-48000</v>
      </c>
      <c r="AW376" s="627"/>
      <c r="AX376" s="549"/>
      <c r="AY376" s="420" t="s">
        <v>1255</v>
      </c>
      <c r="AZ376" s="549" t="s">
        <v>1256</v>
      </c>
      <c r="BA376" s="549"/>
      <c r="BB376" s="549" t="str">
        <f t="shared" ref="BB376:BB432" si="67">D376</f>
        <v>JAZWARES - WALGREEN</v>
      </c>
      <c r="BC376" s="549" t="str">
        <f t="shared" ref="BC376:BC432" si="68">E376</f>
        <v>美国</v>
      </c>
    </row>
    <row r="377" s="495" customFormat="1" customHeight="1" spans="1:55">
      <c r="A377" s="549">
        <v>46233</v>
      </c>
      <c r="B377" s="549" t="str">
        <f ca="1" t="shared" si="64"/>
        <v>异常</v>
      </c>
      <c r="C377" s="541" t="str">
        <f>VLOOKUP(H377,名称!A:E,4,0)</f>
        <v>三代</v>
      </c>
      <c r="D377" s="431" t="s">
        <v>1445</v>
      </c>
      <c r="E377" s="431" t="s">
        <v>1224</v>
      </c>
      <c r="F377" s="431" t="s">
        <v>1064</v>
      </c>
      <c r="G377" s="431" t="s">
        <v>1065</v>
      </c>
      <c r="H377" s="431" t="s">
        <v>200</v>
      </c>
      <c r="I377" s="129"/>
      <c r="J377" s="623">
        <f>3300-84</f>
        <v>3216</v>
      </c>
      <c r="K377" s="95">
        <f>VLOOKUP(H377,名称!A:C,2,0)</f>
        <v>5</v>
      </c>
      <c r="L377" s="96">
        <f t="shared" si="63"/>
        <v>16080</v>
      </c>
      <c r="M377" s="541">
        <f>VLOOKUP(H377,名称!A:E,3,0)</f>
        <v>12</v>
      </c>
      <c r="N377" s="586">
        <f t="shared" si="62"/>
        <v>268</v>
      </c>
      <c r="O377" s="549">
        <v>46309</v>
      </c>
      <c r="P377" s="549">
        <v>46309</v>
      </c>
      <c r="Q377" s="549">
        <v>46309</v>
      </c>
      <c r="R377" s="541"/>
      <c r="S377" s="549">
        <v>46310</v>
      </c>
      <c r="T377" s="541"/>
      <c r="U377" s="541"/>
      <c r="V377" s="541"/>
      <c r="W377" s="518" t="str">
        <f>IFERROR(VLOOKUP(H377,名称!A:F,6,0),"")</f>
        <v>湖南</v>
      </c>
      <c r="X377" s="431" t="s">
        <v>1133</v>
      </c>
      <c r="Y377" s="431" t="s">
        <v>1133</v>
      </c>
      <c r="Z377" s="541" t="s">
        <v>1233</v>
      </c>
      <c r="AA377" s="552"/>
      <c r="AB377" s="541"/>
      <c r="AC377" s="431" t="s">
        <v>1133</v>
      </c>
      <c r="AD377" s="431" t="s">
        <v>1133</v>
      </c>
      <c r="AE377" s="541" t="s">
        <v>270</v>
      </c>
      <c r="AF377" s="431" t="s">
        <v>1228</v>
      </c>
      <c r="AG377" s="541" t="s">
        <v>270</v>
      </c>
      <c r="AH377" s="431" t="s">
        <v>1133</v>
      </c>
      <c r="AI377" s="431" t="s">
        <v>1228</v>
      </c>
      <c r="AJ377" s="431" t="s">
        <v>1133</v>
      </c>
      <c r="AK377" s="431" t="s">
        <v>270</v>
      </c>
      <c r="AL377" s="431" t="s">
        <v>1228</v>
      </c>
      <c r="AM377" s="541"/>
      <c r="AN377" s="541"/>
      <c r="AO377" s="624">
        <v>0.91</v>
      </c>
      <c r="AP377" s="625">
        <f t="shared" si="65"/>
        <v>2926.56</v>
      </c>
      <c r="AQ377" s="625">
        <f t="shared" si="66"/>
        <v>22680.84</v>
      </c>
      <c r="AR377" s="87"/>
      <c r="AS377" s="549"/>
      <c r="AT377" s="420" t="s">
        <v>1310</v>
      </c>
      <c r="AU377" s="548"/>
      <c r="AV377" s="548">
        <f>AU377-J377</f>
        <v>-3216</v>
      </c>
      <c r="AW377" s="627"/>
      <c r="AX377" s="549"/>
      <c r="AY377" s="420" t="s">
        <v>1255</v>
      </c>
      <c r="AZ377" s="549" t="s">
        <v>1256</v>
      </c>
      <c r="BA377" s="549"/>
      <c r="BB377" s="549" t="str">
        <f t="shared" si="67"/>
        <v>JAZWARES - WALGREEN</v>
      </c>
      <c r="BC377" s="549" t="str">
        <f t="shared" si="68"/>
        <v>美国</v>
      </c>
    </row>
    <row r="378" s="495" customFormat="1" customHeight="1" spans="1:55">
      <c r="A378" s="549">
        <v>46234</v>
      </c>
      <c r="B378" s="549" t="str">
        <f ca="1" t="shared" si="64"/>
        <v/>
      </c>
      <c r="C378" s="541" t="str">
        <f>VLOOKUP(H378,名称!A:E,4,0)</f>
        <v>三代</v>
      </c>
      <c r="D378" s="541" t="s">
        <v>1411</v>
      </c>
      <c r="E378" s="431" t="s">
        <v>1224</v>
      </c>
      <c r="F378" s="431" t="s">
        <v>839</v>
      </c>
      <c r="G378" s="541" t="s">
        <v>1066</v>
      </c>
      <c r="H378" s="541" t="s">
        <v>203</v>
      </c>
      <c r="I378" s="129"/>
      <c r="J378" s="586">
        <v>201</v>
      </c>
      <c r="K378" s="95">
        <f>VLOOKUP(H378,名称!A:C,2,0)</f>
        <v>0</v>
      </c>
      <c r="L378" s="96">
        <f t="shared" si="63"/>
        <v>0</v>
      </c>
      <c r="M378" s="541"/>
      <c r="N378" s="586"/>
      <c r="O378" s="549">
        <v>46241</v>
      </c>
      <c r="P378" s="549">
        <v>46241</v>
      </c>
      <c r="Q378" s="420" t="s">
        <v>1133</v>
      </c>
      <c r="R378" s="541"/>
      <c r="S378" s="420" t="s">
        <v>1133</v>
      </c>
      <c r="T378" s="541"/>
      <c r="U378" s="541"/>
      <c r="V378" s="541"/>
      <c r="W378" s="518" t="str">
        <f>IFERROR(VLOOKUP(H378,名称!A:F,6,0),"")</f>
        <v>湖南</v>
      </c>
      <c r="X378" s="431" t="s">
        <v>1133</v>
      </c>
      <c r="Y378" s="431" t="s">
        <v>1133</v>
      </c>
      <c r="Z378" s="431" t="s">
        <v>1133</v>
      </c>
      <c r="AA378" s="431" t="s">
        <v>1133</v>
      </c>
      <c r="AB378" s="431" t="s">
        <v>1133</v>
      </c>
      <c r="AC378" s="431" t="s">
        <v>1133</v>
      </c>
      <c r="AD378" s="431" t="s">
        <v>1133</v>
      </c>
      <c r="AE378" s="431" t="s">
        <v>510</v>
      </c>
      <c r="AF378" s="431" t="s">
        <v>1228</v>
      </c>
      <c r="AG378" s="431" t="s">
        <v>510</v>
      </c>
      <c r="AH378" s="431" t="s">
        <v>1307</v>
      </c>
      <c r="AI378" s="431" t="s">
        <v>1228</v>
      </c>
      <c r="AJ378" s="431" t="s">
        <v>1133</v>
      </c>
      <c r="AK378" s="431" t="s">
        <v>1133</v>
      </c>
      <c r="AL378" s="541"/>
      <c r="AM378" s="541"/>
      <c r="AN378" s="541" t="s">
        <v>1066</v>
      </c>
      <c r="AO378" s="624"/>
      <c r="AP378" s="625">
        <f t="shared" si="65"/>
        <v>0</v>
      </c>
      <c r="AQ378" s="625">
        <f t="shared" si="66"/>
        <v>0</v>
      </c>
      <c r="AR378" s="626"/>
      <c r="AS378" s="549"/>
      <c r="AT378" s="420" t="s">
        <v>839</v>
      </c>
      <c r="AU378" s="548"/>
      <c r="AV378" s="548"/>
      <c r="AW378" s="627"/>
      <c r="AX378" s="549"/>
      <c r="AY378" s="549"/>
      <c r="AZ378" s="549" t="s">
        <v>1256</v>
      </c>
      <c r="BA378" s="549"/>
      <c r="BB378" s="549" t="str">
        <f t="shared" si="67"/>
        <v>SKY Castle Toys, LLC</v>
      </c>
      <c r="BC378" s="549" t="str">
        <f t="shared" si="68"/>
        <v>美国</v>
      </c>
    </row>
    <row r="379" s="495" customFormat="1" customHeight="1" spans="1:55">
      <c r="A379" s="549">
        <v>46234</v>
      </c>
      <c r="B379" s="549" t="str">
        <f ca="1" t="shared" si="64"/>
        <v/>
      </c>
      <c r="C379" s="541" t="str">
        <f>VLOOKUP(H379,名称!A:E,4,0)</f>
        <v>三代</v>
      </c>
      <c r="D379" s="541" t="s">
        <v>1411</v>
      </c>
      <c r="E379" s="431" t="s">
        <v>1224</v>
      </c>
      <c r="F379" s="431" t="s">
        <v>839</v>
      </c>
      <c r="G379" s="541" t="s">
        <v>1067</v>
      </c>
      <c r="H379" s="541" t="s">
        <v>119</v>
      </c>
      <c r="I379" s="129"/>
      <c r="J379" s="586">
        <v>200</v>
      </c>
      <c r="K379" s="95">
        <f>VLOOKUP(H379,名称!A:C,2,0)</f>
        <v>5</v>
      </c>
      <c r="L379" s="96">
        <f t="shared" si="63"/>
        <v>1000</v>
      </c>
      <c r="M379" s="541"/>
      <c r="N379" s="586"/>
      <c r="O379" s="549">
        <v>46241</v>
      </c>
      <c r="P379" s="549">
        <v>46241</v>
      </c>
      <c r="Q379" s="420" t="s">
        <v>1133</v>
      </c>
      <c r="R379" s="541"/>
      <c r="S379" s="420" t="s">
        <v>1133</v>
      </c>
      <c r="T379" s="541"/>
      <c r="U379" s="541"/>
      <c r="V379" s="541"/>
      <c r="W379" s="518" t="str">
        <f>IFERROR(VLOOKUP(H379,名称!A:F,6,0),"")</f>
        <v>湖南</v>
      </c>
      <c r="X379" s="431" t="s">
        <v>1133</v>
      </c>
      <c r="Y379" s="431" t="s">
        <v>1133</v>
      </c>
      <c r="Z379" s="431" t="s">
        <v>1133</v>
      </c>
      <c r="AA379" s="431" t="s">
        <v>1133</v>
      </c>
      <c r="AB379" s="431" t="s">
        <v>1133</v>
      </c>
      <c r="AC379" s="431" t="s">
        <v>1133</v>
      </c>
      <c r="AD379" s="431" t="s">
        <v>1133</v>
      </c>
      <c r="AE379" s="431" t="s">
        <v>510</v>
      </c>
      <c r="AF379" s="431" t="s">
        <v>1228</v>
      </c>
      <c r="AG379" s="431" t="s">
        <v>510</v>
      </c>
      <c r="AH379" s="431" t="s">
        <v>1133</v>
      </c>
      <c r="AI379" s="431" t="s">
        <v>1228</v>
      </c>
      <c r="AJ379" s="431" t="s">
        <v>1133</v>
      </c>
      <c r="AK379" s="431" t="s">
        <v>510</v>
      </c>
      <c r="AL379" s="541"/>
      <c r="AM379" s="541"/>
      <c r="AN379" s="541" t="s">
        <v>1067</v>
      </c>
      <c r="AO379" s="624"/>
      <c r="AP379" s="625">
        <f t="shared" si="65"/>
        <v>0</v>
      </c>
      <c r="AQ379" s="625">
        <f t="shared" si="66"/>
        <v>0</v>
      </c>
      <c r="AR379" s="626"/>
      <c r="AS379" s="549"/>
      <c r="AT379" s="420" t="s">
        <v>839</v>
      </c>
      <c r="AU379" s="548"/>
      <c r="AV379" s="548"/>
      <c r="AW379" s="627"/>
      <c r="AX379" s="549"/>
      <c r="AY379" s="549"/>
      <c r="AZ379" s="549" t="s">
        <v>1256</v>
      </c>
      <c r="BA379" s="549"/>
      <c r="BB379" s="549" t="str">
        <f t="shared" si="67"/>
        <v>SKY Castle Toys, LLC</v>
      </c>
      <c r="BC379" s="549" t="str">
        <f t="shared" si="68"/>
        <v>美国</v>
      </c>
    </row>
    <row r="380" s="495" customFormat="1" customHeight="1" spans="1:55">
      <c r="A380" s="549">
        <v>46234</v>
      </c>
      <c r="B380" s="549" t="str">
        <f ca="1" t="shared" si="64"/>
        <v/>
      </c>
      <c r="C380" s="541" t="str">
        <f>VLOOKUP(H380,名称!A:E,4,0)</f>
        <v>三代</v>
      </c>
      <c r="D380" s="541" t="s">
        <v>1411</v>
      </c>
      <c r="E380" s="431" t="s">
        <v>1224</v>
      </c>
      <c r="F380" s="431" t="s">
        <v>839</v>
      </c>
      <c r="G380" s="541" t="s">
        <v>1069</v>
      </c>
      <c r="H380" s="541" t="s">
        <v>204</v>
      </c>
      <c r="I380" s="129"/>
      <c r="J380" s="586">
        <v>210</v>
      </c>
      <c r="K380" s="95">
        <f>VLOOKUP(H380,名称!A:C,2,0)</f>
        <v>0</v>
      </c>
      <c r="L380" s="96">
        <f t="shared" si="63"/>
        <v>0</v>
      </c>
      <c r="M380" s="541"/>
      <c r="N380" s="586"/>
      <c r="O380" s="549">
        <v>46241</v>
      </c>
      <c r="P380" s="549">
        <v>46241</v>
      </c>
      <c r="Q380" s="420" t="s">
        <v>1133</v>
      </c>
      <c r="R380" s="541"/>
      <c r="S380" s="420" t="s">
        <v>1133</v>
      </c>
      <c r="T380" s="541"/>
      <c r="U380" s="541"/>
      <c r="V380" s="541"/>
      <c r="W380" s="518" t="str">
        <f>IFERROR(VLOOKUP(H380,名称!A:F,6,0),"")</f>
        <v>湖南</v>
      </c>
      <c r="X380" s="431" t="s">
        <v>1133</v>
      </c>
      <c r="Y380" s="431" t="s">
        <v>1133</v>
      </c>
      <c r="Z380" s="431" t="s">
        <v>1133</v>
      </c>
      <c r="AA380" s="431" t="s">
        <v>1133</v>
      </c>
      <c r="AB380" s="431" t="s">
        <v>1133</v>
      </c>
      <c r="AC380" s="431" t="s">
        <v>1133</v>
      </c>
      <c r="AD380" s="431" t="s">
        <v>1133</v>
      </c>
      <c r="AE380" s="431" t="s">
        <v>510</v>
      </c>
      <c r="AF380" s="431" t="s">
        <v>1228</v>
      </c>
      <c r="AG380" s="431" t="s">
        <v>510</v>
      </c>
      <c r="AH380" s="431" t="s">
        <v>1133</v>
      </c>
      <c r="AI380" s="431" t="s">
        <v>1228</v>
      </c>
      <c r="AJ380" s="431" t="s">
        <v>1133</v>
      </c>
      <c r="AK380" s="431" t="s">
        <v>510</v>
      </c>
      <c r="AL380" s="541"/>
      <c r="AM380" s="541"/>
      <c r="AN380" s="541" t="s">
        <v>1069</v>
      </c>
      <c r="AO380" s="624"/>
      <c r="AP380" s="625">
        <f t="shared" si="65"/>
        <v>0</v>
      </c>
      <c r="AQ380" s="625">
        <f t="shared" si="66"/>
        <v>0</v>
      </c>
      <c r="AR380" s="626"/>
      <c r="AS380" s="549"/>
      <c r="AT380" s="420" t="s">
        <v>839</v>
      </c>
      <c r="AU380" s="548"/>
      <c r="AV380" s="548"/>
      <c r="AW380" s="627"/>
      <c r="AX380" s="549"/>
      <c r="AY380" s="549"/>
      <c r="AZ380" s="549" t="s">
        <v>1256</v>
      </c>
      <c r="BA380" s="549"/>
      <c r="BB380" s="549" t="str">
        <f t="shared" si="67"/>
        <v>SKY Castle Toys, LLC</v>
      </c>
      <c r="BC380" s="549" t="str">
        <f t="shared" si="68"/>
        <v>美国</v>
      </c>
    </row>
    <row r="381" s="495" customFormat="1" customHeight="1" spans="1:55">
      <c r="A381" s="549">
        <v>46234</v>
      </c>
      <c r="B381" s="549" t="str">
        <f ca="1" t="shared" si="64"/>
        <v/>
      </c>
      <c r="C381" s="541" t="str">
        <f>VLOOKUP(H381,名称!A:E,4,0)</f>
        <v>三代</v>
      </c>
      <c r="D381" s="541" t="s">
        <v>1411</v>
      </c>
      <c r="E381" s="431" t="s">
        <v>1224</v>
      </c>
      <c r="F381" s="431" t="s">
        <v>839</v>
      </c>
      <c r="G381" s="541" t="s">
        <v>1068</v>
      </c>
      <c r="H381" s="541" t="s">
        <v>89</v>
      </c>
      <c r="I381" s="129"/>
      <c r="J381" s="586">
        <v>250</v>
      </c>
      <c r="K381" s="95">
        <f>VLOOKUP(H381,名称!A:C,2,0)</f>
        <v>12</v>
      </c>
      <c r="L381" s="96">
        <f t="shared" si="63"/>
        <v>3000</v>
      </c>
      <c r="M381" s="541"/>
      <c r="N381" s="586"/>
      <c r="O381" s="549">
        <v>46241</v>
      </c>
      <c r="P381" s="549">
        <v>46241</v>
      </c>
      <c r="Q381" s="420" t="s">
        <v>1133</v>
      </c>
      <c r="R381" s="541"/>
      <c r="S381" s="420" t="s">
        <v>1133</v>
      </c>
      <c r="T381" s="541"/>
      <c r="U381" s="541"/>
      <c r="V381" s="541"/>
      <c r="W381" s="518" t="str">
        <f>IFERROR(VLOOKUP(H381,名称!A:F,6,0),"")</f>
        <v>东莞</v>
      </c>
      <c r="X381" s="431" t="s">
        <v>1133</v>
      </c>
      <c r="Y381" s="431" t="s">
        <v>1133</v>
      </c>
      <c r="Z381" s="431" t="s">
        <v>1133</v>
      </c>
      <c r="AA381" s="431" t="s">
        <v>1133</v>
      </c>
      <c r="AB381" s="431" t="s">
        <v>1133</v>
      </c>
      <c r="AC381" s="431" t="s">
        <v>1133</v>
      </c>
      <c r="AD381" s="431" t="s">
        <v>1133</v>
      </c>
      <c r="AE381" s="431" t="s">
        <v>510</v>
      </c>
      <c r="AF381" s="431" t="s">
        <v>1228</v>
      </c>
      <c r="AG381" s="431" t="s">
        <v>510</v>
      </c>
      <c r="AH381" s="431" t="s">
        <v>1307</v>
      </c>
      <c r="AI381" s="431" t="s">
        <v>1228</v>
      </c>
      <c r="AJ381" s="431" t="s">
        <v>510</v>
      </c>
      <c r="AK381" s="431" t="s">
        <v>1133</v>
      </c>
      <c r="AL381" s="541"/>
      <c r="AM381" s="541"/>
      <c r="AN381" s="541" t="s">
        <v>1068</v>
      </c>
      <c r="AO381" s="624"/>
      <c r="AP381" s="625">
        <f t="shared" si="65"/>
        <v>0</v>
      </c>
      <c r="AQ381" s="625">
        <f t="shared" si="66"/>
        <v>0</v>
      </c>
      <c r="AR381" s="626"/>
      <c r="AS381" s="549"/>
      <c r="AT381" s="420" t="s">
        <v>839</v>
      </c>
      <c r="AU381" s="548"/>
      <c r="AV381" s="548"/>
      <c r="AW381" s="627"/>
      <c r="AX381" s="549"/>
      <c r="AY381" s="549"/>
      <c r="AZ381" s="549" t="s">
        <v>1256</v>
      </c>
      <c r="BA381" s="549"/>
      <c r="BB381" s="549" t="str">
        <f t="shared" si="67"/>
        <v>SKY Castle Toys, LLC</v>
      </c>
      <c r="BC381" s="549" t="str">
        <f t="shared" si="68"/>
        <v>美国</v>
      </c>
    </row>
    <row r="382" s="495" customFormat="1" customHeight="1" spans="1:55">
      <c r="A382" s="549">
        <v>46234</v>
      </c>
      <c r="B382" s="549" t="str">
        <f ca="1" t="shared" si="64"/>
        <v/>
      </c>
      <c r="C382" s="541" t="str">
        <f>VLOOKUP(H382,名称!A:E,4,0)</f>
        <v>三代</v>
      </c>
      <c r="D382" s="431" t="s">
        <v>1257</v>
      </c>
      <c r="E382" s="431" t="s">
        <v>1258</v>
      </c>
      <c r="F382" s="431" t="s">
        <v>1070</v>
      </c>
      <c r="G382" s="431" t="s">
        <v>1071</v>
      </c>
      <c r="H382" s="431" t="s">
        <v>85</v>
      </c>
      <c r="I382" s="129"/>
      <c r="J382" s="586">
        <f>4200+3600</f>
        <v>7800</v>
      </c>
      <c r="K382" s="95">
        <f>VLOOKUP(H382,名称!A:C,2,0)</f>
        <v>5</v>
      </c>
      <c r="L382" s="96">
        <f t="shared" si="63"/>
        <v>39000</v>
      </c>
      <c r="M382" s="541">
        <f>VLOOKUP(H382,名称!A:E,3,0)</f>
        <v>24</v>
      </c>
      <c r="N382" s="586">
        <f t="shared" ref="N382:N389" si="69">J382/M382</f>
        <v>325</v>
      </c>
      <c r="O382" s="549">
        <v>46258</v>
      </c>
      <c r="P382" s="549">
        <v>46258</v>
      </c>
      <c r="Q382" s="549">
        <v>46258</v>
      </c>
      <c r="R382" s="541"/>
      <c r="S382" s="549">
        <v>46258</v>
      </c>
      <c r="T382" s="541"/>
      <c r="U382" s="541"/>
      <c r="V382" s="541"/>
      <c r="W382" s="518" t="str">
        <f>IFERROR(VLOOKUP(H382,名称!A:F,6,0),"")</f>
        <v>湖南</v>
      </c>
      <c r="X382" s="431" t="s">
        <v>1248</v>
      </c>
      <c r="Y382" s="478">
        <v>46237</v>
      </c>
      <c r="Z382" s="567">
        <v>46234</v>
      </c>
      <c r="AA382" s="567">
        <v>46234</v>
      </c>
      <c r="AB382" s="567">
        <v>46234</v>
      </c>
      <c r="AC382" s="431" t="s">
        <v>1133</v>
      </c>
      <c r="AD382" s="431" t="s">
        <v>1133</v>
      </c>
      <c r="AE382" s="431" t="s">
        <v>510</v>
      </c>
      <c r="AF382" s="541"/>
      <c r="AG382" s="431" t="s">
        <v>510</v>
      </c>
      <c r="AH382" s="431" t="s">
        <v>1133</v>
      </c>
      <c r="AI382" s="431" t="s">
        <v>1228</v>
      </c>
      <c r="AJ382" s="431" t="s">
        <v>1133</v>
      </c>
      <c r="AK382" s="431" t="s">
        <v>510</v>
      </c>
      <c r="AL382" s="431" t="s">
        <v>1228</v>
      </c>
      <c r="AM382" s="431" t="s">
        <v>1359</v>
      </c>
      <c r="AN382" s="431"/>
      <c r="AO382" s="624">
        <v>0.88</v>
      </c>
      <c r="AP382" s="625">
        <f t="shared" si="65"/>
        <v>6864</v>
      </c>
      <c r="AQ382" s="625">
        <f t="shared" si="66"/>
        <v>53196</v>
      </c>
      <c r="AR382" s="626"/>
      <c r="AS382" s="549"/>
      <c r="AT382" s="420" t="s">
        <v>1254</v>
      </c>
      <c r="AU382" s="548"/>
      <c r="AV382" s="548"/>
      <c r="AW382" s="639" t="s">
        <v>1228</v>
      </c>
      <c r="AX382" s="549"/>
      <c r="AY382" s="420" t="s">
        <v>1273</v>
      </c>
      <c r="AZ382" s="549" t="s">
        <v>1256</v>
      </c>
      <c r="BA382" s="549"/>
      <c r="BB382" s="549" t="str">
        <f t="shared" si="67"/>
        <v>Character Options</v>
      </c>
      <c r="BC382" s="549" t="str">
        <f t="shared" si="68"/>
        <v>英国</v>
      </c>
    </row>
    <row r="383" s="495" customFormat="1" customHeight="1" spans="1:55">
      <c r="A383" s="549">
        <v>46234</v>
      </c>
      <c r="B383" s="549" t="str">
        <f ca="1" t="shared" si="64"/>
        <v/>
      </c>
      <c r="C383" s="541" t="str">
        <f>VLOOKUP(H383,名称!A:E,4,0)</f>
        <v>三代</v>
      </c>
      <c r="D383" s="431" t="s">
        <v>1257</v>
      </c>
      <c r="E383" s="431" t="s">
        <v>1258</v>
      </c>
      <c r="F383" s="431" t="s">
        <v>1072</v>
      </c>
      <c r="G383" s="431" t="s">
        <v>1073</v>
      </c>
      <c r="H383" s="431" t="s">
        <v>84</v>
      </c>
      <c r="I383" s="129"/>
      <c r="J383" s="586">
        <v>36000</v>
      </c>
      <c r="K383" s="95">
        <f>VLOOKUP(H383,名称!A:C,2,0)</f>
        <v>5</v>
      </c>
      <c r="L383" s="96">
        <f t="shared" si="63"/>
        <v>180000</v>
      </c>
      <c r="M383" s="541">
        <f>VLOOKUP(H383,名称!A:E,3,0)</f>
        <v>18</v>
      </c>
      <c r="N383" s="586">
        <f t="shared" si="69"/>
        <v>2000</v>
      </c>
      <c r="O383" s="549">
        <v>46290</v>
      </c>
      <c r="P383" s="549">
        <v>46290</v>
      </c>
      <c r="Q383" s="549">
        <v>46290</v>
      </c>
      <c r="R383" s="541"/>
      <c r="S383" s="566">
        <v>46289</v>
      </c>
      <c r="T383" s="541"/>
      <c r="U383" s="541"/>
      <c r="V383" s="541"/>
      <c r="W383" s="518" t="str">
        <f>IFERROR(VLOOKUP(H383,名称!A:F,6,0),"")</f>
        <v>湖南</v>
      </c>
      <c r="X383" s="431" t="s">
        <v>1133</v>
      </c>
      <c r="Y383" s="431" t="s">
        <v>1133</v>
      </c>
      <c r="Z383" s="431" t="s">
        <v>1249</v>
      </c>
      <c r="AA383" s="552">
        <v>46240</v>
      </c>
      <c r="AB383" s="567">
        <v>46244</v>
      </c>
      <c r="AC383" s="541" t="s">
        <v>1133</v>
      </c>
      <c r="AD383" s="541" t="s">
        <v>1133</v>
      </c>
      <c r="AE383" s="431" t="s">
        <v>334</v>
      </c>
      <c r="AF383" s="541"/>
      <c r="AG383" s="431" t="s">
        <v>510</v>
      </c>
      <c r="AH383" s="431" t="s">
        <v>1133</v>
      </c>
      <c r="AI383" s="431" t="s">
        <v>1228</v>
      </c>
      <c r="AJ383" s="431" t="s">
        <v>1133</v>
      </c>
      <c r="AK383" s="431" t="s">
        <v>334</v>
      </c>
      <c r="AL383" s="431" t="s">
        <v>1469</v>
      </c>
      <c r="AM383" s="431" t="s">
        <v>1484</v>
      </c>
      <c r="AN383" s="431" t="s">
        <v>1485</v>
      </c>
      <c r="AO383" s="624">
        <v>0.88</v>
      </c>
      <c r="AP383" s="625">
        <f t="shared" si="65"/>
        <v>31680</v>
      </c>
      <c r="AQ383" s="625">
        <f t="shared" si="66"/>
        <v>245520</v>
      </c>
      <c r="AR383" s="626"/>
      <c r="AS383" s="549"/>
      <c r="AT383" s="420" t="s">
        <v>1310</v>
      </c>
      <c r="AU383" s="548"/>
      <c r="AV383" s="548"/>
      <c r="AW383" s="627"/>
      <c r="AX383" s="549"/>
      <c r="AY383" s="420" t="s">
        <v>1273</v>
      </c>
      <c r="AZ383" s="420" t="s">
        <v>1274</v>
      </c>
      <c r="BA383" s="549"/>
      <c r="BB383" s="549" t="str">
        <f t="shared" si="67"/>
        <v>Character Options</v>
      </c>
      <c r="BC383" s="549" t="str">
        <f t="shared" si="68"/>
        <v>英国</v>
      </c>
    </row>
    <row r="384" s="498" customFormat="1" customHeight="1" spans="1:55">
      <c r="A384" s="549">
        <v>46237</v>
      </c>
      <c r="B384" s="549" t="str">
        <f ca="1" t="shared" si="64"/>
        <v/>
      </c>
      <c r="C384" s="541" t="str">
        <f>VLOOKUP(H384,名称!A:E,4,0)</f>
        <v>三代</v>
      </c>
      <c r="D384" s="431" t="s">
        <v>1444</v>
      </c>
      <c r="E384" s="431" t="s">
        <v>1224</v>
      </c>
      <c r="F384" s="431" t="s">
        <v>1078</v>
      </c>
      <c r="G384" s="431" t="s">
        <v>1079</v>
      </c>
      <c r="H384" s="431" t="s">
        <v>99</v>
      </c>
      <c r="I384" s="129"/>
      <c r="J384" s="586">
        <v>28872</v>
      </c>
      <c r="K384" s="95"/>
      <c r="L384" s="96"/>
      <c r="M384" s="541">
        <f>VLOOKUP(H384,名称!A:E,3,0)</f>
        <v>24</v>
      </c>
      <c r="N384" s="586">
        <f t="shared" si="69"/>
        <v>1203</v>
      </c>
      <c r="O384" s="549">
        <v>46303</v>
      </c>
      <c r="P384" s="549">
        <v>46303</v>
      </c>
      <c r="Q384" s="549">
        <v>46303</v>
      </c>
      <c r="R384" s="541"/>
      <c r="S384" s="420" t="s">
        <v>1133</v>
      </c>
      <c r="T384" s="541"/>
      <c r="U384" s="541"/>
      <c r="V384" s="541"/>
      <c r="W384" s="518" t="str">
        <f>IFERROR(VLOOKUP(H384,名称!A:F,6,0),"")</f>
        <v>湖南</v>
      </c>
      <c r="X384" s="431" t="s">
        <v>1133</v>
      </c>
      <c r="Y384" s="431" t="s">
        <v>1133</v>
      </c>
      <c r="Z384" s="431" t="s">
        <v>1249</v>
      </c>
      <c r="AA384" s="552">
        <v>46246</v>
      </c>
      <c r="AB384" s="552">
        <v>46246</v>
      </c>
      <c r="AC384" s="431" t="s">
        <v>1284</v>
      </c>
      <c r="AD384" s="431" t="s">
        <v>1228</v>
      </c>
      <c r="AE384" s="431" t="s">
        <v>510</v>
      </c>
      <c r="AF384" s="431" t="s">
        <v>1228</v>
      </c>
      <c r="AG384" s="431" t="s">
        <v>510</v>
      </c>
      <c r="AH384" s="431" t="s">
        <v>1307</v>
      </c>
      <c r="AI384" s="431" t="s">
        <v>1228</v>
      </c>
      <c r="AJ384" s="431" t="s">
        <v>1133</v>
      </c>
      <c r="AK384" s="431" t="s">
        <v>1133</v>
      </c>
      <c r="AL384" s="541"/>
      <c r="AM384" s="541"/>
      <c r="AN384" s="541"/>
      <c r="AO384" s="624">
        <v>0.87</v>
      </c>
      <c r="AP384" s="625">
        <f t="shared" si="65"/>
        <v>25118.64</v>
      </c>
      <c r="AQ384" s="625">
        <f t="shared" si="66"/>
        <v>194669.46</v>
      </c>
      <c r="AR384" s="626"/>
      <c r="AS384" s="549"/>
      <c r="AT384" s="420" t="s">
        <v>1220</v>
      </c>
      <c r="AU384" s="548"/>
      <c r="AV384" s="548"/>
      <c r="AW384" s="627"/>
      <c r="AX384" s="549"/>
      <c r="AY384" s="420" t="s">
        <v>1255</v>
      </c>
      <c r="AZ384" s="420" t="s">
        <v>1256</v>
      </c>
      <c r="BA384" s="549"/>
      <c r="BB384" s="549" t="str">
        <f t="shared" si="67"/>
        <v>Toysmith</v>
      </c>
      <c r="BC384" s="549" t="str">
        <f t="shared" si="68"/>
        <v>美国</v>
      </c>
    </row>
    <row r="385" s="498" customFormat="1" customHeight="1" spans="1:55">
      <c r="A385" s="549">
        <v>46237</v>
      </c>
      <c r="B385" s="549" t="str">
        <f ca="1" t="shared" si="64"/>
        <v/>
      </c>
      <c r="C385" s="541" t="str">
        <f>VLOOKUP(H385,名称!A:E,4,0)</f>
        <v>三代</v>
      </c>
      <c r="D385" s="431" t="s">
        <v>1444</v>
      </c>
      <c r="E385" s="431" t="s">
        <v>1224</v>
      </c>
      <c r="F385" s="431" t="s">
        <v>1078</v>
      </c>
      <c r="G385" s="431" t="s">
        <v>1079</v>
      </c>
      <c r="H385" s="431" t="s">
        <v>67</v>
      </c>
      <c r="I385" s="129"/>
      <c r="J385" s="586">
        <v>10068</v>
      </c>
      <c r="K385" s="95"/>
      <c r="L385" s="96"/>
      <c r="M385" s="541">
        <f>VLOOKUP(H385,名称!A:E,3,0)</f>
        <v>6</v>
      </c>
      <c r="N385" s="586">
        <f t="shared" si="69"/>
        <v>1678</v>
      </c>
      <c r="O385" s="549">
        <v>46303</v>
      </c>
      <c r="P385" s="549">
        <v>46303</v>
      </c>
      <c r="Q385" s="549">
        <v>46303</v>
      </c>
      <c r="R385" s="541"/>
      <c r="S385" s="420" t="s">
        <v>1133</v>
      </c>
      <c r="T385" s="541"/>
      <c r="U385" s="541"/>
      <c r="V385" s="541"/>
      <c r="W385" s="518" t="str">
        <f>IFERROR(VLOOKUP(H385,名称!A:F,6,0),"")</f>
        <v>湖南</v>
      </c>
      <c r="X385" s="431" t="s">
        <v>1133</v>
      </c>
      <c r="Y385" s="431" t="s">
        <v>1133</v>
      </c>
      <c r="Z385" s="431" t="s">
        <v>1249</v>
      </c>
      <c r="AA385" s="552">
        <v>46246</v>
      </c>
      <c r="AB385" s="552">
        <v>46246</v>
      </c>
      <c r="AC385" s="431" t="s">
        <v>1318</v>
      </c>
      <c r="AD385" s="431" t="s">
        <v>1228</v>
      </c>
      <c r="AE385" s="431" t="s">
        <v>510</v>
      </c>
      <c r="AF385" s="431" t="s">
        <v>1228</v>
      </c>
      <c r="AG385" s="431" t="s">
        <v>510</v>
      </c>
      <c r="AH385" s="431" t="s">
        <v>1307</v>
      </c>
      <c r="AI385" s="431" t="s">
        <v>1228</v>
      </c>
      <c r="AJ385" s="431" t="s">
        <v>510</v>
      </c>
      <c r="AK385" s="431" t="s">
        <v>1133</v>
      </c>
      <c r="AL385" s="541"/>
      <c r="AM385" s="541"/>
      <c r="AN385" s="541"/>
      <c r="AO385" s="624">
        <v>2.02</v>
      </c>
      <c r="AP385" s="625">
        <f t="shared" si="65"/>
        <v>20337.36</v>
      </c>
      <c r="AQ385" s="625">
        <f t="shared" si="66"/>
        <v>157614.54</v>
      </c>
      <c r="AR385" s="626"/>
      <c r="AS385" s="549"/>
      <c r="AT385" s="420" t="s">
        <v>1313</v>
      </c>
      <c r="AU385" s="548"/>
      <c r="AV385" s="548"/>
      <c r="AW385" s="627"/>
      <c r="AX385" s="549"/>
      <c r="AY385" s="420" t="s">
        <v>1255</v>
      </c>
      <c r="AZ385" s="420" t="s">
        <v>1256</v>
      </c>
      <c r="BA385" s="549"/>
      <c r="BB385" s="549" t="str">
        <f t="shared" si="67"/>
        <v>Toysmith</v>
      </c>
      <c r="BC385" s="549" t="str">
        <f t="shared" si="68"/>
        <v>美国</v>
      </c>
    </row>
    <row r="386" s="498" customFormat="1" customHeight="1" spans="1:55">
      <c r="A386" s="549">
        <v>46237</v>
      </c>
      <c r="B386" s="549" t="str">
        <f ca="1" t="shared" si="64"/>
        <v/>
      </c>
      <c r="C386" s="541" t="str">
        <f>VLOOKUP(H386,名称!A:E,4,0)</f>
        <v>三代</v>
      </c>
      <c r="D386" s="431" t="s">
        <v>1444</v>
      </c>
      <c r="E386" s="431" t="s">
        <v>1224</v>
      </c>
      <c r="F386" s="431" t="s">
        <v>1078</v>
      </c>
      <c r="G386" s="431" t="s">
        <v>1079</v>
      </c>
      <c r="H386" s="431" t="s">
        <v>72</v>
      </c>
      <c r="I386" s="129"/>
      <c r="J386" s="586">
        <v>6420</v>
      </c>
      <c r="K386" s="95"/>
      <c r="L386" s="96"/>
      <c r="M386" s="541">
        <f>VLOOKUP(H386,名称!A:E,3,0)</f>
        <v>12</v>
      </c>
      <c r="N386" s="586">
        <f t="shared" si="69"/>
        <v>535</v>
      </c>
      <c r="O386" s="549">
        <v>46303</v>
      </c>
      <c r="P386" s="549">
        <v>46303</v>
      </c>
      <c r="Q386" s="549">
        <v>46303</v>
      </c>
      <c r="R386" s="541"/>
      <c r="S386" s="420" t="s">
        <v>1133</v>
      </c>
      <c r="T386" s="541"/>
      <c r="U386" s="541"/>
      <c r="V386" s="541"/>
      <c r="W386" s="518" t="str">
        <f>IFERROR(VLOOKUP(H386,名称!A:F,6,0),"")</f>
        <v>湖南</v>
      </c>
      <c r="X386" s="431" t="s">
        <v>1133</v>
      </c>
      <c r="Y386" s="431" t="s">
        <v>1133</v>
      </c>
      <c r="Z386" s="431" t="s">
        <v>1249</v>
      </c>
      <c r="AA386" s="552">
        <v>46246</v>
      </c>
      <c r="AB386" s="552">
        <v>46246</v>
      </c>
      <c r="AC386" s="431" t="s">
        <v>1302</v>
      </c>
      <c r="AD386" s="431" t="s">
        <v>1133</v>
      </c>
      <c r="AE386" s="431" t="s">
        <v>510</v>
      </c>
      <c r="AF386" s="431" t="s">
        <v>1228</v>
      </c>
      <c r="AG386" s="431" t="s">
        <v>510</v>
      </c>
      <c r="AH386" s="431" t="s">
        <v>1307</v>
      </c>
      <c r="AI386" s="431" t="s">
        <v>1228</v>
      </c>
      <c r="AJ386" s="431" t="s">
        <v>1133</v>
      </c>
      <c r="AK386" s="431" t="s">
        <v>1133</v>
      </c>
      <c r="AL386" s="541"/>
      <c r="AM386" s="541"/>
      <c r="AN386" s="541"/>
      <c r="AO386" s="624">
        <v>1.49</v>
      </c>
      <c r="AP386" s="625">
        <f t="shared" si="65"/>
        <v>9565.8</v>
      </c>
      <c r="AQ386" s="625">
        <f t="shared" si="66"/>
        <v>74134.95</v>
      </c>
      <c r="AR386" s="626"/>
      <c r="AS386" s="549"/>
      <c r="AT386" s="420" t="s">
        <v>1220</v>
      </c>
      <c r="AU386" s="548"/>
      <c r="AV386" s="548"/>
      <c r="AW386" s="627"/>
      <c r="AX386" s="549"/>
      <c r="AY386" s="420" t="s">
        <v>1255</v>
      </c>
      <c r="AZ386" s="420" t="s">
        <v>1256</v>
      </c>
      <c r="BA386" s="549"/>
      <c r="BB386" s="549" t="str">
        <f t="shared" si="67"/>
        <v>Toysmith</v>
      </c>
      <c r="BC386" s="549" t="str">
        <f t="shared" si="68"/>
        <v>美国</v>
      </c>
    </row>
    <row r="387" s="498" customFormat="1" customHeight="1" spans="1:55">
      <c r="A387" s="549">
        <v>46237</v>
      </c>
      <c r="B387" s="549" t="str">
        <f ca="1" t="shared" si="64"/>
        <v/>
      </c>
      <c r="C387" s="541" t="str">
        <f>VLOOKUP(H387,名称!A:E,4,0)</f>
        <v>三代</v>
      </c>
      <c r="D387" s="431" t="s">
        <v>1444</v>
      </c>
      <c r="E387" s="431" t="s">
        <v>1224</v>
      </c>
      <c r="F387" s="431" t="s">
        <v>1078</v>
      </c>
      <c r="G387" s="431" t="s">
        <v>1079</v>
      </c>
      <c r="H387" s="431" t="s">
        <v>85</v>
      </c>
      <c r="I387" s="129"/>
      <c r="J387" s="586">
        <v>18000</v>
      </c>
      <c r="K387" s="95"/>
      <c r="L387" s="96"/>
      <c r="M387" s="541">
        <f>VLOOKUP(H387,名称!A:E,3,0)</f>
        <v>24</v>
      </c>
      <c r="N387" s="586">
        <f t="shared" si="69"/>
        <v>750</v>
      </c>
      <c r="O387" s="549">
        <v>46303</v>
      </c>
      <c r="P387" s="549">
        <v>46303</v>
      </c>
      <c r="Q387" s="549">
        <v>46303</v>
      </c>
      <c r="R387" s="541"/>
      <c r="S387" s="420" t="s">
        <v>1133</v>
      </c>
      <c r="T387" s="541"/>
      <c r="U387" s="541"/>
      <c r="V387" s="541"/>
      <c r="W387" s="518" t="str">
        <f>IFERROR(VLOOKUP(H387,名称!A:F,6,0),"")</f>
        <v>湖南</v>
      </c>
      <c r="X387" s="431" t="s">
        <v>1133</v>
      </c>
      <c r="Y387" s="431" t="s">
        <v>1133</v>
      </c>
      <c r="Z387" s="431" t="s">
        <v>1249</v>
      </c>
      <c r="AA387" s="552">
        <v>46246</v>
      </c>
      <c r="AB387" s="552">
        <v>46246</v>
      </c>
      <c r="AC387" s="431" t="s">
        <v>1133</v>
      </c>
      <c r="AD387" s="431" t="s">
        <v>1133</v>
      </c>
      <c r="AE387" s="431" t="s">
        <v>510</v>
      </c>
      <c r="AF387" s="431" t="s">
        <v>1228</v>
      </c>
      <c r="AG387" s="431" t="s">
        <v>510</v>
      </c>
      <c r="AH387" s="431" t="s">
        <v>1133</v>
      </c>
      <c r="AI387" s="431" t="s">
        <v>1228</v>
      </c>
      <c r="AJ387" s="431" t="s">
        <v>1133</v>
      </c>
      <c r="AK387" s="431" t="s">
        <v>510</v>
      </c>
      <c r="AL387" s="541"/>
      <c r="AM387" s="541"/>
      <c r="AN387" s="541"/>
      <c r="AO387" s="624">
        <v>0.88</v>
      </c>
      <c r="AP387" s="625">
        <f t="shared" si="65"/>
        <v>15840</v>
      </c>
      <c r="AQ387" s="625">
        <f t="shared" si="66"/>
        <v>122760</v>
      </c>
      <c r="AR387" s="626"/>
      <c r="AS387" s="549"/>
      <c r="AT387" s="420" t="s">
        <v>1220</v>
      </c>
      <c r="AU387" s="548"/>
      <c r="AV387" s="548"/>
      <c r="AW387" s="627"/>
      <c r="AX387" s="549"/>
      <c r="AY387" s="420" t="s">
        <v>1255</v>
      </c>
      <c r="AZ387" s="420" t="s">
        <v>1256</v>
      </c>
      <c r="BA387" s="549"/>
      <c r="BB387" s="549" t="str">
        <f t="shared" si="67"/>
        <v>Toysmith</v>
      </c>
      <c r="BC387" s="549" t="str">
        <f t="shared" si="68"/>
        <v>美国</v>
      </c>
    </row>
    <row r="388" s="498" customFormat="1" customHeight="1" spans="1:55">
      <c r="A388" s="549">
        <v>46237</v>
      </c>
      <c r="B388" s="549" t="str">
        <f ca="1" t="shared" si="64"/>
        <v/>
      </c>
      <c r="C388" s="541" t="str">
        <f>VLOOKUP(H388,名称!A:E,4,0)</f>
        <v>三代</v>
      </c>
      <c r="D388" s="431" t="s">
        <v>1444</v>
      </c>
      <c r="E388" s="431" t="s">
        <v>1224</v>
      </c>
      <c r="F388" s="431" t="s">
        <v>1078</v>
      </c>
      <c r="G388" s="431" t="s">
        <v>1079</v>
      </c>
      <c r="H388" s="431" t="s">
        <v>98</v>
      </c>
      <c r="I388" s="129"/>
      <c r="J388" s="586">
        <v>3000</v>
      </c>
      <c r="K388" s="95"/>
      <c r="L388" s="96"/>
      <c r="M388" s="541">
        <f>VLOOKUP(H388,名称!A:E,3,0)</f>
        <v>12</v>
      </c>
      <c r="N388" s="586">
        <f t="shared" si="69"/>
        <v>250</v>
      </c>
      <c r="O388" s="549">
        <v>46303</v>
      </c>
      <c r="P388" s="549">
        <v>46303</v>
      </c>
      <c r="Q388" s="549">
        <v>46303</v>
      </c>
      <c r="R388" s="541"/>
      <c r="S388" s="420" t="s">
        <v>1133</v>
      </c>
      <c r="T388" s="541"/>
      <c r="U388" s="541"/>
      <c r="V388" s="541"/>
      <c r="W388" s="518" t="str">
        <f>IFERROR(VLOOKUP(H388,名称!A:F,6,0),"")</f>
        <v>湖南</v>
      </c>
      <c r="X388" s="431" t="s">
        <v>1133</v>
      </c>
      <c r="Y388" s="431" t="s">
        <v>1133</v>
      </c>
      <c r="Z388" s="431" t="s">
        <v>1249</v>
      </c>
      <c r="AA388" s="552">
        <v>46246</v>
      </c>
      <c r="AB388" s="552">
        <v>46246</v>
      </c>
      <c r="AC388" s="431" t="s">
        <v>1302</v>
      </c>
      <c r="AD388" s="431" t="s">
        <v>1133</v>
      </c>
      <c r="AE388" s="431" t="s">
        <v>510</v>
      </c>
      <c r="AF388" s="431" t="s">
        <v>1228</v>
      </c>
      <c r="AG388" s="431" t="s">
        <v>510</v>
      </c>
      <c r="AH388" s="431" t="s">
        <v>1307</v>
      </c>
      <c r="AI388" s="431" t="s">
        <v>1228</v>
      </c>
      <c r="AJ388" s="431" t="s">
        <v>1133</v>
      </c>
      <c r="AK388" s="431" t="s">
        <v>1133</v>
      </c>
      <c r="AL388" s="541"/>
      <c r="AM388" s="541"/>
      <c r="AN388" s="541"/>
      <c r="AO388" s="624">
        <v>1.49</v>
      </c>
      <c r="AP388" s="625">
        <f t="shared" si="65"/>
        <v>4470</v>
      </c>
      <c r="AQ388" s="625">
        <f t="shared" si="66"/>
        <v>34642.5</v>
      </c>
      <c r="AR388" s="626"/>
      <c r="AS388" s="549"/>
      <c r="AT388" s="420" t="s">
        <v>1220</v>
      </c>
      <c r="AU388" s="548"/>
      <c r="AV388" s="548"/>
      <c r="AW388" s="627"/>
      <c r="AX388" s="549"/>
      <c r="AY388" s="420" t="s">
        <v>1255</v>
      </c>
      <c r="AZ388" s="420" t="s">
        <v>1256</v>
      </c>
      <c r="BA388" s="549"/>
      <c r="BB388" s="549" t="str">
        <f t="shared" si="67"/>
        <v>Toysmith</v>
      </c>
      <c r="BC388" s="549" t="str">
        <f t="shared" si="68"/>
        <v>美国</v>
      </c>
    </row>
    <row r="389" s="498" customFormat="1" customHeight="1" spans="1:55">
      <c r="A389" s="549">
        <v>46237</v>
      </c>
      <c r="B389" s="549" t="str">
        <f ca="1" t="shared" si="64"/>
        <v>异常</v>
      </c>
      <c r="C389" s="541" t="str">
        <f>VLOOKUP(H389,名称!A:E,4,0)</f>
        <v>三代</v>
      </c>
      <c r="D389" s="431" t="s">
        <v>1330</v>
      </c>
      <c r="E389" s="431" t="s">
        <v>1224</v>
      </c>
      <c r="F389" s="541"/>
      <c r="G389" s="431" t="s">
        <v>1080</v>
      </c>
      <c r="H389" s="431" t="s">
        <v>205</v>
      </c>
      <c r="I389" s="129"/>
      <c r="J389" s="586">
        <v>10050</v>
      </c>
      <c r="K389" s="95"/>
      <c r="L389" s="96"/>
      <c r="M389" s="541">
        <f>VLOOKUP(H389,名称!A:E,3,0)</f>
        <v>150</v>
      </c>
      <c r="N389" s="586">
        <f t="shared" si="69"/>
        <v>67</v>
      </c>
      <c r="O389" s="549"/>
      <c r="P389" s="549">
        <v>46295</v>
      </c>
      <c r="Q389" s="549"/>
      <c r="R389" s="541"/>
      <c r="S389" s="549"/>
      <c r="T389" s="541"/>
      <c r="U389" s="541"/>
      <c r="V389" s="541"/>
      <c r="W389" s="518" t="str">
        <f>IFERROR(VLOOKUP(H389,名称!A:F,6,0),"")</f>
        <v>湖南</v>
      </c>
      <c r="X389" s="541"/>
      <c r="Y389" s="541"/>
      <c r="Z389" s="541"/>
      <c r="AA389" s="552"/>
      <c r="AB389" s="541"/>
      <c r="AC389" s="541"/>
      <c r="AD389" s="541"/>
      <c r="AE389" s="541"/>
      <c r="AF389" s="541"/>
      <c r="AG389" s="541"/>
      <c r="AH389" s="541"/>
      <c r="AI389" s="541"/>
      <c r="AJ389" s="541"/>
      <c r="AK389" s="541"/>
      <c r="AL389" s="541"/>
      <c r="AM389" s="541"/>
      <c r="AN389" s="541"/>
      <c r="AO389" s="624">
        <v>0.63</v>
      </c>
      <c r="AP389" s="625">
        <f t="shared" si="65"/>
        <v>6331.5</v>
      </c>
      <c r="AQ389" s="625">
        <f t="shared" si="66"/>
        <v>49069.13</v>
      </c>
      <c r="AR389" s="626"/>
      <c r="AS389" s="549"/>
      <c r="AT389" s="420" t="s">
        <v>1310</v>
      </c>
      <c r="AU389" s="548"/>
      <c r="AV389" s="548"/>
      <c r="AW389" s="627"/>
      <c r="AX389" s="549"/>
      <c r="AY389" s="420" t="s">
        <v>1317</v>
      </c>
      <c r="AZ389" s="420" t="s">
        <v>1486</v>
      </c>
      <c r="BA389" s="549"/>
      <c r="BB389" s="549" t="str">
        <f t="shared" si="67"/>
        <v>Amazon</v>
      </c>
      <c r="BC389" s="549" t="str">
        <f t="shared" si="68"/>
        <v>美国</v>
      </c>
    </row>
    <row r="390" s="498" customFormat="1" customHeight="1" spans="1:55">
      <c r="A390" s="549">
        <v>46238</v>
      </c>
      <c r="B390" s="549" t="str">
        <f ca="1" t="shared" ref="B390:B401" si="70">IF(TODAY()-5&gt;=A390,IF(AB390="","异常",""),"")</f>
        <v/>
      </c>
      <c r="C390" s="541"/>
      <c r="D390" s="431" t="s">
        <v>1352</v>
      </c>
      <c r="E390" s="431" t="s">
        <v>1224</v>
      </c>
      <c r="F390" s="431" t="s">
        <v>839</v>
      </c>
      <c r="G390" s="431" t="s">
        <v>1083</v>
      </c>
      <c r="H390" s="541" t="s">
        <v>181</v>
      </c>
      <c r="I390" s="129"/>
      <c r="J390" s="586">
        <v>280</v>
      </c>
      <c r="K390" s="95"/>
      <c r="L390" s="96"/>
      <c r="M390" s="541"/>
      <c r="N390" s="586"/>
      <c r="O390" s="549">
        <v>46246</v>
      </c>
      <c r="P390" s="549">
        <v>46246</v>
      </c>
      <c r="Q390" s="420" t="s">
        <v>1133</v>
      </c>
      <c r="R390" s="541"/>
      <c r="S390" s="420" t="s">
        <v>1133</v>
      </c>
      <c r="T390" s="541"/>
      <c r="U390" s="541"/>
      <c r="V390" s="541"/>
      <c r="W390" s="518" t="str">
        <f>IFERROR(VLOOKUP(H390,名称!A:F,6,0),"")</f>
        <v>湖南</v>
      </c>
      <c r="X390" s="431" t="s">
        <v>1133</v>
      </c>
      <c r="Y390" s="431" t="s">
        <v>1133</v>
      </c>
      <c r="Z390" s="431" t="s">
        <v>1133</v>
      </c>
      <c r="AA390" s="431" t="s">
        <v>1133</v>
      </c>
      <c r="AB390" s="431" t="s">
        <v>1133</v>
      </c>
      <c r="AC390" s="431" t="s">
        <v>1133</v>
      </c>
      <c r="AD390" s="431" t="s">
        <v>1133</v>
      </c>
      <c r="AE390" s="431" t="s">
        <v>510</v>
      </c>
      <c r="AF390" s="431" t="s">
        <v>1228</v>
      </c>
      <c r="AG390" s="431" t="s">
        <v>1487</v>
      </c>
      <c r="AH390" s="431" t="s">
        <v>1133</v>
      </c>
      <c r="AI390" s="431" t="s">
        <v>1228</v>
      </c>
      <c r="AJ390" s="431" t="s">
        <v>1133</v>
      </c>
      <c r="AK390" s="431" t="s">
        <v>510</v>
      </c>
      <c r="AL390" s="541"/>
      <c r="AM390" s="541"/>
      <c r="AN390" s="431" t="s">
        <v>1083</v>
      </c>
      <c r="AO390" s="624"/>
      <c r="AP390" s="625">
        <f t="shared" si="65"/>
        <v>0</v>
      </c>
      <c r="AQ390" s="625">
        <f t="shared" si="66"/>
        <v>0</v>
      </c>
      <c r="AR390" s="626"/>
      <c r="AS390" s="549"/>
      <c r="AT390" s="420" t="s">
        <v>839</v>
      </c>
      <c r="AU390" s="548"/>
      <c r="AV390" s="548"/>
      <c r="AW390" s="627"/>
      <c r="AX390" s="549"/>
      <c r="AY390" s="549"/>
      <c r="AZ390" s="420" t="s">
        <v>1256</v>
      </c>
      <c r="BA390" s="549"/>
      <c r="BB390" s="549" t="str">
        <f t="shared" si="67"/>
        <v>Sky Castle Toys, LLC</v>
      </c>
      <c r="BC390" s="549" t="str">
        <f t="shared" si="68"/>
        <v>美国</v>
      </c>
    </row>
    <row r="391" s="498" customFormat="1" customHeight="1" spans="1:55">
      <c r="A391" s="549">
        <v>46238</v>
      </c>
      <c r="B391" s="549" t="str">
        <f ca="1" t="shared" si="70"/>
        <v/>
      </c>
      <c r="C391" s="541"/>
      <c r="D391" s="431" t="s">
        <v>1352</v>
      </c>
      <c r="E391" s="431" t="s">
        <v>1224</v>
      </c>
      <c r="F391" s="431" t="s">
        <v>839</v>
      </c>
      <c r="G391" s="541" t="s">
        <v>1084</v>
      </c>
      <c r="H391" s="541" t="s">
        <v>1085</v>
      </c>
      <c r="I391" s="129"/>
      <c r="J391" s="586">
        <v>112</v>
      </c>
      <c r="K391" s="95"/>
      <c r="L391" s="96"/>
      <c r="M391" s="541"/>
      <c r="N391" s="586"/>
      <c r="O391" s="549">
        <v>46246</v>
      </c>
      <c r="P391" s="549">
        <v>46246</v>
      </c>
      <c r="Q391" s="420" t="s">
        <v>1133</v>
      </c>
      <c r="R391" s="541"/>
      <c r="S391" s="420" t="s">
        <v>1133</v>
      </c>
      <c r="T391" s="541"/>
      <c r="U391" s="541"/>
      <c r="V391" s="541"/>
      <c r="W391" s="518" t="str">
        <f>IFERROR(VLOOKUP(H391,名称!A:F,6,0),"")</f>
        <v/>
      </c>
      <c r="X391" s="431" t="s">
        <v>1133</v>
      </c>
      <c r="Y391" s="431" t="s">
        <v>1133</v>
      </c>
      <c r="Z391" s="431" t="s">
        <v>1133</v>
      </c>
      <c r="AA391" s="431" t="s">
        <v>1133</v>
      </c>
      <c r="AB391" s="431" t="s">
        <v>1133</v>
      </c>
      <c r="AC391" s="431" t="s">
        <v>1133</v>
      </c>
      <c r="AD391" s="431" t="s">
        <v>1133</v>
      </c>
      <c r="AE391" s="431" t="s">
        <v>510</v>
      </c>
      <c r="AF391" s="431" t="s">
        <v>1228</v>
      </c>
      <c r="AG391" s="431" t="s">
        <v>1487</v>
      </c>
      <c r="AH391" s="431" t="s">
        <v>1133</v>
      </c>
      <c r="AI391" s="431" t="s">
        <v>1228</v>
      </c>
      <c r="AJ391" s="431" t="s">
        <v>1133</v>
      </c>
      <c r="AK391" s="431" t="s">
        <v>510</v>
      </c>
      <c r="AL391" s="541"/>
      <c r="AM391" s="541"/>
      <c r="AN391" s="541" t="s">
        <v>1084</v>
      </c>
      <c r="AO391" s="624"/>
      <c r="AP391" s="625">
        <f t="shared" si="65"/>
        <v>0</v>
      </c>
      <c r="AQ391" s="625">
        <f t="shared" si="66"/>
        <v>0</v>
      </c>
      <c r="AR391" s="626"/>
      <c r="AS391" s="549"/>
      <c r="AT391" s="420" t="s">
        <v>839</v>
      </c>
      <c r="AU391" s="548"/>
      <c r="AV391" s="548"/>
      <c r="AW391" s="627"/>
      <c r="AX391" s="549"/>
      <c r="AY391" s="549"/>
      <c r="AZ391" s="420" t="s">
        <v>1256</v>
      </c>
      <c r="BA391" s="549"/>
      <c r="BB391" s="549" t="str">
        <f t="shared" si="67"/>
        <v>Sky Castle Toys, LLC</v>
      </c>
      <c r="BC391" s="549" t="str">
        <f t="shared" si="68"/>
        <v>美国</v>
      </c>
    </row>
    <row r="392" s="498" customFormat="1" customHeight="1" spans="1:55">
      <c r="A392" s="549">
        <v>46238</v>
      </c>
      <c r="B392" s="549" t="str">
        <f ca="1" t="shared" si="70"/>
        <v/>
      </c>
      <c r="C392" s="541"/>
      <c r="D392" s="431" t="s">
        <v>1352</v>
      </c>
      <c r="E392" s="431" t="s">
        <v>1224</v>
      </c>
      <c r="F392" s="431" t="s">
        <v>839</v>
      </c>
      <c r="G392" s="541" t="s">
        <v>1086</v>
      </c>
      <c r="H392" s="541" t="s">
        <v>66</v>
      </c>
      <c r="I392" s="129"/>
      <c r="J392" s="586">
        <v>5</v>
      </c>
      <c r="K392" s="95"/>
      <c r="L392" s="96"/>
      <c r="M392" s="541"/>
      <c r="N392" s="586"/>
      <c r="O392" s="549">
        <v>46246</v>
      </c>
      <c r="P392" s="549">
        <v>46246</v>
      </c>
      <c r="Q392" s="420" t="s">
        <v>1133</v>
      </c>
      <c r="R392" s="541"/>
      <c r="S392" s="420" t="s">
        <v>1133</v>
      </c>
      <c r="T392" s="541"/>
      <c r="U392" s="541"/>
      <c r="V392" s="541"/>
      <c r="W392" s="518" t="str">
        <f>IFERROR(VLOOKUP(H392,名称!A:F,6,0),"")</f>
        <v>湖南</v>
      </c>
      <c r="X392" s="431" t="s">
        <v>1133</v>
      </c>
      <c r="Y392" s="431" t="s">
        <v>1133</v>
      </c>
      <c r="Z392" s="431" t="s">
        <v>1133</v>
      </c>
      <c r="AA392" s="431" t="s">
        <v>1133</v>
      </c>
      <c r="AB392" s="431" t="s">
        <v>1133</v>
      </c>
      <c r="AC392" s="431" t="s">
        <v>1318</v>
      </c>
      <c r="AD392" s="431" t="s">
        <v>1228</v>
      </c>
      <c r="AE392" s="431" t="s">
        <v>510</v>
      </c>
      <c r="AF392" s="431" t="s">
        <v>1228</v>
      </c>
      <c r="AG392" s="431" t="s">
        <v>1487</v>
      </c>
      <c r="AH392" s="431" t="s">
        <v>510</v>
      </c>
      <c r="AI392" s="431" t="s">
        <v>1228</v>
      </c>
      <c r="AJ392" s="431" t="s">
        <v>510</v>
      </c>
      <c r="AK392" s="431" t="s">
        <v>1133</v>
      </c>
      <c r="AL392" s="541"/>
      <c r="AM392" s="541"/>
      <c r="AN392" s="541" t="s">
        <v>1086</v>
      </c>
      <c r="AO392" s="624"/>
      <c r="AP392" s="625">
        <f t="shared" si="65"/>
        <v>0</v>
      </c>
      <c r="AQ392" s="625">
        <f t="shared" si="66"/>
        <v>0</v>
      </c>
      <c r="AR392" s="626"/>
      <c r="AS392" s="549"/>
      <c r="AT392" s="420" t="s">
        <v>839</v>
      </c>
      <c r="AU392" s="548"/>
      <c r="AV392" s="548"/>
      <c r="AW392" s="627"/>
      <c r="AX392" s="549"/>
      <c r="AY392" s="549"/>
      <c r="AZ392" s="420" t="s">
        <v>1256</v>
      </c>
      <c r="BA392" s="549"/>
      <c r="BB392" s="549" t="str">
        <f t="shared" si="67"/>
        <v>Sky Castle Toys, LLC</v>
      </c>
      <c r="BC392" s="549" t="str">
        <f t="shared" si="68"/>
        <v>美国</v>
      </c>
    </row>
    <row r="393" s="498" customFormat="1" customHeight="1" spans="1:55">
      <c r="A393" s="549">
        <v>46238</v>
      </c>
      <c r="B393" s="549" t="str">
        <f ca="1" t="shared" si="70"/>
        <v/>
      </c>
      <c r="C393" s="541"/>
      <c r="D393" s="431" t="s">
        <v>1352</v>
      </c>
      <c r="E393" s="431" t="s">
        <v>1224</v>
      </c>
      <c r="F393" s="431" t="s">
        <v>839</v>
      </c>
      <c r="G393" s="541" t="s">
        <v>1087</v>
      </c>
      <c r="H393" s="541" t="s">
        <v>183</v>
      </c>
      <c r="I393" s="129"/>
      <c r="J393" s="586">
        <v>30</v>
      </c>
      <c r="K393" s="95"/>
      <c r="L393" s="96"/>
      <c r="M393" s="541"/>
      <c r="N393" s="586"/>
      <c r="O393" s="549">
        <v>46246</v>
      </c>
      <c r="P393" s="549">
        <v>46246</v>
      </c>
      <c r="Q393" s="420" t="s">
        <v>1133</v>
      </c>
      <c r="R393" s="541"/>
      <c r="S393" s="420" t="s">
        <v>1133</v>
      </c>
      <c r="T393" s="541"/>
      <c r="U393" s="541"/>
      <c r="V393" s="541"/>
      <c r="W393" s="518" t="str">
        <f>IFERROR(VLOOKUP(H393,名称!A:F,6,0),"")</f>
        <v>湖南</v>
      </c>
      <c r="X393" s="431" t="s">
        <v>1133</v>
      </c>
      <c r="Y393" s="431" t="s">
        <v>1133</v>
      </c>
      <c r="Z393" s="431" t="s">
        <v>1133</v>
      </c>
      <c r="AA393" s="431" t="s">
        <v>1133</v>
      </c>
      <c r="AB393" s="431" t="s">
        <v>1133</v>
      </c>
      <c r="AC393" s="431" t="s">
        <v>1284</v>
      </c>
      <c r="AD393" s="431" t="s">
        <v>1228</v>
      </c>
      <c r="AE393" s="431" t="s">
        <v>510</v>
      </c>
      <c r="AF393" s="431" t="s">
        <v>1228</v>
      </c>
      <c r="AG393" s="431" t="s">
        <v>1487</v>
      </c>
      <c r="AH393" s="431" t="s">
        <v>510</v>
      </c>
      <c r="AI393" s="431" t="s">
        <v>1228</v>
      </c>
      <c r="AJ393" s="431" t="s">
        <v>1133</v>
      </c>
      <c r="AK393" s="431" t="s">
        <v>510</v>
      </c>
      <c r="AL393" s="541"/>
      <c r="AM393" s="541"/>
      <c r="AN393" s="541" t="s">
        <v>1087</v>
      </c>
      <c r="AO393" s="624"/>
      <c r="AP393" s="625">
        <f t="shared" si="65"/>
        <v>0</v>
      </c>
      <c r="AQ393" s="625">
        <f t="shared" si="66"/>
        <v>0</v>
      </c>
      <c r="AR393" s="626"/>
      <c r="AS393" s="549"/>
      <c r="AT393" s="420" t="s">
        <v>839</v>
      </c>
      <c r="AU393" s="548"/>
      <c r="AV393" s="548"/>
      <c r="AW393" s="627"/>
      <c r="AX393" s="549"/>
      <c r="AY393" s="549"/>
      <c r="AZ393" s="420" t="s">
        <v>1256</v>
      </c>
      <c r="BA393" s="549"/>
      <c r="BB393" s="549" t="str">
        <f t="shared" si="67"/>
        <v>Sky Castle Toys, LLC</v>
      </c>
      <c r="BC393" s="549" t="str">
        <f t="shared" si="68"/>
        <v>美国</v>
      </c>
    </row>
    <row r="394" s="498" customFormat="1" customHeight="1" spans="1:55">
      <c r="A394" s="549">
        <v>46238</v>
      </c>
      <c r="B394" s="549" t="str">
        <f ca="1" t="shared" si="70"/>
        <v/>
      </c>
      <c r="C394" s="541"/>
      <c r="D394" s="431" t="s">
        <v>1352</v>
      </c>
      <c r="E394" s="431" t="s">
        <v>1224</v>
      </c>
      <c r="F394" s="431" t="s">
        <v>839</v>
      </c>
      <c r="G394" s="541" t="s">
        <v>1088</v>
      </c>
      <c r="H394" s="541" t="s">
        <v>1089</v>
      </c>
      <c r="I394" s="129"/>
      <c r="J394" s="586">
        <v>54</v>
      </c>
      <c r="K394" s="95"/>
      <c r="L394" s="96"/>
      <c r="M394" s="541"/>
      <c r="N394" s="586"/>
      <c r="O394" s="549">
        <v>46246</v>
      </c>
      <c r="P394" s="549">
        <v>46246</v>
      </c>
      <c r="Q394" s="420" t="s">
        <v>1133</v>
      </c>
      <c r="R394" s="541"/>
      <c r="S394" s="420" t="s">
        <v>1133</v>
      </c>
      <c r="T394" s="541"/>
      <c r="U394" s="541"/>
      <c r="V394" s="541"/>
      <c r="W394" s="518" t="str">
        <f>IFERROR(VLOOKUP(H394,名称!A:F,6,0),"")</f>
        <v/>
      </c>
      <c r="X394" s="431" t="s">
        <v>1133</v>
      </c>
      <c r="Y394" s="431" t="s">
        <v>1133</v>
      </c>
      <c r="Z394" s="431" t="s">
        <v>1133</v>
      </c>
      <c r="AA394" s="431" t="s">
        <v>1133</v>
      </c>
      <c r="AB394" s="431" t="s">
        <v>1133</v>
      </c>
      <c r="AC394" s="431" t="s">
        <v>1133</v>
      </c>
      <c r="AD394" s="431" t="s">
        <v>1133</v>
      </c>
      <c r="AE394" s="431" t="s">
        <v>510</v>
      </c>
      <c r="AF394" s="431" t="s">
        <v>1228</v>
      </c>
      <c r="AG394" s="431" t="s">
        <v>1487</v>
      </c>
      <c r="AH394" s="431" t="s">
        <v>1133</v>
      </c>
      <c r="AI394" s="431" t="s">
        <v>1228</v>
      </c>
      <c r="AJ394" s="431" t="s">
        <v>1133</v>
      </c>
      <c r="AK394" s="431" t="s">
        <v>510</v>
      </c>
      <c r="AL394" s="541"/>
      <c r="AM394" s="541"/>
      <c r="AN394" s="541" t="s">
        <v>1088</v>
      </c>
      <c r="AO394" s="624"/>
      <c r="AP394" s="625">
        <f t="shared" si="65"/>
        <v>0</v>
      </c>
      <c r="AQ394" s="625">
        <f t="shared" si="66"/>
        <v>0</v>
      </c>
      <c r="AR394" s="626"/>
      <c r="AS394" s="549"/>
      <c r="AT394" s="420" t="s">
        <v>839</v>
      </c>
      <c r="AU394" s="548"/>
      <c r="AV394" s="548"/>
      <c r="AW394" s="627"/>
      <c r="AX394" s="549"/>
      <c r="AY394" s="549"/>
      <c r="AZ394" s="420" t="s">
        <v>1256</v>
      </c>
      <c r="BA394" s="549"/>
      <c r="BB394" s="549" t="str">
        <f t="shared" si="67"/>
        <v>Sky Castle Toys, LLC</v>
      </c>
      <c r="BC394" s="549" t="str">
        <f t="shared" si="68"/>
        <v>美国</v>
      </c>
    </row>
    <row r="395" s="498" customFormat="1" customHeight="1" spans="1:55">
      <c r="A395" s="549">
        <v>46238</v>
      </c>
      <c r="B395" s="549" t="str">
        <f ca="1" t="shared" si="70"/>
        <v/>
      </c>
      <c r="C395" s="541"/>
      <c r="D395" s="431" t="s">
        <v>1352</v>
      </c>
      <c r="E395" s="431" t="s">
        <v>1224</v>
      </c>
      <c r="F395" s="431" t="s">
        <v>839</v>
      </c>
      <c r="G395" s="541" t="s">
        <v>1090</v>
      </c>
      <c r="H395" s="541" t="s">
        <v>1029</v>
      </c>
      <c r="I395" s="129"/>
      <c r="J395" s="586">
        <v>54</v>
      </c>
      <c r="K395" s="95"/>
      <c r="L395" s="96"/>
      <c r="M395" s="541"/>
      <c r="N395" s="586"/>
      <c r="O395" s="549">
        <v>46246</v>
      </c>
      <c r="P395" s="549">
        <v>46246</v>
      </c>
      <c r="Q395" s="420" t="s">
        <v>1133</v>
      </c>
      <c r="R395" s="541"/>
      <c r="S395" s="420" t="s">
        <v>1133</v>
      </c>
      <c r="T395" s="541"/>
      <c r="U395" s="541"/>
      <c r="V395" s="541"/>
      <c r="W395" s="518" t="str">
        <f>IFERROR(VLOOKUP(H395,名称!A:F,6,0),"")</f>
        <v/>
      </c>
      <c r="X395" s="431" t="s">
        <v>1133</v>
      </c>
      <c r="Y395" s="431" t="s">
        <v>1133</v>
      </c>
      <c r="Z395" s="431" t="s">
        <v>1133</v>
      </c>
      <c r="AA395" s="431" t="s">
        <v>1133</v>
      </c>
      <c r="AB395" s="431" t="s">
        <v>1133</v>
      </c>
      <c r="AC395" s="431" t="s">
        <v>1133</v>
      </c>
      <c r="AD395" s="431" t="s">
        <v>1133</v>
      </c>
      <c r="AE395" s="431" t="s">
        <v>510</v>
      </c>
      <c r="AF395" s="431" t="s">
        <v>1228</v>
      </c>
      <c r="AG395" s="431" t="s">
        <v>1487</v>
      </c>
      <c r="AH395" s="431" t="s">
        <v>1133</v>
      </c>
      <c r="AI395" s="431" t="s">
        <v>1228</v>
      </c>
      <c r="AJ395" s="431" t="s">
        <v>1133</v>
      </c>
      <c r="AK395" s="431" t="s">
        <v>510</v>
      </c>
      <c r="AL395" s="541"/>
      <c r="AM395" s="541"/>
      <c r="AN395" s="541" t="s">
        <v>1090</v>
      </c>
      <c r="AO395" s="624"/>
      <c r="AP395" s="625">
        <f t="shared" si="65"/>
        <v>0</v>
      </c>
      <c r="AQ395" s="625">
        <f t="shared" si="66"/>
        <v>0</v>
      </c>
      <c r="AR395" s="626"/>
      <c r="AS395" s="549"/>
      <c r="AT395" s="420" t="s">
        <v>839</v>
      </c>
      <c r="AU395" s="548"/>
      <c r="AV395" s="548"/>
      <c r="AW395" s="627"/>
      <c r="AX395" s="549"/>
      <c r="AY395" s="549"/>
      <c r="AZ395" s="420" t="s">
        <v>1256</v>
      </c>
      <c r="BA395" s="549"/>
      <c r="BB395" s="549" t="str">
        <f t="shared" si="67"/>
        <v>Sky Castle Toys, LLC</v>
      </c>
      <c r="BC395" s="549" t="str">
        <f t="shared" si="68"/>
        <v>美国</v>
      </c>
    </row>
    <row r="396" s="498" customFormat="1" customHeight="1" spans="1:55">
      <c r="A396" s="549">
        <v>46238</v>
      </c>
      <c r="B396" s="549" t="str">
        <f ca="1" t="shared" si="70"/>
        <v/>
      </c>
      <c r="C396" s="541"/>
      <c r="D396" s="431" t="s">
        <v>1352</v>
      </c>
      <c r="E396" s="431" t="s">
        <v>1224</v>
      </c>
      <c r="F396" s="431" t="s">
        <v>839</v>
      </c>
      <c r="G396" s="541" t="s">
        <v>1091</v>
      </c>
      <c r="H396" s="541" t="s">
        <v>204</v>
      </c>
      <c r="I396" s="129"/>
      <c r="J396" s="586">
        <v>56</v>
      </c>
      <c r="K396" s="95"/>
      <c r="L396" s="96"/>
      <c r="M396" s="541"/>
      <c r="N396" s="586"/>
      <c r="O396" s="549">
        <v>46246</v>
      </c>
      <c r="P396" s="549">
        <v>46246</v>
      </c>
      <c r="Q396" s="420" t="s">
        <v>1133</v>
      </c>
      <c r="R396" s="541"/>
      <c r="S396" s="420" t="s">
        <v>1133</v>
      </c>
      <c r="T396" s="541"/>
      <c r="U396" s="541"/>
      <c r="V396" s="541"/>
      <c r="W396" s="518" t="str">
        <f>IFERROR(VLOOKUP(H396,名称!A:F,6,0),"")</f>
        <v>湖南</v>
      </c>
      <c r="X396" s="431" t="s">
        <v>1133</v>
      </c>
      <c r="Y396" s="431" t="s">
        <v>1133</v>
      </c>
      <c r="Z396" s="431" t="s">
        <v>1133</v>
      </c>
      <c r="AA396" s="431" t="s">
        <v>1133</v>
      </c>
      <c r="AB396" s="431" t="s">
        <v>1133</v>
      </c>
      <c r="AC396" s="431" t="s">
        <v>1133</v>
      </c>
      <c r="AD396" s="431" t="s">
        <v>1133</v>
      </c>
      <c r="AE396" s="431" t="s">
        <v>510</v>
      </c>
      <c r="AF396" s="431" t="s">
        <v>1228</v>
      </c>
      <c r="AG396" s="431" t="s">
        <v>1487</v>
      </c>
      <c r="AH396" s="431" t="s">
        <v>1133</v>
      </c>
      <c r="AI396" s="431" t="s">
        <v>1228</v>
      </c>
      <c r="AJ396" s="431" t="s">
        <v>1133</v>
      </c>
      <c r="AK396" s="431" t="s">
        <v>510</v>
      </c>
      <c r="AL396" s="541"/>
      <c r="AM396" s="541"/>
      <c r="AN396" s="541" t="s">
        <v>1091</v>
      </c>
      <c r="AO396" s="624"/>
      <c r="AP396" s="625">
        <f t="shared" si="65"/>
        <v>0</v>
      </c>
      <c r="AQ396" s="625">
        <f t="shared" si="66"/>
        <v>0</v>
      </c>
      <c r="AR396" s="626"/>
      <c r="AS396" s="549"/>
      <c r="AT396" s="420" t="s">
        <v>839</v>
      </c>
      <c r="AU396" s="548"/>
      <c r="AV396" s="548"/>
      <c r="AW396" s="627"/>
      <c r="AX396" s="549"/>
      <c r="AY396" s="549"/>
      <c r="AZ396" s="420" t="s">
        <v>1256</v>
      </c>
      <c r="BA396" s="549"/>
      <c r="BB396" s="549" t="str">
        <f t="shared" si="67"/>
        <v>Sky Castle Toys, LLC</v>
      </c>
      <c r="BC396" s="549" t="str">
        <f t="shared" si="68"/>
        <v>美国</v>
      </c>
    </row>
    <row r="397" s="498" customFormat="1" customHeight="1" spans="1:55">
      <c r="A397" s="549">
        <v>46238</v>
      </c>
      <c r="B397" s="549" t="str">
        <f ca="1" t="shared" si="70"/>
        <v/>
      </c>
      <c r="C397" s="541"/>
      <c r="D397" s="431" t="s">
        <v>1352</v>
      </c>
      <c r="E397" s="431" t="s">
        <v>1224</v>
      </c>
      <c r="F397" s="431" t="s">
        <v>839</v>
      </c>
      <c r="G397" s="541" t="s">
        <v>1092</v>
      </c>
      <c r="H397" s="541" t="s">
        <v>89</v>
      </c>
      <c r="I397" s="129"/>
      <c r="J397" s="586">
        <v>50</v>
      </c>
      <c r="K397" s="95"/>
      <c r="L397" s="96"/>
      <c r="M397" s="541"/>
      <c r="N397" s="586"/>
      <c r="O397" s="549">
        <v>46246</v>
      </c>
      <c r="P397" s="549">
        <v>46246</v>
      </c>
      <c r="Q397" s="420" t="s">
        <v>1133</v>
      </c>
      <c r="R397" s="541"/>
      <c r="S397" s="420" t="s">
        <v>1133</v>
      </c>
      <c r="T397" s="541"/>
      <c r="U397" s="541"/>
      <c r="V397" s="541"/>
      <c r="W397" s="518" t="str">
        <f>IFERROR(VLOOKUP(H397,名称!A:F,6,0),"")</f>
        <v>东莞</v>
      </c>
      <c r="X397" s="431" t="s">
        <v>1133</v>
      </c>
      <c r="Y397" s="431" t="s">
        <v>1133</v>
      </c>
      <c r="Z397" s="431" t="s">
        <v>1133</v>
      </c>
      <c r="AA397" s="431" t="s">
        <v>1133</v>
      </c>
      <c r="AB397" s="431" t="s">
        <v>1133</v>
      </c>
      <c r="AC397" s="431" t="s">
        <v>1318</v>
      </c>
      <c r="AD397" s="431" t="s">
        <v>1228</v>
      </c>
      <c r="AE397" s="431" t="s">
        <v>510</v>
      </c>
      <c r="AF397" s="431" t="s">
        <v>1228</v>
      </c>
      <c r="AG397" s="431" t="s">
        <v>1487</v>
      </c>
      <c r="AH397" s="431" t="s">
        <v>510</v>
      </c>
      <c r="AI397" s="431" t="s">
        <v>1228</v>
      </c>
      <c r="AJ397" s="431" t="s">
        <v>510</v>
      </c>
      <c r="AK397" s="431" t="s">
        <v>1133</v>
      </c>
      <c r="AL397" s="541"/>
      <c r="AM397" s="541"/>
      <c r="AN397" s="541" t="s">
        <v>1092</v>
      </c>
      <c r="AO397" s="624"/>
      <c r="AP397" s="625">
        <f t="shared" si="65"/>
        <v>0</v>
      </c>
      <c r="AQ397" s="625">
        <f t="shared" si="66"/>
        <v>0</v>
      </c>
      <c r="AR397" s="626"/>
      <c r="AS397" s="549"/>
      <c r="AT397" s="420" t="s">
        <v>839</v>
      </c>
      <c r="AU397" s="548"/>
      <c r="AV397" s="548"/>
      <c r="AW397" s="627"/>
      <c r="AX397" s="549"/>
      <c r="AY397" s="549"/>
      <c r="AZ397" s="420" t="s">
        <v>1256</v>
      </c>
      <c r="BA397" s="549"/>
      <c r="BB397" s="549" t="str">
        <f t="shared" si="67"/>
        <v>Sky Castle Toys, LLC</v>
      </c>
      <c r="BC397" s="549" t="str">
        <f t="shared" si="68"/>
        <v>美国</v>
      </c>
    </row>
    <row r="398" s="498" customFormat="1" customHeight="1" spans="1:55">
      <c r="A398" s="549">
        <v>46238</v>
      </c>
      <c r="B398" s="549" t="str">
        <f ca="1" t="shared" si="70"/>
        <v/>
      </c>
      <c r="C398" s="541"/>
      <c r="D398" s="431" t="s">
        <v>1352</v>
      </c>
      <c r="E398" s="431" t="s">
        <v>1224</v>
      </c>
      <c r="F398" s="431" t="s">
        <v>839</v>
      </c>
      <c r="G398" s="541" t="s">
        <v>1086</v>
      </c>
      <c r="H398" s="541" t="s">
        <v>101</v>
      </c>
      <c r="I398" s="129"/>
      <c r="J398" s="586">
        <v>5</v>
      </c>
      <c r="K398" s="95"/>
      <c r="L398" s="96"/>
      <c r="M398" s="541"/>
      <c r="N398" s="586"/>
      <c r="O398" s="549">
        <v>46246</v>
      </c>
      <c r="P398" s="549">
        <v>46246</v>
      </c>
      <c r="Q398" s="420" t="s">
        <v>1133</v>
      </c>
      <c r="R398" s="541"/>
      <c r="S398" s="420" t="s">
        <v>1133</v>
      </c>
      <c r="T398" s="541"/>
      <c r="U398" s="541"/>
      <c r="V398" s="541"/>
      <c r="W398" s="518" t="str">
        <f>IFERROR(VLOOKUP(H398,名称!A:F,6,0),"")</f>
        <v>湖南</v>
      </c>
      <c r="X398" s="431" t="s">
        <v>1133</v>
      </c>
      <c r="Y398" s="431" t="s">
        <v>1133</v>
      </c>
      <c r="Z398" s="431" t="s">
        <v>1133</v>
      </c>
      <c r="AA398" s="431" t="s">
        <v>1133</v>
      </c>
      <c r="AB398" s="431" t="s">
        <v>1133</v>
      </c>
      <c r="AC398" s="431" t="s">
        <v>1133</v>
      </c>
      <c r="AD398" s="431" t="s">
        <v>1133</v>
      </c>
      <c r="AE398" s="431" t="s">
        <v>510</v>
      </c>
      <c r="AF398" s="431" t="s">
        <v>1228</v>
      </c>
      <c r="AG398" s="431" t="s">
        <v>1487</v>
      </c>
      <c r="AH398" s="431" t="s">
        <v>1133</v>
      </c>
      <c r="AI398" s="431" t="s">
        <v>1228</v>
      </c>
      <c r="AJ398" s="431" t="s">
        <v>1133</v>
      </c>
      <c r="AK398" s="431" t="s">
        <v>1356</v>
      </c>
      <c r="AL398" s="541"/>
      <c r="AM398" s="541"/>
      <c r="AN398" s="541" t="s">
        <v>1086</v>
      </c>
      <c r="AO398" s="624"/>
      <c r="AP398" s="625">
        <f t="shared" si="65"/>
        <v>0</v>
      </c>
      <c r="AQ398" s="625">
        <f t="shared" si="66"/>
        <v>0</v>
      </c>
      <c r="AR398" s="626"/>
      <c r="AS398" s="549"/>
      <c r="AT398" s="420" t="s">
        <v>839</v>
      </c>
      <c r="AU398" s="548"/>
      <c r="AV398" s="548"/>
      <c r="AW398" s="627"/>
      <c r="AX398" s="549"/>
      <c r="AY398" s="549"/>
      <c r="AZ398" s="420" t="s">
        <v>1256</v>
      </c>
      <c r="BA398" s="549"/>
      <c r="BB398" s="549" t="str">
        <f t="shared" si="67"/>
        <v>Sky Castle Toys, LLC</v>
      </c>
      <c r="BC398" s="549" t="str">
        <f t="shared" si="68"/>
        <v>美国</v>
      </c>
    </row>
    <row r="399" s="498" customFormat="1" customHeight="1" spans="1:55">
      <c r="A399" s="549">
        <v>46238</v>
      </c>
      <c r="B399" s="549" t="str">
        <f ca="1" t="shared" si="70"/>
        <v/>
      </c>
      <c r="C399" s="541"/>
      <c r="D399" s="431" t="s">
        <v>1352</v>
      </c>
      <c r="E399" s="431" t="s">
        <v>1224</v>
      </c>
      <c r="F399" s="431" t="s">
        <v>839</v>
      </c>
      <c r="G399" s="541" t="s">
        <v>1093</v>
      </c>
      <c r="H399" s="541" t="s">
        <v>1094</v>
      </c>
      <c r="I399" s="129"/>
      <c r="J399" s="586">
        <v>48</v>
      </c>
      <c r="K399" s="95"/>
      <c r="L399" s="96"/>
      <c r="M399" s="541"/>
      <c r="N399" s="586"/>
      <c r="O399" s="549">
        <v>46246</v>
      </c>
      <c r="P399" s="549">
        <v>46246</v>
      </c>
      <c r="Q399" s="420" t="s">
        <v>1133</v>
      </c>
      <c r="R399" s="541"/>
      <c r="S399" s="420" t="s">
        <v>1133</v>
      </c>
      <c r="T399" s="541"/>
      <c r="U399" s="541"/>
      <c r="V399" s="541"/>
      <c r="W399" s="518" t="str">
        <f>IFERROR(VLOOKUP(H399,名称!A:F,6,0),"")</f>
        <v/>
      </c>
      <c r="X399" s="431" t="s">
        <v>1133</v>
      </c>
      <c r="Y399" s="431" t="s">
        <v>1133</v>
      </c>
      <c r="Z399" s="431" t="s">
        <v>1133</v>
      </c>
      <c r="AA399" s="431" t="s">
        <v>1133</v>
      </c>
      <c r="AB399" s="431" t="s">
        <v>1133</v>
      </c>
      <c r="AC399" s="431" t="s">
        <v>1133</v>
      </c>
      <c r="AD399" s="431" t="s">
        <v>1133</v>
      </c>
      <c r="AE399" s="431" t="s">
        <v>510</v>
      </c>
      <c r="AF399" s="431" t="s">
        <v>1228</v>
      </c>
      <c r="AG399" s="431" t="s">
        <v>1487</v>
      </c>
      <c r="AH399" s="431" t="s">
        <v>1133</v>
      </c>
      <c r="AI399" s="431" t="s">
        <v>1228</v>
      </c>
      <c r="AJ399" s="431" t="s">
        <v>1133</v>
      </c>
      <c r="AK399" s="431" t="s">
        <v>510</v>
      </c>
      <c r="AL399" s="541"/>
      <c r="AM399" s="541"/>
      <c r="AN399" s="541" t="s">
        <v>1093</v>
      </c>
      <c r="AO399" s="624"/>
      <c r="AP399" s="625">
        <f t="shared" si="65"/>
        <v>0</v>
      </c>
      <c r="AQ399" s="625">
        <f t="shared" si="66"/>
        <v>0</v>
      </c>
      <c r="AR399" s="626"/>
      <c r="AS399" s="549"/>
      <c r="AT399" s="420" t="s">
        <v>839</v>
      </c>
      <c r="AU399" s="548"/>
      <c r="AV399" s="548"/>
      <c r="AW399" s="627"/>
      <c r="AX399" s="549"/>
      <c r="AY399" s="549"/>
      <c r="AZ399" s="420" t="s">
        <v>1256</v>
      </c>
      <c r="BA399" s="549"/>
      <c r="BB399" s="549" t="str">
        <f t="shared" si="67"/>
        <v>Sky Castle Toys, LLC</v>
      </c>
      <c r="BC399" s="549" t="str">
        <f t="shared" si="68"/>
        <v>美国</v>
      </c>
    </row>
    <row r="400" s="498" customFormat="1" customHeight="1" spans="1:55">
      <c r="A400" s="549">
        <v>46238</v>
      </c>
      <c r="B400" s="549" t="str">
        <f ca="1" t="shared" si="70"/>
        <v/>
      </c>
      <c r="C400" s="541"/>
      <c r="D400" s="431" t="s">
        <v>1352</v>
      </c>
      <c r="E400" s="431" t="s">
        <v>1224</v>
      </c>
      <c r="F400" s="431" t="s">
        <v>839</v>
      </c>
      <c r="G400" s="431" t="s">
        <v>1488</v>
      </c>
      <c r="H400" s="431" t="s">
        <v>1095</v>
      </c>
      <c r="I400" s="129"/>
      <c r="J400" s="586">
        <v>200</v>
      </c>
      <c r="K400" s="95"/>
      <c r="L400" s="96"/>
      <c r="M400" s="541"/>
      <c r="N400" s="586"/>
      <c r="O400" s="549">
        <v>46246</v>
      </c>
      <c r="P400" s="549">
        <v>46246</v>
      </c>
      <c r="Q400" s="420" t="s">
        <v>1133</v>
      </c>
      <c r="R400" s="541"/>
      <c r="S400" s="420" t="s">
        <v>1133</v>
      </c>
      <c r="T400" s="541"/>
      <c r="U400" s="541"/>
      <c r="V400" s="541"/>
      <c r="W400" s="518" t="str">
        <f>IFERROR(VLOOKUP(H400,名称!A:F,6,0),"")</f>
        <v/>
      </c>
      <c r="X400" s="431" t="s">
        <v>1133</v>
      </c>
      <c r="Y400" s="431" t="s">
        <v>1133</v>
      </c>
      <c r="Z400" s="431" t="s">
        <v>1133</v>
      </c>
      <c r="AA400" s="431" t="s">
        <v>1133</v>
      </c>
      <c r="AB400" s="431" t="s">
        <v>1133</v>
      </c>
      <c r="AC400" s="431" t="s">
        <v>1133</v>
      </c>
      <c r="AD400" s="431" t="s">
        <v>1133</v>
      </c>
      <c r="AE400" s="431" t="s">
        <v>510</v>
      </c>
      <c r="AF400" s="431" t="s">
        <v>1228</v>
      </c>
      <c r="AG400" s="431" t="s">
        <v>1487</v>
      </c>
      <c r="AH400" s="431" t="s">
        <v>1133</v>
      </c>
      <c r="AI400" s="431" t="s">
        <v>1228</v>
      </c>
      <c r="AJ400" s="431" t="s">
        <v>1133</v>
      </c>
      <c r="AK400" s="431" t="s">
        <v>510</v>
      </c>
      <c r="AL400" s="541"/>
      <c r="AM400" s="541"/>
      <c r="AN400" s="431" t="s">
        <v>1488</v>
      </c>
      <c r="AO400" s="624"/>
      <c r="AP400" s="625">
        <f t="shared" si="65"/>
        <v>0</v>
      </c>
      <c r="AQ400" s="625">
        <f t="shared" si="66"/>
        <v>0</v>
      </c>
      <c r="AR400" s="626"/>
      <c r="AS400" s="549"/>
      <c r="AT400" s="420" t="s">
        <v>839</v>
      </c>
      <c r="AU400" s="548"/>
      <c r="AV400" s="548">
        <f>AU400-J400</f>
        <v>-200</v>
      </c>
      <c r="AW400" s="627"/>
      <c r="AX400" s="549"/>
      <c r="AY400" s="549"/>
      <c r="AZ400" s="420" t="s">
        <v>1256</v>
      </c>
      <c r="BA400" s="549"/>
      <c r="BB400" s="549" t="str">
        <f t="shared" si="67"/>
        <v>Sky Castle Toys, LLC</v>
      </c>
      <c r="BC400" s="549" t="str">
        <f t="shared" si="68"/>
        <v>美国</v>
      </c>
    </row>
    <row r="401" s="498" customFormat="1" customHeight="1" spans="1:55">
      <c r="A401" s="549">
        <v>46239</v>
      </c>
      <c r="B401" s="549" t="str">
        <f ca="1" t="shared" si="70"/>
        <v>异常</v>
      </c>
      <c r="C401" s="541" t="str">
        <f>VLOOKUP(H401,名称!A:E,4,0)</f>
        <v>三代</v>
      </c>
      <c r="D401" s="431" t="s">
        <v>1489</v>
      </c>
      <c r="E401" s="431" t="s">
        <v>1490</v>
      </c>
      <c r="F401" s="431" t="s">
        <v>1097</v>
      </c>
      <c r="G401" s="431" t="s">
        <v>1098</v>
      </c>
      <c r="H401" s="431" t="s">
        <v>121</v>
      </c>
      <c r="I401" s="129"/>
      <c r="J401" s="586">
        <v>1800</v>
      </c>
      <c r="K401" s="95"/>
      <c r="L401" s="96"/>
      <c r="M401" s="541">
        <f>VLOOKUP(H401,名称!A:E,3,0)</f>
        <v>12</v>
      </c>
      <c r="N401" s="586">
        <f>J401/M401</f>
        <v>150</v>
      </c>
      <c r="O401" s="549">
        <v>46308</v>
      </c>
      <c r="P401" s="549">
        <v>46308</v>
      </c>
      <c r="Q401" s="549">
        <v>46308</v>
      </c>
      <c r="R401" s="541"/>
      <c r="S401" s="420" t="s">
        <v>1133</v>
      </c>
      <c r="T401" s="541"/>
      <c r="U401" s="541"/>
      <c r="V401" s="541"/>
      <c r="W401" s="518" t="str">
        <f>IFERROR(VLOOKUP(H401,名称!A:F,6,0),"")</f>
        <v>湖南</v>
      </c>
      <c r="X401" s="431" t="s">
        <v>1248</v>
      </c>
      <c r="Y401" s="431" t="s">
        <v>1233</v>
      </c>
      <c r="Z401" s="541" t="s">
        <v>1233</v>
      </c>
      <c r="AA401" s="552"/>
      <c r="AB401" s="541"/>
      <c r="AC401" s="431" t="s">
        <v>1284</v>
      </c>
      <c r="AD401" s="431" t="s">
        <v>1228</v>
      </c>
      <c r="AE401" s="431" t="s">
        <v>510</v>
      </c>
      <c r="AF401" s="431" t="s">
        <v>1228</v>
      </c>
      <c r="AG401" s="431" t="s">
        <v>510</v>
      </c>
      <c r="AH401" s="431" t="s">
        <v>1307</v>
      </c>
      <c r="AI401" s="431" t="s">
        <v>1228</v>
      </c>
      <c r="AJ401" s="431" t="s">
        <v>1133</v>
      </c>
      <c r="AK401" s="431" t="s">
        <v>1133</v>
      </c>
      <c r="AL401" s="541"/>
      <c r="AM401" s="541"/>
      <c r="AN401" s="431" t="s">
        <v>1491</v>
      </c>
      <c r="AO401" s="624">
        <v>0.79</v>
      </c>
      <c r="AP401" s="625">
        <f t="shared" si="65"/>
        <v>1422</v>
      </c>
      <c r="AQ401" s="625">
        <f t="shared" si="66"/>
        <v>11020.5</v>
      </c>
      <c r="AR401" s="626"/>
      <c r="AS401" s="549"/>
      <c r="AT401" s="420" t="s">
        <v>1220</v>
      </c>
      <c r="AU401" s="548"/>
      <c r="AV401" s="548"/>
      <c r="AW401" s="627"/>
      <c r="AX401" s="549"/>
      <c r="AY401" s="420" t="s">
        <v>1269</v>
      </c>
      <c r="AZ401" s="420" t="s">
        <v>1492</v>
      </c>
      <c r="BA401" s="549"/>
      <c r="BB401" s="549" t="str">
        <f t="shared" si="67"/>
        <v>Kidland</v>
      </c>
      <c r="BC401" s="549" t="str">
        <f t="shared" si="68"/>
        <v>黎巴嫩</v>
      </c>
    </row>
    <row r="402" s="498" customFormat="1" customHeight="1" spans="1:55">
      <c r="A402" s="549">
        <v>46239</v>
      </c>
      <c r="B402" s="549" t="str">
        <f ca="1" t="shared" ref="B402:B432" si="71">IF(TODAY()-5&gt;=A402,IF(AB402="","异常",""),"")</f>
        <v>异常</v>
      </c>
      <c r="C402" s="541" t="str">
        <f>VLOOKUP(H402,名称!A:E,4,0)</f>
        <v>三代</v>
      </c>
      <c r="D402" s="431" t="s">
        <v>1489</v>
      </c>
      <c r="E402" s="431" t="s">
        <v>1490</v>
      </c>
      <c r="F402" s="431" t="s">
        <v>1097</v>
      </c>
      <c r="G402" s="431" t="s">
        <v>1098</v>
      </c>
      <c r="H402" s="431" t="s">
        <v>59</v>
      </c>
      <c r="I402" s="129"/>
      <c r="J402" s="586">
        <v>1800</v>
      </c>
      <c r="K402" s="95"/>
      <c r="L402" s="96"/>
      <c r="M402" s="541">
        <f>VLOOKUP(H402,名称!A:E,3,0)</f>
        <v>24</v>
      </c>
      <c r="N402" s="586">
        <f t="shared" ref="N402:N408" si="72">J402/M402</f>
        <v>75</v>
      </c>
      <c r="O402" s="549">
        <v>46308</v>
      </c>
      <c r="P402" s="549">
        <v>46308</v>
      </c>
      <c r="Q402" s="549">
        <v>46308</v>
      </c>
      <c r="R402" s="541"/>
      <c r="S402" s="420" t="s">
        <v>1133</v>
      </c>
      <c r="T402" s="541"/>
      <c r="U402" s="541"/>
      <c r="V402" s="541"/>
      <c r="W402" s="518" t="str">
        <f>IFERROR(VLOOKUP(H402,名称!A:F,6,0),"")</f>
        <v>湖南</v>
      </c>
      <c r="X402" s="431" t="s">
        <v>1248</v>
      </c>
      <c r="Y402" s="431" t="s">
        <v>1233</v>
      </c>
      <c r="Z402" s="541" t="s">
        <v>1233</v>
      </c>
      <c r="AA402" s="552"/>
      <c r="AB402" s="541"/>
      <c r="AC402" s="431" t="s">
        <v>1133</v>
      </c>
      <c r="AD402" s="431" t="s">
        <v>1133</v>
      </c>
      <c r="AE402" s="431" t="s">
        <v>510</v>
      </c>
      <c r="AF402" s="431" t="s">
        <v>1228</v>
      </c>
      <c r="AG402" s="431" t="s">
        <v>510</v>
      </c>
      <c r="AH402" s="431" t="s">
        <v>1133</v>
      </c>
      <c r="AI402" s="431" t="s">
        <v>1228</v>
      </c>
      <c r="AJ402" s="431" t="s">
        <v>1133</v>
      </c>
      <c r="AK402" s="431" t="s">
        <v>510</v>
      </c>
      <c r="AL402" s="541"/>
      <c r="AM402" s="541"/>
      <c r="AN402" s="431" t="s">
        <v>1491</v>
      </c>
      <c r="AO402" s="624">
        <v>0.64</v>
      </c>
      <c r="AP402" s="625">
        <f t="shared" si="65"/>
        <v>1152</v>
      </c>
      <c r="AQ402" s="625">
        <f t="shared" si="66"/>
        <v>8928</v>
      </c>
      <c r="AR402" s="626"/>
      <c r="AS402" s="549"/>
      <c r="AT402" s="420" t="s">
        <v>1220</v>
      </c>
      <c r="AU402" s="548"/>
      <c r="AV402" s="548"/>
      <c r="AW402" s="627"/>
      <c r="AX402" s="549"/>
      <c r="AY402" s="420" t="s">
        <v>1269</v>
      </c>
      <c r="AZ402" s="420" t="s">
        <v>1492</v>
      </c>
      <c r="BA402" s="549"/>
      <c r="BB402" s="549" t="str">
        <f t="shared" si="67"/>
        <v>Kidland</v>
      </c>
      <c r="BC402" s="549" t="str">
        <f t="shared" si="68"/>
        <v>黎巴嫩</v>
      </c>
    </row>
    <row r="403" s="498" customFormat="1" customHeight="1" spans="1:55">
      <c r="A403" s="549">
        <v>46239</v>
      </c>
      <c r="B403" s="549" t="str">
        <f ca="1" t="shared" si="71"/>
        <v>异常</v>
      </c>
      <c r="C403" s="541" t="str">
        <f>VLOOKUP(H403,名称!A:E,4,0)</f>
        <v>三代</v>
      </c>
      <c r="D403" s="431" t="s">
        <v>1489</v>
      </c>
      <c r="E403" s="431" t="s">
        <v>1490</v>
      </c>
      <c r="F403" s="431" t="s">
        <v>1097</v>
      </c>
      <c r="G403" s="431" t="s">
        <v>1098</v>
      </c>
      <c r="H403" s="431" t="s">
        <v>66</v>
      </c>
      <c r="I403" s="129"/>
      <c r="J403" s="586">
        <v>1200</v>
      </c>
      <c r="K403" s="95"/>
      <c r="L403" s="96"/>
      <c r="M403" s="541">
        <f>VLOOKUP(H403,名称!A:E,3,0)</f>
        <v>6</v>
      </c>
      <c r="N403" s="586">
        <f t="shared" si="72"/>
        <v>200</v>
      </c>
      <c r="O403" s="549">
        <v>46308</v>
      </c>
      <c r="P403" s="549">
        <v>46308</v>
      </c>
      <c r="Q403" s="549">
        <v>46308</v>
      </c>
      <c r="R403" s="541"/>
      <c r="S403" s="420" t="s">
        <v>1133</v>
      </c>
      <c r="T403" s="541"/>
      <c r="U403" s="541"/>
      <c r="V403" s="541"/>
      <c r="W403" s="518" t="str">
        <f>IFERROR(VLOOKUP(H403,名称!A:F,6,0),"")</f>
        <v>湖南</v>
      </c>
      <c r="X403" s="431" t="s">
        <v>1248</v>
      </c>
      <c r="Y403" s="431" t="s">
        <v>1233</v>
      </c>
      <c r="Z403" s="541" t="s">
        <v>1233</v>
      </c>
      <c r="AA403" s="552"/>
      <c r="AB403" s="541"/>
      <c r="AC403" s="431" t="s">
        <v>1318</v>
      </c>
      <c r="AD403" s="431" t="s">
        <v>1228</v>
      </c>
      <c r="AE403" s="431" t="s">
        <v>510</v>
      </c>
      <c r="AF403" s="431" t="s">
        <v>1228</v>
      </c>
      <c r="AG403" s="431" t="s">
        <v>510</v>
      </c>
      <c r="AH403" s="431" t="s">
        <v>1307</v>
      </c>
      <c r="AI403" s="431" t="s">
        <v>1228</v>
      </c>
      <c r="AJ403" s="431" t="s">
        <v>510</v>
      </c>
      <c r="AK403" s="431" t="s">
        <v>1133</v>
      </c>
      <c r="AL403" s="541"/>
      <c r="AM403" s="541"/>
      <c r="AN403" s="431" t="s">
        <v>1491</v>
      </c>
      <c r="AO403" s="624">
        <v>2.04</v>
      </c>
      <c r="AP403" s="625">
        <f t="shared" si="65"/>
        <v>2448</v>
      </c>
      <c r="AQ403" s="625">
        <f t="shared" si="66"/>
        <v>18972</v>
      </c>
      <c r="AR403" s="626"/>
      <c r="AS403" s="549"/>
      <c r="AT403" s="420" t="s">
        <v>1220</v>
      </c>
      <c r="AU403" s="548"/>
      <c r="AV403" s="548"/>
      <c r="AW403" s="627"/>
      <c r="AX403" s="549"/>
      <c r="AY403" s="420" t="s">
        <v>1269</v>
      </c>
      <c r="AZ403" s="420" t="s">
        <v>1492</v>
      </c>
      <c r="BA403" s="549"/>
      <c r="BB403" s="549" t="str">
        <f t="shared" si="67"/>
        <v>Kidland</v>
      </c>
      <c r="BC403" s="549" t="str">
        <f t="shared" si="68"/>
        <v>黎巴嫩</v>
      </c>
    </row>
    <row r="404" s="498" customFormat="1" customHeight="1" spans="1:55">
      <c r="A404" s="549">
        <v>46239</v>
      </c>
      <c r="B404" s="549" t="str">
        <f ca="1" t="shared" si="71"/>
        <v>异常</v>
      </c>
      <c r="C404" s="541" t="str">
        <f>VLOOKUP(H404,名称!A:E,4,0)</f>
        <v>三代</v>
      </c>
      <c r="D404" s="431" t="s">
        <v>1489</v>
      </c>
      <c r="E404" s="431" t="s">
        <v>1490</v>
      </c>
      <c r="F404" s="431" t="s">
        <v>1097</v>
      </c>
      <c r="G404" s="431" t="s">
        <v>1098</v>
      </c>
      <c r="H404" s="431" t="s">
        <v>68</v>
      </c>
      <c r="I404" s="129"/>
      <c r="J404" s="586">
        <v>720</v>
      </c>
      <c r="K404" s="95"/>
      <c r="L404" s="96"/>
      <c r="M404" s="541">
        <f>VLOOKUP(H404,名称!A:E,3,0)</f>
        <v>4</v>
      </c>
      <c r="N404" s="586">
        <f t="shared" si="72"/>
        <v>180</v>
      </c>
      <c r="O404" s="549">
        <v>46308</v>
      </c>
      <c r="P404" s="549">
        <v>46308</v>
      </c>
      <c r="Q404" s="549">
        <v>46308</v>
      </c>
      <c r="R404" s="541"/>
      <c r="S404" s="420" t="s">
        <v>1133</v>
      </c>
      <c r="T404" s="541"/>
      <c r="U404" s="541"/>
      <c r="V404" s="541"/>
      <c r="W404" s="518" t="str">
        <f>IFERROR(VLOOKUP(H404,名称!A:F,6,0),"")</f>
        <v>湖南</v>
      </c>
      <c r="X404" s="431" t="s">
        <v>1248</v>
      </c>
      <c r="Y404" s="431" t="s">
        <v>1233</v>
      </c>
      <c r="Z404" s="541" t="s">
        <v>1233</v>
      </c>
      <c r="AA404" s="552"/>
      <c r="AB404" s="541"/>
      <c r="AC404" s="431" t="s">
        <v>1133</v>
      </c>
      <c r="AD404" s="431" t="s">
        <v>1133</v>
      </c>
      <c r="AE404" s="431" t="s">
        <v>510</v>
      </c>
      <c r="AF404" s="431" t="s">
        <v>1228</v>
      </c>
      <c r="AG404" s="431" t="s">
        <v>510</v>
      </c>
      <c r="AH404" s="431" t="s">
        <v>1307</v>
      </c>
      <c r="AI404" s="431" t="s">
        <v>1228</v>
      </c>
      <c r="AJ404" s="431" t="s">
        <v>1133</v>
      </c>
      <c r="AK404" s="431" t="s">
        <v>1133</v>
      </c>
      <c r="AL404" s="541"/>
      <c r="AM404" s="541"/>
      <c r="AN404" s="431" t="s">
        <v>1491</v>
      </c>
      <c r="AO404" s="624">
        <v>3.12</v>
      </c>
      <c r="AP404" s="625">
        <f t="shared" si="65"/>
        <v>2246.4</v>
      </c>
      <c r="AQ404" s="625">
        <f t="shared" si="66"/>
        <v>17409.6</v>
      </c>
      <c r="AR404" s="626"/>
      <c r="AS404" s="549"/>
      <c r="AT404" s="420" t="s">
        <v>1220</v>
      </c>
      <c r="AU404" s="548"/>
      <c r="AV404" s="548"/>
      <c r="AW404" s="627"/>
      <c r="AX404" s="549"/>
      <c r="AY404" s="420" t="s">
        <v>1269</v>
      </c>
      <c r="AZ404" s="420" t="s">
        <v>1492</v>
      </c>
      <c r="BA404" s="549"/>
      <c r="BB404" s="549" t="str">
        <f t="shared" si="67"/>
        <v>Kidland</v>
      </c>
      <c r="BC404" s="549" t="str">
        <f t="shared" si="68"/>
        <v>黎巴嫩</v>
      </c>
    </row>
    <row r="405" s="498" customFormat="1" customHeight="1" spans="1:55">
      <c r="A405" s="549">
        <v>46239</v>
      </c>
      <c r="B405" s="549" t="str">
        <f ca="1" t="shared" si="71"/>
        <v>异常</v>
      </c>
      <c r="C405" s="541" t="str">
        <f>VLOOKUP(H405,名称!A:E,4,0)</f>
        <v>三代</v>
      </c>
      <c r="D405" s="431" t="s">
        <v>1489</v>
      </c>
      <c r="E405" s="431" t="s">
        <v>1490</v>
      </c>
      <c r="F405" s="431" t="s">
        <v>1097</v>
      </c>
      <c r="G405" s="431" t="s">
        <v>1098</v>
      </c>
      <c r="H405" s="431" t="s">
        <v>72</v>
      </c>
      <c r="I405" s="129"/>
      <c r="J405" s="586">
        <v>1200</v>
      </c>
      <c r="K405" s="95"/>
      <c r="L405" s="96"/>
      <c r="M405" s="541">
        <f>VLOOKUP(H405,名称!A:E,3,0)</f>
        <v>12</v>
      </c>
      <c r="N405" s="586">
        <f t="shared" si="72"/>
        <v>100</v>
      </c>
      <c r="O405" s="549">
        <v>46308</v>
      </c>
      <c r="P405" s="549">
        <v>46308</v>
      </c>
      <c r="Q405" s="549">
        <v>46308</v>
      </c>
      <c r="R405" s="541"/>
      <c r="S405" s="420" t="s">
        <v>1133</v>
      </c>
      <c r="T405" s="541"/>
      <c r="U405" s="541"/>
      <c r="V405" s="541"/>
      <c r="W405" s="518" t="str">
        <f>IFERROR(VLOOKUP(H405,名称!A:F,6,0),"")</f>
        <v>湖南</v>
      </c>
      <c r="X405" s="431" t="s">
        <v>1248</v>
      </c>
      <c r="Y405" s="431" t="s">
        <v>1233</v>
      </c>
      <c r="Z405" s="541" t="s">
        <v>1233</v>
      </c>
      <c r="AA405" s="552"/>
      <c r="AB405" s="541"/>
      <c r="AC405" s="431" t="s">
        <v>1302</v>
      </c>
      <c r="AD405" s="431" t="s">
        <v>1133</v>
      </c>
      <c r="AE405" s="431" t="s">
        <v>510</v>
      </c>
      <c r="AF405" s="431" t="s">
        <v>1228</v>
      </c>
      <c r="AG405" s="431" t="s">
        <v>510</v>
      </c>
      <c r="AH405" s="431" t="s">
        <v>1307</v>
      </c>
      <c r="AI405" s="431" t="s">
        <v>1228</v>
      </c>
      <c r="AJ405" s="431" t="s">
        <v>1133</v>
      </c>
      <c r="AK405" s="431" t="s">
        <v>1133</v>
      </c>
      <c r="AL405" s="541"/>
      <c r="AM405" s="541"/>
      <c r="AN405" s="431" t="s">
        <v>1491</v>
      </c>
      <c r="AO405" s="624">
        <v>1.51</v>
      </c>
      <c r="AP405" s="625">
        <f t="shared" si="65"/>
        <v>1812</v>
      </c>
      <c r="AQ405" s="625">
        <f t="shared" si="66"/>
        <v>14043</v>
      </c>
      <c r="AR405" s="626"/>
      <c r="AS405" s="549"/>
      <c r="AT405" s="420" t="s">
        <v>1220</v>
      </c>
      <c r="AU405" s="548"/>
      <c r="AV405" s="548"/>
      <c r="AW405" s="627"/>
      <c r="AX405" s="549"/>
      <c r="AY405" s="420" t="s">
        <v>1269</v>
      </c>
      <c r="AZ405" s="420" t="s">
        <v>1492</v>
      </c>
      <c r="BA405" s="549"/>
      <c r="BB405" s="549" t="str">
        <f t="shared" si="67"/>
        <v>Kidland</v>
      </c>
      <c r="BC405" s="549" t="str">
        <f t="shared" si="68"/>
        <v>黎巴嫩</v>
      </c>
    </row>
    <row r="406" s="498" customFormat="1" customHeight="1" spans="1:55">
      <c r="A406" s="549">
        <v>46239</v>
      </c>
      <c r="B406" s="549" t="str">
        <f ca="1" t="shared" si="71"/>
        <v>异常</v>
      </c>
      <c r="C406" s="541" t="str">
        <f>VLOOKUP(H406,名称!A:E,4,0)</f>
        <v>三代</v>
      </c>
      <c r="D406" s="431" t="s">
        <v>1489</v>
      </c>
      <c r="E406" s="431" t="s">
        <v>1490</v>
      </c>
      <c r="F406" s="431" t="s">
        <v>1097</v>
      </c>
      <c r="G406" s="431" t="s">
        <v>1098</v>
      </c>
      <c r="H406" s="431" t="s">
        <v>112</v>
      </c>
      <c r="I406" s="129"/>
      <c r="J406" s="586">
        <v>240</v>
      </c>
      <c r="K406" s="95"/>
      <c r="L406" s="96"/>
      <c r="M406" s="541">
        <f>VLOOKUP(H406,名称!A:E,3,0)</f>
        <v>2</v>
      </c>
      <c r="N406" s="586">
        <f t="shared" si="72"/>
        <v>120</v>
      </c>
      <c r="O406" s="549">
        <v>46308</v>
      </c>
      <c r="P406" s="549">
        <v>46308</v>
      </c>
      <c r="Q406" s="549">
        <v>46308</v>
      </c>
      <c r="R406" s="541"/>
      <c r="S406" s="420" t="s">
        <v>1133</v>
      </c>
      <c r="T406" s="541"/>
      <c r="U406" s="541"/>
      <c r="V406" s="541"/>
      <c r="W406" s="518" t="str">
        <f>IFERROR(VLOOKUP(H406,名称!A:F,6,0),"")</f>
        <v>湖南</v>
      </c>
      <c r="X406" s="431" t="s">
        <v>1248</v>
      </c>
      <c r="Y406" s="431" t="s">
        <v>1233</v>
      </c>
      <c r="Z406" s="541" t="s">
        <v>1233</v>
      </c>
      <c r="AA406" s="552"/>
      <c r="AB406" s="541"/>
      <c r="AC406" s="431" t="s">
        <v>1133</v>
      </c>
      <c r="AD406" s="431" t="s">
        <v>1133</v>
      </c>
      <c r="AE406" s="431" t="s">
        <v>510</v>
      </c>
      <c r="AF406" s="431" t="s">
        <v>1228</v>
      </c>
      <c r="AG406" s="431" t="s">
        <v>510</v>
      </c>
      <c r="AH406" s="431" t="s">
        <v>1133</v>
      </c>
      <c r="AI406" s="431" t="s">
        <v>1228</v>
      </c>
      <c r="AJ406" s="431" t="s">
        <v>1133</v>
      </c>
      <c r="AK406" s="431" t="s">
        <v>1356</v>
      </c>
      <c r="AL406" s="541"/>
      <c r="AM406" s="541"/>
      <c r="AN406" s="431" t="s">
        <v>1491</v>
      </c>
      <c r="AO406" s="624">
        <v>9.39</v>
      </c>
      <c r="AP406" s="625">
        <f t="shared" si="65"/>
        <v>2253.6</v>
      </c>
      <c r="AQ406" s="625">
        <f t="shared" si="66"/>
        <v>17465.4</v>
      </c>
      <c r="AR406" s="626"/>
      <c r="AS406" s="549"/>
      <c r="AT406" s="420" t="s">
        <v>1220</v>
      </c>
      <c r="AU406" s="548"/>
      <c r="AV406" s="548"/>
      <c r="AW406" s="627"/>
      <c r="AX406" s="549"/>
      <c r="AY406" s="420" t="s">
        <v>1269</v>
      </c>
      <c r="AZ406" s="420" t="s">
        <v>1492</v>
      </c>
      <c r="BA406" s="549"/>
      <c r="BB406" s="549" t="str">
        <f t="shared" si="67"/>
        <v>Kidland</v>
      </c>
      <c r="BC406" s="549" t="str">
        <f t="shared" si="68"/>
        <v>黎巴嫩</v>
      </c>
    </row>
    <row r="407" s="498" customFormat="1" customHeight="1" spans="1:55">
      <c r="A407" s="549">
        <v>46239</v>
      </c>
      <c r="B407" s="549" t="str">
        <f ca="1" t="shared" si="71"/>
        <v>异常</v>
      </c>
      <c r="C407" s="541" t="str">
        <f>VLOOKUP(H407,名称!A:E,4,0)</f>
        <v>三代</v>
      </c>
      <c r="D407" s="431" t="s">
        <v>1489</v>
      </c>
      <c r="E407" s="431" t="s">
        <v>1490</v>
      </c>
      <c r="F407" s="431" t="s">
        <v>1097</v>
      </c>
      <c r="G407" s="431" t="s">
        <v>1098</v>
      </c>
      <c r="H407" s="431" t="s">
        <v>63</v>
      </c>
      <c r="I407" s="129"/>
      <c r="J407" s="586">
        <v>1440</v>
      </c>
      <c r="K407" s="95"/>
      <c r="L407" s="96"/>
      <c r="M407" s="541">
        <f>VLOOKUP(H407,名称!A:E,3,0)</f>
        <v>24</v>
      </c>
      <c r="N407" s="586">
        <f t="shared" si="72"/>
        <v>60</v>
      </c>
      <c r="O407" s="549">
        <v>46308</v>
      </c>
      <c r="P407" s="549">
        <v>46308</v>
      </c>
      <c r="Q407" s="549">
        <v>46308</v>
      </c>
      <c r="R407" s="541"/>
      <c r="S407" s="420" t="s">
        <v>1133</v>
      </c>
      <c r="T407" s="541"/>
      <c r="U407" s="541"/>
      <c r="V407" s="541"/>
      <c r="W407" s="518" t="str">
        <f>IFERROR(VLOOKUP(H407,名称!A:F,6,0),"")</f>
        <v>湖南</v>
      </c>
      <c r="X407" s="431" t="s">
        <v>1248</v>
      </c>
      <c r="Y407" s="431" t="s">
        <v>1233</v>
      </c>
      <c r="Z407" s="541" t="s">
        <v>1233</v>
      </c>
      <c r="AA407" s="552"/>
      <c r="AB407" s="541"/>
      <c r="AC407" s="431" t="s">
        <v>1133</v>
      </c>
      <c r="AD407" s="431" t="s">
        <v>1133</v>
      </c>
      <c r="AE407" s="431" t="s">
        <v>510</v>
      </c>
      <c r="AF407" s="431" t="s">
        <v>1228</v>
      </c>
      <c r="AG407" s="431" t="s">
        <v>510</v>
      </c>
      <c r="AH407" s="431" t="s">
        <v>1133</v>
      </c>
      <c r="AI407" s="431" t="s">
        <v>1228</v>
      </c>
      <c r="AJ407" s="431" t="s">
        <v>1133</v>
      </c>
      <c r="AK407" s="431" t="s">
        <v>510</v>
      </c>
      <c r="AL407" s="541"/>
      <c r="AM407" s="541"/>
      <c r="AN407" s="431" t="s">
        <v>1491</v>
      </c>
      <c r="AO407" s="624">
        <v>0.64</v>
      </c>
      <c r="AP407" s="625">
        <f t="shared" si="65"/>
        <v>921.6</v>
      </c>
      <c r="AQ407" s="625">
        <f t="shared" si="66"/>
        <v>7142.4</v>
      </c>
      <c r="AR407" s="626"/>
      <c r="AS407" s="549"/>
      <c r="AT407" s="420" t="s">
        <v>1220</v>
      </c>
      <c r="AU407" s="548"/>
      <c r="AV407" s="548"/>
      <c r="AW407" s="627"/>
      <c r="AX407" s="549"/>
      <c r="AY407" s="420" t="s">
        <v>1269</v>
      </c>
      <c r="AZ407" s="420" t="s">
        <v>1492</v>
      </c>
      <c r="BA407" s="549"/>
      <c r="BB407" s="549" t="str">
        <f t="shared" si="67"/>
        <v>Kidland</v>
      </c>
      <c r="BC407" s="549" t="str">
        <f t="shared" si="68"/>
        <v>黎巴嫩</v>
      </c>
    </row>
    <row r="408" s="498" customFormat="1" customHeight="1" spans="1:55">
      <c r="A408" s="549">
        <v>46239</v>
      </c>
      <c r="B408" s="549" t="str">
        <f ca="1" t="shared" si="71"/>
        <v>异常</v>
      </c>
      <c r="C408" s="541" t="str">
        <f>VLOOKUP(H408,名称!A:E,4,0)</f>
        <v>三代</v>
      </c>
      <c r="D408" s="431" t="s">
        <v>1489</v>
      </c>
      <c r="E408" s="431" t="s">
        <v>1490</v>
      </c>
      <c r="F408" s="431" t="s">
        <v>1097</v>
      </c>
      <c r="G408" s="431" t="s">
        <v>1098</v>
      </c>
      <c r="H408" s="431" t="s">
        <v>97</v>
      </c>
      <c r="I408" s="129"/>
      <c r="J408" s="586">
        <v>1440</v>
      </c>
      <c r="K408" s="95"/>
      <c r="L408" s="96"/>
      <c r="M408" s="541">
        <f>VLOOKUP(H408,名称!A:E,3,0)</f>
        <v>24</v>
      </c>
      <c r="N408" s="586">
        <f t="shared" ref="N408:N424" si="73">J408/M408</f>
        <v>60</v>
      </c>
      <c r="O408" s="549">
        <v>46308</v>
      </c>
      <c r="P408" s="549">
        <v>46308</v>
      </c>
      <c r="Q408" s="549">
        <v>46308</v>
      </c>
      <c r="R408" s="541"/>
      <c r="S408" s="420" t="s">
        <v>1133</v>
      </c>
      <c r="T408" s="541"/>
      <c r="U408" s="541"/>
      <c r="V408" s="541"/>
      <c r="W408" s="518" t="str">
        <f>IFERROR(VLOOKUP(H408,名称!A:F,6,0),"")</f>
        <v>湖南</v>
      </c>
      <c r="X408" s="431" t="s">
        <v>1248</v>
      </c>
      <c r="Y408" s="431" t="s">
        <v>1233</v>
      </c>
      <c r="Z408" s="541" t="s">
        <v>1233</v>
      </c>
      <c r="AA408" s="552"/>
      <c r="AB408" s="541"/>
      <c r="AC408" s="431" t="s">
        <v>1133</v>
      </c>
      <c r="AD408" s="431" t="s">
        <v>1133</v>
      </c>
      <c r="AE408" s="431" t="s">
        <v>510</v>
      </c>
      <c r="AF408" s="431" t="s">
        <v>1228</v>
      </c>
      <c r="AG408" s="431" t="s">
        <v>510</v>
      </c>
      <c r="AH408" s="431" t="s">
        <v>1133</v>
      </c>
      <c r="AI408" s="431" t="s">
        <v>1228</v>
      </c>
      <c r="AJ408" s="431" t="s">
        <v>1133</v>
      </c>
      <c r="AK408" s="431" t="s">
        <v>510</v>
      </c>
      <c r="AL408" s="541"/>
      <c r="AM408" s="541"/>
      <c r="AN408" s="431" t="s">
        <v>1491</v>
      </c>
      <c r="AO408" s="624">
        <v>0.64</v>
      </c>
      <c r="AP408" s="625">
        <f t="shared" si="65"/>
        <v>921.6</v>
      </c>
      <c r="AQ408" s="625">
        <f t="shared" si="66"/>
        <v>7142.4</v>
      </c>
      <c r="AR408" s="626"/>
      <c r="AS408" s="549"/>
      <c r="AT408" s="420" t="s">
        <v>1220</v>
      </c>
      <c r="AU408" s="548"/>
      <c r="AV408" s="548"/>
      <c r="AW408" s="627"/>
      <c r="AX408" s="549"/>
      <c r="AY408" s="420" t="s">
        <v>1269</v>
      </c>
      <c r="AZ408" s="420" t="s">
        <v>1492</v>
      </c>
      <c r="BA408" s="549"/>
      <c r="BB408" s="549" t="str">
        <f t="shared" si="67"/>
        <v>Kidland</v>
      </c>
      <c r="BC408" s="549" t="str">
        <f t="shared" si="68"/>
        <v>黎巴嫩</v>
      </c>
    </row>
    <row r="409" s="498" customFormat="1" customHeight="1" spans="1:55">
      <c r="A409" s="549">
        <v>46239</v>
      </c>
      <c r="B409" s="549" t="str">
        <f ca="1" t="shared" si="71"/>
        <v>异常</v>
      </c>
      <c r="C409" s="541" t="str">
        <f>VLOOKUP(H409,名称!A:E,4,0)</f>
        <v>三代</v>
      </c>
      <c r="D409" s="431" t="s">
        <v>1489</v>
      </c>
      <c r="E409" s="431" t="s">
        <v>1490</v>
      </c>
      <c r="F409" s="431" t="s">
        <v>1097</v>
      </c>
      <c r="G409" s="431" t="s">
        <v>1098</v>
      </c>
      <c r="H409" s="431" t="s">
        <v>98</v>
      </c>
      <c r="I409" s="129"/>
      <c r="J409" s="586">
        <v>1440</v>
      </c>
      <c r="K409" s="95"/>
      <c r="L409" s="96"/>
      <c r="M409" s="541">
        <f>VLOOKUP(H409,名称!A:E,3,0)</f>
        <v>12</v>
      </c>
      <c r="N409" s="586">
        <f t="shared" si="73"/>
        <v>120</v>
      </c>
      <c r="O409" s="549">
        <v>46308</v>
      </c>
      <c r="P409" s="549">
        <v>46308</v>
      </c>
      <c r="Q409" s="549">
        <v>46308</v>
      </c>
      <c r="R409" s="541"/>
      <c r="S409" s="420" t="s">
        <v>1133</v>
      </c>
      <c r="T409" s="541"/>
      <c r="U409" s="541"/>
      <c r="V409" s="541"/>
      <c r="W409" s="518" t="str">
        <f>IFERROR(VLOOKUP(H409,名称!A:F,6,0),"")</f>
        <v>湖南</v>
      </c>
      <c r="X409" s="431" t="s">
        <v>1248</v>
      </c>
      <c r="Y409" s="431" t="s">
        <v>1233</v>
      </c>
      <c r="Z409" s="541" t="s">
        <v>1233</v>
      </c>
      <c r="AA409" s="552"/>
      <c r="AB409" s="541"/>
      <c r="AC409" s="431" t="s">
        <v>1302</v>
      </c>
      <c r="AD409" s="431" t="s">
        <v>1133</v>
      </c>
      <c r="AE409" s="431" t="s">
        <v>510</v>
      </c>
      <c r="AF409" s="431" t="s">
        <v>1228</v>
      </c>
      <c r="AG409" s="431" t="s">
        <v>510</v>
      </c>
      <c r="AH409" s="431" t="s">
        <v>1307</v>
      </c>
      <c r="AI409" s="431" t="s">
        <v>1228</v>
      </c>
      <c r="AJ409" s="431" t="s">
        <v>1133</v>
      </c>
      <c r="AK409" s="431" t="s">
        <v>1133</v>
      </c>
      <c r="AL409" s="541"/>
      <c r="AM409" s="541"/>
      <c r="AN409" s="431" t="s">
        <v>1491</v>
      </c>
      <c r="AO409" s="624">
        <v>1.51</v>
      </c>
      <c r="AP409" s="625">
        <f t="shared" si="65"/>
        <v>2174.4</v>
      </c>
      <c r="AQ409" s="625">
        <f t="shared" si="66"/>
        <v>16851.6</v>
      </c>
      <c r="AR409" s="626"/>
      <c r="AS409" s="549"/>
      <c r="AT409" s="420" t="s">
        <v>1220</v>
      </c>
      <c r="AU409" s="548"/>
      <c r="AV409" s="548"/>
      <c r="AW409" s="627"/>
      <c r="AX409" s="549"/>
      <c r="AY409" s="420" t="s">
        <v>1269</v>
      </c>
      <c r="AZ409" s="420" t="s">
        <v>1492</v>
      </c>
      <c r="BA409" s="549"/>
      <c r="BB409" s="549" t="str">
        <f t="shared" si="67"/>
        <v>Kidland</v>
      </c>
      <c r="BC409" s="549" t="str">
        <f t="shared" si="68"/>
        <v>黎巴嫩</v>
      </c>
    </row>
    <row r="410" s="498" customFormat="1" customHeight="1" spans="1:55">
      <c r="A410" s="549">
        <v>46239</v>
      </c>
      <c r="B410" s="549" t="str">
        <f ca="1" t="shared" si="71"/>
        <v>异常</v>
      </c>
      <c r="C410" s="541" t="str">
        <f>VLOOKUP(H410,名称!A:E,4,0)</f>
        <v>三代</v>
      </c>
      <c r="D410" s="431" t="s">
        <v>1489</v>
      </c>
      <c r="E410" s="431" t="s">
        <v>1490</v>
      </c>
      <c r="F410" s="431" t="s">
        <v>1097</v>
      </c>
      <c r="G410" s="431" t="s">
        <v>1098</v>
      </c>
      <c r="H410" s="431" t="s">
        <v>94</v>
      </c>
      <c r="I410" s="129"/>
      <c r="J410" s="586">
        <v>2400</v>
      </c>
      <c r="K410" s="95"/>
      <c r="L410" s="96"/>
      <c r="M410" s="541">
        <f>VLOOKUP(H410,名称!A:E,3,0)</f>
        <v>24</v>
      </c>
      <c r="N410" s="586">
        <f t="shared" si="73"/>
        <v>100</v>
      </c>
      <c r="O410" s="549">
        <v>46308</v>
      </c>
      <c r="P410" s="549">
        <v>46308</v>
      </c>
      <c r="Q410" s="549">
        <v>46308</v>
      </c>
      <c r="R410" s="541"/>
      <c r="S410" s="420" t="s">
        <v>1133</v>
      </c>
      <c r="T410" s="541"/>
      <c r="U410" s="541"/>
      <c r="V410" s="541"/>
      <c r="W410" s="518" t="str">
        <f>IFERROR(VLOOKUP(H410,名称!A:F,6,0),"")</f>
        <v>湖南</v>
      </c>
      <c r="X410" s="431" t="s">
        <v>1248</v>
      </c>
      <c r="Y410" s="431" t="s">
        <v>1233</v>
      </c>
      <c r="Z410" s="541" t="s">
        <v>1233</v>
      </c>
      <c r="AA410" s="552"/>
      <c r="AB410" s="541"/>
      <c r="AC410" s="431" t="s">
        <v>1133</v>
      </c>
      <c r="AD410" s="431" t="s">
        <v>1133</v>
      </c>
      <c r="AE410" s="431" t="s">
        <v>510</v>
      </c>
      <c r="AF410" s="431" t="s">
        <v>1228</v>
      </c>
      <c r="AG410" s="431" t="s">
        <v>510</v>
      </c>
      <c r="AH410" s="431" t="s">
        <v>1133</v>
      </c>
      <c r="AI410" s="431" t="s">
        <v>1228</v>
      </c>
      <c r="AJ410" s="431" t="s">
        <v>1133</v>
      </c>
      <c r="AK410" s="431" t="s">
        <v>510</v>
      </c>
      <c r="AL410" s="541"/>
      <c r="AM410" s="541"/>
      <c r="AN410" s="431" t="s">
        <v>1491</v>
      </c>
      <c r="AO410" s="624">
        <v>0.64</v>
      </c>
      <c r="AP410" s="625">
        <f t="shared" si="65"/>
        <v>1536</v>
      </c>
      <c r="AQ410" s="625">
        <f t="shared" si="66"/>
        <v>11904</v>
      </c>
      <c r="AR410" s="626"/>
      <c r="AS410" s="549"/>
      <c r="AT410" s="420" t="s">
        <v>1220</v>
      </c>
      <c r="AU410" s="548"/>
      <c r="AV410" s="548"/>
      <c r="AW410" s="627"/>
      <c r="AX410" s="549"/>
      <c r="AY410" s="420" t="s">
        <v>1269</v>
      </c>
      <c r="AZ410" s="420" t="s">
        <v>1492</v>
      </c>
      <c r="BA410" s="549"/>
      <c r="BB410" s="549" t="str">
        <f t="shared" si="67"/>
        <v>Kidland</v>
      </c>
      <c r="BC410" s="549" t="str">
        <f t="shared" si="68"/>
        <v>黎巴嫩</v>
      </c>
    </row>
    <row r="411" s="498" customFormat="1" customHeight="1" spans="1:55">
      <c r="A411" s="549">
        <v>46239</v>
      </c>
      <c r="B411" s="549" t="str">
        <f ca="1" t="shared" si="71"/>
        <v>异常</v>
      </c>
      <c r="C411" s="541" t="str">
        <f>VLOOKUP(H411,名称!A:E,4,0)</f>
        <v>三代</v>
      </c>
      <c r="D411" s="431" t="s">
        <v>1489</v>
      </c>
      <c r="E411" s="431" t="s">
        <v>1490</v>
      </c>
      <c r="F411" s="431" t="s">
        <v>1097</v>
      </c>
      <c r="G411" s="431" t="s">
        <v>1098</v>
      </c>
      <c r="H411" s="431" t="s">
        <v>92</v>
      </c>
      <c r="I411" s="129"/>
      <c r="J411" s="586">
        <v>1600</v>
      </c>
      <c r="K411" s="95"/>
      <c r="L411" s="96"/>
      <c r="M411" s="541">
        <f>VLOOKUP(H411,名称!A:E,3,0)</f>
        <v>16</v>
      </c>
      <c r="N411" s="586">
        <f t="shared" si="73"/>
        <v>100</v>
      </c>
      <c r="O411" s="549">
        <v>46308</v>
      </c>
      <c r="P411" s="549">
        <v>46308</v>
      </c>
      <c r="Q411" s="549">
        <v>46308</v>
      </c>
      <c r="R411" s="541"/>
      <c r="S411" s="420" t="s">
        <v>1133</v>
      </c>
      <c r="T411" s="541"/>
      <c r="U411" s="541"/>
      <c r="V411" s="541"/>
      <c r="W411" s="518" t="str">
        <f>IFERROR(VLOOKUP(H411,名称!A:F,6,0),"")</f>
        <v>湖南</v>
      </c>
      <c r="X411" s="431" t="s">
        <v>1248</v>
      </c>
      <c r="Y411" s="431" t="s">
        <v>1233</v>
      </c>
      <c r="Z411" s="541" t="s">
        <v>1233</v>
      </c>
      <c r="AA411" s="552"/>
      <c r="AB411" s="541"/>
      <c r="AC411" s="431" t="s">
        <v>1284</v>
      </c>
      <c r="AD411" s="431" t="s">
        <v>1228</v>
      </c>
      <c r="AE411" s="431" t="s">
        <v>510</v>
      </c>
      <c r="AF411" s="431" t="s">
        <v>1228</v>
      </c>
      <c r="AG411" s="431" t="s">
        <v>510</v>
      </c>
      <c r="AH411" s="431" t="s">
        <v>1307</v>
      </c>
      <c r="AI411" s="431" t="s">
        <v>1228</v>
      </c>
      <c r="AJ411" s="431" t="s">
        <v>1133</v>
      </c>
      <c r="AK411" s="431" t="s">
        <v>1133</v>
      </c>
      <c r="AL411" s="541"/>
      <c r="AM411" s="541"/>
      <c r="AN411" s="431" t="s">
        <v>1491</v>
      </c>
      <c r="AO411" s="624">
        <v>0.9</v>
      </c>
      <c r="AP411" s="625">
        <f t="shared" si="65"/>
        <v>1440</v>
      </c>
      <c r="AQ411" s="625">
        <f t="shared" si="66"/>
        <v>11160</v>
      </c>
      <c r="AR411" s="626"/>
      <c r="AS411" s="549"/>
      <c r="AT411" s="420" t="s">
        <v>1220</v>
      </c>
      <c r="AU411" s="548"/>
      <c r="AV411" s="548"/>
      <c r="AW411" s="627"/>
      <c r="AX411" s="549"/>
      <c r="AY411" s="420" t="s">
        <v>1269</v>
      </c>
      <c r="AZ411" s="420" t="s">
        <v>1492</v>
      </c>
      <c r="BA411" s="549"/>
      <c r="BB411" s="549" t="str">
        <f t="shared" si="67"/>
        <v>Kidland</v>
      </c>
      <c r="BC411" s="549" t="str">
        <f t="shared" si="68"/>
        <v>黎巴嫩</v>
      </c>
    </row>
    <row r="412" s="498" customFormat="1" customHeight="1" spans="1:55">
      <c r="A412" s="549">
        <v>46239</v>
      </c>
      <c r="B412" s="549" t="str">
        <f ca="1" t="shared" si="71"/>
        <v>异常</v>
      </c>
      <c r="C412" s="541" t="str">
        <f>VLOOKUP(H412,名称!A:E,4,0)</f>
        <v>三代</v>
      </c>
      <c r="D412" s="431" t="s">
        <v>1489</v>
      </c>
      <c r="E412" s="431" t="s">
        <v>1490</v>
      </c>
      <c r="F412" s="431" t="s">
        <v>1097</v>
      </c>
      <c r="G412" s="431" t="s">
        <v>1098</v>
      </c>
      <c r="H412" s="431" t="s">
        <v>95</v>
      </c>
      <c r="I412" s="129"/>
      <c r="J412" s="586">
        <v>720</v>
      </c>
      <c r="K412" s="95"/>
      <c r="L412" s="96"/>
      <c r="M412" s="541">
        <f>VLOOKUP(H412,名称!A:E,3,0)</f>
        <v>4</v>
      </c>
      <c r="N412" s="586">
        <f t="shared" si="73"/>
        <v>180</v>
      </c>
      <c r="O412" s="549">
        <v>46308</v>
      </c>
      <c r="P412" s="549">
        <v>46308</v>
      </c>
      <c r="Q412" s="549">
        <v>46308</v>
      </c>
      <c r="R412" s="541"/>
      <c r="S412" s="420" t="s">
        <v>1133</v>
      </c>
      <c r="T412" s="541"/>
      <c r="U412" s="541"/>
      <c r="V412" s="541"/>
      <c r="W412" s="518" t="str">
        <f>IFERROR(VLOOKUP(H412,名称!A:F,6,0),"")</f>
        <v>湖南</v>
      </c>
      <c r="X412" s="431" t="s">
        <v>1248</v>
      </c>
      <c r="Y412" s="431" t="s">
        <v>1233</v>
      </c>
      <c r="Z412" s="541" t="s">
        <v>1233</v>
      </c>
      <c r="AA412" s="552"/>
      <c r="AB412" s="541"/>
      <c r="AC412" s="431" t="s">
        <v>1133</v>
      </c>
      <c r="AD412" s="431" t="s">
        <v>1133</v>
      </c>
      <c r="AE412" s="431" t="s">
        <v>510</v>
      </c>
      <c r="AF412" s="431" t="s">
        <v>1228</v>
      </c>
      <c r="AG412" s="431" t="s">
        <v>510</v>
      </c>
      <c r="AH412" s="431" t="s">
        <v>1307</v>
      </c>
      <c r="AI412" s="431" t="s">
        <v>1228</v>
      </c>
      <c r="AJ412" s="431" t="s">
        <v>1133</v>
      </c>
      <c r="AK412" s="431" t="s">
        <v>1133</v>
      </c>
      <c r="AL412" s="541"/>
      <c r="AM412" s="541"/>
      <c r="AN412" s="431" t="s">
        <v>1491</v>
      </c>
      <c r="AO412" s="624">
        <v>3.12</v>
      </c>
      <c r="AP412" s="625">
        <f t="shared" si="65"/>
        <v>2246.4</v>
      </c>
      <c r="AQ412" s="625">
        <f t="shared" si="66"/>
        <v>17409.6</v>
      </c>
      <c r="AR412" s="626"/>
      <c r="AS412" s="549"/>
      <c r="AT412" s="420" t="s">
        <v>1220</v>
      </c>
      <c r="AU412" s="548"/>
      <c r="AV412" s="548"/>
      <c r="AW412" s="627"/>
      <c r="AX412" s="549"/>
      <c r="AY412" s="420" t="s">
        <v>1269</v>
      </c>
      <c r="AZ412" s="420" t="s">
        <v>1492</v>
      </c>
      <c r="BA412" s="549"/>
      <c r="BB412" s="549" t="str">
        <f t="shared" si="67"/>
        <v>Kidland</v>
      </c>
      <c r="BC412" s="549" t="str">
        <f t="shared" si="68"/>
        <v>黎巴嫩</v>
      </c>
    </row>
    <row r="413" s="498" customFormat="1" customHeight="1" spans="1:55">
      <c r="A413" s="549">
        <v>46239</v>
      </c>
      <c r="B413" s="549" t="str">
        <f ca="1" t="shared" si="71"/>
        <v>异常</v>
      </c>
      <c r="C413" s="541" t="str">
        <f>VLOOKUP(H413,名称!A:E,4,0)</f>
        <v>三代</v>
      </c>
      <c r="D413" s="431" t="s">
        <v>1489</v>
      </c>
      <c r="E413" s="431" t="s">
        <v>1490</v>
      </c>
      <c r="F413" s="431" t="s">
        <v>1097</v>
      </c>
      <c r="G413" s="431" t="s">
        <v>1098</v>
      </c>
      <c r="H413" s="431" t="s">
        <v>179</v>
      </c>
      <c r="I413" s="129"/>
      <c r="J413" s="586">
        <v>2400</v>
      </c>
      <c r="K413" s="95"/>
      <c r="L413" s="96"/>
      <c r="M413" s="541">
        <f>VLOOKUP(H413,名称!A:E,3,0)</f>
        <v>24</v>
      </c>
      <c r="N413" s="586">
        <f t="shared" si="73"/>
        <v>100</v>
      </c>
      <c r="O413" s="549">
        <v>46308</v>
      </c>
      <c r="P413" s="549">
        <v>46308</v>
      </c>
      <c r="Q413" s="549">
        <v>46308</v>
      </c>
      <c r="R413" s="541"/>
      <c r="S413" s="420" t="s">
        <v>1133</v>
      </c>
      <c r="T413" s="541"/>
      <c r="U413" s="541"/>
      <c r="V413" s="541"/>
      <c r="W413" s="518" t="str">
        <f>IFERROR(VLOOKUP(H413,名称!A:F,6,0),"")</f>
        <v>湖南</v>
      </c>
      <c r="X413" s="431" t="s">
        <v>1248</v>
      </c>
      <c r="Y413" s="431" t="s">
        <v>1233</v>
      </c>
      <c r="Z413" s="541" t="s">
        <v>1233</v>
      </c>
      <c r="AA413" s="552"/>
      <c r="AB413" s="541"/>
      <c r="AC413" s="431" t="s">
        <v>1133</v>
      </c>
      <c r="AD413" s="431" t="s">
        <v>1133</v>
      </c>
      <c r="AE413" s="431" t="s">
        <v>510</v>
      </c>
      <c r="AF413" s="431" t="s">
        <v>1228</v>
      </c>
      <c r="AG413" s="431" t="s">
        <v>510</v>
      </c>
      <c r="AH413" s="431" t="s">
        <v>1133</v>
      </c>
      <c r="AI413" s="431" t="s">
        <v>1228</v>
      </c>
      <c r="AJ413" s="431" t="s">
        <v>1133</v>
      </c>
      <c r="AK413" s="431" t="s">
        <v>510</v>
      </c>
      <c r="AL413" s="541"/>
      <c r="AM413" s="541"/>
      <c r="AN413" s="431" t="s">
        <v>1491</v>
      </c>
      <c r="AO413" s="624">
        <v>0.65</v>
      </c>
      <c r="AP413" s="625">
        <f t="shared" si="65"/>
        <v>1560</v>
      </c>
      <c r="AQ413" s="625">
        <f t="shared" si="66"/>
        <v>12090</v>
      </c>
      <c r="AR413" s="626"/>
      <c r="AS413" s="549"/>
      <c r="AT413" s="420" t="s">
        <v>1310</v>
      </c>
      <c r="AU413" s="548"/>
      <c r="AV413" s="548"/>
      <c r="AW413" s="627"/>
      <c r="AX413" s="549"/>
      <c r="AY413" s="420" t="s">
        <v>1269</v>
      </c>
      <c r="AZ413" s="420" t="s">
        <v>1492</v>
      </c>
      <c r="BA413" s="549"/>
      <c r="BB413" s="549" t="str">
        <f t="shared" si="67"/>
        <v>Kidland</v>
      </c>
      <c r="BC413" s="549" t="str">
        <f t="shared" si="68"/>
        <v>黎巴嫩</v>
      </c>
    </row>
    <row r="414" s="498" customFormat="1" customHeight="1" spans="1:55">
      <c r="A414" s="549">
        <v>46240</v>
      </c>
      <c r="B414" s="549" t="str">
        <f ca="1" t="shared" si="71"/>
        <v>异常</v>
      </c>
      <c r="C414" s="541" t="str">
        <f>VLOOKUP(H414,名称!A:E,4,0)</f>
        <v>三代</v>
      </c>
      <c r="D414" s="431" t="s">
        <v>1493</v>
      </c>
      <c r="E414" s="431" t="s">
        <v>1224</v>
      </c>
      <c r="F414" s="431" t="s">
        <v>1099</v>
      </c>
      <c r="G414" s="431" t="s">
        <v>1100</v>
      </c>
      <c r="H414" s="431" t="s">
        <v>59</v>
      </c>
      <c r="I414" s="129"/>
      <c r="J414" s="586">
        <v>20016</v>
      </c>
      <c r="K414" s="95"/>
      <c r="L414" s="96"/>
      <c r="M414" s="541">
        <f>VLOOKUP(H414,名称!A:E,3,0)</f>
        <v>24</v>
      </c>
      <c r="N414" s="586">
        <f t="shared" si="73"/>
        <v>834</v>
      </c>
      <c r="O414" s="549">
        <v>46360</v>
      </c>
      <c r="P414" s="549">
        <v>46360</v>
      </c>
      <c r="Q414" s="566">
        <v>46336</v>
      </c>
      <c r="R414" s="541"/>
      <c r="S414" s="566">
        <v>46337</v>
      </c>
      <c r="T414" s="541"/>
      <c r="U414" s="541"/>
      <c r="V414" s="431" t="s">
        <v>1494</v>
      </c>
      <c r="W414" s="518" t="str">
        <f>IFERROR(VLOOKUP(H414,名称!A:F,6,0),"")</f>
        <v>湖南</v>
      </c>
      <c r="X414" s="431" t="s">
        <v>1133</v>
      </c>
      <c r="Y414" s="431" t="s">
        <v>1133</v>
      </c>
      <c r="Z414" s="541" t="s">
        <v>1233</v>
      </c>
      <c r="AA414" s="552"/>
      <c r="AB414" s="541"/>
      <c r="AC414" s="431" t="s">
        <v>1133</v>
      </c>
      <c r="AD414" s="431" t="s">
        <v>1133</v>
      </c>
      <c r="AE414" s="431" t="s">
        <v>270</v>
      </c>
      <c r="AF414" s="431" t="s">
        <v>1228</v>
      </c>
      <c r="AG414" s="431" t="s">
        <v>270</v>
      </c>
      <c r="AH414" s="431" t="s">
        <v>1133</v>
      </c>
      <c r="AI414" s="431" t="s">
        <v>1228</v>
      </c>
      <c r="AJ414" s="431" t="s">
        <v>1133</v>
      </c>
      <c r="AK414" s="431" t="s">
        <v>270</v>
      </c>
      <c r="AL414" s="541"/>
      <c r="AM414" s="541"/>
      <c r="AN414" s="541"/>
      <c r="AO414" s="624">
        <v>0.62</v>
      </c>
      <c r="AP414" s="625">
        <f t="shared" si="65"/>
        <v>12409.92</v>
      </c>
      <c r="AQ414" s="625">
        <f t="shared" si="66"/>
        <v>96176.88</v>
      </c>
      <c r="AR414" s="626"/>
      <c r="AS414" s="549"/>
      <c r="AT414" s="420" t="s">
        <v>1220</v>
      </c>
      <c r="AU414" s="548"/>
      <c r="AV414" s="548"/>
      <c r="AW414" s="627"/>
      <c r="AX414" s="549"/>
      <c r="AY414" s="420" t="s">
        <v>1255</v>
      </c>
      <c r="AZ414" s="420" t="s">
        <v>1492</v>
      </c>
      <c r="BA414" s="549"/>
      <c r="BB414" s="549" t="str">
        <f t="shared" si="67"/>
        <v> JAZWARES - TARGET</v>
      </c>
      <c r="BC414" s="549" t="str">
        <f t="shared" si="68"/>
        <v>美国</v>
      </c>
    </row>
    <row r="415" s="498" customFormat="1" customHeight="1" spans="1:55">
      <c r="A415" s="549">
        <v>46240</v>
      </c>
      <c r="B415" s="549" t="str">
        <f ca="1" t="shared" si="71"/>
        <v>异常</v>
      </c>
      <c r="C415" s="541" t="str">
        <f>VLOOKUP(H415,名称!A:E,4,0)</f>
        <v>三代</v>
      </c>
      <c r="D415" s="431" t="s">
        <v>1493</v>
      </c>
      <c r="E415" s="431" t="s">
        <v>1224</v>
      </c>
      <c r="F415" s="431" t="s">
        <v>1101</v>
      </c>
      <c r="G415" s="431" t="s">
        <v>1102</v>
      </c>
      <c r="H415" s="431" t="s">
        <v>59</v>
      </c>
      <c r="I415" s="129"/>
      <c r="J415" s="586">
        <v>20016</v>
      </c>
      <c r="K415" s="95"/>
      <c r="L415" s="96"/>
      <c r="M415" s="541">
        <f>VLOOKUP(H415,名称!A:E,3,0)</f>
        <v>24</v>
      </c>
      <c r="N415" s="586">
        <f t="shared" si="73"/>
        <v>834</v>
      </c>
      <c r="O415" s="549">
        <v>46374</v>
      </c>
      <c r="P415" s="566">
        <v>46336</v>
      </c>
      <c r="Q415" s="566">
        <v>46336</v>
      </c>
      <c r="R415" s="541"/>
      <c r="S415" s="566">
        <v>46337</v>
      </c>
      <c r="T415" s="541"/>
      <c r="U415" s="541"/>
      <c r="V415" s="541"/>
      <c r="W415" s="518" t="str">
        <f>IFERROR(VLOOKUP(H415,名称!A:F,6,0),"")</f>
        <v>湖南</v>
      </c>
      <c r="X415" s="431" t="s">
        <v>1133</v>
      </c>
      <c r="Y415" s="431" t="s">
        <v>1133</v>
      </c>
      <c r="Z415" s="541" t="s">
        <v>1233</v>
      </c>
      <c r="AA415" s="552"/>
      <c r="AB415" s="541"/>
      <c r="AC415" s="431" t="s">
        <v>1133</v>
      </c>
      <c r="AD415" s="431" t="s">
        <v>1133</v>
      </c>
      <c r="AE415" s="431" t="s">
        <v>270</v>
      </c>
      <c r="AF415" s="431" t="s">
        <v>1228</v>
      </c>
      <c r="AG415" s="431" t="s">
        <v>270</v>
      </c>
      <c r="AH415" s="431" t="s">
        <v>1133</v>
      </c>
      <c r="AI415" s="431" t="s">
        <v>1228</v>
      </c>
      <c r="AJ415" s="431" t="s">
        <v>1133</v>
      </c>
      <c r="AK415" s="431" t="s">
        <v>270</v>
      </c>
      <c r="AL415" s="541"/>
      <c r="AM415" s="541"/>
      <c r="AN415" s="541"/>
      <c r="AO415" s="624">
        <v>0.62</v>
      </c>
      <c r="AP415" s="625">
        <f t="shared" si="65"/>
        <v>12409.92</v>
      </c>
      <c r="AQ415" s="625">
        <f t="shared" si="66"/>
        <v>96176.88</v>
      </c>
      <c r="AR415" s="626"/>
      <c r="AS415" s="549"/>
      <c r="AT415" s="420" t="s">
        <v>1220</v>
      </c>
      <c r="AU415" s="548"/>
      <c r="AV415" s="548"/>
      <c r="AW415" s="627"/>
      <c r="AX415" s="549"/>
      <c r="AY415" s="420" t="s">
        <v>1255</v>
      </c>
      <c r="AZ415" s="420" t="s">
        <v>1492</v>
      </c>
      <c r="BA415" s="549"/>
      <c r="BB415" s="549" t="str">
        <f t="shared" si="67"/>
        <v> JAZWARES - TARGET</v>
      </c>
      <c r="BC415" s="549" t="str">
        <f t="shared" si="68"/>
        <v>美国</v>
      </c>
    </row>
    <row r="416" s="498" customFormat="1" customHeight="1" spans="1:55">
      <c r="A416" s="549">
        <v>46240</v>
      </c>
      <c r="B416" s="549" t="str">
        <f ca="1" t="shared" si="71"/>
        <v>异常</v>
      </c>
      <c r="C416" s="541" t="str">
        <f>VLOOKUP(H416,名称!A:E,4,0)</f>
        <v>三代</v>
      </c>
      <c r="D416" s="431" t="s">
        <v>1493</v>
      </c>
      <c r="E416" s="431" t="s">
        <v>1224</v>
      </c>
      <c r="F416" s="431" t="s">
        <v>1103</v>
      </c>
      <c r="G416" s="431" t="s">
        <v>1104</v>
      </c>
      <c r="H416" s="431" t="s">
        <v>199</v>
      </c>
      <c r="I416" s="129"/>
      <c r="J416" s="586">
        <v>30000</v>
      </c>
      <c r="K416" s="95"/>
      <c r="L416" s="96"/>
      <c r="M416" s="541">
        <f>VLOOKUP(H416,名称!A:E,3,0)</f>
        <v>24</v>
      </c>
      <c r="N416" s="586">
        <f t="shared" si="73"/>
        <v>1250</v>
      </c>
      <c r="O416" s="549">
        <v>46356</v>
      </c>
      <c r="P416" s="549">
        <v>46356</v>
      </c>
      <c r="Q416" s="549">
        <v>46356</v>
      </c>
      <c r="R416" s="541"/>
      <c r="S416" s="549">
        <v>46356</v>
      </c>
      <c r="T416" s="541"/>
      <c r="U416" s="541"/>
      <c r="V416" s="541"/>
      <c r="W416" s="518" t="str">
        <f>IFERROR(VLOOKUP(H416,名称!A:F,6,0),"")</f>
        <v>湖南</v>
      </c>
      <c r="X416" s="431" t="s">
        <v>1133</v>
      </c>
      <c r="Y416" s="431" t="s">
        <v>1133</v>
      </c>
      <c r="Z416" s="541" t="s">
        <v>1233</v>
      </c>
      <c r="AA416" s="552"/>
      <c r="AB416" s="541"/>
      <c r="AC416" s="431" t="s">
        <v>1133</v>
      </c>
      <c r="AD416" s="431" t="s">
        <v>1133</v>
      </c>
      <c r="AE416" s="431" t="s">
        <v>270</v>
      </c>
      <c r="AF416" s="431" t="s">
        <v>1228</v>
      </c>
      <c r="AG416" s="431" t="s">
        <v>270</v>
      </c>
      <c r="AH416" s="431" t="s">
        <v>1133</v>
      </c>
      <c r="AI416" s="431" t="s">
        <v>1228</v>
      </c>
      <c r="AJ416" s="431" t="s">
        <v>1133</v>
      </c>
      <c r="AK416" s="431" t="s">
        <v>270</v>
      </c>
      <c r="AL416" s="541"/>
      <c r="AM416" s="541"/>
      <c r="AN416" s="541"/>
      <c r="AO416" s="624">
        <v>0.88</v>
      </c>
      <c r="AP416" s="625">
        <f t="shared" si="65"/>
        <v>26400</v>
      </c>
      <c r="AQ416" s="625">
        <f t="shared" si="66"/>
        <v>204600</v>
      </c>
      <c r="AR416" s="626"/>
      <c r="AS416" s="549"/>
      <c r="AT416" s="420" t="s">
        <v>1310</v>
      </c>
      <c r="AU416" s="548"/>
      <c r="AV416" s="548">
        <f>AU416-J416</f>
        <v>-30000</v>
      </c>
      <c r="AW416" s="627"/>
      <c r="AX416" s="549"/>
      <c r="AY416" s="420" t="s">
        <v>1255</v>
      </c>
      <c r="AZ416" s="420" t="s">
        <v>1492</v>
      </c>
      <c r="BA416" s="549"/>
      <c r="BB416" s="549" t="str">
        <f t="shared" si="67"/>
        <v> JAZWARES - TARGET</v>
      </c>
      <c r="BC416" s="549" t="str">
        <f t="shared" si="68"/>
        <v>美国</v>
      </c>
    </row>
    <row r="417" s="498" customFormat="1" customHeight="1" spans="1:55">
      <c r="A417" s="549">
        <v>46240</v>
      </c>
      <c r="B417" s="549" t="str">
        <f ca="1" t="shared" si="71"/>
        <v>异常</v>
      </c>
      <c r="C417" s="541" t="str">
        <f>VLOOKUP(H417,名称!A:E,4,0)</f>
        <v>三代</v>
      </c>
      <c r="D417" s="431" t="s">
        <v>1493</v>
      </c>
      <c r="E417" s="431" t="s">
        <v>1224</v>
      </c>
      <c r="F417" s="431" t="s">
        <v>1105</v>
      </c>
      <c r="G417" s="431" t="s">
        <v>1106</v>
      </c>
      <c r="H417" s="431" t="s">
        <v>199</v>
      </c>
      <c r="I417" s="129"/>
      <c r="J417" s="586">
        <v>20016</v>
      </c>
      <c r="K417" s="95"/>
      <c r="L417" s="96"/>
      <c r="M417" s="541">
        <f>VLOOKUP(H417,名称!A:E,3,0)</f>
        <v>24</v>
      </c>
      <c r="N417" s="586">
        <f t="shared" si="73"/>
        <v>834</v>
      </c>
      <c r="O417" s="549">
        <v>46370</v>
      </c>
      <c r="P417" s="549">
        <v>46370</v>
      </c>
      <c r="Q417" s="549">
        <v>46370</v>
      </c>
      <c r="R417" s="541"/>
      <c r="S417" s="549">
        <v>46370</v>
      </c>
      <c r="T417" s="541"/>
      <c r="U417" s="541"/>
      <c r="V417" s="541"/>
      <c r="W417" s="518" t="str">
        <f>IFERROR(VLOOKUP(H417,名称!A:F,6,0),"")</f>
        <v>湖南</v>
      </c>
      <c r="X417" s="431" t="s">
        <v>1133</v>
      </c>
      <c r="Y417" s="431" t="s">
        <v>1133</v>
      </c>
      <c r="Z417" s="541" t="s">
        <v>1233</v>
      </c>
      <c r="AA417" s="552"/>
      <c r="AB417" s="541"/>
      <c r="AC417" s="431" t="s">
        <v>1133</v>
      </c>
      <c r="AD417" s="431" t="s">
        <v>1133</v>
      </c>
      <c r="AE417" s="431" t="s">
        <v>270</v>
      </c>
      <c r="AF417" s="431" t="s">
        <v>1228</v>
      </c>
      <c r="AG417" s="431" t="s">
        <v>270</v>
      </c>
      <c r="AH417" s="431" t="s">
        <v>1133</v>
      </c>
      <c r="AI417" s="431" t="s">
        <v>1228</v>
      </c>
      <c r="AJ417" s="431" t="s">
        <v>1133</v>
      </c>
      <c r="AK417" s="431" t="s">
        <v>270</v>
      </c>
      <c r="AL417" s="541"/>
      <c r="AM417" s="541"/>
      <c r="AN417" s="541"/>
      <c r="AO417" s="624">
        <v>0.88</v>
      </c>
      <c r="AP417" s="625">
        <f t="shared" si="65"/>
        <v>17614.08</v>
      </c>
      <c r="AQ417" s="625">
        <f t="shared" si="66"/>
        <v>136509.12</v>
      </c>
      <c r="AR417" s="626"/>
      <c r="AS417" s="549"/>
      <c r="AT417" s="420" t="s">
        <v>1310</v>
      </c>
      <c r="AU417" s="548"/>
      <c r="AV417" s="548">
        <f>AU417-J417</f>
        <v>-20016</v>
      </c>
      <c r="AW417" s="627"/>
      <c r="AX417" s="549"/>
      <c r="AY417" s="420" t="s">
        <v>1255</v>
      </c>
      <c r="AZ417" s="420" t="s">
        <v>1492</v>
      </c>
      <c r="BA417" s="549"/>
      <c r="BB417" s="549" t="str">
        <f t="shared" si="67"/>
        <v> JAZWARES - TARGET</v>
      </c>
      <c r="BC417" s="549" t="str">
        <f t="shared" si="68"/>
        <v>美国</v>
      </c>
    </row>
    <row r="418" s="498" customFormat="1" customHeight="1" spans="1:55">
      <c r="A418" s="549">
        <v>46240</v>
      </c>
      <c r="B418" s="549" t="str">
        <f ca="1" t="shared" si="71"/>
        <v>异常</v>
      </c>
      <c r="C418" s="541" t="str">
        <f>VLOOKUP(H418,名称!A:E,4,0)</f>
        <v>三代</v>
      </c>
      <c r="D418" s="431" t="s">
        <v>1345</v>
      </c>
      <c r="E418" s="431" t="s">
        <v>1224</v>
      </c>
      <c r="F418" s="431" t="s">
        <v>1107</v>
      </c>
      <c r="G418" s="431" t="s">
        <v>1108</v>
      </c>
      <c r="H418" s="431" t="s">
        <v>59</v>
      </c>
      <c r="I418" s="129"/>
      <c r="J418" s="586">
        <v>17592</v>
      </c>
      <c r="K418" s="95"/>
      <c r="L418" s="96"/>
      <c r="M418" s="541">
        <f>VLOOKUP(H418,名称!A:E,3,0)</f>
        <v>24</v>
      </c>
      <c r="N418" s="586">
        <f t="shared" si="73"/>
        <v>733</v>
      </c>
      <c r="O418" s="549">
        <v>46332</v>
      </c>
      <c r="P418" s="549">
        <v>46332</v>
      </c>
      <c r="Q418" s="566">
        <v>46315</v>
      </c>
      <c r="R418" s="541"/>
      <c r="S418" s="566">
        <v>46316</v>
      </c>
      <c r="T418" s="541"/>
      <c r="U418" s="541"/>
      <c r="V418" s="541"/>
      <c r="W418" s="518" t="str">
        <f>IFERROR(VLOOKUP(H418,名称!A:F,6,0),"")</f>
        <v>湖南</v>
      </c>
      <c r="X418" s="431" t="s">
        <v>1133</v>
      </c>
      <c r="Y418" s="431" t="s">
        <v>1133</v>
      </c>
      <c r="Z418" s="541" t="s">
        <v>1233</v>
      </c>
      <c r="AA418" s="552"/>
      <c r="AB418" s="541"/>
      <c r="AC418" s="431" t="s">
        <v>1133</v>
      </c>
      <c r="AD418" s="431" t="s">
        <v>1133</v>
      </c>
      <c r="AE418" s="431" t="s">
        <v>270</v>
      </c>
      <c r="AF418" s="431" t="s">
        <v>1228</v>
      </c>
      <c r="AG418" s="431" t="s">
        <v>270</v>
      </c>
      <c r="AH418" s="431" t="s">
        <v>1133</v>
      </c>
      <c r="AI418" s="431" t="s">
        <v>1228</v>
      </c>
      <c r="AJ418" s="431" t="s">
        <v>1133</v>
      </c>
      <c r="AK418" s="431" t="s">
        <v>270</v>
      </c>
      <c r="AL418" s="541"/>
      <c r="AM418" s="541"/>
      <c r="AN418" s="541"/>
      <c r="AO418" s="624">
        <v>0.62</v>
      </c>
      <c r="AP418" s="625">
        <f t="shared" si="65"/>
        <v>10907.04</v>
      </c>
      <c r="AQ418" s="625">
        <f t="shared" si="66"/>
        <v>84529.56</v>
      </c>
      <c r="AR418" s="626"/>
      <c r="AS418" s="549"/>
      <c r="AT418" s="420" t="s">
        <v>1220</v>
      </c>
      <c r="AU418" s="548"/>
      <c r="AV418" s="548"/>
      <c r="AW418" s="627"/>
      <c r="AX418" s="549"/>
      <c r="AY418" s="420" t="s">
        <v>1255</v>
      </c>
      <c r="AZ418" s="420" t="s">
        <v>1492</v>
      </c>
      <c r="BA418" s="549"/>
      <c r="BB418" s="549" t="str">
        <f t="shared" si="67"/>
        <v>JAZWARES - TARGET</v>
      </c>
      <c r="BC418" s="549" t="str">
        <f t="shared" si="68"/>
        <v>美国</v>
      </c>
    </row>
    <row r="419" s="498" customFormat="1" customHeight="1" spans="1:55">
      <c r="A419" s="549">
        <v>46240</v>
      </c>
      <c r="B419" s="549" t="str">
        <f ca="1" t="shared" si="71"/>
        <v>异常</v>
      </c>
      <c r="C419" s="541" t="str">
        <f>VLOOKUP(H419,名称!A:E,4,0)</f>
        <v>三代</v>
      </c>
      <c r="D419" s="431" t="s">
        <v>1345</v>
      </c>
      <c r="E419" s="431" t="s">
        <v>1224</v>
      </c>
      <c r="F419" s="431" t="s">
        <v>1109</v>
      </c>
      <c r="G419" s="431" t="s">
        <v>1110</v>
      </c>
      <c r="H419" s="431" t="s">
        <v>199</v>
      </c>
      <c r="I419" s="129"/>
      <c r="J419" s="586">
        <v>30000</v>
      </c>
      <c r="K419" s="95"/>
      <c r="L419" s="96"/>
      <c r="M419" s="541">
        <f>VLOOKUP(H419,名称!A:E,3,0)</f>
        <v>24</v>
      </c>
      <c r="N419" s="586">
        <f t="shared" si="73"/>
        <v>1250</v>
      </c>
      <c r="O419" s="549">
        <v>46342</v>
      </c>
      <c r="P419" s="549">
        <v>46342</v>
      </c>
      <c r="Q419" s="549">
        <v>46342</v>
      </c>
      <c r="R419" s="541"/>
      <c r="S419" s="549">
        <v>46342</v>
      </c>
      <c r="T419" s="541"/>
      <c r="U419" s="541"/>
      <c r="V419" s="541"/>
      <c r="W419" s="518" t="str">
        <f>IFERROR(VLOOKUP(H419,名称!A:F,6,0),"")</f>
        <v>湖南</v>
      </c>
      <c r="X419" s="431" t="s">
        <v>1133</v>
      </c>
      <c r="Y419" s="431" t="s">
        <v>1133</v>
      </c>
      <c r="Z419" s="541" t="s">
        <v>1233</v>
      </c>
      <c r="AA419" s="552"/>
      <c r="AB419" s="541"/>
      <c r="AC419" s="431" t="s">
        <v>1133</v>
      </c>
      <c r="AD419" s="431" t="s">
        <v>1133</v>
      </c>
      <c r="AE419" s="431" t="s">
        <v>270</v>
      </c>
      <c r="AF419" s="431" t="s">
        <v>1228</v>
      </c>
      <c r="AG419" s="431" t="s">
        <v>270</v>
      </c>
      <c r="AH419" s="431" t="s">
        <v>1133</v>
      </c>
      <c r="AI419" s="431" t="s">
        <v>1228</v>
      </c>
      <c r="AJ419" s="431" t="s">
        <v>1133</v>
      </c>
      <c r="AK419" s="431" t="s">
        <v>270</v>
      </c>
      <c r="AL419" s="541"/>
      <c r="AM419" s="541"/>
      <c r="AN419" s="541"/>
      <c r="AO419" s="624">
        <v>0.88</v>
      </c>
      <c r="AP419" s="625">
        <f t="shared" si="65"/>
        <v>26400</v>
      </c>
      <c r="AQ419" s="625">
        <f t="shared" si="66"/>
        <v>204600</v>
      </c>
      <c r="AR419" s="626"/>
      <c r="AS419" s="549"/>
      <c r="AT419" s="420" t="s">
        <v>1310</v>
      </c>
      <c r="AU419" s="548"/>
      <c r="AV419" s="548">
        <f>AU419-J419</f>
        <v>-30000</v>
      </c>
      <c r="AW419" s="627"/>
      <c r="AX419" s="549"/>
      <c r="AY419" s="420" t="s">
        <v>1255</v>
      </c>
      <c r="AZ419" s="420" t="s">
        <v>1492</v>
      </c>
      <c r="BA419" s="549"/>
      <c r="BB419" s="549" t="str">
        <f t="shared" si="67"/>
        <v>JAZWARES - TARGET</v>
      </c>
      <c r="BC419" s="549" t="str">
        <f t="shared" si="68"/>
        <v>美国</v>
      </c>
    </row>
    <row r="420" s="498" customFormat="1" customHeight="1" spans="1:55">
      <c r="A420" s="549">
        <v>46241</v>
      </c>
      <c r="B420" s="549" t="str">
        <f ca="1" t="shared" si="71"/>
        <v>异常</v>
      </c>
      <c r="C420" s="541" t="str">
        <f>VLOOKUP(H420,名称!A:E,4,0)</f>
        <v>三代</v>
      </c>
      <c r="D420" s="431" t="s">
        <v>1408</v>
      </c>
      <c r="E420" s="431" t="s">
        <v>1224</v>
      </c>
      <c r="F420" s="431" t="s">
        <v>1119</v>
      </c>
      <c r="G420" s="431" t="s">
        <v>1120</v>
      </c>
      <c r="H420" s="431" t="s">
        <v>59</v>
      </c>
      <c r="I420" s="129"/>
      <c r="J420" s="586">
        <v>3816</v>
      </c>
      <c r="K420" s="95"/>
      <c r="L420" s="96"/>
      <c r="M420" s="541">
        <f>VLOOKUP(H420,名称!A:E,3,0)</f>
        <v>24</v>
      </c>
      <c r="N420" s="586">
        <f t="shared" si="73"/>
        <v>159</v>
      </c>
      <c r="O420" s="549">
        <v>46304</v>
      </c>
      <c r="P420" s="549">
        <v>46304</v>
      </c>
      <c r="Q420" s="549">
        <v>46304</v>
      </c>
      <c r="R420" s="541"/>
      <c r="S420" s="549">
        <v>46307</v>
      </c>
      <c r="T420" s="541"/>
      <c r="U420" s="541"/>
      <c r="V420" s="541"/>
      <c r="W420" s="586" t="str">
        <f>IFERROR(VLOOKUP(H420,名称!A:F,6,0),"")</f>
        <v>湖南</v>
      </c>
      <c r="X420" s="431" t="s">
        <v>1133</v>
      </c>
      <c r="Y420" s="431" t="s">
        <v>1133</v>
      </c>
      <c r="Z420" s="541" t="s">
        <v>1233</v>
      </c>
      <c r="AA420" s="552"/>
      <c r="AB420" s="541"/>
      <c r="AC420" s="431" t="s">
        <v>1133</v>
      </c>
      <c r="AD420" s="431" t="s">
        <v>1133</v>
      </c>
      <c r="AE420" s="431" t="s">
        <v>270</v>
      </c>
      <c r="AF420" s="431" t="s">
        <v>1228</v>
      </c>
      <c r="AG420" s="431" t="s">
        <v>270</v>
      </c>
      <c r="AH420" s="431" t="s">
        <v>1133</v>
      </c>
      <c r="AI420" s="431" t="s">
        <v>1228</v>
      </c>
      <c r="AJ420" s="431" t="s">
        <v>1133</v>
      </c>
      <c r="AK420" s="431" t="s">
        <v>270</v>
      </c>
      <c r="AL420" s="541"/>
      <c r="AM420" s="541"/>
      <c r="AN420" s="541"/>
      <c r="AO420" s="624">
        <v>0.62</v>
      </c>
      <c r="AP420" s="625">
        <f t="shared" si="65"/>
        <v>2365.92</v>
      </c>
      <c r="AQ420" s="625">
        <f t="shared" si="66"/>
        <v>18335.88</v>
      </c>
      <c r="AR420" s="626"/>
      <c r="AS420" s="549"/>
      <c r="AT420" s="420" t="s">
        <v>1220</v>
      </c>
      <c r="AU420" s="548"/>
      <c r="AV420" s="548"/>
      <c r="AW420" s="627"/>
      <c r="AX420" s="549"/>
      <c r="AY420" s="420" t="s">
        <v>1255</v>
      </c>
      <c r="AZ420" s="420" t="s">
        <v>1492</v>
      </c>
      <c r="BA420" s="549"/>
      <c r="BB420" s="549" t="str">
        <f t="shared" si="67"/>
        <v>JAZWARES - Kroger DOM</v>
      </c>
      <c r="BC420" s="549" t="str">
        <f t="shared" si="68"/>
        <v>美国</v>
      </c>
    </row>
    <row r="421" s="498" customFormat="1" customHeight="1" spans="1:55">
      <c r="A421" s="549">
        <v>46241</v>
      </c>
      <c r="B421" s="549" t="str">
        <f ca="1" t="shared" si="71"/>
        <v>异常</v>
      </c>
      <c r="C421" s="541" t="str">
        <f>VLOOKUP(H421,名称!A:E,4,0)</f>
        <v>三代</v>
      </c>
      <c r="D421" s="431" t="s">
        <v>1495</v>
      </c>
      <c r="E421" s="431" t="s">
        <v>1224</v>
      </c>
      <c r="F421" s="431" t="s">
        <v>1121</v>
      </c>
      <c r="G421" s="431" t="s">
        <v>1122</v>
      </c>
      <c r="H421" s="431" t="s">
        <v>59</v>
      </c>
      <c r="I421" s="129"/>
      <c r="J421" s="586">
        <v>5016</v>
      </c>
      <c r="K421" s="95"/>
      <c r="L421" s="96"/>
      <c r="M421" s="541">
        <f>VLOOKUP(H421,名称!A:E,3,0)</f>
        <v>24</v>
      </c>
      <c r="N421" s="586">
        <f t="shared" si="73"/>
        <v>209</v>
      </c>
      <c r="O421" s="549">
        <v>46318</v>
      </c>
      <c r="P421" s="549">
        <v>46318</v>
      </c>
      <c r="Q421" s="549">
        <v>46318</v>
      </c>
      <c r="R421" s="541"/>
      <c r="S421" s="420">
        <v>46321</v>
      </c>
      <c r="T421" s="541"/>
      <c r="U421" s="541"/>
      <c r="V421" s="541"/>
      <c r="W421" s="586" t="str">
        <f>IFERROR(VLOOKUP(H421,名称!A:F,6,0),"")</f>
        <v>湖南</v>
      </c>
      <c r="X421" s="431" t="s">
        <v>1133</v>
      </c>
      <c r="Y421" s="431" t="s">
        <v>1133</v>
      </c>
      <c r="Z421" s="541" t="s">
        <v>1233</v>
      </c>
      <c r="AA421" s="552"/>
      <c r="AB421" s="541"/>
      <c r="AC421" s="431" t="s">
        <v>1133</v>
      </c>
      <c r="AD421" s="431" t="s">
        <v>1133</v>
      </c>
      <c r="AE421" s="431" t="s">
        <v>270</v>
      </c>
      <c r="AF421" s="431" t="s">
        <v>1228</v>
      </c>
      <c r="AG421" s="431" t="s">
        <v>270</v>
      </c>
      <c r="AH421" s="431" t="s">
        <v>1133</v>
      </c>
      <c r="AI421" s="431" t="s">
        <v>1228</v>
      </c>
      <c r="AJ421" s="431" t="s">
        <v>1133</v>
      </c>
      <c r="AK421" s="431" t="s">
        <v>270</v>
      </c>
      <c r="AL421" s="541"/>
      <c r="AM421" s="541"/>
      <c r="AN421" s="541"/>
      <c r="AO421" s="624">
        <v>0.62</v>
      </c>
      <c r="AP421" s="625">
        <f t="shared" si="65"/>
        <v>3109.92</v>
      </c>
      <c r="AQ421" s="625">
        <f t="shared" si="66"/>
        <v>24101.88</v>
      </c>
      <c r="AR421" s="626"/>
      <c r="AS421" s="549"/>
      <c r="AT421" s="420" t="s">
        <v>1220</v>
      </c>
      <c r="AU421" s="548"/>
      <c r="AV421" s="548"/>
      <c r="AW421" s="627"/>
      <c r="AX421" s="549"/>
      <c r="AY421" s="420" t="s">
        <v>1255</v>
      </c>
      <c r="AZ421" s="420" t="s">
        <v>1492</v>
      </c>
      <c r="BA421" s="549"/>
      <c r="BB421" s="549" t="str">
        <f t="shared" si="67"/>
        <v>JAZWARES - FRED MEYER INC</v>
      </c>
      <c r="BC421" s="549" t="str">
        <f t="shared" si="68"/>
        <v>美国</v>
      </c>
    </row>
    <row r="422" s="498" customFormat="1" customHeight="1" spans="1:55">
      <c r="A422" s="549">
        <v>46241</v>
      </c>
      <c r="B422" s="549" t="str">
        <f ca="1" t="shared" si="71"/>
        <v>异常</v>
      </c>
      <c r="C422" s="541" t="str">
        <f>VLOOKUP(H422,名称!A:E,4,0)</f>
        <v>三代</v>
      </c>
      <c r="D422" s="431" t="s">
        <v>1495</v>
      </c>
      <c r="E422" s="431" t="s">
        <v>1224</v>
      </c>
      <c r="F422" s="431" t="s">
        <v>1123</v>
      </c>
      <c r="G422" s="431" t="s">
        <v>1124</v>
      </c>
      <c r="H422" s="431" t="s">
        <v>59</v>
      </c>
      <c r="I422" s="129"/>
      <c r="J422" s="586">
        <v>4008</v>
      </c>
      <c r="K422" s="95"/>
      <c r="L422" s="96"/>
      <c r="M422" s="541">
        <f>VLOOKUP(H422,名称!A:E,3,0)</f>
        <v>24</v>
      </c>
      <c r="N422" s="586">
        <f t="shared" si="73"/>
        <v>167</v>
      </c>
      <c r="O422" s="549">
        <v>46367</v>
      </c>
      <c r="P422" s="549">
        <v>46367</v>
      </c>
      <c r="Q422" s="549">
        <v>46367</v>
      </c>
      <c r="R422" s="541"/>
      <c r="S422" s="549">
        <v>46370</v>
      </c>
      <c r="T422" s="541"/>
      <c r="U422" s="541"/>
      <c r="V422" s="541"/>
      <c r="W422" s="586" t="str">
        <f>IFERROR(VLOOKUP(H422,名称!A:F,6,0),"")</f>
        <v>湖南</v>
      </c>
      <c r="X422" s="431" t="s">
        <v>1133</v>
      </c>
      <c r="Y422" s="431" t="s">
        <v>1133</v>
      </c>
      <c r="Z422" s="541" t="s">
        <v>1233</v>
      </c>
      <c r="AA422" s="552"/>
      <c r="AB422" s="541"/>
      <c r="AC422" s="431" t="s">
        <v>1133</v>
      </c>
      <c r="AD422" s="431" t="s">
        <v>1133</v>
      </c>
      <c r="AE422" s="431" t="s">
        <v>270</v>
      </c>
      <c r="AF422" s="431" t="s">
        <v>1228</v>
      </c>
      <c r="AG422" s="431" t="s">
        <v>270</v>
      </c>
      <c r="AH422" s="431" t="s">
        <v>1133</v>
      </c>
      <c r="AI422" s="431" t="s">
        <v>1228</v>
      </c>
      <c r="AJ422" s="431" t="s">
        <v>1133</v>
      </c>
      <c r="AK422" s="431" t="s">
        <v>270</v>
      </c>
      <c r="AL422" s="541"/>
      <c r="AM422" s="541"/>
      <c r="AN422" s="541"/>
      <c r="AO422" s="624">
        <v>0.62</v>
      </c>
      <c r="AP422" s="625">
        <f t="shared" si="65"/>
        <v>2484.96</v>
      </c>
      <c r="AQ422" s="625">
        <f t="shared" si="66"/>
        <v>19258.44</v>
      </c>
      <c r="AR422" s="626"/>
      <c r="AS422" s="549"/>
      <c r="AT422" s="420" t="s">
        <v>1220</v>
      </c>
      <c r="AU422" s="548"/>
      <c r="AV422" s="548"/>
      <c r="AW422" s="627"/>
      <c r="AX422" s="549"/>
      <c r="AY422" s="420" t="s">
        <v>1255</v>
      </c>
      <c r="AZ422" s="420" t="s">
        <v>1492</v>
      </c>
      <c r="BA422" s="549"/>
      <c r="BB422" s="549" t="str">
        <f t="shared" si="67"/>
        <v>JAZWARES - FRED MEYER INC</v>
      </c>
      <c r="BC422" s="549" t="str">
        <f t="shared" si="68"/>
        <v>美国</v>
      </c>
    </row>
    <row r="423" s="498" customFormat="1" customHeight="1" spans="1:55">
      <c r="A423" s="549">
        <v>46241</v>
      </c>
      <c r="B423" s="549" t="str">
        <f ca="1" t="shared" si="71"/>
        <v>异常</v>
      </c>
      <c r="C423" s="541" t="str">
        <f>VLOOKUP(H423,名称!A:E,4,0)</f>
        <v>三代</v>
      </c>
      <c r="D423" s="431" t="s">
        <v>1495</v>
      </c>
      <c r="E423" s="431" t="s">
        <v>1224</v>
      </c>
      <c r="F423" s="431" t="s">
        <v>1125</v>
      </c>
      <c r="G423" s="431" t="s">
        <v>1126</v>
      </c>
      <c r="H423" s="431" t="s">
        <v>59</v>
      </c>
      <c r="I423" s="129"/>
      <c r="J423" s="586">
        <v>6000</v>
      </c>
      <c r="K423" s="95"/>
      <c r="L423" s="96"/>
      <c r="M423" s="541">
        <f>VLOOKUP(H423,名称!A:E,3,0)</f>
        <v>24</v>
      </c>
      <c r="N423" s="586">
        <f t="shared" si="73"/>
        <v>250</v>
      </c>
      <c r="O423" s="549">
        <v>46304</v>
      </c>
      <c r="P423" s="549">
        <v>46304</v>
      </c>
      <c r="Q423" s="549">
        <v>46304</v>
      </c>
      <c r="R423" s="541"/>
      <c r="S423" s="549">
        <v>46307</v>
      </c>
      <c r="T423" s="541"/>
      <c r="U423" s="541"/>
      <c r="V423" s="541"/>
      <c r="W423" s="586" t="str">
        <f>IFERROR(VLOOKUP(H423,名称!A:F,6,0),"")</f>
        <v>湖南</v>
      </c>
      <c r="X423" s="431" t="s">
        <v>1133</v>
      </c>
      <c r="Y423" s="431" t="s">
        <v>1133</v>
      </c>
      <c r="Z423" s="541" t="s">
        <v>1233</v>
      </c>
      <c r="AA423" s="552"/>
      <c r="AB423" s="541"/>
      <c r="AC423" s="431" t="s">
        <v>1133</v>
      </c>
      <c r="AD423" s="431" t="s">
        <v>1133</v>
      </c>
      <c r="AE423" s="431" t="s">
        <v>270</v>
      </c>
      <c r="AF423" s="431" t="s">
        <v>1228</v>
      </c>
      <c r="AG423" s="431" t="s">
        <v>270</v>
      </c>
      <c r="AH423" s="431" t="s">
        <v>1133</v>
      </c>
      <c r="AI423" s="431" t="s">
        <v>1228</v>
      </c>
      <c r="AJ423" s="431" t="s">
        <v>1133</v>
      </c>
      <c r="AK423" s="431" t="s">
        <v>270</v>
      </c>
      <c r="AL423" s="541"/>
      <c r="AM423" s="541"/>
      <c r="AN423" s="541"/>
      <c r="AO423" s="624">
        <v>0.62</v>
      </c>
      <c r="AP423" s="625">
        <f t="shared" si="65"/>
        <v>3720</v>
      </c>
      <c r="AQ423" s="625">
        <f t="shared" si="66"/>
        <v>28830</v>
      </c>
      <c r="AR423" s="626"/>
      <c r="AS423" s="549"/>
      <c r="AT423" s="420" t="s">
        <v>1220</v>
      </c>
      <c r="AU423" s="548"/>
      <c r="AV423" s="548"/>
      <c r="AW423" s="627"/>
      <c r="AX423" s="549"/>
      <c r="AY423" s="420" t="s">
        <v>1255</v>
      </c>
      <c r="AZ423" s="420" t="s">
        <v>1492</v>
      </c>
      <c r="BA423" s="549"/>
      <c r="BB423" s="549" t="str">
        <f t="shared" si="67"/>
        <v>JAZWARES - FRED MEYER INC</v>
      </c>
      <c r="BC423" s="549" t="str">
        <f t="shared" si="68"/>
        <v>美国</v>
      </c>
    </row>
    <row r="424" s="498" customFormat="1" customHeight="1" spans="1:55">
      <c r="A424" s="549">
        <v>46241</v>
      </c>
      <c r="B424" s="549" t="str">
        <f ca="1" t="shared" si="71"/>
        <v>异常</v>
      </c>
      <c r="C424" s="541" t="str">
        <f>VLOOKUP(H424,名称!A:E,4,0)</f>
        <v>三代</v>
      </c>
      <c r="D424" s="431" t="s">
        <v>1495</v>
      </c>
      <c r="E424" s="431" t="s">
        <v>1224</v>
      </c>
      <c r="F424" s="431" t="s">
        <v>1127</v>
      </c>
      <c r="G424" s="431" t="s">
        <v>1128</v>
      </c>
      <c r="H424" s="431" t="s">
        <v>59</v>
      </c>
      <c r="I424" s="129"/>
      <c r="J424" s="586">
        <v>5016</v>
      </c>
      <c r="K424" s="95"/>
      <c r="L424" s="96"/>
      <c r="M424" s="541">
        <f>VLOOKUP(H424,名称!A:E,3,0)</f>
        <v>24</v>
      </c>
      <c r="N424" s="586">
        <f t="shared" si="73"/>
        <v>209</v>
      </c>
      <c r="O424" s="549">
        <v>46304</v>
      </c>
      <c r="P424" s="549">
        <v>46304</v>
      </c>
      <c r="Q424" s="549">
        <v>46304</v>
      </c>
      <c r="R424" s="541"/>
      <c r="S424" s="549">
        <v>46307</v>
      </c>
      <c r="T424" s="541"/>
      <c r="U424" s="541"/>
      <c r="V424" s="541"/>
      <c r="W424" s="586" t="str">
        <f>IFERROR(VLOOKUP(H424,名称!A:F,6,0),"")</f>
        <v>湖南</v>
      </c>
      <c r="X424" s="431" t="s">
        <v>1133</v>
      </c>
      <c r="Y424" s="431" t="s">
        <v>1133</v>
      </c>
      <c r="Z424" s="541" t="s">
        <v>1233</v>
      </c>
      <c r="AA424" s="552"/>
      <c r="AB424" s="541"/>
      <c r="AC424" s="431" t="s">
        <v>1133</v>
      </c>
      <c r="AD424" s="431" t="s">
        <v>1133</v>
      </c>
      <c r="AE424" s="431" t="s">
        <v>270</v>
      </c>
      <c r="AF424" s="431" t="s">
        <v>1228</v>
      </c>
      <c r="AG424" s="431" t="s">
        <v>270</v>
      </c>
      <c r="AH424" s="431" t="s">
        <v>1133</v>
      </c>
      <c r="AI424" s="431" t="s">
        <v>1228</v>
      </c>
      <c r="AJ424" s="431" t="s">
        <v>1133</v>
      </c>
      <c r="AK424" s="431" t="s">
        <v>270</v>
      </c>
      <c r="AL424" s="541"/>
      <c r="AM424" s="541"/>
      <c r="AN424" s="541"/>
      <c r="AO424" s="624">
        <v>0.62</v>
      </c>
      <c r="AP424" s="625">
        <f t="shared" si="65"/>
        <v>3109.92</v>
      </c>
      <c r="AQ424" s="625">
        <f t="shared" si="66"/>
        <v>24101.88</v>
      </c>
      <c r="AR424" s="626"/>
      <c r="AS424" s="549"/>
      <c r="AT424" s="420" t="s">
        <v>1220</v>
      </c>
      <c r="AU424" s="548"/>
      <c r="AV424" s="548"/>
      <c r="AW424" s="627"/>
      <c r="AX424" s="549"/>
      <c r="AY424" s="420" t="s">
        <v>1255</v>
      </c>
      <c r="AZ424" s="420" t="s">
        <v>1492</v>
      </c>
      <c r="BA424" s="549"/>
      <c r="BB424" s="549" t="str">
        <f t="shared" si="67"/>
        <v>JAZWARES - FRED MEYER INC</v>
      </c>
      <c r="BC424" s="549" t="str">
        <f t="shared" si="68"/>
        <v>美国</v>
      </c>
    </row>
    <row r="425" s="499" customFormat="1" customHeight="1" spans="1:55">
      <c r="A425" s="566">
        <v>46244</v>
      </c>
      <c r="B425" s="566" t="str">
        <f ca="1" t="shared" si="71"/>
        <v>异常</v>
      </c>
      <c r="C425" s="604" t="str">
        <f>VLOOKUP(H425,名称!A:E,4,0)</f>
        <v>三代</v>
      </c>
      <c r="D425" s="422" t="s">
        <v>1352</v>
      </c>
      <c r="E425" s="422" t="s">
        <v>1224</v>
      </c>
      <c r="F425" s="422" t="s">
        <v>839</v>
      </c>
      <c r="G425" s="422" t="s">
        <v>1129</v>
      </c>
      <c r="H425" s="422" t="s">
        <v>119</v>
      </c>
      <c r="I425" s="641"/>
      <c r="J425" s="623">
        <v>50</v>
      </c>
      <c r="K425" s="642"/>
      <c r="L425" s="643"/>
      <c r="M425" s="604"/>
      <c r="N425" s="623"/>
      <c r="O425" s="566">
        <v>46248</v>
      </c>
      <c r="P425" s="566">
        <v>46248</v>
      </c>
      <c r="Q425" s="594"/>
      <c r="R425" s="604"/>
      <c r="S425" s="594"/>
      <c r="T425" s="604"/>
      <c r="U425" s="604"/>
      <c r="V425" s="604"/>
      <c r="W425" s="623" t="str">
        <f>IFERROR(VLOOKUP(H425,名称!A:F,6,0),"")</f>
        <v>湖南</v>
      </c>
      <c r="X425" s="422"/>
      <c r="Y425" s="422"/>
      <c r="Z425" s="422"/>
      <c r="AA425" s="422"/>
      <c r="AB425" s="422"/>
      <c r="AC425" s="422"/>
      <c r="AD425" s="422" t="s">
        <v>1133</v>
      </c>
      <c r="AE425" s="422" t="s">
        <v>510</v>
      </c>
      <c r="AF425" s="422" t="s">
        <v>1228</v>
      </c>
      <c r="AG425" s="422"/>
      <c r="AH425" s="422" t="s">
        <v>1133</v>
      </c>
      <c r="AI425" s="422" t="s">
        <v>1228</v>
      </c>
      <c r="AJ425" s="422" t="s">
        <v>1133</v>
      </c>
      <c r="AK425" s="422" t="s">
        <v>510</v>
      </c>
      <c r="AL425" s="604"/>
      <c r="AM425" s="604"/>
      <c r="AN425" s="422"/>
      <c r="AO425" s="644"/>
      <c r="AP425" s="645">
        <f t="shared" si="65"/>
        <v>0</v>
      </c>
      <c r="AQ425" s="645">
        <f t="shared" si="66"/>
        <v>0</v>
      </c>
      <c r="AR425" s="646"/>
      <c r="AS425" s="566"/>
      <c r="AT425" s="594" t="s">
        <v>839</v>
      </c>
      <c r="AU425" s="647"/>
      <c r="AV425" s="647"/>
      <c r="AW425" s="648"/>
      <c r="AX425" s="566"/>
      <c r="AY425" s="566"/>
      <c r="AZ425" s="594" t="s">
        <v>1256</v>
      </c>
      <c r="BA425" s="566"/>
      <c r="BB425" s="566" t="str">
        <f t="shared" si="67"/>
        <v>Sky Castle Toys, LLC</v>
      </c>
      <c r="BC425" s="566" t="str">
        <f t="shared" si="68"/>
        <v>美国</v>
      </c>
    </row>
    <row r="426" s="499" customFormat="1" customHeight="1" spans="1:55">
      <c r="A426" s="566">
        <v>46244</v>
      </c>
      <c r="B426" s="566" t="str">
        <f ca="1" t="shared" si="71"/>
        <v>异常</v>
      </c>
      <c r="C426" s="604" t="str">
        <f>VLOOKUP(H426,名称!A:E,4,0)</f>
        <v>三代</v>
      </c>
      <c r="D426" s="422" t="s">
        <v>1352</v>
      </c>
      <c r="E426" s="422" t="s">
        <v>1224</v>
      </c>
      <c r="F426" s="422" t="s">
        <v>839</v>
      </c>
      <c r="G426" s="604" t="s">
        <v>1130</v>
      </c>
      <c r="H426" s="604" t="s">
        <v>125</v>
      </c>
      <c r="I426" s="641"/>
      <c r="J426" s="623">
        <v>26</v>
      </c>
      <c r="K426" s="642"/>
      <c r="L426" s="643"/>
      <c r="M426" s="604"/>
      <c r="N426" s="623"/>
      <c r="O426" s="566">
        <v>46248</v>
      </c>
      <c r="P426" s="566">
        <v>46248</v>
      </c>
      <c r="Q426" s="566"/>
      <c r="R426" s="604"/>
      <c r="S426" s="566"/>
      <c r="T426" s="604"/>
      <c r="U426" s="604"/>
      <c r="V426" s="604"/>
      <c r="W426" s="623" t="str">
        <f>IFERROR(VLOOKUP(H426,名称!A:F,6,0),"")</f>
        <v>湖南</v>
      </c>
      <c r="X426" s="604"/>
      <c r="Y426" s="604"/>
      <c r="Z426" s="604"/>
      <c r="AA426" s="649"/>
      <c r="AB426" s="604"/>
      <c r="AC426" s="604"/>
      <c r="AD426" s="604"/>
      <c r="AE426" s="422" t="s">
        <v>510</v>
      </c>
      <c r="AF426" s="604"/>
      <c r="AG426" s="604"/>
      <c r="AH426" s="604"/>
      <c r="AI426" s="604"/>
      <c r="AJ426" s="604"/>
      <c r="AK426" s="422" t="s">
        <v>510</v>
      </c>
      <c r="AL426" s="604"/>
      <c r="AM426" s="604"/>
      <c r="AN426" s="604"/>
      <c r="AO426" s="644"/>
      <c r="AP426" s="645">
        <f t="shared" ref="AP426:AP439" si="74">J426*AO426</f>
        <v>0</v>
      </c>
      <c r="AQ426" s="645">
        <f t="shared" ref="AQ426:AQ439" si="75">AP426*7.75</f>
        <v>0</v>
      </c>
      <c r="AR426" s="646"/>
      <c r="AS426" s="566"/>
      <c r="AT426" s="594" t="s">
        <v>839</v>
      </c>
      <c r="AU426" s="647"/>
      <c r="AV426" s="647"/>
      <c r="AW426" s="648"/>
      <c r="AX426" s="566"/>
      <c r="AY426" s="566"/>
      <c r="AZ426" s="594" t="s">
        <v>1256</v>
      </c>
      <c r="BA426" s="566"/>
      <c r="BB426" s="566" t="str">
        <f t="shared" ref="BB426:BB439" si="76">D426</f>
        <v>Sky Castle Toys, LLC</v>
      </c>
      <c r="BC426" s="566" t="str">
        <f t="shared" ref="BC426:BC439" si="77">E426</f>
        <v>美国</v>
      </c>
    </row>
    <row r="427" s="499" customFormat="1" customHeight="1" spans="1:55">
      <c r="A427" s="566">
        <v>46244</v>
      </c>
      <c r="B427" s="566" t="str">
        <f ca="1" t="shared" si="71"/>
        <v>异常</v>
      </c>
      <c r="C427" s="604" t="str">
        <f>VLOOKUP(H427,名称!A:E,4,0)</f>
        <v>三代</v>
      </c>
      <c r="D427" s="422" t="s">
        <v>1352</v>
      </c>
      <c r="E427" s="422" t="s">
        <v>1224</v>
      </c>
      <c r="F427" s="422" t="s">
        <v>839</v>
      </c>
      <c r="G427" s="604" t="s">
        <v>1131</v>
      </c>
      <c r="H427" s="604" t="s">
        <v>117</v>
      </c>
      <c r="I427" s="641"/>
      <c r="J427" s="623">
        <v>2</v>
      </c>
      <c r="K427" s="642"/>
      <c r="L427" s="643"/>
      <c r="M427" s="604"/>
      <c r="N427" s="623"/>
      <c r="O427" s="566">
        <v>46248</v>
      </c>
      <c r="P427" s="566">
        <v>46248</v>
      </c>
      <c r="Q427" s="566"/>
      <c r="R427" s="604"/>
      <c r="S427" s="566"/>
      <c r="T427" s="604"/>
      <c r="U427" s="604"/>
      <c r="V427" s="604"/>
      <c r="W427" s="623" t="str">
        <f>IFERROR(VLOOKUP(H427,名称!A:F,6,0),"")</f>
        <v>湖南</v>
      </c>
      <c r="X427" s="604"/>
      <c r="Y427" s="604"/>
      <c r="Z427" s="604"/>
      <c r="AA427" s="649"/>
      <c r="AB427" s="604"/>
      <c r="AC427" s="604"/>
      <c r="AD427" s="604"/>
      <c r="AE427" s="422" t="s">
        <v>334</v>
      </c>
      <c r="AF427" s="604"/>
      <c r="AG427" s="604"/>
      <c r="AH427" s="604"/>
      <c r="AI427" s="604"/>
      <c r="AJ427" s="604"/>
      <c r="AK427" s="422" t="s">
        <v>334</v>
      </c>
      <c r="AL427" s="604"/>
      <c r="AM427" s="604"/>
      <c r="AN427" s="604"/>
      <c r="AO427" s="644"/>
      <c r="AP427" s="645">
        <f t="shared" si="74"/>
        <v>0</v>
      </c>
      <c r="AQ427" s="645">
        <f t="shared" si="75"/>
        <v>0</v>
      </c>
      <c r="AR427" s="646"/>
      <c r="AS427" s="566"/>
      <c r="AT427" s="594" t="s">
        <v>839</v>
      </c>
      <c r="AU427" s="647"/>
      <c r="AV427" s="647"/>
      <c r="AW427" s="648"/>
      <c r="AX427" s="566"/>
      <c r="AY427" s="566"/>
      <c r="AZ427" s="594" t="s">
        <v>1256</v>
      </c>
      <c r="BA427" s="566"/>
      <c r="BB427" s="566" t="str">
        <f t="shared" si="76"/>
        <v>Sky Castle Toys, LLC</v>
      </c>
      <c r="BC427" s="566" t="str">
        <f t="shared" si="77"/>
        <v>美国</v>
      </c>
    </row>
    <row r="428" s="499" customFormat="1" customHeight="1" spans="1:55">
      <c r="A428" s="566">
        <v>46244</v>
      </c>
      <c r="B428" s="566" t="str">
        <f ca="1" t="shared" si="71"/>
        <v>异常</v>
      </c>
      <c r="C428" s="604" t="e">
        <f>VLOOKUP(H428,名称!A:E,4,0)</f>
        <v>#N/A</v>
      </c>
      <c r="D428" s="422" t="s">
        <v>1352</v>
      </c>
      <c r="E428" s="422" t="s">
        <v>1224</v>
      </c>
      <c r="F428" s="422" t="s">
        <v>839</v>
      </c>
      <c r="G428" s="422" t="s">
        <v>1132</v>
      </c>
      <c r="H428" s="422" t="s">
        <v>1085</v>
      </c>
      <c r="I428" s="641"/>
      <c r="J428" s="623">
        <v>500</v>
      </c>
      <c r="K428" s="642"/>
      <c r="L428" s="643"/>
      <c r="M428" s="604"/>
      <c r="N428" s="623"/>
      <c r="O428" s="566">
        <v>46251</v>
      </c>
      <c r="P428" s="566">
        <v>46251</v>
      </c>
      <c r="Q428" s="566"/>
      <c r="R428" s="604"/>
      <c r="S428" s="566"/>
      <c r="T428" s="604"/>
      <c r="U428" s="604"/>
      <c r="V428" s="604"/>
      <c r="W428" s="623" t="str">
        <f>IFERROR(VLOOKUP(H428,名称!A:F,6,0),"")</f>
        <v/>
      </c>
      <c r="X428" s="604"/>
      <c r="Y428" s="604"/>
      <c r="Z428" s="604"/>
      <c r="AA428" s="649"/>
      <c r="AB428" s="604"/>
      <c r="AC428" s="604"/>
      <c r="AD428" s="604"/>
      <c r="AE428" s="422" t="s">
        <v>1133</v>
      </c>
      <c r="AF428" s="604"/>
      <c r="AG428" s="604"/>
      <c r="AH428" s="604"/>
      <c r="AI428" s="604"/>
      <c r="AJ428" s="604"/>
      <c r="AK428" s="422" t="s">
        <v>1133</v>
      </c>
      <c r="AL428" s="604"/>
      <c r="AM428" s="604"/>
      <c r="AN428" s="604"/>
      <c r="AO428" s="644"/>
      <c r="AP428" s="645">
        <f t="shared" si="74"/>
        <v>0</v>
      </c>
      <c r="AQ428" s="645">
        <f t="shared" si="75"/>
        <v>0</v>
      </c>
      <c r="AR428" s="646"/>
      <c r="AS428" s="566"/>
      <c r="AT428" s="594" t="s">
        <v>839</v>
      </c>
      <c r="AU428" s="647"/>
      <c r="AV428" s="647"/>
      <c r="AW428" s="648"/>
      <c r="AX428" s="566"/>
      <c r="AY428" s="566"/>
      <c r="AZ428" s="594" t="s">
        <v>1256</v>
      </c>
      <c r="BA428" s="566"/>
      <c r="BB428" s="566" t="str">
        <f t="shared" si="76"/>
        <v>Sky Castle Toys, LLC</v>
      </c>
      <c r="BC428" s="566" t="str">
        <f t="shared" si="77"/>
        <v>美国</v>
      </c>
    </row>
    <row r="429" s="499" customFormat="1" customHeight="1" spans="1:55">
      <c r="A429" s="566">
        <v>46244</v>
      </c>
      <c r="B429" s="566" t="str">
        <f ca="1" t="shared" si="71"/>
        <v>异常</v>
      </c>
      <c r="C429" s="604" t="e">
        <f>VLOOKUP(H429,名称!A:E,4,0)</f>
        <v>#N/A</v>
      </c>
      <c r="D429" s="422" t="s">
        <v>1352</v>
      </c>
      <c r="E429" s="422" t="s">
        <v>1224</v>
      </c>
      <c r="F429" s="422" t="s">
        <v>839</v>
      </c>
      <c r="G429" s="604" t="s">
        <v>1134</v>
      </c>
      <c r="H429" s="604" t="s">
        <v>1094</v>
      </c>
      <c r="I429" s="641"/>
      <c r="J429" s="623">
        <v>204</v>
      </c>
      <c r="K429" s="642"/>
      <c r="L429" s="643"/>
      <c r="M429" s="604"/>
      <c r="N429" s="623"/>
      <c r="O429" s="566">
        <v>46251</v>
      </c>
      <c r="P429" s="566">
        <v>46251</v>
      </c>
      <c r="Q429" s="566"/>
      <c r="R429" s="604"/>
      <c r="S429" s="566"/>
      <c r="T429" s="604"/>
      <c r="U429" s="604"/>
      <c r="V429" s="604"/>
      <c r="W429" s="623" t="str">
        <f>IFERROR(VLOOKUP(H429,名称!A:F,6,0),"")</f>
        <v/>
      </c>
      <c r="X429" s="604"/>
      <c r="Y429" s="604"/>
      <c r="Z429" s="604"/>
      <c r="AA429" s="649"/>
      <c r="AB429" s="604"/>
      <c r="AC429" s="604"/>
      <c r="AD429" s="604"/>
      <c r="AE429" s="422" t="s">
        <v>510</v>
      </c>
      <c r="AF429" s="604"/>
      <c r="AG429" s="604"/>
      <c r="AH429" s="604"/>
      <c r="AI429" s="604"/>
      <c r="AJ429" s="604"/>
      <c r="AK429" s="422" t="s">
        <v>510</v>
      </c>
      <c r="AL429" s="604"/>
      <c r="AM429" s="604"/>
      <c r="AN429" s="604"/>
      <c r="AO429" s="644"/>
      <c r="AP429" s="645">
        <f t="shared" si="74"/>
        <v>0</v>
      </c>
      <c r="AQ429" s="645">
        <f t="shared" si="75"/>
        <v>0</v>
      </c>
      <c r="AR429" s="646"/>
      <c r="AS429" s="566"/>
      <c r="AT429" s="594" t="s">
        <v>839</v>
      </c>
      <c r="AU429" s="647"/>
      <c r="AV429" s="647"/>
      <c r="AW429" s="648"/>
      <c r="AX429" s="566"/>
      <c r="AY429" s="566"/>
      <c r="AZ429" s="594" t="s">
        <v>1256</v>
      </c>
      <c r="BA429" s="566"/>
      <c r="BB429" s="566" t="str">
        <f t="shared" si="76"/>
        <v>Sky Castle Toys, LLC</v>
      </c>
      <c r="BC429" s="566" t="str">
        <f t="shared" si="77"/>
        <v>美国</v>
      </c>
    </row>
    <row r="430" s="499" customFormat="1" customHeight="1" spans="1:55">
      <c r="A430" s="566">
        <v>46244</v>
      </c>
      <c r="B430" s="566" t="str">
        <f ca="1" t="shared" si="71"/>
        <v>异常</v>
      </c>
      <c r="C430" s="604" t="str">
        <f>VLOOKUP(H430,名称!A:E,4,0)</f>
        <v>三代</v>
      </c>
      <c r="D430" s="422" t="s">
        <v>1352</v>
      </c>
      <c r="E430" s="422" t="s">
        <v>1224</v>
      </c>
      <c r="F430" s="422" t="s">
        <v>839</v>
      </c>
      <c r="G430" s="604" t="s">
        <v>1135</v>
      </c>
      <c r="H430" s="604" t="s">
        <v>89</v>
      </c>
      <c r="I430" s="641"/>
      <c r="J430" s="623">
        <v>40</v>
      </c>
      <c r="K430" s="642"/>
      <c r="L430" s="643"/>
      <c r="M430" s="604"/>
      <c r="N430" s="623"/>
      <c r="O430" s="566">
        <v>46251</v>
      </c>
      <c r="P430" s="566">
        <v>46251</v>
      </c>
      <c r="Q430" s="566"/>
      <c r="R430" s="604"/>
      <c r="S430" s="566"/>
      <c r="T430" s="604"/>
      <c r="U430" s="604"/>
      <c r="V430" s="604"/>
      <c r="W430" s="623" t="str">
        <f>IFERROR(VLOOKUP(H430,名称!A:F,6,0),"")</f>
        <v>东莞</v>
      </c>
      <c r="X430" s="604"/>
      <c r="Y430" s="604"/>
      <c r="Z430" s="604"/>
      <c r="AA430" s="649"/>
      <c r="AB430" s="604"/>
      <c r="AC430" s="604"/>
      <c r="AD430" s="604"/>
      <c r="AE430" s="422" t="s">
        <v>510</v>
      </c>
      <c r="AF430" s="604"/>
      <c r="AG430" s="604"/>
      <c r="AH430" s="604"/>
      <c r="AI430" s="604"/>
      <c r="AJ430" s="604"/>
      <c r="AK430" s="422" t="s">
        <v>510</v>
      </c>
      <c r="AL430" s="604"/>
      <c r="AM430" s="604"/>
      <c r="AN430" s="604"/>
      <c r="AO430" s="644"/>
      <c r="AP430" s="645">
        <f t="shared" si="74"/>
        <v>0</v>
      </c>
      <c r="AQ430" s="645">
        <f t="shared" si="75"/>
        <v>0</v>
      </c>
      <c r="AR430" s="646"/>
      <c r="AS430" s="566"/>
      <c r="AT430" s="594" t="s">
        <v>839</v>
      </c>
      <c r="AU430" s="647"/>
      <c r="AV430" s="647"/>
      <c r="AW430" s="648"/>
      <c r="AX430" s="566"/>
      <c r="AY430" s="566"/>
      <c r="AZ430" s="594" t="s">
        <v>1256</v>
      </c>
      <c r="BA430" s="566"/>
      <c r="BB430" s="566" t="str">
        <f t="shared" si="76"/>
        <v>Sky Castle Toys, LLC</v>
      </c>
      <c r="BC430" s="566" t="str">
        <f t="shared" si="77"/>
        <v>美国</v>
      </c>
    </row>
    <row r="431" s="499" customFormat="1" customHeight="1" spans="1:55">
      <c r="A431" s="566">
        <v>46244</v>
      </c>
      <c r="B431" s="566" t="str">
        <f ca="1" t="shared" si="71"/>
        <v>异常</v>
      </c>
      <c r="C431" s="604" t="str">
        <f>VLOOKUP(H431,名称!A:E,4,0)</f>
        <v>三代</v>
      </c>
      <c r="D431" s="422" t="s">
        <v>1352</v>
      </c>
      <c r="E431" s="422" t="s">
        <v>1224</v>
      </c>
      <c r="F431" s="422" t="s">
        <v>839</v>
      </c>
      <c r="G431" s="604" t="s">
        <v>1136</v>
      </c>
      <c r="H431" s="604" t="s">
        <v>204</v>
      </c>
      <c r="I431" s="641"/>
      <c r="J431" s="623">
        <v>40</v>
      </c>
      <c r="K431" s="642"/>
      <c r="L431" s="643"/>
      <c r="M431" s="604"/>
      <c r="N431" s="623"/>
      <c r="O431" s="566">
        <v>46251</v>
      </c>
      <c r="P431" s="566">
        <v>46251</v>
      </c>
      <c r="Q431" s="566"/>
      <c r="R431" s="604"/>
      <c r="S431" s="566"/>
      <c r="T431" s="604"/>
      <c r="U431" s="604"/>
      <c r="V431" s="604"/>
      <c r="W431" s="623" t="str">
        <f>IFERROR(VLOOKUP(H431,名称!A:F,6,0),"")</f>
        <v>湖南</v>
      </c>
      <c r="X431" s="604"/>
      <c r="Y431" s="604"/>
      <c r="Z431" s="604"/>
      <c r="AA431" s="649"/>
      <c r="AB431" s="604"/>
      <c r="AC431" s="604"/>
      <c r="AD431" s="604"/>
      <c r="AE431" s="422" t="s">
        <v>510</v>
      </c>
      <c r="AF431" s="604"/>
      <c r="AG431" s="604"/>
      <c r="AH431" s="604"/>
      <c r="AI431" s="604"/>
      <c r="AJ431" s="604"/>
      <c r="AK431" s="422" t="s">
        <v>510</v>
      </c>
      <c r="AL431" s="604"/>
      <c r="AM431" s="604"/>
      <c r="AN431" s="604"/>
      <c r="AO431" s="644"/>
      <c r="AP431" s="645">
        <f t="shared" si="74"/>
        <v>0</v>
      </c>
      <c r="AQ431" s="645">
        <f t="shared" si="75"/>
        <v>0</v>
      </c>
      <c r="AR431" s="646"/>
      <c r="AS431" s="566"/>
      <c r="AT431" s="594" t="s">
        <v>839</v>
      </c>
      <c r="AU431" s="647"/>
      <c r="AV431" s="647"/>
      <c r="AW431" s="648"/>
      <c r="AX431" s="566"/>
      <c r="AY431" s="566"/>
      <c r="AZ431" s="594" t="s">
        <v>1256</v>
      </c>
      <c r="BA431" s="566"/>
      <c r="BB431" s="566" t="str">
        <f t="shared" si="76"/>
        <v>Sky Castle Toys, LLC</v>
      </c>
      <c r="BC431" s="566" t="str">
        <f t="shared" si="77"/>
        <v>美国</v>
      </c>
    </row>
    <row r="432" s="499" customFormat="1" customHeight="1" spans="1:55">
      <c r="A432" s="566">
        <v>46244</v>
      </c>
      <c r="B432" s="566" t="str">
        <f ca="1" t="shared" si="71"/>
        <v>异常</v>
      </c>
      <c r="C432" s="604" t="str">
        <f>VLOOKUP(H432,名称!A:E,4,0)</f>
        <v>三代</v>
      </c>
      <c r="D432" s="422" t="s">
        <v>1496</v>
      </c>
      <c r="E432" s="422" t="s">
        <v>1497</v>
      </c>
      <c r="F432" s="422" t="s">
        <v>1137</v>
      </c>
      <c r="G432" s="422" t="s">
        <v>1138</v>
      </c>
      <c r="H432" s="422" t="s">
        <v>119</v>
      </c>
      <c r="I432" s="641"/>
      <c r="J432" s="623">
        <v>2616</v>
      </c>
      <c r="K432" s="642"/>
      <c r="L432" s="643"/>
      <c r="M432" s="604">
        <f>VLOOKUP(H432,名称!A:E,3,0)</f>
        <v>24</v>
      </c>
      <c r="N432" s="623">
        <f t="shared" ref="N432:N448" si="78">J432/M432</f>
        <v>109</v>
      </c>
      <c r="O432" s="566">
        <v>46307</v>
      </c>
      <c r="P432" s="566">
        <v>46307</v>
      </c>
      <c r="Q432" s="566">
        <v>46307</v>
      </c>
      <c r="R432" s="604"/>
      <c r="S432" s="594" t="s">
        <v>1133</v>
      </c>
      <c r="T432" s="604"/>
      <c r="U432" s="604"/>
      <c r="V432" s="604"/>
      <c r="W432" s="623" t="str">
        <f>IFERROR(VLOOKUP(H432,名称!A:F,6,0),"")</f>
        <v>湖南</v>
      </c>
      <c r="X432" s="422" t="s">
        <v>1248</v>
      </c>
      <c r="Y432" s="422" t="s">
        <v>1233</v>
      </c>
      <c r="Z432" s="422" t="s">
        <v>1249</v>
      </c>
      <c r="AA432" s="649">
        <v>46247</v>
      </c>
      <c r="AB432" s="604"/>
      <c r="AC432" s="422" t="s">
        <v>1133</v>
      </c>
      <c r="AD432" s="422" t="s">
        <v>1133</v>
      </c>
      <c r="AE432" s="422" t="s">
        <v>510</v>
      </c>
      <c r="AF432" s="422" t="s">
        <v>1228</v>
      </c>
      <c r="AG432" s="422" t="s">
        <v>510</v>
      </c>
      <c r="AH432" s="422" t="s">
        <v>1133</v>
      </c>
      <c r="AI432" s="422" t="s">
        <v>1228</v>
      </c>
      <c r="AJ432" s="422" t="s">
        <v>1133</v>
      </c>
      <c r="AK432" s="422" t="s">
        <v>510</v>
      </c>
      <c r="AL432" s="604"/>
      <c r="AM432" s="422" t="s">
        <v>1498</v>
      </c>
      <c r="AN432" s="422" t="s">
        <v>1491</v>
      </c>
      <c r="AO432" s="644">
        <v>0.64</v>
      </c>
      <c r="AP432" s="645">
        <f t="shared" si="74"/>
        <v>1674.24</v>
      </c>
      <c r="AQ432" s="645">
        <f t="shared" si="75"/>
        <v>12975.36</v>
      </c>
      <c r="AR432" s="646"/>
      <c r="AS432" s="566"/>
      <c r="AT432" s="566"/>
      <c r="AU432" s="647"/>
      <c r="AV432" s="647"/>
      <c r="AW432" s="648"/>
      <c r="AX432" s="566"/>
      <c r="AY432" s="594" t="s">
        <v>1269</v>
      </c>
      <c r="AZ432" s="594" t="s">
        <v>1492</v>
      </c>
      <c r="BA432" s="566"/>
      <c r="BB432" s="566" t="str">
        <f t="shared" si="76"/>
        <v>Kade Ltd.</v>
      </c>
      <c r="BC432" s="566" t="str">
        <f t="shared" si="77"/>
        <v>香港</v>
      </c>
    </row>
    <row r="433" s="499" customFormat="1" customHeight="1" spans="1:55">
      <c r="A433" s="566">
        <v>46244</v>
      </c>
      <c r="B433" s="566" t="str">
        <f ca="1" t="shared" ref="B433:B448" si="79">IF(TODAY()-5&gt;=A433,IF(AB433="","异常",""),"")</f>
        <v>异常</v>
      </c>
      <c r="C433" s="604" t="str">
        <f>VLOOKUP(H433,名称!A:E,4,0)</f>
        <v>三代</v>
      </c>
      <c r="D433" s="422" t="s">
        <v>1496</v>
      </c>
      <c r="E433" s="422" t="s">
        <v>1497</v>
      </c>
      <c r="F433" s="422" t="s">
        <v>1137</v>
      </c>
      <c r="G433" s="422" t="s">
        <v>1138</v>
      </c>
      <c r="H433" s="422" t="s">
        <v>55</v>
      </c>
      <c r="I433" s="641"/>
      <c r="J433" s="623">
        <v>1376</v>
      </c>
      <c r="K433" s="642"/>
      <c r="L433" s="643"/>
      <c r="M433" s="604">
        <f>VLOOKUP(H433,名称!A:E,3,0)</f>
        <v>16</v>
      </c>
      <c r="N433" s="623">
        <f t="shared" si="78"/>
        <v>86</v>
      </c>
      <c r="O433" s="566">
        <v>46307</v>
      </c>
      <c r="P433" s="566">
        <v>46307</v>
      </c>
      <c r="Q433" s="566">
        <v>46307</v>
      </c>
      <c r="R433" s="604"/>
      <c r="S433" s="594" t="s">
        <v>1133</v>
      </c>
      <c r="T433" s="604"/>
      <c r="U433" s="604"/>
      <c r="V433" s="604"/>
      <c r="W433" s="623" t="str">
        <f>IFERROR(VLOOKUP(H433,名称!A:F,6,0),"")</f>
        <v>湖南</v>
      </c>
      <c r="X433" s="422" t="s">
        <v>1248</v>
      </c>
      <c r="Y433" s="422" t="s">
        <v>1233</v>
      </c>
      <c r="Z433" s="422" t="s">
        <v>1249</v>
      </c>
      <c r="AA433" s="649">
        <v>46247</v>
      </c>
      <c r="AB433" s="604"/>
      <c r="AC433" s="422" t="s">
        <v>1284</v>
      </c>
      <c r="AD433" s="422" t="s">
        <v>1228</v>
      </c>
      <c r="AE433" s="422" t="s">
        <v>510</v>
      </c>
      <c r="AF433" s="422" t="s">
        <v>1228</v>
      </c>
      <c r="AG433" s="422" t="s">
        <v>510</v>
      </c>
      <c r="AH433" s="422" t="s">
        <v>1307</v>
      </c>
      <c r="AI433" s="422" t="s">
        <v>1228</v>
      </c>
      <c r="AJ433" s="422" t="s">
        <v>1133</v>
      </c>
      <c r="AK433" s="422" t="s">
        <v>1133</v>
      </c>
      <c r="AL433" s="604"/>
      <c r="AM433" s="422" t="s">
        <v>1498</v>
      </c>
      <c r="AN433" s="422" t="s">
        <v>1491</v>
      </c>
      <c r="AO433" s="644">
        <v>0.9</v>
      </c>
      <c r="AP433" s="645">
        <f t="shared" si="74"/>
        <v>1238.4</v>
      </c>
      <c r="AQ433" s="645">
        <f t="shared" si="75"/>
        <v>9597.6</v>
      </c>
      <c r="AR433" s="646"/>
      <c r="AS433" s="566"/>
      <c r="AT433" s="566"/>
      <c r="AU433" s="647"/>
      <c r="AV433" s="647"/>
      <c r="AW433" s="648"/>
      <c r="AX433" s="566"/>
      <c r="AY433" s="594" t="s">
        <v>1269</v>
      </c>
      <c r="AZ433" s="594" t="s">
        <v>1492</v>
      </c>
      <c r="BA433" s="566"/>
      <c r="BB433" s="566" t="str">
        <f t="shared" si="76"/>
        <v>Kade Ltd.</v>
      </c>
      <c r="BC433" s="566" t="str">
        <f t="shared" si="77"/>
        <v>香港</v>
      </c>
    </row>
    <row r="434" s="499" customFormat="1" customHeight="1" spans="1:55">
      <c r="A434" s="566">
        <v>46244</v>
      </c>
      <c r="B434" s="566" t="str">
        <f ca="1" t="shared" si="79"/>
        <v>异常</v>
      </c>
      <c r="C434" s="604" t="str">
        <f>VLOOKUP(H434,名称!A:E,4,0)</f>
        <v>三代</v>
      </c>
      <c r="D434" s="422" t="s">
        <v>1496</v>
      </c>
      <c r="E434" s="422" t="s">
        <v>1497</v>
      </c>
      <c r="F434" s="422" t="s">
        <v>1137</v>
      </c>
      <c r="G434" s="422" t="s">
        <v>1138</v>
      </c>
      <c r="H434" s="422" t="s">
        <v>59</v>
      </c>
      <c r="I434" s="641"/>
      <c r="J434" s="623">
        <v>2544</v>
      </c>
      <c r="K434" s="642"/>
      <c r="L434" s="643"/>
      <c r="M434" s="604">
        <f>VLOOKUP(H434,名称!A:E,3,0)</f>
        <v>24</v>
      </c>
      <c r="N434" s="623">
        <f t="shared" si="78"/>
        <v>106</v>
      </c>
      <c r="O434" s="566">
        <v>46307</v>
      </c>
      <c r="P434" s="566">
        <v>46307</v>
      </c>
      <c r="Q434" s="566">
        <v>46307</v>
      </c>
      <c r="R434" s="604"/>
      <c r="S434" s="594" t="s">
        <v>1133</v>
      </c>
      <c r="T434" s="604"/>
      <c r="U434" s="604"/>
      <c r="V434" s="604"/>
      <c r="W434" s="623" t="str">
        <f>IFERROR(VLOOKUP(H434,名称!A:F,6,0),"")</f>
        <v>湖南</v>
      </c>
      <c r="X434" s="422" t="s">
        <v>1248</v>
      </c>
      <c r="Y434" s="422" t="s">
        <v>1233</v>
      </c>
      <c r="Z434" s="422" t="s">
        <v>1249</v>
      </c>
      <c r="AA434" s="649">
        <v>46247</v>
      </c>
      <c r="AB434" s="604"/>
      <c r="AC434" s="422" t="s">
        <v>1133</v>
      </c>
      <c r="AD434" s="422" t="s">
        <v>1133</v>
      </c>
      <c r="AE434" s="422" t="s">
        <v>510</v>
      </c>
      <c r="AF434" s="422" t="s">
        <v>1228</v>
      </c>
      <c r="AG434" s="422" t="s">
        <v>510</v>
      </c>
      <c r="AH434" s="422" t="s">
        <v>1133</v>
      </c>
      <c r="AI434" s="422" t="s">
        <v>1228</v>
      </c>
      <c r="AJ434" s="422" t="s">
        <v>1133</v>
      </c>
      <c r="AK434" s="422" t="s">
        <v>510</v>
      </c>
      <c r="AL434" s="604"/>
      <c r="AM434" s="422" t="s">
        <v>1498</v>
      </c>
      <c r="AN434" s="422" t="s">
        <v>1491</v>
      </c>
      <c r="AO434" s="644">
        <v>0.64</v>
      </c>
      <c r="AP434" s="645">
        <f t="shared" si="74"/>
        <v>1628.16</v>
      </c>
      <c r="AQ434" s="645">
        <f t="shared" si="75"/>
        <v>12618.24</v>
      </c>
      <c r="AR434" s="646"/>
      <c r="AS434" s="566"/>
      <c r="AT434" s="566"/>
      <c r="AU434" s="647"/>
      <c r="AV434" s="647"/>
      <c r="AW434" s="648"/>
      <c r="AX434" s="566"/>
      <c r="AY434" s="594" t="s">
        <v>1269</v>
      </c>
      <c r="AZ434" s="594" t="s">
        <v>1492</v>
      </c>
      <c r="BA434" s="566"/>
      <c r="BB434" s="566" t="str">
        <f t="shared" si="76"/>
        <v>Kade Ltd.</v>
      </c>
      <c r="BC434" s="566" t="str">
        <f t="shared" si="77"/>
        <v>香港</v>
      </c>
    </row>
    <row r="435" s="499" customFormat="1" customHeight="1" spans="1:55">
      <c r="A435" s="566">
        <v>46244</v>
      </c>
      <c r="B435" s="566" t="str">
        <f ca="1" t="shared" si="79"/>
        <v>异常</v>
      </c>
      <c r="C435" s="604" t="str">
        <f>VLOOKUP(H435,名称!A:E,4,0)</f>
        <v>三代</v>
      </c>
      <c r="D435" s="422" t="s">
        <v>1496</v>
      </c>
      <c r="E435" s="422" t="s">
        <v>1497</v>
      </c>
      <c r="F435" s="422" t="s">
        <v>1137</v>
      </c>
      <c r="G435" s="422" t="s">
        <v>1138</v>
      </c>
      <c r="H435" s="422" t="s">
        <v>66</v>
      </c>
      <c r="I435" s="641"/>
      <c r="J435" s="623">
        <v>1182</v>
      </c>
      <c r="K435" s="642"/>
      <c r="L435" s="643"/>
      <c r="M435" s="604">
        <f>VLOOKUP(H435,名称!A:E,3,0)</f>
        <v>6</v>
      </c>
      <c r="N435" s="623">
        <f t="shared" si="78"/>
        <v>197</v>
      </c>
      <c r="O435" s="566">
        <v>46307</v>
      </c>
      <c r="P435" s="566">
        <v>46307</v>
      </c>
      <c r="Q435" s="566">
        <v>46307</v>
      </c>
      <c r="R435" s="604"/>
      <c r="S435" s="594" t="s">
        <v>1133</v>
      </c>
      <c r="T435" s="604"/>
      <c r="U435" s="604"/>
      <c r="V435" s="604"/>
      <c r="W435" s="623" t="str">
        <f>IFERROR(VLOOKUP(H435,名称!A:F,6,0),"")</f>
        <v>湖南</v>
      </c>
      <c r="X435" s="422" t="s">
        <v>1248</v>
      </c>
      <c r="Y435" s="422" t="s">
        <v>1233</v>
      </c>
      <c r="Z435" s="422" t="s">
        <v>1249</v>
      </c>
      <c r="AA435" s="649">
        <v>46247</v>
      </c>
      <c r="AB435" s="604"/>
      <c r="AC435" s="422" t="s">
        <v>1318</v>
      </c>
      <c r="AD435" s="422" t="s">
        <v>1228</v>
      </c>
      <c r="AE435" s="422" t="s">
        <v>510</v>
      </c>
      <c r="AF435" s="422" t="s">
        <v>1228</v>
      </c>
      <c r="AG435" s="422" t="s">
        <v>510</v>
      </c>
      <c r="AH435" s="422" t="s">
        <v>1307</v>
      </c>
      <c r="AI435" s="422" t="s">
        <v>1228</v>
      </c>
      <c r="AJ435" s="422" t="s">
        <v>510</v>
      </c>
      <c r="AK435" s="422" t="s">
        <v>1133</v>
      </c>
      <c r="AL435" s="604"/>
      <c r="AM435" s="422" t="s">
        <v>1498</v>
      </c>
      <c r="AN435" s="422" t="s">
        <v>1491</v>
      </c>
      <c r="AO435" s="644">
        <v>2.04</v>
      </c>
      <c r="AP435" s="645">
        <f t="shared" si="74"/>
        <v>2411.28</v>
      </c>
      <c r="AQ435" s="645">
        <f t="shared" si="75"/>
        <v>18687.42</v>
      </c>
      <c r="AR435" s="646"/>
      <c r="AS435" s="566"/>
      <c r="AT435" s="566"/>
      <c r="AU435" s="647"/>
      <c r="AV435" s="647"/>
      <c r="AW435" s="648"/>
      <c r="AX435" s="566"/>
      <c r="AY435" s="594" t="s">
        <v>1269</v>
      </c>
      <c r="AZ435" s="594" t="s">
        <v>1492</v>
      </c>
      <c r="BA435" s="566"/>
      <c r="BB435" s="566" t="str">
        <f t="shared" si="76"/>
        <v>Kade Ltd.</v>
      </c>
      <c r="BC435" s="566" t="str">
        <f t="shared" si="77"/>
        <v>香港</v>
      </c>
    </row>
    <row r="436" s="499" customFormat="1" customHeight="1" spans="1:55">
      <c r="A436" s="566">
        <v>46244</v>
      </c>
      <c r="B436" s="566" t="str">
        <f ca="1" t="shared" si="79"/>
        <v>异常</v>
      </c>
      <c r="C436" s="604" t="str">
        <f>VLOOKUP(H436,名称!A:E,4,0)</f>
        <v>三代</v>
      </c>
      <c r="D436" s="422" t="s">
        <v>1496</v>
      </c>
      <c r="E436" s="422" t="s">
        <v>1497</v>
      </c>
      <c r="F436" s="422" t="s">
        <v>1137</v>
      </c>
      <c r="G436" s="422" t="s">
        <v>1138</v>
      </c>
      <c r="H436" s="422" t="s">
        <v>68</v>
      </c>
      <c r="I436" s="641"/>
      <c r="J436" s="623">
        <v>408</v>
      </c>
      <c r="K436" s="642"/>
      <c r="L436" s="643"/>
      <c r="M436" s="604">
        <f>VLOOKUP(H436,名称!A:E,3,0)</f>
        <v>4</v>
      </c>
      <c r="N436" s="623">
        <f t="shared" si="78"/>
        <v>102</v>
      </c>
      <c r="O436" s="566">
        <v>46307</v>
      </c>
      <c r="P436" s="566">
        <v>46307</v>
      </c>
      <c r="Q436" s="566">
        <v>46307</v>
      </c>
      <c r="R436" s="604"/>
      <c r="S436" s="594" t="s">
        <v>1133</v>
      </c>
      <c r="T436" s="604"/>
      <c r="U436" s="604"/>
      <c r="V436" s="604"/>
      <c r="W436" s="623" t="str">
        <f>IFERROR(VLOOKUP(H436,名称!A:F,6,0),"")</f>
        <v>湖南</v>
      </c>
      <c r="X436" s="422" t="s">
        <v>1248</v>
      </c>
      <c r="Y436" s="422" t="s">
        <v>1233</v>
      </c>
      <c r="Z436" s="422" t="s">
        <v>1249</v>
      </c>
      <c r="AA436" s="649">
        <v>46247</v>
      </c>
      <c r="AB436" s="604"/>
      <c r="AC436" s="422" t="s">
        <v>1133</v>
      </c>
      <c r="AD436" s="422" t="s">
        <v>1133</v>
      </c>
      <c r="AE436" s="422" t="s">
        <v>510</v>
      </c>
      <c r="AF436" s="422" t="s">
        <v>1228</v>
      </c>
      <c r="AG436" s="422" t="s">
        <v>510</v>
      </c>
      <c r="AH436" s="422" t="s">
        <v>1307</v>
      </c>
      <c r="AI436" s="422" t="s">
        <v>1228</v>
      </c>
      <c r="AJ436" s="422" t="s">
        <v>1133</v>
      </c>
      <c r="AK436" s="422" t="s">
        <v>1133</v>
      </c>
      <c r="AL436" s="604"/>
      <c r="AM436" s="422" t="s">
        <v>1498</v>
      </c>
      <c r="AN436" s="422" t="s">
        <v>1491</v>
      </c>
      <c r="AO436" s="644">
        <v>3.12</v>
      </c>
      <c r="AP436" s="645">
        <f t="shared" si="74"/>
        <v>1272.96</v>
      </c>
      <c r="AQ436" s="645">
        <f t="shared" si="75"/>
        <v>9865.44</v>
      </c>
      <c r="AR436" s="646"/>
      <c r="AS436" s="566"/>
      <c r="AT436" s="566"/>
      <c r="AU436" s="647"/>
      <c r="AV436" s="647"/>
      <c r="AW436" s="648"/>
      <c r="AX436" s="566"/>
      <c r="AY436" s="594" t="s">
        <v>1269</v>
      </c>
      <c r="AZ436" s="594" t="s">
        <v>1492</v>
      </c>
      <c r="BA436" s="566"/>
      <c r="BB436" s="566" t="str">
        <f t="shared" si="76"/>
        <v>Kade Ltd.</v>
      </c>
      <c r="BC436" s="566" t="str">
        <f t="shared" si="77"/>
        <v>香港</v>
      </c>
    </row>
    <row r="437" s="499" customFormat="1" customHeight="1" spans="1:55">
      <c r="A437" s="566">
        <v>46244</v>
      </c>
      <c r="B437" s="566" t="str">
        <f ca="1" t="shared" si="79"/>
        <v>异常</v>
      </c>
      <c r="C437" s="604" t="str">
        <f>VLOOKUP(H437,名称!A:E,4,0)</f>
        <v>三代</v>
      </c>
      <c r="D437" s="422" t="s">
        <v>1496</v>
      </c>
      <c r="E437" s="422" t="s">
        <v>1497</v>
      </c>
      <c r="F437" s="422" t="s">
        <v>1137</v>
      </c>
      <c r="G437" s="422" t="s">
        <v>1138</v>
      </c>
      <c r="H437" s="422" t="s">
        <v>72</v>
      </c>
      <c r="I437" s="641"/>
      <c r="J437" s="623">
        <v>1056</v>
      </c>
      <c r="K437" s="642"/>
      <c r="L437" s="643"/>
      <c r="M437" s="604">
        <f>VLOOKUP(H437,名称!A:E,3,0)</f>
        <v>12</v>
      </c>
      <c r="N437" s="623">
        <f t="shared" si="78"/>
        <v>88</v>
      </c>
      <c r="O437" s="566">
        <v>46307</v>
      </c>
      <c r="P437" s="566">
        <v>46307</v>
      </c>
      <c r="Q437" s="566">
        <v>46307</v>
      </c>
      <c r="R437" s="604"/>
      <c r="S437" s="594" t="s">
        <v>1133</v>
      </c>
      <c r="T437" s="604"/>
      <c r="U437" s="604"/>
      <c r="V437" s="604"/>
      <c r="W437" s="623" t="str">
        <f>IFERROR(VLOOKUP(H437,名称!A:F,6,0),"")</f>
        <v>湖南</v>
      </c>
      <c r="X437" s="422" t="s">
        <v>1248</v>
      </c>
      <c r="Y437" s="422" t="s">
        <v>1233</v>
      </c>
      <c r="Z437" s="422" t="s">
        <v>1249</v>
      </c>
      <c r="AA437" s="649">
        <v>46247</v>
      </c>
      <c r="AB437" s="604"/>
      <c r="AC437" s="422" t="s">
        <v>1302</v>
      </c>
      <c r="AD437" s="422" t="s">
        <v>1228</v>
      </c>
      <c r="AE437" s="422" t="s">
        <v>510</v>
      </c>
      <c r="AF437" s="422" t="s">
        <v>1228</v>
      </c>
      <c r="AG437" s="422" t="s">
        <v>510</v>
      </c>
      <c r="AH437" s="422" t="s">
        <v>1307</v>
      </c>
      <c r="AI437" s="422" t="s">
        <v>1228</v>
      </c>
      <c r="AJ437" s="422" t="s">
        <v>1133</v>
      </c>
      <c r="AK437" s="422" t="s">
        <v>1133</v>
      </c>
      <c r="AL437" s="604"/>
      <c r="AM437" s="422" t="s">
        <v>1498</v>
      </c>
      <c r="AN437" s="422" t="s">
        <v>1491</v>
      </c>
      <c r="AO437" s="644">
        <v>1.51</v>
      </c>
      <c r="AP437" s="645">
        <f t="shared" si="74"/>
        <v>1594.56</v>
      </c>
      <c r="AQ437" s="645">
        <f t="shared" si="75"/>
        <v>12357.84</v>
      </c>
      <c r="AR437" s="646"/>
      <c r="AS437" s="566"/>
      <c r="AT437" s="566"/>
      <c r="AU437" s="647"/>
      <c r="AV437" s="647"/>
      <c r="AW437" s="648"/>
      <c r="AX437" s="566"/>
      <c r="AY437" s="594" t="s">
        <v>1269</v>
      </c>
      <c r="AZ437" s="594" t="s">
        <v>1492</v>
      </c>
      <c r="BA437" s="566"/>
      <c r="BB437" s="566" t="str">
        <f t="shared" si="76"/>
        <v>Kade Ltd.</v>
      </c>
      <c r="BC437" s="566" t="str">
        <f t="shared" si="77"/>
        <v>香港</v>
      </c>
    </row>
    <row r="438" s="499" customFormat="1" customHeight="1" spans="1:55">
      <c r="A438" s="566">
        <v>46244</v>
      </c>
      <c r="B438" s="566" t="str">
        <f ca="1" t="shared" si="79"/>
        <v>异常</v>
      </c>
      <c r="C438" s="604" t="str">
        <f>VLOOKUP(H438,名称!A:E,4,0)</f>
        <v>三代</v>
      </c>
      <c r="D438" s="422" t="s">
        <v>1496</v>
      </c>
      <c r="E438" s="422" t="s">
        <v>1497</v>
      </c>
      <c r="F438" s="422" t="s">
        <v>1137</v>
      </c>
      <c r="G438" s="422" t="s">
        <v>1138</v>
      </c>
      <c r="H438" s="422" t="s">
        <v>112</v>
      </c>
      <c r="I438" s="641"/>
      <c r="J438" s="623">
        <v>330</v>
      </c>
      <c r="K438" s="642"/>
      <c r="L438" s="643"/>
      <c r="M438" s="604">
        <f>VLOOKUP(H438,名称!A:E,3,0)</f>
        <v>2</v>
      </c>
      <c r="N438" s="623">
        <f t="shared" si="78"/>
        <v>165</v>
      </c>
      <c r="O438" s="566">
        <v>46307</v>
      </c>
      <c r="P438" s="566">
        <v>46307</v>
      </c>
      <c r="Q438" s="566">
        <v>46307</v>
      </c>
      <c r="R438" s="604"/>
      <c r="S438" s="594" t="s">
        <v>1133</v>
      </c>
      <c r="T438" s="604"/>
      <c r="U438" s="604"/>
      <c r="V438" s="604"/>
      <c r="W438" s="623" t="str">
        <f>IFERROR(VLOOKUP(H438,名称!A:F,6,0),"")</f>
        <v>湖南</v>
      </c>
      <c r="X438" s="422" t="s">
        <v>1248</v>
      </c>
      <c r="Y438" s="422" t="s">
        <v>1233</v>
      </c>
      <c r="Z438" s="422" t="s">
        <v>1249</v>
      </c>
      <c r="AA438" s="649">
        <v>46247</v>
      </c>
      <c r="AB438" s="604"/>
      <c r="AC438" s="422" t="s">
        <v>1133</v>
      </c>
      <c r="AD438" s="422" t="s">
        <v>1133</v>
      </c>
      <c r="AE438" s="422" t="s">
        <v>510</v>
      </c>
      <c r="AF438" s="422" t="s">
        <v>1228</v>
      </c>
      <c r="AG438" s="422" t="s">
        <v>510</v>
      </c>
      <c r="AH438" s="422" t="s">
        <v>1133</v>
      </c>
      <c r="AI438" s="422" t="s">
        <v>1228</v>
      </c>
      <c r="AJ438" s="422" t="s">
        <v>1133</v>
      </c>
      <c r="AK438" s="422" t="s">
        <v>1356</v>
      </c>
      <c r="AL438" s="604"/>
      <c r="AM438" s="422" t="s">
        <v>1498</v>
      </c>
      <c r="AN438" s="422" t="s">
        <v>1491</v>
      </c>
      <c r="AO438" s="644">
        <v>9.39</v>
      </c>
      <c r="AP438" s="645">
        <f t="shared" si="74"/>
        <v>3098.7</v>
      </c>
      <c r="AQ438" s="645">
        <f t="shared" si="75"/>
        <v>24014.93</v>
      </c>
      <c r="AR438" s="646"/>
      <c r="AS438" s="566"/>
      <c r="AT438" s="566"/>
      <c r="AU438" s="647"/>
      <c r="AV438" s="647"/>
      <c r="AW438" s="648"/>
      <c r="AX438" s="566"/>
      <c r="AY438" s="594" t="s">
        <v>1269</v>
      </c>
      <c r="AZ438" s="594" t="s">
        <v>1492</v>
      </c>
      <c r="BA438" s="566"/>
      <c r="BB438" s="566" t="str">
        <f t="shared" si="76"/>
        <v>Kade Ltd.</v>
      </c>
      <c r="BC438" s="566" t="str">
        <f t="shared" si="77"/>
        <v>香港</v>
      </c>
    </row>
    <row r="439" s="499" customFormat="1" customHeight="1" spans="1:55">
      <c r="A439" s="566">
        <v>46244</v>
      </c>
      <c r="B439" s="566" t="str">
        <f ca="1" t="shared" si="79"/>
        <v>异常</v>
      </c>
      <c r="C439" s="604" t="str">
        <f>VLOOKUP(H439,名称!A:E,4,0)</f>
        <v>三代</v>
      </c>
      <c r="D439" s="422" t="s">
        <v>1496</v>
      </c>
      <c r="E439" s="422" t="s">
        <v>1497</v>
      </c>
      <c r="F439" s="422" t="s">
        <v>1137</v>
      </c>
      <c r="G439" s="422" t="s">
        <v>1138</v>
      </c>
      <c r="H439" s="422" t="s">
        <v>85</v>
      </c>
      <c r="I439" s="641"/>
      <c r="J439" s="623">
        <v>3672</v>
      </c>
      <c r="K439" s="642"/>
      <c r="L439" s="643"/>
      <c r="M439" s="604">
        <f>VLOOKUP(H439,名称!A:E,3,0)</f>
        <v>24</v>
      </c>
      <c r="N439" s="623">
        <f t="shared" si="78"/>
        <v>153</v>
      </c>
      <c r="O439" s="566">
        <v>46307</v>
      </c>
      <c r="P439" s="566">
        <v>46307</v>
      </c>
      <c r="Q439" s="566">
        <v>46307</v>
      </c>
      <c r="R439" s="604"/>
      <c r="S439" s="594" t="s">
        <v>1133</v>
      </c>
      <c r="T439" s="604"/>
      <c r="U439" s="604"/>
      <c r="V439" s="604"/>
      <c r="W439" s="623" t="str">
        <f>IFERROR(VLOOKUP(H439,名称!A:F,6,0),"")</f>
        <v>湖南</v>
      </c>
      <c r="X439" s="422" t="s">
        <v>1248</v>
      </c>
      <c r="Y439" s="422" t="s">
        <v>1233</v>
      </c>
      <c r="Z439" s="422" t="s">
        <v>1249</v>
      </c>
      <c r="AA439" s="649">
        <v>46247</v>
      </c>
      <c r="AB439" s="604"/>
      <c r="AC439" s="422" t="s">
        <v>1133</v>
      </c>
      <c r="AD439" s="422" t="s">
        <v>1133</v>
      </c>
      <c r="AE439" s="422" t="s">
        <v>510</v>
      </c>
      <c r="AF439" s="422" t="s">
        <v>1228</v>
      </c>
      <c r="AG439" s="422" t="s">
        <v>510</v>
      </c>
      <c r="AH439" s="422" t="s">
        <v>1133</v>
      </c>
      <c r="AI439" s="422" t="s">
        <v>1228</v>
      </c>
      <c r="AJ439" s="422" t="s">
        <v>1133</v>
      </c>
      <c r="AK439" s="422" t="s">
        <v>510</v>
      </c>
      <c r="AL439" s="604"/>
      <c r="AM439" s="422" t="s">
        <v>1498</v>
      </c>
      <c r="AN439" s="422" t="s">
        <v>1491</v>
      </c>
      <c r="AO439" s="644">
        <v>0.89</v>
      </c>
      <c r="AP439" s="645">
        <f t="shared" si="74"/>
        <v>3268.08</v>
      </c>
      <c r="AQ439" s="645">
        <f t="shared" si="75"/>
        <v>25327.62</v>
      </c>
      <c r="AR439" s="646"/>
      <c r="AS439" s="566"/>
      <c r="AT439" s="566"/>
      <c r="AU439" s="647"/>
      <c r="AV439" s="647"/>
      <c r="AW439" s="648"/>
      <c r="AX439" s="566"/>
      <c r="AY439" s="594" t="s">
        <v>1269</v>
      </c>
      <c r="AZ439" s="594" t="s">
        <v>1492</v>
      </c>
      <c r="BA439" s="566"/>
      <c r="BB439" s="566" t="str">
        <f t="shared" si="76"/>
        <v>Kade Ltd.</v>
      </c>
      <c r="BC439" s="566" t="str">
        <f t="shared" si="77"/>
        <v>香港</v>
      </c>
    </row>
    <row r="440" s="499" customFormat="1" customHeight="1" spans="1:55">
      <c r="A440" s="566">
        <v>46244</v>
      </c>
      <c r="B440" s="566" t="str">
        <f ca="1" t="shared" si="79"/>
        <v>异常</v>
      </c>
      <c r="C440" s="604" t="str">
        <f>VLOOKUP(H440,名称!A:E,4,0)</f>
        <v>三代</v>
      </c>
      <c r="D440" s="422" t="s">
        <v>1496</v>
      </c>
      <c r="E440" s="422" t="s">
        <v>1497</v>
      </c>
      <c r="F440" s="422" t="s">
        <v>1137</v>
      </c>
      <c r="G440" s="422" t="s">
        <v>1138</v>
      </c>
      <c r="H440" s="422" t="s">
        <v>97</v>
      </c>
      <c r="I440" s="641"/>
      <c r="J440" s="623">
        <v>2088</v>
      </c>
      <c r="K440" s="642"/>
      <c r="L440" s="643"/>
      <c r="M440" s="604">
        <f>VLOOKUP(H440,名称!A:E,3,0)</f>
        <v>24</v>
      </c>
      <c r="N440" s="623">
        <f t="shared" si="78"/>
        <v>87</v>
      </c>
      <c r="O440" s="566">
        <v>46307</v>
      </c>
      <c r="P440" s="566">
        <v>46307</v>
      </c>
      <c r="Q440" s="566">
        <v>46307</v>
      </c>
      <c r="R440" s="604"/>
      <c r="S440" s="594" t="s">
        <v>1133</v>
      </c>
      <c r="T440" s="604"/>
      <c r="U440" s="604"/>
      <c r="V440" s="604"/>
      <c r="W440" s="623" t="str">
        <f>IFERROR(VLOOKUP(H440,名称!A:F,6,0),"")</f>
        <v>湖南</v>
      </c>
      <c r="X440" s="422" t="s">
        <v>1248</v>
      </c>
      <c r="Y440" s="422" t="s">
        <v>1233</v>
      </c>
      <c r="Z440" s="422" t="s">
        <v>1249</v>
      </c>
      <c r="AA440" s="649">
        <v>46247</v>
      </c>
      <c r="AB440" s="604"/>
      <c r="AC440" s="422" t="s">
        <v>1133</v>
      </c>
      <c r="AD440" s="422" t="s">
        <v>1133</v>
      </c>
      <c r="AE440" s="422" t="s">
        <v>510</v>
      </c>
      <c r="AF440" s="422" t="s">
        <v>1228</v>
      </c>
      <c r="AG440" s="422" t="s">
        <v>510</v>
      </c>
      <c r="AH440" s="422" t="s">
        <v>1133</v>
      </c>
      <c r="AI440" s="422" t="s">
        <v>1228</v>
      </c>
      <c r="AJ440" s="422" t="s">
        <v>1133</v>
      </c>
      <c r="AK440" s="422" t="s">
        <v>510</v>
      </c>
      <c r="AL440" s="604"/>
      <c r="AM440" s="422" t="s">
        <v>1498</v>
      </c>
      <c r="AN440" s="422" t="s">
        <v>1491</v>
      </c>
      <c r="AO440" s="644">
        <v>0.64</v>
      </c>
      <c r="AP440" s="645">
        <f t="shared" ref="AP440:AP442" si="80">J440*AO440</f>
        <v>1336.32</v>
      </c>
      <c r="AQ440" s="645">
        <f t="shared" ref="AQ440:AQ442" si="81">AP440*7.75</f>
        <v>10356.48</v>
      </c>
      <c r="AR440" s="646"/>
      <c r="AS440" s="566"/>
      <c r="AT440" s="566"/>
      <c r="AU440" s="647"/>
      <c r="AV440" s="647"/>
      <c r="AW440" s="648"/>
      <c r="AX440" s="566"/>
      <c r="AY440" s="594" t="s">
        <v>1269</v>
      </c>
      <c r="AZ440" s="594" t="s">
        <v>1492</v>
      </c>
      <c r="BA440" s="566"/>
      <c r="BB440" s="566" t="str">
        <f t="shared" ref="BB440:BB442" si="82">D440</f>
        <v>Kade Ltd.</v>
      </c>
      <c r="BC440" s="566" t="str">
        <f t="shared" ref="BC440:BC442" si="83">E440</f>
        <v>香港</v>
      </c>
    </row>
    <row r="441" s="499" customFormat="1" customHeight="1" spans="1:55">
      <c r="A441" s="566">
        <v>46244</v>
      </c>
      <c r="B441" s="566" t="str">
        <f ca="1" t="shared" si="79"/>
        <v>异常</v>
      </c>
      <c r="C441" s="604" t="str">
        <f>VLOOKUP(H441,名称!A:E,4,0)</f>
        <v>三代</v>
      </c>
      <c r="D441" s="422" t="s">
        <v>1496</v>
      </c>
      <c r="E441" s="422" t="s">
        <v>1497</v>
      </c>
      <c r="F441" s="422" t="s">
        <v>1137</v>
      </c>
      <c r="G441" s="422" t="s">
        <v>1138</v>
      </c>
      <c r="H441" s="422" t="s">
        <v>98</v>
      </c>
      <c r="I441" s="641"/>
      <c r="J441" s="623">
        <v>528</v>
      </c>
      <c r="K441" s="642"/>
      <c r="L441" s="643"/>
      <c r="M441" s="604">
        <f>VLOOKUP(H441,名称!A:E,3,0)</f>
        <v>12</v>
      </c>
      <c r="N441" s="623">
        <f t="shared" si="78"/>
        <v>44</v>
      </c>
      <c r="O441" s="566">
        <v>46307</v>
      </c>
      <c r="P441" s="566">
        <v>46307</v>
      </c>
      <c r="Q441" s="566">
        <v>46307</v>
      </c>
      <c r="R441" s="604"/>
      <c r="S441" s="594" t="s">
        <v>1133</v>
      </c>
      <c r="T441" s="604"/>
      <c r="U441" s="604"/>
      <c r="V441" s="604"/>
      <c r="W441" s="623" t="str">
        <f>IFERROR(VLOOKUP(H441,名称!A:F,6,0),"")</f>
        <v>湖南</v>
      </c>
      <c r="X441" s="422" t="s">
        <v>1248</v>
      </c>
      <c r="Y441" s="422" t="s">
        <v>1233</v>
      </c>
      <c r="Z441" s="422" t="s">
        <v>1249</v>
      </c>
      <c r="AA441" s="649">
        <v>46247</v>
      </c>
      <c r="AB441" s="604"/>
      <c r="AC441" s="422" t="s">
        <v>1302</v>
      </c>
      <c r="AD441" s="422" t="s">
        <v>1228</v>
      </c>
      <c r="AE441" s="422" t="s">
        <v>510</v>
      </c>
      <c r="AF441" s="422" t="s">
        <v>1228</v>
      </c>
      <c r="AG441" s="422" t="s">
        <v>510</v>
      </c>
      <c r="AH441" s="422" t="s">
        <v>1307</v>
      </c>
      <c r="AI441" s="422" t="s">
        <v>1228</v>
      </c>
      <c r="AJ441" s="422" t="s">
        <v>1133</v>
      </c>
      <c r="AK441" s="422" t="s">
        <v>1133</v>
      </c>
      <c r="AL441" s="604"/>
      <c r="AM441" s="422" t="s">
        <v>1498</v>
      </c>
      <c r="AN441" s="422" t="s">
        <v>1491</v>
      </c>
      <c r="AO441" s="644">
        <v>1.51</v>
      </c>
      <c r="AP441" s="645">
        <f t="shared" si="80"/>
        <v>797.28</v>
      </c>
      <c r="AQ441" s="645">
        <f t="shared" si="81"/>
        <v>6178.92</v>
      </c>
      <c r="AR441" s="646"/>
      <c r="AS441" s="566"/>
      <c r="AT441" s="566"/>
      <c r="AU441" s="647"/>
      <c r="AV441" s="647"/>
      <c r="AW441" s="648"/>
      <c r="AX441" s="566"/>
      <c r="AY441" s="594" t="s">
        <v>1269</v>
      </c>
      <c r="AZ441" s="594" t="s">
        <v>1492</v>
      </c>
      <c r="BA441" s="566"/>
      <c r="BB441" s="566" t="str">
        <f t="shared" si="82"/>
        <v>Kade Ltd.</v>
      </c>
      <c r="BC441" s="566" t="str">
        <f t="shared" si="83"/>
        <v>香港</v>
      </c>
    </row>
    <row r="442" s="499" customFormat="1" customHeight="1" spans="1:55">
      <c r="A442" s="566">
        <v>46245</v>
      </c>
      <c r="B442" s="566" t="str">
        <f ca="1" t="shared" si="79"/>
        <v>异常</v>
      </c>
      <c r="C442" s="604" t="str">
        <f>VLOOKUP(H442,名称!A:E,4,0)</f>
        <v>三代</v>
      </c>
      <c r="D442" s="422" t="s">
        <v>1493</v>
      </c>
      <c r="E442" s="422" t="s">
        <v>1224</v>
      </c>
      <c r="F442" s="422" t="s">
        <v>1139</v>
      </c>
      <c r="G442" s="422" t="s">
        <v>1140</v>
      </c>
      <c r="H442" s="422" t="s">
        <v>59</v>
      </c>
      <c r="I442" s="641"/>
      <c r="J442" s="623">
        <v>40008</v>
      </c>
      <c r="K442" s="642"/>
      <c r="L442" s="643"/>
      <c r="M442" s="604">
        <f>VLOOKUP(H442,名称!A:E,3,0)</f>
        <v>24</v>
      </c>
      <c r="N442" s="623">
        <f t="shared" si="78"/>
        <v>1667</v>
      </c>
      <c r="O442" s="566">
        <v>46346</v>
      </c>
      <c r="P442" s="566">
        <v>46315</v>
      </c>
      <c r="Q442" s="566">
        <v>46315</v>
      </c>
      <c r="R442" s="604"/>
      <c r="S442" s="566">
        <v>46316</v>
      </c>
      <c r="T442" s="604"/>
      <c r="U442" s="604"/>
      <c r="V442" s="604"/>
      <c r="W442" s="623" t="str">
        <f>IFERROR(VLOOKUP(H442,名称!A:F,6,0),"")</f>
        <v>湖南</v>
      </c>
      <c r="X442" s="422" t="s">
        <v>1133</v>
      </c>
      <c r="Y442" s="422" t="s">
        <v>1233</v>
      </c>
      <c r="Z442" s="604" t="s">
        <v>1233</v>
      </c>
      <c r="AA442" s="649"/>
      <c r="AB442" s="604"/>
      <c r="AC442" s="422" t="s">
        <v>1133</v>
      </c>
      <c r="AD442" s="422" t="s">
        <v>1133</v>
      </c>
      <c r="AE442" s="422" t="s">
        <v>270</v>
      </c>
      <c r="AF442" s="422" t="s">
        <v>1228</v>
      </c>
      <c r="AG442" s="422" t="s">
        <v>270</v>
      </c>
      <c r="AH442" s="422" t="s">
        <v>1133</v>
      </c>
      <c r="AI442" s="422" t="s">
        <v>1228</v>
      </c>
      <c r="AJ442" s="422" t="s">
        <v>1133</v>
      </c>
      <c r="AK442" s="422" t="s">
        <v>270</v>
      </c>
      <c r="AL442" s="604"/>
      <c r="AM442" s="604"/>
      <c r="AN442" s="604"/>
      <c r="AO442" s="644">
        <v>0.62</v>
      </c>
      <c r="AP442" s="645">
        <f t="shared" si="80"/>
        <v>24804.96</v>
      </c>
      <c r="AQ442" s="645">
        <f t="shared" si="81"/>
        <v>192238.44</v>
      </c>
      <c r="AR442" s="646"/>
      <c r="AS442" s="566"/>
      <c r="AT442" s="566"/>
      <c r="AU442" s="647"/>
      <c r="AV442" s="647"/>
      <c r="AW442" s="648"/>
      <c r="AX442" s="566"/>
      <c r="AY442" s="594" t="s">
        <v>1255</v>
      </c>
      <c r="AZ442" s="594" t="s">
        <v>1492</v>
      </c>
      <c r="BA442" s="566"/>
      <c r="BB442" s="566" t="str">
        <f t="shared" si="82"/>
        <v> JAZWARES - TARGET</v>
      </c>
      <c r="BC442" s="566" t="str">
        <f t="shared" si="83"/>
        <v>美国</v>
      </c>
    </row>
    <row r="443" s="499" customFormat="1" customHeight="1" spans="1:55">
      <c r="A443" s="566">
        <v>46245</v>
      </c>
      <c r="B443" s="566" t="str">
        <f ca="1" t="shared" si="79"/>
        <v>异常</v>
      </c>
      <c r="C443" s="604" t="str">
        <f>VLOOKUP(H443,名称!A:E,4,0)</f>
        <v>三代</v>
      </c>
      <c r="D443" s="422" t="s">
        <v>1345</v>
      </c>
      <c r="E443" s="422" t="s">
        <v>1224</v>
      </c>
      <c r="F443" s="422" t="s">
        <v>1141</v>
      </c>
      <c r="G443" s="422" t="s">
        <v>1142</v>
      </c>
      <c r="H443" s="422" t="s">
        <v>199</v>
      </c>
      <c r="I443" s="641"/>
      <c r="J443" s="623">
        <v>15000</v>
      </c>
      <c r="K443" s="642"/>
      <c r="L443" s="643"/>
      <c r="M443" s="604">
        <f>VLOOKUP(H443,名称!A:E,3,0)</f>
        <v>24</v>
      </c>
      <c r="N443" s="623">
        <f t="shared" si="78"/>
        <v>625</v>
      </c>
      <c r="O443" s="566">
        <v>46384</v>
      </c>
      <c r="P443" s="566">
        <v>46384</v>
      </c>
      <c r="Q443" s="566">
        <v>46384</v>
      </c>
      <c r="R443" s="604"/>
      <c r="S443" s="566">
        <v>46384</v>
      </c>
      <c r="T443" s="604"/>
      <c r="U443" s="604"/>
      <c r="V443" s="604"/>
      <c r="W443" s="623" t="str">
        <f>IFERROR(VLOOKUP(H443,名称!A:F,6,0),"")</f>
        <v>湖南</v>
      </c>
      <c r="X443" s="422" t="s">
        <v>1133</v>
      </c>
      <c r="Y443" s="422" t="s">
        <v>1233</v>
      </c>
      <c r="Z443" s="604" t="s">
        <v>1233</v>
      </c>
      <c r="AA443" s="649"/>
      <c r="AB443" s="604"/>
      <c r="AC443" s="422" t="s">
        <v>1133</v>
      </c>
      <c r="AD443" s="422" t="s">
        <v>1133</v>
      </c>
      <c r="AE443" s="422" t="s">
        <v>270</v>
      </c>
      <c r="AF443" s="422" t="s">
        <v>1228</v>
      </c>
      <c r="AG443" s="422" t="s">
        <v>270</v>
      </c>
      <c r="AH443" s="422" t="s">
        <v>1133</v>
      </c>
      <c r="AI443" s="422" t="s">
        <v>1228</v>
      </c>
      <c r="AJ443" s="422" t="s">
        <v>1133</v>
      </c>
      <c r="AK443" s="422" t="s">
        <v>270</v>
      </c>
      <c r="AL443" s="604"/>
      <c r="AM443" s="604"/>
      <c r="AN443" s="604"/>
      <c r="AO443" s="644">
        <v>0.88</v>
      </c>
      <c r="AP443" s="645">
        <f t="shared" ref="AP443:AP453" si="84">J443*AO443</f>
        <v>13200</v>
      </c>
      <c r="AQ443" s="645">
        <f t="shared" ref="AQ443:AQ453" si="85">AP443*7.75</f>
        <v>102300</v>
      </c>
      <c r="AR443" s="646"/>
      <c r="AS443" s="566"/>
      <c r="AT443" s="566"/>
      <c r="AU443" s="647"/>
      <c r="AV443" s="647"/>
      <c r="AW443" s="648"/>
      <c r="AX443" s="566"/>
      <c r="AY443" s="594" t="s">
        <v>1255</v>
      </c>
      <c r="AZ443" s="594" t="s">
        <v>1492</v>
      </c>
      <c r="BA443" s="566"/>
      <c r="BB443" s="566" t="str">
        <f t="shared" ref="BB443:BB454" si="86">D443</f>
        <v>JAZWARES - TARGET</v>
      </c>
      <c r="BC443" s="566" t="str">
        <f t="shared" ref="BC443:BC454" si="87">E443</f>
        <v>美国</v>
      </c>
    </row>
    <row r="444" s="500" customFormat="1" customHeight="1" spans="1:55">
      <c r="A444" s="650">
        <v>46246</v>
      </c>
      <c r="B444" s="650" t="str">
        <f ca="1" t="shared" si="79"/>
        <v>异常</v>
      </c>
      <c r="C444" s="651" t="str">
        <f>VLOOKUP(H444,名称!A:E,4,0)</f>
        <v>三代</v>
      </c>
      <c r="D444" s="652" t="s">
        <v>1499</v>
      </c>
      <c r="E444" s="651" t="s">
        <v>1325</v>
      </c>
      <c r="F444" s="652" t="s">
        <v>1143</v>
      </c>
      <c r="G444" s="652" t="s">
        <v>1144</v>
      </c>
      <c r="H444" s="651" t="s">
        <v>107</v>
      </c>
      <c r="I444" s="653"/>
      <c r="J444" s="654">
        <v>5000</v>
      </c>
      <c r="K444" s="655">
        <f>VLOOKUP(H444,名称!A:C,2,0)</f>
        <v>12</v>
      </c>
      <c r="L444" s="656">
        <f t="shared" ref="L444:L448" si="88">J444*K444</f>
        <v>60000</v>
      </c>
      <c r="M444" s="651">
        <f>VLOOKUP(H444,名称!A:E,3,0)</f>
        <v>5</v>
      </c>
      <c r="N444" s="654">
        <f t="shared" si="78"/>
        <v>1000</v>
      </c>
      <c r="O444" s="650">
        <v>46338</v>
      </c>
      <c r="P444" s="650">
        <v>46338</v>
      </c>
      <c r="Q444" s="650">
        <v>46338</v>
      </c>
      <c r="R444" s="651"/>
      <c r="S444" s="650">
        <v>46338</v>
      </c>
      <c r="T444" s="651"/>
      <c r="U444" s="651"/>
      <c r="V444" s="651"/>
      <c r="W444" s="654" t="str">
        <f>IFERROR(VLOOKUP(H444,名称!A:F,6,0),"")</f>
        <v>湖南</v>
      </c>
      <c r="X444" s="651" t="s">
        <v>1133</v>
      </c>
      <c r="Y444" s="651" t="s">
        <v>1133</v>
      </c>
      <c r="Z444" s="651" t="s">
        <v>1233</v>
      </c>
      <c r="AA444" s="657"/>
      <c r="AB444" s="651"/>
      <c r="AC444" s="651" t="s">
        <v>1302</v>
      </c>
      <c r="AD444" s="651" t="s">
        <v>1228</v>
      </c>
      <c r="AE444" s="651" t="s">
        <v>253</v>
      </c>
      <c r="AF444" s="651" t="s">
        <v>1228</v>
      </c>
      <c r="AG444" s="651" t="s">
        <v>253</v>
      </c>
      <c r="AH444" s="651" t="s">
        <v>1326</v>
      </c>
      <c r="AI444" s="651" t="s">
        <v>1228</v>
      </c>
      <c r="AJ444" s="651" t="s">
        <v>253</v>
      </c>
      <c r="AK444" s="651" t="s">
        <v>1133</v>
      </c>
      <c r="AL444" s="651"/>
      <c r="AM444" s="652" t="s">
        <v>1500</v>
      </c>
      <c r="AN444" s="654" t="s">
        <v>1231</v>
      </c>
      <c r="AO444" s="658">
        <v>2.12</v>
      </c>
      <c r="AP444" s="659">
        <f t="shared" si="84"/>
        <v>10600</v>
      </c>
      <c r="AQ444" s="659">
        <f t="shared" si="85"/>
        <v>82150</v>
      </c>
      <c r="AR444" s="660"/>
      <c r="AS444" s="650"/>
      <c r="AT444" s="661" t="s">
        <v>1254</v>
      </c>
      <c r="AU444" s="662"/>
      <c r="AV444" s="662">
        <f>AU444-J444</f>
        <v>-5000</v>
      </c>
      <c r="AW444" s="662"/>
      <c r="AX444" s="650" t="s">
        <v>1280</v>
      </c>
      <c r="AY444" s="650" t="s">
        <v>1255</v>
      </c>
      <c r="AZ444" s="661" t="s">
        <v>1256</v>
      </c>
      <c r="BA444" s="650"/>
      <c r="BB444" s="650" t="str">
        <f t="shared" si="86"/>
        <v> JAZWARES CA - LOBLAWS INC. DOM</v>
      </c>
      <c r="BC444" s="650" t="str">
        <f t="shared" si="87"/>
        <v>加拿大</v>
      </c>
    </row>
    <row r="445" s="500" customFormat="1" customHeight="1" spans="1:55">
      <c r="A445" s="650">
        <v>46246</v>
      </c>
      <c r="B445" s="650" t="str">
        <f ca="1" t="shared" si="79"/>
        <v>异常</v>
      </c>
      <c r="C445" s="651" t="str">
        <f>VLOOKUP(H445,名称!A:E,4,0)</f>
        <v>三代</v>
      </c>
      <c r="D445" s="652" t="s">
        <v>1499</v>
      </c>
      <c r="E445" s="651" t="s">
        <v>1325</v>
      </c>
      <c r="F445" s="652" t="s">
        <v>1143</v>
      </c>
      <c r="G445" s="652" t="s">
        <v>1144</v>
      </c>
      <c r="H445" s="651" t="s">
        <v>60</v>
      </c>
      <c r="I445" s="651"/>
      <c r="J445" s="654">
        <v>5004</v>
      </c>
      <c r="K445" s="663">
        <f>VLOOKUP(H445,名称!A:C,2,0)</f>
        <v>5</v>
      </c>
      <c r="L445" s="654">
        <f t="shared" si="88"/>
        <v>25020</v>
      </c>
      <c r="M445" s="651">
        <f>VLOOKUP(H445,名称!A:E,3,0)</f>
        <v>12</v>
      </c>
      <c r="N445" s="654">
        <f t="shared" si="78"/>
        <v>417</v>
      </c>
      <c r="O445" s="650">
        <v>46338</v>
      </c>
      <c r="P445" s="650">
        <v>46338</v>
      </c>
      <c r="Q445" s="650">
        <v>46338</v>
      </c>
      <c r="R445" s="651"/>
      <c r="S445" s="650">
        <v>46338</v>
      </c>
      <c r="T445" s="651"/>
      <c r="U445" s="651"/>
      <c r="V445" s="652"/>
      <c r="W445" s="654" t="str">
        <f>IFERROR(VLOOKUP(H445,名称!A:F,6,0),"")</f>
        <v>湖南</v>
      </c>
      <c r="X445" s="651" t="s">
        <v>1133</v>
      </c>
      <c r="Y445" s="651" t="s">
        <v>1133</v>
      </c>
      <c r="Z445" s="651" t="s">
        <v>1233</v>
      </c>
      <c r="AA445" s="657"/>
      <c r="AB445" s="651"/>
      <c r="AC445" s="651" t="s">
        <v>1133</v>
      </c>
      <c r="AD445" s="651" t="s">
        <v>1133</v>
      </c>
      <c r="AE445" s="651" t="s">
        <v>253</v>
      </c>
      <c r="AF445" s="651" t="s">
        <v>1228</v>
      </c>
      <c r="AG445" s="651" t="s">
        <v>253</v>
      </c>
      <c r="AH445" s="651" t="s">
        <v>1133</v>
      </c>
      <c r="AI445" s="651" t="s">
        <v>1228</v>
      </c>
      <c r="AJ445" s="651" t="s">
        <v>1133</v>
      </c>
      <c r="AK445" s="651" t="s">
        <v>253</v>
      </c>
      <c r="AL445" s="651"/>
      <c r="AM445" s="652" t="s">
        <v>1500</v>
      </c>
      <c r="AN445" s="654" t="s">
        <v>1234</v>
      </c>
      <c r="AO445" s="658">
        <v>0.61</v>
      </c>
      <c r="AP445" s="659">
        <f t="shared" si="84"/>
        <v>3052.44</v>
      </c>
      <c r="AQ445" s="659">
        <f t="shared" si="85"/>
        <v>23656.41</v>
      </c>
      <c r="AR445" s="660"/>
      <c r="AS445" s="650"/>
      <c r="AT445" s="661" t="s">
        <v>1254</v>
      </c>
      <c r="AU445" s="662"/>
      <c r="AV445" s="662">
        <f>AU445-J445</f>
        <v>-5004</v>
      </c>
      <c r="AW445" s="664"/>
      <c r="AX445" s="650" t="s">
        <v>1280</v>
      </c>
      <c r="AY445" s="650" t="s">
        <v>1255</v>
      </c>
      <c r="AZ445" s="661" t="s">
        <v>1256</v>
      </c>
      <c r="BA445" s="650"/>
      <c r="BB445" s="650" t="str">
        <f t="shared" si="86"/>
        <v> JAZWARES CA - LOBLAWS INC. DOM</v>
      </c>
      <c r="BC445" s="650" t="str">
        <f t="shared" si="87"/>
        <v>加拿大</v>
      </c>
    </row>
    <row r="446" s="500" customFormat="1" customHeight="1" spans="1:55">
      <c r="A446" s="650">
        <v>46246</v>
      </c>
      <c r="B446" s="650" t="str">
        <f ca="1" t="shared" si="79"/>
        <v>异常</v>
      </c>
      <c r="C446" s="651" t="str">
        <f>VLOOKUP(H446,名称!A:E,4,0)</f>
        <v>三代</v>
      </c>
      <c r="D446" s="652" t="s">
        <v>1499</v>
      </c>
      <c r="E446" s="651" t="s">
        <v>1325</v>
      </c>
      <c r="F446" s="652" t="s">
        <v>1143</v>
      </c>
      <c r="G446" s="652" t="s">
        <v>1144</v>
      </c>
      <c r="H446" s="651" t="s">
        <v>102</v>
      </c>
      <c r="I446" s="653"/>
      <c r="J446" s="654">
        <v>4992</v>
      </c>
      <c r="K446" s="655">
        <f>VLOOKUP(H446,名称!A:C,2,0)</f>
        <v>5</v>
      </c>
      <c r="L446" s="656">
        <f t="shared" si="88"/>
        <v>24960</v>
      </c>
      <c r="M446" s="651">
        <f>VLOOKUP(H446,名称!A:E,3,0)</f>
        <v>12</v>
      </c>
      <c r="N446" s="654">
        <f t="shared" si="78"/>
        <v>416</v>
      </c>
      <c r="O446" s="650">
        <v>46338</v>
      </c>
      <c r="P446" s="650">
        <v>46338</v>
      </c>
      <c r="Q446" s="650">
        <v>46338</v>
      </c>
      <c r="R446" s="651"/>
      <c r="S446" s="650">
        <v>46338</v>
      </c>
      <c r="T446" s="651"/>
      <c r="U446" s="651"/>
      <c r="V446" s="652" t="s">
        <v>1501</v>
      </c>
      <c r="W446" s="654" t="str">
        <f>IFERROR(VLOOKUP(H446,名称!A:F,6,0),"")</f>
        <v>湖南</v>
      </c>
      <c r="X446" s="651" t="s">
        <v>1133</v>
      </c>
      <c r="Y446" s="651" t="s">
        <v>1133</v>
      </c>
      <c r="Z446" s="651" t="s">
        <v>1233</v>
      </c>
      <c r="AA446" s="657"/>
      <c r="AB446" s="657"/>
      <c r="AC446" s="652" t="s">
        <v>1133</v>
      </c>
      <c r="AD446" s="652" t="s">
        <v>1133</v>
      </c>
      <c r="AE446" s="651" t="s">
        <v>253</v>
      </c>
      <c r="AF446" s="651" t="s">
        <v>1228</v>
      </c>
      <c r="AG446" s="651" t="s">
        <v>253</v>
      </c>
      <c r="AH446" s="652" t="s">
        <v>1133</v>
      </c>
      <c r="AI446" s="651" t="s">
        <v>1228</v>
      </c>
      <c r="AJ446" s="652" t="s">
        <v>1133</v>
      </c>
      <c r="AK446" s="651" t="s">
        <v>253</v>
      </c>
      <c r="AL446" s="651"/>
      <c r="AM446" s="652" t="s">
        <v>1500</v>
      </c>
      <c r="AN446" s="654" t="s">
        <v>1234</v>
      </c>
      <c r="AO446" s="658">
        <v>0.61</v>
      </c>
      <c r="AP446" s="659">
        <f t="shared" si="84"/>
        <v>3045.12</v>
      </c>
      <c r="AQ446" s="659">
        <f t="shared" si="85"/>
        <v>23599.68</v>
      </c>
      <c r="AR446" s="660"/>
      <c r="AS446" s="650"/>
      <c r="AT446" s="661" t="s">
        <v>1220</v>
      </c>
      <c r="AU446" s="662"/>
      <c r="AV446" s="662">
        <f>AU446-J446</f>
        <v>-4992</v>
      </c>
      <c r="AW446" s="664"/>
      <c r="AX446" s="661" t="s">
        <v>1280</v>
      </c>
      <c r="AY446" s="650" t="s">
        <v>1255</v>
      </c>
      <c r="AZ446" s="650" t="s">
        <v>1256</v>
      </c>
      <c r="BA446" s="650"/>
      <c r="BB446" s="650" t="str">
        <f t="shared" si="86"/>
        <v> JAZWARES CA - LOBLAWS INC. DOM</v>
      </c>
      <c r="BC446" s="650" t="str">
        <f t="shared" si="87"/>
        <v>加拿大</v>
      </c>
    </row>
    <row r="447" s="499" customFormat="1" customHeight="1" spans="1:55">
      <c r="A447" s="566">
        <v>46247</v>
      </c>
      <c r="B447" s="566" t="str">
        <f ca="1" t="shared" si="79"/>
        <v>异常</v>
      </c>
      <c r="C447" s="604" t="str">
        <f>VLOOKUP(H447,名称!A:E,4,0)</f>
        <v>三代</v>
      </c>
      <c r="D447" s="422" t="s">
        <v>1445</v>
      </c>
      <c r="E447" s="422" t="s">
        <v>1224</v>
      </c>
      <c r="F447" s="422" t="s">
        <v>1064</v>
      </c>
      <c r="G447" s="422" t="s">
        <v>1065</v>
      </c>
      <c r="H447" s="422" t="s">
        <v>200</v>
      </c>
      <c r="I447" s="641"/>
      <c r="J447" s="623">
        <v>84</v>
      </c>
      <c r="K447" s="642">
        <f>VLOOKUP(H447,名称!A:C,2,0)</f>
        <v>5</v>
      </c>
      <c r="L447" s="643">
        <f t="shared" si="88"/>
        <v>420</v>
      </c>
      <c r="M447" s="604">
        <f>VLOOKUP(H447,名称!A:E,3,0)</f>
        <v>12</v>
      </c>
      <c r="N447" s="623">
        <f t="shared" si="78"/>
        <v>7</v>
      </c>
      <c r="O447" s="566">
        <v>46330</v>
      </c>
      <c r="P447" s="566">
        <v>46330</v>
      </c>
      <c r="Q447" s="566">
        <v>46330</v>
      </c>
      <c r="R447" s="604"/>
      <c r="S447" s="566">
        <v>46330</v>
      </c>
      <c r="T447" s="604"/>
      <c r="U447" s="604"/>
      <c r="V447" s="604"/>
      <c r="W447" s="623" t="str">
        <f>IFERROR(VLOOKUP(H447,名称!A:F,6,0),"")</f>
        <v>湖南</v>
      </c>
      <c r="X447" s="422" t="s">
        <v>1133</v>
      </c>
      <c r="Y447" s="422" t="s">
        <v>1133</v>
      </c>
      <c r="Z447" s="604" t="s">
        <v>1233</v>
      </c>
      <c r="AA447" s="649"/>
      <c r="AB447" s="604"/>
      <c r="AC447" s="422" t="s">
        <v>1133</v>
      </c>
      <c r="AD447" s="422" t="s">
        <v>1133</v>
      </c>
      <c r="AE447" s="604" t="s">
        <v>270</v>
      </c>
      <c r="AF447" s="422" t="s">
        <v>1228</v>
      </c>
      <c r="AG447" s="604" t="s">
        <v>270</v>
      </c>
      <c r="AH447" s="422" t="s">
        <v>1133</v>
      </c>
      <c r="AI447" s="422" t="s">
        <v>1228</v>
      </c>
      <c r="AJ447" s="422" t="s">
        <v>1133</v>
      </c>
      <c r="AK447" s="422" t="s">
        <v>270</v>
      </c>
      <c r="AL447" s="422" t="s">
        <v>1228</v>
      </c>
      <c r="AM447" s="604"/>
      <c r="AN447" s="604"/>
      <c r="AO447" s="644">
        <v>0.91</v>
      </c>
      <c r="AP447" s="645">
        <f t="shared" si="84"/>
        <v>76.44</v>
      </c>
      <c r="AQ447" s="645">
        <f t="shared" si="85"/>
        <v>592.41</v>
      </c>
      <c r="AR447" s="665"/>
      <c r="AS447" s="566"/>
      <c r="AT447" s="594" t="s">
        <v>1310</v>
      </c>
      <c r="AU447" s="647"/>
      <c r="AV447" s="647">
        <f>AU447-J447</f>
        <v>-84</v>
      </c>
      <c r="AW447" s="648"/>
      <c r="AX447" s="566"/>
      <c r="AY447" s="594" t="s">
        <v>1255</v>
      </c>
      <c r="AZ447" s="566" t="s">
        <v>1256</v>
      </c>
      <c r="BA447" s="566"/>
      <c r="BB447" s="566" t="str">
        <f t="shared" si="86"/>
        <v>JAZWARES - WALGREEN</v>
      </c>
      <c r="BC447" s="566" t="str">
        <f t="shared" si="87"/>
        <v>美国</v>
      </c>
    </row>
    <row r="448" s="499" customFormat="1" customHeight="1" spans="1:55">
      <c r="A448" s="566">
        <v>46247</v>
      </c>
      <c r="B448" s="566" t="str">
        <f ca="1" t="shared" si="79"/>
        <v>异常</v>
      </c>
      <c r="C448" s="604" t="str">
        <f>VLOOKUP(H448,名称!A:E,4,0)</f>
        <v>三代</v>
      </c>
      <c r="D448" s="422" t="s">
        <v>1445</v>
      </c>
      <c r="E448" s="422" t="s">
        <v>1224</v>
      </c>
      <c r="F448" s="422" t="s">
        <v>1064</v>
      </c>
      <c r="G448" s="422" t="s">
        <v>1065</v>
      </c>
      <c r="H448" s="422" t="s">
        <v>199</v>
      </c>
      <c r="I448" s="641"/>
      <c r="J448" s="623">
        <v>20712</v>
      </c>
      <c r="K448" s="642">
        <f>VLOOKUP(H448,名称!A:C,2,0)</f>
        <v>5</v>
      </c>
      <c r="L448" s="643">
        <f t="shared" si="88"/>
        <v>103560</v>
      </c>
      <c r="M448" s="604">
        <f>VLOOKUP(H448,名称!A:E,3,0)</f>
        <v>24</v>
      </c>
      <c r="N448" s="623">
        <f t="shared" si="78"/>
        <v>863</v>
      </c>
      <c r="O448" s="566">
        <v>46349</v>
      </c>
      <c r="P448" s="566">
        <v>46349</v>
      </c>
      <c r="Q448" s="566">
        <v>46349</v>
      </c>
      <c r="R448" s="604"/>
      <c r="S448" s="566">
        <v>46349</v>
      </c>
      <c r="T448" s="604"/>
      <c r="U448" s="604"/>
      <c r="V448" s="604"/>
      <c r="W448" s="623" t="str">
        <f>IFERROR(VLOOKUP(H448,名称!A:F,6,0),"")</f>
        <v>湖南</v>
      </c>
      <c r="X448" s="422" t="s">
        <v>1133</v>
      </c>
      <c r="Y448" s="422" t="s">
        <v>1133</v>
      </c>
      <c r="Z448" s="604" t="s">
        <v>1233</v>
      </c>
      <c r="AA448" s="649"/>
      <c r="AB448" s="604"/>
      <c r="AC448" s="422" t="s">
        <v>1133</v>
      </c>
      <c r="AD448" s="422" t="s">
        <v>1133</v>
      </c>
      <c r="AE448" s="604" t="s">
        <v>270</v>
      </c>
      <c r="AF448" s="422" t="s">
        <v>1228</v>
      </c>
      <c r="AG448" s="604" t="s">
        <v>270</v>
      </c>
      <c r="AH448" s="422" t="s">
        <v>1133</v>
      </c>
      <c r="AI448" s="422" t="s">
        <v>1228</v>
      </c>
      <c r="AJ448" s="422" t="s">
        <v>1133</v>
      </c>
      <c r="AK448" s="422" t="s">
        <v>270</v>
      </c>
      <c r="AL448" s="422" t="s">
        <v>1228</v>
      </c>
      <c r="AM448" s="604"/>
      <c r="AN448" s="604"/>
      <c r="AO448" s="644">
        <v>0.88</v>
      </c>
      <c r="AP448" s="645">
        <f t="shared" si="84"/>
        <v>18226.56</v>
      </c>
      <c r="AQ448" s="645">
        <f t="shared" si="85"/>
        <v>141255.84</v>
      </c>
      <c r="AR448" s="665"/>
      <c r="AS448" s="566"/>
      <c r="AT448" s="594" t="s">
        <v>1310</v>
      </c>
      <c r="AU448" s="647"/>
      <c r="AV448" s="647">
        <f>AU448-J448</f>
        <v>-20712</v>
      </c>
      <c r="AW448" s="648"/>
      <c r="AX448" s="566"/>
      <c r="AY448" s="594" t="s">
        <v>1255</v>
      </c>
      <c r="AZ448" s="566" t="s">
        <v>1256</v>
      </c>
      <c r="BA448" s="566"/>
      <c r="BB448" s="566" t="str">
        <f t="shared" si="86"/>
        <v>JAZWARES - WALGREEN</v>
      </c>
      <c r="BC448" s="566" t="str">
        <f t="shared" si="87"/>
        <v>美国</v>
      </c>
    </row>
    <row r="449" s="498" customFormat="1" customHeight="1" spans="1:55">
      <c r="A449" s="549"/>
      <c r="B449" s="549"/>
      <c r="C449" s="541"/>
      <c r="D449" s="541"/>
      <c r="E449" s="541"/>
      <c r="F449" s="541"/>
      <c r="G449" s="541"/>
      <c r="H449" s="541"/>
      <c r="I449" s="129"/>
      <c r="J449" s="586"/>
      <c r="K449" s="95"/>
      <c r="L449" s="96"/>
      <c r="M449" s="541"/>
      <c r="N449" s="586"/>
      <c r="O449" s="549"/>
      <c r="P449" s="549"/>
      <c r="Q449" s="549"/>
      <c r="R449" s="541"/>
      <c r="S449" s="549"/>
      <c r="T449" s="541"/>
      <c r="U449" s="541"/>
      <c r="V449" s="541"/>
      <c r="W449" s="586" t="str">
        <f>IFERROR(VLOOKUP(H449,名称!A:F,6,0),"")</f>
        <v/>
      </c>
      <c r="X449" s="541"/>
      <c r="Y449" s="541"/>
      <c r="Z449" s="541"/>
      <c r="AA449" s="552"/>
      <c r="AB449" s="541"/>
      <c r="AC449" s="541"/>
      <c r="AD449" s="541"/>
      <c r="AE449" s="541"/>
      <c r="AF449" s="541"/>
      <c r="AG449" s="541"/>
      <c r="AH449" s="541"/>
      <c r="AI449" s="541"/>
      <c r="AJ449" s="541"/>
      <c r="AK449" s="541"/>
      <c r="AL449" s="541"/>
      <c r="AM449" s="541"/>
      <c r="AN449" s="541"/>
      <c r="AO449" s="624"/>
      <c r="AP449" s="625">
        <f t="shared" si="84"/>
        <v>0</v>
      </c>
      <c r="AQ449" s="625">
        <f t="shared" si="85"/>
        <v>0</v>
      </c>
      <c r="AR449" s="626"/>
      <c r="AS449" s="549"/>
      <c r="AT449" s="549"/>
      <c r="AU449" s="548"/>
      <c r="AV449" s="548"/>
      <c r="AW449" s="627"/>
      <c r="AX449" s="549"/>
      <c r="AY449" s="549"/>
      <c r="AZ449" s="549"/>
      <c r="BA449" s="549"/>
      <c r="BB449" s="549">
        <f t="shared" si="86"/>
        <v>0</v>
      </c>
      <c r="BC449" s="549">
        <f t="shared" si="87"/>
        <v>0</v>
      </c>
    </row>
    <row r="450" s="498" customFormat="1" customHeight="1" spans="1:55">
      <c r="A450" s="549"/>
      <c r="B450" s="549"/>
      <c r="C450" s="541"/>
      <c r="D450" s="541"/>
      <c r="E450" s="541"/>
      <c r="F450" s="541"/>
      <c r="G450" s="541"/>
      <c r="H450" s="541"/>
      <c r="I450" s="129"/>
      <c r="J450" s="586"/>
      <c r="K450" s="95"/>
      <c r="L450" s="96"/>
      <c r="M450" s="541"/>
      <c r="N450" s="586"/>
      <c r="O450" s="549"/>
      <c r="P450" s="549"/>
      <c r="Q450" s="549"/>
      <c r="R450" s="541"/>
      <c r="S450" s="549"/>
      <c r="T450" s="541"/>
      <c r="U450" s="541"/>
      <c r="V450" s="541"/>
      <c r="W450" s="586" t="str">
        <f>IFERROR(VLOOKUP(H450,名称!A:F,6,0),"")</f>
        <v/>
      </c>
      <c r="X450" s="541"/>
      <c r="Y450" s="541"/>
      <c r="Z450" s="541"/>
      <c r="AA450" s="552"/>
      <c r="AB450" s="541"/>
      <c r="AC450" s="541"/>
      <c r="AD450" s="541"/>
      <c r="AE450" s="541"/>
      <c r="AF450" s="541"/>
      <c r="AG450" s="541"/>
      <c r="AH450" s="541"/>
      <c r="AI450" s="541"/>
      <c r="AJ450" s="541"/>
      <c r="AK450" s="541"/>
      <c r="AL450" s="541"/>
      <c r="AM450" s="541"/>
      <c r="AN450" s="541"/>
      <c r="AO450" s="624"/>
      <c r="AP450" s="625">
        <f t="shared" ref="AP450:AP457" si="89">J450*AO450</f>
        <v>0</v>
      </c>
      <c r="AQ450" s="625">
        <f t="shared" ref="AQ450:AQ457" si="90">AP450*7.75</f>
        <v>0</v>
      </c>
      <c r="AR450" s="626"/>
      <c r="AS450" s="549"/>
      <c r="AT450" s="549"/>
      <c r="AU450" s="548"/>
      <c r="AV450" s="548"/>
      <c r="AW450" s="627"/>
      <c r="AX450" s="549"/>
      <c r="AY450" s="549"/>
      <c r="AZ450" s="549"/>
      <c r="BA450" s="549"/>
      <c r="BB450" s="549">
        <f t="shared" ref="BB450:BB458" si="91">D450</f>
        <v>0</v>
      </c>
      <c r="BC450" s="549">
        <f t="shared" ref="BC450:BC458" si="92">E450</f>
        <v>0</v>
      </c>
    </row>
    <row r="451" s="498" customFormat="1" customHeight="1" spans="1:55">
      <c r="A451" s="549"/>
      <c r="B451" s="549"/>
      <c r="C451" s="541"/>
      <c r="D451" s="541"/>
      <c r="E451" s="541"/>
      <c r="F451" s="541"/>
      <c r="G451" s="541"/>
      <c r="H451" s="541"/>
      <c r="I451" s="129"/>
      <c r="J451" s="586"/>
      <c r="K451" s="95"/>
      <c r="L451" s="96"/>
      <c r="M451" s="541"/>
      <c r="N451" s="586"/>
      <c r="O451" s="549"/>
      <c r="P451" s="549"/>
      <c r="Q451" s="549"/>
      <c r="R451" s="541"/>
      <c r="S451" s="549"/>
      <c r="T451" s="541"/>
      <c r="U451" s="541"/>
      <c r="V451" s="541"/>
      <c r="W451" s="586" t="str">
        <f>IFERROR(VLOOKUP(H451,名称!A:F,6,0),"")</f>
        <v/>
      </c>
      <c r="X451" s="541"/>
      <c r="Y451" s="541"/>
      <c r="Z451" s="541"/>
      <c r="AA451" s="552"/>
      <c r="AB451" s="541"/>
      <c r="AC451" s="541"/>
      <c r="AD451" s="541"/>
      <c r="AE451" s="541"/>
      <c r="AF451" s="541"/>
      <c r="AG451" s="541"/>
      <c r="AH451" s="541"/>
      <c r="AI451" s="541"/>
      <c r="AJ451" s="541"/>
      <c r="AK451" s="541"/>
      <c r="AL451" s="541"/>
      <c r="AM451" s="541"/>
      <c r="AN451" s="541"/>
      <c r="AO451" s="624"/>
      <c r="AP451" s="625">
        <f t="shared" si="89"/>
        <v>0</v>
      </c>
      <c r="AQ451" s="625">
        <f t="shared" si="90"/>
        <v>0</v>
      </c>
      <c r="AR451" s="626"/>
      <c r="AS451" s="549"/>
      <c r="AT451" s="549"/>
      <c r="AU451" s="548"/>
      <c r="AV451" s="548"/>
      <c r="AW451" s="627"/>
      <c r="AX451" s="549"/>
      <c r="AY451" s="549"/>
      <c r="AZ451" s="549"/>
      <c r="BA451" s="549"/>
      <c r="BB451" s="549">
        <f t="shared" si="91"/>
        <v>0</v>
      </c>
      <c r="BC451" s="549">
        <f t="shared" si="92"/>
        <v>0</v>
      </c>
    </row>
    <row r="452" s="498" customFormat="1" customHeight="1" spans="1:55">
      <c r="A452" s="549"/>
      <c r="B452" s="549"/>
      <c r="C452" s="541"/>
      <c r="D452" s="541"/>
      <c r="E452" s="541"/>
      <c r="F452" s="541"/>
      <c r="G452" s="541"/>
      <c r="H452" s="541"/>
      <c r="I452" s="129"/>
      <c r="J452" s="586"/>
      <c r="K452" s="95"/>
      <c r="L452" s="96"/>
      <c r="M452" s="541"/>
      <c r="N452" s="586"/>
      <c r="O452" s="549"/>
      <c r="P452" s="549"/>
      <c r="Q452" s="549"/>
      <c r="R452" s="541"/>
      <c r="S452" s="549"/>
      <c r="T452" s="541"/>
      <c r="U452" s="541"/>
      <c r="V452" s="541"/>
      <c r="W452" s="586" t="str">
        <f>IFERROR(VLOOKUP(H452,名称!A:F,6,0),"")</f>
        <v/>
      </c>
      <c r="X452" s="541"/>
      <c r="Y452" s="541"/>
      <c r="Z452" s="541"/>
      <c r="AA452" s="552"/>
      <c r="AB452" s="541"/>
      <c r="AC452" s="541"/>
      <c r="AD452" s="541"/>
      <c r="AE452" s="541"/>
      <c r="AF452" s="541"/>
      <c r="AG452" s="541"/>
      <c r="AH452" s="541"/>
      <c r="AI452" s="541"/>
      <c r="AJ452" s="541"/>
      <c r="AK452" s="541"/>
      <c r="AL452" s="541"/>
      <c r="AM452" s="541"/>
      <c r="AN452" s="541"/>
      <c r="AO452" s="624"/>
      <c r="AP452" s="625">
        <f t="shared" si="89"/>
        <v>0</v>
      </c>
      <c r="AQ452" s="625">
        <f t="shared" si="90"/>
        <v>0</v>
      </c>
      <c r="AR452" s="626"/>
      <c r="AS452" s="549"/>
      <c r="AT452" s="549"/>
      <c r="AU452" s="548"/>
      <c r="AV452" s="548"/>
      <c r="AW452" s="627"/>
      <c r="AX452" s="549"/>
      <c r="AY452" s="549"/>
      <c r="AZ452" s="549"/>
      <c r="BA452" s="549"/>
      <c r="BB452" s="549">
        <f t="shared" si="91"/>
        <v>0</v>
      </c>
      <c r="BC452" s="549">
        <f t="shared" si="92"/>
        <v>0</v>
      </c>
    </row>
    <row r="453" s="498" customFormat="1" customHeight="1" spans="1:55">
      <c r="A453" s="549"/>
      <c r="B453" s="549"/>
      <c r="C453" s="541"/>
      <c r="D453" s="541"/>
      <c r="E453" s="541"/>
      <c r="F453" s="541"/>
      <c r="G453" s="541"/>
      <c r="H453" s="541"/>
      <c r="I453" s="129"/>
      <c r="J453" s="586"/>
      <c r="K453" s="95"/>
      <c r="L453" s="96"/>
      <c r="M453" s="541"/>
      <c r="N453" s="586"/>
      <c r="O453" s="549"/>
      <c r="P453" s="549"/>
      <c r="Q453" s="549"/>
      <c r="R453" s="541"/>
      <c r="S453" s="549"/>
      <c r="T453" s="541"/>
      <c r="U453" s="541"/>
      <c r="V453" s="541"/>
      <c r="W453" s="586" t="str">
        <f>IFERROR(VLOOKUP(H453,名称!A:F,6,0),"")</f>
        <v/>
      </c>
      <c r="X453" s="541"/>
      <c r="Y453" s="541"/>
      <c r="Z453" s="541"/>
      <c r="AA453" s="552"/>
      <c r="AB453" s="541"/>
      <c r="AC453" s="541"/>
      <c r="AD453" s="541"/>
      <c r="AE453" s="541"/>
      <c r="AF453" s="541"/>
      <c r="AG453" s="541"/>
      <c r="AH453" s="541"/>
      <c r="AI453" s="541"/>
      <c r="AJ453" s="541"/>
      <c r="AK453" s="541"/>
      <c r="AL453" s="541"/>
      <c r="AM453" s="541"/>
      <c r="AN453" s="541"/>
      <c r="AO453" s="624"/>
      <c r="AP453" s="625">
        <f t="shared" si="89"/>
        <v>0</v>
      </c>
      <c r="AQ453" s="625">
        <f t="shared" si="90"/>
        <v>0</v>
      </c>
      <c r="AR453" s="626"/>
      <c r="AS453" s="549"/>
      <c r="AT453" s="549"/>
      <c r="AU453" s="548"/>
      <c r="AV453" s="548"/>
      <c r="AW453" s="627"/>
      <c r="AX453" s="549"/>
      <c r="AY453" s="549"/>
      <c r="AZ453" s="549"/>
      <c r="BA453" s="549"/>
      <c r="BB453" s="549">
        <f t="shared" si="91"/>
        <v>0</v>
      </c>
      <c r="BC453" s="549">
        <f t="shared" si="92"/>
        <v>0</v>
      </c>
    </row>
    <row r="454" s="498" customFormat="1" customHeight="1" spans="1:55">
      <c r="A454" s="549"/>
      <c r="B454" s="549"/>
      <c r="C454" s="541"/>
      <c r="D454" s="541"/>
      <c r="E454" s="541"/>
      <c r="F454" s="541"/>
      <c r="G454" s="541"/>
      <c r="H454" s="541"/>
      <c r="I454" s="129"/>
      <c r="J454" s="586"/>
      <c r="K454" s="95"/>
      <c r="L454" s="96"/>
      <c r="M454" s="541"/>
      <c r="N454" s="586"/>
      <c r="O454" s="549"/>
      <c r="P454" s="549"/>
      <c r="Q454" s="549"/>
      <c r="R454" s="541"/>
      <c r="S454" s="549"/>
      <c r="T454" s="541"/>
      <c r="U454" s="541"/>
      <c r="V454" s="541"/>
      <c r="W454" s="586" t="str">
        <f>IFERROR(VLOOKUP(H454,名称!A:F,6,0),"")</f>
        <v/>
      </c>
      <c r="X454" s="541"/>
      <c r="Y454" s="541"/>
      <c r="Z454" s="541"/>
      <c r="AA454" s="552"/>
      <c r="AB454" s="541"/>
      <c r="AC454" s="541"/>
      <c r="AD454" s="541"/>
      <c r="AE454" s="541"/>
      <c r="AF454" s="541"/>
      <c r="AG454" s="541"/>
      <c r="AH454" s="541"/>
      <c r="AI454" s="541"/>
      <c r="AJ454" s="541"/>
      <c r="AK454" s="541"/>
      <c r="AL454" s="541"/>
      <c r="AM454" s="541"/>
      <c r="AN454" s="541"/>
      <c r="AO454" s="624"/>
      <c r="AP454" s="625">
        <f t="shared" si="89"/>
        <v>0</v>
      </c>
      <c r="AQ454" s="625">
        <f t="shared" si="90"/>
        <v>0</v>
      </c>
      <c r="AR454" s="626"/>
      <c r="AS454" s="549"/>
      <c r="AT454" s="549"/>
      <c r="AU454" s="548"/>
      <c r="AV454" s="548"/>
      <c r="AW454" s="627"/>
      <c r="AX454" s="549"/>
      <c r="AY454" s="549"/>
      <c r="AZ454" s="549"/>
      <c r="BA454" s="549"/>
      <c r="BB454" s="549">
        <f t="shared" si="91"/>
        <v>0</v>
      </c>
      <c r="BC454" s="549">
        <f t="shared" si="92"/>
        <v>0</v>
      </c>
    </row>
    <row r="455" s="498" customFormat="1" customHeight="1" spans="1:55">
      <c r="A455" s="549"/>
      <c r="B455" s="549"/>
      <c r="C455" s="541"/>
      <c r="D455" s="541"/>
      <c r="E455" s="541"/>
      <c r="F455" s="541"/>
      <c r="G455" s="541"/>
      <c r="H455" s="541"/>
      <c r="I455" s="129"/>
      <c r="J455" s="586"/>
      <c r="K455" s="95"/>
      <c r="L455" s="96"/>
      <c r="M455" s="541"/>
      <c r="N455" s="586"/>
      <c r="O455" s="549"/>
      <c r="P455" s="549"/>
      <c r="Q455" s="549"/>
      <c r="R455" s="541"/>
      <c r="S455" s="549"/>
      <c r="T455" s="541"/>
      <c r="U455" s="541"/>
      <c r="V455" s="541"/>
      <c r="W455" s="586" t="str">
        <f>IFERROR(VLOOKUP(H455,名称!A:F,6,0),"")</f>
        <v/>
      </c>
      <c r="X455" s="541"/>
      <c r="Y455" s="541"/>
      <c r="Z455" s="541"/>
      <c r="AA455" s="552"/>
      <c r="AB455" s="541"/>
      <c r="AC455" s="541"/>
      <c r="AD455" s="541"/>
      <c r="AE455" s="541"/>
      <c r="AF455" s="541"/>
      <c r="AG455" s="541"/>
      <c r="AH455" s="541"/>
      <c r="AI455" s="541"/>
      <c r="AJ455" s="541"/>
      <c r="AK455" s="541"/>
      <c r="AL455" s="541"/>
      <c r="AM455" s="541"/>
      <c r="AN455" s="541"/>
      <c r="AO455" s="624"/>
      <c r="AP455" s="625">
        <f t="shared" si="89"/>
        <v>0</v>
      </c>
      <c r="AQ455" s="625">
        <f t="shared" si="90"/>
        <v>0</v>
      </c>
      <c r="AR455" s="626"/>
      <c r="AS455" s="549"/>
      <c r="AT455" s="549"/>
      <c r="AU455" s="548"/>
      <c r="AV455" s="548"/>
      <c r="AW455" s="627"/>
      <c r="AX455" s="549"/>
      <c r="AY455" s="549"/>
      <c r="AZ455" s="549"/>
      <c r="BA455" s="549"/>
      <c r="BB455" s="549">
        <f t="shared" si="91"/>
        <v>0</v>
      </c>
      <c r="BC455" s="549">
        <f t="shared" si="92"/>
        <v>0</v>
      </c>
    </row>
    <row r="456" s="498" customFormat="1" customHeight="1" spans="1:55">
      <c r="A456" s="549"/>
      <c r="B456" s="549"/>
      <c r="C456" s="541"/>
      <c r="D456" s="541"/>
      <c r="E456" s="541"/>
      <c r="F456" s="541"/>
      <c r="G456" s="541"/>
      <c r="H456" s="541"/>
      <c r="I456" s="129"/>
      <c r="J456" s="586"/>
      <c r="K456" s="95"/>
      <c r="L456" s="96"/>
      <c r="M456" s="541"/>
      <c r="N456" s="586"/>
      <c r="O456" s="549"/>
      <c r="P456" s="549"/>
      <c r="Q456" s="549"/>
      <c r="R456" s="541"/>
      <c r="S456" s="549"/>
      <c r="T456" s="541"/>
      <c r="U456" s="541"/>
      <c r="V456" s="541"/>
      <c r="W456" s="586" t="str">
        <f>IFERROR(VLOOKUP(H456,名称!A:F,6,0),"")</f>
        <v/>
      </c>
      <c r="X456" s="541"/>
      <c r="Y456" s="541"/>
      <c r="Z456" s="541"/>
      <c r="AA456" s="552"/>
      <c r="AB456" s="541"/>
      <c r="AC456" s="541"/>
      <c r="AD456" s="541"/>
      <c r="AE456" s="541"/>
      <c r="AF456" s="541"/>
      <c r="AG456" s="541"/>
      <c r="AH456" s="541"/>
      <c r="AI456" s="541"/>
      <c r="AJ456" s="541"/>
      <c r="AK456" s="541"/>
      <c r="AL456" s="541"/>
      <c r="AM456" s="541"/>
      <c r="AN456" s="541"/>
      <c r="AO456" s="624"/>
      <c r="AP456" s="625">
        <f t="shared" si="89"/>
        <v>0</v>
      </c>
      <c r="AQ456" s="625">
        <f t="shared" si="90"/>
        <v>0</v>
      </c>
      <c r="AR456" s="626"/>
      <c r="AS456" s="549"/>
      <c r="AT456" s="549"/>
      <c r="AU456" s="548"/>
      <c r="AV456" s="548"/>
      <c r="AW456" s="627"/>
      <c r="AX456" s="549"/>
      <c r="AY456" s="549"/>
      <c r="AZ456" s="549"/>
      <c r="BA456" s="549"/>
      <c r="BB456" s="549">
        <f t="shared" si="91"/>
        <v>0</v>
      </c>
      <c r="BC456" s="549">
        <f t="shared" si="92"/>
        <v>0</v>
      </c>
    </row>
    <row r="457" s="495" customFormat="1" customHeight="1" spans="1:55">
      <c r="A457" s="538"/>
      <c r="B457" s="538"/>
      <c r="C457" s="539"/>
      <c r="D457" s="591"/>
      <c r="E457" s="591"/>
      <c r="F457" s="591"/>
      <c r="G457" s="591"/>
      <c r="H457" s="591"/>
      <c r="I457" s="118"/>
      <c r="J457" s="518"/>
      <c r="K457" s="95"/>
      <c r="L457" s="96"/>
      <c r="M457" s="539"/>
      <c r="N457" s="518"/>
      <c r="O457" s="590"/>
      <c r="P457" s="590"/>
      <c r="Q457" s="590"/>
      <c r="R457" s="539"/>
      <c r="S457" s="538"/>
      <c r="T457" s="539"/>
      <c r="U457" s="539"/>
      <c r="V457" s="539"/>
      <c r="W457" s="586" t="str">
        <f>IFERROR(VLOOKUP(H457,名称!A:F,6,0),"")</f>
        <v/>
      </c>
      <c r="X457" s="591"/>
      <c r="Y457" s="591"/>
      <c r="Z457" s="539"/>
      <c r="AA457" s="543"/>
      <c r="AB457" s="539"/>
      <c r="AC457" s="539"/>
      <c r="AD457" s="539"/>
      <c r="AE457" s="591"/>
      <c r="AF457" s="539"/>
      <c r="AG457" s="591"/>
      <c r="AH457" s="539"/>
      <c r="AI457" s="539"/>
      <c r="AJ457" s="539"/>
      <c r="AK457" s="539"/>
      <c r="AL457" s="539"/>
      <c r="AM457" s="539"/>
      <c r="AN457" s="591"/>
      <c r="AO457" s="544"/>
      <c r="AP457" s="545">
        <f t="shared" si="89"/>
        <v>0</v>
      </c>
      <c r="AQ457" s="545">
        <f t="shared" si="90"/>
        <v>0</v>
      </c>
      <c r="AR457" s="546"/>
      <c r="AS457" s="538"/>
      <c r="AT457" s="538"/>
      <c r="AU457" s="584"/>
      <c r="AV457" s="538"/>
      <c r="AW457" s="606"/>
      <c r="AX457" s="538"/>
      <c r="AY457" s="538"/>
      <c r="AZ457" s="538"/>
      <c r="BA457" s="538"/>
      <c r="BB457" s="538">
        <f t="shared" si="91"/>
        <v>0</v>
      </c>
      <c r="BC457" s="538">
        <f t="shared" si="92"/>
        <v>0</v>
      </c>
    </row>
    <row r="458" s="501" customFormat="1" customHeight="1" spans="1:55">
      <c r="A458" s="538"/>
      <c r="B458" s="538"/>
      <c r="C458" s="538"/>
      <c r="D458" s="539"/>
      <c r="E458" s="539"/>
      <c r="F458" s="539"/>
      <c r="G458" s="539"/>
      <c r="H458" s="539"/>
      <c r="I458" s="118"/>
      <c r="J458" s="518">
        <f>SUM(J3:J457)</f>
        <v>3304825</v>
      </c>
      <c r="K458" s="95"/>
      <c r="L458" s="96"/>
      <c r="M458" s="539"/>
      <c r="N458" s="518"/>
      <c r="O458" s="538"/>
      <c r="P458" s="538"/>
      <c r="Q458" s="538"/>
      <c r="R458" s="538"/>
      <c r="S458" s="518"/>
      <c r="T458" s="538"/>
      <c r="U458" s="538"/>
      <c r="V458" s="538"/>
      <c r="W458" s="586" t="str">
        <f>IFERROR(VLOOKUP(H458,名称!A:F,6,0),"")</f>
        <v/>
      </c>
      <c r="X458" s="539"/>
      <c r="Y458" s="539"/>
      <c r="Z458" s="539"/>
      <c r="AA458" s="543"/>
      <c r="AB458" s="539"/>
      <c r="AC458" s="539"/>
      <c r="AD458" s="539"/>
      <c r="AE458" s="539"/>
      <c r="AF458" s="539"/>
      <c r="AG458" s="539"/>
      <c r="AH458" s="539"/>
      <c r="AI458" s="539"/>
      <c r="AJ458" s="539"/>
      <c r="AK458" s="539"/>
      <c r="AL458" s="539"/>
      <c r="AM458" s="539"/>
      <c r="AN458" s="518"/>
      <c r="AO458" s="544"/>
      <c r="AP458" s="545">
        <f>SUM(AP3:AP457)</f>
        <v>3581237.3</v>
      </c>
      <c r="AQ458" s="545">
        <f>SUM(AQ3:AQ457)</f>
        <v>27754589.12</v>
      </c>
      <c r="AR458" s="666"/>
      <c r="AS458" s="538"/>
      <c r="AT458" s="538"/>
      <c r="AU458" s="584"/>
      <c r="AV458" s="518"/>
      <c r="AW458" s="606"/>
      <c r="AX458" s="538"/>
      <c r="AY458" s="538"/>
      <c r="AZ458" s="538"/>
      <c r="BA458" s="667"/>
      <c r="BB458" s="538">
        <f t="shared" si="91"/>
        <v>0</v>
      </c>
      <c r="BC458" s="538">
        <f t="shared" si="92"/>
        <v>0</v>
      </c>
    </row>
    <row r="459" customHeight="1" spans="1:55">
      <c r="AR459" s="668"/>
    </row>
    <row r="460" customHeight="1" spans="1:55">
      <c r="AR460" s="668"/>
    </row>
    <row r="461" customHeight="1" spans="1:55">
      <c r="AR461" s="668"/>
    </row>
    <row r="462" customHeight="1" spans="1:55">
      <c r="AR462" s="668"/>
      <c r="AT462" s="669"/>
    </row>
    <row r="463" s="501" customFormat="1" customHeight="1" spans="1:55">
      <c r="A463" s="502"/>
      <c r="B463" s="502"/>
      <c r="C463" s="502"/>
      <c r="D463" s="495"/>
      <c r="E463" s="495"/>
      <c r="F463" s="495"/>
      <c r="G463" s="495"/>
      <c r="H463" s="495"/>
      <c r="I463" s="495"/>
      <c r="J463" s="503"/>
      <c r="K463" s="12"/>
      <c r="L463" s="18"/>
      <c r="M463" s="495"/>
      <c r="N463" s="503"/>
      <c r="O463" s="502"/>
      <c r="P463" s="502"/>
      <c r="Q463" s="502"/>
      <c r="R463" s="502"/>
      <c r="S463" s="502"/>
      <c r="T463" s="502"/>
      <c r="U463" s="502"/>
      <c r="V463" s="502"/>
      <c r="W463" s="503"/>
      <c r="X463" s="495"/>
      <c r="Y463" s="495"/>
      <c r="Z463" s="495"/>
      <c r="AA463" s="504"/>
      <c r="AB463" s="495"/>
      <c r="AC463" s="495"/>
      <c r="AD463" s="495"/>
      <c r="AE463" s="495"/>
      <c r="AF463" s="495"/>
      <c r="AG463" s="495"/>
      <c r="AH463" s="495"/>
      <c r="AI463" s="495"/>
      <c r="AJ463" s="495"/>
      <c r="AK463" s="495"/>
      <c r="AL463" s="495"/>
      <c r="AM463" s="495"/>
      <c r="AN463" s="503"/>
      <c r="AO463" s="505"/>
      <c r="AP463" s="506"/>
      <c r="AQ463" s="506"/>
      <c r="AR463" s="668"/>
      <c r="AS463" s="502"/>
      <c r="AT463" s="502"/>
      <c r="AU463" s="508"/>
      <c r="AV463" s="502"/>
      <c r="AW463" s="509"/>
      <c r="AX463" s="502"/>
      <c r="AY463" s="502"/>
      <c r="AZ463" s="502"/>
      <c r="BA463" s="510"/>
      <c r="BB463" s="502"/>
      <c r="BC463" s="502"/>
    </row>
    <row r="464" customHeight="1" spans="1:55">
      <c r="AR464" s="668"/>
    </row>
    <row r="465" customHeight="1" spans="15:44">
      <c r="AR465" s="668"/>
    </row>
    <row r="466" customHeight="1" spans="15:44">
      <c r="AR466" s="668"/>
    </row>
    <row r="467" customHeight="1" spans="15:44">
      <c r="AR467" s="668"/>
    </row>
    <row r="468" customHeight="1" spans="15:44">
      <c r="O468" s="670"/>
      <c r="P468" s="670"/>
      <c r="AR468" s="668"/>
    </row>
    <row r="469" customHeight="1" spans="15:44">
      <c r="O469" s="670"/>
      <c r="P469" s="670"/>
      <c r="AR469" s="668"/>
    </row>
    <row r="470" customHeight="1" spans="15:44">
      <c r="O470" s="670"/>
      <c r="P470" s="670"/>
      <c r="AR470" s="668"/>
    </row>
    <row r="471" customHeight="1" spans="15:44">
      <c r="O471" s="670"/>
      <c r="P471" s="670"/>
      <c r="AR471" s="668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AU$1:AX$1048576" name="Range2"/>
  </protectedRanges>
  <autoFilter xmlns:etc="http://www.wps.cn/officeDocument/2017/etCustomData" ref="A2:BC471" etc:filterBottomFollowUsedRange="1">
    <extLst/>
  </autoFilter>
  <sortState ref="A3:BH658">
    <sortCondition ref="Q3:Q658"/>
  </sortState>
  <mergeCells count="48">
    <mergeCell ref="X1:Y1"/>
    <mergeCell ref="Z1:AB1"/>
    <mergeCell ref="AC1:AD1"/>
    <mergeCell ref="AE1:AF1"/>
    <mergeCell ref="AG1:A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</mergeCells>
  <conditionalFormatting sqref="AC3">
    <cfRule type="containsText" dxfId="0" priority="7973" operator="between" text="欠">
      <formula>NOT(ISERROR(SEARCH("欠",AC3)))</formula>
    </cfRule>
  </conditionalFormatting>
  <conditionalFormatting sqref="AD3">
    <cfRule type="containsText" dxfId="0" priority="7724" operator="between" text="欠">
      <formula>NOT(ISERROR(SEARCH("欠",AD3)))</formula>
    </cfRule>
  </conditionalFormatting>
  <conditionalFormatting sqref="AE3">
    <cfRule type="containsText" dxfId="0" priority="7711" operator="between" text="欠">
      <formula>NOT(ISERROR(SEARCH("欠",AE3)))</formula>
    </cfRule>
  </conditionalFormatting>
  <conditionalFormatting sqref="AF3">
    <cfRule type="containsText" dxfId="0" priority="7708" operator="between" text="欠">
      <formula>NOT(ISERROR(SEARCH("欠",AF3)))</formula>
    </cfRule>
  </conditionalFormatting>
  <conditionalFormatting sqref="AG3">
    <cfRule type="containsText" dxfId="0" priority="7703" operator="between" text="欠">
      <formula>NOT(ISERROR(SEARCH("欠",AG3)))</formula>
    </cfRule>
  </conditionalFormatting>
  <conditionalFormatting sqref="AH3">
    <cfRule type="containsText" dxfId="0" priority="6304" operator="between" text="欠">
      <formula>NOT(ISERROR(SEARCH("欠",AH3)))</formula>
    </cfRule>
  </conditionalFormatting>
  <conditionalFormatting sqref="AI3">
    <cfRule type="containsText" dxfId="0" priority="7723" operator="between" text="欠">
      <formula>NOT(ISERROR(SEARCH("欠",AI3)))</formula>
    </cfRule>
  </conditionalFormatting>
  <conditionalFormatting sqref="X4">
    <cfRule type="containsText" dxfId="0" priority="7761" operator="between" text="欠">
      <formula>NOT(ISERROR(SEARCH("欠",X4)))</formula>
    </cfRule>
  </conditionalFormatting>
  <conditionalFormatting sqref="AA4:AB4">
    <cfRule type="containsText" dxfId="0" priority="7772" operator="between" text="欠">
      <formula>NOT(ISERROR(SEARCH("欠",AA4)))</formula>
    </cfRule>
  </conditionalFormatting>
  <conditionalFormatting sqref="AC4:AD4">
    <cfRule type="containsText" dxfId="0" priority="7767" operator="between" text="欠">
      <formula>NOT(ISERROR(SEARCH("欠",AC4)))</formula>
    </cfRule>
  </conditionalFormatting>
  <conditionalFormatting sqref="AE4">
    <cfRule type="containsText" dxfId="0" priority="7757" operator="between" text="欠">
      <formula>NOT(ISERROR(SEARCH("欠",AE4)))</formula>
    </cfRule>
  </conditionalFormatting>
  <conditionalFormatting sqref="AG4">
    <cfRule type="containsText" dxfId="0" priority="7756" operator="between" text="欠">
      <formula>NOT(ISERROR(SEARCH("欠",AG4)))</formula>
    </cfRule>
  </conditionalFormatting>
  <conditionalFormatting sqref="AH4">
    <cfRule type="containsText" dxfId="0" priority="7758" operator="between" text="欠">
      <formula>NOT(ISERROR(SEARCH("欠",AH4)))</formula>
    </cfRule>
  </conditionalFormatting>
  <conditionalFormatting sqref="AI4">
    <cfRule type="containsText" dxfId="0" priority="7980" operator="between" text="欠">
      <formula>NOT(ISERROR(SEARCH("欠",AI4)))</formula>
    </cfRule>
  </conditionalFormatting>
  <conditionalFormatting sqref="AL4">
    <cfRule type="containsText" dxfId="0" priority="2552" operator="between" text="欠">
      <formula>NOT(ISERROR(SEARCH("欠",AL4)))</formula>
    </cfRule>
  </conditionalFormatting>
  <conditionalFormatting sqref="Y5">
    <cfRule type="containsText" dxfId="0" priority="6363" operator="between" text="欠">
      <formula>NOT(ISERROR(SEARCH("欠",Y5)))</formula>
    </cfRule>
  </conditionalFormatting>
  <conditionalFormatting sqref="AA5:AB5">
    <cfRule type="containsText" dxfId="0" priority="6433" operator="between" text="欠">
      <formula>NOT(ISERROR(SEARCH("欠",AA5)))</formula>
    </cfRule>
  </conditionalFormatting>
  <conditionalFormatting sqref="AC5:AD5">
    <cfRule type="containsText" dxfId="0" priority="6307" operator="between" text="欠">
      <formula>NOT(ISERROR(SEARCH("欠",AC5)))</formula>
    </cfRule>
  </conditionalFormatting>
  <conditionalFormatting sqref="AE5">
    <cfRule type="containsText" dxfId="0" priority="6416" operator="between" text="欠">
      <formula>NOT(ISERROR(SEARCH("欠",AE5)))</formula>
    </cfRule>
  </conditionalFormatting>
  <conditionalFormatting sqref="AF5">
    <cfRule type="containsText" dxfId="0" priority="6949" operator="between" text="欠">
      <formula>NOT(ISERROR(SEARCH("欠",AF5)))</formula>
    </cfRule>
  </conditionalFormatting>
  <conditionalFormatting sqref="AG5">
    <cfRule type="containsText" dxfId="0" priority="6415" operator="between" text="欠">
      <formula>NOT(ISERROR(SEARCH("欠",AG5)))</formula>
    </cfRule>
  </conditionalFormatting>
  <conditionalFormatting sqref="AH5">
    <cfRule type="containsText" dxfId="0" priority="6422" operator="between" text="欠">
      <formula>NOT(ISERROR(SEARCH("欠",AH5)))</formula>
    </cfRule>
  </conditionalFormatting>
  <conditionalFormatting sqref="AA6:AB6">
    <cfRule type="containsText" dxfId="0" priority="7531" operator="between" text="欠">
      <formula>NOT(ISERROR(SEARCH("欠",AA6)))</formula>
    </cfRule>
  </conditionalFormatting>
  <conditionalFormatting sqref="X7">
    <cfRule type="containsText" dxfId="0" priority="7590" operator="between" text="欠">
      <formula>NOT(ISERROR(SEARCH("欠",X7)))</formula>
    </cfRule>
  </conditionalFormatting>
  <conditionalFormatting sqref="Y7">
    <cfRule type="containsText" dxfId="0" priority="7586" operator="between" text="欠">
      <formula>NOT(ISERROR(SEARCH("欠",Y7)))</formula>
    </cfRule>
  </conditionalFormatting>
  <conditionalFormatting sqref="AC7:AD7">
    <cfRule type="containsText" dxfId="0" priority="7589" operator="between" text="欠">
      <formula>NOT(ISERROR(SEARCH("欠",AC7)))</formula>
    </cfRule>
  </conditionalFormatting>
  <conditionalFormatting sqref="AE7">
    <cfRule type="containsText" dxfId="0" priority="7583" operator="between" text="欠">
      <formula>NOT(ISERROR(SEARCH("欠",AE7)))</formula>
    </cfRule>
  </conditionalFormatting>
  <conditionalFormatting sqref="AF7">
    <cfRule type="containsText" dxfId="0" priority="2382" operator="between" text="欠">
      <formula>NOT(ISERROR(SEARCH("欠",AF7)))</formula>
    </cfRule>
  </conditionalFormatting>
  <conditionalFormatting sqref="AG7">
    <cfRule type="containsText" dxfId="0" priority="7582" operator="between" text="欠">
      <formula>NOT(ISERROR(SEARCH("欠",AG7)))</formula>
    </cfRule>
  </conditionalFormatting>
  <conditionalFormatting sqref="AH7">
    <cfRule type="containsText" dxfId="0" priority="7588" operator="between" text="欠">
      <formula>NOT(ISERROR(SEARCH("欠",AH7)))</formula>
    </cfRule>
  </conditionalFormatting>
  <conditionalFormatting sqref="AI7">
    <cfRule type="containsText" dxfId="0" priority="7587" operator="between" text="欠">
      <formula>NOT(ISERROR(SEARCH("欠",AI7)))</formula>
    </cfRule>
  </conditionalFormatting>
  <conditionalFormatting sqref="AC8:AD8">
    <cfRule type="containsText" dxfId="0" priority="7866" operator="between" text="欠">
      <formula>NOT(ISERROR(SEARCH("欠",AC8)))</formula>
    </cfRule>
  </conditionalFormatting>
  <conditionalFormatting sqref="AH8">
    <cfRule type="containsText" dxfId="0" priority="7865" operator="between" text="欠">
      <formula>NOT(ISERROR(SEARCH("欠",AH8)))</formula>
    </cfRule>
  </conditionalFormatting>
  <conditionalFormatting sqref="AI8">
    <cfRule type="containsText" dxfId="0" priority="8032" operator="between" text="欠">
      <formula>NOT(ISERROR(SEARCH("欠",AI8)))</formula>
    </cfRule>
  </conditionalFormatting>
  <conditionalFormatting sqref="AC9:AD9">
    <cfRule type="containsText" dxfId="0" priority="7812" operator="between" text="欠">
      <formula>NOT(ISERROR(SEARCH("欠",AC9)))</formula>
    </cfRule>
  </conditionalFormatting>
  <conditionalFormatting sqref="AH9">
    <cfRule type="containsText" dxfId="0" priority="7811" operator="between" text="欠">
      <formula>NOT(ISERROR(SEARCH("欠",AH9)))</formula>
    </cfRule>
  </conditionalFormatting>
  <conditionalFormatting sqref="AI9">
    <cfRule type="containsText" dxfId="0" priority="8085" operator="between" text="欠">
      <formula>NOT(ISERROR(SEARCH("欠",AI9)))</formula>
    </cfRule>
  </conditionalFormatting>
  <conditionalFormatting sqref="AC10:AD10">
    <cfRule type="containsText" dxfId="0" priority="3863" operator="between" text="欠">
      <formula>NOT(ISERROR(SEARCH("欠",AC10)))</formula>
    </cfRule>
  </conditionalFormatting>
  <conditionalFormatting sqref="AE10">
    <cfRule type="containsText" dxfId="0" priority="3861" operator="between" text="欠">
      <formula>NOT(ISERROR(SEARCH("欠",AE10)))</formula>
    </cfRule>
  </conditionalFormatting>
  <conditionalFormatting sqref="AF10">
    <cfRule type="containsText" dxfId="0" priority="3862" operator="between" text="欠">
      <formula>NOT(ISERROR(SEARCH("欠",AF10)))</formula>
    </cfRule>
  </conditionalFormatting>
  <conditionalFormatting sqref="AH10">
    <cfRule type="containsText" dxfId="0" priority="7815" operator="between" text="欠">
      <formula>NOT(ISERROR(SEARCH("欠",AH10)))</formula>
    </cfRule>
  </conditionalFormatting>
  <conditionalFormatting sqref="AC11">
    <cfRule type="containsText" dxfId="0" priority="7828" operator="between" text="欠">
      <formula>NOT(ISERROR(SEARCH("欠",AC11)))</formula>
    </cfRule>
  </conditionalFormatting>
  <conditionalFormatting sqref="AD11">
    <cfRule type="containsText" dxfId="0" priority="7697" operator="between" text="欠">
      <formula>NOT(ISERROR(SEARCH("欠",AD11)))</formula>
    </cfRule>
  </conditionalFormatting>
  <conditionalFormatting sqref="AH11">
    <cfRule type="containsText" dxfId="0" priority="7827" operator="between" text="欠">
      <formula>NOT(ISERROR(SEARCH("欠",AH11)))</formula>
    </cfRule>
  </conditionalFormatting>
  <conditionalFormatting sqref="AI11">
    <cfRule type="containsText" dxfId="0" priority="6291" operator="between" text="欠">
      <formula>NOT(ISERROR(SEARCH("欠",AI11)))</formula>
    </cfRule>
  </conditionalFormatting>
  <conditionalFormatting sqref="AC12:AD12">
    <cfRule type="containsText" dxfId="0" priority="7840" operator="between" text="欠">
      <formula>NOT(ISERROR(SEARCH("欠",AC12)))</formula>
    </cfRule>
  </conditionalFormatting>
  <conditionalFormatting sqref="AH12">
    <cfRule type="containsText" dxfId="0" priority="7839" operator="between" text="欠">
      <formula>NOT(ISERROR(SEARCH("欠",AH12)))</formula>
    </cfRule>
  </conditionalFormatting>
  <conditionalFormatting sqref="Y15">
    <cfRule type="containsText" dxfId="0" priority="7854" operator="between" text="欠">
      <formula>NOT(ISERROR(SEARCH("欠",Y15)))</formula>
    </cfRule>
  </conditionalFormatting>
  <conditionalFormatting sqref="AA15:AB15">
    <cfRule type="containsText" dxfId="0" priority="8077" operator="between" text="欠">
      <formula>NOT(ISERROR(SEARCH("欠",AA15)))</formula>
    </cfRule>
  </conditionalFormatting>
  <conditionalFormatting sqref="AB15">
    <cfRule type="containsText" dxfId="0" priority="7853" operator="between" text="欠">
      <formula>NOT(ISERROR(SEARCH("欠",AB15)))</formula>
    </cfRule>
  </conditionalFormatting>
  <conditionalFormatting sqref="AC15:AD15">
    <cfRule type="containsText" dxfId="0" priority="7852" operator="between" text="欠">
      <formula>NOT(ISERROR(SEARCH("欠",AC15)))</formula>
    </cfRule>
  </conditionalFormatting>
  <conditionalFormatting sqref="AH15">
    <cfRule type="containsText" dxfId="0" priority="7689" operator="between" text="欠">
      <formula>NOT(ISERROR(SEARCH("欠",AH15)))</formula>
    </cfRule>
  </conditionalFormatting>
  <conditionalFormatting sqref="AK15">
    <cfRule type="containsText" dxfId="0" priority="3159" operator="between" text="欠">
      <formula>NOT(ISERROR(SEARCH("欠",AK15)))</formula>
    </cfRule>
  </conditionalFormatting>
  <conditionalFormatting sqref="B16">
    <cfRule type="containsText" dxfId="1" priority="24" operator="between" text="异常">
      <formula>NOT(ISERROR(SEARCH("异常",B16)))</formula>
    </cfRule>
  </conditionalFormatting>
  <conditionalFormatting sqref="C16">
    <cfRule type="containsText" dxfId="2" priority="22" operator="between" text="二代">
      <formula>NOT(ISERROR(SEARCH("二代",C16)))</formula>
    </cfRule>
    <cfRule type="containsText" dxfId="3" priority="23" operator="between" text="蛋糕">
      <formula>NOT(ISERROR(SEARCH("蛋糕",C16)))</formula>
    </cfRule>
  </conditionalFormatting>
  <conditionalFormatting sqref="X16">
    <cfRule type="containsText" dxfId="0" priority="27" operator="between" text="欠">
      <formula>NOT(ISERROR(SEARCH("欠",X16)))</formula>
    </cfRule>
  </conditionalFormatting>
  <conditionalFormatting sqref="Y16">
    <cfRule type="containsText" dxfId="0" priority="32" operator="between" text="欠">
      <formula>NOT(ISERROR(SEARCH("欠",Y16)))</formula>
    </cfRule>
  </conditionalFormatting>
  <conditionalFormatting sqref="AA16:AB16">
    <cfRule type="containsText" dxfId="0" priority="31" operator="between" text="欠">
      <formula>NOT(ISERROR(SEARCH("欠",AA16)))</formula>
    </cfRule>
  </conditionalFormatting>
  <conditionalFormatting sqref="AC16:AD16">
    <cfRule type="containsText" dxfId="0" priority="30" operator="between" text="欠">
      <formula>NOT(ISERROR(SEARCH("欠",AC16)))</formula>
    </cfRule>
  </conditionalFormatting>
  <conditionalFormatting sqref="AE16">
    <cfRule type="containsText" dxfId="0" priority="26" operator="between" text="欠">
      <formula>NOT(ISERROR(SEARCH("欠",AE16)))</formula>
    </cfRule>
  </conditionalFormatting>
  <conditionalFormatting sqref="AG16">
    <cfRule type="containsText" dxfId="0" priority="25" operator="between" text="欠">
      <formula>NOT(ISERROR(SEARCH("欠",AG16)))</formula>
    </cfRule>
  </conditionalFormatting>
  <conditionalFormatting sqref="AI16">
    <cfRule type="containsText" dxfId="0" priority="29" operator="between" text="欠">
      <formula>NOT(ISERROR(SEARCH("欠",AI16)))</formula>
    </cfRule>
  </conditionalFormatting>
  <conditionalFormatting sqref="X17">
    <cfRule type="containsText" dxfId="0" priority="7375" operator="between" text="欠">
      <formula>NOT(ISERROR(SEARCH("欠",X17)))</formula>
    </cfRule>
  </conditionalFormatting>
  <conditionalFormatting sqref="Y17">
    <cfRule type="containsText" dxfId="0" priority="7367" operator="between" text="欠">
      <formula>NOT(ISERROR(SEARCH("欠",Y17)))</formula>
    </cfRule>
  </conditionalFormatting>
  <conditionalFormatting sqref="AA17:AB17">
    <cfRule type="containsText" dxfId="0" priority="7373" operator="between" text="欠">
      <formula>NOT(ISERROR(SEARCH("欠",AA17)))</formula>
    </cfRule>
  </conditionalFormatting>
  <conditionalFormatting sqref="AE17">
    <cfRule type="containsText" dxfId="0" priority="7167" operator="between" text="欠">
      <formula>NOT(ISERROR(SEARCH("欠",AE17)))</formula>
    </cfRule>
  </conditionalFormatting>
  <conditionalFormatting sqref="AF17">
    <cfRule type="containsText" dxfId="0" priority="7944" operator="between" text="欠">
      <formula>NOT(ISERROR(SEARCH("欠",AF17)))</formula>
    </cfRule>
  </conditionalFormatting>
  <conditionalFormatting sqref="AG17">
    <cfRule type="containsText" dxfId="0" priority="7166" operator="between" text="欠">
      <formula>NOT(ISERROR(SEARCH("欠",AG17)))</formula>
    </cfRule>
  </conditionalFormatting>
  <conditionalFormatting sqref="AH17">
    <cfRule type="containsText" dxfId="0" priority="7369" operator="between" text="欠">
      <formula>NOT(ISERROR(SEARCH("欠",AH17)))</formula>
    </cfRule>
  </conditionalFormatting>
  <conditionalFormatting sqref="AI17">
    <cfRule type="containsText" dxfId="0" priority="7945" operator="between" text="欠">
      <formula>NOT(ISERROR(SEARCH("欠",AI17)))</formula>
    </cfRule>
  </conditionalFormatting>
  <conditionalFormatting sqref="X18">
    <cfRule type="containsText" dxfId="0" priority="7652" operator="between" text="欠">
      <formula>NOT(ISERROR(SEARCH("欠",X18)))</formula>
    </cfRule>
  </conditionalFormatting>
  <conditionalFormatting sqref="AE18">
    <cfRule type="containsText" dxfId="0" priority="7365" operator="between" text="欠">
      <formula>NOT(ISERROR(SEARCH("欠",AE18)))</formula>
    </cfRule>
  </conditionalFormatting>
  <conditionalFormatting sqref="AF18">
    <cfRule type="containsText" dxfId="0" priority="5644" operator="between" text="欠">
      <formula>NOT(ISERROR(SEARCH("欠",AF18)))</formula>
    </cfRule>
  </conditionalFormatting>
  <conditionalFormatting sqref="AG18">
    <cfRule type="containsText" dxfId="0" priority="7164" operator="between" text="欠">
      <formula>NOT(ISERROR(SEARCH("欠",AG18)))</formula>
    </cfRule>
  </conditionalFormatting>
  <conditionalFormatting sqref="AH18">
    <cfRule type="containsText" dxfId="0" priority="7178" operator="between" text="欠">
      <formula>NOT(ISERROR(SEARCH("欠",AH18)))</formula>
    </cfRule>
  </conditionalFormatting>
  <conditionalFormatting sqref="AC22">
    <cfRule type="containsText" dxfId="0" priority="6320" operator="between" text="欠">
      <formula>NOT(ISERROR(SEARCH("欠",AC22)))</formula>
    </cfRule>
  </conditionalFormatting>
  <conditionalFormatting sqref="AD22">
    <cfRule type="containsText" dxfId="0" priority="6321" operator="between" text="欠">
      <formula>NOT(ISERROR(SEARCH("欠",AD22)))</formula>
    </cfRule>
  </conditionalFormatting>
  <conditionalFormatting sqref="AI22">
    <cfRule type="containsText" dxfId="0" priority="7736" operator="between" text="欠">
      <formula>NOT(ISERROR(SEARCH("欠",AI22)))</formula>
    </cfRule>
  </conditionalFormatting>
  <conditionalFormatting sqref="AF23">
    <cfRule type="containsText" dxfId="0" priority="7693" operator="between" text="欠">
      <formula>NOT(ISERROR(SEARCH("欠",AF23)))</formula>
    </cfRule>
  </conditionalFormatting>
  <conditionalFormatting sqref="AI23">
    <cfRule type="containsText" dxfId="0" priority="7917" operator="between" text="欠">
      <formula>NOT(ISERROR(SEARCH("欠",AI23)))</formula>
    </cfRule>
  </conditionalFormatting>
  <conditionalFormatting sqref="Y26">
    <cfRule type="containsText" dxfId="0" priority="6726" operator="between" text="欠">
      <formula>NOT(ISERROR(SEARCH("欠",Y26)))</formula>
    </cfRule>
  </conditionalFormatting>
  <conditionalFormatting sqref="AC26:AD26">
    <cfRule type="containsText" dxfId="0" priority="6309" operator="between" text="欠">
      <formula>NOT(ISERROR(SEARCH("欠",AC26)))</formula>
    </cfRule>
  </conditionalFormatting>
  <conditionalFormatting sqref="AF26">
    <cfRule type="containsText" dxfId="0" priority="6296" operator="between" text="欠">
      <formula>NOT(ISERROR(SEARCH("欠",AF26)))</formula>
    </cfRule>
  </conditionalFormatting>
  <conditionalFormatting sqref="AI26">
    <cfRule type="containsText" dxfId="0" priority="6295" operator="between" text="欠">
      <formula>NOT(ISERROR(SEARCH("欠",AI26)))</formula>
    </cfRule>
  </conditionalFormatting>
  <conditionalFormatting sqref="AE27">
    <cfRule type="containsText" dxfId="0" priority="6333" operator="between" text="欠">
      <formula>NOT(ISERROR(SEARCH("欠",AE27)))</formula>
    </cfRule>
  </conditionalFormatting>
  <conditionalFormatting sqref="AF27">
    <cfRule type="containsText" dxfId="0" priority="7382" operator="between" text="欠">
      <formula>NOT(ISERROR(SEARCH("欠",AF27)))</formula>
    </cfRule>
  </conditionalFormatting>
  <conditionalFormatting sqref="AG27">
    <cfRule type="containsText" dxfId="0" priority="6332" operator="between" text="欠">
      <formula>NOT(ISERROR(SEARCH("欠",AG27)))</formula>
    </cfRule>
  </conditionalFormatting>
  <conditionalFormatting sqref="AH27">
    <cfRule type="containsText" dxfId="0" priority="6334" operator="between" text="欠">
      <formula>NOT(ISERROR(SEARCH("欠",AH27)))</formula>
    </cfRule>
  </conditionalFormatting>
  <conditionalFormatting sqref="AD30">
    <cfRule type="containsText" dxfId="0" priority="5450" operator="between" text="欠">
      <formula>NOT(ISERROR(SEARCH("欠",AD30)))</formula>
    </cfRule>
  </conditionalFormatting>
  <conditionalFormatting sqref="AA32:AB32">
    <cfRule type="containsText" dxfId="0" priority="6392" operator="between" text="欠">
      <formula>NOT(ISERROR(SEARCH("欠",AA32)))</formula>
    </cfRule>
  </conditionalFormatting>
  <conditionalFormatting sqref="AC32">
    <cfRule type="containsText" dxfId="0" priority="6287" operator="between" text="欠">
      <formula>NOT(ISERROR(SEARCH("欠",AC32)))</formula>
    </cfRule>
  </conditionalFormatting>
  <conditionalFormatting sqref="AF32">
    <cfRule type="containsText" dxfId="0" priority="2541" operator="between" text="欠">
      <formula>NOT(ISERROR(SEARCH("欠",AF32)))</formula>
    </cfRule>
  </conditionalFormatting>
  <conditionalFormatting sqref="AG32">
    <cfRule type="containsText" dxfId="0" priority="6262" operator="between" text="欠">
      <formula>NOT(ISERROR(SEARCH("欠",AG32)))</formula>
    </cfRule>
  </conditionalFormatting>
  <conditionalFormatting sqref="AH32">
    <cfRule type="containsText" dxfId="0" priority="6286" operator="between" text="欠">
      <formula>NOT(ISERROR(SEARCH("欠",AH32)))</formula>
    </cfRule>
  </conditionalFormatting>
  <conditionalFormatting sqref="AI32">
    <cfRule type="containsText" dxfId="0" priority="2542" operator="between" text="欠">
      <formula>NOT(ISERROR(SEARCH("欠",AI32)))</formula>
    </cfRule>
  </conditionalFormatting>
  <conditionalFormatting sqref="Y33">
    <cfRule type="containsText" dxfId="0" priority="2534" operator="between" text="欠">
      <formula>NOT(ISERROR(SEARCH("欠",Y33)))</formula>
    </cfRule>
  </conditionalFormatting>
  <conditionalFormatting sqref="AF33">
    <cfRule type="containsText" dxfId="0" priority="7463" operator="between" text="欠">
      <formula>NOT(ISERROR(SEARCH("欠",AF33)))</formula>
    </cfRule>
  </conditionalFormatting>
  <conditionalFormatting sqref="AG33">
    <cfRule type="containsText" dxfId="0" priority="2577" operator="between" text="欠">
      <formula>NOT(ISERROR(SEARCH("欠",AG33)))</formula>
    </cfRule>
  </conditionalFormatting>
  <conditionalFormatting sqref="AI33">
    <cfRule type="containsText" dxfId="0" priority="4928" operator="between" text="欠">
      <formula>NOT(ISERROR(SEARCH("欠",AI33)))</formula>
    </cfRule>
  </conditionalFormatting>
  <conditionalFormatting sqref="AK33">
    <cfRule type="containsText" dxfId="0" priority="2576" operator="between" text="欠">
      <formula>NOT(ISERROR(SEARCH("欠",AK33)))</formula>
    </cfRule>
  </conditionalFormatting>
  <conditionalFormatting sqref="AL33">
    <cfRule type="containsText" dxfId="0" priority="2575" operator="between" text="欠">
      <formula>NOT(ISERROR(SEARCH("欠",AL33)))</formula>
    </cfRule>
  </conditionalFormatting>
  <conditionalFormatting sqref="AL34">
    <cfRule type="containsText" dxfId="0" priority="2551" operator="between" text="欠">
      <formula>NOT(ISERROR(SEARCH("欠",AL34)))</formula>
    </cfRule>
  </conditionalFormatting>
  <conditionalFormatting sqref="AC36">
    <cfRule type="containsText" dxfId="0" priority="5445" operator="between" text="欠">
      <formula>NOT(ISERROR(SEARCH("欠",AC36)))</formula>
    </cfRule>
  </conditionalFormatting>
  <conditionalFormatting sqref="AD36">
    <cfRule type="containsText" dxfId="0" priority="5446" operator="between" text="欠">
      <formula>NOT(ISERROR(SEARCH("欠",AD36)))</formula>
    </cfRule>
  </conditionalFormatting>
  <conditionalFormatting sqref="AE36">
    <cfRule type="containsText" dxfId="0" priority="5910" operator="between" text="欠">
      <formula>NOT(ISERROR(SEARCH("欠",AE36)))</formula>
    </cfRule>
  </conditionalFormatting>
  <conditionalFormatting sqref="AG36">
    <cfRule type="containsText" dxfId="0" priority="5907" operator="between" text="欠">
      <formula>NOT(ISERROR(SEARCH("欠",AG36)))</formula>
    </cfRule>
  </conditionalFormatting>
  <conditionalFormatting sqref="AH36">
    <cfRule type="containsText" dxfId="0" priority="7959" operator="between" text="欠">
      <formula>NOT(ISERROR(SEARCH("欠",AH36)))</formula>
    </cfRule>
  </conditionalFormatting>
  <conditionalFormatting sqref="AF37">
    <cfRule type="containsText" dxfId="0" priority="3890" operator="between" text="欠">
      <formula>NOT(ISERROR(SEARCH("欠",AF37)))</formula>
    </cfRule>
  </conditionalFormatting>
  <conditionalFormatting sqref="X42">
    <cfRule type="containsText" dxfId="0" priority="5425" operator="between" text="欠">
      <formula>NOT(ISERROR(SEARCH("欠",X42)))</formula>
    </cfRule>
  </conditionalFormatting>
  <conditionalFormatting sqref="Y42">
    <cfRule type="containsText" dxfId="0" priority="5428" operator="between" text="欠">
      <formula>NOT(ISERROR(SEARCH("欠",Y42)))</formula>
    </cfRule>
  </conditionalFormatting>
  <conditionalFormatting sqref="AC42:AD42">
    <cfRule type="containsText" dxfId="0" priority="5424" operator="between" text="欠">
      <formula>NOT(ISERROR(SEARCH("欠",AC42)))</formula>
    </cfRule>
  </conditionalFormatting>
  <conditionalFormatting sqref="AE42">
    <cfRule type="containsText" dxfId="0" priority="5423" operator="between" text="欠">
      <formula>NOT(ISERROR(SEARCH("欠",AE42)))</formula>
    </cfRule>
  </conditionalFormatting>
  <conditionalFormatting sqref="AG42:AH42">
    <cfRule type="containsText" dxfId="0" priority="5422" operator="between" text="欠">
      <formula>NOT(ISERROR(SEARCH("欠",AG42)))</formula>
    </cfRule>
  </conditionalFormatting>
  <conditionalFormatting sqref="AL42">
    <cfRule type="containsText" dxfId="0" priority="5420" operator="between" text="欠">
      <formula>NOT(ISERROR(SEARCH("欠",AL42)))</formula>
    </cfRule>
  </conditionalFormatting>
  <conditionalFormatting sqref="AC56:AD56">
    <cfRule type="containsText" dxfId="0" priority="5187" operator="between" text="欠">
      <formula>NOT(ISERROR(SEARCH("欠",AC56)))</formula>
    </cfRule>
  </conditionalFormatting>
  <conditionalFormatting sqref="AE56">
    <cfRule type="containsText" dxfId="0" priority="5183" operator="between" text="欠">
      <formula>NOT(ISERROR(SEARCH("欠",AE56)))</formula>
    </cfRule>
  </conditionalFormatting>
  <conditionalFormatting sqref="AG56">
    <cfRule type="containsText" dxfId="0" priority="5182" operator="between" text="欠">
      <formula>NOT(ISERROR(SEARCH("欠",AG56)))</formula>
    </cfRule>
  </conditionalFormatting>
  <conditionalFormatting sqref="AH56">
    <cfRule type="containsText" dxfId="0" priority="5186" operator="between" text="欠">
      <formula>NOT(ISERROR(SEARCH("欠",AH56)))</formula>
    </cfRule>
  </conditionalFormatting>
  <conditionalFormatting sqref="X57">
    <cfRule type="containsText" dxfId="0" priority="5178" operator="between" text="欠">
      <formula>NOT(ISERROR(SEARCH("欠",X57)))</formula>
    </cfRule>
  </conditionalFormatting>
  <conditionalFormatting sqref="Y57">
    <cfRule type="containsText" dxfId="0" priority="5174" operator="between" text="欠">
      <formula>NOT(ISERROR(SEARCH("欠",Y57)))</formula>
    </cfRule>
  </conditionalFormatting>
  <conditionalFormatting sqref="AC57:AD57">
    <cfRule type="containsText" dxfId="0" priority="5176" operator="between" text="欠">
      <formula>NOT(ISERROR(SEARCH("欠",AC57)))</formula>
    </cfRule>
  </conditionalFormatting>
  <conditionalFormatting sqref="AE57">
    <cfRule type="containsText" dxfId="0" priority="5172" operator="between" text="欠">
      <formula>NOT(ISERROR(SEARCH("欠",AE57)))</formula>
    </cfRule>
  </conditionalFormatting>
  <conditionalFormatting sqref="AG57">
    <cfRule type="containsText" dxfId="0" priority="5171" operator="between" text="欠">
      <formula>NOT(ISERROR(SEARCH("欠",AG57)))</formula>
    </cfRule>
  </conditionalFormatting>
  <conditionalFormatting sqref="AH57">
    <cfRule type="containsText" dxfId="0" priority="5175" operator="between" text="欠">
      <formula>NOT(ISERROR(SEARCH("欠",AH57)))</formula>
    </cfRule>
  </conditionalFormatting>
  <conditionalFormatting sqref="X58">
    <cfRule type="containsText" dxfId="0" priority="5167" operator="between" text="欠">
      <formula>NOT(ISERROR(SEARCH("欠",X58)))</formula>
    </cfRule>
  </conditionalFormatting>
  <conditionalFormatting sqref="Y58">
    <cfRule type="containsText" dxfId="0" priority="5163" operator="between" text="欠">
      <formula>NOT(ISERROR(SEARCH("欠",Y58)))</formula>
    </cfRule>
  </conditionalFormatting>
  <conditionalFormatting sqref="AC58:AD58">
    <cfRule type="containsText" dxfId="0" priority="5165" operator="between" text="欠">
      <formula>NOT(ISERROR(SEARCH("欠",AC58)))</formula>
    </cfRule>
  </conditionalFormatting>
  <conditionalFormatting sqref="AE58">
    <cfRule type="containsText" dxfId="0" priority="5161" operator="between" text="欠">
      <formula>NOT(ISERROR(SEARCH("欠",AE58)))</formula>
    </cfRule>
  </conditionalFormatting>
  <conditionalFormatting sqref="AG58">
    <cfRule type="containsText" dxfId="0" priority="5160" operator="between" text="欠">
      <formula>NOT(ISERROR(SEARCH("欠",AG58)))</formula>
    </cfRule>
  </conditionalFormatting>
  <conditionalFormatting sqref="AH58">
    <cfRule type="containsText" dxfId="0" priority="5164" operator="between" text="欠">
      <formula>NOT(ISERROR(SEARCH("欠",AH58)))</formula>
    </cfRule>
  </conditionalFormatting>
  <conditionalFormatting sqref="Z59">
    <cfRule type="containsText" dxfId="0" priority="4945" operator="between" text="欠">
      <formula>NOT(ISERROR(SEARCH("欠",Z59)))</formula>
    </cfRule>
  </conditionalFormatting>
  <conditionalFormatting sqref="AA59">
    <cfRule type="containsText" dxfId="0" priority="3865" operator="between" text="欠">
      <formula>NOT(ISERROR(SEARCH("欠",AA59)))</formula>
    </cfRule>
  </conditionalFormatting>
  <conditionalFormatting sqref="AB59">
    <cfRule type="containsText" dxfId="0" priority="4950" operator="between" text="欠">
      <formula>NOT(ISERROR(SEARCH("欠",AB59)))</formula>
    </cfRule>
  </conditionalFormatting>
  <conditionalFormatting sqref="AC59:AD59">
    <cfRule type="containsText" dxfId="0" priority="4949" operator="between" text="欠">
      <formula>NOT(ISERROR(SEARCH("欠",AC59)))</formula>
    </cfRule>
  </conditionalFormatting>
  <conditionalFormatting sqref="AE59">
    <cfRule type="containsText" dxfId="0" priority="4927" operator="between" text="欠">
      <formula>NOT(ISERROR(SEARCH("欠",AE59)))</formula>
    </cfRule>
  </conditionalFormatting>
  <conditionalFormatting sqref="AG59">
    <cfRule type="containsText" dxfId="0" priority="4944" operator="between" text="欠">
      <formula>NOT(ISERROR(SEARCH("欠",AG59)))</formula>
    </cfRule>
  </conditionalFormatting>
  <conditionalFormatting sqref="Z60">
    <cfRule type="containsText" dxfId="0" priority="4119" operator="between" text="欠">
      <formula>NOT(ISERROR(SEARCH("欠",Z60)))</formula>
    </cfRule>
  </conditionalFormatting>
  <conditionalFormatting sqref="AA60">
    <cfRule type="containsText" dxfId="0" priority="4120" operator="between" text="欠">
      <formula>NOT(ISERROR(SEARCH("欠",AA60)))</formula>
    </cfRule>
  </conditionalFormatting>
  <conditionalFormatting sqref="AB60">
    <cfRule type="containsText" dxfId="0" priority="4960" operator="between" text="欠">
      <formula>NOT(ISERROR(SEARCH("欠",AB60)))</formula>
    </cfRule>
  </conditionalFormatting>
  <conditionalFormatting sqref="AC60">
    <cfRule type="containsText" dxfId="0" priority="4959" operator="between" text="欠">
      <formula>NOT(ISERROR(SEARCH("欠",AC60)))</formula>
    </cfRule>
  </conditionalFormatting>
  <conditionalFormatting sqref="AD60">
    <cfRule type="containsText" dxfId="0" priority="4919" operator="between" text="欠">
      <formula>NOT(ISERROR(SEARCH("欠",AD60)))</formula>
    </cfRule>
  </conditionalFormatting>
  <conditionalFormatting sqref="AE60">
    <cfRule type="containsText" dxfId="0" priority="5106" operator="between" text="欠">
      <formula>NOT(ISERROR(SEARCH("欠",AE60)))</formula>
    </cfRule>
  </conditionalFormatting>
  <conditionalFormatting sqref="AG60">
    <cfRule type="containsText" dxfId="0" priority="5041" operator="between" text="欠">
      <formula>NOT(ISERROR(SEARCH("欠",AG60)))</formula>
    </cfRule>
  </conditionalFormatting>
  <conditionalFormatting sqref="AH60">
    <cfRule type="containsText" dxfId="0" priority="4918" operator="between" text="欠">
      <formula>NOT(ISERROR(SEARCH("欠",AH60)))</formula>
    </cfRule>
  </conditionalFormatting>
  <conditionalFormatting sqref="AC61:AD61">
    <cfRule type="containsText" dxfId="0" priority="4727" operator="between" text="欠">
      <formula>NOT(ISERROR(SEARCH("欠",AC61)))</formula>
    </cfRule>
  </conditionalFormatting>
  <conditionalFormatting sqref="AH61">
    <cfRule type="containsText" dxfId="0" priority="4726" operator="between" text="欠">
      <formula>NOT(ISERROR(SEARCH("欠",AH61)))</formula>
    </cfRule>
  </conditionalFormatting>
  <conditionalFormatting sqref="AH62">
    <cfRule type="containsText" dxfId="0" priority="4731" operator="between" text="欠">
      <formula>NOT(ISERROR(SEARCH("欠",AH62)))</formula>
    </cfRule>
  </conditionalFormatting>
  <conditionalFormatting sqref="AC63">
    <cfRule type="containsText" dxfId="0" priority="4738" operator="between" text="欠">
      <formula>NOT(ISERROR(SEARCH("欠",AC63)))</formula>
    </cfRule>
  </conditionalFormatting>
  <conditionalFormatting sqref="AH63">
    <cfRule type="containsText" dxfId="0" priority="4737" operator="between" text="欠">
      <formula>NOT(ISERROR(SEARCH("欠",AH63)))</formula>
    </cfRule>
  </conditionalFormatting>
  <conditionalFormatting sqref="AJ63">
    <cfRule type="containsText" dxfId="0" priority="4115" operator="between" text="欠">
      <formula>NOT(ISERROR(SEARCH("欠",AJ63)))</formula>
    </cfRule>
  </conditionalFormatting>
  <conditionalFormatting sqref="AC64">
    <cfRule type="containsText" dxfId="0" priority="4743" operator="between" text="欠">
      <formula>NOT(ISERROR(SEARCH("欠",AC64)))</formula>
    </cfRule>
  </conditionalFormatting>
  <conditionalFormatting sqref="AH64">
    <cfRule type="containsText" dxfId="0" priority="4742" operator="between" text="欠">
      <formula>NOT(ISERROR(SEARCH("欠",AH64)))</formula>
    </cfRule>
  </conditionalFormatting>
  <conditionalFormatting sqref="AC65">
    <cfRule type="containsText" dxfId="0" priority="4118" operator="between" text="欠">
      <formula>NOT(ISERROR(SEARCH("欠",AC65)))</formula>
    </cfRule>
  </conditionalFormatting>
  <conditionalFormatting sqref="AH65">
    <cfRule type="containsText" dxfId="0" priority="4749" operator="between" text="欠">
      <formula>NOT(ISERROR(SEARCH("欠",AH65)))</formula>
    </cfRule>
  </conditionalFormatting>
  <conditionalFormatting sqref="AC66:AD66">
    <cfRule type="containsText" dxfId="0" priority="4750" operator="between" text="欠">
      <formula>NOT(ISERROR(SEARCH("欠",AC66)))</formula>
    </cfRule>
  </conditionalFormatting>
  <conditionalFormatting sqref="AH66">
    <cfRule type="containsText" dxfId="0" priority="4748" operator="between" text="欠">
      <formula>NOT(ISERROR(SEARCH("欠",AH66)))</formula>
    </cfRule>
  </conditionalFormatting>
  <conditionalFormatting sqref="X67">
    <cfRule type="containsText" dxfId="0" priority="4412" operator="between" text="欠">
      <formula>NOT(ISERROR(SEARCH("欠",X67)))</formula>
    </cfRule>
  </conditionalFormatting>
  <conditionalFormatting sqref="AA67:AB67">
    <cfRule type="containsText" dxfId="0" priority="4403" operator="between" text="欠">
      <formula>NOT(ISERROR(SEARCH("欠",AA67)))</formula>
    </cfRule>
  </conditionalFormatting>
  <conditionalFormatting sqref="AC67">
    <cfRule type="containsText" dxfId="0" priority="4394" operator="between" text="欠">
      <formula>NOT(ISERROR(SEARCH("欠",AC67)))</formula>
    </cfRule>
  </conditionalFormatting>
  <conditionalFormatting sqref="AH67">
    <cfRule type="containsText" dxfId="0" priority="4385" operator="between" text="欠">
      <formula>NOT(ISERROR(SEARCH("欠",AH67)))</formula>
    </cfRule>
  </conditionalFormatting>
  <conditionalFormatting sqref="X68">
    <cfRule type="containsText" dxfId="0" priority="4409" operator="between" text="欠">
      <formula>NOT(ISERROR(SEARCH("欠",X68)))</formula>
    </cfRule>
  </conditionalFormatting>
  <conditionalFormatting sqref="Y68">
    <cfRule type="containsText" dxfId="0" priority="4373" operator="between" text="欠">
      <formula>NOT(ISERROR(SEARCH("欠",Y68)))</formula>
    </cfRule>
  </conditionalFormatting>
  <conditionalFormatting sqref="AC68">
    <cfRule type="containsText" dxfId="0" priority="4391" operator="between" text="欠">
      <formula>NOT(ISERROR(SEARCH("欠",AC68)))</formula>
    </cfRule>
  </conditionalFormatting>
  <conditionalFormatting sqref="AH68">
    <cfRule type="containsText" dxfId="0" priority="4382" operator="between" text="欠">
      <formula>NOT(ISERROR(SEARCH("欠",AH68)))</formula>
    </cfRule>
  </conditionalFormatting>
  <conditionalFormatting sqref="X69">
    <cfRule type="containsText" dxfId="0" priority="4443" operator="between" text="欠">
      <formula>NOT(ISERROR(SEARCH("欠",X69)))</formula>
    </cfRule>
  </conditionalFormatting>
  <conditionalFormatting sqref="Y69">
    <cfRule type="containsText" dxfId="0" priority="4439" operator="between" text="欠">
      <formula>NOT(ISERROR(SEARCH("欠",Y69)))</formula>
    </cfRule>
  </conditionalFormatting>
  <conditionalFormatting sqref="AC69">
    <cfRule type="containsText" dxfId="0" priority="4441" operator="between" text="欠">
      <formula>NOT(ISERROR(SEARCH("欠",AC69)))</formula>
    </cfRule>
  </conditionalFormatting>
  <conditionalFormatting sqref="AH69">
    <cfRule type="containsText" dxfId="0" priority="4440" operator="between" text="欠">
      <formula>NOT(ISERROR(SEARCH("欠",AH69)))</formula>
    </cfRule>
  </conditionalFormatting>
  <conditionalFormatting sqref="AB70">
    <cfRule type="containsText" dxfId="0" priority="2393" operator="between" text="欠">
      <formula>NOT(ISERROR(SEARCH("欠",AB70)))</formula>
    </cfRule>
  </conditionalFormatting>
  <conditionalFormatting sqref="AC70:AD70">
    <cfRule type="containsText" dxfId="0" priority="4299" operator="between" text="欠">
      <formula>NOT(ISERROR(SEARCH("欠",AC70)))</formula>
    </cfRule>
  </conditionalFormatting>
  <conditionalFormatting sqref="AE70">
    <cfRule type="containsText" dxfId="0" priority="3291" operator="between" text="欠">
      <formula>NOT(ISERROR(SEARCH("欠",AE70)))</formula>
    </cfRule>
  </conditionalFormatting>
  <conditionalFormatting sqref="AF70">
    <cfRule type="containsText" dxfId="0" priority="3283" operator="between" text="欠">
      <formula>NOT(ISERROR(SEARCH("欠",AF70)))</formula>
    </cfRule>
  </conditionalFormatting>
  <conditionalFormatting sqref="AG70">
    <cfRule type="containsText" dxfId="0" priority="3287" operator="between" text="欠">
      <formula>NOT(ISERROR(SEARCH("欠",AG70)))</formula>
    </cfRule>
  </conditionalFormatting>
  <conditionalFormatting sqref="AK70">
    <cfRule type="containsText" dxfId="0" priority="3168" operator="between" text="欠">
      <formula>NOT(ISERROR(SEARCH("欠",AK70)))</formula>
    </cfRule>
  </conditionalFormatting>
  <conditionalFormatting sqref="AI72">
    <cfRule type="containsText" dxfId="0" priority="4123" operator="between" text="欠">
      <formula>NOT(ISERROR(SEARCH("欠",AI72)))</formula>
    </cfRule>
  </conditionalFormatting>
  <conditionalFormatting sqref="Y73">
    <cfRule type="containsText" dxfId="0" priority="4190" operator="between" text="欠">
      <formula>NOT(ISERROR(SEARCH("欠",Y73)))</formula>
    </cfRule>
  </conditionalFormatting>
  <conditionalFormatting sqref="AB73">
    <cfRule type="containsText" dxfId="0" priority="4220" operator="between" text="欠">
      <formula>NOT(ISERROR(SEARCH("欠",AB73)))</formula>
    </cfRule>
  </conditionalFormatting>
  <conditionalFormatting sqref="AH73">
    <cfRule type="containsText" dxfId="0" priority="4218" operator="between" text="欠">
      <formula>NOT(ISERROR(SEARCH("欠",AH73)))</formula>
    </cfRule>
  </conditionalFormatting>
  <conditionalFormatting sqref="AB81">
    <cfRule type="containsText" dxfId="0" priority="4003" operator="between" text="欠">
      <formula>NOT(ISERROR(SEARCH("欠",AB81)))</formula>
    </cfRule>
  </conditionalFormatting>
  <conditionalFormatting sqref="AC82">
    <cfRule type="containsText" dxfId="0" priority="3840" operator="between" text="欠">
      <formula>NOT(ISERROR(SEARCH("欠",AC82)))</formula>
    </cfRule>
  </conditionalFormatting>
  <conditionalFormatting sqref="AH82">
    <cfRule type="containsText" dxfId="0" priority="3839" operator="between" text="欠">
      <formula>NOT(ISERROR(SEARCH("欠",AH82)))</formula>
    </cfRule>
  </conditionalFormatting>
  <conditionalFormatting sqref="AI82">
    <cfRule type="containsText" dxfId="0" priority="3837" operator="between" text="欠">
      <formula>NOT(ISERROR(SEARCH("欠",AI82)))</formula>
    </cfRule>
  </conditionalFormatting>
  <conditionalFormatting sqref="Z83">
    <cfRule type="containsText" dxfId="0" priority="1511" operator="between" text="欠">
      <formula>NOT(ISERROR(SEARCH("欠",Z83)))</formula>
    </cfRule>
  </conditionalFormatting>
  <conditionalFormatting sqref="AA83">
    <cfRule type="containsText" dxfId="0" priority="1655" operator="between" text="欠">
      <formula>NOT(ISERROR(SEARCH("欠",AA83)))</formula>
    </cfRule>
  </conditionalFormatting>
  <conditionalFormatting sqref="AC83">
    <cfRule type="containsText" dxfId="0" priority="3852" operator="between" text="欠">
      <formula>NOT(ISERROR(SEARCH("欠",AC83)))</formula>
    </cfRule>
  </conditionalFormatting>
  <conditionalFormatting sqref="AH83">
    <cfRule type="containsText" dxfId="0" priority="3850" operator="between" text="欠">
      <formula>NOT(ISERROR(SEARCH("欠",AH83)))</formula>
    </cfRule>
  </conditionalFormatting>
  <conditionalFormatting sqref="AI83">
    <cfRule type="containsText" dxfId="0" priority="3846" operator="between" text="欠">
      <formula>NOT(ISERROR(SEARCH("欠",AI83)))</formula>
    </cfRule>
  </conditionalFormatting>
  <conditionalFormatting sqref="Z84">
    <cfRule type="containsText" dxfId="0" priority="1510" operator="between" text="欠">
      <formula>NOT(ISERROR(SEARCH("欠",Z84)))</formula>
    </cfRule>
  </conditionalFormatting>
  <conditionalFormatting sqref="AA84">
    <cfRule type="containsText" dxfId="0" priority="1654" operator="between" text="欠">
      <formula>NOT(ISERROR(SEARCH("欠",AA84)))</formula>
    </cfRule>
  </conditionalFormatting>
  <conditionalFormatting sqref="AC84">
    <cfRule type="containsText" dxfId="0" priority="3851" operator="between" text="欠">
      <formula>NOT(ISERROR(SEARCH("欠",AC84)))</formula>
    </cfRule>
  </conditionalFormatting>
  <conditionalFormatting sqref="AF84">
    <cfRule type="containsText" dxfId="0" priority="2540" operator="between" text="欠">
      <formula>NOT(ISERROR(SEARCH("欠",AF84)))</formula>
    </cfRule>
  </conditionalFormatting>
  <conditionalFormatting sqref="AH84">
    <cfRule type="containsText" dxfId="0" priority="3849" operator="between" text="欠">
      <formula>NOT(ISERROR(SEARCH("欠",AH84)))</formula>
    </cfRule>
  </conditionalFormatting>
  <conditionalFormatting sqref="AI84">
    <cfRule type="containsText" dxfId="0" priority="3845" operator="between" text="欠">
      <formula>NOT(ISERROR(SEARCH("欠",AI84)))</formula>
    </cfRule>
  </conditionalFormatting>
  <conditionalFormatting sqref="Y85">
    <cfRule type="containsText" dxfId="0" priority="3960" operator="between" text="欠">
      <formula>NOT(ISERROR(SEARCH("欠",Y85)))</formula>
    </cfRule>
  </conditionalFormatting>
  <conditionalFormatting sqref="Z85">
    <cfRule type="containsText" dxfId="0" priority="1509" operator="between" text="欠">
      <formula>NOT(ISERROR(SEARCH("欠",Z85)))</formula>
    </cfRule>
  </conditionalFormatting>
  <conditionalFormatting sqref="AA85">
    <cfRule type="containsText" dxfId="0" priority="1653" operator="between" text="欠">
      <formula>NOT(ISERROR(SEARCH("欠",AA85)))</formula>
    </cfRule>
  </conditionalFormatting>
  <conditionalFormatting sqref="AC85">
    <cfRule type="containsText" dxfId="0" priority="3988" operator="between" text="欠">
      <formula>NOT(ISERROR(SEARCH("欠",AC85)))</formula>
    </cfRule>
  </conditionalFormatting>
  <conditionalFormatting sqref="AH85">
    <cfRule type="containsText" dxfId="0" priority="3974" operator="between" text="欠">
      <formula>NOT(ISERROR(SEARCH("欠",AH85)))</formula>
    </cfRule>
  </conditionalFormatting>
  <conditionalFormatting sqref="AI85">
    <cfRule type="containsText" dxfId="0" priority="3946" operator="between" text="欠">
      <formula>NOT(ISERROR(SEARCH("欠",AI85)))</formula>
    </cfRule>
  </conditionalFormatting>
  <conditionalFormatting sqref="Z86">
    <cfRule type="containsText" dxfId="0" priority="1508" operator="between" text="欠">
      <formula>NOT(ISERROR(SEARCH("欠",Z86)))</formula>
    </cfRule>
  </conditionalFormatting>
  <conditionalFormatting sqref="AA86">
    <cfRule type="containsText" dxfId="0" priority="1652" operator="between" text="欠">
      <formula>NOT(ISERROR(SEARCH("欠",AA86)))</formula>
    </cfRule>
  </conditionalFormatting>
  <conditionalFormatting sqref="Z87">
    <cfRule type="containsText" dxfId="0" priority="1507" operator="between" text="欠">
      <formula>NOT(ISERROR(SEARCH("欠",Z87)))</formula>
    </cfRule>
  </conditionalFormatting>
  <conditionalFormatting sqref="AA87">
    <cfRule type="containsText" dxfId="0" priority="1651" operator="between" text="欠">
      <formula>NOT(ISERROR(SEARCH("欠",AA87)))</formula>
    </cfRule>
  </conditionalFormatting>
  <conditionalFormatting sqref="Z88">
    <cfRule type="containsText" dxfId="0" priority="1506" operator="between" text="欠">
      <formula>NOT(ISERROR(SEARCH("欠",Z88)))</formula>
    </cfRule>
  </conditionalFormatting>
  <conditionalFormatting sqref="AA88">
    <cfRule type="containsText" dxfId="0" priority="1650" operator="between" text="欠">
      <formula>NOT(ISERROR(SEARCH("欠",AA88)))</formula>
    </cfRule>
  </conditionalFormatting>
  <conditionalFormatting sqref="Z89">
    <cfRule type="containsText" dxfId="0" priority="1505" operator="between" text="欠">
      <formula>NOT(ISERROR(SEARCH("欠",Z89)))</formula>
    </cfRule>
  </conditionalFormatting>
  <conditionalFormatting sqref="AA89">
    <cfRule type="containsText" dxfId="0" priority="1649" operator="between" text="欠">
      <formula>NOT(ISERROR(SEARCH("欠",AA89)))</formula>
    </cfRule>
  </conditionalFormatting>
  <conditionalFormatting sqref="Z90">
    <cfRule type="containsText" dxfId="0" priority="1504" operator="between" text="欠">
      <formula>NOT(ISERROR(SEARCH("欠",Z90)))</formula>
    </cfRule>
  </conditionalFormatting>
  <conditionalFormatting sqref="AA90">
    <cfRule type="containsText" dxfId="0" priority="1648" operator="between" text="欠">
      <formula>NOT(ISERROR(SEARCH("欠",AA90)))</formula>
    </cfRule>
  </conditionalFormatting>
  <conditionalFormatting sqref="Z91">
    <cfRule type="containsText" dxfId="0" priority="1503" operator="between" text="欠">
      <formula>NOT(ISERROR(SEARCH("欠",Z91)))</formula>
    </cfRule>
  </conditionalFormatting>
  <conditionalFormatting sqref="AA91">
    <cfRule type="containsText" dxfId="0" priority="1647" operator="between" text="欠">
      <formula>NOT(ISERROR(SEARCH("欠",AA91)))</formula>
    </cfRule>
  </conditionalFormatting>
  <conditionalFormatting sqref="Z92">
    <cfRule type="containsText" dxfId="0" priority="1502" operator="between" text="欠">
      <formula>NOT(ISERROR(SEARCH("欠",Z92)))</formula>
    </cfRule>
  </conditionalFormatting>
  <conditionalFormatting sqref="AA92">
    <cfRule type="containsText" dxfId="0" priority="1646" operator="between" text="欠">
      <formula>NOT(ISERROR(SEARCH("欠",AA92)))</formula>
    </cfRule>
  </conditionalFormatting>
  <conditionalFormatting sqref="AC92:AD92">
    <cfRule type="containsText" dxfId="0" priority="2531" operator="between" text="欠">
      <formula>NOT(ISERROR(SEARCH("欠",AC92)))</formula>
    </cfRule>
  </conditionalFormatting>
  <conditionalFormatting sqref="Z93">
    <cfRule type="containsText" dxfId="0" priority="1501" operator="between" text="欠">
      <formula>NOT(ISERROR(SEARCH("欠",Z93)))</formula>
    </cfRule>
  </conditionalFormatting>
  <conditionalFormatting sqref="AA93">
    <cfRule type="containsText" dxfId="0" priority="1645" operator="between" text="欠">
      <formula>NOT(ISERROR(SEARCH("欠",AA93)))</formula>
    </cfRule>
  </conditionalFormatting>
  <conditionalFormatting sqref="AC93:AD93">
    <cfRule type="containsText" dxfId="0" priority="2530" operator="between" text="欠">
      <formula>NOT(ISERROR(SEARCH("欠",AC93)))</formula>
    </cfRule>
  </conditionalFormatting>
  <conditionalFormatting sqref="Z94">
    <cfRule type="containsText" dxfId="0" priority="1500" operator="between" text="欠">
      <formula>NOT(ISERROR(SEARCH("欠",Z94)))</formula>
    </cfRule>
  </conditionalFormatting>
  <conditionalFormatting sqref="AA94">
    <cfRule type="containsText" dxfId="0" priority="1644" operator="between" text="欠">
      <formula>NOT(ISERROR(SEARCH("欠",AA94)))</formula>
    </cfRule>
  </conditionalFormatting>
  <conditionalFormatting sqref="AC94:AD94">
    <cfRule type="containsText" dxfId="0" priority="2529" operator="between" text="欠">
      <formula>NOT(ISERROR(SEARCH("欠",AC94)))</formula>
    </cfRule>
  </conditionalFormatting>
  <conditionalFormatting sqref="AI94">
    <cfRule type="containsText" dxfId="0" priority="3598" operator="between" text="欠">
      <formula>NOT(ISERROR(SEARCH("欠",AI94)))</formula>
    </cfRule>
  </conditionalFormatting>
  <conditionalFormatting sqref="Z95">
    <cfRule type="containsText" dxfId="0" priority="1499" operator="between" text="欠">
      <formula>NOT(ISERROR(SEARCH("欠",Z95)))</formula>
    </cfRule>
  </conditionalFormatting>
  <conditionalFormatting sqref="AA95">
    <cfRule type="containsText" dxfId="0" priority="1643" operator="between" text="欠">
      <formula>NOT(ISERROR(SEARCH("欠",AA95)))</formula>
    </cfRule>
  </conditionalFormatting>
  <conditionalFormatting sqref="AC95:AD95">
    <cfRule type="containsText" dxfId="0" priority="2528" operator="between" text="欠">
      <formula>NOT(ISERROR(SEARCH("欠",AC95)))</formula>
    </cfRule>
  </conditionalFormatting>
  <conditionalFormatting sqref="Z96">
    <cfRule type="containsText" dxfId="0" priority="1498" operator="between" text="欠">
      <formula>NOT(ISERROR(SEARCH("欠",Z96)))</formula>
    </cfRule>
  </conditionalFormatting>
  <conditionalFormatting sqref="AA96">
    <cfRule type="containsText" dxfId="0" priority="1642" operator="between" text="欠">
      <formula>NOT(ISERROR(SEARCH("欠",AA96)))</formula>
    </cfRule>
  </conditionalFormatting>
  <conditionalFormatting sqref="Z97">
    <cfRule type="containsText" dxfId="0" priority="1497" operator="between" text="欠">
      <formula>NOT(ISERROR(SEARCH("欠",Z97)))</formula>
    </cfRule>
  </conditionalFormatting>
  <conditionalFormatting sqref="AA97">
    <cfRule type="containsText" dxfId="0" priority="1641" operator="between" text="欠">
      <formula>NOT(ISERROR(SEARCH("欠",AA97)))</formula>
    </cfRule>
  </conditionalFormatting>
  <conditionalFormatting sqref="Z98">
    <cfRule type="containsText" dxfId="0" priority="1496" operator="between" text="欠">
      <formula>NOT(ISERROR(SEARCH("欠",Z98)))</formula>
    </cfRule>
  </conditionalFormatting>
  <conditionalFormatting sqref="AA98">
    <cfRule type="containsText" dxfId="0" priority="1640" operator="between" text="欠">
      <formula>NOT(ISERROR(SEARCH("欠",AA98)))</formula>
    </cfRule>
  </conditionalFormatting>
  <conditionalFormatting sqref="Z99">
    <cfRule type="containsText" dxfId="0" priority="1495" operator="between" text="欠">
      <formula>NOT(ISERROR(SEARCH("欠",Z99)))</formula>
    </cfRule>
  </conditionalFormatting>
  <conditionalFormatting sqref="AA99">
    <cfRule type="containsText" dxfId="0" priority="1639" operator="between" text="欠">
      <formula>NOT(ISERROR(SEARCH("欠",AA99)))</formula>
    </cfRule>
  </conditionalFormatting>
  <conditionalFormatting sqref="Z100">
    <cfRule type="containsText" dxfId="0" priority="1494" operator="between" text="欠">
      <formula>NOT(ISERROR(SEARCH("欠",Z100)))</formula>
    </cfRule>
  </conditionalFormatting>
  <conditionalFormatting sqref="AA100">
    <cfRule type="containsText" dxfId="0" priority="1638" operator="between" text="欠">
      <formula>NOT(ISERROR(SEARCH("欠",AA100)))</formula>
    </cfRule>
  </conditionalFormatting>
  <conditionalFormatting sqref="Z101">
    <cfRule type="containsText" dxfId="0" priority="1493" operator="between" text="欠">
      <formula>NOT(ISERROR(SEARCH("欠",Z101)))</formula>
    </cfRule>
  </conditionalFormatting>
  <conditionalFormatting sqref="AA101">
    <cfRule type="containsText" dxfId="0" priority="1637" operator="between" text="欠">
      <formula>NOT(ISERROR(SEARCH("欠",AA101)))</formula>
    </cfRule>
  </conditionalFormatting>
  <conditionalFormatting sqref="AD101">
    <cfRule type="containsText" dxfId="0" priority="3622" operator="between" text="欠">
      <formula>NOT(ISERROR(SEARCH("欠",AD101)))</formula>
    </cfRule>
  </conditionalFormatting>
  <conditionalFormatting sqref="AI101">
    <cfRule type="containsText" dxfId="0" priority="3589" operator="between" text="欠">
      <formula>NOT(ISERROR(SEARCH("欠",AI101)))</formula>
    </cfRule>
  </conditionalFormatting>
  <conditionalFormatting sqref="Z102">
    <cfRule type="containsText" dxfId="0" priority="1474" operator="between" text="欠">
      <formula>NOT(ISERROR(SEARCH("欠",Z102)))</formula>
    </cfRule>
  </conditionalFormatting>
  <conditionalFormatting sqref="AA102:AB102">
    <cfRule type="containsText" dxfId="0" priority="1618" operator="between" text="欠">
      <formula>NOT(ISERROR(SEARCH("欠",AA102)))</formula>
    </cfRule>
  </conditionalFormatting>
  <conditionalFormatting sqref="Z103">
    <cfRule type="containsText" dxfId="0" priority="1461" operator="between" text="欠">
      <formula>NOT(ISERROR(SEARCH("欠",Z103)))</formula>
    </cfRule>
  </conditionalFormatting>
  <conditionalFormatting sqref="AA103:AB103">
    <cfRule type="containsText" dxfId="0" priority="1605" operator="between" text="欠">
      <formula>NOT(ISERROR(SEARCH("欠",AA103)))</formula>
    </cfRule>
  </conditionalFormatting>
  <conditionalFormatting sqref="Z104">
    <cfRule type="containsText" dxfId="0" priority="1460" operator="between" text="欠">
      <formula>NOT(ISERROR(SEARCH("欠",Z104)))</formula>
    </cfRule>
  </conditionalFormatting>
  <conditionalFormatting sqref="AA104:AB104">
    <cfRule type="containsText" dxfId="0" priority="1604" operator="between" text="欠">
      <formula>NOT(ISERROR(SEARCH("欠",AA104)))</formula>
    </cfRule>
  </conditionalFormatting>
  <conditionalFormatting sqref="Z105">
    <cfRule type="containsText" dxfId="0" priority="1459" operator="between" text="欠">
      <formula>NOT(ISERROR(SEARCH("欠",Z105)))</formula>
    </cfRule>
  </conditionalFormatting>
  <conditionalFormatting sqref="AA105:AB105">
    <cfRule type="containsText" dxfId="0" priority="1603" operator="between" text="欠">
      <formula>NOT(ISERROR(SEARCH("欠",AA105)))</formula>
    </cfRule>
  </conditionalFormatting>
  <conditionalFormatting sqref="Z106">
    <cfRule type="containsText" dxfId="0" priority="1458" operator="between" text="欠">
      <formula>NOT(ISERROR(SEARCH("欠",Z106)))</formula>
    </cfRule>
  </conditionalFormatting>
  <conditionalFormatting sqref="AA106:AB106">
    <cfRule type="containsText" dxfId="0" priority="1602" operator="between" text="欠">
      <formula>NOT(ISERROR(SEARCH("欠",AA106)))</formula>
    </cfRule>
  </conditionalFormatting>
  <conditionalFormatting sqref="Z107">
    <cfRule type="containsText" dxfId="0" priority="1456" operator="between" text="欠">
      <formula>NOT(ISERROR(SEARCH("欠",Z107)))</formula>
    </cfRule>
  </conditionalFormatting>
  <conditionalFormatting sqref="AA107:AB107">
    <cfRule type="containsText" dxfId="0" priority="1600" operator="between" text="欠">
      <formula>NOT(ISERROR(SEARCH("欠",AA107)))</formula>
    </cfRule>
  </conditionalFormatting>
  <conditionalFormatting sqref="Z108">
    <cfRule type="containsText" dxfId="0" priority="1455" operator="between" text="欠">
      <formula>NOT(ISERROR(SEARCH("欠",Z108)))</formula>
    </cfRule>
  </conditionalFormatting>
  <conditionalFormatting sqref="AA108:AB108">
    <cfRule type="containsText" dxfId="0" priority="1599" operator="between" text="欠">
      <formula>NOT(ISERROR(SEARCH("欠",AA108)))</formula>
    </cfRule>
  </conditionalFormatting>
  <conditionalFormatting sqref="Z109">
    <cfRule type="containsText" dxfId="0" priority="1454" operator="between" text="欠">
      <formula>NOT(ISERROR(SEARCH("欠",Z109)))</formula>
    </cfRule>
  </conditionalFormatting>
  <conditionalFormatting sqref="AA109:AB109">
    <cfRule type="containsText" dxfId="0" priority="1598" operator="between" text="欠">
      <formula>NOT(ISERROR(SEARCH("欠",AA109)))</formula>
    </cfRule>
  </conditionalFormatting>
  <conditionalFormatting sqref="Z110">
    <cfRule type="containsText" dxfId="0" priority="1453" operator="between" text="欠">
      <formula>NOT(ISERROR(SEARCH("欠",Z110)))</formula>
    </cfRule>
  </conditionalFormatting>
  <conditionalFormatting sqref="AA110:AB110">
    <cfRule type="containsText" dxfId="0" priority="1597" operator="between" text="欠">
      <formula>NOT(ISERROR(SEARCH("欠",AA110)))</formula>
    </cfRule>
  </conditionalFormatting>
  <conditionalFormatting sqref="Z111">
    <cfRule type="containsText" dxfId="0" priority="1450" operator="between" text="欠">
      <formula>NOT(ISERROR(SEARCH("欠",Z111)))</formula>
    </cfRule>
  </conditionalFormatting>
  <conditionalFormatting sqref="AA111:AB111">
    <cfRule type="containsText" dxfId="0" priority="1594" operator="between" text="欠">
      <formula>NOT(ISERROR(SEARCH("欠",AA111)))</formula>
    </cfRule>
  </conditionalFormatting>
  <conditionalFormatting sqref="Z112">
    <cfRule type="containsText" dxfId="0" priority="1449" operator="between" text="欠">
      <formula>NOT(ISERROR(SEARCH("欠",Z112)))</formula>
    </cfRule>
  </conditionalFormatting>
  <conditionalFormatting sqref="AA112:AB112">
    <cfRule type="containsText" dxfId="0" priority="1593" operator="between" text="欠">
      <formula>NOT(ISERROR(SEARCH("欠",AA112)))</formula>
    </cfRule>
  </conditionalFormatting>
  <conditionalFormatting sqref="Z113">
    <cfRule type="containsText" dxfId="0" priority="1448" operator="between" text="欠">
      <formula>NOT(ISERROR(SEARCH("欠",Z113)))</formula>
    </cfRule>
  </conditionalFormatting>
  <conditionalFormatting sqref="AA113:AB113">
    <cfRule type="containsText" dxfId="0" priority="1592" operator="between" text="欠">
      <formula>NOT(ISERROR(SEARCH("欠",AA113)))</formula>
    </cfRule>
  </conditionalFormatting>
  <conditionalFormatting sqref="AI113">
    <cfRule type="containsText" dxfId="0" priority="1366" operator="between" text="欠">
      <formula>NOT(ISERROR(SEARCH("欠",AI113)))</formula>
    </cfRule>
  </conditionalFormatting>
  <conditionalFormatting sqref="Z114">
    <cfRule type="containsText" dxfId="0" priority="1447" operator="between" text="欠">
      <formula>NOT(ISERROR(SEARCH("欠",Z114)))</formula>
    </cfRule>
  </conditionalFormatting>
  <conditionalFormatting sqref="AA114:AB114">
    <cfRule type="containsText" dxfId="0" priority="1591" operator="between" text="欠">
      <formula>NOT(ISERROR(SEARCH("欠",AA114)))</formula>
    </cfRule>
  </conditionalFormatting>
  <conditionalFormatting sqref="Z115">
    <cfRule type="containsText" dxfId="0" priority="1446" operator="between" text="欠">
      <formula>NOT(ISERROR(SEARCH("欠",Z115)))</formula>
    </cfRule>
  </conditionalFormatting>
  <conditionalFormatting sqref="AA115:AB115">
    <cfRule type="containsText" dxfId="0" priority="1590" operator="between" text="欠">
      <formula>NOT(ISERROR(SEARCH("欠",AA115)))</formula>
    </cfRule>
  </conditionalFormatting>
  <conditionalFormatting sqref="AG115">
    <cfRule type="containsText" dxfId="0" priority="933" operator="between" text="欠">
      <formula>NOT(ISERROR(SEARCH("欠",AG115)))</formula>
    </cfRule>
  </conditionalFormatting>
  <conditionalFormatting sqref="AI115">
    <cfRule type="containsText" dxfId="0" priority="931" operator="between" text="欠">
      <formula>NOT(ISERROR(SEARCH("欠",AI115)))</formula>
    </cfRule>
  </conditionalFormatting>
  <conditionalFormatting sqref="AJ115">
    <cfRule type="containsText" dxfId="0" priority="932" operator="between" text="欠">
      <formula>NOT(ISERROR(SEARCH("欠",AJ115)))</formula>
    </cfRule>
  </conditionalFormatting>
  <conditionalFormatting sqref="Z116">
    <cfRule type="containsText" dxfId="0" priority="1445" operator="between" text="欠">
      <formula>NOT(ISERROR(SEARCH("欠",Z116)))</formula>
    </cfRule>
  </conditionalFormatting>
  <conditionalFormatting sqref="AA116:AB116">
    <cfRule type="containsText" dxfId="0" priority="1589" operator="between" text="欠">
      <formula>NOT(ISERROR(SEARCH("欠",AA116)))</formula>
    </cfRule>
  </conditionalFormatting>
  <conditionalFormatting sqref="Z117">
    <cfRule type="containsText" dxfId="0" priority="1444" operator="between" text="欠">
      <formula>NOT(ISERROR(SEARCH("欠",Z117)))</formula>
    </cfRule>
  </conditionalFormatting>
  <conditionalFormatting sqref="AA117:AB117">
    <cfRule type="containsText" dxfId="0" priority="1588" operator="between" text="欠">
      <formula>NOT(ISERROR(SEARCH("欠",AA117)))</formula>
    </cfRule>
  </conditionalFormatting>
  <conditionalFormatting sqref="Z118">
    <cfRule type="containsText" dxfId="0" priority="1443" operator="between" text="欠">
      <formula>NOT(ISERROR(SEARCH("欠",Z118)))</formula>
    </cfRule>
  </conditionalFormatting>
  <conditionalFormatting sqref="AA118:AB118">
    <cfRule type="containsText" dxfId="0" priority="1587" operator="between" text="欠">
      <formula>NOT(ISERROR(SEARCH("欠",AA118)))</formula>
    </cfRule>
  </conditionalFormatting>
  <conditionalFormatting sqref="Z119">
    <cfRule type="containsText" dxfId="0" priority="1442" operator="between" text="欠">
      <formula>NOT(ISERROR(SEARCH("欠",Z119)))</formula>
    </cfRule>
  </conditionalFormatting>
  <conditionalFormatting sqref="AA119:AB119">
    <cfRule type="containsText" dxfId="0" priority="1586" operator="between" text="欠">
      <formula>NOT(ISERROR(SEARCH("欠",AA119)))</formula>
    </cfRule>
  </conditionalFormatting>
  <conditionalFormatting sqref="Z120">
    <cfRule type="containsText" dxfId="0" priority="1441" operator="between" text="欠">
      <formula>NOT(ISERROR(SEARCH("欠",Z120)))</formula>
    </cfRule>
  </conditionalFormatting>
  <conditionalFormatting sqref="AA120:AB120">
    <cfRule type="containsText" dxfId="0" priority="1585" operator="between" text="欠">
      <formula>NOT(ISERROR(SEARCH("欠",AA120)))</formula>
    </cfRule>
  </conditionalFormatting>
  <conditionalFormatting sqref="Z121">
    <cfRule type="containsText" dxfId="0" priority="1440" operator="between" text="欠">
      <formula>NOT(ISERROR(SEARCH("欠",Z121)))</formula>
    </cfRule>
  </conditionalFormatting>
  <conditionalFormatting sqref="AA121:AB121">
    <cfRule type="containsText" dxfId="0" priority="1584" operator="between" text="欠">
      <formula>NOT(ISERROR(SEARCH("欠",AA121)))</formula>
    </cfRule>
  </conditionalFormatting>
  <conditionalFormatting sqref="Z122">
    <cfRule type="containsText" dxfId="0" priority="1439" operator="between" text="欠">
      <formula>NOT(ISERROR(SEARCH("欠",Z122)))</formula>
    </cfRule>
  </conditionalFormatting>
  <conditionalFormatting sqref="AA122:AB122">
    <cfRule type="containsText" dxfId="0" priority="1583" operator="between" text="欠">
      <formula>NOT(ISERROR(SEARCH("欠",AA122)))</formula>
    </cfRule>
  </conditionalFormatting>
  <conditionalFormatting sqref="Z123">
    <cfRule type="containsText" dxfId="0" priority="1433" operator="between" text="欠">
      <formula>NOT(ISERROR(SEARCH("欠",Z123)))</formula>
    </cfRule>
  </conditionalFormatting>
  <conditionalFormatting sqref="AA123:AB123">
    <cfRule type="containsText" dxfId="0" priority="1577" operator="between" text="欠">
      <formula>NOT(ISERROR(SEARCH("欠",AA123)))</formula>
    </cfRule>
  </conditionalFormatting>
  <conditionalFormatting sqref="Z124">
    <cfRule type="containsText" dxfId="0" priority="1432" operator="between" text="欠">
      <formula>NOT(ISERROR(SEARCH("欠",Z124)))</formula>
    </cfRule>
  </conditionalFormatting>
  <conditionalFormatting sqref="AA124:AB124">
    <cfRule type="containsText" dxfId="0" priority="1576" operator="between" text="欠">
      <formula>NOT(ISERROR(SEARCH("欠",AA124)))</formula>
    </cfRule>
  </conditionalFormatting>
  <conditionalFormatting sqref="Z125">
    <cfRule type="containsText" dxfId="0" priority="1431" operator="between" text="欠">
      <formula>NOT(ISERROR(SEARCH("欠",Z125)))</formula>
    </cfRule>
  </conditionalFormatting>
  <conditionalFormatting sqref="AA125:AB125">
    <cfRule type="containsText" dxfId="0" priority="1575" operator="between" text="欠">
      <formula>NOT(ISERROR(SEARCH("欠",AA125)))</formula>
    </cfRule>
  </conditionalFormatting>
  <conditionalFormatting sqref="Z126">
    <cfRule type="containsText" dxfId="0" priority="1430" operator="between" text="欠">
      <formula>NOT(ISERROR(SEARCH("欠",Z126)))</formula>
    </cfRule>
  </conditionalFormatting>
  <conditionalFormatting sqref="AA126:AB126">
    <cfRule type="containsText" dxfId="0" priority="1574" operator="between" text="欠">
      <formula>NOT(ISERROR(SEARCH("欠",AA126)))</formula>
    </cfRule>
  </conditionalFormatting>
  <conditionalFormatting sqref="B127">
    <cfRule type="containsText" dxfId="1" priority="2344" operator="between" text="异常">
      <formula>NOT(ISERROR(SEARCH("异常",B127)))</formula>
    </cfRule>
  </conditionalFormatting>
  <conditionalFormatting sqref="C127">
    <cfRule type="containsText" dxfId="2" priority="2342" operator="between" text="二代">
      <formula>NOT(ISERROR(SEARCH("二代",C127)))</formula>
    </cfRule>
    <cfRule type="containsText" dxfId="3" priority="2343" operator="between" text="蛋糕">
      <formula>NOT(ISERROR(SEARCH("蛋糕",C127)))</formula>
    </cfRule>
  </conditionalFormatting>
  <conditionalFormatting sqref="Y127">
    <cfRule type="containsText" dxfId="0" priority="2350" operator="between" text="欠">
      <formula>NOT(ISERROR(SEARCH("欠",Y127)))</formula>
    </cfRule>
  </conditionalFormatting>
  <conditionalFormatting sqref="Z127">
    <cfRule type="containsText" dxfId="0" priority="1429" operator="between" text="欠">
      <formula>NOT(ISERROR(SEARCH("欠",Z127)))</formula>
    </cfRule>
  </conditionalFormatting>
  <conditionalFormatting sqref="AA127:AB127">
    <cfRule type="containsText" dxfId="0" priority="1573" operator="between" text="欠">
      <formula>NOT(ISERROR(SEARCH("欠",AA127)))</formula>
    </cfRule>
  </conditionalFormatting>
  <conditionalFormatting sqref="AC127">
    <cfRule type="containsText" dxfId="0" priority="2352" operator="between" text="欠">
      <formula>NOT(ISERROR(SEARCH("欠",AC127)))</formula>
    </cfRule>
  </conditionalFormatting>
  <conditionalFormatting sqref="AD127">
    <cfRule type="containsText" dxfId="0" priority="2348" operator="between" text="欠">
      <formula>NOT(ISERROR(SEARCH("欠",AD127)))</formula>
    </cfRule>
  </conditionalFormatting>
  <conditionalFormatting sqref="AF127">
    <cfRule type="containsText" dxfId="0" priority="2345" operator="between" text="欠">
      <formula>NOT(ISERROR(SEARCH("欠",AF127)))</formula>
    </cfRule>
  </conditionalFormatting>
  <conditionalFormatting sqref="AH127">
    <cfRule type="containsText" dxfId="0" priority="2351" operator="between" text="欠">
      <formula>NOT(ISERROR(SEARCH("欠",AH127)))</formula>
    </cfRule>
  </conditionalFormatting>
  <conditionalFormatting sqref="AI127">
    <cfRule type="containsText" dxfId="0" priority="2347" operator="between" text="欠">
      <formula>NOT(ISERROR(SEARCH("欠",AI127)))</formula>
    </cfRule>
  </conditionalFormatting>
  <conditionalFormatting sqref="Z128">
    <cfRule type="containsText" dxfId="0" priority="1428" operator="between" text="欠">
      <formula>NOT(ISERROR(SEARCH("欠",Z128)))</formula>
    </cfRule>
  </conditionalFormatting>
  <conditionalFormatting sqref="AA128:AB128">
    <cfRule type="containsText" dxfId="0" priority="1572" operator="between" text="欠">
      <formula>NOT(ISERROR(SEARCH("欠",AA128)))</formula>
    </cfRule>
  </conditionalFormatting>
  <conditionalFormatting sqref="B129">
    <cfRule type="containsText" dxfId="1" priority="2333" operator="between" text="异常">
      <formula>NOT(ISERROR(SEARCH("异常",B129)))</formula>
    </cfRule>
  </conditionalFormatting>
  <conditionalFormatting sqref="C129">
    <cfRule type="containsText" dxfId="2" priority="2331" operator="between" text="二代">
      <formula>NOT(ISERROR(SEARCH("二代",C129)))</formula>
    </cfRule>
    <cfRule type="containsText" dxfId="3" priority="2332" operator="between" text="蛋糕">
      <formula>NOT(ISERROR(SEARCH("蛋糕",C129)))</formula>
    </cfRule>
  </conditionalFormatting>
  <conditionalFormatting sqref="Z129">
    <cfRule type="containsText" dxfId="0" priority="1427" operator="between" text="欠">
      <formula>NOT(ISERROR(SEARCH("欠",Z129)))</formula>
    </cfRule>
  </conditionalFormatting>
  <conditionalFormatting sqref="AA129:AB129">
    <cfRule type="containsText" dxfId="0" priority="1571" operator="between" text="欠">
      <formula>NOT(ISERROR(SEARCH("欠",AA129)))</formula>
    </cfRule>
  </conditionalFormatting>
  <conditionalFormatting sqref="AC129">
    <cfRule type="containsText" dxfId="0" priority="2339" operator="between" text="欠">
      <formula>NOT(ISERROR(SEARCH("欠",AC129)))</formula>
    </cfRule>
  </conditionalFormatting>
  <conditionalFormatting sqref="AD129">
    <cfRule type="containsText" dxfId="0" priority="2341" operator="between" text="欠">
      <formula>NOT(ISERROR(SEARCH("欠",AD129)))</formula>
    </cfRule>
  </conditionalFormatting>
  <conditionalFormatting sqref="AF129">
    <cfRule type="containsText" dxfId="0" priority="2334" operator="between" text="欠">
      <formula>NOT(ISERROR(SEARCH("欠",AF129)))</formula>
    </cfRule>
  </conditionalFormatting>
  <conditionalFormatting sqref="AH129">
    <cfRule type="containsText" dxfId="0" priority="2338" operator="between" text="欠">
      <formula>NOT(ISERROR(SEARCH("欠",AH129)))</formula>
    </cfRule>
  </conditionalFormatting>
  <conditionalFormatting sqref="AI129">
    <cfRule type="containsText" dxfId="0" priority="2340" operator="between" text="欠">
      <formula>NOT(ISERROR(SEARCH("欠",AI129)))</formula>
    </cfRule>
  </conditionalFormatting>
  <conditionalFormatting sqref="Z130">
    <cfRule type="containsText" dxfId="0" priority="1426" operator="between" text="欠">
      <formula>NOT(ISERROR(SEARCH("欠",Z130)))</formula>
    </cfRule>
  </conditionalFormatting>
  <conditionalFormatting sqref="AA130:AB130">
    <cfRule type="containsText" dxfId="0" priority="1570" operator="between" text="欠">
      <formula>NOT(ISERROR(SEARCH("欠",AA130)))</formula>
    </cfRule>
  </conditionalFormatting>
  <conditionalFormatting sqref="B131">
    <cfRule type="containsText" dxfId="1" priority="2322" operator="between" text="异常">
      <formula>NOT(ISERROR(SEARCH("异常",B131)))</formula>
    </cfRule>
  </conditionalFormatting>
  <conditionalFormatting sqref="C131">
    <cfRule type="containsText" dxfId="2" priority="2320" operator="between" text="二代">
      <formula>NOT(ISERROR(SEARCH("二代",C131)))</formula>
    </cfRule>
    <cfRule type="containsText" dxfId="3" priority="2321" operator="between" text="蛋糕">
      <formula>NOT(ISERROR(SEARCH("蛋糕",C131)))</formula>
    </cfRule>
  </conditionalFormatting>
  <conditionalFormatting sqref="Y131">
    <cfRule type="containsText" dxfId="0" priority="2326" operator="between" text="欠">
      <formula>NOT(ISERROR(SEARCH("欠",Y131)))</formula>
    </cfRule>
  </conditionalFormatting>
  <conditionalFormatting sqref="Z131">
    <cfRule type="containsText" dxfId="0" priority="1425" operator="between" text="欠">
      <formula>NOT(ISERROR(SEARCH("欠",Z131)))</formula>
    </cfRule>
  </conditionalFormatting>
  <conditionalFormatting sqref="AA131:AB131">
    <cfRule type="containsText" dxfId="0" priority="1569" operator="between" text="欠">
      <formula>NOT(ISERROR(SEARCH("欠",AA131)))</formula>
    </cfRule>
  </conditionalFormatting>
  <conditionalFormatting sqref="AC131">
    <cfRule type="containsText" dxfId="0" priority="2328" operator="between" text="欠">
      <formula>NOT(ISERROR(SEARCH("欠",AC131)))</formula>
    </cfRule>
  </conditionalFormatting>
  <conditionalFormatting sqref="AD131">
    <cfRule type="containsText" dxfId="0" priority="2330" operator="between" text="欠">
      <formula>NOT(ISERROR(SEARCH("欠",AD131)))</formula>
    </cfRule>
  </conditionalFormatting>
  <conditionalFormatting sqref="AF131">
    <cfRule type="containsText" dxfId="0" priority="2323" operator="between" text="欠">
      <formula>NOT(ISERROR(SEARCH("欠",AF131)))</formula>
    </cfRule>
  </conditionalFormatting>
  <conditionalFormatting sqref="AH131">
    <cfRule type="containsText" dxfId="0" priority="2327" operator="between" text="欠">
      <formula>NOT(ISERROR(SEARCH("欠",AH131)))</formula>
    </cfRule>
  </conditionalFormatting>
  <conditionalFormatting sqref="AI131">
    <cfRule type="containsText" dxfId="0" priority="2329" operator="between" text="欠">
      <formula>NOT(ISERROR(SEARCH("欠",AI131)))</formula>
    </cfRule>
  </conditionalFormatting>
  <conditionalFormatting sqref="Z132">
    <cfRule type="containsText" dxfId="0" priority="1421" operator="between" text="欠">
      <formula>NOT(ISERROR(SEARCH("欠",Z132)))</formula>
    </cfRule>
  </conditionalFormatting>
  <conditionalFormatting sqref="AA132:AB132">
    <cfRule type="containsText" dxfId="0" priority="1565" operator="between" text="欠">
      <formula>NOT(ISERROR(SEARCH("欠",AA132)))</formula>
    </cfRule>
  </conditionalFormatting>
  <conditionalFormatting sqref="AF132">
    <cfRule type="containsText" dxfId="0" priority="2545" operator="between" text="欠">
      <formula>NOT(ISERROR(SEARCH("欠",AF132)))</formula>
    </cfRule>
  </conditionalFormatting>
  <conditionalFormatting sqref="Z133">
    <cfRule type="containsText" dxfId="0" priority="1420" operator="between" text="欠">
      <formula>NOT(ISERROR(SEARCH("欠",Z133)))</formula>
    </cfRule>
  </conditionalFormatting>
  <conditionalFormatting sqref="AA133:AB133">
    <cfRule type="containsText" dxfId="0" priority="1564" operator="between" text="欠">
      <formula>NOT(ISERROR(SEARCH("欠",AA133)))</formula>
    </cfRule>
  </conditionalFormatting>
  <conditionalFormatting sqref="Z134">
    <cfRule type="containsText" dxfId="0" priority="1419" operator="between" text="欠">
      <formula>NOT(ISERROR(SEARCH("欠",Z134)))</formula>
    </cfRule>
  </conditionalFormatting>
  <conditionalFormatting sqref="AA134:AB134">
    <cfRule type="containsText" dxfId="0" priority="1563" operator="between" text="欠">
      <formula>NOT(ISERROR(SEARCH("欠",AA134)))</formula>
    </cfRule>
  </conditionalFormatting>
  <conditionalFormatting sqref="Z135">
    <cfRule type="containsText" dxfId="0" priority="1418" operator="between" text="欠">
      <formula>NOT(ISERROR(SEARCH("欠",Z135)))</formula>
    </cfRule>
  </conditionalFormatting>
  <conditionalFormatting sqref="AA135:AB135">
    <cfRule type="containsText" dxfId="0" priority="1562" operator="between" text="欠">
      <formula>NOT(ISERROR(SEARCH("欠",AA135)))</formula>
    </cfRule>
  </conditionalFormatting>
  <conditionalFormatting sqref="Z136">
    <cfRule type="containsText" dxfId="0" priority="1417" operator="between" text="欠">
      <formula>NOT(ISERROR(SEARCH("欠",Z136)))</formula>
    </cfRule>
  </conditionalFormatting>
  <conditionalFormatting sqref="AA136:AB136">
    <cfRule type="containsText" dxfId="0" priority="1561" operator="between" text="欠">
      <formula>NOT(ISERROR(SEARCH("欠",AA136)))</formula>
    </cfRule>
  </conditionalFormatting>
  <conditionalFormatting sqref="Z137">
    <cfRule type="containsText" dxfId="0" priority="1416" operator="between" text="欠">
      <formula>NOT(ISERROR(SEARCH("欠",Z137)))</formula>
    </cfRule>
  </conditionalFormatting>
  <conditionalFormatting sqref="AA137:AB137">
    <cfRule type="containsText" dxfId="0" priority="1560" operator="between" text="欠">
      <formula>NOT(ISERROR(SEARCH("欠",AA137)))</formula>
    </cfRule>
  </conditionalFormatting>
  <conditionalFormatting sqref="Z138">
    <cfRule type="containsText" dxfId="0" priority="1415" operator="between" text="欠">
      <formula>NOT(ISERROR(SEARCH("欠",Z138)))</formula>
    </cfRule>
  </conditionalFormatting>
  <conditionalFormatting sqref="AA138:AB138">
    <cfRule type="containsText" dxfId="0" priority="1559" operator="between" text="欠">
      <formula>NOT(ISERROR(SEARCH("欠",AA138)))</formula>
    </cfRule>
  </conditionalFormatting>
  <conditionalFormatting sqref="Z139">
    <cfRule type="containsText" dxfId="0" priority="1414" operator="between" text="欠">
      <formula>NOT(ISERROR(SEARCH("欠",Z139)))</formula>
    </cfRule>
  </conditionalFormatting>
  <conditionalFormatting sqref="AA139:AB139">
    <cfRule type="containsText" dxfId="0" priority="1558" operator="between" text="欠">
      <formula>NOT(ISERROR(SEARCH("欠",AA139)))</formula>
    </cfRule>
  </conditionalFormatting>
  <conditionalFormatting sqref="Z140">
    <cfRule type="containsText" dxfId="0" priority="1413" operator="between" text="欠">
      <formula>NOT(ISERROR(SEARCH("欠",Z140)))</formula>
    </cfRule>
  </conditionalFormatting>
  <conditionalFormatting sqref="AA140:AB140">
    <cfRule type="containsText" dxfId="0" priority="1557" operator="between" text="欠">
      <formula>NOT(ISERROR(SEARCH("欠",AA140)))</formula>
    </cfRule>
  </conditionalFormatting>
  <conditionalFormatting sqref="Z141">
    <cfRule type="containsText" dxfId="0" priority="1412" operator="between" text="欠">
      <formula>NOT(ISERROR(SEARCH("欠",Z141)))</formula>
    </cfRule>
  </conditionalFormatting>
  <conditionalFormatting sqref="AA141:AB141">
    <cfRule type="containsText" dxfId="0" priority="1556" operator="between" text="欠">
      <formula>NOT(ISERROR(SEARCH("欠",AA141)))</formula>
    </cfRule>
  </conditionalFormatting>
  <conditionalFormatting sqref="Z142">
    <cfRule type="containsText" dxfId="0" priority="1411" operator="between" text="欠">
      <formula>NOT(ISERROR(SEARCH("欠",Z142)))</formula>
    </cfRule>
  </conditionalFormatting>
  <conditionalFormatting sqref="AA142:AB142">
    <cfRule type="containsText" dxfId="0" priority="1555" operator="between" text="欠">
      <formula>NOT(ISERROR(SEARCH("欠",AA142)))</formula>
    </cfRule>
  </conditionalFormatting>
  <conditionalFormatting sqref="Z143">
    <cfRule type="containsText" dxfId="0" priority="1409" operator="between" text="欠">
      <formula>NOT(ISERROR(SEARCH("欠",Z143)))</formula>
    </cfRule>
  </conditionalFormatting>
  <conditionalFormatting sqref="AA143:AB143">
    <cfRule type="containsText" dxfId="0" priority="1553" operator="between" text="欠">
      <formula>NOT(ISERROR(SEARCH("欠",AA143)))</formula>
    </cfRule>
  </conditionalFormatting>
  <conditionalFormatting sqref="Z144">
    <cfRule type="containsText" dxfId="0" priority="1408" operator="between" text="欠">
      <formula>NOT(ISERROR(SEARCH("欠",Z144)))</formula>
    </cfRule>
  </conditionalFormatting>
  <conditionalFormatting sqref="AA144:AB144">
    <cfRule type="containsText" dxfId="0" priority="1552" operator="between" text="欠">
      <formula>NOT(ISERROR(SEARCH("欠",AA144)))</formula>
    </cfRule>
  </conditionalFormatting>
  <conditionalFormatting sqref="Z145">
    <cfRule type="containsText" dxfId="0" priority="1407" operator="between" text="欠">
      <formula>NOT(ISERROR(SEARCH("欠",Z145)))</formula>
    </cfRule>
  </conditionalFormatting>
  <conditionalFormatting sqref="AA145:AB145">
    <cfRule type="containsText" dxfId="0" priority="1551" operator="between" text="欠">
      <formula>NOT(ISERROR(SEARCH("欠",AA145)))</formula>
    </cfRule>
  </conditionalFormatting>
  <conditionalFormatting sqref="Z146">
    <cfRule type="containsText" dxfId="0" priority="1406" operator="between" text="欠">
      <formula>NOT(ISERROR(SEARCH("欠",Z146)))</formula>
    </cfRule>
  </conditionalFormatting>
  <conditionalFormatting sqref="AA146:AB146">
    <cfRule type="containsText" dxfId="0" priority="1550" operator="between" text="欠">
      <formula>NOT(ISERROR(SEARCH("欠",AA146)))</formula>
    </cfRule>
  </conditionalFormatting>
  <conditionalFormatting sqref="Z147">
    <cfRule type="containsText" dxfId="0" priority="1403" operator="between" text="欠">
      <formula>NOT(ISERROR(SEARCH("欠",Z147)))</formula>
    </cfRule>
  </conditionalFormatting>
  <conditionalFormatting sqref="AA147:AB147">
    <cfRule type="containsText" dxfId="0" priority="1547" operator="between" text="欠">
      <formula>NOT(ISERROR(SEARCH("欠",AA147)))</formula>
    </cfRule>
  </conditionalFormatting>
  <conditionalFormatting sqref="AG147">
    <cfRule type="containsText" dxfId="0" priority="930" operator="between" text="欠">
      <formula>NOT(ISERROR(SEARCH("欠",AG147)))</formula>
    </cfRule>
  </conditionalFormatting>
  <conditionalFormatting sqref="Z148">
    <cfRule type="containsText" dxfId="0" priority="1402" operator="between" text="欠">
      <formula>NOT(ISERROR(SEARCH("欠",Z148)))</formula>
    </cfRule>
  </conditionalFormatting>
  <conditionalFormatting sqref="AA148:AB148">
    <cfRule type="containsText" dxfId="0" priority="1546" operator="between" text="欠">
      <formula>NOT(ISERROR(SEARCH("欠",AA148)))</formula>
    </cfRule>
  </conditionalFormatting>
  <conditionalFormatting sqref="AI148">
    <cfRule type="containsText" dxfId="0" priority="1365" operator="between" text="欠">
      <formula>NOT(ISERROR(SEARCH("欠",AI148)))</formula>
    </cfRule>
  </conditionalFormatting>
  <conditionalFormatting sqref="Z149">
    <cfRule type="containsText" dxfId="0" priority="1401" operator="between" text="欠">
      <formula>NOT(ISERROR(SEARCH("欠",Z149)))</formula>
    </cfRule>
  </conditionalFormatting>
  <conditionalFormatting sqref="AA149:AB149">
    <cfRule type="containsText" dxfId="0" priority="1545" operator="between" text="欠">
      <formula>NOT(ISERROR(SEARCH("欠",AA149)))</formula>
    </cfRule>
  </conditionalFormatting>
  <conditionalFormatting sqref="AI149">
    <cfRule type="containsText" dxfId="0" priority="1364" operator="between" text="欠">
      <formula>NOT(ISERROR(SEARCH("欠",AI149)))</formula>
    </cfRule>
  </conditionalFormatting>
  <conditionalFormatting sqref="Z150">
    <cfRule type="containsText" dxfId="0" priority="1400" operator="between" text="欠">
      <formula>NOT(ISERROR(SEARCH("欠",Z150)))</formula>
    </cfRule>
  </conditionalFormatting>
  <conditionalFormatting sqref="AA150:AB150">
    <cfRule type="containsText" dxfId="0" priority="1544" operator="between" text="欠">
      <formula>NOT(ISERROR(SEARCH("欠",AA150)))</formula>
    </cfRule>
  </conditionalFormatting>
  <conditionalFormatting sqref="AG150">
    <cfRule type="containsText" dxfId="0" priority="929" operator="between" text="欠">
      <formula>NOT(ISERROR(SEARCH("欠",AG150)))</formula>
    </cfRule>
  </conditionalFormatting>
  <conditionalFormatting sqref="AI150">
    <cfRule type="containsText" dxfId="0" priority="926" operator="between" text="欠">
      <formula>NOT(ISERROR(SEARCH("欠",AI150)))</formula>
    </cfRule>
  </conditionalFormatting>
  <conditionalFormatting sqref="Z151">
    <cfRule type="containsText" dxfId="0" priority="1399" operator="between" text="欠">
      <formula>NOT(ISERROR(SEARCH("欠",Z151)))</formula>
    </cfRule>
  </conditionalFormatting>
  <conditionalFormatting sqref="AA151:AB151">
    <cfRule type="containsText" dxfId="0" priority="1543" operator="between" text="欠">
      <formula>NOT(ISERROR(SEARCH("欠",AA151)))</formula>
    </cfRule>
  </conditionalFormatting>
  <conditionalFormatting sqref="Z152">
    <cfRule type="containsText" dxfId="0" priority="1398" operator="between" text="欠">
      <formula>NOT(ISERROR(SEARCH("欠",Z152)))</formula>
    </cfRule>
  </conditionalFormatting>
  <conditionalFormatting sqref="AA152:AB152">
    <cfRule type="containsText" dxfId="0" priority="1542" operator="between" text="欠">
      <formula>NOT(ISERROR(SEARCH("欠",AA152)))</formula>
    </cfRule>
  </conditionalFormatting>
  <conditionalFormatting sqref="Z153">
    <cfRule type="containsText" dxfId="0" priority="1397" operator="between" text="欠">
      <formula>NOT(ISERROR(SEARCH("欠",Z153)))</formula>
    </cfRule>
  </conditionalFormatting>
  <conditionalFormatting sqref="AA153:AB153">
    <cfRule type="containsText" dxfId="0" priority="1541" operator="between" text="欠">
      <formula>NOT(ISERROR(SEARCH("欠",AA153)))</formula>
    </cfRule>
  </conditionalFormatting>
  <conditionalFormatting sqref="Z154">
    <cfRule type="containsText" dxfId="0" priority="1396" operator="between" text="欠">
      <formula>NOT(ISERROR(SEARCH("欠",Z154)))</formula>
    </cfRule>
  </conditionalFormatting>
  <conditionalFormatting sqref="AA154:AB154">
    <cfRule type="containsText" dxfId="0" priority="1540" operator="between" text="欠">
      <formula>NOT(ISERROR(SEARCH("欠",AA154)))</formula>
    </cfRule>
  </conditionalFormatting>
  <conditionalFormatting sqref="Z155">
    <cfRule type="containsText" dxfId="0" priority="1395" operator="between" text="欠">
      <formula>NOT(ISERROR(SEARCH("欠",Z155)))</formula>
    </cfRule>
  </conditionalFormatting>
  <conditionalFormatting sqref="AA155:AB155">
    <cfRule type="containsText" dxfId="0" priority="1539" operator="between" text="欠">
      <formula>NOT(ISERROR(SEARCH("欠",AA155)))</formula>
    </cfRule>
  </conditionalFormatting>
  <conditionalFormatting sqref="Z156">
    <cfRule type="containsText" dxfId="0" priority="1394" operator="between" text="欠">
      <formula>NOT(ISERROR(SEARCH("欠",Z156)))</formula>
    </cfRule>
  </conditionalFormatting>
  <conditionalFormatting sqref="AA156:AB156">
    <cfRule type="containsText" dxfId="0" priority="1538" operator="between" text="欠">
      <formula>NOT(ISERROR(SEARCH("欠",AA156)))</formula>
    </cfRule>
  </conditionalFormatting>
  <conditionalFormatting sqref="Z157">
    <cfRule type="containsText" dxfId="0" priority="1393" operator="between" text="欠">
      <formula>NOT(ISERROR(SEARCH("欠",Z157)))</formula>
    </cfRule>
  </conditionalFormatting>
  <conditionalFormatting sqref="AA157:AB157">
    <cfRule type="containsText" dxfId="0" priority="1537" operator="between" text="欠">
      <formula>NOT(ISERROR(SEARCH("欠",AA157)))</formula>
    </cfRule>
  </conditionalFormatting>
  <conditionalFormatting sqref="AG157">
    <cfRule type="containsText" dxfId="0" priority="928" operator="between" text="欠">
      <formula>NOT(ISERROR(SEARCH("欠",AG157)))</formula>
    </cfRule>
  </conditionalFormatting>
  <conditionalFormatting sqref="AI157">
    <cfRule type="containsText" dxfId="0" priority="925" operator="between" text="欠">
      <formula>NOT(ISERROR(SEARCH("欠",AI157)))</formula>
    </cfRule>
  </conditionalFormatting>
  <conditionalFormatting sqref="Z158">
    <cfRule type="containsText" dxfId="0" priority="1392" operator="between" text="欠">
      <formula>NOT(ISERROR(SEARCH("欠",Z158)))</formula>
    </cfRule>
  </conditionalFormatting>
  <conditionalFormatting sqref="AA158:AB158">
    <cfRule type="containsText" dxfId="0" priority="1536" operator="between" text="欠">
      <formula>NOT(ISERROR(SEARCH("欠",AA158)))</formula>
    </cfRule>
  </conditionalFormatting>
  <conditionalFormatting sqref="Z159">
    <cfRule type="containsText" dxfId="0" priority="1391" operator="between" text="欠">
      <formula>NOT(ISERROR(SEARCH("欠",Z159)))</formula>
    </cfRule>
  </conditionalFormatting>
  <conditionalFormatting sqref="AA159:AB159">
    <cfRule type="containsText" dxfId="0" priority="1535" operator="between" text="欠">
      <formula>NOT(ISERROR(SEARCH("欠",AA159)))</formula>
    </cfRule>
  </conditionalFormatting>
  <conditionalFormatting sqref="Z160">
    <cfRule type="containsText" dxfId="0" priority="1390" operator="between" text="欠">
      <formula>NOT(ISERROR(SEARCH("欠",Z160)))</formula>
    </cfRule>
  </conditionalFormatting>
  <conditionalFormatting sqref="AA160:AB160">
    <cfRule type="containsText" dxfId="0" priority="1534" operator="between" text="欠">
      <formula>NOT(ISERROR(SEARCH("欠",AA160)))</formula>
    </cfRule>
  </conditionalFormatting>
  <conditionalFormatting sqref="Z161">
    <cfRule type="containsText" dxfId="0" priority="1389" operator="between" text="欠">
      <formula>NOT(ISERROR(SEARCH("欠",Z161)))</formula>
    </cfRule>
  </conditionalFormatting>
  <conditionalFormatting sqref="AA161:AB161">
    <cfRule type="containsText" dxfId="0" priority="1533" operator="between" text="欠">
      <formula>NOT(ISERROR(SEARCH("欠",AA161)))</formula>
    </cfRule>
  </conditionalFormatting>
  <conditionalFormatting sqref="Z162">
    <cfRule type="containsText" dxfId="0" priority="1388" operator="between" text="欠">
      <formula>NOT(ISERROR(SEARCH("欠",Z162)))</formula>
    </cfRule>
  </conditionalFormatting>
  <conditionalFormatting sqref="AA162:AB162">
    <cfRule type="containsText" dxfId="0" priority="1532" operator="between" text="欠">
      <formula>NOT(ISERROR(SEARCH("欠",AA162)))</formula>
    </cfRule>
  </conditionalFormatting>
  <conditionalFormatting sqref="Z163">
    <cfRule type="containsText" dxfId="0" priority="1387" operator="between" text="欠">
      <formula>NOT(ISERROR(SEARCH("欠",Z163)))</formula>
    </cfRule>
  </conditionalFormatting>
  <conditionalFormatting sqref="AA163:AB163">
    <cfRule type="containsText" dxfId="0" priority="1531" operator="between" text="欠">
      <formula>NOT(ISERROR(SEARCH("欠",AA163)))</formula>
    </cfRule>
  </conditionalFormatting>
  <conditionalFormatting sqref="Z164">
    <cfRule type="containsText" dxfId="0" priority="1386" operator="between" text="欠">
      <formula>NOT(ISERROR(SEARCH("欠",Z164)))</formula>
    </cfRule>
  </conditionalFormatting>
  <conditionalFormatting sqref="AA164:AB164">
    <cfRule type="containsText" dxfId="0" priority="1530" operator="between" text="欠">
      <formula>NOT(ISERROR(SEARCH("欠",AA164)))</formula>
    </cfRule>
  </conditionalFormatting>
  <conditionalFormatting sqref="Z165">
    <cfRule type="containsText" dxfId="0" priority="1385" operator="between" text="欠">
      <formula>NOT(ISERROR(SEARCH("欠",Z165)))</formula>
    </cfRule>
  </conditionalFormatting>
  <conditionalFormatting sqref="AA165:AB165">
    <cfRule type="containsText" dxfId="0" priority="1529" operator="between" text="欠">
      <formula>NOT(ISERROR(SEARCH("欠",AA165)))</formula>
    </cfRule>
  </conditionalFormatting>
  <conditionalFormatting sqref="Z166">
    <cfRule type="containsText" dxfId="0" priority="1384" operator="between" text="欠">
      <formula>NOT(ISERROR(SEARCH("欠",Z166)))</formula>
    </cfRule>
  </conditionalFormatting>
  <conditionalFormatting sqref="AA166:AB166">
    <cfRule type="containsText" dxfId="0" priority="1528" operator="between" text="欠">
      <formula>NOT(ISERROR(SEARCH("欠",AA166)))</formula>
    </cfRule>
  </conditionalFormatting>
  <conditionalFormatting sqref="Z167">
    <cfRule type="containsText" dxfId="0" priority="1383" operator="between" text="欠">
      <formula>NOT(ISERROR(SEARCH("欠",Z167)))</formula>
    </cfRule>
  </conditionalFormatting>
  <conditionalFormatting sqref="AA167:AB167">
    <cfRule type="containsText" dxfId="0" priority="1527" operator="between" text="欠">
      <formula>NOT(ISERROR(SEARCH("欠",AA167)))</formula>
    </cfRule>
  </conditionalFormatting>
  <conditionalFormatting sqref="Z168">
    <cfRule type="containsText" dxfId="0" priority="1382" operator="between" text="欠">
      <formula>NOT(ISERROR(SEARCH("欠",Z168)))</formula>
    </cfRule>
  </conditionalFormatting>
  <conditionalFormatting sqref="AA168:AB168">
    <cfRule type="containsText" dxfId="0" priority="1526" operator="between" text="欠">
      <formula>NOT(ISERROR(SEARCH("欠",AA168)))</formula>
    </cfRule>
  </conditionalFormatting>
  <conditionalFormatting sqref="Z169">
    <cfRule type="containsText" dxfId="0" priority="1381" operator="between" text="欠">
      <formula>NOT(ISERROR(SEARCH("欠",Z169)))</formula>
    </cfRule>
  </conditionalFormatting>
  <conditionalFormatting sqref="AA169:AB169">
    <cfRule type="containsText" dxfId="0" priority="1525" operator="between" text="欠">
      <formula>NOT(ISERROR(SEARCH("欠",AA169)))</formula>
    </cfRule>
  </conditionalFormatting>
  <conditionalFormatting sqref="Z170">
    <cfRule type="containsText" dxfId="0" priority="1380" operator="between" text="欠">
      <formula>NOT(ISERROR(SEARCH("欠",Z170)))</formula>
    </cfRule>
  </conditionalFormatting>
  <conditionalFormatting sqref="AA170:AB170">
    <cfRule type="containsText" dxfId="0" priority="1524" operator="between" text="欠">
      <formula>NOT(ISERROR(SEARCH("欠",AA170)))</formula>
    </cfRule>
  </conditionalFormatting>
  <conditionalFormatting sqref="Z171">
    <cfRule type="containsText" dxfId="0" priority="1379" operator="between" text="欠">
      <formula>NOT(ISERROR(SEARCH("欠",Z171)))</formula>
    </cfRule>
  </conditionalFormatting>
  <conditionalFormatting sqref="AA171:AB171">
    <cfRule type="containsText" dxfId="0" priority="1523" operator="between" text="欠">
      <formula>NOT(ISERROR(SEARCH("欠",AA171)))</formula>
    </cfRule>
  </conditionalFormatting>
  <conditionalFormatting sqref="Z172">
    <cfRule type="containsText" dxfId="0" priority="1378" operator="between" text="欠">
      <formula>NOT(ISERROR(SEARCH("欠",Z172)))</formula>
    </cfRule>
  </conditionalFormatting>
  <conditionalFormatting sqref="AA172:AB172">
    <cfRule type="containsText" dxfId="0" priority="1522" operator="between" text="欠">
      <formula>NOT(ISERROR(SEARCH("欠",AA172)))</formula>
    </cfRule>
  </conditionalFormatting>
  <conditionalFormatting sqref="AD172">
    <cfRule type="containsText" dxfId="0" priority="3691" operator="between" text="欠">
      <formula>NOT(ISERROR(SEARCH("欠",AD172)))</formula>
    </cfRule>
  </conditionalFormatting>
  <conditionalFormatting sqref="AI172">
    <cfRule type="containsText" dxfId="0" priority="3679" operator="between" text="欠">
      <formula>NOT(ISERROR(SEARCH("欠",AI172)))</formula>
    </cfRule>
  </conditionalFormatting>
  <conditionalFormatting sqref="Z173">
    <cfRule type="containsText" dxfId="0" priority="1374" operator="between" text="欠">
      <formula>NOT(ISERROR(SEARCH("欠",Z173)))</formula>
    </cfRule>
  </conditionalFormatting>
  <conditionalFormatting sqref="AA173:AB173">
    <cfRule type="containsText" dxfId="0" priority="1518" operator="between" text="欠">
      <formula>NOT(ISERROR(SEARCH("欠",AA173)))</formula>
    </cfRule>
  </conditionalFormatting>
  <conditionalFormatting sqref="Z174">
    <cfRule type="containsText" dxfId="0" priority="1373" operator="between" text="欠">
      <formula>NOT(ISERROR(SEARCH("欠",Z174)))</formula>
    </cfRule>
  </conditionalFormatting>
  <conditionalFormatting sqref="AA174:AB174">
    <cfRule type="containsText" dxfId="0" priority="1517" operator="between" text="欠">
      <formula>NOT(ISERROR(SEARCH("欠",AA174)))</formula>
    </cfRule>
  </conditionalFormatting>
  <conditionalFormatting sqref="Z175">
    <cfRule type="containsText" dxfId="0" priority="1372" operator="between" text="欠">
      <formula>NOT(ISERROR(SEARCH("欠",Z175)))</formula>
    </cfRule>
  </conditionalFormatting>
  <conditionalFormatting sqref="AA175:AB175">
    <cfRule type="containsText" dxfId="0" priority="1516" operator="between" text="欠">
      <formula>NOT(ISERROR(SEARCH("欠",AA175)))</formula>
    </cfRule>
  </conditionalFormatting>
  <conditionalFormatting sqref="Z176">
    <cfRule type="containsText" dxfId="0" priority="1371" operator="between" text="欠">
      <formula>NOT(ISERROR(SEARCH("欠",Z176)))</formula>
    </cfRule>
  </conditionalFormatting>
  <conditionalFormatting sqref="AA176:AB176">
    <cfRule type="containsText" dxfId="0" priority="1515" operator="between" text="欠">
      <formula>NOT(ISERROR(SEARCH("欠",AA176)))</formula>
    </cfRule>
  </conditionalFormatting>
  <conditionalFormatting sqref="Z177">
    <cfRule type="containsText" dxfId="0" priority="1370" operator="between" text="欠">
      <formula>NOT(ISERROR(SEARCH("欠",Z177)))</formula>
    </cfRule>
  </conditionalFormatting>
  <conditionalFormatting sqref="AA177:AB177">
    <cfRule type="containsText" dxfId="0" priority="1514" operator="between" text="欠">
      <formula>NOT(ISERROR(SEARCH("欠",AA177)))</formula>
    </cfRule>
  </conditionalFormatting>
  <conditionalFormatting sqref="Z178">
    <cfRule type="containsText" dxfId="0" priority="1369" operator="between" text="欠">
      <formula>NOT(ISERROR(SEARCH("欠",Z178)))</formula>
    </cfRule>
  </conditionalFormatting>
  <conditionalFormatting sqref="AA178:AB178">
    <cfRule type="containsText" dxfId="0" priority="1513" operator="between" text="欠">
      <formula>NOT(ISERROR(SEARCH("欠",AA178)))</formula>
    </cfRule>
  </conditionalFormatting>
  <conditionalFormatting sqref="Z179">
    <cfRule type="containsText" dxfId="0" priority="1368" operator="between" text="欠">
      <formula>NOT(ISERROR(SEARCH("欠",Z179)))</formula>
    </cfRule>
  </conditionalFormatting>
  <conditionalFormatting sqref="AA179:AB179">
    <cfRule type="containsText" dxfId="0" priority="1512" operator="between" text="欠">
      <formula>NOT(ISERROR(SEARCH("欠",AA179)))</formula>
    </cfRule>
  </conditionalFormatting>
  <conditionalFormatting sqref="Z180">
    <cfRule type="containsText" dxfId="0" priority="3420" operator="between" text="欠">
      <formula>NOT(ISERROR(SEARCH("欠",Z180)))</formula>
    </cfRule>
  </conditionalFormatting>
  <conditionalFormatting sqref="AA180:AB180">
    <cfRule type="containsText" dxfId="0" priority="3316" operator="between" text="欠">
      <formula>NOT(ISERROR(SEARCH("欠",AA180)))</formula>
    </cfRule>
  </conditionalFormatting>
  <conditionalFormatting sqref="AC180">
    <cfRule type="containsText" dxfId="0" priority="3312" operator="between" text="欠">
      <formula>NOT(ISERROR(SEARCH("欠",AC180)))</formula>
    </cfRule>
  </conditionalFormatting>
  <conditionalFormatting sqref="AD180">
    <cfRule type="containsText" dxfId="0" priority="3143" operator="between" text="欠">
      <formula>NOT(ISERROR(SEARCH("欠",AD180)))</formula>
    </cfRule>
  </conditionalFormatting>
  <conditionalFormatting sqref="AF180">
    <cfRule type="containsText" dxfId="0" priority="3163" operator="between" text="欠">
      <formula>NOT(ISERROR(SEARCH("欠",AF180)))</formula>
    </cfRule>
  </conditionalFormatting>
  <conditionalFormatting sqref="AH180">
    <cfRule type="containsText" dxfId="0" priority="3308" operator="between" text="欠">
      <formula>NOT(ISERROR(SEARCH("欠",AH180)))</formula>
    </cfRule>
  </conditionalFormatting>
  <conditionalFormatting sqref="AI180">
    <cfRule type="containsText" dxfId="0" priority="3301" operator="between" text="欠">
      <formula>NOT(ISERROR(SEARCH("欠",AI180)))</formula>
    </cfRule>
  </conditionalFormatting>
  <conditionalFormatting sqref="Y183">
    <cfRule type="containsText" dxfId="0" priority="3261" operator="between" text="欠">
      <formula>NOT(ISERROR(SEARCH("欠",Y183)))</formula>
    </cfRule>
  </conditionalFormatting>
  <conditionalFormatting sqref="AC183">
    <cfRule type="containsText" dxfId="0" priority="3264" operator="between" text="欠">
      <formula>NOT(ISERROR(SEARCH("欠",AC183)))</formula>
    </cfRule>
  </conditionalFormatting>
  <conditionalFormatting sqref="AD183">
    <cfRule type="containsText" dxfId="0" priority="3145" operator="between" text="欠">
      <formula>NOT(ISERROR(SEARCH("欠",AD183)))</formula>
    </cfRule>
  </conditionalFormatting>
  <conditionalFormatting sqref="AF183">
    <cfRule type="containsText" dxfId="0" priority="3165" operator="between" text="欠">
      <formula>NOT(ISERROR(SEARCH("欠",AF183)))</formula>
    </cfRule>
  </conditionalFormatting>
  <conditionalFormatting sqref="AH183">
    <cfRule type="containsText" dxfId="0" priority="3262" operator="between" text="欠">
      <formula>NOT(ISERROR(SEARCH("欠",AH183)))</formula>
    </cfRule>
  </conditionalFormatting>
  <conditionalFormatting sqref="AI183">
    <cfRule type="containsText" dxfId="0" priority="3258" operator="between" text="欠">
      <formula>NOT(ISERROR(SEARCH("欠",AI183)))</formula>
    </cfRule>
  </conditionalFormatting>
  <conditionalFormatting sqref="AC184">
    <cfRule type="containsText" dxfId="0" priority="3338" operator="between" text="欠">
      <formula>NOT(ISERROR(SEARCH("欠",AC184)))</formula>
    </cfRule>
  </conditionalFormatting>
  <conditionalFormatting sqref="AD184">
    <cfRule type="containsText" dxfId="0" priority="3151" operator="between" text="欠">
      <formula>NOT(ISERROR(SEARCH("欠",AD184)))</formula>
    </cfRule>
  </conditionalFormatting>
  <conditionalFormatting sqref="AH184">
    <cfRule type="containsText" dxfId="0" priority="3334" operator="between" text="欠">
      <formula>NOT(ISERROR(SEARCH("欠",AH184)))</formula>
    </cfRule>
  </conditionalFormatting>
  <conditionalFormatting sqref="AA185:AB185">
    <cfRule type="containsText" dxfId="0" priority="3000" operator="between" text="欠">
      <formula>NOT(ISERROR(SEARCH("欠",AA185)))</formula>
    </cfRule>
  </conditionalFormatting>
  <conditionalFormatting sqref="AC185:AD185">
    <cfRule type="containsText" dxfId="0" priority="2996" operator="between" text="欠">
      <formula>NOT(ISERROR(SEARCH("欠",AC185)))</formula>
    </cfRule>
  </conditionalFormatting>
  <conditionalFormatting sqref="AF185">
    <cfRule type="containsText" dxfId="0" priority="2980" operator="between" text="欠">
      <formula>NOT(ISERROR(SEARCH("欠",AF185)))</formula>
    </cfRule>
  </conditionalFormatting>
  <conditionalFormatting sqref="AH185">
    <cfRule type="containsText" dxfId="0" priority="2992" operator="between" text="欠">
      <formula>NOT(ISERROR(SEARCH("欠",AH185)))</formula>
    </cfRule>
  </conditionalFormatting>
  <conditionalFormatting sqref="AI185">
    <cfRule type="containsText" dxfId="0" priority="2985" operator="between" text="欠">
      <formula>NOT(ISERROR(SEARCH("欠",AI185)))</formula>
    </cfRule>
  </conditionalFormatting>
  <conditionalFormatting sqref="AA186:AB186">
    <cfRule type="containsText" dxfId="0" priority="2999" operator="between" text="欠">
      <formula>NOT(ISERROR(SEARCH("欠",AA186)))</formula>
    </cfRule>
  </conditionalFormatting>
  <conditionalFormatting sqref="AC186:AD186">
    <cfRule type="containsText" dxfId="0" priority="2951" operator="between" text="欠">
      <formula>NOT(ISERROR(SEARCH("欠",AC186)))</formula>
    </cfRule>
  </conditionalFormatting>
  <conditionalFormatting sqref="AH186">
    <cfRule type="containsText" dxfId="0" priority="2949" operator="between" text="欠">
      <formula>NOT(ISERROR(SEARCH("欠",AH186)))</formula>
    </cfRule>
  </conditionalFormatting>
  <conditionalFormatting sqref="AI186">
    <cfRule type="containsText" dxfId="0" priority="2945" operator="between" text="欠">
      <formula>NOT(ISERROR(SEARCH("欠",AI186)))</formula>
    </cfRule>
  </conditionalFormatting>
  <conditionalFormatting sqref="AE187">
    <cfRule type="containsText" dxfId="0" priority="2486" operator="between" text="欠">
      <formula>NOT(ISERROR(SEARCH("欠",AE187)))</formula>
    </cfRule>
  </conditionalFormatting>
  <conditionalFormatting sqref="AG187">
    <cfRule type="containsText" dxfId="0" priority="2482" operator="between" text="欠">
      <formula>NOT(ISERROR(SEARCH("欠",AG187)))</formula>
    </cfRule>
  </conditionalFormatting>
  <conditionalFormatting sqref="AH188:AI188">
    <cfRule type="containsText" dxfId="0" priority="2444" operator="between" text="欠">
      <formula>NOT(ISERROR(SEARCH("欠",AH188)))</formula>
    </cfRule>
  </conditionalFormatting>
  <conditionalFormatting sqref="AH189:AI189">
    <cfRule type="containsText" dxfId="0" priority="2451" operator="between" text="欠">
      <formula>NOT(ISERROR(SEARCH("欠",AH189)))</formula>
    </cfRule>
  </conditionalFormatting>
  <conditionalFormatting sqref="AH190:AI190">
    <cfRule type="containsText" dxfId="0" priority="2457" operator="between" text="欠">
      <formula>NOT(ISERROR(SEARCH("欠",AH190)))</formula>
    </cfRule>
  </conditionalFormatting>
  <conditionalFormatting sqref="AH191:AI191">
    <cfRule type="containsText" dxfId="0" priority="2464" operator="between" text="欠">
      <formula>NOT(ISERROR(SEARCH("欠",AH191)))</formula>
    </cfRule>
  </conditionalFormatting>
  <conditionalFormatting sqref="AH192">
    <cfRule type="containsText" dxfId="0" priority="2471" operator="between" text="欠">
      <formula>NOT(ISERROR(SEARCH("欠",AH192)))</formula>
    </cfRule>
  </conditionalFormatting>
  <conditionalFormatting sqref="AH193">
    <cfRule type="containsText" dxfId="0" priority="2477" operator="between" text="欠">
      <formula>NOT(ISERROR(SEARCH("欠",AH193)))</formula>
    </cfRule>
  </conditionalFormatting>
  <conditionalFormatting sqref="AH194">
    <cfRule type="containsText" dxfId="0" priority="2495" operator="between" text="欠">
      <formula>NOT(ISERROR(SEARCH("欠",AH194)))</formula>
    </cfRule>
  </conditionalFormatting>
  <conditionalFormatting sqref="AH195">
    <cfRule type="containsText" dxfId="0" priority="2502" operator="between" text="欠">
      <formula>NOT(ISERROR(SEARCH("欠",AH195)))</formula>
    </cfRule>
  </conditionalFormatting>
  <conditionalFormatting sqref="X196">
    <cfRule type="containsText" dxfId="0" priority="1950" operator="between" text="欠">
      <formula>NOT(ISERROR(SEARCH("欠",X196)))</formula>
    </cfRule>
  </conditionalFormatting>
  <conditionalFormatting sqref="Y196">
    <cfRule type="containsText" dxfId="0" priority="1931" operator="between" text="欠">
      <formula>NOT(ISERROR(SEARCH("欠",Y196)))</formula>
    </cfRule>
  </conditionalFormatting>
  <conditionalFormatting sqref="AA196:AB196">
    <cfRule type="containsText" dxfId="0" priority="2073" operator="between" text="欠">
      <formula>NOT(ISERROR(SEARCH("欠",AA196)))</formula>
    </cfRule>
  </conditionalFormatting>
  <conditionalFormatting sqref="X197">
    <cfRule type="containsText" dxfId="0" priority="1949" operator="between" text="欠">
      <formula>NOT(ISERROR(SEARCH("欠",X197)))</formula>
    </cfRule>
  </conditionalFormatting>
  <conditionalFormatting sqref="Y197">
    <cfRule type="containsText" dxfId="0" priority="1930" operator="between" text="欠">
      <formula>NOT(ISERROR(SEARCH("欠",Y197)))</formula>
    </cfRule>
  </conditionalFormatting>
  <conditionalFormatting sqref="AA197:AB197">
    <cfRule type="containsText" dxfId="0" priority="2072" operator="between" text="欠">
      <formula>NOT(ISERROR(SEARCH("欠",AA197)))</formula>
    </cfRule>
  </conditionalFormatting>
  <conditionalFormatting sqref="X198">
    <cfRule type="containsText" dxfId="0" priority="1943" operator="between" text="欠">
      <formula>NOT(ISERROR(SEARCH("欠",X198)))</formula>
    </cfRule>
  </conditionalFormatting>
  <conditionalFormatting sqref="Y198">
    <cfRule type="containsText" dxfId="0" priority="1924" operator="between" text="欠">
      <formula>NOT(ISERROR(SEARCH("欠",Y198)))</formula>
    </cfRule>
  </conditionalFormatting>
  <conditionalFormatting sqref="AA198">
    <cfRule type="containsText" dxfId="0" priority="2121" operator="between" text="欠">
      <formula>NOT(ISERROR(SEARCH("欠",AA198)))</formula>
    </cfRule>
  </conditionalFormatting>
  <conditionalFormatting sqref="X199">
    <cfRule type="containsText" dxfId="0" priority="1942" operator="between" text="欠">
      <formula>NOT(ISERROR(SEARCH("欠",X199)))</formula>
    </cfRule>
  </conditionalFormatting>
  <conditionalFormatting sqref="Y199">
    <cfRule type="containsText" dxfId="0" priority="1923" operator="between" text="欠">
      <formula>NOT(ISERROR(SEARCH("欠",Y199)))</formula>
    </cfRule>
  </conditionalFormatting>
  <conditionalFormatting sqref="AA199">
    <cfRule type="containsText" dxfId="0" priority="2120" operator="between" text="欠">
      <formula>NOT(ISERROR(SEARCH("欠",AA199)))</formula>
    </cfRule>
  </conditionalFormatting>
  <conditionalFormatting sqref="X200">
    <cfRule type="containsText" dxfId="0" priority="1941" operator="between" text="欠">
      <formula>NOT(ISERROR(SEARCH("欠",X200)))</formula>
    </cfRule>
  </conditionalFormatting>
  <conditionalFormatting sqref="Y200">
    <cfRule type="containsText" dxfId="0" priority="1922" operator="between" text="欠">
      <formula>NOT(ISERROR(SEARCH("欠",Y200)))</formula>
    </cfRule>
  </conditionalFormatting>
  <conditionalFormatting sqref="AA200:AB200">
    <cfRule type="containsText" dxfId="0" priority="2197" operator="between" text="欠">
      <formula>NOT(ISERROR(SEARCH("欠",AA200)))</formula>
    </cfRule>
  </conditionalFormatting>
  <conditionalFormatting sqref="X201">
    <cfRule type="containsText" dxfId="0" priority="1940" operator="between" text="欠">
      <formula>NOT(ISERROR(SEARCH("欠",X201)))</formula>
    </cfRule>
  </conditionalFormatting>
  <conditionalFormatting sqref="Y201">
    <cfRule type="containsText" dxfId="0" priority="1921" operator="between" text="欠">
      <formula>NOT(ISERROR(SEARCH("欠",Y201)))</formula>
    </cfRule>
  </conditionalFormatting>
  <conditionalFormatting sqref="AA201:AB201">
    <cfRule type="containsText" dxfId="0" priority="2255" operator="between" text="欠">
      <formula>NOT(ISERROR(SEARCH("欠",AA201)))</formula>
    </cfRule>
  </conditionalFormatting>
  <conditionalFormatting sqref="X202">
    <cfRule type="containsText" dxfId="0" priority="1939" operator="between" text="欠">
      <formula>NOT(ISERROR(SEARCH("欠",X202)))</formula>
    </cfRule>
  </conditionalFormatting>
  <conditionalFormatting sqref="Y202">
    <cfRule type="containsText" dxfId="0" priority="1920" operator="between" text="欠">
      <formula>NOT(ISERROR(SEARCH("欠",Y202)))</formula>
    </cfRule>
  </conditionalFormatting>
  <conditionalFormatting sqref="AA202:AB202">
    <cfRule type="containsText" dxfId="0" priority="2254" operator="between" text="欠">
      <formula>NOT(ISERROR(SEARCH("欠",AA202)))</formula>
    </cfRule>
  </conditionalFormatting>
  <conditionalFormatting sqref="X203">
    <cfRule type="containsText" dxfId="0" priority="1938" operator="between" text="欠">
      <formula>NOT(ISERROR(SEARCH("欠",X203)))</formula>
    </cfRule>
  </conditionalFormatting>
  <conditionalFormatting sqref="Y203">
    <cfRule type="containsText" dxfId="0" priority="1919" operator="between" text="欠">
      <formula>NOT(ISERROR(SEARCH("欠",Y203)))</formula>
    </cfRule>
  </conditionalFormatting>
  <conditionalFormatting sqref="AA203:AB203">
    <cfRule type="containsText" dxfId="0" priority="2253" operator="between" text="欠">
      <formula>NOT(ISERROR(SEARCH("欠",AA203)))</formula>
    </cfRule>
  </conditionalFormatting>
  <conditionalFormatting sqref="X204">
    <cfRule type="containsText" dxfId="0" priority="1856" operator="between" text="欠">
      <formula>NOT(ISERROR(SEARCH("欠",X204)))</formula>
    </cfRule>
  </conditionalFormatting>
  <conditionalFormatting sqref="Y204">
    <cfRule type="containsText" dxfId="0" priority="1860" operator="between" text="欠">
      <formula>NOT(ISERROR(SEARCH("欠",Y204)))</formula>
    </cfRule>
  </conditionalFormatting>
  <conditionalFormatting sqref="AA204:AB204">
    <cfRule type="containsText" dxfId="0" priority="1863" operator="between" text="欠">
      <formula>NOT(ISERROR(SEARCH("欠",AA204)))</formula>
    </cfRule>
  </conditionalFormatting>
  <conditionalFormatting sqref="AC204:AD204">
    <cfRule type="containsText" dxfId="0" priority="1862" operator="between" text="欠">
      <formula>NOT(ISERROR(SEARCH("欠",AC204)))</formula>
    </cfRule>
  </conditionalFormatting>
  <conditionalFormatting sqref="AF204">
    <cfRule type="containsText" dxfId="0" priority="1857" operator="between" text="欠">
      <formula>NOT(ISERROR(SEARCH("欠",AF204)))</formula>
    </cfRule>
  </conditionalFormatting>
  <conditionalFormatting sqref="AH204">
    <cfRule type="containsText" dxfId="0" priority="1861" operator="between" text="欠">
      <formula>NOT(ISERROR(SEARCH("欠",AH204)))</formula>
    </cfRule>
  </conditionalFormatting>
  <conditionalFormatting sqref="AI204">
    <cfRule type="containsText" dxfId="0" priority="1868" operator="between" text="欠">
      <formula>NOT(ISERROR(SEARCH("欠",AI204)))</formula>
    </cfRule>
  </conditionalFormatting>
  <conditionalFormatting sqref="Y205">
    <cfRule type="containsText" dxfId="0" priority="1870" operator="between" text="欠">
      <formula>NOT(ISERROR(SEARCH("欠",Y205)))</formula>
    </cfRule>
  </conditionalFormatting>
  <conditionalFormatting sqref="Z205">
    <cfRule type="containsText" dxfId="0" priority="1879" operator="between" text="欠">
      <formula>NOT(ISERROR(SEARCH("欠",Z205)))</formula>
    </cfRule>
  </conditionalFormatting>
  <conditionalFormatting sqref="AA205:AB205">
    <cfRule type="containsText" dxfId="0" priority="1873" operator="between" text="欠">
      <formula>NOT(ISERROR(SEARCH("欠",AA205)))</formula>
    </cfRule>
  </conditionalFormatting>
  <conditionalFormatting sqref="AC205:AD205">
    <cfRule type="containsText" dxfId="0" priority="1872" operator="between" text="欠">
      <formula>NOT(ISERROR(SEARCH("欠",AC205)))</formula>
    </cfRule>
  </conditionalFormatting>
  <conditionalFormatting sqref="AF205">
    <cfRule type="containsText" dxfId="0" priority="1877" operator="between" text="欠">
      <formula>NOT(ISERROR(SEARCH("欠",AF205)))</formula>
    </cfRule>
  </conditionalFormatting>
  <conditionalFormatting sqref="AH205">
    <cfRule type="containsText" dxfId="0" priority="1871" operator="between" text="欠">
      <formula>NOT(ISERROR(SEARCH("欠",AH205)))</formula>
    </cfRule>
  </conditionalFormatting>
  <conditionalFormatting sqref="AI205">
    <cfRule type="containsText" dxfId="0" priority="2556" operator="between" text="欠">
      <formula>NOT(ISERROR(SEARCH("欠",AI205)))</formula>
    </cfRule>
  </conditionalFormatting>
  <conditionalFormatting sqref="Y206">
    <cfRule type="containsText" dxfId="0" priority="1783" operator="between" text="欠">
      <formula>NOT(ISERROR(SEARCH("欠",Y206)))</formula>
    </cfRule>
  </conditionalFormatting>
  <conditionalFormatting sqref="Z206">
    <cfRule type="containsText" dxfId="0" priority="1803" operator="between" text="欠">
      <formula>NOT(ISERROR(SEARCH("欠",Z206)))</formula>
    </cfRule>
  </conditionalFormatting>
  <conditionalFormatting sqref="AA206:AB206">
    <cfRule type="containsText" dxfId="0" priority="1789" operator="between" text="欠">
      <formula>NOT(ISERROR(SEARCH("欠",AA206)))</formula>
    </cfRule>
  </conditionalFormatting>
  <conditionalFormatting sqref="AC206:AD206">
    <cfRule type="containsText" dxfId="0" priority="1787" operator="between" text="欠">
      <formula>NOT(ISERROR(SEARCH("欠",AC206)))</formula>
    </cfRule>
  </conditionalFormatting>
  <conditionalFormatting sqref="AF206">
    <cfRule type="containsText" dxfId="0" priority="1797" operator="between" text="欠">
      <formula>NOT(ISERROR(SEARCH("欠",AF206)))</formula>
    </cfRule>
  </conditionalFormatting>
  <conditionalFormatting sqref="AH206">
    <cfRule type="containsText" dxfId="0" priority="1785" operator="between" text="欠">
      <formula>NOT(ISERROR(SEARCH("欠",AH206)))</formula>
    </cfRule>
  </conditionalFormatting>
  <conditionalFormatting sqref="AI206">
    <cfRule type="containsText" dxfId="0" priority="1799" operator="between" text="欠">
      <formula>NOT(ISERROR(SEARCH("欠",AI206)))</formula>
    </cfRule>
  </conditionalFormatting>
  <conditionalFormatting sqref="AA209:AB209">
    <cfRule type="containsText" dxfId="0" priority="1697" operator="between" text="欠">
      <formula>NOT(ISERROR(SEARCH("欠",AA209)))</formula>
    </cfRule>
  </conditionalFormatting>
  <conditionalFormatting sqref="AC209:AD209">
    <cfRule type="containsText" dxfId="0" priority="1696" operator="between" text="欠">
      <formula>NOT(ISERROR(SEARCH("欠",AC209)))</formula>
    </cfRule>
  </conditionalFormatting>
  <conditionalFormatting sqref="AF209">
    <cfRule type="containsText" dxfId="0" priority="1701" operator="between" text="欠">
      <formula>NOT(ISERROR(SEARCH("欠",AF209)))</formula>
    </cfRule>
  </conditionalFormatting>
  <conditionalFormatting sqref="AH209">
    <cfRule type="containsText" dxfId="0" priority="1695" operator="between" text="欠">
      <formula>NOT(ISERROR(SEARCH("欠",AH209)))</formula>
    </cfRule>
  </conditionalFormatting>
  <conditionalFormatting sqref="AI209">
    <cfRule type="containsText" dxfId="0" priority="1702" operator="between" text="欠">
      <formula>NOT(ISERROR(SEARCH("欠",AI209)))</formula>
    </cfRule>
  </conditionalFormatting>
  <conditionalFormatting sqref="AA210:AB210">
    <cfRule type="containsText" dxfId="0" priority="1894" operator="between" text="欠">
      <formula>NOT(ISERROR(SEARCH("欠",AA210)))</formula>
    </cfRule>
  </conditionalFormatting>
  <conditionalFormatting sqref="AC210:AD210">
    <cfRule type="containsText" dxfId="0" priority="1893" operator="between" text="欠">
      <formula>NOT(ISERROR(SEARCH("欠",AC210)))</formula>
    </cfRule>
  </conditionalFormatting>
  <conditionalFormatting sqref="AH210">
    <cfRule type="containsText" dxfId="0" priority="1892" operator="between" text="欠">
      <formula>NOT(ISERROR(SEARCH("欠",AH210)))</formula>
    </cfRule>
  </conditionalFormatting>
  <conditionalFormatting sqref="Y211">
    <cfRule type="containsText" dxfId="0" priority="1334" operator="between" text="欠">
      <formula>NOT(ISERROR(SEARCH("欠",Y211)))</formula>
    </cfRule>
  </conditionalFormatting>
  <conditionalFormatting sqref="AH211">
    <cfRule type="containsText" dxfId="0" priority="1335" operator="between" text="欠">
      <formula>NOT(ISERROR(SEARCH("欠",AH211)))</formula>
    </cfRule>
  </conditionalFormatting>
  <conditionalFormatting sqref="AH212">
    <cfRule type="containsText" dxfId="0" priority="1345" operator="between" text="欠">
      <formula>NOT(ISERROR(SEARCH("欠",AH212)))</formula>
    </cfRule>
  </conditionalFormatting>
  <conditionalFormatting sqref="AH213">
    <cfRule type="containsText" dxfId="0" priority="1305" operator="between" text="欠">
      <formula>NOT(ISERROR(SEARCH("欠",AH213)))</formula>
    </cfRule>
  </conditionalFormatting>
  <conditionalFormatting sqref="AH214">
    <cfRule type="containsText" dxfId="0" priority="1312" operator="between" text="欠">
      <formula>NOT(ISERROR(SEARCH("欠",AH214)))</formula>
    </cfRule>
  </conditionalFormatting>
  <conditionalFormatting sqref="AH219">
    <cfRule type="containsText" dxfId="0" priority="1251" operator="between" text="欠">
      <formula>NOT(ISERROR(SEARCH("欠",AH219)))</formula>
    </cfRule>
  </conditionalFormatting>
  <conditionalFormatting sqref="AH220">
    <cfRule type="containsText" dxfId="0" priority="1209" operator="between" text="欠">
      <formula>NOT(ISERROR(SEARCH("欠",AH220)))</formula>
    </cfRule>
  </conditionalFormatting>
  <conditionalFormatting sqref="AH221">
    <cfRule type="containsText" dxfId="0" priority="1219" operator="between" text="欠">
      <formula>NOT(ISERROR(SEARCH("欠",AH221)))</formula>
    </cfRule>
  </conditionalFormatting>
  <conditionalFormatting sqref="AH225">
    <cfRule type="containsText" dxfId="0" priority="1271" operator="between" text="欠">
      <formula>NOT(ISERROR(SEARCH("欠",AH225)))</formula>
    </cfRule>
  </conditionalFormatting>
  <conditionalFormatting sqref="AH226">
    <cfRule type="containsText" dxfId="0" priority="1153" operator="between" text="欠">
      <formula>NOT(ISERROR(SEARCH("欠",AH226)))</formula>
    </cfRule>
  </conditionalFormatting>
  <conditionalFormatting sqref="AI226">
    <cfRule type="containsText" dxfId="0" priority="1174" operator="between" text="欠">
      <formula>NOT(ISERROR(SEARCH("欠",AI226)))</formula>
    </cfRule>
  </conditionalFormatting>
  <conditionalFormatting sqref="AH227">
    <cfRule type="containsText" dxfId="0" priority="1152" operator="between" text="欠">
      <formula>NOT(ISERROR(SEARCH("欠",AH227)))</formula>
    </cfRule>
  </conditionalFormatting>
  <conditionalFormatting sqref="B228">
    <cfRule type="containsText" dxfId="1" priority="265" operator="between" text="异常">
      <formula>NOT(ISERROR(SEARCH("异常",B228)))</formula>
    </cfRule>
  </conditionalFormatting>
  <conditionalFormatting sqref="C228">
    <cfRule type="containsText" dxfId="2" priority="266" operator="between" text="二代">
      <formula>NOT(ISERROR(SEARCH("二代",C228)))</formula>
    </cfRule>
    <cfRule type="containsText" dxfId="3" priority="267" operator="between" text="蛋糕">
      <formula>NOT(ISERROR(SEARCH("蛋糕",C228)))</formula>
    </cfRule>
  </conditionalFormatting>
  <conditionalFormatting sqref="Y228">
    <cfRule type="containsText" dxfId="0" priority="259" operator="between" text="欠">
      <formula>NOT(ISERROR(SEARCH("欠",Y228)))</formula>
    </cfRule>
  </conditionalFormatting>
  <conditionalFormatting sqref="Z228">
    <cfRule type="containsText" dxfId="0" priority="258" operator="between" text="欠">
      <formula>NOT(ISERROR(SEARCH("欠",Z228)))</formula>
    </cfRule>
  </conditionalFormatting>
  <conditionalFormatting sqref="AA228:AB228">
    <cfRule type="containsText" dxfId="0" priority="262" operator="between" text="欠">
      <formula>NOT(ISERROR(SEARCH("欠",AA228)))</formula>
    </cfRule>
  </conditionalFormatting>
  <conditionalFormatting sqref="AC228:AD228">
    <cfRule type="containsText" dxfId="0" priority="261" operator="between" text="欠">
      <formula>NOT(ISERROR(SEARCH("欠",AC228)))</formula>
    </cfRule>
  </conditionalFormatting>
  <conditionalFormatting sqref="AH228">
    <cfRule type="containsText" dxfId="0" priority="260" operator="between" text="欠">
      <formula>NOT(ISERROR(SEARCH("欠",AH228)))</formula>
    </cfRule>
  </conditionalFormatting>
  <conditionalFormatting sqref="AC230">
    <cfRule type="containsText" dxfId="0" priority="907" operator="between" text="欠">
      <formula>NOT(ISERROR(SEARCH("欠",AC230)))</formula>
    </cfRule>
  </conditionalFormatting>
  <conditionalFormatting sqref="AC231:AD231">
    <cfRule type="containsText" dxfId="0" priority="917" operator="between" text="欠">
      <formula>NOT(ISERROR(SEARCH("欠",AC231)))</formula>
    </cfRule>
  </conditionalFormatting>
  <conditionalFormatting sqref="AH231">
    <cfRule type="containsText" dxfId="0" priority="916" operator="between" text="欠">
      <formula>NOT(ISERROR(SEARCH("欠",AH231)))</formula>
    </cfRule>
  </conditionalFormatting>
  <conditionalFormatting sqref="Y233">
    <cfRule type="containsText" dxfId="0" priority="789" operator="between" text="欠">
      <formula>NOT(ISERROR(SEARCH("欠",Y233)))</formula>
    </cfRule>
  </conditionalFormatting>
  <conditionalFormatting sqref="Z233">
    <cfRule type="containsText" dxfId="0" priority="795" operator="between" text="欠">
      <formula>NOT(ISERROR(SEARCH("欠",Z233)))</formula>
    </cfRule>
  </conditionalFormatting>
  <conditionalFormatting sqref="AA233:AB233">
    <cfRule type="containsText" dxfId="0" priority="843" operator="between" text="欠">
      <formula>NOT(ISERROR(SEARCH("欠",AA233)))</formula>
    </cfRule>
  </conditionalFormatting>
  <conditionalFormatting sqref="AC233:AD233">
    <cfRule type="containsText" dxfId="0" priority="842" operator="between" text="欠">
      <formula>NOT(ISERROR(SEARCH("欠",AC233)))</formula>
    </cfRule>
  </conditionalFormatting>
  <conditionalFormatting sqref="AH233">
    <cfRule type="containsText" dxfId="0" priority="841" operator="between" text="欠">
      <formula>NOT(ISERROR(SEARCH("欠",AH233)))</formula>
    </cfRule>
  </conditionalFormatting>
  <conditionalFormatting sqref="Y234">
    <cfRule type="containsText" dxfId="0" priority="788" operator="between" text="欠">
      <formula>NOT(ISERROR(SEARCH("欠",Y234)))</formula>
    </cfRule>
  </conditionalFormatting>
  <conditionalFormatting sqref="AC234:AD234">
    <cfRule type="containsText" dxfId="0" priority="853" operator="between" text="欠">
      <formula>NOT(ISERROR(SEARCH("欠",AC234)))</formula>
    </cfRule>
  </conditionalFormatting>
  <conditionalFormatting sqref="AH234">
    <cfRule type="containsText" dxfId="0" priority="852" operator="between" text="欠">
      <formula>NOT(ISERROR(SEARCH("欠",AH234)))</formula>
    </cfRule>
  </conditionalFormatting>
  <conditionalFormatting sqref="Y235">
    <cfRule type="containsText" dxfId="0" priority="793" operator="between" text="欠">
      <formula>NOT(ISERROR(SEARCH("欠",Y235)))</formula>
    </cfRule>
  </conditionalFormatting>
  <conditionalFormatting sqref="AC235:AD235">
    <cfRule type="containsText" dxfId="0" priority="802" operator="between" text="欠">
      <formula>NOT(ISERROR(SEARCH("欠",AC235)))</formula>
    </cfRule>
  </conditionalFormatting>
  <conditionalFormatting sqref="AF235">
    <cfRule type="containsText" dxfId="0" priority="248" operator="between" text="欠">
      <formula>NOT(ISERROR(SEARCH("欠",AF235)))</formula>
    </cfRule>
  </conditionalFormatting>
  <conditionalFormatting sqref="AH235">
    <cfRule type="containsText" dxfId="0" priority="801" operator="between" text="欠">
      <formula>NOT(ISERROR(SEARCH("欠",AH235)))</formula>
    </cfRule>
  </conditionalFormatting>
  <conditionalFormatting sqref="Y236">
    <cfRule type="containsText" dxfId="0" priority="792" operator="between" text="欠">
      <formula>NOT(ISERROR(SEARCH("欠",Y236)))</formula>
    </cfRule>
  </conditionalFormatting>
  <conditionalFormatting sqref="Z236">
    <cfRule type="containsText" dxfId="0" priority="798" operator="between" text="欠">
      <formula>NOT(ISERROR(SEARCH("欠",Z236)))</formula>
    </cfRule>
  </conditionalFormatting>
  <conditionalFormatting sqref="AA236:AB236">
    <cfRule type="containsText" dxfId="0" priority="817" operator="between" text="欠">
      <formula>NOT(ISERROR(SEARCH("欠",AA236)))</formula>
    </cfRule>
  </conditionalFormatting>
  <conditionalFormatting sqref="AC236:AD236">
    <cfRule type="containsText" dxfId="0" priority="815" operator="between" text="欠">
      <formula>NOT(ISERROR(SEARCH("欠",AC236)))</formula>
    </cfRule>
  </conditionalFormatting>
  <conditionalFormatting sqref="AH236">
    <cfRule type="containsText" dxfId="0" priority="813" operator="between" text="欠">
      <formula>NOT(ISERROR(SEARCH("欠",AH236)))</formula>
    </cfRule>
  </conditionalFormatting>
  <conditionalFormatting sqref="Y237">
    <cfRule type="containsText" dxfId="0" priority="791" operator="between" text="欠">
      <formula>NOT(ISERROR(SEARCH("欠",Y237)))</formula>
    </cfRule>
  </conditionalFormatting>
  <conditionalFormatting sqref="Z237">
    <cfRule type="containsText" dxfId="0" priority="797" operator="between" text="欠">
      <formula>NOT(ISERROR(SEARCH("欠",Z237)))</formula>
    </cfRule>
  </conditionalFormatting>
  <conditionalFormatting sqref="AA237:AB237">
    <cfRule type="containsText" dxfId="0" priority="816" operator="between" text="欠">
      <formula>NOT(ISERROR(SEARCH("欠",AA237)))</formula>
    </cfRule>
  </conditionalFormatting>
  <conditionalFormatting sqref="AC237:AD237">
    <cfRule type="containsText" dxfId="0" priority="814" operator="between" text="欠">
      <formula>NOT(ISERROR(SEARCH("欠",AC237)))</formula>
    </cfRule>
  </conditionalFormatting>
  <conditionalFormatting sqref="AF237">
    <cfRule type="containsText" dxfId="0" priority="247" operator="between" text="欠">
      <formula>NOT(ISERROR(SEARCH("欠",AF237)))</formula>
    </cfRule>
  </conditionalFormatting>
  <conditionalFormatting sqref="AH237">
    <cfRule type="containsText" dxfId="0" priority="812" operator="between" text="欠">
      <formula>NOT(ISERROR(SEARCH("欠",AH237)))</formula>
    </cfRule>
  </conditionalFormatting>
  <conditionalFormatting sqref="AI237">
    <cfRule type="containsText" dxfId="0" priority="826" operator="between" text="欠">
      <formula>NOT(ISERROR(SEARCH("欠",AI237)))</formula>
    </cfRule>
  </conditionalFormatting>
  <conditionalFormatting sqref="AC238:AD238">
    <cfRule type="containsText" dxfId="0" priority="832" operator="between" text="欠">
      <formula>NOT(ISERROR(SEARCH("欠",AC238)))</formula>
    </cfRule>
  </conditionalFormatting>
  <conditionalFormatting sqref="AF238">
    <cfRule type="containsText" dxfId="0" priority="246" operator="between" text="欠">
      <formula>NOT(ISERROR(SEARCH("欠",AF238)))</formula>
    </cfRule>
  </conditionalFormatting>
  <conditionalFormatting sqref="AH238">
    <cfRule type="containsText" dxfId="0" priority="831" operator="between" text="欠">
      <formula>NOT(ISERROR(SEARCH("欠",AH238)))</formula>
    </cfRule>
  </conditionalFormatting>
  <conditionalFormatting sqref="AI238">
    <cfRule type="containsText" dxfId="0" priority="245" operator="between" text="欠">
      <formula>NOT(ISERROR(SEARCH("欠",AI238)))</formula>
    </cfRule>
  </conditionalFormatting>
  <conditionalFormatting sqref="AC239:AD239">
    <cfRule type="containsText" dxfId="0" priority="306" operator="between" text="欠">
      <formula>NOT(ISERROR(SEARCH("欠",AC239)))</formula>
    </cfRule>
  </conditionalFormatting>
  <conditionalFormatting sqref="AF239">
    <cfRule type="containsText" dxfId="0" priority="787" operator="between" text="欠">
      <formula>NOT(ISERROR(SEARCH("欠",AF239)))</formula>
    </cfRule>
  </conditionalFormatting>
  <conditionalFormatting sqref="AH239">
    <cfRule type="containsText" dxfId="0" priority="304" operator="between" text="欠">
      <formula>NOT(ISERROR(SEARCH("欠",AH239)))</formula>
    </cfRule>
  </conditionalFormatting>
  <conditionalFormatting sqref="AI239">
    <cfRule type="containsText" dxfId="0" priority="312" operator="between" text="欠">
      <formula>NOT(ISERROR(SEARCH("欠",AI239)))</formula>
    </cfRule>
  </conditionalFormatting>
  <conditionalFormatting sqref="AA240">
    <cfRule type="containsText" dxfId="0" priority="307" operator="between" text="欠">
      <formula>NOT(ISERROR(SEARCH("欠",AA240)))</formula>
    </cfRule>
  </conditionalFormatting>
  <conditionalFormatting sqref="AC240:AD240">
    <cfRule type="containsText" dxfId="0" priority="305" operator="between" text="欠">
      <formula>NOT(ISERROR(SEARCH("欠",AC240)))</formula>
    </cfRule>
  </conditionalFormatting>
  <conditionalFormatting sqref="AH240">
    <cfRule type="containsText" dxfId="0" priority="316" operator="between" text="欠">
      <formula>NOT(ISERROR(SEARCH("欠",AH240)))</formula>
    </cfRule>
  </conditionalFormatting>
  <conditionalFormatting sqref="AC241:AD241">
    <cfRule type="containsText" dxfId="0" priority="324" operator="between" text="欠">
      <formula>NOT(ISERROR(SEARCH("欠",AC241)))</formula>
    </cfRule>
  </conditionalFormatting>
  <conditionalFormatting sqref="AF241">
    <cfRule type="containsText" dxfId="0" priority="236" operator="between" text="欠">
      <formula>NOT(ISERROR(SEARCH("欠",AF241)))</formula>
    </cfRule>
  </conditionalFormatting>
  <conditionalFormatting sqref="AH241">
    <cfRule type="containsText" dxfId="0" priority="323" operator="between" text="欠">
      <formula>NOT(ISERROR(SEARCH("欠",AH241)))</formula>
    </cfRule>
  </conditionalFormatting>
  <conditionalFormatting sqref="AI241">
    <cfRule type="containsText" dxfId="0" priority="244" operator="between" text="欠">
      <formula>NOT(ISERROR(SEARCH("欠",AI241)))</formula>
    </cfRule>
  </conditionalFormatting>
  <conditionalFormatting sqref="AC242:AD242">
    <cfRule type="containsText" dxfId="0" priority="334" operator="between" text="欠">
      <formula>NOT(ISERROR(SEARCH("欠",AC242)))</formula>
    </cfRule>
  </conditionalFormatting>
  <conditionalFormatting sqref="AF242">
    <cfRule type="containsText" dxfId="0" priority="240" operator="between" text="欠">
      <formula>NOT(ISERROR(SEARCH("欠",AF242)))</formula>
    </cfRule>
  </conditionalFormatting>
  <conditionalFormatting sqref="AH242">
    <cfRule type="containsText" dxfId="0" priority="332" operator="between" text="欠">
      <formula>NOT(ISERROR(SEARCH("欠",AH242)))</formula>
    </cfRule>
  </conditionalFormatting>
  <conditionalFormatting sqref="AI242">
    <cfRule type="containsText" dxfId="0" priority="243" operator="between" text="欠">
      <formula>NOT(ISERROR(SEARCH("欠",AI242)))</formula>
    </cfRule>
  </conditionalFormatting>
  <conditionalFormatting sqref="AF243">
    <cfRule type="containsText" dxfId="0" priority="239" operator="between" text="欠">
      <formula>NOT(ISERROR(SEARCH("欠",AF243)))</formula>
    </cfRule>
  </conditionalFormatting>
  <conditionalFormatting sqref="AI243">
    <cfRule type="containsText" dxfId="0" priority="241" operator="between" text="欠">
      <formula>NOT(ISERROR(SEARCH("欠",AI243)))</formula>
    </cfRule>
  </conditionalFormatting>
  <conditionalFormatting sqref="Y244">
    <cfRule type="containsText" dxfId="0" priority="343" operator="between" text="欠">
      <formula>NOT(ISERROR(SEARCH("欠",Y244)))</formula>
    </cfRule>
  </conditionalFormatting>
  <conditionalFormatting sqref="AF244">
    <cfRule type="containsText" dxfId="0" priority="238" operator="between" text="欠">
      <formula>NOT(ISERROR(SEARCH("欠",AF244)))</formula>
    </cfRule>
  </conditionalFormatting>
  <conditionalFormatting sqref="AI244">
    <cfRule type="containsText" dxfId="0" priority="242" operator="between" text="欠">
      <formula>NOT(ISERROR(SEARCH("欠",AI244)))</formula>
    </cfRule>
  </conditionalFormatting>
  <conditionalFormatting sqref="AH245">
    <cfRule type="containsText" dxfId="0" priority="423" operator="between" text="欠">
      <formula>NOT(ISERROR(SEARCH("欠",AH245)))</formula>
    </cfRule>
  </conditionalFormatting>
  <conditionalFormatting sqref="AC246">
    <cfRule type="containsText" dxfId="0" priority="434" operator="between" text="欠">
      <formula>NOT(ISERROR(SEARCH("欠",AC246)))</formula>
    </cfRule>
  </conditionalFormatting>
  <conditionalFormatting sqref="AH246">
    <cfRule type="containsText" dxfId="0" priority="432" operator="between" text="欠">
      <formula>NOT(ISERROR(SEARCH("欠",AH246)))</formula>
    </cfRule>
  </conditionalFormatting>
  <conditionalFormatting sqref="AC247:AD247">
    <cfRule type="containsText" dxfId="0" priority="433" operator="between" text="欠">
      <formula>NOT(ISERROR(SEARCH("欠",AC247)))</formula>
    </cfRule>
  </conditionalFormatting>
  <conditionalFormatting sqref="AH247">
    <cfRule type="containsText" dxfId="0" priority="431" operator="between" text="欠">
      <formula>NOT(ISERROR(SEARCH("欠",AH247)))</formula>
    </cfRule>
  </conditionalFormatting>
  <conditionalFormatting sqref="AC248:AD248">
    <cfRule type="containsText" dxfId="0" priority="445" operator="between" text="欠">
      <formula>NOT(ISERROR(SEARCH("欠",AC248)))</formula>
    </cfRule>
  </conditionalFormatting>
  <conditionalFormatting sqref="AH248">
    <cfRule type="containsText" dxfId="0" priority="444" operator="between" text="欠">
      <formula>NOT(ISERROR(SEARCH("欠",AH248)))</formula>
    </cfRule>
  </conditionalFormatting>
  <conditionalFormatting sqref="AC249:AD249">
    <cfRule type="containsText" dxfId="0" priority="452" operator="between" text="欠">
      <formula>NOT(ISERROR(SEARCH("欠",AC249)))</formula>
    </cfRule>
  </conditionalFormatting>
  <conditionalFormatting sqref="AH249">
    <cfRule type="containsText" dxfId="0" priority="451" operator="between" text="欠">
      <formula>NOT(ISERROR(SEARCH("欠",AH249)))</formula>
    </cfRule>
  </conditionalFormatting>
  <conditionalFormatting sqref="AC250">
    <cfRule type="containsText" dxfId="0" priority="249" operator="between" text="欠">
      <formula>NOT(ISERROR(SEARCH("欠",AC250)))</formula>
    </cfRule>
  </conditionalFormatting>
  <conditionalFormatting sqref="AD250">
    <cfRule type="containsText" dxfId="0" priority="462" operator="between" text="欠">
      <formula>NOT(ISERROR(SEARCH("欠",AD250)))</formula>
    </cfRule>
  </conditionalFormatting>
  <conditionalFormatting sqref="AH250">
    <cfRule type="containsText" dxfId="0" priority="460" operator="between" text="欠">
      <formula>NOT(ISERROR(SEARCH("欠",AH250)))</formula>
    </cfRule>
  </conditionalFormatting>
  <conditionalFormatting sqref="AC251:AD251">
    <cfRule type="containsText" dxfId="0" priority="461" operator="between" text="欠">
      <formula>NOT(ISERROR(SEARCH("欠",AC251)))</formula>
    </cfRule>
  </conditionalFormatting>
  <conditionalFormatting sqref="AH251">
    <cfRule type="containsText" dxfId="0" priority="459" operator="between" text="欠">
      <formula>NOT(ISERROR(SEARCH("欠",AH251)))</formula>
    </cfRule>
  </conditionalFormatting>
  <conditionalFormatting sqref="AH252">
    <cfRule type="containsText" dxfId="0" priority="504" operator="between" text="欠">
      <formula>NOT(ISERROR(SEARCH("欠",AH252)))</formula>
    </cfRule>
  </conditionalFormatting>
  <conditionalFormatting sqref="AH253">
    <cfRule type="containsText" dxfId="0" priority="503" operator="between" text="欠">
      <formula>NOT(ISERROR(SEARCH("欠",AH253)))</formula>
    </cfRule>
  </conditionalFormatting>
  <conditionalFormatting sqref="AH254">
    <cfRule type="containsText" dxfId="0" priority="516" operator="between" text="欠">
      <formula>NOT(ISERROR(SEARCH("欠",AH254)))</formula>
    </cfRule>
  </conditionalFormatting>
  <conditionalFormatting sqref="AH256">
    <cfRule type="containsText" dxfId="0" priority="532" operator="between" text="欠">
      <formula>NOT(ISERROR(SEARCH("欠",AH256)))</formula>
    </cfRule>
  </conditionalFormatting>
  <conditionalFormatting sqref="AH259">
    <cfRule type="containsText" dxfId="0" priority="551" operator="between" text="欠">
      <formula>NOT(ISERROR(SEARCH("欠",AH259)))</formula>
    </cfRule>
  </conditionalFormatting>
  <conditionalFormatting sqref="AH260">
    <cfRule type="containsText" dxfId="0" priority="560" operator="between" text="欠">
      <formula>NOT(ISERROR(SEARCH("欠",AH260)))</formula>
    </cfRule>
  </conditionalFormatting>
  <conditionalFormatting sqref="AH261">
    <cfRule type="containsText" dxfId="0" priority="559" operator="between" text="欠">
      <formula>NOT(ISERROR(SEARCH("欠",AH261)))</formula>
    </cfRule>
  </conditionalFormatting>
  <conditionalFormatting sqref="AH262">
    <cfRule type="containsText" dxfId="0" priority="604" operator="between" text="欠">
      <formula>NOT(ISERROR(SEARCH("欠",AH262)))</formula>
    </cfRule>
  </conditionalFormatting>
  <conditionalFormatting sqref="AH263">
    <cfRule type="containsText" dxfId="0" priority="603" operator="between" text="欠">
      <formula>NOT(ISERROR(SEARCH("欠",AH263)))</formula>
    </cfRule>
  </conditionalFormatting>
  <conditionalFormatting sqref="AH264">
    <cfRule type="containsText" dxfId="0" priority="616" operator="between" text="欠">
      <formula>NOT(ISERROR(SEARCH("欠",AH264)))</formula>
    </cfRule>
  </conditionalFormatting>
  <conditionalFormatting sqref="AH265">
    <cfRule type="containsText" dxfId="0" priority="623" operator="between" text="欠">
      <formula>NOT(ISERROR(SEARCH("欠",AH265)))</formula>
    </cfRule>
  </conditionalFormatting>
  <conditionalFormatting sqref="AH266">
    <cfRule type="containsText" dxfId="0" priority="631" operator="between" text="欠">
      <formula>NOT(ISERROR(SEARCH("欠",AH266)))</formula>
    </cfRule>
  </conditionalFormatting>
  <conditionalFormatting sqref="AH267">
    <cfRule type="containsText" dxfId="0" priority="644" operator="between" text="欠">
      <formula>NOT(ISERROR(SEARCH("欠",AH267)))</formula>
    </cfRule>
  </conditionalFormatting>
  <conditionalFormatting sqref="AH268">
    <cfRule type="containsText" dxfId="0" priority="196" operator="between" text="欠">
      <formula>NOT(ISERROR(SEARCH("欠",AH268)))</formula>
    </cfRule>
  </conditionalFormatting>
  <conditionalFormatting sqref="Z273:AB273">
    <cfRule type="containsText" dxfId="0" priority="174" operator="between" text="欠">
      <formula>NOT(ISERROR(SEARCH("欠",Z273)))</formula>
    </cfRule>
  </conditionalFormatting>
  <conditionalFormatting sqref="AC273:AD273">
    <cfRule type="containsText" dxfId="0" priority="170" operator="between" text="欠">
      <formula>NOT(ISERROR(SEARCH("欠",AC273)))</formula>
    </cfRule>
  </conditionalFormatting>
  <conditionalFormatting sqref="Z274:AB274">
    <cfRule type="containsText" dxfId="0" priority="233" operator="between" text="欠">
      <formula>NOT(ISERROR(SEARCH("欠",Z274)))</formula>
    </cfRule>
  </conditionalFormatting>
  <conditionalFormatting sqref="AC274:AD274">
    <cfRule type="containsText" dxfId="0" priority="225" operator="between" text="欠">
      <formula>NOT(ISERROR(SEARCH("欠",AC274)))</formula>
    </cfRule>
  </conditionalFormatting>
  <conditionalFormatting sqref="Y277">
    <cfRule type="containsText" dxfId="0" priority="101" operator="between" text="欠">
      <formula>NOT(ISERROR(SEARCH("欠",Y277)))</formula>
    </cfRule>
  </conditionalFormatting>
  <conditionalFormatting sqref="AA277:AB277">
    <cfRule type="containsText" dxfId="0" priority="107" operator="between" text="欠">
      <formula>NOT(ISERROR(SEARCH("欠",AA277)))</formula>
    </cfRule>
  </conditionalFormatting>
  <conditionalFormatting sqref="AC277:AD277">
    <cfRule type="containsText" dxfId="0" priority="105" operator="between" text="欠">
      <formula>NOT(ISERROR(SEARCH("欠",AC277)))</formula>
    </cfRule>
  </conditionalFormatting>
  <conditionalFormatting sqref="AF277">
    <cfRule type="containsText" dxfId="0" priority="35" operator="between" text="欠">
      <formula>NOT(ISERROR(SEARCH("欠",AF277)))</formula>
    </cfRule>
  </conditionalFormatting>
  <conditionalFormatting sqref="AH277">
    <cfRule type="containsText" dxfId="0" priority="103" operator="between" text="欠">
      <formula>NOT(ISERROR(SEARCH("欠",AH277)))</formula>
    </cfRule>
  </conditionalFormatting>
  <conditionalFormatting sqref="AI277">
    <cfRule type="containsText" dxfId="0" priority="114" operator="between" text="欠">
      <formula>NOT(ISERROR(SEARCH("欠",AI277)))</formula>
    </cfRule>
  </conditionalFormatting>
  <conditionalFormatting sqref="Y278">
    <cfRule type="containsText" dxfId="0" priority="140" operator="between" text="欠">
      <formula>NOT(ISERROR(SEARCH("欠",Y278)))</formula>
    </cfRule>
  </conditionalFormatting>
  <conditionalFormatting sqref="AA278:AB278">
    <cfRule type="containsText" dxfId="0" priority="143" operator="between" text="欠">
      <formula>NOT(ISERROR(SEARCH("欠",AA278)))</formula>
    </cfRule>
  </conditionalFormatting>
  <conditionalFormatting sqref="AC278:AD278">
    <cfRule type="containsText" dxfId="0" priority="142" operator="between" text="欠">
      <formula>NOT(ISERROR(SEARCH("欠",AC278)))</formula>
    </cfRule>
  </conditionalFormatting>
  <conditionalFormatting sqref="AF278">
    <cfRule type="containsText" dxfId="0" priority="34" operator="between" text="欠">
      <formula>NOT(ISERROR(SEARCH("欠",AF278)))</formula>
    </cfRule>
  </conditionalFormatting>
  <conditionalFormatting sqref="AH278">
    <cfRule type="containsText" dxfId="0" priority="141" operator="between" text="欠">
      <formula>NOT(ISERROR(SEARCH("欠",AH278)))</formula>
    </cfRule>
  </conditionalFormatting>
  <conditionalFormatting sqref="AI278">
    <cfRule type="containsText" dxfId="0" priority="145" operator="between" text="欠">
      <formula>NOT(ISERROR(SEARCH("欠",AI278)))</formula>
    </cfRule>
  </conditionalFormatting>
  <conditionalFormatting sqref="Y279">
    <cfRule type="containsText" dxfId="0" priority="54" operator="between" text="欠">
      <formula>NOT(ISERROR(SEARCH("欠",Y279)))</formula>
    </cfRule>
  </conditionalFormatting>
  <conditionalFormatting sqref="AA279:AB279">
    <cfRule type="containsText" dxfId="0" priority="57" operator="between" text="欠">
      <formula>NOT(ISERROR(SEARCH("欠",AA279)))</formula>
    </cfRule>
  </conditionalFormatting>
  <conditionalFormatting sqref="AC279:AD279">
    <cfRule type="containsText" dxfId="0" priority="56" operator="between" text="欠">
      <formula>NOT(ISERROR(SEARCH("欠",AC279)))</formula>
    </cfRule>
  </conditionalFormatting>
  <conditionalFormatting sqref="AF279">
    <cfRule type="containsText" dxfId="0" priority="41" operator="between" text="欠">
      <formula>NOT(ISERROR(SEARCH("欠",AF279)))</formula>
    </cfRule>
  </conditionalFormatting>
  <conditionalFormatting sqref="AH279">
    <cfRule type="containsText" dxfId="0" priority="55" operator="between" text="欠">
      <formula>NOT(ISERROR(SEARCH("欠",AH279)))</formula>
    </cfRule>
  </conditionalFormatting>
  <conditionalFormatting sqref="AI279">
    <cfRule type="containsText" dxfId="0" priority="59" operator="between" text="欠">
      <formula>NOT(ISERROR(SEARCH("欠",AI279)))</formula>
    </cfRule>
  </conditionalFormatting>
  <conditionalFormatting sqref="Y280">
    <cfRule type="containsText" dxfId="0" priority="62" operator="between" text="欠">
      <formula>NOT(ISERROR(SEARCH("欠",Y280)))</formula>
    </cfRule>
  </conditionalFormatting>
  <conditionalFormatting sqref="AA280:AB280">
    <cfRule type="containsText" dxfId="0" priority="68" operator="between" text="欠">
      <formula>NOT(ISERROR(SEARCH("欠",AA280)))</formula>
    </cfRule>
  </conditionalFormatting>
  <conditionalFormatting sqref="AC280:AD280">
    <cfRule type="containsText" dxfId="0" priority="66" operator="between" text="欠">
      <formula>NOT(ISERROR(SEARCH("欠",AC280)))</formula>
    </cfRule>
  </conditionalFormatting>
  <conditionalFormatting sqref="AF280">
    <cfRule type="containsText" dxfId="0" priority="40" operator="between" text="欠">
      <formula>NOT(ISERROR(SEARCH("欠",AF280)))</formula>
    </cfRule>
  </conditionalFormatting>
  <conditionalFormatting sqref="AH280">
    <cfRule type="containsText" dxfId="0" priority="64" operator="between" text="欠">
      <formula>NOT(ISERROR(SEARCH("欠",AH280)))</formula>
    </cfRule>
  </conditionalFormatting>
  <conditionalFormatting sqref="AI280">
    <cfRule type="containsText" dxfId="0" priority="75" operator="between" text="欠">
      <formula>NOT(ISERROR(SEARCH("欠",AI280)))</formula>
    </cfRule>
  </conditionalFormatting>
  <conditionalFormatting sqref="Y281">
    <cfRule type="containsText" dxfId="0" priority="61" operator="between" text="欠">
      <formula>NOT(ISERROR(SEARCH("欠",Y281)))</formula>
    </cfRule>
  </conditionalFormatting>
  <conditionalFormatting sqref="AA281:AB281">
    <cfRule type="containsText" dxfId="0" priority="67" operator="between" text="欠">
      <formula>NOT(ISERROR(SEARCH("欠",AA281)))</formula>
    </cfRule>
  </conditionalFormatting>
  <conditionalFormatting sqref="AC281:AD281">
    <cfRule type="containsText" dxfId="0" priority="65" operator="between" text="欠">
      <formula>NOT(ISERROR(SEARCH("欠",AC281)))</formula>
    </cfRule>
  </conditionalFormatting>
  <conditionalFormatting sqref="AH281">
    <cfRule type="containsText" dxfId="0" priority="63" operator="between" text="欠">
      <formula>NOT(ISERROR(SEARCH("欠",AH281)))</formula>
    </cfRule>
  </conditionalFormatting>
  <conditionalFormatting sqref="Y282">
    <cfRule type="containsText" dxfId="0" priority="87" operator="between" text="欠">
      <formula>NOT(ISERROR(SEARCH("欠",Y282)))</formula>
    </cfRule>
  </conditionalFormatting>
  <conditionalFormatting sqref="AA282:AB282">
    <cfRule type="containsText" dxfId="0" priority="90" operator="between" text="欠">
      <formula>NOT(ISERROR(SEARCH("欠",AA282)))</formula>
    </cfRule>
  </conditionalFormatting>
  <conditionalFormatting sqref="AC282:AD282">
    <cfRule type="containsText" dxfId="0" priority="89" operator="between" text="欠">
      <formula>NOT(ISERROR(SEARCH("欠",AC282)))</formula>
    </cfRule>
  </conditionalFormatting>
  <conditionalFormatting sqref="AF282">
    <cfRule type="containsText" dxfId="0" priority="38" operator="between" text="欠">
      <formula>NOT(ISERROR(SEARCH("欠",AF282)))</formula>
    </cfRule>
  </conditionalFormatting>
  <conditionalFormatting sqref="AH282">
    <cfRule type="containsText" dxfId="0" priority="88" operator="between" text="欠">
      <formula>NOT(ISERROR(SEARCH("欠",AH282)))</formula>
    </cfRule>
  </conditionalFormatting>
  <conditionalFormatting sqref="AI282">
    <cfRule type="containsText" dxfId="0" priority="92" operator="between" text="欠">
      <formula>NOT(ISERROR(SEARCH("欠",AI282)))</formula>
    </cfRule>
  </conditionalFormatting>
  <conditionalFormatting sqref="Y283">
    <cfRule type="containsText" dxfId="0" priority="94" operator="between" text="欠">
      <formula>NOT(ISERROR(SEARCH("欠",Y283)))</formula>
    </cfRule>
  </conditionalFormatting>
  <conditionalFormatting sqref="AA283:AB283">
    <cfRule type="containsText" dxfId="0" priority="97" operator="between" text="欠">
      <formula>NOT(ISERROR(SEARCH("欠",AA283)))</formula>
    </cfRule>
  </conditionalFormatting>
  <conditionalFormatting sqref="AC283:AD283">
    <cfRule type="containsText" dxfId="0" priority="96" operator="between" text="欠">
      <formula>NOT(ISERROR(SEARCH("欠",AC283)))</formula>
    </cfRule>
  </conditionalFormatting>
  <conditionalFormatting sqref="AF283">
    <cfRule type="containsText" dxfId="0" priority="37" operator="between" text="欠">
      <formula>NOT(ISERROR(SEARCH("欠",AF283)))</formula>
    </cfRule>
  </conditionalFormatting>
  <conditionalFormatting sqref="AH283">
    <cfRule type="containsText" dxfId="0" priority="95" operator="between" text="欠">
      <formula>NOT(ISERROR(SEARCH("欠",AH283)))</formula>
    </cfRule>
  </conditionalFormatting>
  <conditionalFormatting sqref="AI283">
    <cfRule type="containsText" dxfId="0" priority="99" operator="between" text="欠">
      <formula>NOT(ISERROR(SEARCH("欠",AI283)))</formula>
    </cfRule>
  </conditionalFormatting>
  <conditionalFormatting sqref="Y284">
    <cfRule type="containsText" dxfId="0" priority="102" operator="between" text="欠">
      <formula>NOT(ISERROR(SEARCH("欠",Y284)))</formula>
    </cfRule>
  </conditionalFormatting>
  <conditionalFormatting sqref="AA284:AB284">
    <cfRule type="containsText" dxfId="0" priority="108" operator="between" text="欠">
      <formula>NOT(ISERROR(SEARCH("欠",AA284)))</formula>
    </cfRule>
  </conditionalFormatting>
  <conditionalFormatting sqref="AC284:AD284">
    <cfRule type="containsText" dxfId="0" priority="106" operator="between" text="欠">
      <formula>NOT(ISERROR(SEARCH("欠",AC284)))</formula>
    </cfRule>
  </conditionalFormatting>
  <conditionalFormatting sqref="AF284">
    <cfRule type="containsText" dxfId="0" priority="36" operator="between" text="欠">
      <formula>NOT(ISERROR(SEARCH("欠",AF284)))</formula>
    </cfRule>
  </conditionalFormatting>
  <conditionalFormatting sqref="AH284">
    <cfRule type="containsText" dxfId="0" priority="104" operator="between" text="欠">
      <formula>NOT(ISERROR(SEARCH("欠",AH284)))</formula>
    </cfRule>
  </conditionalFormatting>
  <conditionalFormatting sqref="AI284">
    <cfRule type="containsText" dxfId="0" priority="115" operator="between" text="欠">
      <formula>NOT(ISERROR(SEARCH("欠",AI284)))</formula>
    </cfRule>
  </conditionalFormatting>
  <conditionalFormatting sqref="Y285">
    <cfRule type="containsText" dxfId="0" priority="148" operator="between" text="欠">
      <formula>NOT(ISERROR(SEARCH("欠",Y285)))</formula>
    </cfRule>
  </conditionalFormatting>
  <conditionalFormatting sqref="AA285:AB285">
    <cfRule type="containsText" dxfId="0" priority="154" operator="between" text="欠">
      <formula>NOT(ISERROR(SEARCH("欠",AA285)))</formula>
    </cfRule>
  </conditionalFormatting>
  <conditionalFormatting sqref="AC285:AD285">
    <cfRule type="containsText" dxfId="0" priority="152" operator="between" text="欠">
      <formula>NOT(ISERROR(SEARCH("欠",AC285)))</formula>
    </cfRule>
  </conditionalFormatting>
  <conditionalFormatting sqref="AF285">
    <cfRule type="containsText" dxfId="0" priority="159" operator="between" text="欠">
      <formula>NOT(ISERROR(SEARCH("欠",AF285)))</formula>
    </cfRule>
  </conditionalFormatting>
  <conditionalFormatting sqref="AH285">
    <cfRule type="containsText" dxfId="0" priority="150" operator="between" text="欠">
      <formula>NOT(ISERROR(SEARCH("欠",AH285)))</formula>
    </cfRule>
  </conditionalFormatting>
  <conditionalFormatting sqref="AI285">
    <cfRule type="containsText" dxfId="0" priority="161" operator="between" text="欠">
      <formula>NOT(ISERROR(SEARCH("欠",AI285)))</formula>
    </cfRule>
  </conditionalFormatting>
  <conditionalFormatting sqref="AC286:AD286">
    <cfRule type="containsText" dxfId="0" priority="151" operator="between" text="欠">
      <formula>NOT(ISERROR(SEARCH("欠",AC286)))</formula>
    </cfRule>
  </conditionalFormatting>
  <conditionalFormatting sqref="AF286">
    <cfRule type="containsText" dxfId="0" priority="158" operator="between" text="欠">
      <formula>NOT(ISERROR(SEARCH("欠",AF286)))</formula>
    </cfRule>
  </conditionalFormatting>
  <conditionalFormatting sqref="AH286">
    <cfRule type="containsText" dxfId="0" priority="149" operator="between" text="欠">
      <formula>NOT(ISERROR(SEARCH("欠",AH286)))</formula>
    </cfRule>
  </conditionalFormatting>
  <conditionalFormatting sqref="AI286">
    <cfRule type="containsText" dxfId="0" priority="4913" operator="between" text="欠">
      <formula>NOT(ISERROR(SEARCH("欠",AI286)))</formula>
    </cfRule>
  </conditionalFormatting>
  <conditionalFormatting sqref="AC287">
    <cfRule type="containsText" dxfId="0" priority="2181" operator="between" text="欠">
      <formula>NOT(ISERROR(SEARCH("欠",AC287)))</formula>
    </cfRule>
  </conditionalFormatting>
  <conditionalFormatting sqref="AD287">
    <cfRule type="containsText" dxfId="0" priority="2195" operator="between" text="欠">
      <formula>NOT(ISERROR(SEARCH("欠",AD287)))</formula>
    </cfRule>
  </conditionalFormatting>
  <conditionalFormatting sqref="AF287">
    <cfRule type="containsText" dxfId="0" priority="2220" operator="between" text="欠">
      <formula>NOT(ISERROR(SEARCH("欠",AF287)))</formula>
    </cfRule>
  </conditionalFormatting>
  <conditionalFormatting sqref="AH287">
    <cfRule type="containsText" dxfId="0" priority="2190" operator="between" text="欠">
      <formula>NOT(ISERROR(SEARCH("欠",AH287)))</formula>
    </cfRule>
  </conditionalFormatting>
  <conditionalFormatting sqref="AI287">
    <cfRule type="containsText" dxfId="0" priority="2225" operator="between" text="欠">
      <formula>NOT(ISERROR(SEARCH("欠",AI287)))</formula>
    </cfRule>
  </conditionalFormatting>
  <conditionalFormatting sqref="AC288:AD288">
    <cfRule type="containsText" dxfId="0" priority="3339" operator="between" text="欠">
      <formula>NOT(ISERROR(SEARCH("欠",AC288)))</formula>
    </cfRule>
  </conditionalFormatting>
  <conditionalFormatting sqref="AC290:AD290">
    <cfRule type="containsText" dxfId="0" priority="3184" operator="between" text="欠">
      <formula>NOT(ISERROR(SEARCH("欠",AC290)))</formula>
    </cfRule>
  </conditionalFormatting>
  <conditionalFormatting sqref="AH290">
    <cfRule type="containsText" dxfId="0" priority="3162" operator="between" text="欠">
      <formula>NOT(ISERROR(SEARCH("欠",AH290)))</formula>
    </cfRule>
  </conditionalFormatting>
  <conditionalFormatting sqref="Y291">
    <cfRule type="containsText" dxfId="0" priority="861" operator="between" text="欠">
      <formula>NOT(ISERROR(SEARCH("欠",Y291)))</formula>
    </cfRule>
  </conditionalFormatting>
  <conditionalFormatting sqref="AH291">
    <cfRule type="containsText" dxfId="0" priority="863" operator="between" text="欠">
      <formula>NOT(ISERROR(SEARCH("欠",AH291)))</formula>
    </cfRule>
  </conditionalFormatting>
  <conditionalFormatting sqref="AA323:AB323">
    <cfRule type="containsText" dxfId="0" priority="9" operator="between" text="欠">
      <formula>NOT(ISERROR(SEARCH("欠",AA323)))</formula>
    </cfRule>
  </conditionalFormatting>
  <conditionalFormatting sqref="AE323">
    <cfRule type="containsText" dxfId="0" priority="6" operator="between" text="欠">
      <formula>NOT(ISERROR(SEARCH("欠",AE323)))</formula>
    </cfRule>
  </conditionalFormatting>
  <conditionalFormatting sqref="AG323">
    <cfRule type="containsText" dxfId="0" priority="5" operator="between" text="欠">
      <formula>NOT(ISERROR(SEARCH("欠",AG323)))</formula>
    </cfRule>
  </conditionalFormatting>
  <conditionalFormatting sqref="B457">
    <cfRule type="containsText" dxfId="1" priority="2256" operator="between" text="异常">
      <formula>NOT(ISERROR(SEARCH("异常",B457)))</formula>
    </cfRule>
  </conditionalFormatting>
  <conditionalFormatting sqref="C457">
    <cfRule type="containsText" dxfId="2" priority="2262" operator="between" text="二代">
      <formula>NOT(ISERROR(SEARCH("二代",C457)))</formula>
    </cfRule>
    <cfRule type="containsText" dxfId="3" priority="2268" operator="between" text="蛋糕">
      <formula>NOT(ISERROR(SEARCH("蛋糕",C457)))</formula>
    </cfRule>
  </conditionalFormatting>
  <conditionalFormatting sqref="Y457">
    <cfRule type="containsText" dxfId="0" priority="2232" operator="between" text="欠">
      <formula>NOT(ISERROR(SEARCH("欠",Y457)))</formula>
    </cfRule>
  </conditionalFormatting>
  <conditionalFormatting sqref="Z457">
    <cfRule type="containsText" dxfId="0" priority="2286" operator="between" text="欠">
      <formula>NOT(ISERROR(SEARCH("欠",Z457)))</formula>
    </cfRule>
  </conditionalFormatting>
  <conditionalFormatting sqref="AA457:AB457">
    <cfRule type="containsText" dxfId="0" priority="2250" operator="between" text="欠">
      <formula>NOT(ISERROR(SEARCH("欠",AA457)))</formula>
    </cfRule>
  </conditionalFormatting>
  <conditionalFormatting sqref="AC457:AD457">
    <cfRule type="containsText" dxfId="0" priority="2244" operator="between" text="欠">
      <formula>NOT(ISERROR(SEARCH("欠",AC457)))</formula>
    </cfRule>
  </conditionalFormatting>
  <conditionalFormatting sqref="AF457">
    <cfRule type="containsText" dxfId="0" priority="2274" operator="between" text="欠">
      <formula>NOT(ISERROR(SEARCH("欠",AF457)))</formula>
    </cfRule>
  </conditionalFormatting>
  <conditionalFormatting sqref="AH457">
    <cfRule type="containsText" dxfId="0" priority="2238" operator="between" text="欠">
      <formula>NOT(ISERROR(SEARCH("欠",AH457)))</formula>
    </cfRule>
  </conditionalFormatting>
  <conditionalFormatting sqref="AI457">
    <cfRule type="containsText" dxfId="0" priority="2280" operator="between" text="欠">
      <formula>NOT(ISERROR(SEARCH("欠",AI457)))</formula>
    </cfRule>
  </conditionalFormatting>
  <conditionalFormatting sqref="Y458">
    <cfRule type="containsText" dxfId="0" priority="2538" operator="between" text="欠">
      <formula>NOT(ISERROR(SEARCH("欠",Y458)))</formula>
    </cfRule>
  </conditionalFormatting>
  <conditionalFormatting sqref="B181:B182">
    <cfRule type="containsText" dxfId="1" priority="14" operator="between" text="异常">
      <formula>NOT(ISERROR(SEARCH("异常",B181)))</formula>
    </cfRule>
  </conditionalFormatting>
  <conditionalFormatting sqref="B323:B363">
    <cfRule type="containsText" dxfId="1" priority="2" operator="between" text="异常">
      <formula>NOT(ISERROR(SEARCH("异常",B323)))</formula>
    </cfRule>
  </conditionalFormatting>
  <conditionalFormatting sqref="B364:B456">
    <cfRule type="containsText" dxfId="1" priority="672" operator="between" text="异常">
      <formula>NOT(ISERROR(SEARCH("异常",B364)))</formula>
    </cfRule>
  </conditionalFormatting>
  <conditionalFormatting sqref="C181:C182">
    <cfRule type="containsText" dxfId="2" priority="12" operator="between" text="二代">
      <formula>NOT(ISERROR(SEARCH("二代",C181)))</formula>
    </cfRule>
    <cfRule type="containsText" dxfId="3" priority="13" operator="between" text="蛋糕">
      <formula>NOT(ISERROR(SEARCH("蛋糕",C181)))</formula>
    </cfRule>
  </conditionalFormatting>
  <conditionalFormatting sqref="C323:C363">
    <cfRule type="containsText" dxfId="2" priority="3" operator="between" text="二代">
      <formula>NOT(ISERROR(SEARCH("二代",C323)))</formula>
    </cfRule>
    <cfRule type="containsText" dxfId="3" priority="4" operator="between" text="蛋糕">
      <formula>NOT(ISERROR(SEARCH("蛋糕",C323)))</formula>
    </cfRule>
  </conditionalFormatting>
  <conditionalFormatting sqref="C364:C456">
    <cfRule type="containsText" dxfId="2" priority="684" operator="between" text="二代">
      <formula>NOT(ISERROR(SEARCH("二代",C364)))</formula>
    </cfRule>
    <cfRule type="containsText" dxfId="3" priority="696" operator="between" text="蛋糕">
      <formula>NOT(ISERROR(SEARCH("蛋糕",C364)))</formula>
    </cfRule>
  </conditionalFormatting>
  <conditionalFormatting sqref="C458:C1048576">
    <cfRule type="containsText" dxfId="2" priority="2766" operator="between" text="二代">
      <formula>NOT(ISERROR(SEARCH("二代",C458)))</formula>
    </cfRule>
    <cfRule type="containsText" dxfId="3" priority="2767" operator="between" text="蛋糕">
      <formula>NOT(ISERROR(SEARCH("蛋糕",C458)))</formula>
    </cfRule>
  </conditionalFormatting>
  <conditionalFormatting sqref="X19:X22">
    <cfRule type="containsText" dxfId="0" priority="6986" operator="between" text="欠">
      <formula>NOT(ISERROR(SEARCH("欠",X19)))</formula>
    </cfRule>
  </conditionalFormatting>
  <conditionalFormatting sqref="X33:X36">
    <cfRule type="containsText" dxfId="0" priority="6189" operator="between" text="欠">
      <formula>NOT(ISERROR(SEARCH("欠",X33)))</formula>
    </cfRule>
  </conditionalFormatting>
  <conditionalFormatting sqref="X37:X41">
    <cfRule type="containsText" dxfId="0" priority="5565" operator="between" text="欠">
      <formula>NOT(ISERROR(SEARCH("欠",X37)))</formula>
    </cfRule>
  </conditionalFormatting>
  <conditionalFormatting sqref="X53:X56">
    <cfRule type="containsText" dxfId="0" priority="5227" operator="between" text="欠">
      <formula>NOT(ISERROR(SEARCH("欠",X53)))</formula>
    </cfRule>
  </conditionalFormatting>
  <conditionalFormatting sqref="X59:X60">
    <cfRule type="containsText" dxfId="0" priority="4951" operator="between" text="欠">
      <formula>NOT(ISERROR(SEARCH("欠",X59)))</formula>
    </cfRule>
  </conditionalFormatting>
  <conditionalFormatting sqref="X61:X66">
    <cfRule type="containsText" dxfId="0" priority="4724" operator="between" text="欠">
      <formula>NOT(ISERROR(SEARCH("欠",X61)))</formula>
    </cfRule>
  </conditionalFormatting>
  <conditionalFormatting sqref="X70:X72">
    <cfRule type="containsText" dxfId="0" priority="4301" operator="between" text="欠">
      <formula>NOT(ISERROR(SEARCH("欠",X70)))</formula>
    </cfRule>
  </conditionalFormatting>
  <conditionalFormatting sqref="Y8:Y12">
    <cfRule type="containsText" dxfId="0" priority="7868" operator="between" text="欠">
      <formula>NOT(ISERROR(SEARCH("欠",Y8)))</formula>
    </cfRule>
  </conditionalFormatting>
  <conditionalFormatting sqref="Y19:Y22">
    <cfRule type="containsText" dxfId="0" priority="5462" operator="between" text="欠">
      <formula>NOT(ISERROR(SEARCH("欠",Y19)))</formula>
    </cfRule>
  </conditionalFormatting>
  <conditionalFormatting sqref="Y24:Y25">
    <cfRule type="containsText" dxfId="0" priority="6765" operator="between" text="欠">
      <formula>NOT(ISERROR(SEARCH("欠",Y24)))</formula>
    </cfRule>
  </conditionalFormatting>
  <conditionalFormatting sqref="Y27:Y31">
    <cfRule type="containsText" dxfId="0" priority="2532" operator="between" text="欠">
      <formula>NOT(ISERROR(SEARCH("欠",Y27)))</formula>
    </cfRule>
  </conditionalFormatting>
  <conditionalFormatting sqref="Y34:Y36">
    <cfRule type="containsText" dxfId="0" priority="6181" operator="between" text="欠">
      <formula>NOT(ISERROR(SEARCH("欠",Y34)))</formula>
    </cfRule>
  </conditionalFormatting>
  <conditionalFormatting sqref="Y37:Y41">
    <cfRule type="containsText" dxfId="0" priority="5567" operator="between" text="欠">
      <formula>NOT(ISERROR(SEARCH("欠",Y37)))</formula>
    </cfRule>
  </conditionalFormatting>
  <conditionalFormatting sqref="Y43:Y45">
    <cfRule type="containsText" dxfId="0" priority="6952" operator="between" text="欠">
      <formula>NOT(ISERROR(SEARCH("欠",Y43)))</formula>
    </cfRule>
  </conditionalFormatting>
  <conditionalFormatting sqref="Y53:Y56">
    <cfRule type="containsText" dxfId="0" priority="5223" operator="between" text="欠">
      <formula>NOT(ISERROR(SEARCH("欠",Y53)))</formula>
    </cfRule>
  </conditionalFormatting>
  <conditionalFormatting sqref="Y59:Y60">
    <cfRule type="containsText" dxfId="0" priority="4947" operator="between" text="欠">
      <formula>NOT(ISERROR(SEARCH("欠",Y59)))</formula>
    </cfRule>
  </conditionalFormatting>
  <conditionalFormatting sqref="Y61:Y66">
    <cfRule type="containsText" dxfId="0" priority="4720" operator="between" text="欠">
      <formula>NOT(ISERROR(SEARCH("欠",Y61)))</formula>
    </cfRule>
  </conditionalFormatting>
  <conditionalFormatting sqref="Y70:Y72">
    <cfRule type="containsText" dxfId="0" priority="4297" operator="between" text="欠">
      <formula>NOT(ISERROR(SEARCH("欠",Y70)))</formula>
    </cfRule>
  </conditionalFormatting>
  <conditionalFormatting sqref="Y74:Y81">
    <cfRule type="containsText" dxfId="0" priority="4217" operator="between" text="欠">
      <formula>NOT(ISERROR(SEARCH("欠",Y74)))</formula>
    </cfRule>
  </conditionalFormatting>
  <conditionalFormatting sqref="Y184:Y185">
    <cfRule type="containsText" dxfId="0" priority="3353" operator="between" text="欠">
      <formula>NOT(ISERROR(SEARCH("欠",Y184)))</formula>
    </cfRule>
  </conditionalFormatting>
  <conditionalFormatting sqref="Y207:Y208">
    <cfRule type="containsText" dxfId="0" priority="1674" operator="between" text="欠">
      <formula>NOT(ISERROR(SEARCH("欠",Y207)))</formula>
    </cfRule>
  </conditionalFormatting>
  <conditionalFormatting sqref="Y209:Y210">
    <cfRule type="containsText" dxfId="0" priority="1694" operator="between" text="欠">
      <formula>NOT(ISERROR(SEARCH("欠",Y209)))</formula>
    </cfRule>
  </conditionalFormatting>
  <conditionalFormatting sqref="Y212:Y218">
    <cfRule type="containsText" dxfId="0" priority="1344" operator="between" text="欠">
      <formula>NOT(ISERROR(SEARCH("欠",Y212)))</formula>
    </cfRule>
  </conditionalFormatting>
  <conditionalFormatting sqref="Y219:Y225">
    <cfRule type="containsText" dxfId="0" priority="1250" operator="between" text="欠">
      <formula>NOT(ISERROR(SEARCH("欠",Y219)))</formula>
    </cfRule>
  </conditionalFormatting>
  <conditionalFormatting sqref="Y226:Y227">
    <cfRule type="containsText" dxfId="0" priority="1150" operator="between" text="欠">
      <formula>NOT(ISERROR(SEARCH("欠",Y226)))</formula>
    </cfRule>
  </conditionalFormatting>
  <conditionalFormatting sqref="Y229:Y232">
    <cfRule type="containsText" dxfId="0" priority="850" operator="between" text="欠">
      <formula>NOT(ISERROR(SEARCH("欠",Y229)))</formula>
    </cfRule>
  </conditionalFormatting>
  <conditionalFormatting sqref="Y238:Y243">
    <cfRule type="containsText" dxfId="0" priority="790" operator="between" text="欠">
      <formula>NOT(ISERROR(SEARCH("欠",Y238)))</formula>
    </cfRule>
  </conditionalFormatting>
  <conditionalFormatting sqref="Y245:Y272">
    <cfRule type="containsText" dxfId="0" priority="268" operator="between" text="欠">
      <formula>NOT(ISERROR(SEARCH("欠",Y245)))</formula>
    </cfRule>
  </conditionalFormatting>
  <conditionalFormatting sqref="Y273:Y276">
    <cfRule type="containsText" dxfId="0" priority="168" operator="between" text="欠">
      <formula>NOT(ISERROR(SEARCH("欠",Y273)))</formula>
    </cfRule>
  </conditionalFormatting>
  <conditionalFormatting sqref="Y286:Y290">
    <cfRule type="containsText" dxfId="0" priority="147" operator="between" text="欠">
      <formula>NOT(ISERROR(SEARCH("欠",Y286)))</formula>
    </cfRule>
  </conditionalFormatting>
  <conditionalFormatting sqref="Z37:Z41">
    <cfRule type="containsText" dxfId="0" priority="5566" operator="between" text="欠">
      <formula>NOT(ISERROR(SEARCH("欠",Z37)))</formula>
    </cfRule>
  </conditionalFormatting>
  <conditionalFormatting sqref="Z61:Z67">
    <cfRule type="containsText" dxfId="0" priority="4718" operator="between" text="欠">
      <formula>NOT(ISERROR(SEARCH("欠",Z61)))</formula>
    </cfRule>
  </conditionalFormatting>
  <conditionalFormatting sqref="Z70:Z76">
    <cfRule type="containsText" dxfId="0" priority="4303" operator="between" text="欠">
      <formula>NOT(ISERROR(SEARCH("欠",Z70)))</formula>
    </cfRule>
  </conditionalFormatting>
  <conditionalFormatting sqref="Z181:Z182">
    <cfRule type="containsText" dxfId="0" priority="20" operator="between" text="欠">
      <formula>NOT(ISERROR(SEARCH("欠",Z181)))</formula>
    </cfRule>
  </conditionalFormatting>
  <conditionalFormatting sqref="Z196:Z204">
    <cfRule type="containsText" dxfId="0" priority="1997" operator="between" text="欠">
      <formula>NOT(ISERROR(SEARCH("欠",Z196)))</formula>
    </cfRule>
  </conditionalFormatting>
  <conditionalFormatting sqref="Z209:Z212">
    <cfRule type="containsText" dxfId="0" priority="1663" operator="between" text="欠">
      <formula>NOT(ISERROR(SEARCH("欠",Z209)))</formula>
    </cfRule>
  </conditionalFormatting>
  <conditionalFormatting sqref="Z219:Z227">
    <cfRule type="containsText" dxfId="0" priority="1249" operator="between" text="欠">
      <formula>NOT(ISERROR(SEARCH("欠",Z219)))</formula>
    </cfRule>
  </conditionalFormatting>
  <conditionalFormatting sqref="Z229:Z232">
    <cfRule type="containsText" dxfId="0" priority="882" operator="between" text="欠">
      <formula>NOT(ISERROR(SEARCH("欠",Z229)))</formula>
    </cfRule>
  </conditionalFormatting>
  <conditionalFormatting sqref="Z239:Z272">
    <cfRule type="containsText" dxfId="0" priority="796" operator="between" text="欠">
      <formula>NOT(ISERROR(SEARCH("欠",Z239)))</formula>
    </cfRule>
  </conditionalFormatting>
  <conditionalFormatting sqref="Z277:Z290">
    <cfRule type="containsText" dxfId="0" priority="33" operator="between" text="欠">
      <formula>NOT(ISERROR(SEARCH("欠",Z277)))</formula>
    </cfRule>
  </conditionalFormatting>
  <conditionalFormatting sqref="AA19:AA22">
    <cfRule type="containsText" dxfId="0" priority="6985" operator="between" text="欠">
      <formula>NOT(ISERROR(SEARCH("欠",AA19)))</formula>
    </cfRule>
  </conditionalFormatting>
  <conditionalFormatting sqref="AA46:AA52">
    <cfRule type="containsText" dxfId="0" priority="7374" operator="between" text="欠">
      <formula>NOT(ISERROR(SEARCH("欠",AA46)))</formula>
    </cfRule>
  </conditionalFormatting>
  <conditionalFormatting sqref="AA61:AA66">
    <cfRule type="containsText" dxfId="0" priority="4723" operator="between" text="欠">
      <formula>NOT(ISERROR(SEARCH("欠",AA61)))</formula>
    </cfRule>
  </conditionalFormatting>
  <conditionalFormatting sqref="AA241:AA244">
    <cfRule type="containsText" dxfId="0" priority="325" operator="between" text="欠">
      <formula>NOT(ISERROR(SEARCH("欠",AA241)))</formula>
    </cfRule>
  </conditionalFormatting>
  <conditionalFormatting sqref="AA245:AA267">
    <cfRule type="containsText" dxfId="0" priority="425" operator="between" text="欠">
      <formula>NOT(ISERROR(SEARCH("欠",AA245)))</formula>
    </cfRule>
  </conditionalFormatting>
  <conditionalFormatting sqref="AB46:AB52">
    <cfRule type="containsText" dxfId="0" priority="5605" operator="between" text="欠">
      <formula>NOT(ISERROR(SEARCH("欠",AB46)))</formula>
    </cfRule>
  </conditionalFormatting>
  <conditionalFormatting sqref="AB74:AB76">
    <cfRule type="containsText" dxfId="0" priority="4230" operator="between" text="欠">
      <formula>NOT(ISERROR(SEARCH("欠",AB74)))</formula>
    </cfRule>
  </conditionalFormatting>
  <conditionalFormatting sqref="AB77:AB78">
    <cfRule type="containsText" dxfId="0" priority="4008" operator="between" text="欠">
      <formula>NOT(ISERROR(SEARCH("欠",AB77)))</formula>
    </cfRule>
  </conditionalFormatting>
  <conditionalFormatting sqref="AB82:AB101">
    <cfRule type="containsText" dxfId="0" priority="1367" operator="between" text="欠">
      <formula>NOT(ISERROR(SEARCH("欠",AB82)))</formula>
    </cfRule>
  </conditionalFormatting>
  <conditionalFormatting sqref="AB198:AB199">
    <cfRule type="containsText" dxfId="0" priority="2070" operator="between" text="欠">
      <formula>NOT(ISERROR(SEARCH("欠",AB198)))</formula>
    </cfRule>
  </conditionalFormatting>
  <conditionalFormatting sqref="AB263:AB267">
    <cfRule type="containsText" dxfId="0" priority="508" operator="between" text="欠">
      <formula>NOT(ISERROR(SEARCH("欠",AB263)))</formula>
    </cfRule>
  </conditionalFormatting>
  <conditionalFormatting sqref="AC17:AC21">
    <cfRule type="containsText" dxfId="0" priority="7964" operator="between" text="欠">
      <formula>NOT(ISERROR(SEARCH("欠",AC17)))</formula>
    </cfRule>
  </conditionalFormatting>
  <conditionalFormatting sqref="AC27:AC28">
    <cfRule type="containsText" dxfId="0" priority="6328" operator="between" text="欠">
      <formula>NOT(ISERROR(SEARCH("欠",AC27)))</formula>
    </cfRule>
  </conditionalFormatting>
  <conditionalFormatting sqref="AD67:AD69">
    <cfRule type="containsText" dxfId="0" priority="4396" operator="between" text="欠">
      <formula>NOT(ISERROR(SEARCH("欠",AD67)))</formula>
    </cfRule>
  </conditionalFormatting>
  <conditionalFormatting sqref="AD181:AD182">
    <cfRule type="containsText" dxfId="0" priority="15" operator="between" text="欠">
      <formula>NOT(ISERROR(SEARCH("欠",AD181)))</formula>
    </cfRule>
  </conditionalFormatting>
  <conditionalFormatting sqref="AE19:AE22">
    <cfRule type="containsText" dxfId="0" priority="7045" operator="between" text="欠">
      <formula>NOT(ISERROR(SEARCH("欠",AE19)))</formula>
    </cfRule>
  </conditionalFormatting>
  <conditionalFormatting sqref="AE32:AE33">
    <cfRule type="containsText" dxfId="0" priority="6388" operator="between" text="欠">
      <formula>NOT(ISERROR(SEARCH("欠",AE32)))</formula>
    </cfRule>
  </conditionalFormatting>
  <conditionalFormatting sqref="AE34:AE35">
    <cfRule type="containsText" dxfId="0" priority="6013" operator="between" text="欠">
      <formula>NOT(ISERROR(SEARCH("欠",AE34)))</formula>
    </cfRule>
  </conditionalFormatting>
  <conditionalFormatting sqref="AE37:AE41">
    <cfRule type="containsText" dxfId="0" priority="5562" operator="between" text="欠">
      <formula>NOT(ISERROR(SEARCH("欠",AE37)))</formula>
    </cfRule>
  </conditionalFormatting>
  <conditionalFormatting sqref="AE46:AE52">
    <cfRule type="containsText" dxfId="0" priority="7366" operator="between" text="欠">
      <formula>NOT(ISERROR(SEARCH("欠",AE46)))</formula>
    </cfRule>
  </conditionalFormatting>
  <conditionalFormatting sqref="AE53:AE55">
    <cfRule type="containsText" dxfId="0" priority="5221" operator="between" text="欠">
      <formula>NOT(ISERROR(SEARCH("欠",AE53)))</formula>
    </cfRule>
  </conditionalFormatting>
  <conditionalFormatting sqref="AE61:AE66">
    <cfRule type="containsText" dxfId="0" priority="4719" operator="between" text="欠">
      <formula>NOT(ISERROR(SEARCH("欠",AE61)))</formula>
    </cfRule>
  </conditionalFormatting>
  <conditionalFormatting sqref="AE71:AE72">
    <cfRule type="containsText" dxfId="0" priority="4291" operator="between" text="欠">
      <formula>NOT(ISERROR(SEARCH("欠",AE71)))</formula>
    </cfRule>
  </conditionalFormatting>
  <conditionalFormatting sqref="AE188:AE195">
    <cfRule type="containsText" dxfId="0" priority="2440" operator="between" text="欠">
      <formula>NOT(ISERROR(SEARCH("欠",AE188)))</formula>
    </cfRule>
  </conditionalFormatting>
  <conditionalFormatting sqref="AE207:AE208">
    <cfRule type="containsText" dxfId="0" priority="1659" operator="between" text="欠">
      <formula>NOT(ISERROR(SEARCH("欠",AE207)))</formula>
    </cfRule>
  </conditionalFormatting>
  <conditionalFormatting sqref="AF24:AF25">
    <cfRule type="containsText" dxfId="0" priority="6294" operator="between" text="欠">
      <formula>NOT(ISERROR(SEARCH("欠",AF24)))</formula>
    </cfRule>
  </conditionalFormatting>
  <conditionalFormatting sqref="AF38:AF41">
    <cfRule type="containsText" dxfId="0" priority="5637" operator="between" text="欠">
      <formula>NOT(ISERROR(SEARCH("欠",AF38)))</formula>
    </cfRule>
  </conditionalFormatting>
  <conditionalFormatting sqref="AF42:AF45">
    <cfRule type="containsText" dxfId="0" priority="5429" operator="between" text="欠">
      <formula>NOT(ISERROR(SEARCH("欠",AF42)))</formula>
    </cfRule>
  </conditionalFormatting>
  <conditionalFormatting sqref="AF46:AF52">
    <cfRule type="containsText" dxfId="0" priority="4911" operator="between" text="欠">
      <formula>NOT(ISERROR(SEARCH("欠",AF46)))</formula>
    </cfRule>
  </conditionalFormatting>
  <conditionalFormatting sqref="AF61:AF69">
    <cfRule type="containsText" dxfId="0" priority="4717" operator="between" text="欠">
      <formula>NOT(ISERROR(SEARCH("欠",AF61)))</formula>
    </cfRule>
  </conditionalFormatting>
  <conditionalFormatting sqref="AF71:AF81">
    <cfRule type="containsText" dxfId="0" priority="4289" operator="between" text="欠">
      <formula>NOT(ISERROR(SEARCH("欠",AF71)))</formula>
    </cfRule>
  </conditionalFormatting>
  <conditionalFormatting sqref="AF181:AF182">
    <cfRule type="containsText" dxfId="0" priority="16" operator="between" text="欠">
      <formula>NOT(ISERROR(SEARCH("欠",AF181)))</formula>
    </cfRule>
  </conditionalFormatting>
  <conditionalFormatting sqref="AF196:AF203">
    <cfRule type="containsText" dxfId="0" priority="1917" operator="between" text="欠">
      <formula>NOT(ISERROR(SEARCH("欠",AF196)))</formula>
    </cfRule>
  </conditionalFormatting>
  <conditionalFormatting sqref="AF210:AF225">
    <cfRule type="containsText" dxfId="0" priority="1898" operator="between" text="欠">
      <formula>NOT(ISERROR(SEARCH("欠",AF210)))</formula>
    </cfRule>
  </conditionalFormatting>
  <conditionalFormatting sqref="AF273:AF276">
    <cfRule type="containsText" dxfId="0" priority="172" operator="between" text="欠">
      <formula>NOT(ISERROR(SEARCH("欠",AF273)))</formula>
    </cfRule>
  </conditionalFormatting>
  <conditionalFormatting sqref="AF289:AF291">
    <cfRule type="containsText" dxfId="0" priority="875" operator="between" text="欠">
      <formula>NOT(ISERROR(SEARCH("欠",AF289)))</formula>
    </cfRule>
  </conditionalFormatting>
  <conditionalFormatting sqref="AG19:AG22">
    <cfRule type="containsText" dxfId="0" priority="7044" operator="between" text="欠">
      <formula>NOT(ISERROR(SEARCH("欠",AG19)))</formula>
    </cfRule>
  </conditionalFormatting>
  <conditionalFormatting sqref="AG46:AG52">
    <cfRule type="containsText" dxfId="0" priority="7347" operator="between" text="欠">
      <formula>NOT(ISERROR(SEARCH("欠",AG46)))</formula>
    </cfRule>
  </conditionalFormatting>
  <conditionalFormatting sqref="AG53:AG55">
    <cfRule type="containsText" dxfId="0" priority="5220" operator="between" text="欠">
      <formula>NOT(ISERROR(SEARCH("欠",AG53)))</formula>
    </cfRule>
  </conditionalFormatting>
  <conditionalFormatting sqref="AG61:AG66">
    <cfRule type="containsText" dxfId="0" priority="4715" operator="between" text="欠">
      <formula>NOT(ISERROR(SEARCH("欠",AG61)))</formula>
    </cfRule>
  </conditionalFormatting>
  <conditionalFormatting sqref="AG71:AG72">
    <cfRule type="containsText" dxfId="0" priority="4290" operator="between" text="欠">
      <formula>NOT(ISERROR(SEARCH("欠",AG71)))</formula>
    </cfRule>
  </conditionalFormatting>
  <conditionalFormatting sqref="AG188:AG195">
    <cfRule type="containsText" dxfId="0" priority="2439" operator="between" text="欠">
      <formula>NOT(ISERROR(SEARCH("欠",AG188)))</formula>
    </cfRule>
  </conditionalFormatting>
  <conditionalFormatting sqref="AH19:AH22">
    <cfRule type="containsText" dxfId="0" priority="7049" operator="between" text="欠">
      <formula>NOT(ISERROR(SEARCH("欠",AH19)))</formula>
    </cfRule>
  </conditionalFormatting>
  <conditionalFormatting sqref="AH46:AH52">
    <cfRule type="containsText" dxfId="0" priority="7370" operator="between" text="欠">
      <formula>NOT(ISERROR(SEARCH("欠",AH46)))</formula>
    </cfRule>
  </conditionalFormatting>
  <conditionalFormatting sqref="AH53:AH55">
    <cfRule type="containsText" dxfId="0" priority="5224" operator="between" text="欠">
      <formula>NOT(ISERROR(SEARCH("欠",AH53)))</formula>
    </cfRule>
  </conditionalFormatting>
  <conditionalFormatting sqref="AH70:AH72">
    <cfRule type="containsText" dxfId="0" priority="4298" operator="between" text="欠">
      <formula>NOT(ISERROR(SEARCH("欠",AH70)))</formula>
    </cfRule>
  </conditionalFormatting>
  <conditionalFormatting sqref="AH74:AH76">
    <cfRule type="containsText" dxfId="0" priority="4228" operator="between" text="欠">
      <formula>NOT(ISERROR(SEARCH("欠",AH74)))</formula>
    </cfRule>
  </conditionalFormatting>
  <conditionalFormatting sqref="AH77:AH81">
    <cfRule type="containsText" dxfId="0" priority="3982" operator="between" text="欠">
      <formula>NOT(ISERROR(SEARCH("欠",AH77)))</formula>
    </cfRule>
  </conditionalFormatting>
  <conditionalFormatting sqref="AH181:AH182">
    <cfRule type="containsText" dxfId="0" priority="18" operator="between" text="欠">
      <formula>NOT(ISERROR(SEARCH("欠",AH181)))</formula>
    </cfRule>
  </conditionalFormatting>
  <conditionalFormatting sqref="AH196:AH203">
    <cfRule type="containsText" dxfId="0" priority="1999" operator="between" text="欠">
      <formula>NOT(ISERROR(SEARCH("欠",AH196)))</formula>
    </cfRule>
  </conditionalFormatting>
  <conditionalFormatting sqref="AH215:AH218">
    <cfRule type="containsText" dxfId="0" priority="1322" operator="between" text="欠">
      <formula>NOT(ISERROR(SEARCH("欠",AH215)))</formula>
    </cfRule>
  </conditionalFormatting>
  <conditionalFormatting sqref="AH222:AH224">
    <cfRule type="containsText" dxfId="0" priority="1229" operator="between" text="欠">
      <formula>NOT(ISERROR(SEARCH("欠",AH222)))</formula>
    </cfRule>
  </conditionalFormatting>
  <conditionalFormatting sqref="AH229:AH230">
    <cfRule type="containsText" dxfId="0" priority="884" operator="between" text="欠">
      <formula>NOT(ISERROR(SEARCH("欠",AH229)))</formula>
    </cfRule>
  </conditionalFormatting>
  <conditionalFormatting sqref="AH243:AH244">
    <cfRule type="containsText" dxfId="0" priority="331" operator="between" text="欠">
      <formula>NOT(ISERROR(SEARCH("欠",AH243)))</formula>
    </cfRule>
  </conditionalFormatting>
  <conditionalFormatting sqref="AH257:AH258">
    <cfRule type="containsText" dxfId="0" priority="531" operator="between" text="欠">
      <formula>NOT(ISERROR(SEARCH("欠",AH257)))</formula>
    </cfRule>
  </conditionalFormatting>
  <conditionalFormatting sqref="AH269:AH270">
    <cfRule type="containsText" dxfId="0" priority="195" operator="between" text="欠">
      <formula>NOT(ISERROR(SEARCH("欠",AH269)))</formula>
    </cfRule>
  </conditionalFormatting>
  <conditionalFormatting sqref="AH288:AH289">
    <cfRule type="containsText" dxfId="0" priority="3217" operator="between" text="欠">
      <formula>NOT(ISERROR(SEARCH("欠",AH288)))</formula>
    </cfRule>
  </conditionalFormatting>
  <conditionalFormatting sqref="AI24:AI25">
    <cfRule type="containsText" dxfId="0" priority="6761" operator="between" text="欠">
      <formula>NOT(ISERROR(SEARCH("欠",AI24)))</formula>
    </cfRule>
  </conditionalFormatting>
  <conditionalFormatting sqref="AI37:AI41">
    <cfRule type="containsText" dxfId="0" priority="5599" operator="between" text="欠">
      <formula>NOT(ISERROR(SEARCH("欠",AI37)))</formula>
    </cfRule>
  </conditionalFormatting>
  <conditionalFormatting sqref="AI42:AI45">
    <cfRule type="containsText" dxfId="0" priority="5430" operator="between" text="欠">
      <formula>NOT(ISERROR(SEARCH("欠",AI42)))</formula>
    </cfRule>
  </conditionalFormatting>
  <conditionalFormatting sqref="AI53:AI58">
    <cfRule type="containsText" dxfId="0" priority="5222" operator="between" text="欠">
      <formula>NOT(ISERROR(SEARCH("欠",AI53)))</formula>
    </cfRule>
  </conditionalFormatting>
  <conditionalFormatting sqref="AI61:AI69">
    <cfRule type="containsText" dxfId="0" priority="4716" operator="between" text="欠">
      <formula>NOT(ISERROR(SEARCH("欠",AI61)))</formula>
    </cfRule>
  </conditionalFormatting>
  <conditionalFormatting sqref="AI70:AI71">
    <cfRule type="containsText" dxfId="0" priority="4302" operator="between" text="欠">
      <formula>NOT(ISERROR(SEARCH("欠",AI70)))</formula>
    </cfRule>
  </conditionalFormatting>
  <conditionalFormatting sqref="AI74:AI81">
    <cfRule type="containsText" dxfId="0" priority="4116" operator="between" text="欠">
      <formula>NOT(ISERROR(SEARCH("欠",AI74)))</formula>
    </cfRule>
  </conditionalFormatting>
  <conditionalFormatting sqref="AI181:AI182">
    <cfRule type="containsText" dxfId="0" priority="17" operator="between" text="欠">
      <formula>NOT(ISERROR(SEARCH("欠",AI181)))</formula>
    </cfRule>
  </conditionalFormatting>
  <conditionalFormatting sqref="AI192:AI195">
    <cfRule type="containsText" dxfId="0" priority="2469" operator="between" text="欠">
      <formula>NOT(ISERROR(SEARCH("欠",AI192)))</formula>
    </cfRule>
  </conditionalFormatting>
  <conditionalFormatting sqref="AI196:AI203">
    <cfRule type="containsText" dxfId="0" priority="1916" operator="between" text="欠">
      <formula>NOT(ISERROR(SEARCH("欠",AI196)))</formula>
    </cfRule>
  </conditionalFormatting>
  <conditionalFormatting sqref="AI210:AI225">
    <cfRule type="containsText" dxfId="0" priority="1899" operator="between" text="欠">
      <formula>NOT(ISERROR(SEARCH("欠",AI210)))</formula>
    </cfRule>
  </conditionalFormatting>
  <conditionalFormatting sqref="AI292:AI311">
    <cfRule type="containsText" dxfId="0" priority="2555" operator="between" text="欠">
      <formula>NOT(ISERROR(SEARCH("欠",AI292)))</formula>
    </cfRule>
  </conditionalFormatting>
  <conditionalFormatting sqref="AK34:AK35">
    <cfRule type="containsText" dxfId="0" priority="5640" operator="between" text="欠">
      <formula>NOT(ISERROR(SEARCH("欠",AK34)))</formula>
    </cfRule>
  </conditionalFormatting>
  <conditionalFormatting sqref="AL70:AL72">
    <cfRule type="containsText" dxfId="0" priority="4286" operator="between" text="欠">
      <formula>NOT(ISERROR(SEARCH("欠",AL70)))</formula>
    </cfRule>
  </conditionalFormatting>
  <conditionalFormatting sqref="B1 B3:B15 B17:B126 B128 B130 B132:B180 B183:B186">
    <cfRule type="containsText" dxfId="1" priority="2765" operator="between" text="异常">
      <formula>NOT(ISERROR(SEARCH("异常",B1)))</formula>
    </cfRule>
  </conditionalFormatting>
  <conditionalFormatting sqref="C1 C3:C15 C17:C126 C128 C130 C132:C180 C183:C186">
    <cfRule type="containsText" dxfId="2" priority="2507" operator="between" text="二代">
      <formula>NOT(ISERROR(SEARCH("二代",C1)))</formula>
    </cfRule>
    <cfRule type="containsText" dxfId="3" priority="2508" operator="between" text="蛋糕">
      <formula>NOT(ISERROR(SEARCH("蛋糕",C1)))</formula>
    </cfRule>
  </conditionalFormatting>
  <conditionalFormatting sqref="X1:Y2">
    <cfRule type="containsText" dxfId="0" priority="3133" operator="between" text="欠">
      <formula>NOT(ISERROR(SEARCH("欠",X1)))</formula>
    </cfRule>
  </conditionalFormatting>
  <conditionalFormatting sqref="Z1:AB2">
    <cfRule type="containsText" dxfId="0" priority="3132" operator="between" text="欠">
      <formula>NOT(ISERROR(SEARCH("欠",Z1)))</formula>
    </cfRule>
  </conditionalFormatting>
  <conditionalFormatting sqref="AC1:AD2">
    <cfRule type="containsText" dxfId="0" priority="3131" operator="between" text="欠">
      <formula>NOT(ISERROR(SEARCH("欠",AC1)))</formula>
    </cfRule>
  </conditionalFormatting>
  <conditionalFormatting sqref="AE1:AI2">
    <cfRule type="containsText" dxfId="0" priority="3130" operator="between" text="欠">
      <formula>NOT(ISERROR(SEARCH("欠",AE1)))</formula>
    </cfRule>
  </conditionalFormatting>
  <conditionalFormatting sqref="X3 Y4">
    <cfRule type="containsText" dxfId="0" priority="7779" operator="between" text="欠">
      <formula>NOT(ISERROR(SEARCH("欠",X3)))</formula>
    </cfRule>
  </conditionalFormatting>
  <conditionalFormatting sqref="Y3 Y6 Y15">
    <cfRule type="containsText" dxfId="0" priority="8037" operator="between" text="欠">
      <formula>NOT(ISERROR(SEARCH("欠",Y3)))</formula>
    </cfRule>
  </conditionalFormatting>
  <conditionalFormatting sqref="Z3:AB4 Z5 Z17 Z19:Z25 Z60:Z62">
    <cfRule type="containsText" dxfId="0" priority="7775" operator="between" text="欠">
      <formula>NOT(ISERROR(SEARCH("欠",Z3)))</formula>
    </cfRule>
  </conditionalFormatting>
  <conditionalFormatting sqref="AF4 AF8 AF11:AF15 AF19:AF22 AF28:AF31 AF326:AF327">
    <cfRule type="containsText" dxfId="0" priority="8031" operator="between" text="欠">
      <formula>NOT(ISERROR(SEARCH("欠",AF4)))</formula>
    </cfRule>
  </conditionalFormatting>
  <conditionalFormatting sqref="X5 X32">
    <cfRule type="containsText" dxfId="0" priority="6414" operator="between" text="欠">
      <formula>NOT(ISERROR(SEARCH("欠",X5)))</formula>
    </cfRule>
  </conditionalFormatting>
  <conditionalFormatting sqref="Z5 Z13:Z14 Z23:Z33 Z42:Z45">
    <cfRule type="containsText" dxfId="0" priority="6951" operator="between" text="欠">
      <formula>NOT(ISERROR(SEARCH("欠",Z5)))</formula>
    </cfRule>
  </conditionalFormatting>
  <conditionalFormatting sqref="AI5 AI18 AI20 AI27 AI29 AI46:AI52">
    <cfRule type="containsText" dxfId="0" priority="7601" operator="between" text="欠">
      <formula>NOT(ISERROR(SEARCH("欠",AI5)))</formula>
    </cfRule>
  </conditionalFormatting>
  <conditionalFormatting sqref="AL5 AL13:AL14 AL18:AL32 AL35:AL36 AL43:AL45 AL328:AL330 AL347:AL350">
    <cfRule type="containsText" dxfId="0" priority="5483" operator="between" text="欠">
      <formula>NOT(ISERROR(SEARCH("欠",AL5)))</formula>
    </cfRule>
  </conditionalFormatting>
  <conditionalFormatting sqref="X6 X15">
    <cfRule type="containsText" dxfId="0" priority="8115" operator="between" text="欠">
      <formula>NOT(ISERROR(SEARCH("欠",X6)))</formula>
    </cfRule>
  </conditionalFormatting>
  <conditionalFormatting sqref="Z6 Z15">
    <cfRule type="containsText" dxfId="0" priority="8114" operator="between" text="欠">
      <formula>NOT(ISERROR(SEARCH("欠",Z6)))</formula>
    </cfRule>
  </conditionalFormatting>
  <conditionalFormatting sqref="AC6:AD6 AC15:AD15">
    <cfRule type="containsText" dxfId="0" priority="8086" operator="between" text="欠">
      <formula>NOT(ISERROR(SEARCH("欠",AC6)))</formula>
    </cfRule>
  </conditionalFormatting>
  <conditionalFormatting sqref="AE6 AE15">
    <cfRule type="containsText" dxfId="0" priority="8074" operator="between" text="欠">
      <formula>NOT(ISERROR(SEARCH("欠",AE6)))</formula>
    </cfRule>
  </conditionalFormatting>
  <conditionalFormatting sqref="AF6 AF9 AF15">
    <cfRule type="containsText" dxfId="0" priority="8112" operator="between" text="欠">
      <formula>NOT(ISERROR(SEARCH("欠",AF6)))</formula>
    </cfRule>
  </conditionalFormatting>
  <conditionalFormatting sqref="AG6 AG15">
    <cfRule type="containsText" dxfId="0" priority="8073" operator="between" text="欠">
      <formula>NOT(ISERROR(SEARCH("欠",AG6)))</formula>
    </cfRule>
  </conditionalFormatting>
  <conditionalFormatting sqref="AH6:AI6 AH15:AI15 AI28">
    <cfRule type="containsText" dxfId="0" priority="8089" operator="between" text="欠">
      <formula>NOT(ISERROR(SEARCH("欠",AH6)))</formula>
    </cfRule>
  </conditionalFormatting>
  <conditionalFormatting sqref="AK6:AK9 AK11:AK12 AK15 AK77:AK81">
    <cfRule type="containsText" dxfId="0" priority="3153" operator="between" text="欠">
      <formula>NOT(ISERROR(SEARCH("欠",AK6)))</formula>
    </cfRule>
  </conditionalFormatting>
  <conditionalFormatting sqref="Z7:Z12 Z15 Z18 Z68:Z69 Z79:Z80 Z183:Z184 Z234:Z235 Z238 Z368 Z375">
    <cfRule type="containsText" dxfId="0" priority="7585" operator="between" text="欠">
      <formula>NOT(ISERROR(SEARCH("欠",Z7)))</formula>
    </cfRule>
  </conditionalFormatting>
  <conditionalFormatting sqref="AA7:AB8 AA9 AA11:AA12 AA15 AA79 AA183">
    <cfRule type="containsText" dxfId="0" priority="7584" operator="between" text="欠">
      <formula>NOT(ISERROR(SEARCH("欠",AA7)))</formula>
    </cfRule>
  </conditionalFormatting>
  <conditionalFormatting sqref="X8:X12 X15">
    <cfRule type="containsText" dxfId="0" priority="7864" operator="between" text="欠">
      <formula>NOT(ISERROR(SEARCH("欠",X8)))</formula>
    </cfRule>
  </conditionalFormatting>
  <conditionalFormatting sqref="AE8:AE9 AE11:AE12 AE15">
    <cfRule type="containsText" dxfId="0" priority="7695" operator="between" text="欠">
      <formula>NOT(ISERROR(SEARCH("欠",AE8)))</formula>
    </cfRule>
  </conditionalFormatting>
  <conditionalFormatting sqref="AG8:AG12 AG15">
    <cfRule type="containsText" dxfId="0" priority="7855" operator="between" text="欠">
      <formula>NOT(ISERROR(SEARCH("欠",AG8)))</formula>
    </cfRule>
  </conditionalFormatting>
  <conditionalFormatting sqref="AB9:AB12 AB69 AB79:AB80 AB183:AB184 AB234:AB235 AB238 AB375">
    <cfRule type="containsText" dxfId="0" priority="7867" operator="between" text="欠">
      <formula>NOT(ISERROR(SEARCH("欠",AB9)))</formula>
    </cfRule>
  </conditionalFormatting>
  <conditionalFormatting sqref="AA10 AA18 AA68:AA69 AA80 AA184 AA234:AA235 AA238 AA375">
    <cfRule type="containsText" dxfId="0" priority="3864" operator="between" text="欠">
      <formula>NOT(ISERROR(SEARCH("欠",AA10)))</formula>
    </cfRule>
  </conditionalFormatting>
  <conditionalFormatting sqref="AI10 AI34 AI96:AI100 AI102 AI117:AI122 AI155:AI156 AI158">
    <cfRule type="containsText" dxfId="0" priority="4121" operator="between" text="欠">
      <formula>NOT(ISERROR(SEARCH("欠",AI10)))</formula>
    </cfRule>
  </conditionalFormatting>
  <conditionalFormatting sqref="AI12 AI15">
    <cfRule type="containsText" dxfId="0" priority="7861" operator="between" text="欠">
      <formula>NOT(ISERROR(SEARCH("欠",AI12)))</formula>
    </cfRule>
  </conditionalFormatting>
  <conditionalFormatting sqref="X13:X14 X24:X31">
    <cfRule type="containsText" dxfId="0" priority="6760" operator="between" text="欠">
      <formula>NOT(ISERROR(SEARCH("欠",X13)))</formula>
    </cfRule>
  </conditionalFormatting>
  <conditionalFormatting sqref="Y13:Y14 Y32">
    <cfRule type="containsText" dxfId="0" priority="3026" operator="between" text="欠">
      <formula>NOT(ISERROR(SEARCH("欠",Y13)))</formula>
    </cfRule>
  </conditionalFormatting>
  <conditionalFormatting sqref="AA13:AB14 AA24:AB25">
    <cfRule type="containsText" dxfId="0" priority="6795" operator="between" text="欠">
      <formula>NOT(ISERROR(SEARCH("欠",AA13)))</formula>
    </cfRule>
  </conditionalFormatting>
  <conditionalFormatting sqref="AC13:AD14 AC24:AD25">
    <cfRule type="containsText" dxfId="0" priority="6794" operator="between" text="欠">
      <formula>NOT(ISERROR(SEARCH("欠",AC13)))</formula>
    </cfRule>
  </conditionalFormatting>
  <conditionalFormatting sqref="AE13:AE14 AE24:AE26 AE28:AE31">
    <cfRule type="containsText" dxfId="0" priority="6791" operator="between" text="欠">
      <formula>NOT(ISERROR(SEARCH("欠",AE13)))</formula>
    </cfRule>
  </conditionalFormatting>
  <conditionalFormatting sqref="AG13:AG14 AG24:AG26 AG28:AG31">
    <cfRule type="containsText" dxfId="0" priority="6762" operator="between" text="欠">
      <formula>NOT(ISERROR(SEARCH("欠",AG13)))</formula>
    </cfRule>
  </conditionalFormatting>
  <conditionalFormatting sqref="AH13:AH14 AH24:AH26 AH28:AH31">
    <cfRule type="containsText" dxfId="0" priority="6793" operator="between" text="欠">
      <formula>NOT(ISERROR(SEARCH("欠",AH13)))</formula>
    </cfRule>
  </conditionalFormatting>
  <conditionalFormatting sqref="AI13 AI19 AI30:AI31">
    <cfRule type="containsText" dxfId="0" priority="7538" operator="between" text="欠">
      <formula>NOT(ISERROR(SEARCH("欠",AI13)))</formula>
    </cfRule>
  </conditionalFormatting>
  <conditionalFormatting sqref="AI14 AI21">
    <cfRule type="containsText" dxfId="0" priority="6298" operator="between" text="欠">
      <formula>NOT(ISERROR(SEARCH("欠",AI14)))</formula>
    </cfRule>
  </conditionalFormatting>
  <conditionalFormatting sqref="AF16 AH16">
    <cfRule type="containsText" dxfId="0" priority="28" operator="between" text="欠">
      <formula>NOT(ISERROR(SEARCH("欠",AF16)))</formula>
    </cfRule>
  </conditionalFormatting>
  <conditionalFormatting sqref="AD17:AD21 AD32">
    <cfRule type="containsText" dxfId="0" priority="7978" operator="between" text="欠">
      <formula>NOT(ISERROR(SEARCH("欠",AD17)))</formula>
    </cfRule>
  </conditionalFormatting>
  <conditionalFormatting sqref="Y18 Y67">
    <cfRule type="containsText" dxfId="0" priority="3169" operator="between" text="欠">
      <formula>NOT(ISERROR(SEARCH("欠",Y18)))</formula>
    </cfRule>
  </conditionalFormatting>
  <conditionalFormatting sqref="AB18 AB68">
    <cfRule type="containsText" dxfId="0" priority="7184" operator="between" text="欠">
      <formula>NOT(ISERROR(SEARCH("欠",AB18)))</formula>
    </cfRule>
  </conditionalFormatting>
  <conditionalFormatting sqref="AB19:AB22 AB41:AB44 AB61:AB66">
    <cfRule type="containsText" dxfId="0" priority="4910" operator="between" text="欠">
      <formula>NOT(ISERROR(SEARCH("欠",AB19)))</formula>
    </cfRule>
  </conditionalFormatting>
  <conditionalFormatting sqref="X23 X43:X45">
    <cfRule type="containsText" dxfId="0" priority="6948" operator="between" text="欠">
      <formula>NOT(ISERROR(SEARCH("欠",X23)))</formula>
    </cfRule>
  </conditionalFormatting>
  <conditionalFormatting sqref="Y23 Y82:Y84">
    <cfRule type="containsText" dxfId="0" priority="7537" operator="between" text="欠">
      <formula>NOT(ISERROR(SEARCH("欠",Y23)))</formula>
    </cfRule>
  </conditionalFormatting>
  <conditionalFormatting sqref="AA23:AB23 AA42:AA44 AA45:AB45">
    <cfRule type="containsText" dxfId="0" priority="6950" operator="between" text="欠">
      <formula>NOT(ISERROR(SEARCH("欠",AA23)))</formula>
    </cfRule>
  </conditionalFormatting>
  <conditionalFormatting sqref="AC23:AD23 AC43:AD45">
    <cfRule type="containsText" dxfId="0" priority="6947" operator="between" text="欠">
      <formula>NOT(ISERROR(SEARCH("欠",AC23)))</formula>
    </cfRule>
  </conditionalFormatting>
  <conditionalFormatting sqref="AE23 AE43:AE45">
    <cfRule type="containsText" dxfId="0" priority="6945" operator="between" text="欠">
      <formula>NOT(ISERROR(SEARCH("欠",AE23)))</formula>
    </cfRule>
  </conditionalFormatting>
  <conditionalFormatting sqref="AG23:AH23 AG43:AH45">
    <cfRule type="containsText" dxfId="0" priority="6944" operator="between" text="欠">
      <formula>NOT(ISERROR(SEARCH("欠",AG23)))</formula>
    </cfRule>
  </conditionalFormatting>
  <conditionalFormatting sqref="AA26:AB31">
    <cfRule type="containsText" dxfId="0" priority="6644" operator="between" text="欠">
      <formula>NOT(ISERROR(SEARCH("欠",AA26)))</formula>
    </cfRule>
  </conditionalFormatting>
  <conditionalFormatting sqref="AD27 AC28:AD29 AC30 AC31:AD31">
    <cfRule type="containsText" dxfId="0" priority="6642" operator="between" text="欠">
      <formula>NOT(ISERROR(SEARCH("欠",AC27)))</formula>
    </cfRule>
  </conditionalFormatting>
  <conditionalFormatting sqref="AA33:AB36">
    <cfRule type="containsText" dxfId="0" priority="6021" operator="between" text="欠">
      <formula>NOT(ISERROR(SEARCH("欠",AA33)))</formula>
    </cfRule>
  </conditionalFormatting>
  <conditionalFormatting sqref="AC33:AD35 AC328:AD329 AC347:AD347 AC372:AD372 AC383:AD383">
    <cfRule type="containsText" dxfId="0" priority="6020" operator="between" text="欠">
      <formula>NOT(ISERROR(SEARCH("欠",AC33)))</formula>
    </cfRule>
  </conditionalFormatting>
  <conditionalFormatting sqref="AH33:AH35 AH328:AH329">
    <cfRule type="containsText" dxfId="0" priority="6019" operator="between" text="欠">
      <formula>NOT(ISERROR(SEARCH("欠",AH33)))</formula>
    </cfRule>
  </conditionalFormatting>
  <conditionalFormatting sqref="Z34:Z36 Z54:Z55 Z77">
    <cfRule type="containsText" dxfId="0" priority="6212" operator="between" text="欠">
      <formula>NOT(ISERROR(SEARCH("欠",Z34)))</formula>
    </cfRule>
  </conditionalFormatting>
  <conditionalFormatting sqref="AF34:AF36 AF328:AF329">
    <cfRule type="containsText" dxfId="0" priority="6014" operator="between" text="欠">
      <formula>NOT(ISERROR(SEARCH("欠",AF34)))</formula>
    </cfRule>
  </conditionalFormatting>
  <conditionalFormatting sqref="AG34:AG35 AG328:AG329">
    <cfRule type="containsText" dxfId="0" priority="6012" operator="between" text="欠">
      <formula>NOT(ISERROR(SEARCH("欠",AG34)))</formula>
    </cfRule>
  </conditionalFormatting>
  <conditionalFormatting sqref="AI35:AI36 AI328:AI329">
    <cfRule type="containsText" dxfId="0" priority="6197" operator="between" text="欠">
      <formula>NOT(ISERROR(SEARCH("欠",AI35)))</formula>
    </cfRule>
  </conditionalFormatting>
  <conditionalFormatting sqref="AA37:AB40 AA41">
    <cfRule type="containsText" dxfId="0" priority="5564" operator="between" text="欠">
      <formula>NOT(ISERROR(SEARCH("欠",AA37)))</formula>
    </cfRule>
  </conditionalFormatting>
  <conditionalFormatting sqref="AC37:AD41">
    <cfRule type="containsText" dxfId="0" priority="5563" operator="between" text="欠">
      <formula>NOT(ISERROR(SEARCH("欠",AC37)))</formula>
    </cfRule>
  </conditionalFormatting>
  <conditionalFormatting sqref="AG37:AH41">
    <cfRule type="containsText" dxfId="0" priority="5561" operator="between" text="欠">
      <formula>NOT(ISERROR(SEARCH("欠",AG37)))</formula>
    </cfRule>
  </conditionalFormatting>
  <conditionalFormatting sqref="X46:Y52">
    <cfRule type="containsText" dxfId="0" priority="5464" operator="between" text="欠">
      <formula>NOT(ISERROR(SEARCH("欠",X46)))</formula>
    </cfRule>
  </conditionalFormatting>
  <conditionalFormatting sqref="AC46:AD52">
    <cfRule type="containsText" dxfId="0" priority="5453" operator="between" text="欠">
      <formula>NOT(ISERROR(SEARCH("欠",AC46)))</formula>
    </cfRule>
  </conditionalFormatting>
  <conditionalFormatting sqref="Z53 Z56:Z58">
    <cfRule type="containsText" dxfId="0" priority="5229" operator="between" text="欠">
      <formula>NOT(ISERROR(SEARCH("欠",Z53)))</formula>
    </cfRule>
  </conditionalFormatting>
  <conditionalFormatting sqref="AA53:AB53 AA56:AB58">
    <cfRule type="containsText" dxfId="0" priority="5226" operator="between" text="欠">
      <formula>NOT(ISERROR(SEARCH("欠",AA53)))</formula>
    </cfRule>
  </conditionalFormatting>
  <conditionalFormatting sqref="AC53:AD55">
    <cfRule type="containsText" dxfId="0" priority="5225" operator="between" text="欠">
      <formula>NOT(ISERROR(SEARCH("欠",AC53)))</formula>
    </cfRule>
  </conditionalFormatting>
  <conditionalFormatting sqref="AF53:AF58 AF109 AF123 AF136 AF150 AF163:AF164 AF168">
    <cfRule type="containsText" dxfId="0" priority="5228" operator="between" text="欠">
      <formula>NOT(ISERROR(SEARCH("欠",AF53)))</formula>
    </cfRule>
  </conditionalFormatting>
  <conditionalFormatting sqref="AA54:AB55">
    <cfRule type="containsText" dxfId="0" priority="5704" operator="between" text="欠">
      <formula>NOT(ISERROR(SEARCH("欠",AA54)))</formula>
    </cfRule>
  </conditionalFormatting>
  <conditionalFormatting sqref="AH59 AF60 AI60">
    <cfRule type="containsText" dxfId="0" priority="5108" operator="between" text="欠">
      <formula>NOT(ISERROR(SEARCH("欠",AF59)))</formula>
    </cfRule>
  </conditionalFormatting>
  <conditionalFormatting sqref="AF59 AI59 AI132">
    <cfRule type="containsText" dxfId="0" priority="4948" operator="between" text="欠">
      <formula>NOT(ISERROR(SEARCH("欠",AF59)))</formula>
    </cfRule>
  </conditionalFormatting>
  <conditionalFormatting sqref="AC62:AD62 AD63:AD65">
    <cfRule type="containsText" dxfId="0" priority="4732" operator="between" text="欠">
      <formula>NOT(ISERROR(SEARCH("欠",AC62)))</formula>
    </cfRule>
  </conditionalFormatting>
  <conditionalFormatting sqref="AA70 AA72:AA78 AA81:AA82">
    <cfRule type="containsText" dxfId="0" priority="4598" operator="between" text="欠">
      <formula>NOT(ISERROR(SEARCH("欠",AA70)))</formula>
    </cfRule>
  </conditionalFormatting>
  <conditionalFormatting sqref="AA71:AB71 AB72">
    <cfRule type="containsText" dxfId="0" priority="4294" operator="between" text="欠">
      <formula>NOT(ISERROR(SEARCH("欠",AA71)))</formula>
    </cfRule>
  </conditionalFormatting>
  <conditionalFormatting sqref="AC71:AD72">
    <cfRule type="containsText" dxfId="0" priority="4293" operator="between" text="欠">
      <formula>NOT(ISERROR(SEARCH("欠",AC71)))</formula>
    </cfRule>
  </conditionalFormatting>
  <conditionalFormatting sqref="AC73:AD73 AD82:AD88">
    <cfRule type="containsText" dxfId="0" priority="4219" operator="between" text="欠">
      <formula>NOT(ISERROR(SEARCH("欠",AC73)))</formula>
    </cfRule>
  </conditionalFormatting>
  <conditionalFormatting sqref="AI73 AI138 AI142">
    <cfRule type="containsText" dxfId="0" priority="5672" operator="between" text="欠">
      <formula>NOT(ISERROR(SEARCH("欠",AI73)))</formula>
    </cfRule>
  </conditionalFormatting>
  <conditionalFormatting sqref="AC74:AD76">
    <cfRule type="containsText" dxfId="0" priority="4229" operator="between" text="欠">
      <formula>NOT(ISERROR(SEARCH("欠",AC74)))</formula>
    </cfRule>
  </conditionalFormatting>
  <conditionalFormatting sqref="AC77:AD81">
    <cfRule type="containsText" dxfId="0" priority="3996" operator="between" text="欠">
      <formula>NOT(ISERROR(SEARCH("欠",AC77)))</formula>
    </cfRule>
  </conditionalFormatting>
  <conditionalFormatting sqref="Z78 Z81:Z82">
    <cfRule type="containsText" dxfId="0" priority="3927" operator="between" text="欠">
      <formula>NOT(ISERROR(SEARCH("欠",Z78)))</formula>
    </cfRule>
  </conditionalFormatting>
  <conditionalFormatting sqref="AF82 AF85 AF91">
    <cfRule type="containsText" dxfId="0" priority="2544" operator="between" text="欠">
      <formula>NOT(ISERROR(SEARCH("欠",AF82)))</formula>
    </cfRule>
  </conditionalFormatting>
  <conditionalFormatting sqref="AF83 AF95 AF112">
    <cfRule type="containsText" dxfId="0" priority="3858" operator="between" text="欠">
      <formula>NOT(ISERROR(SEARCH("欠",AF83)))</formula>
    </cfRule>
  </conditionalFormatting>
  <conditionalFormatting sqref="Y86:Y126 Y128:Y130 Y132:Y179 Y326:Y327">
    <cfRule type="containsText" dxfId="0" priority="3523" operator="between" text="欠">
      <formula>NOT(ISERROR(SEARCH("欠",Y86)))</formula>
    </cfRule>
  </conditionalFormatting>
  <conditionalFormatting sqref="AF86:AF90 AF92:AF94 AF96:AF108 AF110:AF111 AF113:AF122 AF124:AF126 AF128 AF130 AF133:AF135 AF137:AF149 AF151:AF162 AF165:AF167 AF169:AF179">
    <cfRule type="containsText" dxfId="0" priority="3360" operator="between" text="欠">
      <formula>NOT(ISERROR(SEARCH("欠",AF86)))</formula>
    </cfRule>
  </conditionalFormatting>
  <conditionalFormatting sqref="AH86:AH126 AH128 AH130 AH132:AH179 AH326:AH327">
    <cfRule type="containsText" dxfId="0" priority="3533" operator="between" text="欠">
      <formula>NOT(ISERROR(SEARCH("欠",AH86)))</formula>
    </cfRule>
  </conditionalFormatting>
  <conditionalFormatting sqref="AI86:AI93 AI107:AI109 AI111 AI143:AI147 AI159:AI163 AI326:AI327">
    <cfRule type="containsText" dxfId="0" priority="3513" operator="between" text="欠">
      <formula>NOT(ISERROR(SEARCH("欠",AI86)))</formula>
    </cfRule>
  </conditionalFormatting>
  <conditionalFormatting sqref="AD91 AD130 AD171">
    <cfRule type="containsText" dxfId="0" priority="3632" operator="between" text="欠">
      <formula>NOT(ISERROR(SEARCH("欠",AD91)))</formula>
    </cfRule>
  </conditionalFormatting>
  <conditionalFormatting sqref="AI95 AI112">
    <cfRule type="containsText" dxfId="0" priority="3595" operator="between" text="欠">
      <formula>NOT(ISERROR(SEARCH("欠",AI95)))</formula>
    </cfRule>
  </conditionalFormatting>
  <conditionalFormatting sqref="AD96:AD100 AD102 AD120:AD122 AD156:AD160">
    <cfRule type="containsText" dxfId="0" priority="3627" operator="between" text="欠">
      <formula>NOT(ISERROR(SEARCH("欠",AD96)))</formula>
    </cfRule>
  </conditionalFormatting>
  <conditionalFormatting sqref="AL96:AL100 AL102 AL117:AL122 AL155:AL160">
    <cfRule type="containsText" dxfId="0" priority="2550" operator="between" text="欠">
      <formula>NOT(ISERROR(SEARCH("欠",AL96)))</formula>
    </cfRule>
  </conditionalFormatting>
  <conditionalFormatting sqref="AD103:AD105 AD113 AD123:AD126 AD128 AD132:AD147 AD161:AD170 AD173:AD179">
    <cfRule type="containsText" dxfId="0" priority="3460" operator="between" text="欠">
      <formula>NOT(ISERROR(SEARCH("欠",AD103)))</formula>
    </cfRule>
  </conditionalFormatting>
  <conditionalFormatting sqref="AH103 AF105 AH105:AH106">
    <cfRule type="containsText" dxfId="0" priority="5862" operator="between" text="欠">
      <formula>NOT(ISERROR(SEARCH("欠",AF103)))</formula>
    </cfRule>
  </conditionalFormatting>
  <conditionalFormatting sqref="AI103:AI106 AI114 AI116 AI123:AI126 AI128 AI133:AI137 AI139:AI141 AI151:AI154 AI164:AI170 AI173:AI179">
    <cfRule type="containsText" dxfId="0" priority="3430" operator="between" text="欠">
      <formula>NOT(ISERROR(SEARCH("欠",AI103)))</formula>
    </cfRule>
  </conditionalFormatting>
  <conditionalFormatting sqref="AC107:AC108 AC109:AD110 AC114:AC122 AC123:AD123 AC124:AC144 AC145:AD149 AC150:AC171 AC174:AC180 AC183:AC184 AC288 AC290 AC326:AD327">
    <cfRule type="containsText" dxfId="0" priority="3543" operator="between" text="欠">
      <formula>NOT(ISERROR(SEARCH("欠",AC107)))</formula>
    </cfRule>
  </conditionalFormatting>
  <conditionalFormatting sqref="AI110 AI130 AI171">
    <cfRule type="containsText" dxfId="0" priority="3599" operator="between" text="欠">
      <formula>NOT(ISERROR(SEARCH("欠",AI110)))</formula>
    </cfRule>
  </conditionalFormatting>
  <conditionalFormatting sqref="AD111 AD148:AD149">
    <cfRule type="containsText" dxfId="0" priority="3631" operator="between" text="欠">
      <formula>NOT(ISERROR(SEARCH("欠",AD111)))</formula>
    </cfRule>
  </conditionalFormatting>
  <conditionalFormatting sqref="AD112 AD114:AD119 AD150:AD155 AD212">
    <cfRule type="containsText" dxfId="0" priority="3628" operator="between" text="欠">
      <formula>NOT(ISERROR(SEARCH("欠",AD112)))</formula>
    </cfRule>
  </conditionalFormatting>
  <conditionalFormatting sqref="AJ138 AJ142">
    <cfRule type="containsText" dxfId="0" priority="4108" operator="between" text="欠">
      <formula>NOT(ISERROR(SEARCH("欠",AJ138)))</formula>
    </cfRule>
  </conditionalFormatting>
  <conditionalFormatting sqref="AA181:AB182">
    <cfRule type="containsText" dxfId="0" priority="19" operator="between" text="欠">
      <formula>NOT(ISERROR(SEARCH("欠",AA181)))</formula>
    </cfRule>
  </conditionalFormatting>
  <conditionalFormatting sqref="AC181:AC182 AC325 AC341:AC342">
    <cfRule type="containsText" dxfId="0" priority="21" operator="between" text="欠">
      <formula>NOT(ISERROR(SEARCH("欠",AC181)))</formula>
    </cfRule>
  </conditionalFormatting>
  <conditionalFormatting sqref="AF184 AF288">
    <cfRule type="containsText" dxfId="0" priority="3170" operator="between" text="欠">
      <formula>NOT(ISERROR(SEARCH("欠",AF184)))</formula>
    </cfRule>
  </conditionalFormatting>
  <conditionalFormatting sqref="AI184 AI288 AI290">
    <cfRule type="containsText" dxfId="0" priority="3216" operator="between" text="欠">
      <formula>NOT(ISERROR(SEARCH("欠",AI184)))</formula>
    </cfRule>
  </conditionalFormatting>
  <conditionalFormatting sqref="Z185:Z206 Z207:AB215 Z216 AB216 Z217:Z224">
    <cfRule type="containsText" dxfId="0" priority="3028" operator="between" text="欠">
      <formula>NOT(ISERROR(SEARCH("欠",Z185)))</formula>
    </cfRule>
  </conditionalFormatting>
  <conditionalFormatting sqref="B187:B227 B229:B322">
    <cfRule type="containsText" dxfId="1" priority="2483" operator="between" text="异常">
      <formula>NOT(ISERROR(SEARCH("异常",B187)))</formula>
    </cfRule>
  </conditionalFormatting>
  <conditionalFormatting sqref="C187:C227 C229:C322">
    <cfRule type="containsText" dxfId="2" priority="2484" operator="between" text="二代">
      <formula>NOT(ISERROR(SEARCH("二代",C187)))</formula>
    </cfRule>
    <cfRule type="containsText" dxfId="3" priority="2485" operator="between" text="蛋糕">
      <formula>NOT(ISERROR(SEARCH("蛋糕",C187)))</formula>
    </cfRule>
  </conditionalFormatting>
  <conditionalFormatting sqref="X187:Y195">
    <cfRule type="containsText" dxfId="0" priority="2491" operator="between" text="欠">
      <formula>NOT(ISERROR(SEARCH("欠",X187)))</formula>
    </cfRule>
  </conditionalFormatting>
  <conditionalFormatting sqref="AC187:AD195">
    <cfRule type="containsText" dxfId="0" priority="2800" operator="between" text="欠">
      <formula>NOT(ISERROR(SEARCH("欠",AC187)))</formula>
    </cfRule>
  </conditionalFormatting>
  <conditionalFormatting sqref="AF187 AH187:AI187 AF188:AF195">
    <cfRule type="containsText" dxfId="0" priority="2488" operator="between" text="欠">
      <formula>NOT(ISERROR(SEARCH("欠",AF187)))</formula>
    </cfRule>
  </conditionalFormatting>
  <conditionalFormatting sqref="AC196:AD203">
    <cfRule type="containsText" dxfId="0" priority="1918" operator="between" text="欠">
      <formula>NOT(ISERROR(SEARCH("欠",AC196)))</formula>
    </cfRule>
  </conditionalFormatting>
  <conditionalFormatting sqref="Z207:AD208">
    <cfRule type="containsText" dxfId="0" priority="1683" operator="between" text="欠">
      <formula>NOT(ISERROR(SEARCH("欠",Z207)))</formula>
    </cfRule>
  </conditionalFormatting>
  <conditionalFormatting sqref="AF207:AK208">
    <cfRule type="containsText" dxfId="0" priority="1681" operator="between" text="欠">
      <formula>NOT(ISERROR(SEARCH("欠",AF207)))</formula>
    </cfRule>
  </conditionalFormatting>
  <conditionalFormatting sqref="AA211:AB212 AB213:AB216">
    <cfRule type="containsText" dxfId="0" priority="1337" operator="between" text="欠">
      <formula>NOT(ISERROR(SEARCH("欠",AA211)))</formula>
    </cfRule>
  </conditionalFormatting>
  <conditionalFormatting sqref="AC211:AD211 AC213:AD218 AD219:AD222">
    <cfRule type="containsText" dxfId="0" priority="1336" operator="between" text="欠">
      <formula>NOT(ISERROR(SEARCH("欠",AC211)))</formula>
    </cfRule>
  </conditionalFormatting>
  <conditionalFormatting sqref="Z213:AA216 Z217:AB218">
    <cfRule type="containsText" dxfId="0" priority="1310" operator="between" text="欠">
      <formula>NOT(ISERROR(SEARCH("欠",Z213)))</formula>
    </cfRule>
  </conditionalFormatting>
  <conditionalFormatting sqref="AA219:AB225">
    <cfRule type="containsText" dxfId="0" priority="1253" operator="between" text="欠">
      <formula>NOT(ISERROR(SEARCH("欠",AA219)))</formula>
    </cfRule>
  </conditionalFormatting>
  <conditionalFormatting sqref="AC219:AC222 AC223:AD225">
    <cfRule type="containsText" dxfId="0" priority="1252" operator="between" text="欠">
      <formula>NOT(ISERROR(SEARCH("欠",AC219)))</formula>
    </cfRule>
  </conditionalFormatting>
  <conditionalFormatting sqref="AA226:AB227">
    <cfRule type="containsText" dxfId="0" priority="1159" operator="between" text="欠">
      <formula>NOT(ISERROR(SEARCH("欠",AA226)))</formula>
    </cfRule>
  </conditionalFormatting>
  <conditionalFormatting sqref="AC226:AD227">
    <cfRule type="containsText" dxfId="0" priority="1156" operator="between" text="欠">
      <formula>NOT(ISERROR(SEARCH("欠",AC226)))</formula>
    </cfRule>
  </conditionalFormatting>
  <conditionalFormatting sqref="AF226:AF227 AF240">
    <cfRule type="containsText" dxfId="0" priority="1171" operator="between" text="欠">
      <formula>NOT(ISERROR(SEARCH("欠",AF226)))</formula>
    </cfRule>
  </conditionalFormatting>
  <conditionalFormatting sqref="AI227 AI240">
    <cfRule type="containsText" dxfId="0" priority="1173" operator="between" text="欠">
      <formula>NOT(ISERROR(SEARCH("欠",AI227)))</formula>
    </cfRule>
  </conditionalFormatting>
  <conditionalFormatting sqref="AF228:AF234 AF236 AF281 AF330">
    <cfRule type="containsText" dxfId="0" priority="263" operator="between" text="欠">
      <formula>NOT(ISERROR(SEARCH("欠",AF228)))</formula>
    </cfRule>
  </conditionalFormatting>
  <conditionalFormatting sqref="AI228:AI236 AI281 AI330 AI347">
    <cfRule type="containsText" dxfId="0" priority="264" operator="between" text="欠">
      <formula>NOT(ISERROR(SEARCH("欠",AI228)))</formula>
    </cfRule>
  </conditionalFormatting>
  <conditionalFormatting sqref="AA229:AB232">
    <cfRule type="containsText" dxfId="0" priority="886" operator="between" text="欠">
      <formula>NOT(ISERROR(SEARCH("欠",AA229)))</formula>
    </cfRule>
  </conditionalFormatting>
  <conditionalFormatting sqref="AC229:AD229 AD230">
    <cfRule type="containsText" dxfId="0" priority="885" operator="between" text="欠">
      <formula>NOT(ISERROR(SEARCH("欠",AC229)))</formula>
    </cfRule>
  </conditionalFormatting>
  <conditionalFormatting sqref="AC232:AD232 AC330:AD330">
    <cfRule type="containsText" dxfId="0" priority="1293" operator="between" text="欠">
      <formula>NOT(ISERROR(SEARCH("欠",AC232)))</formula>
    </cfRule>
  </conditionalFormatting>
  <conditionalFormatting sqref="AH232 AH330 AH347">
    <cfRule type="containsText" dxfId="0" priority="1292" operator="between" text="欠">
      <formula>NOT(ISERROR(SEARCH("欠",AH232)))</formula>
    </cfRule>
  </conditionalFormatting>
  <conditionalFormatting sqref="AA239:AB239 AB240:AB262">
    <cfRule type="containsText" dxfId="0" priority="308" operator="between" text="欠">
      <formula>NOT(ISERROR(SEARCH("欠",AA239)))</formula>
    </cfRule>
  </conditionalFormatting>
  <conditionalFormatting sqref="AC243:AD244">
    <cfRule type="containsText" dxfId="0" priority="333" operator="between" text="欠">
      <formula>NOT(ISERROR(SEARCH("欠",AC243)))</formula>
    </cfRule>
  </conditionalFormatting>
  <conditionalFormatting sqref="AC245:AD245 AD246">
    <cfRule type="containsText" dxfId="0" priority="424" operator="between" text="欠">
      <formula>NOT(ISERROR(SEARCH("欠",AC245)))</formula>
    </cfRule>
  </conditionalFormatting>
  <conditionalFormatting sqref="AF245:AF272 AF353">
    <cfRule type="containsText" dxfId="0" priority="237" operator="between" text="欠">
      <formula>NOT(ISERROR(SEARCH("欠",AF245)))</formula>
    </cfRule>
  </conditionalFormatting>
  <conditionalFormatting sqref="AI245:AI272 AI353">
    <cfRule type="containsText" dxfId="0" priority="235" operator="between" text="欠">
      <formula>NOT(ISERROR(SEARCH("欠",AI245)))</formula>
    </cfRule>
  </conditionalFormatting>
  <conditionalFormatting sqref="AC252:AD267 AC307 AC353:AD353">
    <cfRule type="containsText" dxfId="0" priority="506" operator="between" text="欠">
      <formula>NOT(ISERROR(SEARCH("欠",AC252)))</formula>
    </cfRule>
  </conditionalFormatting>
  <conditionalFormatting sqref="AH255 AH353">
    <cfRule type="containsText" dxfId="0" priority="523" operator="between" text="欠">
      <formula>NOT(ISERROR(SEARCH("欠",AH255)))</formula>
    </cfRule>
  </conditionalFormatting>
  <conditionalFormatting sqref="AA268:AB272">
    <cfRule type="containsText" dxfId="0" priority="200" operator="between" text="欠">
      <formula>NOT(ISERROR(SEARCH("欠",AA268)))</formula>
    </cfRule>
  </conditionalFormatting>
  <conditionalFormatting sqref="AC268:AD272">
    <cfRule type="containsText" dxfId="0" priority="198" operator="between" text="欠">
      <formula>NOT(ISERROR(SEARCH("欠",AC268)))</formula>
    </cfRule>
  </conditionalFormatting>
  <conditionalFormatting sqref="AH271:AH272 AH273:AI276">
    <cfRule type="containsText" dxfId="0" priority="215" operator="between" text="欠">
      <formula>NOT(ISERROR(SEARCH("欠",AH271)))</formula>
    </cfRule>
  </conditionalFormatting>
  <conditionalFormatting sqref="Z275:AB276">
    <cfRule type="containsText" dxfId="0" priority="766" operator="between" text="欠">
      <formula>NOT(ISERROR(SEARCH("欠",Z275)))</formula>
    </cfRule>
  </conditionalFormatting>
  <conditionalFormatting sqref="AC275:AD276">
    <cfRule type="containsText" dxfId="0" priority="752" operator="between" text="欠">
      <formula>NOT(ISERROR(SEARCH("欠",AC275)))</formula>
    </cfRule>
  </conditionalFormatting>
  <conditionalFormatting sqref="AA286:AB286 AA287:AA290">
    <cfRule type="containsText" dxfId="0" priority="153" operator="between" text="欠">
      <formula>NOT(ISERROR(SEARCH("欠",AA286)))</formula>
    </cfRule>
  </conditionalFormatting>
  <conditionalFormatting sqref="AB287:AB290 AA291:AB291">
    <cfRule type="containsText" dxfId="0" priority="867" operator="between" text="欠">
      <formula>NOT(ISERROR(SEARCH("欠",AA287)))</formula>
    </cfRule>
  </conditionalFormatting>
  <conditionalFormatting sqref="AC289:AD289 AC291:AD291">
    <cfRule type="containsText" dxfId="0" priority="865" operator="between" text="欠">
      <formula>NOT(ISERROR(SEARCH("欠",AC289)))</formula>
    </cfRule>
  </conditionalFormatting>
  <conditionalFormatting sqref="AI289 AI291">
    <cfRule type="containsText" dxfId="0" priority="877" operator="between" text="欠">
      <formula>NOT(ISERROR(SEARCH("欠",AI289)))</formula>
    </cfRule>
  </conditionalFormatting>
  <conditionalFormatting sqref="Z291 Z292:AB306 Z307:Z311">
    <cfRule type="containsText" dxfId="0" priority="879" operator="between" text="欠">
      <formula>NOT(ISERROR(SEARCH("欠",Z291)))</formula>
    </cfRule>
  </conditionalFormatting>
  <conditionalFormatting sqref="Y292:Y325 Y328:Y332 Y333:AB334 Y335:Y456">
    <cfRule type="containsText" dxfId="0" priority="1957" operator="between" text="欠">
      <formula>NOT(ISERROR(SEARCH("欠",Y292)))</formula>
    </cfRule>
  </conditionalFormatting>
  <conditionalFormatting sqref="AC292:AD306 AD307 AC308:AD324 AD325 AC331:AD340 AD341:AD342 AC343:AD346 AC348:AD352 AC354:AD371 AC373:AD382 AC384:AD456">
    <cfRule type="containsText" dxfId="0" priority="1961" operator="between" text="欠">
      <formula>NOT(ISERROR(SEARCH("欠",AC292)))</formula>
    </cfRule>
  </conditionalFormatting>
  <conditionalFormatting sqref="AF292:AF325 AF331:AF352 AF354:AF456">
    <cfRule type="containsText" dxfId="0" priority="1971" operator="between" text="欠">
      <formula>NOT(ISERROR(SEARCH("欠",AF292)))</formula>
    </cfRule>
  </conditionalFormatting>
  <conditionalFormatting sqref="AH292:AH325 AH331:AH346 AH348:AH352 AH354:AH456">
    <cfRule type="containsText" dxfId="0" priority="1959" operator="between" text="欠">
      <formula>NOT(ISERROR(SEARCH("欠",AH292)))</formula>
    </cfRule>
  </conditionalFormatting>
  <conditionalFormatting sqref="AA307:AB322 AA324:AB332 AA335:AB347 AA353:AB374 AA376:AB377 AA384:AB389 AA401:AB456">
    <cfRule type="containsText" dxfId="0" priority="1963" operator="between" text="欠">
      <formula>NOT(ISERROR(SEARCH("欠",AA307)))</formula>
    </cfRule>
  </conditionalFormatting>
  <conditionalFormatting sqref="Z312:Z332 Z335:Z347 Z348:AB352 Z353:Z367 Z369:Z374 Z376:Z377 Z378:AB383 Z384:Z389 Z390:AB400 Z401:Z456">
    <cfRule type="containsText" dxfId="0" priority="1975" operator="between" text="欠">
      <formula>NOT(ISERROR(SEARCH("欠",Z312)))</formula>
    </cfRule>
  </conditionalFormatting>
  <conditionalFormatting sqref="AI312:AI325 AI331:AI346 AI348:AI352 AI354:AI456">
    <cfRule type="containsText" dxfId="0" priority="1973" operator="between" text="欠">
      <formula>NOT(ISERROR(SEARCH("欠",AI312)))</formula>
    </cfRule>
  </conditionalFormatting>
  <conditionalFormatting sqref="X458:Y1048576">
    <cfRule type="containsText" dxfId="0" priority="8513" operator="between" text="欠">
      <formula>NOT(ISERROR(SEARCH("欠",X458)))</formula>
    </cfRule>
  </conditionalFormatting>
  <conditionalFormatting sqref="Z458:AB1048576">
    <cfRule type="containsText" dxfId="0" priority="8512" operator="between" text="欠">
      <formula>NOT(ISERROR(SEARCH("欠",Z458)))</formula>
    </cfRule>
  </conditionalFormatting>
  <conditionalFormatting sqref="AC458:AD1048576">
    <cfRule type="containsText" dxfId="0" priority="8511" operator="between" text="欠">
      <formula>NOT(ISERROR(SEARCH("欠",AC458)))</formula>
    </cfRule>
  </conditionalFormatting>
  <conditionalFormatting sqref="AE458:AI1048576">
    <cfRule type="containsText" dxfId="0" priority="8510" operator="between" text="欠">
      <formula>NOT(ISERROR(SEARCH("欠",AE458)))</formula>
    </cfRule>
  </conditionalFormatting>
  <pageMargins left="0.196527777777778" right="0.161111111111111" top="0.0152777777777778" bottom="0.2125" header="0.5" footer="0.5"/>
  <pageSetup paperSize="9" scale="33" fitToHeight="0" orientation="landscape" horizontalDpi="6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C64"/>
  <sheetViews>
    <sheetView workbookViewId="0">
      <pane xSplit="17" ySplit="2" topLeftCell="Y469" activePane="bottomRight" state="frozen"/>
      <selection/>
      <selection pane="topRight"/>
      <selection pane="bottomLeft"/>
      <selection pane="bottomRight" activeCell="AO698" sqref="AO698"/>
    </sheetView>
  </sheetViews>
  <sheetFormatPr defaultColWidth="9" defaultRowHeight="25" customHeight="1"/>
  <cols>
    <col min="1" max="1" width="12.625" style="382" customWidth="1"/>
    <col min="2" max="3" width="3.625" style="383" customWidth="1"/>
    <col min="4" max="4" width="10.625" style="377" customWidth="1"/>
    <col min="5" max="5" width="8.625" style="377" customWidth="1"/>
    <col min="6" max="8" width="12.625" style="377" customWidth="1"/>
    <col min="9" max="9" width="3.625" style="377" customWidth="1"/>
    <col min="10" max="10" width="6.625" style="384" customWidth="1"/>
    <col min="11" max="11" width="6.625" style="384" hidden="1" customWidth="1"/>
    <col min="12" max="12" width="8.625" style="384" hidden="1" customWidth="1"/>
    <col min="13" max="13" width="5.625" style="377" customWidth="1"/>
    <col min="14" max="14" width="5.625" style="384" customWidth="1"/>
    <col min="15" max="17" width="12.625" style="382" customWidth="1"/>
    <col min="18" max="18" width="7.5" style="382" customWidth="1"/>
    <col min="19" max="19" width="12.625" style="382" customWidth="1"/>
    <col min="20" max="20" width="8.1" style="377" customWidth="1"/>
    <col min="21" max="21" width="8.625" style="382" customWidth="1"/>
    <col min="22" max="22" width="12.7" style="382" customWidth="1"/>
    <col min="23" max="23" width="4.625" style="377" customWidth="1"/>
    <col min="24" max="24" width="13.275" style="377" customWidth="1"/>
    <col min="25" max="25" width="6.625" style="377" customWidth="1"/>
    <col min="26" max="26" width="10.2" style="377" customWidth="1"/>
    <col min="27" max="27" width="8.625" style="385" customWidth="1"/>
    <col min="28" max="28" width="8.625" style="377" customWidth="1"/>
    <col min="29" max="29" width="10.625" style="377" customWidth="1"/>
    <col min="30" max="30" width="4.625" style="377" customWidth="1"/>
    <col min="31" max="31" width="10.625" style="377" customWidth="1"/>
    <col min="32" max="32" width="4.625" style="377" customWidth="1"/>
    <col min="33" max="34" width="10.625" style="377" customWidth="1"/>
    <col min="35" max="35" width="4.625" style="377" customWidth="1"/>
    <col min="36" max="37" width="10.625" style="377" customWidth="1"/>
    <col min="38" max="38" width="6.625" style="377" customWidth="1"/>
    <col min="39" max="39" width="10.625" style="377" customWidth="1"/>
    <col min="40" max="40" width="17.2" style="384" customWidth="1"/>
    <col min="41" max="41" width="8.625" style="386" customWidth="1"/>
    <col min="42" max="43" width="12.625" style="387" customWidth="1"/>
    <col min="44" max="44" width="8.625" style="388" customWidth="1"/>
    <col min="45" max="48" width="8.625" style="382" customWidth="1"/>
    <col min="49" max="49" width="8.625" style="389" customWidth="1"/>
    <col min="50" max="55" width="8.625" style="382" customWidth="1"/>
    <col min="56" max="16384" width="9" style="381"/>
  </cols>
  <sheetData>
    <row r="1" s="377" customFormat="1" customHeight="1" spans="1:55">
      <c r="A1" s="25" t="s">
        <v>208</v>
      </c>
      <c r="B1" s="390" t="s">
        <v>1168</v>
      </c>
      <c r="C1" s="391" t="str">
        <f>VLOOKUP(H1,名称!A:E,4,0)</f>
        <v>系列</v>
      </c>
      <c r="D1" s="25" t="s">
        <v>1169</v>
      </c>
      <c r="E1" s="25" t="s">
        <v>1170</v>
      </c>
      <c r="F1" s="25" t="s">
        <v>210</v>
      </c>
      <c r="G1" s="25" t="s">
        <v>211</v>
      </c>
      <c r="H1" s="25" t="s">
        <v>0</v>
      </c>
      <c r="I1" s="25" t="s">
        <v>207</v>
      </c>
      <c r="J1" s="205" t="s">
        <v>212</v>
      </c>
      <c r="K1" s="25" t="s">
        <v>1</v>
      </c>
      <c r="L1" s="25" t="s">
        <v>1171</v>
      </c>
      <c r="M1" s="25" t="s">
        <v>1172</v>
      </c>
      <c r="N1" s="25" t="s">
        <v>1173</v>
      </c>
      <c r="O1" s="25" t="s">
        <v>1174</v>
      </c>
      <c r="P1" s="28" t="s">
        <v>1175</v>
      </c>
      <c r="Q1" s="25" t="s">
        <v>1176</v>
      </c>
      <c r="R1" s="25" t="s">
        <v>1177</v>
      </c>
      <c r="S1" s="25" t="s">
        <v>1178</v>
      </c>
      <c r="T1" s="25" t="s">
        <v>1179</v>
      </c>
      <c r="U1" s="392" t="s">
        <v>1180</v>
      </c>
      <c r="V1" s="25" t="s">
        <v>1181</v>
      </c>
      <c r="W1" s="25" t="s">
        <v>1182</v>
      </c>
      <c r="X1" s="25" t="s">
        <v>1183</v>
      </c>
      <c r="Y1" s="25"/>
      <c r="Z1" s="25" t="s">
        <v>1184</v>
      </c>
      <c r="AA1" s="393"/>
      <c r="AB1" s="25"/>
      <c r="AC1" s="25" t="s">
        <v>1185</v>
      </c>
      <c r="AD1" s="25"/>
      <c r="AE1" s="25" t="s">
        <v>1186</v>
      </c>
      <c r="AF1" s="25"/>
      <c r="AG1" s="25" t="s">
        <v>1187</v>
      </c>
      <c r="AH1" s="25"/>
      <c r="AI1" s="25"/>
      <c r="AJ1" s="25" t="s">
        <v>1188</v>
      </c>
      <c r="AK1" s="25" t="s">
        <v>1189</v>
      </c>
      <c r="AL1" s="25" t="s">
        <v>1190</v>
      </c>
      <c r="AM1" s="25" t="s">
        <v>1191</v>
      </c>
      <c r="AN1" s="394" t="s">
        <v>1192</v>
      </c>
      <c r="AO1" s="394" t="s">
        <v>243</v>
      </c>
      <c r="AP1" s="394" t="s">
        <v>244</v>
      </c>
      <c r="AQ1" s="394" t="s">
        <v>245</v>
      </c>
      <c r="AR1" s="395" t="s">
        <v>1193</v>
      </c>
      <c r="AS1" s="394" t="s">
        <v>1194</v>
      </c>
      <c r="AT1" s="394" t="s">
        <v>1195</v>
      </c>
      <c r="AU1" s="396" t="s">
        <v>1196</v>
      </c>
      <c r="AV1" s="396" t="s">
        <v>1197</v>
      </c>
      <c r="AW1" s="34" t="s">
        <v>1198</v>
      </c>
      <c r="AX1" s="397" t="s">
        <v>1199</v>
      </c>
      <c r="AY1" s="394" t="s">
        <v>1200</v>
      </c>
      <c r="AZ1" s="394" t="s">
        <v>1201</v>
      </c>
      <c r="BA1" s="394" t="s">
        <v>1202</v>
      </c>
      <c r="BB1" s="394" t="str">
        <f>D1</f>
        <v>客名</v>
      </c>
      <c r="BC1" s="394" t="str">
        <f>E1</f>
        <v>国家</v>
      </c>
    </row>
    <row r="2" s="377" customFormat="1" customHeight="1" spans="1:55">
      <c r="A2" s="25"/>
      <c r="B2" s="398"/>
      <c r="C2" s="399"/>
      <c r="D2" s="25"/>
      <c r="E2" s="25"/>
      <c r="F2" s="25"/>
      <c r="G2" s="25"/>
      <c r="H2" s="25"/>
      <c r="I2" s="25"/>
      <c r="J2" s="205"/>
      <c r="K2" s="25"/>
      <c r="L2" s="25"/>
      <c r="M2" s="25"/>
      <c r="N2" s="25"/>
      <c r="O2" s="25"/>
      <c r="P2" s="28"/>
      <c r="Q2" s="25"/>
      <c r="R2" s="25"/>
      <c r="S2" s="25"/>
      <c r="T2" s="25"/>
      <c r="U2" s="400"/>
      <c r="V2" s="25"/>
      <c r="W2" s="25"/>
      <c r="X2" s="25" t="s">
        <v>1203</v>
      </c>
      <c r="Y2" s="25" t="s">
        <v>1204</v>
      </c>
      <c r="Z2" s="25" t="s">
        <v>1205</v>
      </c>
      <c r="AA2" s="393" t="s">
        <v>1206</v>
      </c>
      <c r="AB2" s="25" t="s">
        <v>1207</v>
      </c>
      <c r="AC2" s="25" t="s">
        <v>1208</v>
      </c>
      <c r="AD2" s="25" t="s">
        <v>1204</v>
      </c>
      <c r="AE2" s="25" t="s">
        <v>1209</v>
      </c>
      <c r="AF2" s="25" t="s">
        <v>1204</v>
      </c>
      <c r="AG2" s="25" t="s">
        <v>1210</v>
      </c>
      <c r="AH2" s="25" t="s">
        <v>1211</v>
      </c>
      <c r="AI2" s="25" t="s">
        <v>1204</v>
      </c>
      <c r="AJ2" s="25"/>
      <c r="AK2" s="25"/>
      <c r="AL2" s="25"/>
      <c r="AM2" s="25"/>
      <c r="AN2" s="394"/>
      <c r="AO2" s="394"/>
      <c r="AP2" s="394"/>
      <c r="AQ2" s="394"/>
      <c r="AR2" s="395"/>
      <c r="AS2" s="394"/>
      <c r="AT2" s="394"/>
      <c r="AU2" s="401"/>
      <c r="AV2" s="401"/>
      <c r="AW2" s="38"/>
      <c r="AX2" s="402"/>
      <c r="AY2" s="394"/>
      <c r="AZ2" s="394"/>
      <c r="BA2" s="394"/>
      <c r="BB2" s="394"/>
      <c r="BC2" s="394"/>
    </row>
    <row r="3" s="378" customFormat="1" customHeight="1" spans="1:55">
      <c r="A3" s="403">
        <v>46085</v>
      </c>
      <c r="B3" s="403" t="str">
        <f ca="1" t="shared" ref="B3:B44" si="0">IF(TODAY()-5&gt;=A3,IF(AB3="","异常",""),"")</f>
        <v/>
      </c>
      <c r="C3" s="404" t="str">
        <f>VLOOKUP(H3,名称!A:E,4,0)</f>
        <v>蛋糕</v>
      </c>
      <c r="D3" s="405" t="s">
        <v>1502</v>
      </c>
      <c r="E3" s="405" t="s">
        <v>1224</v>
      </c>
      <c r="F3" s="404" t="s">
        <v>530</v>
      </c>
      <c r="G3" s="404" t="s">
        <v>531</v>
      </c>
      <c r="H3" s="404" t="s">
        <v>50</v>
      </c>
      <c r="I3" s="404"/>
      <c r="J3" s="406">
        <v>2106</v>
      </c>
      <c r="K3" s="407">
        <f>VLOOKUP(H3,名称!A:C,2,0)</f>
        <v>0</v>
      </c>
      <c r="L3" s="406">
        <f t="shared" ref="L3:L20" si="1">J3*K3</f>
        <v>0</v>
      </c>
      <c r="M3" s="404">
        <f>VLOOKUP(H3,名称!A:E,3,0)</f>
        <v>18</v>
      </c>
      <c r="N3" s="406">
        <f t="shared" ref="N3:N27" si="2">J3/M3</f>
        <v>117</v>
      </c>
      <c r="O3" s="403">
        <v>46239</v>
      </c>
      <c r="P3" s="403">
        <v>46239</v>
      </c>
      <c r="Q3" s="403">
        <v>46237</v>
      </c>
      <c r="R3" s="404" t="s">
        <v>1241</v>
      </c>
      <c r="S3" s="403" t="s">
        <v>1133</v>
      </c>
      <c r="T3" s="404"/>
      <c r="U3" s="404"/>
      <c r="V3" s="404"/>
      <c r="W3" s="404" t="str">
        <f>IFERROR(VLOOKUP(H3,名称!A:F,6,0),"")</f>
        <v>东莞</v>
      </c>
      <c r="X3" s="408" t="s">
        <v>1332</v>
      </c>
      <c r="Y3" s="404" t="s">
        <v>1228</v>
      </c>
      <c r="Z3" s="404" t="s">
        <v>1503</v>
      </c>
      <c r="AA3" s="409">
        <v>46108</v>
      </c>
      <c r="AB3" s="409">
        <v>46108</v>
      </c>
      <c r="AC3" s="404" t="s">
        <v>1133</v>
      </c>
      <c r="AD3" s="404" t="s">
        <v>1133</v>
      </c>
      <c r="AE3" s="404" t="s">
        <v>510</v>
      </c>
      <c r="AF3" s="404" t="s">
        <v>1228</v>
      </c>
      <c r="AG3" s="404" t="s">
        <v>510</v>
      </c>
      <c r="AH3" s="404" t="s">
        <v>1133</v>
      </c>
      <c r="AI3" s="404" t="s">
        <v>1228</v>
      </c>
      <c r="AJ3" s="404" t="s">
        <v>1133</v>
      </c>
      <c r="AK3" s="404" t="s">
        <v>1228</v>
      </c>
      <c r="AL3" s="404"/>
      <c r="AM3" s="404" t="s">
        <v>1267</v>
      </c>
      <c r="AN3" s="406" t="s">
        <v>1504</v>
      </c>
      <c r="AO3" s="410">
        <v>1.09</v>
      </c>
      <c r="AP3" s="411">
        <f t="shared" ref="AP3:AP35" si="3">J3*AO3</f>
        <v>2295.54</v>
      </c>
      <c r="AQ3" s="411">
        <f t="shared" ref="AQ3:AQ35" si="4">AP3*7.75</f>
        <v>17790.44</v>
      </c>
      <c r="AR3" s="412"/>
      <c r="AS3" s="403"/>
      <c r="AT3" s="403" t="s">
        <v>1220</v>
      </c>
      <c r="AU3" s="403"/>
      <c r="AV3" s="403"/>
      <c r="AW3" s="403"/>
      <c r="AX3" s="403"/>
      <c r="AY3" s="403"/>
      <c r="AZ3" s="403"/>
      <c r="BA3" s="403"/>
      <c r="BB3" s="403" t="str">
        <f t="shared" ref="BB3:BB35" si="5">D3</f>
        <v>Target Corporation</v>
      </c>
      <c r="BC3" s="403" t="str">
        <f t="shared" ref="BC3:BC35" si="6">E3</f>
        <v>美国</v>
      </c>
    </row>
    <row r="4" s="378" customFormat="1" customHeight="1" spans="1:55">
      <c r="A4" s="403">
        <v>46122</v>
      </c>
      <c r="B4" s="403" t="str">
        <f ca="1" t="shared" si="0"/>
        <v/>
      </c>
      <c r="C4" s="404" t="str">
        <f>VLOOKUP(H4,名称!A:E,4,0)</f>
        <v>蛋糕</v>
      </c>
      <c r="D4" s="405" t="s">
        <v>1315</v>
      </c>
      <c r="E4" s="405" t="s">
        <v>1316</v>
      </c>
      <c r="F4" s="404" t="s">
        <v>703</v>
      </c>
      <c r="G4" s="404" t="s">
        <v>704</v>
      </c>
      <c r="H4" s="404" t="s">
        <v>50</v>
      </c>
      <c r="I4" s="404"/>
      <c r="J4" s="406">
        <v>2412</v>
      </c>
      <c r="K4" s="205">
        <f>VLOOKUP(H4,名称!A:C,2,0)</f>
        <v>0</v>
      </c>
      <c r="L4" s="394">
        <f t="shared" si="1"/>
        <v>0</v>
      </c>
      <c r="M4" s="404">
        <f>VLOOKUP(H4,名称!A:E,3,0)</f>
        <v>18</v>
      </c>
      <c r="N4" s="406">
        <f t="shared" si="2"/>
        <v>134</v>
      </c>
      <c r="O4" s="403">
        <v>46161</v>
      </c>
      <c r="P4" s="403">
        <v>46226</v>
      </c>
      <c r="Q4" s="403">
        <v>46226</v>
      </c>
      <c r="R4" s="404" t="s">
        <v>1241</v>
      </c>
      <c r="S4" s="413" t="s">
        <v>1133</v>
      </c>
      <c r="T4" s="404"/>
      <c r="U4" s="404"/>
      <c r="V4" s="404"/>
      <c r="W4" s="409" t="str">
        <f>IFERROR(VLOOKUP(H4,名称!A:F,6,0),"")</f>
        <v>东莞</v>
      </c>
      <c r="X4" s="404" t="s">
        <v>1505</v>
      </c>
      <c r="Y4" s="409">
        <v>46193</v>
      </c>
      <c r="Z4" s="404" t="s">
        <v>1249</v>
      </c>
      <c r="AA4" s="414">
        <v>46181</v>
      </c>
      <c r="AB4" s="409">
        <v>46185</v>
      </c>
      <c r="AC4" s="404" t="s">
        <v>1133</v>
      </c>
      <c r="AD4" s="404" t="s">
        <v>1133</v>
      </c>
      <c r="AE4" s="404" t="s">
        <v>510</v>
      </c>
      <c r="AF4" s="404" t="s">
        <v>1228</v>
      </c>
      <c r="AG4" s="404" t="s">
        <v>510</v>
      </c>
      <c r="AH4" s="404" t="s">
        <v>1133</v>
      </c>
      <c r="AI4" s="404" t="s">
        <v>1228</v>
      </c>
      <c r="AJ4" s="404" t="s">
        <v>1133</v>
      </c>
      <c r="AK4" s="404" t="s">
        <v>1228</v>
      </c>
      <c r="AL4" s="404"/>
      <c r="AM4" s="415" t="s">
        <v>1506</v>
      </c>
      <c r="AN4" s="406" t="s">
        <v>1507</v>
      </c>
      <c r="AO4" s="410">
        <v>1.09</v>
      </c>
      <c r="AP4" s="411">
        <f t="shared" si="3"/>
        <v>2629.08</v>
      </c>
      <c r="AQ4" s="411">
        <f t="shared" si="4"/>
        <v>20375.37</v>
      </c>
      <c r="AR4" s="412"/>
      <c r="AS4" s="403"/>
      <c r="AT4" s="403" t="s">
        <v>1220</v>
      </c>
      <c r="AU4" s="403"/>
      <c r="AV4" s="403"/>
      <c r="AW4" s="403"/>
      <c r="AX4" s="403"/>
      <c r="AY4" s="403"/>
      <c r="AZ4" s="403"/>
      <c r="BA4" s="403"/>
      <c r="BB4" s="403" t="str">
        <f t="shared" si="5"/>
        <v>New Laceys Promotions (Pty) Ltd</v>
      </c>
      <c r="BC4" s="403" t="str">
        <f t="shared" si="6"/>
        <v>南非</v>
      </c>
    </row>
    <row r="5" s="377" customFormat="1" customHeight="1" spans="1:55">
      <c r="A5" s="416">
        <v>46135</v>
      </c>
      <c r="B5" s="89" t="str">
        <f ca="1" t="shared" si="0"/>
        <v/>
      </c>
      <c r="C5" s="417" t="str">
        <f>VLOOKUP(H5,名称!A:E,4,0)</f>
        <v>蛋糕</v>
      </c>
      <c r="D5" s="418" t="s">
        <v>1502</v>
      </c>
      <c r="E5" s="418" t="s">
        <v>1224</v>
      </c>
      <c r="F5" s="418" t="s">
        <v>765</v>
      </c>
      <c r="G5" s="418" t="s">
        <v>766</v>
      </c>
      <c r="H5" s="418" t="s">
        <v>50</v>
      </c>
      <c r="I5" s="417"/>
      <c r="J5" s="419">
        <v>7038</v>
      </c>
      <c r="K5" s="205">
        <f>VLOOKUP(H5,名称!A:C,2,0)</f>
        <v>0</v>
      </c>
      <c r="L5" s="394">
        <f t="shared" si="1"/>
        <v>0</v>
      </c>
      <c r="M5" s="417">
        <f>VLOOKUP(H5,名称!A:E,3,0)</f>
        <v>18</v>
      </c>
      <c r="N5" s="394">
        <f t="shared" si="2"/>
        <v>391</v>
      </c>
      <c r="O5" s="179">
        <v>46251</v>
      </c>
      <c r="P5" s="416">
        <f>O5</f>
        <v>46251</v>
      </c>
      <c r="Q5" s="416">
        <v>46258</v>
      </c>
      <c r="R5" s="417"/>
      <c r="S5" s="420" t="s">
        <v>1133</v>
      </c>
      <c r="T5" s="417"/>
      <c r="U5" s="417"/>
      <c r="V5" s="417"/>
      <c r="W5" s="417" t="str">
        <f>IFERROR(VLOOKUP(H5,名称!A:F,6,0),"")</f>
        <v>东莞</v>
      </c>
      <c r="X5" s="418" t="s">
        <v>1332</v>
      </c>
      <c r="Y5" s="417" t="s">
        <v>1228</v>
      </c>
      <c r="Z5" s="417" t="s">
        <v>1503</v>
      </c>
      <c r="AA5" s="421">
        <v>46135</v>
      </c>
      <c r="AB5" s="421">
        <v>46135</v>
      </c>
      <c r="AC5" s="417" t="s">
        <v>1133</v>
      </c>
      <c r="AD5" s="417" t="s">
        <v>1133</v>
      </c>
      <c r="AE5" s="418" t="s">
        <v>510</v>
      </c>
      <c r="AF5" s="417" t="s">
        <v>1228</v>
      </c>
      <c r="AG5" s="418" t="s">
        <v>510</v>
      </c>
      <c r="AH5" s="417" t="s">
        <v>1133</v>
      </c>
      <c r="AI5" s="417" t="s">
        <v>1228</v>
      </c>
      <c r="AJ5" s="417" t="s">
        <v>1133</v>
      </c>
      <c r="AK5" s="417" t="s">
        <v>1228</v>
      </c>
      <c r="AL5" s="417"/>
      <c r="AM5" s="422" t="s">
        <v>1250</v>
      </c>
      <c r="AN5" s="394" t="s">
        <v>1504</v>
      </c>
      <c r="AO5" s="423">
        <v>1.09</v>
      </c>
      <c r="AP5" s="424">
        <f t="shared" si="3"/>
        <v>7671.42</v>
      </c>
      <c r="AQ5" s="424">
        <f t="shared" si="4"/>
        <v>59453.51</v>
      </c>
      <c r="AR5" s="425"/>
      <c r="AS5" s="416"/>
      <c r="AT5" s="416" t="s">
        <v>1254</v>
      </c>
      <c r="AU5" s="416"/>
      <c r="AV5" s="416"/>
      <c r="AW5" s="416"/>
      <c r="AX5" s="416"/>
      <c r="AY5" s="416"/>
      <c r="AZ5" s="416"/>
      <c r="BA5" s="416"/>
      <c r="BB5" s="416" t="str">
        <f t="shared" si="5"/>
        <v>Target Corporation</v>
      </c>
      <c r="BC5" s="416" t="str">
        <f t="shared" si="6"/>
        <v>美国</v>
      </c>
    </row>
    <row r="6" s="377" customFormat="1" customHeight="1" spans="1:55">
      <c r="A6" s="416">
        <v>46135</v>
      </c>
      <c r="B6" s="89" t="str">
        <f ca="1" t="shared" si="0"/>
        <v/>
      </c>
      <c r="C6" s="417" t="str">
        <f>VLOOKUP(H6,名称!A:E,4,0)</f>
        <v>蛋糕</v>
      </c>
      <c r="D6" s="418" t="s">
        <v>1502</v>
      </c>
      <c r="E6" s="418" t="s">
        <v>1224</v>
      </c>
      <c r="F6" s="418" t="s">
        <v>765</v>
      </c>
      <c r="G6" s="418" t="s">
        <v>767</v>
      </c>
      <c r="H6" s="418" t="s">
        <v>50</v>
      </c>
      <c r="I6" s="417"/>
      <c r="J6" s="419">
        <v>4968</v>
      </c>
      <c r="K6" s="205">
        <f>VLOOKUP(H6,名称!A:C,2,0)</f>
        <v>0</v>
      </c>
      <c r="L6" s="394">
        <f t="shared" si="1"/>
        <v>0</v>
      </c>
      <c r="M6" s="417">
        <f>VLOOKUP(H6,名称!A:E,3,0)</f>
        <v>18</v>
      </c>
      <c r="N6" s="394">
        <f t="shared" si="2"/>
        <v>276</v>
      </c>
      <c r="O6" s="179">
        <v>46244</v>
      </c>
      <c r="P6" s="416">
        <f>O6</f>
        <v>46244</v>
      </c>
      <c r="Q6" s="416">
        <v>46258</v>
      </c>
      <c r="R6" s="417"/>
      <c r="S6" s="420" t="s">
        <v>1133</v>
      </c>
      <c r="T6" s="417"/>
      <c r="U6" s="417"/>
      <c r="V6" s="417"/>
      <c r="W6" s="417" t="str">
        <f>IFERROR(VLOOKUP(H6,名称!A:F,6,0),"")</f>
        <v>东莞</v>
      </c>
      <c r="X6" s="418" t="s">
        <v>1332</v>
      </c>
      <c r="Y6" s="417" t="s">
        <v>1228</v>
      </c>
      <c r="Z6" s="417" t="s">
        <v>1503</v>
      </c>
      <c r="AA6" s="421">
        <v>46135</v>
      </c>
      <c r="AB6" s="421">
        <v>46135</v>
      </c>
      <c r="AC6" s="417" t="s">
        <v>1133</v>
      </c>
      <c r="AD6" s="417" t="s">
        <v>1133</v>
      </c>
      <c r="AE6" s="418" t="s">
        <v>510</v>
      </c>
      <c r="AF6" s="417" t="s">
        <v>1228</v>
      </c>
      <c r="AG6" s="418" t="s">
        <v>510</v>
      </c>
      <c r="AH6" s="417" t="s">
        <v>1133</v>
      </c>
      <c r="AI6" s="417" t="s">
        <v>1228</v>
      </c>
      <c r="AJ6" s="417" t="s">
        <v>1133</v>
      </c>
      <c r="AK6" s="417" t="s">
        <v>1228</v>
      </c>
      <c r="AL6" s="417"/>
      <c r="AM6" s="422" t="s">
        <v>1250</v>
      </c>
      <c r="AN6" s="394" t="s">
        <v>1504</v>
      </c>
      <c r="AO6" s="423">
        <v>1.09</v>
      </c>
      <c r="AP6" s="424">
        <f t="shared" si="3"/>
        <v>5415.12</v>
      </c>
      <c r="AQ6" s="424">
        <f t="shared" si="4"/>
        <v>41967.18</v>
      </c>
      <c r="AR6" s="425"/>
      <c r="AS6" s="416"/>
      <c r="AT6" s="416" t="s">
        <v>1254</v>
      </c>
      <c r="AU6" s="416"/>
      <c r="AV6" s="416"/>
      <c r="AW6" s="416"/>
      <c r="AX6" s="416"/>
      <c r="AY6" s="416"/>
      <c r="AZ6" s="416"/>
      <c r="BA6" s="416"/>
      <c r="BB6" s="416" t="str">
        <f t="shared" si="5"/>
        <v>Target Corporation</v>
      </c>
      <c r="BC6" s="416" t="str">
        <f t="shared" si="6"/>
        <v>美国</v>
      </c>
    </row>
    <row r="7" s="377" customFormat="1" customHeight="1" spans="1:55">
      <c r="A7" s="416">
        <v>46135</v>
      </c>
      <c r="B7" s="89" t="str">
        <f ca="1" t="shared" si="0"/>
        <v/>
      </c>
      <c r="C7" s="417" t="str">
        <f>VLOOKUP(H7,名称!A:E,4,0)</f>
        <v>蛋糕</v>
      </c>
      <c r="D7" s="418" t="s">
        <v>1502</v>
      </c>
      <c r="E7" s="418" t="s">
        <v>1224</v>
      </c>
      <c r="F7" s="418" t="s">
        <v>768</v>
      </c>
      <c r="G7" s="418" t="s">
        <v>769</v>
      </c>
      <c r="H7" s="418" t="s">
        <v>50</v>
      </c>
      <c r="I7" s="417"/>
      <c r="J7" s="419">
        <v>5004</v>
      </c>
      <c r="K7" s="205">
        <f>VLOOKUP(H7,名称!A:C,2,0)</f>
        <v>0</v>
      </c>
      <c r="L7" s="394">
        <f t="shared" si="1"/>
        <v>0</v>
      </c>
      <c r="M7" s="417">
        <f>VLOOKUP(H7,名称!A:E,3,0)</f>
        <v>18</v>
      </c>
      <c r="N7" s="394">
        <f t="shared" si="2"/>
        <v>278</v>
      </c>
      <c r="O7" s="179">
        <v>46258</v>
      </c>
      <c r="P7" s="416">
        <f>O7</f>
        <v>46258</v>
      </c>
      <c r="Q7" s="416">
        <v>46258</v>
      </c>
      <c r="R7" s="417"/>
      <c r="S7" s="420" t="s">
        <v>1133</v>
      </c>
      <c r="T7" s="417"/>
      <c r="U7" s="417"/>
      <c r="V7" s="417"/>
      <c r="W7" s="417" t="str">
        <f>IFERROR(VLOOKUP(H7,名称!A:F,6,0),"")</f>
        <v>东莞</v>
      </c>
      <c r="X7" s="418" t="s">
        <v>1332</v>
      </c>
      <c r="Y7" s="417" t="s">
        <v>1228</v>
      </c>
      <c r="Z7" s="417" t="s">
        <v>1503</v>
      </c>
      <c r="AA7" s="421">
        <v>46135</v>
      </c>
      <c r="AB7" s="421">
        <v>46135</v>
      </c>
      <c r="AC7" s="417" t="s">
        <v>1133</v>
      </c>
      <c r="AD7" s="417" t="s">
        <v>1133</v>
      </c>
      <c r="AE7" s="418" t="s">
        <v>510</v>
      </c>
      <c r="AF7" s="417" t="s">
        <v>1228</v>
      </c>
      <c r="AG7" s="418" t="s">
        <v>510</v>
      </c>
      <c r="AH7" s="417" t="s">
        <v>1133</v>
      </c>
      <c r="AI7" s="417" t="s">
        <v>1228</v>
      </c>
      <c r="AJ7" s="417" t="s">
        <v>1133</v>
      </c>
      <c r="AK7" s="417" t="s">
        <v>1228</v>
      </c>
      <c r="AL7" s="417"/>
      <c r="AM7" s="422" t="s">
        <v>1250</v>
      </c>
      <c r="AN7" s="394" t="s">
        <v>1504</v>
      </c>
      <c r="AO7" s="423">
        <v>1.09</v>
      </c>
      <c r="AP7" s="424">
        <f t="shared" si="3"/>
        <v>5454.36</v>
      </c>
      <c r="AQ7" s="424">
        <f t="shared" si="4"/>
        <v>42271.29</v>
      </c>
      <c r="AR7" s="425"/>
      <c r="AS7" s="416"/>
      <c r="AT7" s="416" t="s">
        <v>1254</v>
      </c>
      <c r="AU7" s="416"/>
      <c r="AV7" s="416"/>
      <c r="AW7" s="416"/>
      <c r="AX7" s="416"/>
      <c r="AY7" s="416"/>
      <c r="AZ7" s="416"/>
      <c r="BA7" s="416"/>
      <c r="BB7" s="416" t="str">
        <f t="shared" si="5"/>
        <v>Target Corporation</v>
      </c>
      <c r="BC7" s="416" t="str">
        <f t="shared" si="6"/>
        <v>美国</v>
      </c>
    </row>
    <row r="8" s="378" customFormat="1" customHeight="1" spans="1:55">
      <c r="A8" s="403">
        <v>46135</v>
      </c>
      <c r="B8" s="403" t="str">
        <f ca="1" t="shared" si="0"/>
        <v/>
      </c>
      <c r="C8" s="404" t="str">
        <f>VLOOKUP(H8,名称!A:E,4,0)</f>
        <v>蛋糕</v>
      </c>
      <c r="D8" s="408" t="s">
        <v>1502</v>
      </c>
      <c r="E8" s="408" t="s">
        <v>1224</v>
      </c>
      <c r="F8" s="408" t="s">
        <v>770</v>
      </c>
      <c r="G8" s="408" t="s">
        <v>771</v>
      </c>
      <c r="H8" s="408" t="s">
        <v>50</v>
      </c>
      <c r="I8" s="404"/>
      <c r="J8" s="426">
        <v>10008</v>
      </c>
      <c r="K8" s="205">
        <f>VLOOKUP(H8,名称!A:C,2,0)</f>
        <v>0</v>
      </c>
      <c r="L8" s="394">
        <f t="shared" si="1"/>
        <v>0</v>
      </c>
      <c r="M8" s="404">
        <f>VLOOKUP(H8,名称!A:E,3,0)</f>
        <v>18</v>
      </c>
      <c r="N8" s="406">
        <f t="shared" si="2"/>
        <v>556</v>
      </c>
      <c r="O8" s="427">
        <v>46230</v>
      </c>
      <c r="P8" s="403">
        <f>O8</f>
        <v>46230</v>
      </c>
      <c r="Q8" s="403">
        <v>46233</v>
      </c>
      <c r="R8" s="404" t="s">
        <v>1241</v>
      </c>
      <c r="S8" s="413" t="s">
        <v>1133</v>
      </c>
      <c r="T8" s="404"/>
      <c r="U8" s="404"/>
      <c r="V8" s="409">
        <v>46247</v>
      </c>
      <c r="W8" s="404" t="str">
        <f>IFERROR(VLOOKUP(H8,名称!A:F,6,0),"")</f>
        <v>东莞</v>
      </c>
      <c r="X8" s="408" t="s">
        <v>1332</v>
      </c>
      <c r="Y8" s="404" t="s">
        <v>1228</v>
      </c>
      <c r="Z8" s="404" t="s">
        <v>1503</v>
      </c>
      <c r="AA8" s="414">
        <v>46135</v>
      </c>
      <c r="AB8" s="414">
        <v>46135</v>
      </c>
      <c r="AC8" s="404" t="s">
        <v>1133</v>
      </c>
      <c r="AD8" s="404" t="s">
        <v>1133</v>
      </c>
      <c r="AE8" s="408" t="s">
        <v>510</v>
      </c>
      <c r="AF8" s="404" t="s">
        <v>1228</v>
      </c>
      <c r="AG8" s="408" t="s">
        <v>510</v>
      </c>
      <c r="AH8" s="404" t="s">
        <v>1133</v>
      </c>
      <c r="AI8" s="404" t="s">
        <v>1228</v>
      </c>
      <c r="AJ8" s="404" t="s">
        <v>1133</v>
      </c>
      <c r="AK8" s="404" t="s">
        <v>1228</v>
      </c>
      <c r="AL8" s="404"/>
      <c r="AM8" s="415" t="s">
        <v>1267</v>
      </c>
      <c r="AN8" s="406" t="s">
        <v>1504</v>
      </c>
      <c r="AO8" s="410">
        <v>1.09</v>
      </c>
      <c r="AP8" s="411">
        <f t="shared" si="3"/>
        <v>10908.72</v>
      </c>
      <c r="AQ8" s="411">
        <f t="shared" si="4"/>
        <v>84542.58</v>
      </c>
      <c r="AR8" s="412"/>
      <c r="AS8" s="403"/>
      <c r="AT8" s="403" t="s">
        <v>1220</v>
      </c>
      <c r="AU8" s="403"/>
      <c r="AV8" s="403"/>
      <c r="AW8" s="403"/>
      <c r="AX8" s="403"/>
      <c r="AY8" s="403"/>
      <c r="AZ8" s="403"/>
      <c r="BA8" s="403"/>
      <c r="BB8" s="403" t="str">
        <f t="shared" si="5"/>
        <v>Target Corporation</v>
      </c>
      <c r="BC8" s="403" t="str">
        <f t="shared" si="6"/>
        <v>美国</v>
      </c>
    </row>
    <row r="9" s="378" customFormat="1" customHeight="1" spans="1:55">
      <c r="A9" s="403">
        <v>46139</v>
      </c>
      <c r="B9" s="403" t="str">
        <f ca="1" t="shared" si="0"/>
        <v/>
      </c>
      <c r="C9" s="404" t="str">
        <f>VLOOKUP(H9,名称!A:E,4,0)</f>
        <v>蛋糕</v>
      </c>
      <c r="D9" s="408" t="s">
        <v>1330</v>
      </c>
      <c r="E9" s="408" t="s">
        <v>1325</v>
      </c>
      <c r="F9" s="408" t="s">
        <v>785</v>
      </c>
      <c r="G9" s="408" t="s">
        <v>786</v>
      </c>
      <c r="H9" s="408" t="s">
        <v>129</v>
      </c>
      <c r="I9" s="404"/>
      <c r="J9" s="426">
        <f t="shared" ref="J9:J11" si="7">1008-18</f>
        <v>990</v>
      </c>
      <c r="K9" s="205">
        <f>VLOOKUP(H9,名称!A:C,2,0)</f>
        <v>0</v>
      </c>
      <c r="L9" s="394">
        <f t="shared" si="1"/>
        <v>0</v>
      </c>
      <c r="M9" s="404">
        <v>30</v>
      </c>
      <c r="N9" s="406">
        <f t="shared" si="2"/>
        <v>33</v>
      </c>
      <c r="O9" s="427">
        <v>46200</v>
      </c>
      <c r="P9" s="403">
        <v>46209</v>
      </c>
      <c r="Q9" s="403">
        <v>46209</v>
      </c>
      <c r="R9" s="404" t="s">
        <v>1241</v>
      </c>
      <c r="S9" s="413" t="s">
        <v>1133</v>
      </c>
      <c r="T9" s="404"/>
      <c r="U9" s="404"/>
      <c r="V9" s="404"/>
      <c r="W9" s="404" t="str">
        <f>IFERROR(VLOOKUP(H9,名称!A:F,6,0),"")</f>
        <v>东莞</v>
      </c>
      <c r="X9" s="408" t="s">
        <v>1332</v>
      </c>
      <c r="Y9" s="404" t="s">
        <v>1233</v>
      </c>
      <c r="Z9" s="409">
        <v>46163</v>
      </c>
      <c r="AA9" s="414">
        <v>46172</v>
      </c>
      <c r="AB9" s="409">
        <v>46189</v>
      </c>
      <c r="AC9" s="404" t="s">
        <v>1133</v>
      </c>
      <c r="AD9" s="404" t="s">
        <v>1133</v>
      </c>
      <c r="AE9" s="408" t="s">
        <v>510</v>
      </c>
      <c r="AF9" s="404" t="s">
        <v>1228</v>
      </c>
      <c r="AG9" s="408" t="s">
        <v>510</v>
      </c>
      <c r="AH9" s="404" t="s">
        <v>1133</v>
      </c>
      <c r="AI9" s="404" t="s">
        <v>1228</v>
      </c>
      <c r="AJ9" s="404" t="s">
        <v>1133</v>
      </c>
      <c r="AK9" s="404" t="s">
        <v>1228</v>
      </c>
      <c r="AL9" s="404"/>
      <c r="AM9" s="415" t="s">
        <v>1506</v>
      </c>
      <c r="AN9" s="408" t="s">
        <v>1508</v>
      </c>
      <c r="AO9" s="410">
        <v>1.2</v>
      </c>
      <c r="AP9" s="411">
        <f t="shared" si="3"/>
        <v>1188</v>
      </c>
      <c r="AQ9" s="411">
        <f t="shared" si="4"/>
        <v>9207</v>
      </c>
      <c r="AR9" s="412"/>
      <c r="AS9" s="403"/>
      <c r="AT9" s="403" t="s">
        <v>1310</v>
      </c>
      <c r="AU9" s="403"/>
      <c r="AV9" s="403"/>
      <c r="AW9" s="403" t="s">
        <v>1228</v>
      </c>
      <c r="AX9" s="403"/>
      <c r="AY9" s="403"/>
      <c r="AZ9" s="403"/>
      <c r="BA9" s="403"/>
      <c r="BB9" s="403" t="str">
        <f t="shared" si="5"/>
        <v>Amazon</v>
      </c>
      <c r="BC9" s="403" t="str">
        <f t="shared" si="6"/>
        <v>加拿大</v>
      </c>
    </row>
    <row r="10" s="378" customFormat="1" customHeight="1" spans="1:55">
      <c r="A10" s="403">
        <v>46139</v>
      </c>
      <c r="B10" s="403" t="str">
        <f ca="1" t="shared" si="0"/>
        <v/>
      </c>
      <c r="C10" s="404" t="str">
        <f>VLOOKUP(H10,名称!A:E,4,0)</f>
        <v>蛋糕</v>
      </c>
      <c r="D10" s="408" t="s">
        <v>1330</v>
      </c>
      <c r="E10" s="408" t="s">
        <v>1325</v>
      </c>
      <c r="F10" s="408" t="s">
        <v>785</v>
      </c>
      <c r="G10" s="408" t="s">
        <v>786</v>
      </c>
      <c r="H10" s="408" t="s">
        <v>130</v>
      </c>
      <c r="I10" s="404"/>
      <c r="J10" s="426">
        <f t="shared" si="7"/>
        <v>990</v>
      </c>
      <c r="K10" s="205">
        <f>VLOOKUP(H10,名称!A:C,2,0)</f>
        <v>0</v>
      </c>
      <c r="L10" s="394">
        <f t="shared" si="1"/>
        <v>0</v>
      </c>
      <c r="M10" s="404">
        <v>30</v>
      </c>
      <c r="N10" s="406">
        <f t="shared" si="2"/>
        <v>33</v>
      </c>
      <c r="O10" s="427">
        <v>46200</v>
      </c>
      <c r="P10" s="403">
        <v>46209</v>
      </c>
      <c r="Q10" s="403">
        <v>46209</v>
      </c>
      <c r="R10" s="404" t="s">
        <v>1241</v>
      </c>
      <c r="S10" s="413" t="s">
        <v>1133</v>
      </c>
      <c r="T10" s="404"/>
      <c r="U10" s="404"/>
      <c r="V10" s="404"/>
      <c r="W10" s="404" t="str">
        <f>IFERROR(VLOOKUP(H10,名称!A:F,6,0),"")</f>
        <v>东莞</v>
      </c>
      <c r="X10" s="408" t="s">
        <v>1332</v>
      </c>
      <c r="Y10" s="404" t="s">
        <v>1233</v>
      </c>
      <c r="Z10" s="409">
        <v>46163</v>
      </c>
      <c r="AA10" s="414">
        <v>46172</v>
      </c>
      <c r="AB10" s="409">
        <v>46189</v>
      </c>
      <c r="AC10" s="404" t="s">
        <v>1133</v>
      </c>
      <c r="AD10" s="404" t="s">
        <v>1133</v>
      </c>
      <c r="AE10" s="408" t="s">
        <v>510</v>
      </c>
      <c r="AF10" s="404" t="s">
        <v>1228</v>
      </c>
      <c r="AG10" s="408" t="s">
        <v>510</v>
      </c>
      <c r="AH10" s="404" t="s">
        <v>1133</v>
      </c>
      <c r="AI10" s="404" t="s">
        <v>1228</v>
      </c>
      <c r="AJ10" s="404" t="s">
        <v>1133</v>
      </c>
      <c r="AK10" s="404" t="s">
        <v>1228</v>
      </c>
      <c r="AL10" s="404"/>
      <c r="AM10" s="415" t="s">
        <v>1506</v>
      </c>
      <c r="AN10" s="408" t="s">
        <v>1508</v>
      </c>
      <c r="AO10" s="410">
        <v>1.2</v>
      </c>
      <c r="AP10" s="411">
        <f t="shared" si="3"/>
        <v>1188</v>
      </c>
      <c r="AQ10" s="411">
        <f t="shared" si="4"/>
        <v>9207</v>
      </c>
      <c r="AR10" s="412"/>
      <c r="AS10" s="403"/>
      <c r="AT10" s="403" t="s">
        <v>1310</v>
      </c>
      <c r="AU10" s="403"/>
      <c r="AV10" s="403"/>
      <c r="AW10" s="403" t="s">
        <v>1228</v>
      </c>
      <c r="AX10" s="403"/>
      <c r="AY10" s="403"/>
      <c r="AZ10" s="403"/>
      <c r="BA10" s="403"/>
      <c r="BB10" s="403" t="str">
        <f t="shared" si="5"/>
        <v>Amazon</v>
      </c>
      <c r="BC10" s="403" t="str">
        <f t="shared" si="6"/>
        <v>加拿大</v>
      </c>
    </row>
    <row r="11" s="378" customFormat="1" customHeight="1" spans="1:55">
      <c r="A11" s="403">
        <v>46139</v>
      </c>
      <c r="B11" s="403" t="str">
        <f ca="1" t="shared" si="0"/>
        <v/>
      </c>
      <c r="C11" s="404" t="str">
        <f>VLOOKUP(H11,名称!A:E,4,0)</f>
        <v>蛋糕</v>
      </c>
      <c r="D11" s="408" t="s">
        <v>1330</v>
      </c>
      <c r="E11" s="408" t="s">
        <v>1325</v>
      </c>
      <c r="F11" s="408" t="s">
        <v>785</v>
      </c>
      <c r="G11" s="408" t="s">
        <v>786</v>
      </c>
      <c r="H11" s="408" t="s">
        <v>131</v>
      </c>
      <c r="I11" s="404"/>
      <c r="J11" s="426">
        <f t="shared" si="7"/>
        <v>990</v>
      </c>
      <c r="K11" s="205">
        <f>VLOOKUP(H11,名称!A:C,2,0)</f>
        <v>0</v>
      </c>
      <c r="L11" s="394">
        <f t="shared" si="1"/>
        <v>0</v>
      </c>
      <c r="M11" s="404">
        <v>30</v>
      </c>
      <c r="N11" s="406">
        <f t="shared" si="2"/>
        <v>33</v>
      </c>
      <c r="O11" s="427">
        <v>46200</v>
      </c>
      <c r="P11" s="403">
        <v>46209</v>
      </c>
      <c r="Q11" s="403">
        <v>46209</v>
      </c>
      <c r="R11" s="404" t="s">
        <v>1241</v>
      </c>
      <c r="S11" s="413" t="s">
        <v>1133</v>
      </c>
      <c r="T11" s="404"/>
      <c r="U11" s="404"/>
      <c r="V11" s="404"/>
      <c r="W11" s="404" t="str">
        <f>IFERROR(VLOOKUP(H11,名称!A:F,6,0),"")</f>
        <v>东莞</v>
      </c>
      <c r="X11" s="408" t="s">
        <v>1332</v>
      </c>
      <c r="Y11" s="404" t="s">
        <v>1233</v>
      </c>
      <c r="Z11" s="409">
        <v>46163</v>
      </c>
      <c r="AA11" s="414">
        <v>46172</v>
      </c>
      <c r="AB11" s="409">
        <v>46189</v>
      </c>
      <c r="AC11" s="404" t="s">
        <v>1133</v>
      </c>
      <c r="AD11" s="404" t="s">
        <v>1133</v>
      </c>
      <c r="AE11" s="408" t="s">
        <v>510</v>
      </c>
      <c r="AF11" s="404" t="s">
        <v>1228</v>
      </c>
      <c r="AG11" s="408" t="s">
        <v>510</v>
      </c>
      <c r="AH11" s="404" t="s">
        <v>1133</v>
      </c>
      <c r="AI11" s="404" t="s">
        <v>1228</v>
      </c>
      <c r="AJ11" s="404" t="s">
        <v>1133</v>
      </c>
      <c r="AK11" s="404" t="s">
        <v>1228</v>
      </c>
      <c r="AL11" s="404"/>
      <c r="AM11" s="415" t="s">
        <v>1506</v>
      </c>
      <c r="AN11" s="408" t="s">
        <v>1508</v>
      </c>
      <c r="AO11" s="410">
        <v>1.2</v>
      </c>
      <c r="AP11" s="411">
        <f t="shared" si="3"/>
        <v>1188</v>
      </c>
      <c r="AQ11" s="411">
        <f t="shared" si="4"/>
        <v>9207</v>
      </c>
      <c r="AR11" s="412"/>
      <c r="AS11" s="403"/>
      <c r="AT11" s="403" t="s">
        <v>1310</v>
      </c>
      <c r="AU11" s="403"/>
      <c r="AV11" s="403"/>
      <c r="AW11" s="403" t="s">
        <v>1228</v>
      </c>
      <c r="AX11" s="403"/>
      <c r="AY11" s="403"/>
      <c r="AZ11" s="403"/>
      <c r="BA11" s="403"/>
      <c r="BB11" s="403" t="str">
        <f t="shared" si="5"/>
        <v>Amazon</v>
      </c>
      <c r="BC11" s="403" t="str">
        <f t="shared" si="6"/>
        <v>加拿大</v>
      </c>
    </row>
    <row r="12" s="378" customFormat="1" customHeight="1" spans="1:55">
      <c r="A12" s="403">
        <v>46139</v>
      </c>
      <c r="B12" s="403" t="str">
        <f ca="1" t="shared" si="0"/>
        <v/>
      </c>
      <c r="C12" s="404" t="str">
        <f>VLOOKUP(H12,名称!A:E,4,0)</f>
        <v>蛋糕</v>
      </c>
      <c r="D12" s="408" t="s">
        <v>1330</v>
      </c>
      <c r="E12" s="408" t="s">
        <v>1224</v>
      </c>
      <c r="F12" s="408" t="s">
        <v>791</v>
      </c>
      <c r="G12" s="408" t="s">
        <v>792</v>
      </c>
      <c r="H12" s="408" t="s">
        <v>131</v>
      </c>
      <c r="I12" s="404"/>
      <c r="J12" s="426">
        <f>5580-5160</f>
        <v>420</v>
      </c>
      <c r="K12" s="205">
        <f>VLOOKUP(H12,名称!A:C,2,0)</f>
        <v>0</v>
      </c>
      <c r="L12" s="394">
        <f t="shared" si="1"/>
        <v>0</v>
      </c>
      <c r="M12" s="404">
        <v>30</v>
      </c>
      <c r="N12" s="406">
        <f t="shared" si="2"/>
        <v>14</v>
      </c>
      <c r="O12" s="427">
        <v>46200</v>
      </c>
      <c r="P12" s="403">
        <v>46224</v>
      </c>
      <c r="Q12" s="403">
        <v>46224</v>
      </c>
      <c r="R12" s="404" t="s">
        <v>1241</v>
      </c>
      <c r="S12" s="413" t="s">
        <v>1133</v>
      </c>
      <c r="T12" s="404"/>
      <c r="U12" s="404"/>
      <c r="V12" s="404"/>
      <c r="W12" s="404" t="str">
        <f>IFERROR(VLOOKUP(H12,名称!A:F,6,0),"")</f>
        <v>东莞</v>
      </c>
      <c r="X12" s="408" t="s">
        <v>1509</v>
      </c>
      <c r="Y12" s="404" t="s">
        <v>1228</v>
      </c>
      <c r="Z12" s="409">
        <v>46163</v>
      </c>
      <c r="AA12" s="414">
        <v>46172</v>
      </c>
      <c r="AB12" s="409">
        <v>46189</v>
      </c>
      <c r="AC12" s="404" t="s">
        <v>1133</v>
      </c>
      <c r="AD12" s="404" t="s">
        <v>1133</v>
      </c>
      <c r="AE12" s="408" t="s">
        <v>510</v>
      </c>
      <c r="AF12" s="404" t="s">
        <v>1228</v>
      </c>
      <c r="AG12" s="408" t="s">
        <v>510</v>
      </c>
      <c r="AH12" s="404" t="s">
        <v>1133</v>
      </c>
      <c r="AI12" s="404" t="s">
        <v>1228</v>
      </c>
      <c r="AJ12" s="404" t="s">
        <v>1133</v>
      </c>
      <c r="AK12" s="404" t="s">
        <v>1228</v>
      </c>
      <c r="AL12" s="404"/>
      <c r="AM12" s="415" t="s">
        <v>1506</v>
      </c>
      <c r="AN12" s="408" t="s">
        <v>1510</v>
      </c>
      <c r="AO12" s="410">
        <v>1.2</v>
      </c>
      <c r="AP12" s="411">
        <f t="shared" si="3"/>
        <v>504</v>
      </c>
      <c r="AQ12" s="411">
        <f t="shared" si="4"/>
        <v>3906</v>
      </c>
      <c r="AR12" s="412"/>
      <c r="AS12" s="403"/>
      <c r="AT12" s="403" t="s">
        <v>1310</v>
      </c>
      <c r="AU12" s="403"/>
      <c r="AV12" s="403"/>
      <c r="AW12" s="403" t="s">
        <v>1228</v>
      </c>
      <c r="AX12" s="403"/>
      <c r="AY12" s="403"/>
      <c r="AZ12" s="403"/>
      <c r="BA12" s="403"/>
      <c r="BB12" s="403" t="str">
        <f t="shared" si="5"/>
        <v>Amazon</v>
      </c>
      <c r="BC12" s="403" t="str">
        <f t="shared" si="6"/>
        <v>美国</v>
      </c>
    </row>
    <row r="13" s="378" customFormat="1" customHeight="1" spans="1:55">
      <c r="A13" s="403">
        <v>46154</v>
      </c>
      <c r="B13" s="403" t="str">
        <f ca="1" t="shared" si="0"/>
        <v/>
      </c>
      <c r="C13" s="404" t="str">
        <f>VLOOKUP(H13,名称!A:E,4,0)</f>
        <v>蛋糕</v>
      </c>
      <c r="D13" s="405" t="s">
        <v>1511</v>
      </c>
      <c r="E13" s="405" t="s">
        <v>1224</v>
      </c>
      <c r="F13" s="404" t="s">
        <v>839</v>
      </c>
      <c r="G13" s="404" t="s">
        <v>840</v>
      </c>
      <c r="H13" s="404" t="s">
        <v>123</v>
      </c>
      <c r="I13" s="404"/>
      <c r="J13" s="426">
        <v>120</v>
      </c>
      <c r="K13" s="407">
        <f>VLOOKUP(H13,名称!A:C,2,0)</f>
        <v>0</v>
      </c>
      <c r="L13" s="406">
        <f t="shared" si="1"/>
        <v>0</v>
      </c>
      <c r="M13" s="404">
        <f>VLOOKUP(H13,名称!A:E,3,0)</f>
        <v>24</v>
      </c>
      <c r="N13" s="406">
        <f t="shared" si="2"/>
        <v>5</v>
      </c>
      <c r="O13" s="403">
        <v>46164</v>
      </c>
      <c r="P13" s="427">
        <f t="shared" ref="P13:P20" si="8">O13</f>
        <v>46164</v>
      </c>
      <c r="Q13" s="403" t="s">
        <v>1133</v>
      </c>
      <c r="R13" s="404"/>
      <c r="S13" s="413" t="s">
        <v>1133</v>
      </c>
      <c r="T13" s="404"/>
      <c r="U13" s="404"/>
      <c r="V13" s="404"/>
      <c r="W13" s="404" t="str">
        <f>IFERROR(VLOOKUP(H13,名称!A:F,6,0),"")</f>
        <v>东莞</v>
      </c>
      <c r="X13" s="415" t="s">
        <v>1133</v>
      </c>
      <c r="Y13" s="404" t="s">
        <v>1133</v>
      </c>
      <c r="Z13" s="404" t="s">
        <v>1133</v>
      </c>
      <c r="AA13" s="404" t="s">
        <v>1133</v>
      </c>
      <c r="AB13" s="404" t="s">
        <v>1133</v>
      </c>
      <c r="AC13" s="404" t="s">
        <v>1133</v>
      </c>
      <c r="AD13" s="404" t="s">
        <v>1133</v>
      </c>
      <c r="AE13" s="404" t="s">
        <v>334</v>
      </c>
      <c r="AF13" s="404" t="s">
        <v>1228</v>
      </c>
      <c r="AG13" s="404" t="s">
        <v>334</v>
      </c>
      <c r="AH13" s="404" t="s">
        <v>1133</v>
      </c>
      <c r="AI13" s="404" t="s">
        <v>1228</v>
      </c>
      <c r="AJ13" s="404" t="s">
        <v>1133</v>
      </c>
      <c r="AK13" s="404" t="s">
        <v>1228</v>
      </c>
      <c r="AL13" s="404"/>
      <c r="AM13" s="415" t="s">
        <v>1512</v>
      </c>
      <c r="AN13" s="406" t="s">
        <v>1513</v>
      </c>
      <c r="AO13" s="410">
        <v>0.81</v>
      </c>
      <c r="AP13" s="411">
        <f t="shared" si="3"/>
        <v>97.2</v>
      </c>
      <c r="AQ13" s="411">
        <f t="shared" si="4"/>
        <v>753.3</v>
      </c>
      <c r="AR13" s="412"/>
      <c r="AS13" s="403"/>
      <c r="AT13" s="404" t="s">
        <v>839</v>
      </c>
      <c r="AU13" s="403"/>
      <c r="AV13" s="403"/>
      <c r="AW13" s="403"/>
      <c r="AX13" s="403"/>
      <c r="AY13" s="403"/>
      <c r="AZ13" s="403"/>
      <c r="BA13" s="403"/>
      <c r="BB13" s="404" t="str">
        <f t="shared" si="5"/>
        <v>Skycastle</v>
      </c>
      <c r="BC13" s="404" t="str">
        <f t="shared" si="6"/>
        <v>美国</v>
      </c>
    </row>
    <row r="14" s="378" customFormat="1" customHeight="1" spans="1:55">
      <c r="A14" s="403">
        <v>46154</v>
      </c>
      <c r="B14" s="403" t="str">
        <f ca="1" t="shared" si="0"/>
        <v/>
      </c>
      <c r="C14" s="404" t="str">
        <f>VLOOKUP(H14,名称!A:E,4,0)</f>
        <v>蛋糕</v>
      </c>
      <c r="D14" s="405" t="s">
        <v>1511</v>
      </c>
      <c r="E14" s="405" t="s">
        <v>1224</v>
      </c>
      <c r="F14" s="404" t="s">
        <v>839</v>
      </c>
      <c r="G14" s="404" t="s">
        <v>840</v>
      </c>
      <c r="H14" s="404" t="s">
        <v>123</v>
      </c>
      <c r="I14" s="404"/>
      <c r="J14" s="426">
        <v>200</v>
      </c>
      <c r="K14" s="407">
        <f>VLOOKUP(H14,名称!A:C,2,0)</f>
        <v>0</v>
      </c>
      <c r="L14" s="406">
        <f t="shared" si="1"/>
        <v>0</v>
      </c>
      <c r="M14" s="404">
        <f>VLOOKUP(H14,名称!A:E,3,0)</f>
        <v>24</v>
      </c>
      <c r="N14" s="406">
        <f t="shared" si="2"/>
        <v>8.33333333333333</v>
      </c>
      <c r="O14" s="403">
        <v>46167</v>
      </c>
      <c r="P14" s="427">
        <f t="shared" si="8"/>
        <v>46167</v>
      </c>
      <c r="Q14" s="403" t="s">
        <v>1133</v>
      </c>
      <c r="R14" s="404"/>
      <c r="S14" s="413" t="s">
        <v>1133</v>
      </c>
      <c r="T14" s="404"/>
      <c r="U14" s="404" t="s">
        <v>1514</v>
      </c>
      <c r="V14" s="404"/>
      <c r="W14" s="404" t="str">
        <f>IFERROR(VLOOKUP(H14,名称!A:F,6,0),"")</f>
        <v>东莞</v>
      </c>
      <c r="X14" s="415" t="s">
        <v>1133</v>
      </c>
      <c r="Y14" s="404" t="s">
        <v>1133</v>
      </c>
      <c r="Z14" s="404" t="s">
        <v>1133</v>
      </c>
      <c r="AA14" s="404" t="s">
        <v>1133</v>
      </c>
      <c r="AB14" s="404" t="s">
        <v>1133</v>
      </c>
      <c r="AC14" s="404" t="s">
        <v>1133</v>
      </c>
      <c r="AD14" s="404" t="s">
        <v>1133</v>
      </c>
      <c r="AE14" s="404" t="s">
        <v>510</v>
      </c>
      <c r="AF14" s="404" t="s">
        <v>1228</v>
      </c>
      <c r="AG14" s="404" t="s">
        <v>510</v>
      </c>
      <c r="AH14" s="404" t="s">
        <v>1133</v>
      </c>
      <c r="AI14" s="404" t="s">
        <v>1228</v>
      </c>
      <c r="AJ14" s="404" t="s">
        <v>1133</v>
      </c>
      <c r="AK14" s="404" t="s">
        <v>1228</v>
      </c>
      <c r="AL14" s="404"/>
      <c r="AM14" s="415" t="s">
        <v>1359</v>
      </c>
      <c r="AN14" s="406" t="s">
        <v>1515</v>
      </c>
      <c r="AO14" s="410">
        <v>0.81</v>
      </c>
      <c r="AP14" s="411">
        <f t="shared" si="3"/>
        <v>162</v>
      </c>
      <c r="AQ14" s="411">
        <f t="shared" si="4"/>
        <v>1255.5</v>
      </c>
      <c r="AR14" s="412"/>
      <c r="AS14" s="403"/>
      <c r="AT14" s="404" t="s">
        <v>839</v>
      </c>
      <c r="AU14" s="403"/>
      <c r="AV14" s="403"/>
      <c r="AW14" s="403"/>
      <c r="AX14" s="403"/>
      <c r="AY14" s="403"/>
      <c r="AZ14" s="403"/>
      <c r="BA14" s="403"/>
      <c r="BB14" s="404" t="str">
        <f t="shared" si="5"/>
        <v>Skycastle</v>
      </c>
      <c r="BC14" s="404" t="str">
        <f t="shared" si="6"/>
        <v>美国</v>
      </c>
    </row>
    <row r="15" s="378" customFormat="1" customHeight="1" spans="1:55">
      <c r="A15" s="403">
        <v>46154</v>
      </c>
      <c r="B15" s="403" t="str">
        <f ca="1" t="shared" si="0"/>
        <v/>
      </c>
      <c r="C15" s="404" t="str">
        <f>VLOOKUP(H15,名称!A:E,4,0)</f>
        <v>蛋糕</v>
      </c>
      <c r="D15" s="405" t="s">
        <v>1511</v>
      </c>
      <c r="E15" s="405" t="s">
        <v>1224</v>
      </c>
      <c r="F15" s="404" t="s">
        <v>839</v>
      </c>
      <c r="G15" s="404" t="s">
        <v>840</v>
      </c>
      <c r="H15" s="404" t="s">
        <v>50</v>
      </c>
      <c r="I15" s="404"/>
      <c r="J15" s="426">
        <v>36</v>
      </c>
      <c r="K15" s="407">
        <f>VLOOKUP(H15,名称!A:C,2,0)</f>
        <v>0</v>
      </c>
      <c r="L15" s="406">
        <f t="shared" si="1"/>
        <v>0</v>
      </c>
      <c r="M15" s="404">
        <f>VLOOKUP(H15,名称!A:E,3,0)</f>
        <v>18</v>
      </c>
      <c r="N15" s="406">
        <f t="shared" si="2"/>
        <v>2</v>
      </c>
      <c r="O15" s="403">
        <v>46162</v>
      </c>
      <c r="P15" s="427">
        <f t="shared" si="8"/>
        <v>46162</v>
      </c>
      <c r="Q15" s="403" t="s">
        <v>1133</v>
      </c>
      <c r="R15" s="404"/>
      <c r="S15" s="413" t="s">
        <v>1133</v>
      </c>
      <c r="T15" s="404"/>
      <c r="U15" s="404"/>
      <c r="V15" s="404"/>
      <c r="W15" s="404" t="str">
        <f>IFERROR(VLOOKUP(H15,名称!A:F,6,0),"")</f>
        <v>东莞</v>
      </c>
      <c r="X15" s="415" t="s">
        <v>1133</v>
      </c>
      <c r="Y15" s="404" t="s">
        <v>1133</v>
      </c>
      <c r="Z15" s="404" t="s">
        <v>1133</v>
      </c>
      <c r="AA15" s="404" t="s">
        <v>1133</v>
      </c>
      <c r="AB15" s="404" t="s">
        <v>1133</v>
      </c>
      <c r="AC15" s="404" t="s">
        <v>1133</v>
      </c>
      <c r="AD15" s="404" t="s">
        <v>1133</v>
      </c>
      <c r="AE15" s="404" t="s">
        <v>334</v>
      </c>
      <c r="AF15" s="404" t="s">
        <v>1228</v>
      </c>
      <c r="AG15" s="404" t="s">
        <v>334</v>
      </c>
      <c r="AH15" s="404" t="s">
        <v>1133</v>
      </c>
      <c r="AI15" s="404" t="s">
        <v>1228</v>
      </c>
      <c r="AJ15" s="404" t="s">
        <v>1133</v>
      </c>
      <c r="AK15" s="404" t="s">
        <v>1228</v>
      </c>
      <c r="AL15" s="404"/>
      <c r="AM15" s="415" t="s">
        <v>1516</v>
      </c>
      <c r="AN15" s="406" t="s">
        <v>1354</v>
      </c>
      <c r="AO15" s="410"/>
      <c r="AP15" s="411">
        <f t="shared" si="3"/>
        <v>0</v>
      </c>
      <c r="AQ15" s="411">
        <f t="shared" si="4"/>
        <v>0</v>
      </c>
      <c r="AR15" s="412"/>
      <c r="AS15" s="403"/>
      <c r="AT15" s="404" t="s">
        <v>839</v>
      </c>
      <c r="AU15" s="403"/>
      <c r="AV15" s="403"/>
      <c r="AW15" s="403"/>
      <c r="AX15" s="403"/>
      <c r="AY15" s="403"/>
      <c r="AZ15" s="403"/>
      <c r="BA15" s="403"/>
      <c r="BB15" s="404" t="str">
        <f t="shared" si="5"/>
        <v>Skycastle</v>
      </c>
      <c r="BC15" s="404" t="str">
        <f t="shared" si="6"/>
        <v>美国</v>
      </c>
    </row>
    <row r="16" s="378" customFormat="1" customHeight="1" spans="1:55">
      <c r="A16" s="403">
        <v>46154</v>
      </c>
      <c r="B16" s="403" t="str">
        <f ca="1" t="shared" si="0"/>
        <v/>
      </c>
      <c r="C16" s="404" t="str">
        <f>VLOOKUP(H16,名称!A:E,4,0)</f>
        <v>蛋糕</v>
      </c>
      <c r="D16" s="405" t="s">
        <v>1511</v>
      </c>
      <c r="E16" s="405" t="s">
        <v>1224</v>
      </c>
      <c r="F16" s="404" t="s">
        <v>839</v>
      </c>
      <c r="G16" s="404" t="s">
        <v>840</v>
      </c>
      <c r="H16" s="404" t="s">
        <v>50</v>
      </c>
      <c r="I16" s="404"/>
      <c r="J16" s="426">
        <v>90</v>
      </c>
      <c r="K16" s="407">
        <f>VLOOKUP(H16,名称!A:C,2,0)</f>
        <v>0</v>
      </c>
      <c r="L16" s="406">
        <f t="shared" si="1"/>
        <v>0</v>
      </c>
      <c r="M16" s="404">
        <f>VLOOKUP(H16,名称!A:E,3,0)</f>
        <v>18</v>
      </c>
      <c r="N16" s="406">
        <f t="shared" si="2"/>
        <v>5</v>
      </c>
      <c r="O16" s="403">
        <v>46164</v>
      </c>
      <c r="P16" s="427">
        <f t="shared" si="8"/>
        <v>46164</v>
      </c>
      <c r="Q16" s="403" t="s">
        <v>1133</v>
      </c>
      <c r="R16" s="404"/>
      <c r="S16" s="413" t="s">
        <v>1133</v>
      </c>
      <c r="T16" s="404"/>
      <c r="U16" s="404"/>
      <c r="V16" s="404"/>
      <c r="W16" s="404" t="str">
        <f>IFERROR(VLOOKUP(H16,名称!A:F,6,0),"")</f>
        <v>东莞</v>
      </c>
      <c r="X16" s="415" t="s">
        <v>1133</v>
      </c>
      <c r="Y16" s="404" t="s">
        <v>1133</v>
      </c>
      <c r="Z16" s="404" t="s">
        <v>1133</v>
      </c>
      <c r="AA16" s="404" t="s">
        <v>1133</v>
      </c>
      <c r="AB16" s="404" t="s">
        <v>1133</v>
      </c>
      <c r="AC16" s="404" t="s">
        <v>1133</v>
      </c>
      <c r="AD16" s="404" t="s">
        <v>1133</v>
      </c>
      <c r="AE16" s="404" t="s">
        <v>334</v>
      </c>
      <c r="AF16" s="404" t="s">
        <v>1228</v>
      </c>
      <c r="AG16" s="404" t="s">
        <v>334</v>
      </c>
      <c r="AH16" s="404" t="s">
        <v>1133</v>
      </c>
      <c r="AI16" s="404" t="s">
        <v>1228</v>
      </c>
      <c r="AJ16" s="404" t="s">
        <v>1133</v>
      </c>
      <c r="AK16" s="404" t="s">
        <v>1228</v>
      </c>
      <c r="AL16" s="404"/>
      <c r="AM16" s="415" t="s">
        <v>1517</v>
      </c>
      <c r="AN16" s="406" t="s">
        <v>1513</v>
      </c>
      <c r="AO16" s="410"/>
      <c r="AP16" s="411">
        <f t="shared" si="3"/>
        <v>0</v>
      </c>
      <c r="AQ16" s="411">
        <f t="shared" si="4"/>
        <v>0</v>
      </c>
      <c r="AR16" s="412"/>
      <c r="AS16" s="403"/>
      <c r="AT16" s="404" t="s">
        <v>839</v>
      </c>
      <c r="AU16" s="403"/>
      <c r="AV16" s="403"/>
      <c r="AW16" s="403"/>
      <c r="AX16" s="403"/>
      <c r="AY16" s="403"/>
      <c r="AZ16" s="403"/>
      <c r="BA16" s="403"/>
      <c r="BB16" s="404" t="str">
        <f t="shared" si="5"/>
        <v>Skycastle</v>
      </c>
      <c r="BC16" s="404" t="str">
        <f t="shared" si="6"/>
        <v>美国</v>
      </c>
    </row>
    <row r="17" s="378" customFormat="1" customHeight="1" spans="1:55">
      <c r="A17" s="403">
        <v>46154</v>
      </c>
      <c r="B17" s="403" t="str">
        <f ca="1" t="shared" si="0"/>
        <v/>
      </c>
      <c r="C17" s="404" t="str">
        <f>VLOOKUP(H17,名称!A:E,4,0)</f>
        <v>蛋糕</v>
      </c>
      <c r="D17" s="405" t="s">
        <v>1511</v>
      </c>
      <c r="E17" s="405" t="s">
        <v>1224</v>
      </c>
      <c r="F17" s="404" t="s">
        <v>839</v>
      </c>
      <c r="G17" s="404" t="s">
        <v>840</v>
      </c>
      <c r="H17" s="404" t="s">
        <v>50</v>
      </c>
      <c r="I17" s="404"/>
      <c r="J17" s="426">
        <v>300</v>
      </c>
      <c r="K17" s="407">
        <f>VLOOKUP(H17,名称!A:C,2,0)</f>
        <v>0</v>
      </c>
      <c r="L17" s="406">
        <f t="shared" si="1"/>
        <v>0</v>
      </c>
      <c r="M17" s="404">
        <f>VLOOKUP(H17,名称!A:E,3,0)</f>
        <v>18</v>
      </c>
      <c r="N17" s="406">
        <f t="shared" si="2"/>
        <v>16.6666666666667</v>
      </c>
      <c r="O17" s="403">
        <v>46167</v>
      </c>
      <c r="P17" s="427">
        <f t="shared" si="8"/>
        <v>46167</v>
      </c>
      <c r="Q17" s="403" t="s">
        <v>1133</v>
      </c>
      <c r="R17" s="404"/>
      <c r="S17" s="413" t="s">
        <v>1133</v>
      </c>
      <c r="T17" s="404"/>
      <c r="U17" s="404" t="s">
        <v>1518</v>
      </c>
      <c r="V17" s="404"/>
      <c r="W17" s="404" t="str">
        <f>IFERROR(VLOOKUP(H17,名称!A:F,6,0),"")</f>
        <v>东莞</v>
      </c>
      <c r="X17" s="415" t="s">
        <v>1133</v>
      </c>
      <c r="Y17" s="404" t="s">
        <v>1133</v>
      </c>
      <c r="Z17" s="404" t="s">
        <v>1133</v>
      </c>
      <c r="AA17" s="404" t="s">
        <v>1133</v>
      </c>
      <c r="AB17" s="404" t="s">
        <v>1133</v>
      </c>
      <c r="AC17" s="404" t="s">
        <v>1133</v>
      </c>
      <c r="AD17" s="404" t="s">
        <v>1133</v>
      </c>
      <c r="AE17" s="404" t="s">
        <v>510</v>
      </c>
      <c r="AF17" s="404" t="s">
        <v>1228</v>
      </c>
      <c r="AG17" s="404" t="s">
        <v>510</v>
      </c>
      <c r="AH17" s="404" t="s">
        <v>1133</v>
      </c>
      <c r="AI17" s="404" t="s">
        <v>1228</v>
      </c>
      <c r="AJ17" s="404" t="s">
        <v>1133</v>
      </c>
      <c r="AK17" s="404" t="s">
        <v>1228</v>
      </c>
      <c r="AL17" s="404"/>
      <c r="AM17" s="415" t="s">
        <v>1359</v>
      </c>
      <c r="AN17" s="406" t="s">
        <v>1519</v>
      </c>
      <c r="AO17" s="410"/>
      <c r="AP17" s="411">
        <f t="shared" si="3"/>
        <v>0</v>
      </c>
      <c r="AQ17" s="411">
        <f t="shared" si="4"/>
        <v>0</v>
      </c>
      <c r="AR17" s="412"/>
      <c r="AS17" s="403"/>
      <c r="AT17" s="404" t="s">
        <v>839</v>
      </c>
      <c r="AU17" s="403"/>
      <c r="AV17" s="403"/>
      <c r="AW17" s="403"/>
      <c r="AX17" s="403"/>
      <c r="AY17" s="403"/>
      <c r="AZ17" s="403"/>
      <c r="BA17" s="403"/>
      <c r="BB17" s="404" t="str">
        <f t="shared" si="5"/>
        <v>Skycastle</v>
      </c>
      <c r="BC17" s="404" t="str">
        <f t="shared" si="6"/>
        <v>美国</v>
      </c>
    </row>
    <row r="18" s="378" customFormat="1" customHeight="1" spans="1:55">
      <c r="A18" s="403">
        <v>46154</v>
      </c>
      <c r="B18" s="403" t="str">
        <f ca="1" t="shared" si="0"/>
        <v/>
      </c>
      <c r="C18" s="404" t="str">
        <f>VLOOKUP(H18,名称!A:E,4,0)</f>
        <v>蛋糕</v>
      </c>
      <c r="D18" s="405" t="s">
        <v>1511</v>
      </c>
      <c r="E18" s="405" t="s">
        <v>1224</v>
      </c>
      <c r="F18" s="404" t="s">
        <v>839</v>
      </c>
      <c r="G18" s="404" t="s">
        <v>840</v>
      </c>
      <c r="H18" s="404" t="s">
        <v>106</v>
      </c>
      <c r="I18" s="404"/>
      <c r="J18" s="426">
        <v>18</v>
      </c>
      <c r="K18" s="407">
        <f>VLOOKUP(H18,名称!A:C,2,0)</f>
        <v>0</v>
      </c>
      <c r="L18" s="406">
        <f t="shared" si="1"/>
        <v>0</v>
      </c>
      <c r="M18" s="404">
        <f>VLOOKUP(H18,名称!A:E,3,0)</f>
        <v>9</v>
      </c>
      <c r="N18" s="406">
        <f t="shared" si="2"/>
        <v>2</v>
      </c>
      <c r="O18" s="403">
        <v>46162</v>
      </c>
      <c r="P18" s="427">
        <f t="shared" si="8"/>
        <v>46162</v>
      </c>
      <c r="Q18" s="403" t="s">
        <v>1133</v>
      </c>
      <c r="R18" s="404"/>
      <c r="S18" s="413" t="s">
        <v>1133</v>
      </c>
      <c r="T18" s="404"/>
      <c r="U18" s="404"/>
      <c r="V18" s="404"/>
      <c r="W18" s="404" t="str">
        <f>IFERROR(VLOOKUP(H18,名称!A:F,6,0),"")</f>
        <v>东莞</v>
      </c>
      <c r="X18" s="415" t="s">
        <v>1133</v>
      </c>
      <c r="Y18" s="404" t="s">
        <v>1133</v>
      </c>
      <c r="Z18" s="404" t="s">
        <v>1133</v>
      </c>
      <c r="AA18" s="404" t="s">
        <v>1133</v>
      </c>
      <c r="AB18" s="404" t="s">
        <v>1133</v>
      </c>
      <c r="AC18" s="404" t="s">
        <v>1133</v>
      </c>
      <c r="AD18" s="404" t="s">
        <v>1133</v>
      </c>
      <c r="AE18" s="404" t="s">
        <v>334</v>
      </c>
      <c r="AF18" s="404" t="s">
        <v>1228</v>
      </c>
      <c r="AG18" s="404" t="s">
        <v>334</v>
      </c>
      <c r="AH18" s="404" t="s">
        <v>1133</v>
      </c>
      <c r="AI18" s="404" t="s">
        <v>1228</v>
      </c>
      <c r="AJ18" s="404" t="s">
        <v>1133</v>
      </c>
      <c r="AK18" s="404" t="s">
        <v>1228</v>
      </c>
      <c r="AL18" s="404"/>
      <c r="AM18" s="415" t="s">
        <v>1516</v>
      </c>
      <c r="AN18" s="406" t="s">
        <v>1354</v>
      </c>
      <c r="AO18" s="410">
        <v>1.2</v>
      </c>
      <c r="AP18" s="411">
        <f t="shared" si="3"/>
        <v>21.6</v>
      </c>
      <c r="AQ18" s="411">
        <f t="shared" si="4"/>
        <v>167.4</v>
      </c>
      <c r="AR18" s="412"/>
      <c r="AS18" s="403"/>
      <c r="AT18" s="404" t="s">
        <v>839</v>
      </c>
      <c r="AU18" s="403"/>
      <c r="AV18" s="403"/>
      <c r="AW18" s="403"/>
      <c r="AX18" s="403"/>
      <c r="AY18" s="403"/>
      <c r="AZ18" s="403"/>
      <c r="BA18" s="403"/>
      <c r="BB18" s="404" t="str">
        <f t="shared" si="5"/>
        <v>Skycastle</v>
      </c>
      <c r="BC18" s="404" t="str">
        <f t="shared" si="6"/>
        <v>美国</v>
      </c>
    </row>
    <row r="19" s="378" customFormat="1" customHeight="1" spans="1:55">
      <c r="A19" s="403">
        <v>46154</v>
      </c>
      <c r="B19" s="403" t="str">
        <f ca="1" t="shared" si="0"/>
        <v/>
      </c>
      <c r="C19" s="404" t="str">
        <f>VLOOKUP(H19,名称!A:E,4,0)</f>
        <v>蛋糕</v>
      </c>
      <c r="D19" s="405" t="s">
        <v>1511</v>
      </c>
      <c r="E19" s="405" t="s">
        <v>1224</v>
      </c>
      <c r="F19" s="404" t="s">
        <v>839</v>
      </c>
      <c r="G19" s="404" t="s">
        <v>840</v>
      </c>
      <c r="H19" s="404" t="s">
        <v>52</v>
      </c>
      <c r="I19" s="404"/>
      <c r="J19" s="426">
        <v>3</v>
      </c>
      <c r="K19" s="407">
        <f>VLOOKUP(H19,名称!A:C,2,0)</f>
        <v>0</v>
      </c>
      <c r="L19" s="406">
        <f t="shared" si="1"/>
        <v>0</v>
      </c>
      <c r="M19" s="404">
        <f>VLOOKUP(H19,名称!A:E,3,0)</f>
        <v>4</v>
      </c>
      <c r="N19" s="406">
        <f t="shared" si="2"/>
        <v>0.75</v>
      </c>
      <c r="O19" s="403">
        <v>46162</v>
      </c>
      <c r="P19" s="427">
        <f t="shared" si="8"/>
        <v>46162</v>
      </c>
      <c r="Q19" s="403" t="s">
        <v>1133</v>
      </c>
      <c r="R19" s="404"/>
      <c r="S19" s="413" t="s">
        <v>1133</v>
      </c>
      <c r="T19" s="404"/>
      <c r="U19" s="404"/>
      <c r="V19" s="404"/>
      <c r="W19" s="404" t="str">
        <f>IFERROR(VLOOKUP(H19,名称!A:F,6,0),"")</f>
        <v>东莞</v>
      </c>
      <c r="X19" s="415" t="s">
        <v>1133</v>
      </c>
      <c r="Y19" s="404" t="s">
        <v>1133</v>
      </c>
      <c r="Z19" s="404" t="s">
        <v>1133</v>
      </c>
      <c r="AA19" s="404" t="s">
        <v>1133</v>
      </c>
      <c r="AB19" s="404" t="s">
        <v>1133</v>
      </c>
      <c r="AC19" s="404" t="s">
        <v>1133</v>
      </c>
      <c r="AD19" s="404" t="s">
        <v>1133</v>
      </c>
      <c r="AE19" s="404" t="s">
        <v>334</v>
      </c>
      <c r="AF19" s="404" t="s">
        <v>1228</v>
      </c>
      <c r="AG19" s="404" t="s">
        <v>334</v>
      </c>
      <c r="AH19" s="404" t="s">
        <v>1133</v>
      </c>
      <c r="AI19" s="404" t="s">
        <v>1228</v>
      </c>
      <c r="AJ19" s="404" t="s">
        <v>1133</v>
      </c>
      <c r="AK19" s="404" t="s">
        <v>1228</v>
      </c>
      <c r="AL19" s="404"/>
      <c r="AM19" s="415" t="s">
        <v>1520</v>
      </c>
      <c r="AN19" s="406" t="s">
        <v>1521</v>
      </c>
      <c r="AO19" s="410"/>
      <c r="AP19" s="411">
        <f t="shared" si="3"/>
        <v>0</v>
      </c>
      <c r="AQ19" s="411">
        <f t="shared" si="4"/>
        <v>0</v>
      </c>
      <c r="AR19" s="412"/>
      <c r="AS19" s="403"/>
      <c r="AT19" s="404" t="s">
        <v>839</v>
      </c>
      <c r="AU19" s="403"/>
      <c r="AV19" s="403"/>
      <c r="AW19" s="403"/>
      <c r="AX19" s="403"/>
      <c r="AY19" s="403"/>
      <c r="AZ19" s="403"/>
      <c r="BA19" s="403"/>
      <c r="BB19" s="404" t="str">
        <f t="shared" si="5"/>
        <v>Skycastle</v>
      </c>
      <c r="BC19" s="404" t="str">
        <f t="shared" si="6"/>
        <v>美国</v>
      </c>
    </row>
    <row r="20" s="378" customFormat="1" customHeight="1" spans="1:55">
      <c r="A20" s="403">
        <v>46154</v>
      </c>
      <c r="B20" s="403" t="str">
        <f ca="1" t="shared" si="0"/>
        <v/>
      </c>
      <c r="C20" s="404" t="str">
        <f>VLOOKUP(H20,名称!A:E,4,0)</f>
        <v>蛋糕</v>
      </c>
      <c r="D20" s="405" t="s">
        <v>1511</v>
      </c>
      <c r="E20" s="405" t="s">
        <v>1224</v>
      </c>
      <c r="F20" s="404" t="s">
        <v>839</v>
      </c>
      <c r="G20" s="404" t="s">
        <v>840</v>
      </c>
      <c r="H20" s="404" t="s">
        <v>52</v>
      </c>
      <c r="I20" s="404"/>
      <c r="J20" s="426">
        <v>20</v>
      </c>
      <c r="K20" s="407">
        <f>VLOOKUP(H20,名称!A:C,2,0)</f>
        <v>0</v>
      </c>
      <c r="L20" s="406">
        <f t="shared" si="1"/>
        <v>0</v>
      </c>
      <c r="M20" s="404">
        <f>VLOOKUP(H20,名称!A:E,3,0)</f>
        <v>4</v>
      </c>
      <c r="N20" s="406">
        <f t="shared" si="2"/>
        <v>5</v>
      </c>
      <c r="O20" s="403">
        <v>46164</v>
      </c>
      <c r="P20" s="427">
        <f t="shared" si="8"/>
        <v>46164</v>
      </c>
      <c r="Q20" s="403" t="s">
        <v>1133</v>
      </c>
      <c r="R20" s="404"/>
      <c r="S20" s="413" t="s">
        <v>1133</v>
      </c>
      <c r="T20" s="404"/>
      <c r="U20" s="404"/>
      <c r="V20" s="404"/>
      <c r="W20" s="404" t="str">
        <f>IFERROR(VLOOKUP(H20,名称!A:F,6,0),"")</f>
        <v>东莞</v>
      </c>
      <c r="X20" s="415" t="s">
        <v>1133</v>
      </c>
      <c r="Y20" s="404" t="s">
        <v>1133</v>
      </c>
      <c r="Z20" s="404" t="s">
        <v>1133</v>
      </c>
      <c r="AA20" s="404" t="s">
        <v>1133</v>
      </c>
      <c r="AB20" s="404" t="s">
        <v>1133</v>
      </c>
      <c r="AC20" s="404" t="s">
        <v>1133</v>
      </c>
      <c r="AD20" s="404" t="s">
        <v>1133</v>
      </c>
      <c r="AE20" s="404" t="s">
        <v>334</v>
      </c>
      <c r="AF20" s="404" t="s">
        <v>1228</v>
      </c>
      <c r="AG20" s="404" t="s">
        <v>334</v>
      </c>
      <c r="AH20" s="404" t="s">
        <v>1133</v>
      </c>
      <c r="AI20" s="404" t="s">
        <v>1228</v>
      </c>
      <c r="AJ20" s="404" t="s">
        <v>1133</v>
      </c>
      <c r="AK20" s="404" t="s">
        <v>1228</v>
      </c>
      <c r="AL20" s="404"/>
      <c r="AM20" s="415" t="s">
        <v>1520</v>
      </c>
      <c r="AN20" s="406" t="s">
        <v>1522</v>
      </c>
      <c r="AO20" s="410"/>
      <c r="AP20" s="411">
        <f t="shared" si="3"/>
        <v>0</v>
      </c>
      <c r="AQ20" s="411">
        <f t="shared" si="4"/>
        <v>0</v>
      </c>
      <c r="AR20" s="412"/>
      <c r="AS20" s="403"/>
      <c r="AT20" s="404" t="s">
        <v>839</v>
      </c>
      <c r="AU20" s="403"/>
      <c r="AV20" s="403"/>
      <c r="AW20" s="403"/>
      <c r="AX20" s="403"/>
      <c r="AY20" s="403"/>
      <c r="AZ20" s="403"/>
      <c r="BA20" s="403"/>
      <c r="BB20" s="404" t="str">
        <f t="shared" si="5"/>
        <v>Skycastle</v>
      </c>
      <c r="BC20" s="404" t="str">
        <f t="shared" si="6"/>
        <v>美国</v>
      </c>
    </row>
    <row r="21" s="377" customFormat="1" customHeight="1" spans="1:55">
      <c r="A21" s="416">
        <v>46164</v>
      </c>
      <c r="B21" s="89" t="str">
        <f ca="1" t="shared" si="0"/>
        <v/>
      </c>
      <c r="C21" s="417" t="str">
        <f>VLOOKUP(H21,名称!A:E,4,0)</f>
        <v>蛋糕</v>
      </c>
      <c r="D21" s="418" t="s">
        <v>1502</v>
      </c>
      <c r="E21" s="428" t="s">
        <v>1224</v>
      </c>
      <c r="F21" s="418" t="s">
        <v>881</v>
      </c>
      <c r="G21" s="418" t="s">
        <v>882</v>
      </c>
      <c r="H21" s="418" t="s">
        <v>50</v>
      </c>
      <c r="I21" s="417"/>
      <c r="J21" s="419">
        <v>324</v>
      </c>
      <c r="K21" s="205"/>
      <c r="L21" s="394"/>
      <c r="M21" s="417">
        <f>VLOOKUP(H21,名称!A:E,3,0)</f>
        <v>18</v>
      </c>
      <c r="N21" s="394">
        <f t="shared" si="2"/>
        <v>18</v>
      </c>
      <c r="O21" s="179">
        <v>46244</v>
      </c>
      <c r="P21" s="179">
        <v>46244</v>
      </c>
      <c r="Q21" s="179">
        <v>46258</v>
      </c>
      <c r="R21" s="417"/>
      <c r="S21" s="420" t="s">
        <v>1133</v>
      </c>
      <c r="T21" s="417"/>
      <c r="U21" s="417"/>
      <c r="V21" s="417"/>
      <c r="W21" s="429" t="str">
        <f>IFERROR(VLOOKUP(H21,名称!A:F,6,0),"")</f>
        <v>东莞</v>
      </c>
      <c r="X21" s="430" t="s">
        <v>1332</v>
      </c>
      <c r="Y21" s="429">
        <v>46220</v>
      </c>
      <c r="Z21" s="417" t="s">
        <v>1503</v>
      </c>
      <c r="AA21" s="421">
        <v>46164</v>
      </c>
      <c r="AB21" s="421">
        <v>46164</v>
      </c>
      <c r="AC21" s="417" t="s">
        <v>1133</v>
      </c>
      <c r="AD21" s="417" t="s">
        <v>1133</v>
      </c>
      <c r="AE21" s="417" t="s">
        <v>510</v>
      </c>
      <c r="AF21" s="417" t="s">
        <v>1228</v>
      </c>
      <c r="AG21" s="417" t="s">
        <v>510</v>
      </c>
      <c r="AH21" s="417" t="s">
        <v>1133</v>
      </c>
      <c r="AI21" s="417" t="s">
        <v>1228</v>
      </c>
      <c r="AJ21" s="417" t="s">
        <v>1133</v>
      </c>
      <c r="AK21" s="417" t="s">
        <v>1523</v>
      </c>
      <c r="AL21" s="417"/>
      <c r="AM21" s="431" t="s">
        <v>1250</v>
      </c>
      <c r="AN21" s="394" t="s">
        <v>1524</v>
      </c>
      <c r="AO21" s="423">
        <v>1.09</v>
      </c>
      <c r="AP21" s="424">
        <f t="shared" si="3"/>
        <v>353.16</v>
      </c>
      <c r="AQ21" s="424">
        <f t="shared" si="4"/>
        <v>2736.99</v>
      </c>
      <c r="AR21" s="425"/>
      <c r="AS21" s="416"/>
      <c r="AT21" s="416" t="s">
        <v>1220</v>
      </c>
      <c r="AU21" s="394"/>
      <c r="AV21" s="416"/>
      <c r="AW21" s="416"/>
      <c r="AX21" s="416"/>
      <c r="AY21" s="416" t="s">
        <v>1255</v>
      </c>
      <c r="AZ21" s="416"/>
      <c r="BA21" s="416"/>
      <c r="BB21" s="416" t="str">
        <f t="shared" si="5"/>
        <v>Target Corporation</v>
      </c>
      <c r="BC21" s="416" t="str">
        <f t="shared" si="6"/>
        <v>美国</v>
      </c>
    </row>
    <row r="22" s="378" customFormat="1" customHeight="1" spans="1:55">
      <c r="A22" s="403">
        <v>46182</v>
      </c>
      <c r="B22" s="403" t="str">
        <f ca="1" t="shared" si="0"/>
        <v/>
      </c>
      <c r="C22" s="404" t="str">
        <f>VLOOKUP(H22,名称!A:E,4,0)</f>
        <v>蛋糕</v>
      </c>
      <c r="D22" s="408" t="s">
        <v>1257</v>
      </c>
      <c r="E22" s="408" t="s">
        <v>1258</v>
      </c>
      <c r="F22" s="408" t="s">
        <v>935</v>
      </c>
      <c r="G22" s="408" t="s">
        <v>936</v>
      </c>
      <c r="H22" s="408" t="s">
        <v>50</v>
      </c>
      <c r="I22" s="404"/>
      <c r="J22" s="426">
        <v>36000</v>
      </c>
      <c r="K22" s="407"/>
      <c r="L22" s="406"/>
      <c r="M22" s="404">
        <f>VLOOKUP(H22,名称!A:E,3,0)</f>
        <v>18</v>
      </c>
      <c r="N22" s="406">
        <f t="shared" si="2"/>
        <v>2000</v>
      </c>
      <c r="O22" s="427">
        <v>46246</v>
      </c>
      <c r="P22" s="427">
        <v>46246</v>
      </c>
      <c r="Q22" s="427">
        <v>46245</v>
      </c>
      <c r="R22" s="404" t="s">
        <v>1241</v>
      </c>
      <c r="S22" s="403">
        <v>46246</v>
      </c>
      <c r="T22" s="404"/>
      <c r="U22" s="404"/>
      <c r="V22" s="404" t="s">
        <v>1525</v>
      </c>
      <c r="W22" s="404" t="str">
        <f>IFERROR(VLOOKUP(H22,名称!A:F,6,0),"")</f>
        <v>东莞</v>
      </c>
      <c r="X22" s="415" t="s">
        <v>1526</v>
      </c>
      <c r="Y22" s="408" t="s">
        <v>1228</v>
      </c>
      <c r="Z22" s="432">
        <v>46189</v>
      </c>
      <c r="AA22" s="414">
        <v>46211</v>
      </c>
      <c r="AB22" s="409">
        <v>46219</v>
      </c>
      <c r="AC22" s="415" t="s">
        <v>1133</v>
      </c>
      <c r="AD22" s="415" t="s">
        <v>1133</v>
      </c>
      <c r="AE22" s="415" t="s">
        <v>334</v>
      </c>
      <c r="AF22" s="415" t="s">
        <v>1228</v>
      </c>
      <c r="AG22" s="415" t="s">
        <v>1527</v>
      </c>
      <c r="AH22" s="404"/>
      <c r="AI22" s="415" t="s">
        <v>1228</v>
      </c>
      <c r="AJ22" s="404"/>
      <c r="AK22" s="415" t="s">
        <v>1228</v>
      </c>
      <c r="AL22" s="404"/>
      <c r="AM22" s="415" t="s">
        <v>1528</v>
      </c>
      <c r="AN22" s="415" t="s">
        <v>1529</v>
      </c>
      <c r="AO22" s="410">
        <v>1.03</v>
      </c>
      <c r="AP22" s="411">
        <f t="shared" si="3"/>
        <v>37080</v>
      </c>
      <c r="AQ22" s="411">
        <f t="shared" si="4"/>
        <v>287370</v>
      </c>
      <c r="AR22" s="412"/>
      <c r="AS22" s="403"/>
      <c r="AT22" s="403" t="s">
        <v>1220</v>
      </c>
      <c r="AU22" s="433"/>
      <c r="AV22" s="403"/>
      <c r="AW22" s="403"/>
      <c r="AX22" s="403"/>
      <c r="AY22" s="403" t="s">
        <v>1262</v>
      </c>
      <c r="AZ22" s="403" t="s">
        <v>1372</v>
      </c>
      <c r="BA22" s="403"/>
      <c r="BB22" s="403" t="str">
        <f t="shared" si="5"/>
        <v>Character Options</v>
      </c>
      <c r="BC22" s="403" t="str">
        <f t="shared" si="6"/>
        <v>英国</v>
      </c>
    </row>
    <row r="23" s="379" customFormat="1" customHeight="1" spans="1:55">
      <c r="A23" s="434">
        <v>46182</v>
      </c>
      <c r="B23" s="434" t="str">
        <f ca="1" t="shared" si="0"/>
        <v/>
      </c>
      <c r="C23" s="435" t="str">
        <f>VLOOKUP(H23,名称!A:E,4,0)</f>
        <v>蛋糕</v>
      </c>
      <c r="D23" s="436" t="s">
        <v>1530</v>
      </c>
      <c r="E23" s="436" t="s">
        <v>1531</v>
      </c>
      <c r="F23" s="436" t="s">
        <v>943</v>
      </c>
      <c r="G23" s="436" t="s">
        <v>944</v>
      </c>
      <c r="H23" s="436" t="s">
        <v>52</v>
      </c>
      <c r="I23" s="435"/>
      <c r="J23" s="437">
        <v>1600</v>
      </c>
      <c r="K23" s="205"/>
      <c r="L23" s="394"/>
      <c r="M23" s="435">
        <f>VLOOKUP(H23,名称!A:E,3,0)</f>
        <v>4</v>
      </c>
      <c r="N23" s="438">
        <f t="shared" si="2"/>
        <v>400</v>
      </c>
      <c r="O23" s="439">
        <v>46241</v>
      </c>
      <c r="P23" s="439">
        <v>46254</v>
      </c>
      <c r="Q23" s="440">
        <v>46248</v>
      </c>
      <c r="R23" s="435" t="s">
        <v>1241</v>
      </c>
      <c r="S23" s="434" t="s">
        <v>1133</v>
      </c>
      <c r="T23" s="435"/>
      <c r="U23" s="435"/>
      <c r="V23" s="435"/>
      <c r="W23" s="441" t="str">
        <f>IFERROR(VLOOKUP(H23,名称!A:F,6,0),"")</f>
        <v>东莞</v>
      </c>
      <c r="X23" s="436" t="s">
        <v>1248</v>
      </c>
      <c r="Y23" s="442">
        <v>46195</v>
      </c>
      <c r="Z23" s="435" t="s">
        <v>1249</v>
      </c>
      <c r="AA23" s="443">
        <v>46183</v>
      </c>
      <c r="AB23" s="441">
        <v>46195</v>
      </c>
      <c r="AC23" s="444" t="s">
        <v>1133</v>
      </c>
      <c r="AD23" s="444" t="s">
        <v>1133</v>
      </c>
      <c r="AE23" s="444" t="s">
        <v>510</v>
      </c>
      <c r="AF23" s="435" t="s">
        <v>1228</v>
      </c>
      <c r="AG23" s="444" t="s">
        <v>1523</v>
      </c>
      <c r="AH23" s="435" t="s">
        <v>1133</v>
      </c>
      <c r="AI23" s="435" t="s">
        <v>1228</v>
      </c>
      <c r="AJ23" s="435" t="s">
        <v>1133</v>
      </c>
      <c r="AK23" s="444" t="s">
        <v>1133</v>
      </c>
      <c r="AL23" s="435"/>
      <c r="AM23" s="444" t="s">
        <v>1250</v>
      </c>
      <c r="AN23" s="436" t="s">
        <v>1532</v>
      </c>
      <c r="AO23" s="445">
        <v>3.76</v>
      </c>
      <c r="AP23" s="446">
        <f t="shared" si="3"/>
        <v>6016</v>
      </c>
      <c r="AQ23" s="446">
        <f t="shared" si="4"/>
        <v>46624</v>
      </c>
      <c r="AR23" s="447"/>
      <c r="AS23" s="434"/>
      <c r="AT23" s="434" t="s">
        <v>1220</v>
      </c>
      <c r="AU23" s="448"/>
      <c r="AV23" s="434"/>
      <c r="AW23" s="434" t="s">
        <v>1228</v>
      </c>
      <c r="AX23" s="434"/>
      <c r="AY23" s="434" t="s">
        <v>1317</v>
      </c>
      <c r="AZ23" s="434" t="s">
        <v>1256</v>
      </c>
      <c r="BA23" s="434"/>
      <c r="BB23" s="434" t="str">
        <f t="shared" si="5"/>
        <v>Playkit Phils Inc</v>
      </c>
      <c r="BC23" s="434" t="str">
        <f t="shared" si="6"/>
        <v>菲律宾</v>
      </c>
    </row>
    <row r="24" s="377" customFormat="1" customHeight="1" spans="1:55">
      <c r="A24" s="416">
        <v>46182</v>
      </c>
      <c r="B24" s="449" t="str">
        <f ca="1" t="shared" si="0"/>
        <v/>
      </c>
      <c r="C24" s="450" t="str">
        <f>VLOOKUP(H24,名称!A:E,4,0)</f>
        <v>蛋糕</v>
      </c>
      <c r="D24" s="418" t="s">
        <v>1530</v>
      </c>
      <c r="E24" s="418" t="s">
        <v>1531</v>
      </c>
      <c r="F24" s="418" t="s">
        <v>943</v>
      </c>
      <c r="G24" s="418" t="s">
        <v>944</v>
      </c>
      <c r="H24" s="418" t="s">
        <v>50</v>
      </c>
      <c r="I24" s="417"/>
      <c r="J24" s="419">
        <v>7200</v>
      </c>
      <c r="K24" s="205"/>
      <c r="L24" s="394"/>
      <c r="M24" s="450">
        <f>VLOOKUP(H24,名称!A:E,3,0)</f>
        <v>18</v>
      </c>
      <c r="N24" s="451">
        <f t="shared" si="2"/>
        <v>400</v>
      </c>
      <c r="O24" s="179">
        <v>46241</v>
      </c>
      <c r="P24" s="179">
        <v>46241</v>
      </c>
      <c r="Q24" s="452">
        <v>46248</v>
      </c>
      <c r="R24" s="417"/>
      <c r="S24" s="420" t="s">
        <v>1133</v>
      </c>
      <c r="T24" s="417"/>
      <c r="U24" s="417"/>
      <c r="V24" s="417"/>
      <c r="W24" s="429" t="str">
        <f>IFERROR(VLOOKUP(H24,名称!A:F,6,0),"")</f>
        <v>东莞</v>
      </c>
      <c r="X24" s="418" t="s">
        <v>1248</v>
      </c>
      <c r="Y24" s="453">
        <v>46195</v>
      </c>
      <c r="Z24" s="417" t="s">
        <v>1249</v>
      </c>
      <c r="AA24" s="421">
        <v>46183</v>
      </c>
      <c r="AB24" s="429">
        <v>46195</v>
      </c>
      <c r="AC24" s="430" t="s">
        <v>1133</v>
      </c>
      <c r="AD24" s="430" t="s">
        <v>1133</v>
      </c>
      <c r="AE24" s="430" t="s">
        <v>510</v>
      </c>
      <c r="AF24" s="417" t="s">
        <v>1228</v>
      </c>
      <c r="AG24" s="430" t="s">
        <v>510</v>
      </c>
      <c r="AH24" s="417" t="s">
        <v>1133</v>
      </c>
      <c r="AI24" s="417" t="s">
        <v>1228</v>
      </c>
      <c r="AJ24" s="417" t="s">
        <v>1133</v>
      </c>
      <c r="AK24" s="431" t="s">
        <v>1523</v>
      </c>
      <c r="AL24" s="417"/>
      <c r="AM24" s="431" t="s">
        <v>1250</v>
      </c>
      <c r="AN24" s="418" t="s">
        <v>1532</v>
      </c>
      <c r="AO24" s="423">
        <v>1.09</v>
      </c>
      <c r="AP24" s="424">
        <f t="shared" si="3"/>
        <v>7848</v>
      </c>
      <c r="AQ24" s="424">
        <f t="shared" si="4"/>
        <v>60822</v>
      </c>
      <c r="AR24" s="425"/>
      <c r="AS24" s="416"/>
      <c r="AT24" s="416" t="s">
        <v>1220</v>
      </c>
      <c r="AU24" s="454"/>
      <c r="AV24" s="416"/>
      <c r="AW24" s="455" t="s">
        <v>1228</v>
      </c>
      <c r="AX24" s="416"/>
      <c r="AY24" s="416" t="s">
        <v>1317</v>
      </c>
      <c r="AZ24" s="416" t="s">
        <v>1256</v>
      </c>
      <c r="BA24" s="416"/>
      <c r="BB24" s="416" t="str">
        <f t="shared" si="5"/>
        <v>Playkit Phils Inc</v>
      </c>
      <c r="BC24" s="416" t="str">
        <f t="shared" si="6"/>
        <v>菲律宾</v>
      </c>
    </row>
    <row r="25" s="379" customFormat="1" customHeight="1" spans="1:55">
      <c r="A25" s="434">
        <v>46182</v>
      </c>
      <c r="B25" s="434" t="str">
        <f ca="1" t="shared" si="0"/>
        <v/>
      </c>
      <c r="C25" s="435" t="str">
        <f>VLOOKUP(H25,名称!A:E,4,0)</f>
        <v>蛋糕</v>
      </c>
      <c r="D25" s="436" t="s">
        <v>1530</v>
      </c>
      <c r="E25" s="436" t="s">
        <v>1531</v>
      </c>
      <c r="F25" s="436" t="s">
        <v>943</v>
      </c>
      <c r="G25" s="436" t="s">
        <v>944</v>
      </c>
      <c r="H25" s="436" t="s">
        <v>123</v>
      </c>
      <c r="I25" s="435"/>
      <c r="J25" s="437">
        <v>9600</v>
      </c>
      <c r="K25" s="205"/>
      <c r="L25" s="394"/>
      <c r="M25" s="435">
        <f>VLOOKUP(H25,名称!A:E,3,0)</f>
        <v>24</v>
      </c>
      <c r="N25" s="438">
        <f t="shared" si="2"/>
        <v>400</v>
      </c>
      <c r="O25" s="439">
        <v>46241</v>
      </c>
      <c r="P25" s="439">
        <v>46241</v>
      </c>
      <c r="Q25" s="440">
        <v>46248</v>
      </c>
      <c r="R25" s="435" t="s">
        <v>1241</v>
      </c>
      <c r="S25" s="440" t="s">
        <v>1133</v>
      </c>
      <c r="T25" s="435"/>
      <c r="U25" s="435"/>
      <c r="V25" s="435"/>
      <c r="W25" s="441" t="str">
        <f>IFERROR(VLOOKUP(H25,名称!A:F,6,0),"")</f>
        <v>东莞</v>
      </c>
      <c r="X25" s="436" t="s">
        <v>1248</v>
      </c>
      <c r="Y25" s="456">
        <v>46195</v>
      </c>
      <c r="Z25" s="435" t="s">
        <v>1249</v>
      </c>
      <c r="AA25" s="443">
        <v>46183</v>
      </c>
      <c r="AB25" s="456">
        <v>46195</v>
      </c>
      <c r="AC25" s="444" t="s">
        <v>1133</v>
      </c>
      <c r="AD25" s="444" t="s">
        <v>1133</v>
      </c>
      <c r="AE25" s="444" t="s">
        <v>510</v>
      </c>
      <c r="AF25" s="435" t="s">
        <v>1228</v>
      </c>
      <c r="AG25" s="444" t="s">
        <v>510</v>
      </c>
      <c r="AH25" s="435" t="s">
        <v>1133</v>
      </c>
      <c r="AI25" s="435" t="s">
        <v>1228</v>
      </c>
      <c r="AJ25" s="435" t="s">
        <v>1133</v>
      </c>
      <c r="AK25" s="444" t="s">
        <v>1523</v>
      </c>
      <c r="AL25" s="435"/>
      <c r="AM25" s="444" t="s">
        <v>1250</v>
      </c>
      <c r="AN25" s="436" t="s">
        <v>1532</v>
      </c>
      <c r="AO25" s="445">
        <v>0.81</v>
      </c>
      <c r="AP25" s="446">
        <f t="shared" si="3"/>
        <v>7776</v>
      </c>
      <c r="AQ25" s="446">
        <f t="shared" si="4"/>
        <v>60264</v>
      </c>
      <c r="AR25" s="447"/>
      <c r="AS25" s="434"/>
      <c r="AT25" s="434" t="s">
        <v>1220</v>
      </c>
      <c r="AU25" s="448"/>
      <c r="AV25" s="434"/>
      <c r="AW25" s="434" t="s">
        <v>1228</v>
      </c>
      <c r="AX25" s="434"/>
      <c r="AY25" s="434" t="s">
        <v>1317</v>
      </c>
      <c r="AZ25" s="434" t="s">
        <v>1256</v>
      </c>
      <c r="BA25" s="434"/>
      <c r="BB25" s="434" t="str">
        <f t="shared" si="5"/>
        <v>Playkit Phils Inc</v>
      </c>
      <c r="BC25" s="434" t="str">
        <f t="shared" si="6"/>
        <v>菲律宾</v>
      </c>
    </row>
    <row r="26" s="377" customFormat="1" customHeight="1" spans="1:55">
      <c r="A26" s="416">
        <v>46185</v>
      </c>
      <c r="B26" s="449" t="str">
        <f ca="1" t="shared" si="0"/>
        <v/>
      </c>
      <c r="C26" s="450" t="str">
        <f>VLOOKUP(H26,名称!A:E,4,0)</f>
        <v>蛋糕</v>
      </c>
      <c r="D26" s="418" t="s">
        <v>1246</v>
      </c>
      <c r="E26" s="418" t="s">
        <v>1247</v>
      </c>
      <c r="F26" s="418"/>
      <c r="G26" s="418" t="s">
        <v>980</v>
      </c>
      <c r="H26" s="418" t="s">
        <v>52</v>
      </c>
      <c r="I26" s="417"/>
      <c r="J26" s="419">
        <v>824</v>
      </c>
      <c r="K26" s="205"/>
      <c r="L26" s="394"/>
      <c r="M26" s="450">
        <f>VLOOKUP(H26,名称!A:E,3,0)</f>
        <v>4</v>
      </c>
      <c r="N26" s="451">
        <f t="shared" si="2"/>
        <v>206</v>
      </c>
      <c r="O26" s="179">
        <v>46244</v>
      </c>
      <c r="P26" s="416">
        <v>46254</v>
      </c>
      <c r="Q26" s="452">
        <v>46262</v>
      </c>
      <c r="R26" s="417"/>
      <c r="S26" s="420" t="s">
        <v>1133</v>
      </c>
      <c r="T26" s="417"/>
      <c r="U26" s="417"/>
      <c r="V26" s="417"/>
      <c r="W26" s="429" t="str">
        <f>IFERROR(VLOOKUP(H26,名称!A:F,6,0),"")</f>
        <v>东莞</v>
      </c>
      <c r="X26" s="418" t="s">
        <v>1248</v>
      </c>
      <c r="Y26" s="457">
        <v>46224</v>
      </c>
      <c r="Z26" s="430" t="s">
        <v>1249</v>
      </c>
      <c r="AA26" s="421">
        <v>46190</v>
      </c>
      <c r="AB26" s="429">
        <v>46231</v>
      </c>
      <c r="AC26" s="430" t="s">
        <v>1133</v>
      </c>
      <c r="AD26" s="430" t="s">
        <v>1133</v>
      </c>
      <c r="AE26" s="430" t="s">
        <v>510</v>
      </c>
      <c r="AF26" s="430" t="s">
        <v>1228</v>
      </c>
      <c r="AG26" s="430" t="s">
        <v>1523</v>
      </c>
      <c r="AH26" s="430" t="s">
        <v>1133</v>
      </c>
      <c r="AI26" s="430" t="s">
        <v>1228</v>
      </c>
      <c r="AJ26" s="430" t="s">
        <v>1133</v>
      </c>
      <c r="AK26" s="431" t="s">
        <v>1133</v>
      </c>
      <c r="AL26" s="417"/>
      <c r="AM26" s="431" t="s">
        <v>1250</v>
      </c>
      <c r="AN26" s="418" t="s">
        <v>1532</v>
      </c>
      <c r="AO26" s="423">
        <v>3.76</v>
      </c>
      <c r="AP26" s="424">
        <f t="shared" si="3"/>
        <v>3098.24</v>
      </c>
      <c r="AQ26" s="424">
        <f t="shared" si="4"/>
        <v>24011.36</v>
      </c>
      <c r="AR26" s="425"/>
      <c r="AS26" s="416"/>
      <c r="AT26" s="416" t="s">
        <v>1220</v>
      </c>
      <c r="AU26" s="454"/>
      <c r="AV26" s="416"/>
      <c r="AW26" s="458" t="s">
        <v>1228</v>
      </c>
      <c r="AX26" s="416"/>
      <c r="AY26" s="416" t="s">
        <v>1317</v>
      </c>
      <c r="AZ26" s="416" t="s">
        <v>1256</v>
      </c>
      <c r="BA26" s="416"/>
      <c r="BB26" s="416" t="str">
        <f t="shared" si="5"/>
        <v>Nichi World Co., Ltd</v>
      </c>
      <c r="BC26" s="416" t="str">
        <f t="shared" si="6"/>
        <v>泰国</v>
      </c>
    </row>
    <row r="27" s="377" customFormat="1" customHeight="1" spans="1:55">
      <c r="A27" s="416">
        <v>46185</v>
      </c>
      <c r="B27" s="449" t="str">
        <f ca="1" t="shared" si="0"/>
        <v/>
      </c>
      <c r="C27" s="450" t="str">
        <f>VLOOKUP(H27,名称!A:E,4,0)</f>
        <v>蛋糕</v>
      </c>
      <c r="D27" s="418" t="s">
        <v>1246</v>
      </c>
      <c r="E27" s="418" t="s">
        <v>1247</v>
      </c>
      <c r="F27" s="418"/>
      <c r="G27" s="418" t="s">
        <v>980</v>
      </c>
      <c r="H27" s="418" t="s">
        <v>50</v>
      </c>
      <c r="I27" s="417"/>
      <c r="J27" s="419">
        <v>4212</v>
      </c>
      <c r="K27" s="205"/>
      <c r="L27" s="394"/>
      <c r="M27" s="450">
        <f>VLOOKUP(H27,名称!A:E,3,0)</f>
        <v>18</v>
      </c>
      <c r="N27" s="451">
        <f t="shared" si="2"/>
        <v>234</v>
      </c>
      <c r="O27" s="179">
        <v>46244</v>
      </c>
      <c r="P27" s="452">
        <v>46254</v>
      </c>
      <c r="Q27" s="452">
        <v>46262</v>
      </c>
      <c r="R27" s="417"/>
      <c r="S27" s="420" t="s">
        <v>1133</v>
      </c>
      <c r="T27" s="417"/>
      <c r="U27" s="417"/>
      <c r="V27" s="417"/>
      <c r="W27" s="429" t="str">
        <f>IFERROR(VLOOKUP(H27,名称!A:F,6,0),"")</f>
        <v>东莞</v>
      </c>
      <c r="X27" s="418" t="s">
        <v>1248</v>
      </c>
      <c r="Y27" s="453">
        <v>46224</v>
      </c>
      <c r="Z27" s="430" t="s">
        <v>1249</v>
      </c>
      <c r="AA27" s="459">
        <v>46190</v>
      </c>
      <c r="AB27" s="453">
        <v>46231</v>
      </c>
      <c r="AC27" s="430" t="s">
        <v>1133</v>
      </c>
      <c r="AD27" s="430" t="s">
        <v>1133</v>
      </c>
      <c r="AE27" s="430" t="s">
        <v>510</v>
      </c>
      <c r="AF27" s="430" t="s">
        <v>1228</v>
      </c>
      <c r="AG27" s="430" t="s">
        <v>510</v>
      </c>
      <c r="AH27" s="430" t="s">
        <v>1133</v>
      </c>
      <c r="AI27" s="430" t="s">
        <v>1228</v>
      </c>
      <c r="AJ27" s="430" t="s">
        <v>1133</v>
      </c>
      <c r="AK27" s="431" t="s">
        <v>1523</v>
      </c>
      <c r="AL27" s="417"/>
      <c r="AM27" s="431" t="s">
        <v>1250</v>
      </c>
      <c r="AN27" s="418" t="s">
        <v>1532</v>
      </c>
      <c r="AO27" s="423">
        <v>1.09</v>
      </c>
      <c r="AP27" s="424">
        <f t="shared" si="3"/>
        <v>4591.08</v>
      </c>
      <c r="AQ27" s="424">
        <f t="shared" si="4"/>
        <v>35580.87</v>
      </c>
      <c r="AR27" s="425"/>
      <c r="AS27" s="416"/>
      <c r="AT27" s="416" t="s">
        <v>1220</v>
      </c>
      <c r="AU27" s="454"/>
      <c r="AV27" s="416"/>
      <c r="AW27" s="458" t="s">
        <v>1228</v>
      </c>
      <c r="AX27" s="416"/>
      <c r="AY27" s="416" t="s">
        <v>1317</v>
      </c>
      <c r="AZ27" s="416" t="s">
        <v>1256</v>
      </c>
      <c r="BA27" s="416"/>
      <c r="BB27" s="416" t="str">
        <f t="shared" si="5"/>
        <v>Nichi World Co., Ltd</v>
      </c>
      <c r="BC27" s="416" t="str">
        <f t="shared" si="6"/>
        <v>泰国</v>
      </c>
    </row>
    <row r="28" s="377" customFormat="1" customHeight="1" spans="1:55">
      <c r="A28" s="416">
        <v>46185</v>
      </c>
      <c r="B28" s="449" t="str">
        <f ca="1" t="shared" si="0"/>
        <v/>
      </c>
      <c r="C28" s="450" t="str">
        <f>VLOOKUP(H28,名称!A:E,4,0)</f>
        <v>蛋糕</v>
      </c>
      <c r="D28" s="418" t="s">
        <v>1246</v>
      </c>
      <c r="E28" s="418" t="s">
        <v>1247</v>
      </c>
      <c r="F28" s="418"/>
      <c r="G28" s="418" t="s">
        <v>980</v>
      </c>
      <c r="H28" s="418" t="s">
        <v>123</v>
      </c>
      <c r="I28" s="417"/>
      <c r="J28" s="419">
        <v>2304</v>
      </c>
      <c r="K28" s="205"/>
      <c r="L28" s="394"/>
      <c r="M28" s="450">
        <f>VLOOKUP(H28,名称!A:E,3,0)</f>
        <v>24</v>
      </c>
      <c r="N28" s="451">
        <f t="shared" ref="N28:N45" si="9">J28/M28</f>
        <v>96</v>
      </c>
      <c r="O28" s="179">
        <v>46244</v>
      </c>
      <c r="P28" s="452">
        <v>46254</v>
      </c>
      <c r="Q28" s="452">
        <v>46262</v>
      </c>
      <c r="R28" s="417"/>
      <c r="S28" s="420" t="s">
        <v>1133</v>
      </c>
      <c r="T28" s="417"/>
      <c r="U28" s="417"/>
      <c r="V28" s="417"/>
      <c r="W28" s="429" t="str">
        <f>IFERROR(VLOOKUP(H28,名称!A:F,6,0),"")</f>
        <v>东莞</v>
      </c>
      <c r="X28" s="418" t="s">
        <v>1248</v>
      </c>
      <c r="Y28" s="453">
        <v>46224</v>
      </c>
      <c r="Z28" s="430" t="s">
        <v>1249</v>
      </c>
      <c r="AA28" s="459">
        <v>46190</v>
      </c>
      <c r="AB28" s="453">
        <v>46231</v>
      </c>
      <c r="AC28" s="430" t="s">
        <v>1133</v>
      </c>
      <c r="AD28" s="430" t="s">
        <v>1133</v>
      </c>
      <c r="AE28" s="430" t="s">
        <v>510</v>
      </c>
      <c r="AF28" s="430" t="s">
        <v>1228</v>
      </c>
      <c r="AG28" s="430" t="s">
        <v>510</v>
      </c>
      <c r="AH28" s="430" t="s">
        <v>1133</v>
      </c>
      <c r="AI28" s="430" t="s">
        <v>1228</v>
      </c>
      <c r="AJ28" s="430" t="s">
        <v>1133</v>
      </c>
      <c r="AK28" s="431" t="s">
        <v>1523</v>
      </c>
      <c r="AL28" s="417"/>
      <c r="AM28" s="431" t="s">
        <v>1250</v>
      </c>
      <c r="AN28" s="418" t="s">
        <v>1532</v>
      </c>
      <c r="AO28" s="423">
        <v>0.81</v>
      </c>
      <c r="AP28" s="424">
        <f t="shared" si="3"/>
        <v>1866.24</v>
      </c>
      <c r="AQ28" s="424">
        <f t="shared" si="4"/>
        <v>14463.36</v>
      </c>
      <c r="AR28" s="425"/>
      <c r="AS28" s="416"/>
      <c r="AT28" s="416" t="s">
        <v>1220</v>
      </c>
      <c r="AU28" s="454"/>
      <c r="AV28" s="416"/>
      <c r="AW28" s="458" t="s">
        <v>1228</v>
      </c>
      <c r="AX28" s="416"/>
      <c r="AY28" s="416" t="s">
        <v>1317</v>
      </c>
      <c r="AZ28" s="416" t="s">
        <v>1256</v>
      </c>
      <c r="BA28" s="416"/>
      <c r="BB28" s="416" t="str">
        <f t="shared" si="5"/>
        <v>Nichi World Co., Ltd</v>
      </c>
      <c r="BC28" s="416" t="str">
        <f t="shared" si="6"/>
        <v>泰国</v>
      </c>
    </row>
    <row r="29" s="378" customFormat="1" customHeight="1" spans="1:55">
      <c r="A29" s="403">
        <v>46197</v>
      </c>
      <c r="B29" s="403" t="str">
        <f ca="1" t="shared" si="0"/>
        <v/>
      </c>
      <c r="C29" s="404" t="str">
        <f>VLOOKUP(H29,名称!A:E,4,0)</f>
        <v>蛋糕</v>
      </c>
      <c r="D29" s="404" t="s">
        <v>1257</v>
      </c>
      <c r="E29" s="404" t="s">
        <v>1258</v>
      </c>
      <c r="F29" s="404" t="s">
        <v>993</v>
      </c>
      <c r="G29" s="404" t="s">
        <v>994</v>
      </c>
      <c r="H29" s="404" t="s">
        <v>50</v>
      </c>
      <c r="I29" s="404"/>
      <c r="J29" s="406">
        <f>60264-44226</f>
        <v>16038</v>
      </c>
      <c r="K29" s="205"/>
      <c r="L29" s="394"/>
      <c r="M29" s="404">
        <f>VLOOKUP(H29,名称!A:E,3,0)</f>
        <v>18</v>
      </c>
      <c r="N29" s="406">
        <f t="shared" si="9"/>
        <v>891</v>
      </c>
      <c r="O29" s="403">
        <v>46245</v>
      </c>
      <c r="P29" s="403">
        <v>46245</v>
      </c>
      <c r="Q29" s="403">
        <v>46244</v>
      </c>
      <c r="R29" s="404" t="s">
        <v>1241</v>
      </c>
      <c r="S29" s="403">
        <v>46245</v>
      </c>
      <c r="T29" s="404"/>
      <c r="U29" s="404"/>
      <c r="V29" s="409">
        <v>46246</v>
      </c>
      <c r="W29" s="404" t="str">
        <f>IFERROR(VLOOKUP(H29,名称!A:F,6,0),"")</f>
        <v>东莞</v>
      </c>
      <c r="X29" s="404" t="s">
        <v>1526</v>
      </c>
      <c r="Y29" s="404" t="s">
        <v>1228</v>
      </c>
      <c r="Z29" s="415" t="s">
        <v>1249</v>
      </c>
      <c r="AA29" s="414">
        <v>46200</v>
      </c>
      <c r="AB29" s="409">
        <v>46203</v>
      </c>
      <c r="AC29" s="415" t="s">
        <v>1133</v>
      </c>
      <c r="AD29" s="415" t="s">
        <v>1133</v>
      </c>
      <c r="AE29" s="415" t="s">
        <v>334</v>
      </c>
      <c r="AF29" s="415" t="s">
        <v>1228</v>
      </c>
      <c r="AG29" s="415" t="s">
        <v>334</v>
      </c>
      <c r="AH29" s="415" t="s">
        <v>1133</v>
      </c>
      <c r="AI29" s="415" t="s">
        <v>1228</v>
      </c>
      <c r="AJ29" s="404" t="s">
        <v>1133</v>
      </c>
      <c r="AK29" s="415" t="s">
        <v>1533</v>
      </c>
      <c r="AL29" s="404"/>
      <c r="AM29" s="415" t="s">
        <v>1534</v>
      </c>
      <c r="AN29" s="404" t="s">
        <v>1535</v>
      </c>
      <c r="AO29" s="410">
        <v>1.03</v>
      </c>
      <c r="AP29" s="411">
        <f t="shared" si="3"/>
        <v>16519.14</v>
      </c>
      <c r="AQ29" s="411">
        <f t="shared" si="4"/>
        <v>128023.34</v>
      </c>
      <c r="AR29" s="412"/>
      <c r="AS29" s="403"/>
      <c r="AT29" s="413" t="s">
        <v>1220</v>
      </c>
      <c r="AU29" s="433"/>
      <c r="AV29" s="433"/>
      <c r="AW29" s="403"/>
      <c r="AX29" s="403"/>
      <c r="AY29" s="403" t="s">
        <v>1262</v>
      </c>
      <c r="AZ29" s="413" t="s">
        <v>1274</v>
      </c>
      <c r="BA29" s="403"/>
      <c r="BB29" s="403" t="str">
        <f t="shared" si="5"/>
        <v>Character Options</v>
      </c>
      <c r="BC29" s="403" t="str">
        <f t="shared" si="6"/>
        <v>英国</v>
      </c>
    </row>
    <row r="30" s="379" customFormat="1" customHeight="1" spans="1:55">
      <c r="A30" s="434">
        <v>46197</v>
      </c>
      <c r="B30" s="434" t="str">
        <f ca="1" t="shared" si="0"/>
        <v/>
      </c>
      <c r="C30" s="435" t="str">
        <f>VLOOKUP(H30,名称!A:E,4,0)</f>
        <v>蛋糕</v>
      </c>
      <c r="D30" s="435" t="s">
        <v>1257</v>
      </c>
      <c r="E30" s="435" t="s">
        <v>1258</v>
      </c>
      <c r="F30" s="435" t="s">
        <v>993</v>
      </c>
      <c r="G30" s="435" t="s">
        <v>994</v>
      </c>
      <c r="H30" s="435" t="s">
        <v>52</v>
      </c>
      <c r="I30" s="435"/>
      <c r="J30" s="438">
        <v>12000</v>
      </c>
      <c r="K30" s="205"/>
      <c r="L30" s="394"/>
      <c r="M30" s="435">
        <f>VLOOKUP(H30,名称!A:E,3,0)</f>
        <v>4</v>
      </c>
      <c r="N30" s="438">
        <f t="shared" si="9"/>
        <v>3000</v>
      </c>
      <c r="O30" s="434">
        <v>46245</v>
      </c>
      <c r="P30" s="434">
        <v>46245</v>
      </c>
      <c r="Q30" s="440">
        <v>46249</v>
      </c>
      <c r="R30" s="435" t="s">
        <v>1241</v>
      </c>
      <c r="S30" s="460">
        <v>46251</v>
      </c>
      <c r="T30" s="435" t="s">
        <v>1241</v>
      </c>
      <c r="U30" s="435"/>
      <c r="V30" s="441">
        <v>46252</v>
      </c>
      <c r="W30" s="435" t="str">
        <f>IFERROR(VLOOKUP(H30,名称!A:F,6,0),"")</f>
        <v>东莞</v>
      </c>
      <c r="X30" s="444" t="s">
        <v>1526</v>
      </c>
      <c r="Y30" s="435" t="s">
        <v>1228</v>
      </c>
      <c r="Z30" s="444" t="s">
        <v>1249</v>
      </c>
      <c r="AA30" s="461">
        <v>46200</v>
      </c>
      <c r="AB30" s="456">
        <v>46203</v>
      </c>
      <c r="AC30" s="444" t="s">
        <v>1133</v>
      </c>
      <c r="AD30" s="444" t="s">
        <v>1133</v>
      </c>
      <c r="AE30" s="444" t="s">
        <v>334</v>
      </c>
      <c r="AF30" s="444" t="s">
        <v>1228</v>
      </c>
      <c r="AG30" s="444" t="s">
        <v>334</v>
      </c>
      <c r="AH30" s="444" t="s">
        <v>1133</v>
      </c>
      <c r="AI30" s="444" t="s">
        <v>1228</v>
      </c>
      <c r="AJ30" s="435" t="s">
        <v>1133</v>
      </c>
      <c r="AK30" s="444" t="s">
        <v>1533</v>
      </c>
      <c r="AL30" s="435"/>
      <c r="AM30" s="444" t="s">
        <v>1536</v>
      </c>
      <c r="AN30" s="444" t="s">
        <v>1535</v>
      </c>
      <c r="AO30" s="445">
        <v>2.76</v>
      </c>
      <c r="AP30" s="446">
        <f t="shared" si="3"/>
        <v>33120</v>
      </c>
      <c r="AQ30" s="446">
        <f t="shared" si="4"/>
        <v>256680</v>
      </c>
      <c r="AR30" s="447"/>
      <c r="AS30" s="434"/>
      <c r="AT30" s="440" t="s">
        <v>1220</v>
      </c>
      <c r="AU30" s="448"/>
      <c r="AV30" s="448"/>
      <c r="AW30" s="434"/>
      <c r="AX30" s="434"/>
      <c r="AY30" s="434" t="s">
        <v>1262</v>
      </c>
      <c r="AZ30" s="440" t="s">
        <v>1263</v>
      </c>
      <c r="BA30" s="434"/>
      <c r="BB30" s="434" t="str">
        <f t="shared" si="5"/>
        <v>Character Options</v>
      </c>
      <c r="BC30" s="434" t="str">
        <f t="shared" si="6"/>
        <v>英国</v>
      </c>
    </row>
    <row r="31" s="377" customFormat="1" customHeight="1" spans="1:55">
      <c r="A31" s="416">
        <v>46199</v>
      </c>
      <c r="B31" s="449" t="str">
        <f ca="1" t="shared" si="0"/>
        <v/>
      </c>
      <c r="C31" s="450" t="str">
        <f>VLOOKUP(H31,名称!A:E,4,0)</f>
        <v>蛋糕</v>
      </c>
      <c r="D31" s="462" t="s">
        <v>1420</v>
      </c>
      <c r="E31" s="462" t="s">
        <v>1421</v>
      </c>
      <c r="F31" s="462" t="s">
        <v>995</v>
      </c>
      <c r="G31" s="462" t="s">
        <v>996</v>
      </c>
      <c r="H31" s="462" t="s">
        <v>50</v>
      </c>
      <c r="I31" s="417"/>
      <c r="J31" s="394">
        <f>10008+5994</f>
        <v>16002</v>
      </c>
      <c r="K31" s="205"/>
      <c r="L31" s="394"/>
      <c r="M31" s="417">
        <f>VLOOKUP(H31,名称!A:E,3,0)</f>
        <v>18</v>
      </c>
      <c r="N31" s="394">
        <f t="shared" si="9"/>
        <v>889</v>
      </c>
      <c r="O31" s="416">
        <v>46267</v>
      </c>
      <c r="P31" s="416">
        <v>46267</v>
      </c>
      <c r="Q31" s="452">
        <v>46267</v>
      </c>
      <c r="R31" s="417"/>
      <c r="S31" s="455" t="s">
        <v>1133</v>
      </c>
      <c r="T31" s="417"/>
      <c r="U31" s="417"/>
      <c r="V31" s="417"/>
      <c r="W31" s="463" t="str">
        <f>IFERROR(VLOOKUP(H31,名称!A:F,6,0),"")</f>
        <v>东莞</v>
      </c>
      <c r="X31" s="462" t="s">
        <v>1248</v>
      </c>
      <c r="Y31" s="463">
        <v>46217</v>
      </c>
      <c r="Z31" s="462" t="s">
        <v>1249</v>
      </c>
      <c r="AA31" s="421">
        <v>46213</v>
      </c>
      <c r="AB31" s="429">
        <v>46217</v>
      </c>
      <c r="AC31" s="462" t="s">
        <v>1133</v>
      </c>
      <c r="AD31" s="431" t="s">
        <v>1133</v>
      </c>
      <c r="AE31" s="430" t="s">
        <v>510</v>
      </c>
      <c r="AF31" s="462" t="s">
        <v>1228</v>
      </c>
      <c r="AG31" s="430" t="s">
        <v>510</v>
      </c>
      <c r="AH31" s="462" t="s">
        <v>1133</v>
      </c>
      <c r="AI31" s="462" t="s">
        <v>1228</v>
      </c>
      <c r="AJ31" s="462" t="s">
        <v>1133</v>
      </c>
      <c r="AK31" s="431" t="s">
        <v>1523</v>
      </c>
      <c r="AL31" s="417"/>
      <c r="AM31" s="431" t="s">
        <v>1267</v>
      </c>
      <c r="AN31" s="462" t="s">
        <v>1537</v>
      </c>
      <c r="AO31" s="423">
        <v>1.03</v>
      </c>
      <c r="AP31" s="424">
        <f t="shared" si="3"/>
        <v>16482.06</v>
      </c>
      <c r="AQ31" s="424">
        <f t="shared" si="4"/>
        <v>127735.97</v>
      </c>
      <c r="AR31" s="464"/>
      <c r="AS31" s="416"/>
      <c r="AT31" s="452" t="s">
        <v>1220</v>
      </c>
      <c r="AU31" s="454"/>
      <c r="AV31" s="454"/>
      <c r="AW31" s="416"/>
      <c r="AX31" s="416"/>
      <c r="AY31" s="455" t="s">
        <v>1317</v>
      </c>
      <c r="AZ31" s="452" t="s">
        <v>1256</v>
      </c>
      <c r="BA31" s="416"/>
      <c r="BB31" s="416" t="str">
        <f t="shared" si="5"/>
        <v>Banter Toys</v>
      </c>
      <c r="BC31" s="416" t="str">
        <f t="shared" si="6"/>
        <v>澳大利亚</v>
      </c>
    </row>
    <row r="32" s="377" customFormat="1" customHeight="1" spans="1:55">
      <c r="A32" s="452">
        <v>46205</v>
      </c>
      <c r="B32" s="465" t="str">
        <f ca="1" t="shared" si="0"/>
        <v/>
      </c>
      <c r="C32" s="466" t="str">
        <f>VLOOKUP(H32,名称!A:E,4,0)</f>
        <v>蛋糕</v>
      </c>
      <c r="D32" s="467" t="s">
        <v>1444</v>
      </c>
      <c r="E32" s="467" t="s">
        <v>1224</v>
      </c>
      <c r="F32" s="431" t="s">
        <v>1014</v>
      </c>
      <c r="G32" s="431" t="s">
        <v>1015</v>
      </c>
      <c r="H32" s="431" t="s">
        <v>123</v>
      </c>
      <c r="I32" s="430"/>
      <c r="J32" s="468">
        <v>27936</v>
      </c>
      <c r="K32" s="430"/>
      <c r="L32" s="430"/>
      <c r="M32" s="430">
        <f>VLOOKUP(H32,名称!A:E,3,0)</f>
        <v>24</v>
      </c>
      <c r="N32" s="468">
        <f t="shared" si="9"/>
        <v>1164</v>
      </c>
      <c r="O32" s="452">
        <v>46265</v>
      </c>
      <c r="P32" s="452">
        <v>46265</v>
      </c>
      <c r="Q32" s="452">
        <v>46265</v>
      </c>
      <c r="R32" s="430"/>
      <c r="S32" s="420" t="s">
        <v>1133</v>
      </c>
      <c r="T32" s="430"/>
      <c r="U32" s="430"/>
      <c r="V32" s="430"/>
      <c r="W32" s="431" t="str">
        <f>IFERROR(VLOOKUP(H32,名称!A:F,6,0),"")</f>
        <v>东莞</v>
      </c>
      <c r="X32" s="431" t="s">
        <v>1133</v>
      </c>
      <c r="Y32" s="431" t="s">
        <v>1133</v>
      </c>
      <c r="Z32" s="431" t="s">
        <v>1249</v>
      </c>
      <c r="AA32" s="459">
        <v>46211</v>
      </c>
      <c r="AB32" s="453">
        <v>46211</v>
      </c>
      <c r="AC32" s="431" t="s">
        <v>1133</v>
      </c>
      <c r="AD32" s="431" t="s">
        <v>1133</v>
      </c>
      <c r="AE32" s="431" t="s">
        <v>510</v>
      </c>
      <c r="AF32" s="431" t="s">
        <v>1228</v>
      </c>
      <c r="AG32" s="431" t="s">
        <v>510</v>
      </c>
      <c r="AH32" s="431" t="s">
        <v>1133</v>
      </c>
      <c r="AI32" s="431" t="s">
        <v>1228</v>
      </c>
      <c r="AJ32" s="430"/>
      <c r="AK32" s="431" t="s">
        <v>510</v>
      </c>
      <c r="AL32" s="430"/>
      <c r="AM32" s="431" t="s">
        <v>1267</v>
      </c>
      <c r="AN32" s="469" t="s">
        <v>1504</v>
      </c>
      <c r="AO32" s="470">
        <v>0.77</v>
      </c>
      <c r="AP32" s="471">
        <f t="shared" si="3"/>
        <v>21510.72</v>
      </c>
      <c r="AQ32" s="471">
        <f t="shared" si="4"/>
        <v>166708.08</v>
      </c>
      <c r="AR32" s="472"/>
      <c r="AS32" s="452"/>
      <c r="AT32" s="452" t="s">
        <v>1220</v>
      </c>
      <c r="AU32" s="452"/>
      <c r="AV32" s="452"/>
      <c r="AW32" s="452"/>
      <c r="AX32" s="452"/>
      <c r="AY32" s="420" t="s">
        <v>1255</v>
      </c>
      <c r="AZ32" s="420" t="s">
        <v>1256</v>
      </c>
      <c r="BA32" s="452"/>
      <c r="BB32" s="416" t="str">
        <f t="shared" si="5"/>
        <v>Toysmith</v>
      </c>
      <c r="BC32" s="416" t="str">
        <f t="shared" si="6"/>
        <v>美国</v>
      </c>
    </row>
    <row r="33" s="377" customFormat="1" customHeight="1" spans="1:55">
      <c r="A33" s="452">
        <v>46234</v>
      </c>
      <c r="B33" s="465" t="str">
        <f ca="1" t="shared" si="0"/>
        <v/>
      </c>
      <c r="C33" s="466" t="str">
        <f>VLOOKUP(H33,名称!A:E,4,0)</f>
        <v>蛋糕</v>
      </c>
      <c r="D33" s="431" t="s">
        <v>1257</v>
      </c>
      <c r="E33" s="431" t="s">
        <v>1258</v>
      </c>
      <c r="F33" s="431" t="s">
        <v>1072</v>
      </c>
      <c r="G33" s="431" t="s">
        <v>1073</v>
      </c>
      <c r="H33" s="431" t="s">
        <v>50</v>
      </c>
      <c r="I33" s="430"/>
      <c r="J33" s="468">
        <f>24624+24624</f>
        <v>49248</v>
      </c>
      <c r="K33" s="473"/>
      <c r="L33" s="468"/>
      <c r="M33" s="466">
        <f>VLOOKUP(H33,名称!A:E,3,0)</f>
        <v>18</v>
      </c>
      <c r="N33" s="474">
        <f t="shared" si="9"/>
        <v>2736</v>
      </c>
      <c r="O33" s="452">
        <v>46290</v>
      </c>
      <c r="P33" s="452">
        <v>46290</v>
      </c>
      <c r="Q33" s="452">
        <v>46289</v>
      </c>
      <c r="R33" s="430"/>
      <c r="S33" s="475">
        <v>46289</v>
      </c>
      <c r="T33" s="430"/>
      <c r="U33" s="430"/>
      <c r="V33" s="430"/>
      <c r="W33" s="431" t="str">
        <f>IFERROR(VLOOKUP(H33,名称!A:F,6,0),"")</f>
        <v>东莞</v>
      </c>
      <c r="X33" s="431" t="s">
        <v>1133</v>
      </c>
      <c r="Y33" s="431" t="s">
        <v>1133</v>
      </c>
      <c r="Z33" s="431" t="s">
        <v>1249</v>
      </c>
      <c r="AA33" s="459">
        <v>46242</v>
      </c>
      <c r="AB33" s="453">
        <v>46244</v>
      </c>
      <c r="AC33" s="431" t="s">
        <v>1133</v>
      </c>
      <c r="AD33" s="431" t="s">
        <v>1133</v>
      </c>
      <c r="AE33" s="431" t="s">
        <v>334</v>
      </c>
      <c r="AF33" s="431" t="s">
        <v>1228</v>
      </c>
      <c r="AG33" s="431" t="s">
        <v>1527</v>
      </c>
      <c r="AH33" s="431" t="s">
        <v>1133</v>
      </c>
      <c r="AI33" s="431" t="s">
        <v>1228</v>
      </c>
      <c r="AJ33" s="431" t="s">
        <v>1133</v>
      </c>
      <c r="AK33" s="431" t="s">
        <v>1533</v>
      </c>
      <c r="AL33" s="430"/>
      <c r="AM33" s="431" t="s">
        <v>1538</v>
      </c>
      <c r="AN33" s="431" t="s">
        <v>1539</v>
      </c>
      <c r="AO33" s="470">
        <v>1.03</v>
      </c>
      <c r="AP33" s="471">
        <f t="shared" si="3"/>
        <v>50725.44</v>
      </c>
      <c r="AQ33" s="471">
        <f t="shared" si="4"/>
        <v>393122.16</v>
      </c>
      <c r="AR33" s="472"/>
      <c r="AS33" s="452"/>
      <c r="AT33" s="452" t="s">
        <v>1220</v>
      </c>
      <c r="AU33" s="476"/>
      <c r="AV33" s="476"/>
      <c r="AW33" s="477"/>
      <c r="AX33" s="452"/>
      <c r="AY33" s="420" t="s">
        <v>1273</v>
      </c>
      <c r="AZ33" s="420" t="s">
        <v>1274</v>
      </c>
      <c r="BA33" s="452"/>
      <c r="BB33" s="416" t="str">
        <f t="shared" si="5"/>
        <v>Character Options</v>
      </c>
      <c r="BC33" s="416" t="str">
        <f t="shared" si="6"/>
        <v>英国</v>
      </c>
    </row>
    <row r="34" s="377" customFormat="1" customHeight="1" spans="1:55">
      <c r="A34" s="452">
        <v>46234</v>
      </c>
      <c r="B34" s="465" t="str">
        <f ca="1" t="shared" si="0"/>
        <v/>
      </c>
      <c r="C34" s="466" t="str">
        <f>VLOOKUP(H34,名称!A:E,4,0)</f>
        <v>蛋糕</v>
      </c>
      <c r="D34" s="431" t="s">
        <v>1257</v>
      </c>
      <c r="E34" s="431" t="s">
        <v>1258</v>
      </c>
      <c r="F34" s="431" t="s">
        <v>1072</v>
      </c>
      <c r="G34" s="431" t="s">
        <v>1073</v>
      </c>
      <c r="H34" s="431" t="s">
        <v>106</v>
      </c>
      <c r="I34" s="430"/>
      <c r="J34" s="468">
        <v>12240</v>
      </c>
      <c r="K34" s="473"/>
      <c r="L34" s="468"/>
      <c r="M34" s="466">
        <f>VLOOKUP(H34,名称!A:E,3,0)</f>
        <v>9</v>
      </c>
      <c r="N34" s="474">
        <f t="shared" si="9"/>
        <v>1360</v>
      </c>
      <c r="O34" s="452">
        <v>46290</v>
      </c>
      <c r="P34" s="452">
        <v>46290</v>
      </c>
      <c r="Q34" s="452">
        <v>46289</v>
      </c>
      <c r="R34" s="430"/>
      <c r="S34" s="475">
        <v>46289</v>
      </c>
      <c r="T34" s="430"/>
      <c r="U34" s="430"/>
      <c r="V34" s="430"/>
      <c r="W34" s="431" t="str">
        <f>IFERROR(VLOOKUP(H34,名称!A:F,6,0),"")</f>
        <v>东莞</v>
      </c>
      <c r="X34" s="431" t="s">
        <v>1133</v>
      </c>
      <c r="Y34" s="431" t="s">
        <v>1133</v>
      </c>
      <c r="Z34" s="431" t="s">
        <v>1249</v>
      </c>
      <c r="AA34" s="459">
        <v>46242</v>
      </c>
      <c r="AB34" s="453">
        <v>46244</v>
      </c>
      <c r="AC34" s="431" t="s">
        <v>1133</v>
      </c>
      <c r="AD34" s="431" t="s">
        <v>1133</v>
      </c>
      <c r="AE34" s="431" t="s">
        <v>334</v>
      </c>
      <c r="AF34" s="431" t="s">
        <v>1228</v>
      </c>
      <c r="AG34" s="431" t="s">
        <v>1527</v>
      </c>
      <c r="AH34" s="431" t="s">
        <v>1133</v>
      </c>
      <c r="AI34" s="431" t="s">
        <v>1228</v>
      </c>
      <c r="AJ34" s="431" t="s">
        <v>1133</v>
      </c>
      <c r="AK34" s="431" t="s">
        <v>1533</v>
      </c>
      <c r="AL34" s="430"/>
      <c r="AM34" s="431" t="s">
        <v>1538</v>
      </c>
      <c r="AN34" s="431" t="s">
        <v>1539</v>
      </c>
      <c r="AO34" s="470">
        <v>1.05</v>
      </c>
      <c r="AP34" s="471">
        <f t="shared" si="3"/>
        <v>12852</v>
      </c>
      <c r="AQ34" s="471">
        <f t="shared" si="4"/>
        <v>99603</v>
      </c>
      <c r="AR34" s="472"/>
      <c r="AS34" s="452"/>
      <c r="AT34" s="452" t="s">
        <v>1220</v>
      </c>
      <c r="AU34" s="476"/>
      <c r="AV34" s="476"/>
      <c r="AW34" s="477"/>
      <c r="AX34" s="452"/>
      <c r="AY34" s="420" t="s">
        <v>1273</v>
      </c>
      <c r="AZ34" s="420" t="s">
        <v>1274</v>
      </c>
      <c r="BA34" s="452"/>
      <c r="BB34" s="452" t="str">
        <f t="shared" si="5"/>
        <v>Character Options</v>
      </c>
      <c r="BC34" s="452" t="str">
        <f t="shared" si="6"/>
        <v>英国</v>
      </c>
    </row>
    <row r="35" s="377" customFormat="1" customHeight="1" spans="1:55">
      <c r="A35" s="452">
        <v>46237</v>
      </c>
      <c r="B35" s="465" t="str">
        <f ca="1" t="shared" si="0"/>
        <v/>
      </c>
      <c r="C35" s="466" t="str">
        <f>VLOOKUP(H35,名称!A:E,4,0)</f>
        <v>蛋糕</v>
      </c>
      <c r="D35" s="431" t="s">
        <v>1502</v>
      </c>
      <c r="E35" s="431" t="s">
        <v>1224</v>
      </c>
      <c r="F35" s="431" t="s">
        <v>1074</v>
      </c>
      <c r="G35" s="431" t="s">
        <v>1075</v>
      </c>
      <c r="H35" s="431" t="s">
        <v>206</v>
      </c>
      <c r="I35" s="430"/>
      <c r="J35" s="468">
        <v>27000</v>
      </c>
      <c r="K35" s="473"/>
      <c r="L35" s="468"/>
      <c r="M35" s="466">
        <f>VLOOKUP(H35,名称!A:E,3,0)</f>
        <v>18</v>
      </c>
      <c r="N35" s="474">
        <f t="shared" si="9"/>
        <v>1500</v>
      </c>
      <c r="O35" s="452">
        <v>46290</v>
      </c>
      <c r="P35" s="452">
        <v>46290</v>
      </c>
      <c r="Q35" s="452">
        <v>46295</v>
      </c>
      <c r="R35" s="430"/>
      <c r="S35" s="420" t="s">
        <v>1133</v>
      </c>
      <c r="T35" s="430"/>
      <c r="U35" s="430"/>
      <c r="V35" s="430"/>
      <c r="W35" s="478" t="str">
        <f>IFERROR(VLOOKUP(H35,名称!A:F,6,0),"")</f>
        <v>东莞</v>
      </c>
      <c r="X35" s="422" t="s">
        <v>1540</v>
      </c>
      <c r="Y35" s="478">
        <v>46244</v>
      </c>
      <c r="Z35" s="431" t="s">
        <v>1503</v>
      </c>
      <c r="AA35" s="479" t="s">
        <v>1133</v>
      </c>
      <c r="AB35" s="479" t="s">
        <v>1133</v>
      </c>
      <c r="AC35" s="479" t="s">
        <v>1133</v>
      </c>
      <c r="AD35" s="479" t="s">
        <v>1133</v>
      </c>
      <c r="AE35" s="431" t="s">
        <v>510</v>
      </c>
      <c r="AF35" s="431" t="s">
        <v>1233</v>
      </c>
      <c r="AG35" s="422" t="s">
        <v>1541</v>
      </c>
      <c r="AH35" s="431" t="s">
        <v>1133</v>
      </c>
      <c r="AI35" s="431" t="s">
        <v>1233</v>
      </c>
      <c r="AJ35" s="431" t="s">
        <v>1133</v>
      </c>
      <c r="AK35" s="431" t="s">
        <v>510</v>
      </c>
      <c r="AL35" s="430"/>
      <c r="AM35" s="422" t="s">
        <v>1267</v>
      </c>
      <c r="AN35" s="431" t="s">
        <v>1542</v>
      </c>
      <c r="AO35" s="470">
        <v>1.11</v>
      </c>
      <c r="AP35" s="471">
        <f t="shared" si="3"/>
        <v>29970</v>
      </c>
      <c r="AQ35" s="471">
        <f t="shared" si="4"/>
        <v>232267.5</v>
      </c>
      <c r="AR35" s="472"/>
      <c r="AS35" s="452"/>
      <c r="AT35" s="452" t="s">
        <v>1220</v>
      </c>
      <c r="AU35" s="476"/>
      <c r="AV35" s="476"/>
      <c r="AW35" s="477"/>
      <c r="AX35" s="452"/>
      <c r="AY35" s="420" t="s">
        <v>1255</v>
      </c>
      <c r="AZ35" s="420" t="s">
        <v>1492</v>
      </c>
      <c r="BA35" s="452"/>
      <c r="BB35" s="452" t="str">
        <f t="shared" si="5"/>
        <v>Target Corporation</v>
      </c>
      <c r="BC35" s="452" t="str">
        <f t="shared" si="6"/>
        <v>美国</v>
      </c>
    </row>
    <row r="36" s="377" customFormat="1" customHeight="1" spans="1:55">
      <c r="A36" s="452">
        <v>46237</v>
      </c>
      <c r="B36" s="465" t="str">
        <f ca="1" t="shared" si="0"/>
        <v/>
      </c>
      <c r="C36" s="466" t="str">
        <f>VLOOKUP(H36,名称!A:E,4,0)</f>
        <v>蛋糕</v>
      </c>
      <c r="D36" s="431" t="s">
        <v>1502</v>
      </c>
      <c r="E36" s="431" t="s">
        <v>1224</v>
      </c>
      <c r="F36" s="431" t="s">
        <v>1076</v>
      </c>
      <c r="G36" s="431" t="s">
        <v>1077</v>
      </c>
      <c r="H36" s="431" t="s">
        <v>206</v>
      </c>
      <c r="I36" s="430"/>
      <c r="J36" s="468">
        <v>13104</v>
      </c>
      <c r="K36" s="473"/>
      <c r="L36" s="468"/>
      <c r="M36" s="466">
        <f>VLOOKUP(H36,名称!A:E,3,0)</f>
        <v>18</v>
      </c>
      <c r="N36" s="474">
        <f t="shared" si="9"/>
        <v>728</v>
      </c>
      <c r="O36" s="452">
        <v>46316</v>
      </c>
      <c r="P36" s="452">
        <v>46316</v>
      </c>
      <c r="Q36" s="452">
        <v>46316</v>
      </c>
      <c r="R36" s="430"/>
      <c r="S36" s="420" t="s">
        <v>1133</v>
      </c>
      <c r="T36" s="430"/>
      <c r="U36" s="430"/>
      <c r="V36" s="430"/>
      <c r="W36" s="478" t="str">
        <f>IFERROR(VLOOKUP(H36,名称!A:F,6,0),"")</f>
        <v>东莞</v>
      </c>
      <c r="X36" s="422" t="s">
        <v>1540</v>
      </c>
      <c r="Y36" s="478">
        <v>46244</v>
      </c>
      <c r="Z36" s="431" t="s">
        <v>1503</v>
      </c>
      <c r="AA36" s="479" t="s">
        <v>1133</v>
      </c>
      <c r="AB36" s="479" t="s">
        <v>1133</v>
      </c>
      <c r="AC36" s="479" t="s">
        <v>1133</v>
      </c>
      <c r="AD36" s="479" t="s">
        <v>1133</v>
      </c>
      <c r="AE36" s="431" t="s">
        <v>510</v>
      </c>
      <c r="AF36" s="431" t="s">
        <v>1233</v>
      </c>
      <c r="AG36" s="422" t="s">
        <v>1541</v>
      </c>
      <c r="AH36" s="431" t="s">
        <v>1133</v>
      </c>
      <c r="AI36" s="431" t="s">
        <v>1233</v>
      </c>
      <c r="AJ36" s="431" t="s">
        <v>1133</v>
      </c>
      <c r="AK36" s="431" t="s">
        <v>510</v>
      </c>
      <c r="AL36" s="430"/>
      <c r="AM36" s="422" t="s">
        <v>1267</v>
      </c>
      <c r="AN36" s="431" t="s">
        <v>1542</v>
      </c>
      <c r="AO36" s="470">
        <v>1.11</v>
      </c>
      <c r="AP36" s="471">
        <f t="shared" ref="AP36:AP53" si="10">J36*AO36</f>
        <v>14545.44</v>
      </c>
      <c r="AQ36" s="471">
        <f t="shared" ref="AQ36:AQ53" si="11">AP36*7.75</f>
        <v>112727.16</v>
      </c>
      <c r="AR36" s="472"/>
      <c r="AS36" s="452"/>
      <c r="AT36" s="452" t="s">
        <v>1220</v>
      </c>
      <c r="AU36" s="476"/>
      <c r="AV36" s="476"/>
      <c r="AW36" s="477"/>
      <c r="AX36" s="452"/>
      <c r="AY36" s="420" t="s">
        <v>1255</v>
      </c>
      <c r="AZ36" s="420" t="s">
        <v>1492</v>
      </c>
      <c r="BA36" s="452"/>
      <c r="BB36" s="452" t="str">
        <f t="shared" ref="BB36:BB54" si="12">D36</f>
        <v>Target Corporation</v>
      </c>
      <c r="BC36" s="452" t="str">
        <f t="shared" ref="BC36:BC54" si="13">E36</f>
        <v>美国</v>
      </c>
    </row>
    <row r="37" s="377" customFormat="1" customHeight="1" spans="1:55">
      <c r="A37" s="452">
        <v>46237</v>
      </c>
      <c r="B37" s="465" t="str">
        <f ca="1" t="shared" si="0"/>
        <v/>
      </c>
      <c r="C37" s="466" t="str">
        <f>VLOOKUP(H37,名称!A:E,4,0)</f>
        <v>蛋糕</v>
      </c>
      <c r="D37" s="431" t="s">
        <v>1444</v>
      </c>
      <c r="E37" s="430" t="s">
        <v>1224</v>
      </c>
      <c r="F37" s="431" t="s">
        <v>1078</v>
      </c>
      <c r="G37" s="431" t="s">
        <v>1079</v>
      </c>
      <c r="H37" s="431" t="s">
        <v>123</v>
      </c>
      <c r="I37" s="430"/>
      <c r="J37" s="468">
        <v>9000</v>
      </c>
      <c r="K37" s="473"/>
      <c r="L37" s="468"/>
      <c r="M37" s="466">
        <f>VLOOKUP(H37,名称!A:E,3,0)</f>
        <v>24</v>
      </c>
      <c r="N37" s="474">
        <f t="shared" si="9"/>
        <v>375</v>
      </c>
      <c r="O37" s="452">
        <v>46303</v>
      </c>
      <c r="P37" s="452">
        <v>46303</v>
      </c>
      <c r="Q37" s="452">
        <v>46303</v>
      </c>
      <c r="R37" s="430"/>
      <c r="S37" s="420" t="s">
        <v>1133</v>
      </c>
      <c r="T37" s="430"/>
      <c r="U37" s="430"/>
      <c r="V37" s="430"/>
      <c r="W37" s="431" t="str">
        <f>IFERROR(VLOOKUP(H37,名称!A:F,6,0),"")</f>
        <v>东莞</v>
      </c>
      <c r="X37" s="431" t="s">
        <v>1133</v>
      </c>
      <c r="Y37" s="431" t="s">
        <v>1133</v>
      </c>
      <c r="Z37" s="431" t="s">
        <v>1249</v>
      </c>
      <c r="AA37" s="459">
        <v>46246</v>
      </c>
      <c r="AB37" s="459">
        <v>46246</v>
      </c>
      <c r="AC37" s="479" t="s">
        <v>1133</v>
      </c>
      <c r="AD37" s="479" t="s">
        <v>1133</v>
      </c>
      <c r="AE37" s="431" t="s">
        <v>510</v>
      </c>
      <c r="AF37" s="431" t="s">
        <v>1228</v>
      </c>
      <c r="AG37" s="431" t="s">
        <v>510</v>
      </c>
      <c r="AH37" s="431" t="s">
        <v>1133</v>
      </c>
      <c r="AI37" s="431" t="s">
        <v>1228</v>
      </c>
      <c r="AJ37" s="431" t="s">
        <v>1133</v>
      </c>
      <c r="AK37" s="431" t="s">
        <v>510</v>
      </c>
      <c r="AL37" s="430"/>
      <c r="AM37" s="422" t="s">
        <v>1267</v>
      </c>
      <c r="AN37" s="431" t="s">
        <v>1504</v>
      </c>
      <c r="AO37" s="470">
        <v>0.77</v>
      </c>
      <c r="AP37" s="471">
        <f t="shared" si="10"/>
        <v>6930</v>
      </c>
      <c r="AQ37" s="471">
        <f t="shared" si="11"/>
        <v>53707.5</v>
      </c>
      <c r="AR37" s="472"/>
      <c r="AS37" s="452"/>
      <c r="AT37" s="452" t="s">
        <v>1220</v>
      </c>
      <c r="AU37" s="476"/>
      <c r="AV37" s="476"/>
      <c r="AW37" s="477"/>
      <c r="AX37" s="452"/>
      <c r="AY37" s="420" t="s">
        <v>1255</v>
      </c>
      <c r="AZ37" s="420" t="s">
        <v>1492</v>
      </c>
      <c r="BA37" s="452"/>
      <c r="BB37" s="452" t="str">
        <f t="shared" si="12"/>
        <v>Toysmith</v>
      </c>
      <c r="BC37" s="452" t="str">
        <f t="shared" si="13"/>
        <v>美国</v>
      </c>
    </row>
    <row r="38" s="377" customFormat="1" customHeight="1" spans="1:55">
      <c r="A38" s="452">
        <v>46239</v>
      </c>
      <c r="B38" s="465" t="str">
        <f ca="1" t="shared" si="0"/>
        <v>异常</v>
      </c>
      <c r="C38" s="466" t="str">
        <f>VLOOKUP(H38,名称!A:E,4,0)</f>
        <v>蛋糕</v>
      </c>
      <c r="D38" s="431" t="s">
        <v>1402</v>
      </c>
      <c r="E38" s="431" t="s">
        <v>1403</v>
      </c>
      <c r="F38" s="431" t="s">
        <v>1081</v>
      </c>
      <c r="G38" s="431" t="s">
        <v>1082</v>
      </c>
      <c r="H38" s="431" t="s">
        <v>50</v>
      </c>
      <c r="I38" s="430"/>
      <c r="J38" s="468">
        <v>4806</v>
      </c>
      <c r="K38" s="473"/>
      <c r="L38" s="468"/>
      <c r="M38" s="466">
        <f>VLOOKUP(H38,名称!A:E,3,0)</f>
        <v>18</v>
      </c>
      <c r="N38" s="474">
        <f t="shared" si="9"/>
        <v>267</v>
      </c>
      <c r="O38" s="452">
        <v>46304</v>
      </c>
      <c r="P38" s="452">
        <v>46304</v>
      </c>
      <c r="Q38" s="452">
        <v>46304</v>
      </c>
      <c r="R38" s="430"/>
      <c r="S38" s="420" t="s">
        <v>1133</v>
      </c>
      <c r="T38" s="430"/>
      <c r="U38" s="430"/>
      <c r="V38" s="430"/>
      <c r="W38" s="431" t="str">
        <f>IFERROR(VLOOKUP(H38,名称!A:F,6,0),"")</f>
        <v>东莞</v>
      </c>
      <c r="X38" s="431" t="s">
        <v>1133</v>
      </c>
      <c r="Y38" s="431" t="s">
        <v>1133</v>
      </c>
      <c r="Z38" s="431" t="s">
        <v>1249</v>
      </c>
      <c r="AA38" s="459">
        <v>46246</v>
      </c>
      <c r="AB38" s="479"/>
      <c r="AC38" s="479" t="s">
        <v>1133</v>
      </c>
      <c r="AD38" s="479" t="s">
        <v>1133</v>
      </c>
      <c r="AE38" s="431" t="s">
        <v>510</v>
      </c>
      <c r="AF38" s="431" t="s">
        <v>1228</v>
      </c>
      <c r="AG38" s="431" t="s">
        <v>510</v>
      </c>
      <c r="AH38" s="431" t="s">
        <v>1133</v>
      </c>
      <c r="AI38" s="431" t="s">
        <v>1228</v>
      </c>
      <c r="AJ38" s="431" t="s">
        <v>1133</v>
      </c>
      <c r="AK38" s="431" t="s">
        <v>1523</v>
      </c>
      <c r="AL38" s="430"/>
      <c r="AM38" s="422" t="s">
        <v>1267</v>
      </c>
      <c r="AN38" s="431" t="s">
        <v>1543</v>
      </c>
      <c r="AO38" s="470">
        <v>1.15</v>
      </c>
      <c r="AP38" s="471">
        <f t="shared" si="10"/>
        <v>5526.9</v>
      </c>
      <c r="AQ38" s="471">
        <f t="shared" si="11"/>
        <v>42833.48</v>
      </c>
      <c r="AR38" s="472"/>
      <c r="AS38" s="452"/>
      <c r="AT38" s="420" t="s">
        <v>1313</v>
      </c>
      <c r="AU38" s="476"/>
      <c r="AV38" s="476"/>
      <c r="AW38" s="477"/>
      <c r="AX38" s="452"/>
      <c r="AY38" s="420" t="s">
        <v>1269</v>
      </c>
      <c r="AZ38" s="420" t="s">
        <v>1492</v>
      </c>
      <c r="BA38" s="452"/>
      <c r="BB38" s="452" t="str">
        <f t="shared" si="12"/>
        <v>Planet Fun</v>
      </c>
      <c r="BC38" s="452" t="str">
        <f t="shared" si="13"/>
        <v>新西兰</v>
      </c>
    </row>
    <row r="39" s="377" customFormat="1" customHeight="1" spans="1:55">
      <c r="A39" s="452">
        <v>46239</v>
      </c>
      <c r="B39" s="465" t="str">
        <f ca="1" t="shared" si="0"/>
        <v>异常</v>
      </c>
      <c r="C39" s="466" t="str">
        <f>VLOOKUP(H39,名称!A:E,4,0)</f>
        <v>蛋糕</v>
      </c>
      <c r="D39" s="431" t="s">
        <v>1544</v>
      </c>
      <c r="E39" s="431" t="s">
        <v>1545</v>
      </c>
      <c r="F39" s="430">
        <v>57179</v>
      </c>
      <c r="G39" s="431" t="s">
        <v>1096</v>
      </c>
      <c r="H39" s="431" t="s">
        <v>50</v>
      </c>
      <c r="I39" s="430"/>
      <c r="J39" s="468">
        <v>3006</v>
      </c>
      <c r="K39" s="473"/>
      <c r="L39" s="468"/>
      <c r="M39" s="466">
        <f>VLOOKUP(H39,名称!A:E,3,0)</f>
        <v>18</v>
      </c>
      <c r="N39" s="474">
        <f t="shared" si="9"/>
        <v>167</v>
      </c>
      <c r="O39" s="452">
        <v>46280</v>
      </c>
      <c r="P39" s="452">
        <v>46280</v>
      </c>
      <c r="Q39" s="452">
        <v>46280</v>
      </c>
      <c r="R39" s="430"/>
      <c r="S39" s="420" t="s">
        <v>1133</v>
      </c>
      <c r="T39" s="430"/>
      <c r="U39" s="430"/>
      <c r="V39" s="430"/>
      <c r="W39" s="430" t="str">
        <f>IFERROR(VLOOKUP(H39,名称!A:F,6,0),"")</f>
        <v>东莞</v>
      </c>
      <c r="X39" s="431" t="s">
        <v>1248</v>
      </c>
      <c r="Y39" s="430"/>
      <c r="Z39" s="453">
        <v>46239</v>
      </c>
      <c r="AA39" s="459">
        <v>46244</v>
      </c>
      <c r="AB39" s="453"/>
      <c r="AC39" s="479" t="s">
        <v>1133</v>
      </c>
      <c r="AD39" s="479" t="s">
        <v>1133</v>
      </c>
      <c r="AE39" s="431" t="s">
        <v>510</v>
      </c>
      <c r="AF39" s="431" t="s">
        <v>1228</v>
      </c>
      <c r="AG39" s="431" t="s">
        <v>510</v>
      </c>
      <c r="AH39" s="431" t="s">
        <v>1133</v>
      </c>
      <c r="AI39" s="431" t="s">
        <v>1228</v>
      </c>
      <c r="AJ39" s="431" t="s">
        <v>1133</v>
      </c>
      <c r="AK39" s="431" t="s">
        <v>510</v>
      </c>
      <c r="AL39" s="430"/>
      <c r="AM39" s="431" t="s">
        <v>1546</v>
      </c>
      <c r="AN39" s="431" t="s">
        <v>1547</v>
      </c>
      <c r="AO39" s="470">
        <v>1.15</v>
      </c>
      <c r="AP39" s="471">
        <f t="shared" si="10"/>
        <v>3456.9</v>
      </c>
      <c r="AQ39" s="471">
        <f t="shared" si="11"/>
        <v>26790.98</v>
      </c>
      <c r="AR39" s="472"/>
      <c r="AS39" s="452"/>
      <c r="AT39" s="452" t="s">
        <v>1220</v>
      </c>
      <c r="AU39" s="476"/>
      <c r="AV39" s="476"/>
      <c r="AW39" s="477"/>
      <c r="AX39" s="452"/>
      <c r="AY39" s="420" t="s">
        <v>1273</v>
      </c>
      <c r="AZ39" s="420" t="s">
        <v>1274</v>
      </c>
      <c r="BA39" s="452"/>
      <c r="BB39" s="452" t="str">
        <f t="shared" si="12"/>
        <v>Diamant Toys</v>
      </c>
      <c r="BC39" s="452" t="str">
        <f t="shared" si="13"/>
        <v>以色列</v>
      </c>
    </row>
    <row r="40" s="377" customFormat="1" customHeight="1" spans="1:55">
      <c r="A40" s="452">
        <v>46239</v>
      </c>
      <c r="B40" s="465" t="str">
        <f ca="1" t="shared" si="0"/>
        <v>异常</v>
      </c>
      <c r="C40" s="466" t="str">
        <f>VLOOKUP(H40,名称!A:E,4,0)</f>
        <v>蛋糕</v>
      </c>
      <c r="D40" s="431" t="s">
        <v>1544</v>
      </c>
      <c r="E40" s="431" t="s">
        <v>1545</v>
      </c>
      <c r="F40" s="430">
        <v>57179</v>
      </c>
      <c r="G40" s="431" t="s">
        <v>1096</v>
      </c>
      <c r="H40" s="431" t="s">
        <v>123</v>
      </c>
      <c r="I40" s="430"/>
      <c r="J40" s="468">
        <v>3000</v>
      </c>
      <c r="K40" s="473"/>
      <c r="L40" s="468"/>
      <c r="M40" s="466">
        <f>VLOOKUP(H40,名称!A:E,3,0)</f>
        <v>24</v>
      </c>
      <c r="N40" s="474">
        <f t="shared" si="9"/>
        <v>125</v>
      </c>
      <c r="O40" s="452">
        <v>46280</v>
      </c>
      <c r="P40" s="452">
        <v>46280</v>
      </c>
      <c r="Q40" s="452">
        <v>46280</v>
      </c>
      <c r="R40" s="430"/>
      <c r="S40" s="420" t="s">
        <v>1133</v>
      </c>
      <c r="T40" s="430"/>
      <c r="U40" s="430"/>
      <c r="V40" s="430"/>
      <c r="W40" s="430" t="str">
        <f>IFERROR(VLOOKUP(H40,名称!A:F,6,0),"")</f>
        <v>东莞</v>
      </c>
      <c r="X40" s="431" t="s">
        <v>1248</v>
      </c>
      <c r="Y40" s="430"/>
      <c r="Z40" s="453">
        <v>46239</v>
      </c>
      <c r="AA40" s="459">
        <v>46244</v>
      </c>
      <c r="AB40" s="430"/>
      <c r="AC40" s="479" t="s">
        <v>1133</v>
      </c>
      <c r="AD40" s="479" t="s">
        <v>1133</v>
      </c>
      <c r="AE40" s="431" t="s">
        <v>510</v>
      </c>
      <c r="AF40" s="431" t="s">
        <v>1228</v>
      </c>
      <c r="AG40" s="431" t="s">
        <v>510</v>
      </c>
      <c r="AH40" s="431" t="s">
        <v>1133</v>
      </c>
      <c r="AI40" s="431" t="s">
        <v>1228</v>
      </c>
      <c r="AJ40" s="431" t="s">
        <v>1133</v>
      </c>
      <c r="AK40" s="431" t="s">
        <v>510</v>
      </c>
      <c r="AL40" s="430"/>
      <c r="AM40" s="431" t="s">
        <v>1546</v>
      </c>
      <c r="AN40" s="431" t="s">
        <v>1547</v>
      </c>
      <c r="AO40" s="470">
        <v>0.81</v>
      </c>
      <c r="AP40" s="471">
        <f t="shared" si="10"/>
        <v>2430</v>
      </c>
      <c r="AQ40" s="471">
        <f t="shared" si="11"/>
        <v>18832.5</v>
      </c>
      <c r="AR40" s="472"/>
      <c r="AS40" s="452"/>
      <c r="AT40" s="452" t="s">
        <v>1220</v>
      </c>
      <c r="AU40" s="476"/>
      <c r="AV40" s="476"/>
      <c r="AW40" s="477"/>
      <c r="AX40" s="452"/>
      <c r="AY40" s="420" t="s">
        <v>1273</v>
      </c>
      <c r="AZ40" s="420" t="s">
        <v>1274</v>
      </c>
      <c r="BA40" s="452"/>
      <c r="BB40" s="452" t="str">
        <f t="shared" si="12"/>
        <v>Diamant Toys</v>
      </c>
      <c r="BC40" s="452" t="str">
        <f t="shared" si="13"/>
        <v>以色列</v>
      </c>
    </row>
    <row r="41" s="377" customFormat="1" customHeight="1" spans="1:55">
      <c r="A41" s="452">
        <v>46241</v>
      </c>
      <c r="B41" s="465" t="str">
        <f ca="1" t="shared" si="0"/>
        <v/>
      </c>
      <c r="C41" s="466" t="str">
        <f>VLOOKUP(H41,名称!A:E,4,0)</f>
        <v>蛋糕</v>
      </c>
      <c r="D41" s="431" t="s">
        <v>1345</v>
      </c>
      <c r="E41" s="431" t="s">
        <v>1224</v>
      </c>
      <c r="F41" s="431" t="s">
        <v>1111</v>
      </c>
      <c r="G41" s="431" t="s">
        <v>1112</v>
      </c>
      <c r="H41" s="431" t="s">
        <v>50</v>
      </c>
      <c r="I41" s="430"/>
      <c r="J41" s="468">
        <v>50004</v>
      </c>
      <c r="K41" s="473"/>
      <c r="L41" s="468"/>
      <c r="M41" s="466">
        <f>VLOOKUP(H41,名称!A:E,3,0)</f>
        <v>18</v>
      </c>
      <c r="N41" s="474">
        <f t="shared" si="9"/>
        <v>2778</v>
      </c>
      <c r="O41" s="452">
        <v>46274</v>
      </c>
      <c r="P41" s="452">
        <v>46270</v>
      </c>
      <c r="Q41" s="452">
        <v>46270</v>
      </c>
      <c r="R41" s="430"/>
      <c r="S41" s="420" t="s">
        <v>1133</v>
      </c>
      <c r="T41" s="430"/>
      <c r="U41" s="430"/>
      <c r="V41" s="430"/>
      <c r="W41" s="431" t="str">
        <f>IFERROR(VLOOKUP(H41,名称!A:F,6,0),"")</f>
        <v>东莞</v>
      </c>
      <c r="X41" s="431" t="s">
        <v>1548</v>
      </c>
      <c r="Y41" s="478">
        <v>46244</v>
      </c>
      <c r="Z41" s="431" t="s">
        <v>1503</v>
      </c>
      <c r="AA41" s="479" t="s">
        <v>1133</v>
      </c>
      <c r="AB41" s="431" t="s">
        <v>1133</v>
      </c>
      <c r="AC41" s="431" t="s">
        <v>1133</v>
      </c>
      <c r="AD41" s="431" t="s">
        <v>1133</v>
      </c>
      <c r="AE41" s="431" t="s">
        <v>510</v>
      </c>
      <c r="AF41" s="431" t="s">
        <v>1228</v>
      </c>
      <c r="AG41" s="431" t="s">
        <v>510</v>
      </c>
      <c r="AH41" s="431" t="s">
        <v>1133</v>
      </c>
      <c r="AI41" s="431" t="s">
        <v>1228</v>
      </c>
      <c r="AJ41" s="431" t="s">
        <v>1133</v>
      </c>
      <c r="AK41" s="431" t="s">
        <v>510</v>
      </c>
      <c r="AL41" s="430"/>
      <c r="AM41" s="422" t="s">
        <v>1267</v>
      </c>
      <c r="AN41" s="431" t="s">
        <v>1549</v>
      </c>
      <c r="AO41" s="470">
        <v>1.11</v>
      </c>
      <c r="AP41" s="471">
        <f t="shared" si="10"/>
        <v>55504.44</v>
      </c>
      <c r="AQ41" s="471">
        <f t="shared" si="11"/>
        <v>430159.41</v>
      </c>
      <c r="AR41" s="472"/>
      <c r="AS41" s="452"/>
      <c r="AT41" s="420" t="s">
        <v>1254</v>
      </c>
      <c r="AU41" s="476"/>
      <c r="AV41" s="476"/>
      <c r="AW41" s="477"/>
      <c r="AX41" s="452"/>
      <c r="AY41" s="420" t="s">
        <v>1255</v>
      </c>
      <c r="AZ41" s="420" t="s">
        <v>1492</v>
      </c>
      <c r="BA41" s="452"/>
      <c r="BB41" s="452" t="str">
        <f t="shared" si="12"/>
        <v>JAZWARES - TARGET</v>
      </c>
      <c r="BC41" s="452" t="str">
        <f t="shared" si="13"/>
        <v>美国</v>
      </c>
    </row>
    <row r="42" s="377" customFormat="1" customHeight="1" spans="1:55">
      <c r="A42" s="452">
        <v>46241</v>
      </c>
      <c r="B42" s="465" t="str">
        <f ca="1" t="shared" si="0"/>
        <v/>
      </c>
      <c r="C42" s="466" t="str">
        <f>VLOOKUP(H42,名称!A:E,4,0)</f>
        <v>蛋糕</v>
      </c>
      <c r="D42" s="431" t="s">
        <v>1345</v>
      </c>
      <c r="E42" s="431" t="s">
        <v>1224</v>
      </c>
      <c r="F42" s="431" t="s">
        <v>1113</v>
      </c>
      <c r="G42" s="431" t="s">
        <v>1114</v>
      </c>
      <c r="H42" s="431" t="s">
        <v>50</v>
      </c>
      <c r="I42" s="430"/>
      <c r="J42" s="468">
        <v>50004</v>
      </c>
      <c r="K42" s="473"/>
      <c r="L42" s="468"/>
      <c r="M42" s="466">
        <f>VLOOKUP(H42,名称!A:E,3,0)</f>
        <v>18</v>
      </c>
      <c r="N42" s="474">
        <f t="shared" si="9"/>
        <v>2778</v>
      </c>
      <c r="O42" s="452">
        <v>46275</v>
      </c>
      <c r="P42" s="452">
        <v>46275</v>
      </c>
      <c r="Q42" s="452">
        <v>46275</v>
      </c>
      <c r="R42" s="430"/>
      <c r="S42" s="420" t="s">
        <v>1133</v>
      </c>
      <c r="T42" s="430"/>
      <c r="U42" s="430"/>
      <c r="V42" s="430"/>
      <c r="W42" s="431" t="str">
        <f>IFERROR(VLOOKUP(H42,名称!A:F,6,0),"")</f>
        <v>东莞</v>
      </c>
      <c r="X42" s="431" t="s">
        <v>1548</v>
      </c>
      <c r="Y42" s="478">
        <v>46244</v>
      </c>
      <c r="Z42" s="431" t="s">
        <v>1503</v>
      </c>
      <c r="AA42" s="479" t="s">
        <v>1133</v>
      </c>
      <c r="AB42" s="431" t="s">
        <v>1133</v>
      </c>
      <c r="AC42" s="431" t="s">
        <v>1133</v>
      </c>
      <c r="AD42" s="431" t="s">
        <v>1133</v>
      </c>
      <c r="AE42" s="431" t="s">
        <v>510</v>
      </c>
      <c r="AF42" s="431" t="s">
        <v>1228</v>
      </c>
      <c r="AG42" s="431" t="s">
        <v>510</v>
      </c>
      <c r="AH42" s="431" t="s">
        <v>1133</v>
      </c>
      <c r="AI42" s="431" t="s">
        <v>1228</v>
      </c>
      <c r="AJ42" s="431" t="s">
        <v>1133</v>
      </c>
      <c r="AK42" s="431" t="s">
        <v>510</v>
      </c>
      <c r="AL42" s="430"/>
      <c r="AM42" s="422" t="s">
        <v>1267</v>
      </c>
      <c r="AN42" s="431" t="s">
        <v>1549</v>
      </c>
      <c r="AO42" s="470">
        <v>1.11</v>
      </c>
      <c r="AP42" s="471">
        <f t="shared" si="10"/>
        <v>55504.44</v>
      </c>
      <c r="AQ42" s="471">
        <f t="shared" si="11"/>
        <v>430159.41</v>
      </c>
      <c r="AR42" s="472"/>
      <c r="AS42" s="452"/>
      <c r="AT42" s="420" t="s">
        <v>1254</v>
      </c>
      <c r="AU42" s="476"/>
      <c r="AV42" s="476"/>
      <c r="AW42" s="477"/>
      <c r="AX42" s="452"/>
      <c r="AY42" s="420" t="s">
        <v>1255</v>
      </c>
      <c r="AZ42" s="420" t="s">
        <v>1492</v>
      </c>
      <c r="BA42" s="452"/>
      <c r="BB42" s="452" t="str">
        <f t="shared" si="12"/>
        <v>JAZWARES - TARGET</v>
      </c>
      <c r="BC42" s="452" t="str">
        <f t="shared" si="13"/>
        <v>美国</v>
      </c>
    </row>
    <row r="43" s="377" customFormat="1" customHeight="1" spans="1:55">
      <c r="A43" s="452">
        <v>46241</v>
      </c>
      <c r="B43" s="465" t="str">
        <f ca="1" t="shared" si="0"/>
        <v/>
      </c>
      <c r="C43" s="466" t="str">
        <f>VLOOKUP(H43,名称!A:E,4,0)</f>
        <v>蛋糕</v>
      </c>
      <c r="D43" s="431" t="s">
        <v>1345</v>
      </c>
      <c r="E43" s="431" t="s">
        <v>1224</v>
      </c>
      <c r="F43" s="431" t="s">
        <v>1115</v>
      </c>
      <c r="G43" s="431" t="s">
        <v>1116</v>
      </c>
      <c r="H43" s="431" t="s">
        <v>50</v>
      </c>
      <c r="I43" s="430"/>
      <c r="J43" s="468">
        <v>50004</v>
      </c>
      <c r="K43" s="473"/>
      <c r="L43" s="468"/>
      <c r="M43" s="466">
        <f>VLOOKUP(H43,名称!A:E,3,0)</f>
        <v>18</v>
      </c>
      <c r="N43" s="474">
        <f t="shared" si="9"/>
        <v>2778</v>
      </c>
      <c r="O43" s="452">
        <v>46284</v>
      </c>
      <c r="P43" s="452">
        <v>46284</v>
      </c>
      <c r="Q43" s="452">
        <v>46284</v>
      </c>
      <c r="R43" s="430"/>
      <c r="S43" s="420" t="s">
        <v>1133</v>
      </c>
      <c r="T43" s="430"/>
      <c r="U43" s="430"/>
      <c r="V43" s="430"/>
      <c r="W43" s="431" t="str">
        <f>IFERROR(VLOOKUP(H43,名称!A:F,6,0),"")</f>
        <v>东莞</v>
      </c>
      <c r="X43" s="431" t="s">
        <v>1548</v>
      </c>
      <c r="Y43" s="478">
        <v>46244</v>
      </c>
      <c r="Z43" s="431" t="s">
        <v>1503</v>
      </c>
      <c r="AA43" s="479" t="s">
        <v>1133</v>
      </c>
      <c r="AB43" s="479" t="s">
        <v>1133</v>
      </c>
      <c r="AC43" s="431" t="s">
        <v>1133</v>
      </c>
      <c r="AD43" s="431" t="s">
        <v>1133</v>
      </c>
      <c r="AE43" s="431" t="s">
        <v>510</v>
      </c>
      <c r="AF43" s="431" t="s">
        <v>1228</v>
      </c>
      <c r="AG43" s="431" t="s">
        <v>510</v>
      </c>
      <c r="AH43" s="431" t="s">
        <v>1133</v>
      </c>
      <c r="AI43" s="431" t="s">
        <v>1228</v>
      </c>
      <c r="AJ43" s="431" t="s">
        <v>1133</v>
      </c>
      <c r="AK43" s="431" t="s">
        <v>510</v>
      </c>
      <c r="AL43" s="430"/>
      <c r="AM43" s="422" t="s">
        <v>1267</v>
      </c>
      <c r="AN43" s="431" t="s">
        <v>1550</v>
      </c>
      <c r="AO43" s="470">
        <v>1.11</v>
      </c>
      <c r="AP43" s="471">
        <f t="shared" si="10"/>
        <v>55504.44</v>
      </c>
      <c r="AQ43" s="471">
        <f t="shared" si="11"/>
        <v>430159.41</v>
      </c>
      <c r="AR43" s="472"/>
      <c r="AS43" s="452"/>
      <c r="AT43" s="452" t="s">
        <v>1220</v>
      </c>
      <c r="AU43" s="476"/>
      <c r="AV43" s="476"/>
      <c r="AW43" s="477"/>
      <c r="AX43" s="452"/>
      <c r="AY43" s="420" t="s">
        <v>1255</v>
      </c>
      <c r="AZ43" s="420" t="s">
        <v>1492</v>
      </c>
      <c r="BA43" s="452"/>
      <c r="BB43" s="452" t="str">
        <f t="shared" si="12"/>
        <v>JAZWARES - TARGET</v>
      </c>
      <c r="BC43" s="452" t="str">
        <f t="shared" si="13"/>
        <v>美国</v>
      </c>
    </row>
    <row r="44" s="377" customFormat="1" customHeight="1" spans="1:55">
      <c r="A44" s="452">
        <v>46241</v>
      </c>
      <c r="B44" s="465" t="str">
        <f ca="1" t="shared" si="0"/>
        <v/>
      </c>
      <c r="C44" s="466" t="str">
        <f>VLOOKUP(H44,名称!A:E,4,0)</f>
        <v>蛋糕</v>
      </c>
      <c r="D44" s="467" t="s">
        <v>1444</v>
      </c>
      <c r="E44" s="431" t="s">
        <v>1224</v>
      </c>
      <c r="F44" s="431" t="s">
        <v>1117</v>
      </c>
      <c r="G44" s="431" t="s">
        <v>1118</v>
      </c>
      <c r="H44" s="431" t="s">
        <v>123</v>
      </c>
      <c r="I44" s="430"/>
      <c r="J44" s="468">
        <v>18000</v>
      </c>
      <c r="K44" s="430"/>
      <c r="L44" s="430"/>
      <c r="M44" s="466">
        <f>VLOOKUP(H44,名称!A:E,3,0)</f>
        <v>24</v>
      </c>
      <c r="N44" s="474">
        <f t="shared" si="9"/>
        <v>750</v>
      </c>
      <c r="O44" s="452">
        <v>46307</v>
      </c>
      <c r="P44" s="452">
        <v>46307</v>
      </c>
      <c r="Q44" s="452">
        <v>46307</v>
      </c>
      <c r="R44" s="430"/>
      <c r="S44" s="420" t="s">
        <v>1133</v>
      </c>
      <c r="T44" s="430"/>
      <c r="U44" s="430"/>
      <c r="V44" s="430"/>
      <c r="W44" s="431" t="str">
        <f>IFERROR(VLOOKUP(H44,名称!A:F,6,0),"")</f>
        <v>东莞</v>
      </c>
      <c r="X44" s="431" t="s">
        <v>1133</v>
      </c>
      <c r="Y44" s="431" t="s">
        <v>1133</v>
      </c>
      <c r="Z44" s="431" t="s">
        <v>1249</v>
      </c>
      <c r="AA44" s="459">
        <v>46246</v>
      </c>
      <c r="AB44" s="453">
        <v>46246</v>
      </c>
      <c r="AC44" s="431" t="s">
        <v>1133</v>
      </c>
      <c r="AD44" s="431" t="s">
        <v>1133</v>
      </c>
      <c r="AE44" s="431" t="s">
        <v>510</v>
      </c>
      <c r="AF44" s="431" t="s">
        <v>1228</v>
      </c>
      <c r="AG44" s="431" t="s">
        <v>510</v>
      </c>
      <c r="AH44" s="431" t="s">
        <v>1133</v>
      </c>
      <c r="AI44" s="431" t="s">
        <v>1228</v>
      </c>
      <c r="AJ44" s="431" t="s">
        <v>1133</v>
      </c>
      <c r="AK44" s="431" t="s">
        <v>510</v>
      </c>
      <c r="AL44" s="430"/>
      <c r="AM44" s="422" t="s">
        <v>1267</v>
      </c>
      <c r="AN44" s="431" t="s">
        <v>1551</v>
      </c>
      <c r="AO44" s="470">
        <v>0.77</v>
      </c>
      <c r="AP44" s="471">
        <f t="shared" si="10"/>
        <v>13860</v>
      </c>
      <c r="AQ44" s="471">
        <f t="shared" si="11"/>
        <v>107415</v>
      </c>
      <c r="AR44" s="472"/>
      <c r="AS44" s="452"/>
      <c r="AT44" s="452" t="s">
        <v>1220</v>
      </c>
      <c r="AU44" s="452"/>
      <c r="AV44" s="452"/>
      <c r="AW44" s="452"/>
      <c r="AX44" s="452"/>
      <c r="AY44" s="420" t="s">
        <v>1255</v>
      </c>
      <c r="AZ44" s="420" t="s">
        <v>1492</v>
      </c>
      <c r="BA44" s="452"/>
      <c r="BB44" s="452" t="str">
        <f t="shared" si="12"/>
        <v>Toysmith</v>
      </c>
      <c r="BC44" s="452" t="str">
        <f t="shared" si="13"/>
        <v>美国</v>
      </c>
    </row>
    <row r="45" s="377" customFormat="1" customHeight="1" spans="1:55">
      <c r="A45" s="452"/>
      <c r="B45" s="76"/>
      <c r="C45" s="430"/>
      <c r="D45" s="480"/>
      <c r="E45" s="480"/>
      <c r="F45" s="430"/>
      <c r="G45" s="430"/>
      <c r="H45" s="430"/>
      <c r="I45" s="430"/>
      <c r="J45" s="468"/>
      <c r="K45" s="430"/>
      <c r="L45" s="430"/>
      <c r="M45" s="430"/>
      <c r="N45" s="468"/>
      <c r="O45" s="452"/>
      <c r="P45" s="452"/>
      <c r="Q45" s="452"/>
      <c r="R45" s="430"/>
      <c r="S45" s="452"/>
      <c r="T45" s="430"/>
      <c r="U45" s="430"/>
      <c r="V45" s="430"/>
      <c r="W45" s="431" t="str">
        <f>IFERROR(VLOOKUP(H45,名称!A:F,6,0),"")</f>
        <v/>
      </c>
      <c r="X45" s="430"/>
      <c r="Y45" s="430"/>
      <c r="Z45" s="430"/>
      <c r="AA45" s="459"/>
      <c r="AB45" s="430"/>
      <c r="AC45" s="430"/>
      <c r="AD45" s="430"/>
      <c r="AE45" s="430"/>
      <c r="AF45" s="430"/>
      <c r="AG45" s="430"/>
      <c r="AH45" s="430"/>
      <c r="AI45" s="430"/>
      <c r="AJ45" s="430"/>
      <c r="AK45" s="430"/>
      <c r="AL45" s="430"/>
      <c r="AM45" s="430"/>
      <c r="AN45" s="468"/>
      <c r="AO45" s="470"/>
      <c r="AP45" s="471">
        <f t="shared" si="10"/>
        <v>0</v>
      </c>
      <c r="AQ45" s="471">
        <f t="shared" si="11"/>
        <v>0</v>
      </c>
      <c r="AR45" s="472"/>
      <c r="AS45" s="452"/>
      <c r="AT45" s="452"/>
      <c r="AU45" s="452"/>
      <c r="AV45" s="452"/>
      <c r="AW45" s="452"/>
      <c r="AX45" s="452"/>
      <c r="AY45" s="452"/>
      <c r="AZ45" s="452"/>
      <c r="BA45" s="452"/>
      <c r="BB45" s="452">
        <f t="shared" si="12"/>
        <v>0</v>
      </c>
      <c r="BC45" s="452">
        <f t="shared" si="13"/>
        <v>0</v>
      </c>
    </row>
    <row r="46" s="377" customFormat="1" customHeight="1" spans="1:55">
      <c r="A46" s="452"/>
      <c r="B46" s="76"/>
      <c r="C46" s="430"/>
      <c r="D46" s="480"/>
      <c r="E46" s="480"/>
      <c r="F46" s="430"/>
      <c r="G46" s="430"/>
      <c r="H46" s="430"/>
      <c r="I46" s="430"/>
      <c r="J46" s="468"/>
      <c r="K46" s="430"/>
      <c r="L46" s="430"/>
      <c r="M46" s="430"/>
      <c r="N46" s="468"/>
      <c r="O46" s="452"/>
      <c r="P46" s="452"/>
      <c r="Q46" s="452"/>
      <c r="R46" s="430"/>
      <c r="S46" s="452"/>
      <c r="T46" s="430"/>
      <c r="U46" s="430"/>
      <c r="V46" s="430"/>
      <c r="W46" s="431" t="str">
        <f>IFERROR(VLOOKUP(H46,名称!A:F,6,0),"")</f>
        <v/>
      </c>
      <c r="X46" s="430"/>
      <c r="Y46" s="430"/>
      <c r="Z46" s="430"/>
      <c r="AA46" s="459"/>
      <c r="AB46" s="430"/>
      <c r="AC46" s="430"/>
      <c r="AD46" s="430"/>
      <c r="AE46" s="430"/>
      <c r="AF46" s="430"/>
      <c r="AG46" s="430"/>
      <c r="AH46" s="430"/>
      <c r="AI46" s="430"/>
      <c r="AJ46" s="430"/>
      <c r="AK46" s="430"/>
      <c r="AL46" s="430"/>
      <c r="AM46" s="430"/>
      <c r="AN46" s="468"/>
      <c r="AO46" s="470"/>
      <c r="AP46" s="471">
        <f t="shared" si="10"/>
        <v>0</v>
      </c>
      <c r="AQ46" s="471">
        <f t="shared" si="11"/>
        <v>0</v>
      </c>
      <c r="AR46" s="472"/>
      <c r="AS46" s="452"/>
      <c r="AT46" s="452"/>
      <c r="AU46" s="452"/>
      <c r="AV46" s="452"/>
      <c r="AW46" s="452"/>
      <c r="AX46" s="452"/>
      <c r="AY46" s="452"/>
      <c r="AZ46" s="452"/>
      <c r="BA46" s="452"/>
      <c r="BB46" s="452">
        <f t="shared" si="12"/>
        <v>0</v>
      </c>
      <c r="BC46" s="452">
        <f t="shared" si="13"/>
        <v>0</v>
      </c>
    </row>
    <row r="47" s="377" customFormat="1" customHeight="1" spans="1:55">
      <c r="A47" s="452"/>
      <c r="B47" s="76"/>
      <c r="C47" s="430"/>
      <c r="D47" s="480"/>
      <c r="E47" s="480"/>
      <c r="F47" s="430"/>
      <c r="G47" s="430"/>
      <c r="H47" s="430"/>
      <c r="I47" s="430"/>
      <c r="J47" s="468"/>
      <c r="K47" s="430"/>
      <c r="L47" s="430"/>
      <c r="M47" s="430"/>
      <c r="N47" s="468"/>
      <c r="O47" s="452"/>
      <c r="P47" s="452"/>
      <c r="Q47" s="452"/>
      <c r="R47" s="430"/>
      <c r="S47" s="452"/>
      <c r="T47" s="430"/>
      <c r="U47" s="430"/>
      <c r="V47" s="430"/>
      <c r="W47" s="431" t="str">
        <f>IFERROR(VLOOKUP(H47,名称!A:F,6,0),"")</f>
        <v/>
      </c>
      <c r="X47" s="430"/>
      <c r="Y47" s="430"/>
      <c r="Z47" s="430"/>
      <c r="AA47" s="459"/>
      <c r="AB47" s="430"/>
      <c r="AC47" s="430"/>
      <c r="AD47" s="430"/>
      <c r="AE47" s="430"/>
      <c r="AF47" s="430"/>
      <c r="AG47" s="430"/>
      <c r="AH47" s="430"/>
      <c r="AI47" s="430"/>
      <c r="AJ47" s="430"/>
      <c r="AK47" s="430"/>
      <c r="AL47" s="430"/>
      <c r="AM47" s="430"/>
      <c r="AN47" s="468"/>
      <c r="AO47" s="470"/>
      <c r="AP47" s="471">
        <f t="shared" si="10"/>
        <v>0</v>
      </c>
      <c r="AQ47" s="471">
        <f t="shared" si="11"/>
        <v>0</v>
      </c>
      <c r="AR47" s="472"/>
      <c r="AS47" s="452"/>
      <c r="AT47" s="452"/>
      <c r="AU47" s="452"/>
      <c r="AV47" s="452"/>
      <c r="AW47" s="452"/>
      <c r="AX47" s="452"/>
      <c r="AY47" s="452"/>
      <c r="AZ47" s="452"/>
      <c r="BA47" s="452"/>
      <c r="BB47" s="452">
        <f t="shared" si="12"/>
        <v>0</v>
      </c>
      <c r="BC47" s="452">
        <f t="shared" si="13"/>
        <v>0</v>
      </c>
    </row>
    <row r="48" s="377" customFormat="1" customHeight="1" spans="1:55">
      <c r="A48" s="452"/>
      <c r="B48" s="76"/>
      <c r="C48" s="430"/>
      <c r="D48" s="480"/>
      <c r="E48" s="480"/>
      <c r="F48" s="430"/>
      <c r="G48" s="430"/>
      <c r="H48" s="430"/>
      <c r="I48" s="430"/>
      <c r="J48" s="468"/>
      <c r="K48" s="430"/>
      <c r="L48" s="430"/>
      <c r="M48" s="430"/>
      <c r="N48" s="468"/>
      <c r="O48" s="452"/>
      <c r="P48" s="452"/>
      <c r="Q48" s="452"/>
      <c r="R48" s="430"/>
      <c r="S48" s="452"/>
      <c r="T48" s="430"/>
      <c r="U48" s="430"/>
      <c r="V48" s="430"/>
      <c r="W48" s="431" t="str">
        <f>IFERROR(VLOOKUP(H48,名称!A:F,6,0),"")</f>
        <v/>
      </c>
      <c r="X48" s="430"/>
      <c r="Y48" s="430"/>
      <c r="Z48" s="430"/>
      <c r="AA48" s="459"/>
      <c r="AB48" s="430"/>
      <c r="AC48" s="430"/>
      <c r="AD48" s="430"/>
      <c r="AE48" s="430"/>
      <c r="AF48" s="430"/>
      <c r="AG48" s="430"/>
      <c r="AH48" s="430"/>
      <c r="AI48" s="430"/>
      <c r="AJ48" s="430"/>
      <c r="AK48" s="430"/>
      <c r="AL48" s="430"/>
      <c r="AM48" s="430"/>
      <c r="AN48" s="468"/>
      <c r="AO48" s="470"/>
      <c r="AP48" s="471">
        <f t="shared" si="10"/>
        <v>0</v>
      </c>
      <c r="AQ48" s="471">
        <f t="shared" si="11"/>
        <v>0</v>
      </c>
      <c r="AR48" s="472"/>
      <c r="AS48" s="452"/>
      <c r="AT48" s="452"/>
      <c r="AU48" s="452"/>
      <c r="AV48" s="452"/>
      <c r="AW48" s="452"/>
      <c r="AX48" s="452"/>
      <c r="AY48" s="452"/>
      <c r="AZ48" s="452"/>
      <c r="BA48" s="452"/>
      <c r="BB48" s="452">
        <f t="shared" si="12"/>
        <v>0</v>
      </c>
      <c r="BC48" s="452">
        <f t="shared" si="13"/>
        <v>0</v>
      </c>
    </row>
    <row r="49" s="377" customFormat="1" customHeight="1" spans="1:55">
      <c r="A49" s="452"/>
      <c r="B49" s="76"/>
      <c r="C49" s="430"/>
      <c r="D49" s="480"/>
      <c r="E49" s="480"/>
      <c r="F49" s="430"/>
      <c r="G49" s="430"/>
      <c r="H49" s="430"/>
      <c r="I49" s="430"/>
      <c r="J49" s="468"/>
      <c r="K49" s="430"/>
      <c r="L49" s="430"/>
      <c r="M49" s="430"/>
      <c r="N49" s="468"/>
      <c r="O49" s="452"/>
      <c r="P49" s="452"/>
      <c r="Q49" s="452"/>
      <c r="R49" s="430"/>
      <c r="S49" s="452"/>
      <c r="T49" s="430"/>
      <c r="U49" s="430"/>
      <c r="V49" s="430"/>
      <c r="W49" s="431" t="str">
        <f>IFERROR(VLOOKUP(H49,名称!A:F,6,0),"")</f>
        <v/>
      </c>
      <c r="X49" s="430"/>
      <c r="Y49" s="430"/>
      <c r="Z49" s="430"/>
      <c r="AA49" s="459"/>
      <c r="AB49" s="430"/>
      <c r="AC49" s="430"/>
      <c r="AD49" s="430"/>
      <c r="AE49" s="430"/>
      <c r="AF49" s="430"/>
      <c r="AG49" s="430"/>
      <c r="AH49" s="430"/>
      <c r="AI49" s="430"/>
      <c r="AJ49" s="430"/>
      <c r="AK49" s="430"/>
      <c r="AL49" s="430"/>
      <c r="AM49" s="430"/>
      <c r="AN49" s="468"/>
      <c r="AO49" s="470"/>
      <c r="AP49" s="471">
        <f t="shared" si="10"/>
        <v>0</v>
      </c>
      <c r="AQ49" s="471">
        <f t="shared" si="11"/>
        <v>0</v>
      </c>
      <c r="AR49" s="472"/>
      <c r="AS49" s="452"/>
      <c r="AT49" s="452"/>
      <c r="AU49" s="452"/>
      <c r="AV49" s="452"/>
      <c r="AW49" s="452"/>
      <c r="AX49" s="452"/>
      <c r="AY49" s="452"/>
      <c r="AZ49" s="452"/>
      <c r="BA49" s="452"/>
      <c r="BB49" s="452">
        <f t="shared" si="12"/>
        <v>0</v>
      </c>
      <c r="BC49" s="452">
        <f t="shared" si="13"/>
        <v>0</v>
      </c>
    </row>
    <row r="50" s="377" customFormat="1" customHeight="1" spans="1:55">
      <c r="A50" s="452"/>
      <c r="B50" s="76"/>
      <c r="C50" s="430"/>
      <c r="D50" s="480"/>
      <c r="E50" s="480"/>
      <c r="F50" s="430"/>
      <c r="G50" s="430"/>
      <c r="H50" s="430"/>
      <c r="I50" s="430"/>
      <c r="J50" s="468"/>
      <c r="K50" s="430"/>
      <c r="L50" s="430"/>
      <c r="M50" s="430"/>
      <c r="N50" s="468"/>
      <c r="O50" s="452"/>
      <c r="P50" s="452"/>
      <c r="Q50" s="452"/>
      <c r="R50" s="430"/>
      <c r="S50" s="452"/>
      <c r="T50" s="430"/>
      <c r="U50" s="430"/>
      <c r="V50" s="430"/>
      <c r="W50" s="431" t="str">
        <f>IFERROR(VLOOKUP(H50,名称!A:F,6,0),"")</f>
        <v/>
      </c>
      <c r="X50" s="430"/>
      <c r="Y50" s="430"/>
      <c r="Z50" s="430"/>
      <c r="AA50" s="459"/>
      <c r="AB50" s="430"/>
      <c r="AC50" s="430"/>
      <c r="AD50" s="430"/>
      <c r="AE50" s="430"/>
      <c r="AF50" s="430"/>
      <c r="AG50" s="430"/>
      <c r="AH50" s="430"/>
      <c r="AI50" s="430"/>
      <c r="AJ50" s="430"/>
      <c r="AK50" s="430"/>
      <c r="AL50" s="430"/>
      <c r="AM50" s="430"/>
      <c r="AN50" s="468"/>
      <c r="AO50" s="470"/>
      <c r="AP50" s="471">
        <f t="shared" si="10"/>
        <v>0</v>
      </c>
      <c r="AQ50" s="471">
        <f t="shared" si="11"/>
        <v>0</v>
      </c>
      <c r="AR50" s="472"/>
      <c r="AS50" s="452"/>
      <c r="AT50" s="452"/>
      <c r="AU50" s="452"/>
      <c r="AV50" s="452"/>
      <c r="AW50" s="452"/>
      <c r="AX50" s="452"/>
      <c r="AY50" s="452"/>
      <c r="AZ50" s="452"/>
      <c r="BA50" s="452"/>
      <c r="BB50" s="452">
        <f t="shared" si="12"/>
        <v>0</v>
      </c>
      <c r="BC50" s="452">
        <f t="shared" si="13"/>
        <v>0</v>
      </c>
    </row>
    <row r="51" s="377" customFormat="1" customHeight="1" spans="1:55">
      <c r="A51" s="452"/>
      <c r="B51" s="76"/>
      <c r="C51" s="430"/>
      <c r="D51" s="480"/>
      <c r="E51" s="480"/>
      <c r="F51" s="430"/>
      <c r="G51" s="430"/>
      <c r="H51" s="430"/>
      <c r="I51" s="430"/>
      <c r="J51" s="468"/>
      <c r="K51" s="430"/>
      <c r="L51" s="430"/>
      <c r="M51" s="430"/>
      <c r="N51" s="468"/>
      <c r="O51" s="452"/>
      <c r="P51" s="452"/>
      <c r="Q51" s="452"/>
      <c r="R51" s="430"/>
      <c r="S51" s="452"/>
      <c r="T51" s="430"/>
      <c r="U51" s="430"/>
      <c r="V51" s="430"/>
      <c r="W51" s="431" t="str">
        <f>IFERROR(VLOOKUP(H51,名称!A:F,6,0),"")</f>
        <v/>
      </c>
      <c r="X51" s="430"/>
      <c r="Y51" s="430"/>
      <c r="Z51" s="430"/>
      <c r="AA51" s="459"/>
      <c r="AB51" s="430"/>
      <c r="AC51" s="430"/>
      <c r="AD51" s="430"/>
      <c r="AE51" s="430"/>
      <c r="AF51" s="430"/>
      <c r="AG51" s="430"/>
      <c r="AH51" s="430"/>
      <c r="AI51" s="430"/>
      <c r="AJ51" s="430"/>
      <c r="AK51" s="430"/>
      <c r="AL51" s="430"/>
      <c r="AM51" s="430"/>
      <c r="AN51" s="468"/>
      <c r="AO51" s="470"/>
      <c r="AP51" s="471">
        <f t="shared" si="10"/>
        <v>0</v>
      </c>
      <c r="AQ51" s="471">
        <f t="shared" si="11"/>
        <v>0</v>
      </c>
      <c r="AR51" s="472"/>
      <c r="AS51" s="452"/>
      <c r="AT51" s="452"/>
      <c r="AU51" s="452"/>
      <c r="AV51" s="452"/>
      <c r="AW51" s="452"/>
      <c r="AX51" s="452"/>
      <c r="AY51" s="452"/>
      <c r="AZ51" s="452"/>
      <c r="BA51" s="452"/>
      <c r="BB51" s="452">
        <f t="shared" si="12"/>
        <v>0</v>
      </c>
      <c r="BC51" s="452">
        <f t="shared" si="13"/>
        <v>0</v>
      </c>
    </row>
    <row r="52" s="377" customFormat="1" customHeight="1" spans="1:55">
      <c r="A52" s="452"/>
      <c r="B52" s="76"/>
      <c r="C52" s="430"/>
      <c r="D52" s="480"/>
      <c r="E52" s="480"/>
      <c r="F52" s="430"/>
      <c r="G52" s="430"/>
      <c r="H52" s="430"/>
      <c r="I52" s="430"/>
      <c r="J52" s="468"/>
      <c r="K52" s="430"/>
      <c r="L52" s="430"/>
      <c r="M52" s="430"/>
      <c r="N52" s="468"/>
      <c r="O52" s="452"/>
      <c r="P52" s="452"/>
      <c r="Q52" s="452"/>
      <c r="R52" s="430"/>
      <c r="S52" s="452"/>
      <c r="T52" s="430"/>
      <c r="U52" s="430"/>
      <c r="V52" s="430"/>
      <c r="W52" s="431" t="str">
        <f>IFERROR(VLOOKUP(H52,名称!A:F,6,0),"")</f>
        <v/>
      </c>
      <c r="X52" s="430"/>
      <c r="Y52" s="430"/>
      <c r="Z52" s="430"/>
      <c r="AA52" s="459"/>
      <c r="AB52" s="430"/>
      <c r="AC52" s="430"/>
      <c r="AD52" s="430"/>
      <c r="AE52" s="430"/>
      <c r="AF52" s="430"/>
      <c r="AG52" s="430"/>
      <c r="AH52" s="430"/>
      <c r="AI52" s="430"/>
      <c r="AJ52" s="430"/>
      <c r="AK52" s="430"/>
      <c r="AL52" s="430"/>
      <c r="AM52" s="430"/>
      <c r="AN52" s="468"/>
      <c r="AO52" s="470"/>
      <c r="AP52" s="471">
        <f t="shared" si="10"/>
        <v>0</v>
      </c>
      <c r="AQ52" s="471">
        <f t="shared" si="11"/>
        <v>0</v>
      </c>
      <c r="AR52" s="472"/>
      <c r="AS52" s="452"/>
      <c r="AT52" s="452"/>
      <c r="AU52" s="452"/>
      <c r="AV52" s="452"/>
      <c r="AW52" s="452"/>
      <c r="AX52" s="452"/>
      <c r="AY52" s="452"/>
      <c r="AZ52" s="452"/>
      <c r="BA52" s="452"/>
      <c r="BB52" s="452">
        <f t="shared" si="12"/>
        <v>0</v>
      </c>
      <c r="BC52" s="452">
        <f t="shared" si="13"/>
        <v>0</v>
      </c>
    </row>
    <row r="53" s="377" customFormat="1" customHeight="1" spans="1:55">
      <c r="A53" s="416"/>
      <c r="B53" s="89"/>
      <c r="C53" s="417"/>
      <c r="D53" s="428"/>
      <c r="E53" s="428"/>
      <c r="F53" s="417"/>
      <c r="G53" s="417"/>
      <c r="H53" s="417"/>
      <c r="I53" s="417"/>
      <c r="J53" s="419"/>
      <c r="K53" s="417"/>
      <c r="L53" s="417"/>
      <c r="M53" s="417"/>
      <c r="N53" s="394"/>
      <c r="O53" s="416"/>
      <c r="P53" s="416"/>
      <c r="Q53" s="416"/>
      <c r="R53" s="417"/>
      <c r="S53" s="416"/>
      <c r="T53" s="417"/>
      <c r="U53" s="417"/>
      <c r="V53" s="417"/>
      <c r="W53" s="431" t="str">
        <f>IFERROR(VLOOKUP(H53,名称!A:F,6,0),"")</f>
        <v/>
      </c>
      <c r="X53" s="417"/>
      <c r="Y53" s="417"/>
      <c r="Z53" s="417"/>
      <c r="AA53" s="421"/>
      <c r="AB53" s="417"/>
      <c r="AC53" s="417"/>
      <c r="AD53" s="417"/>
      <c r="AE53" s="417"/>
      <c r="AF53" s="417"/>
      <c r="AG53" s="417"/>
      <c r="AH53" s="417"/>
      <c r="AI53" s="417"/>
      <c r="AJ53" s="417"/>
      <c r="AK53" s="417"/>
      <c r="AL53" s="417"/>
      <c r="AM53" s="417"/>
      <c r="AN53" s="394"/>
      <c r="AO53" s="423"/>
      <c r="AP53" s="424">
        <f t="shared" si="10"/>
        <v>0</v>
      </c>
      <c r="AQ53" s="424">
        <f t="shared" si="11"/>
        <v>0</v>
      </c>
      <c r="AR53" s="464"/>
      <c r="AS53" s="416"/>
      <c r="AT53" s="416"/>
      <c r="AU53" s="416"/>
      <c r="AV53" s="416"/>
      <c r="AW53" s="416"/>
      <c r="AX53" s="416"/>
      <c r="AY53" s="416"/>
      <c r="AZ53" s="416"/>
      <c r="BA53" s="416"/>
      <c r="BB53" s="416">
        <f t="shared" si="12"/>
        <v>0</v>
      </c>
      <c r="BC53" s="416">
        <f t="shared" si="13"/>
        <v>0</v>
      </c>
    </row>
    <row r="54" s="380" customFormat="1" customHeight="1" spans="1:55">
      <c r="A54" s="416"/>
      <c r="B54" s="89"/>
      <c r="C54" s="417"/>
      <c r="D54" s="428"/>
      <c r="E54" s="428"/>
      <c r="F54" s="417"/>
      <c r="G54" s="417"/>
      <c r="H54" s="417" t="s">
        <v>1552</v>
      </c>
      <c r="I54" s="417"/>
      <c r="J54" s="419">
        <f>SUM(J3:J53)</f>
        <v>459169</v>
      </c>
      <c r="K54" s="417"/>
      <c r="L54" s="417"/>
      <c r="M54" s="417"/>
      <c r="N54" s="394"/>
      <c r="O54" s="416"/>
      <c r="P54" s="416"/>
      <c r="Q54" s="416"/>
      <c r="R54" s="417"/>
      <c r="S54" s="416"/>
      <c r="T54" s="417"/>
      <c r="U54" s="417"/>
      <c r="V54" s="417"/>
      <c r="W54" s="431" t="str">
        <f>IFERROR(VLOOKUP(H54,名称!A:F,6,0),"")</f>
        <v/>
      </c>
      <c r="X54" s="417"/>
      <c r="Y54" s="417"/>
      <c r="Z54" s="417"/>
      <c r="AA54" s="421"/>
      <c r="AB54" s="417"/>
      <c r="AC54" s="417"/>
      <c r="AD54" s="417"/>
      <c r="AE54" s="417"/>
      <c r="AF54" s="417"/>
      <c r="AG54" s="417"/>
      <c r="AH54" s="417"/>
      <c r="AI54" s="417"/>
      <c r="AJ54" s="417"/>
      <c r="AK54" s="417"/>
      <c r="AL54" s="417"/>
      <c r="AM54" s="417"/>
      <c r="AN54" s="394"/>
      <c r="AO54" s="423"/>
      <c r="AP54" s="424">
        <f>SUM(AP3:AP53)</f>
        <v>501793.68</v>
      </c>
      <c r="AQ54" s="424">
        <f>SUM(AQ3:AQ53)</f>
        <v>3888901.05</v>
      </c>
      <c r="AR54" s="464"/>
      <c r="AS54" s="416"/>
      <c r="AT54" s="416"/>
      <c r="AU54" s="416"/>
      <c r="AV54" s="416"/>
      <c r="AW54" s="416"/>
      <c r="AX54" s="416"/>
      <c r="AY54" s="416"/>
      <c r="AZ54" s="416"/>
      <c r="BA54" s="416"/>
      <c r="BB54" s="416">
        <f t="shared" si="12"/>
        <v>0</v>
      </c>
      <c r="BC54" s="416">
        <f t="shared" si="13"/>
        <v>0</v>
      </c>
    </row>
    <row r="55" s="381" customFormat="1" customHeight="1" spans="1:55">
      <c r="A55" s="382"/>
      <c r="B55" s="383"/>
      <c r="C55" s="383"/>
      <c r="D55" s="377"/>
      <c r="E55" s="377"/>
      <c r="F55" s="377"/>
      <c r="G55" s="377"/>
      <c r="H55" s="377"/>
      <c r="I55" s="377"/>
      <c r="J55" s="384"/>
      <c r="K55" s="377"/>
      <c r="L55" s="377"/>
      <c r="M55" s="377"/>
      <c r="N55" s="377"/>
      <c r="O55" s="382"/>
      <c r="P55" s="382"/>
      <c r="Q55" s="382"/>
      <c r="R55" s="377"/>
      <c r="S55" s="382"/>
      <c r="T55" s="377"/>
      <c r="U55" s="377"/>
      <c r="V55" s="377"/>
      <c r="W55" s="377"/>
      <c r="X55" s="377"/>
      <c r="Y55" s="377"/>
      <c r="Z55" s="377"/>
      <c r="AA55" s="385"/>
      <c r="AB55" s="377"/>
      <c r="AC55" s="377"/>
      <c r="AD55" s="377"/>
      <c r="AE55" s="377"/>
      <c r="AF55" s="377"/>
      <c r="AG55" s="377"/>
      <c r="AH55" s="377"/>
      <c r="AI55" s="377"/>
      <c r="AJ55" s="377"/>
      <c r="AK55" s="377"/>
      <c r="AL55" s="377"/>
      <c r="AM55" s="377"/>
      <c r="AN55" s="384"/>
      <c r="AO55" s="386"/>
      <c r="AP55" s="387"/>
      <c r="AQ55" s="387"/>
      <c r="AR55" s="388"/>
      <c r="AS55" s="382"/>
      <c r="AT55" s="382"/>
      <c r="AU55" s="382"/>
      <c r="AV55" s="382"/>
      <c r="AW55" s="389"/>
      <c r="AX55" s="382"/>
      <c r="AY55" s="382"/>
      <c r="AZ55" s="382"/>
      <c r="BA55" s="382"/>
      <c r="BB55" s="382"/>
      <c r="BC55" s="382"/>
    </row>
    <row r="56" customHeight="1" spans="1:55">
      <c r="A56" s="481"/>
      <c r="B56" s="482"/>
      <c r="C56" s="482"/>
      <c r="D56" s="380"/>
      <c r="E56" s="380"/>
      <c r="F56" s="380"/>
      <c r="G56" s="380"/>
      <c r="H56" s="380"/>
      <c r="I56" s="380"/>
      <c r="J56" s="483"/>
      <c r="K56" s="483"/>
      <c r="L56" s="483"/>
      <c r="M56" s="380"/>
      <c r="N56" s="483"/>
      <c r="P56" s="481"/>
      <c r="Q56" s="483"/>
      <c r="R56" s="481"/>
      <c r="S56" s="483"/>
      <c r="T56" s="380"/>
      <c r="U56" s="481"/>
      <c r="V56" s="481"/>
      <c r="W56" s="380"/>
      <c r="X56" s="380"/>
      <c r="Y56" s="380"/>
      <c r="Z56" s="380"/>
      <c r="AA56" s="484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483"/>
      <c r="AO56" s="485"/>
      <c r="AP56" s="486"/>
      <c r="AQ56" s="486"/>
      <c r="AR56" s="487"/>
      <c r="AS56" s="481"/>
      <c r="AT56" s="481"/>
      <c r="AU56" s="483"/>
      <c r="AV56" s="483"/>
      <c r="AW56" s="488"/>
      <c r="AX56" s="481"/>
      <c r="AY56" s="481"/>
      <c r="AZ56" s="481"/>
      <c r="BA56" s="481"/>
      <c r="BB56" s="481"/>
      <c r="BC56" s="481"/>
    </row>
    <row r="58" customHeight="1" spans="1:55">
      <c r="A58" s="489"/>
      <c r="B58" s="490"/>
      <c r="C58" s="489"/>
      <c r="D58" s="489"/>
      <c r="E58" s="489"/>
      <c r="F58" s="489"/>
      <c r="G58" s="489"/>
      <c r="H58" s="489"/>
      <c r="I58" s="489"/>
      <c r="J58" s="491"/>
      <c r="K58" s="489"/>
      <c r="L58" s="489"/>
      <c r="M58" s="489"/>
      <c r="N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89"/>
      <c r="AB58" s="489"/>
      <c r="AC58" s="489"/>
      <c r="AD58" s="489"/>
      <c r="AE58" s="489"/>
      <c r="AF58" s="489"/>
      <c r="AG58" s="489"/>
      <c r="AH58" s="489"/>
      <c r="AI58" s="489"/>
      <c r="AJ58" s="489"/>
      <c r="AK58" s="489"/>
      <c r="AL58" s="489"/>
      <c r="AM58" s="489"/>
      <c r="AN58" s="489"/>
      <c r="AO58" s="489"/>
      <c r="AP58" s="489"/>
      <c r="AQ58" s="489"/>
      <c r="AR58" s="492"/>
      <c r="AS58" s="489"/>
      <c r="AT58" s="489"/>
      <c r="AU58" s="489"/>
      <c r="AV58" s="489"/>
      <c r="AW58" s="492"/>
      <c r="AX58" s="489"/>
      <c r="AY58" s="489"/>
      <c r="AZ58" s="489"/>
      <c r="BA58" s="489"/>
      <c r="BB58" s="493"/>
      <c r="BC58" s="493"/>
    </row>
    <row r="59" customHeight="1" spans="1:55">
      <c r="D59" s="383"/>
    </row>
    <row r="64" customHeight="1" spans="1:55">
      <c r="S64" s="494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AU$1:AX$1048576" name="Range2"/>
  </protectedRanges>
  <autoFilter xmlns:etc="http://www.wps.cn/officeDocument/2017/etCustomData" ref="A2:BC64" etc:filterBottomFollowUsedRange="1">
    <extLst/>
  </autoFilter>
  <mergeCells count="47">
    <mergeCell ref="X1:Y1"/>
    <mergeCell ref="Z1:AB1"/>
    <mergeCell ref="AC1:AD1"/>
    <mergeCell ref="AE1:AF1"/>
    <mergeCell ref="AG1:A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</mergeCells>
  <conditionalFormatting sqref="AA3:AB3">
    <cfRule type="containsText" dxfId="0" priority="1138" operator="between" text="欠">
      <formula>NOT(ISERROR(SEARCH("欠",AA3)))</formula>
    </cfRule>
  </conditionalFormatting>
  <conditionalFormatting sqref="AE3">
    <cfRule type="containsText" dxfId="0" priority="1242" operator="between" text="欠">
      <formula>NOT(ISERROR(SEARCH("欠",AE3)))</formula>
    </cfRule>
  </conditionalFormatting>
  <conditionalFormatting sqref="AF3">
    <cfRule type="containsText" dxfId="0" priority="1225" operator="between" text="欠">
      <formula>NOT(ISERROR(SEARCH("欠",AF3)))</formula>
    </cfRule>
  </conditionalFormatting>
  <conditionalFormatting sqref="AG3">
    <cfRule type="containsText" dxfId="0" priority="1204" operator="between" text="欠">
      <formula>NOT(ISERROR(SEARCH("欠",AG3)))</formula>
    </cfRule>
  </conditionalFormatting>
  <conditionalFormatting sqref="AH3">
    <cfRule type="containsText" dxfId="0" priority="1137" operator="between" text="欠">
      <formula>NOT(ISERROR(SEARCH("欠",AH3)))</formula>
    </cfRule>
  </conditionalFormatting>
  <conditionalFormatting sqref="AI3">
    <cfRule type="containsText" dxfId="0" priority="1224" operator="between" text="欠">
      <formula>NOT(ISERROR(SEARCH("欠",AI3)))</formula>
    </cfRule>
  </conditionalFormatting>
  <conditionalFormatting sqref="AK3">
    <cfRule type="containsText" dxfId="0" priority="1221" operator="between" text="欠">
      <formula>NOT(ISERROR(SEARCH("欠",AK3)))</formula>
    </cfRule>
  </conditionalFormatting>
  <conditionalFormatting sqref="X4">
    <cfRule type="containsText" dxfId="0" priority="681" operator="between" text="欠">
      <formula>NOT(ISERROR(SEARCH("欠",X4)))</formula>
    </cfRule>
  </conditionalFormatting>
  <conditionalFormatting sqref="Y4">
    <cfRule type="containsText" dxfId="0" priority="673" operator="between" text="欠">
      <formula>NOT(ISERROR(SEARCH("欠",Y4)))</formula>
    </cfRule>
  </conditionalFormatting>
  <conditionalFormatting sqref="Z4">
    <cfRule type="containsText" dxfId="0" priority="758" operator="between" text="欠">
      <formula>NOT(ISERROR(SEARCH("欠",Z4)))</formula>
    </cfRule>
  </conditionalFormatting>
  <conditionalFormatting sqref="AA4:AB4">
    <cfRule type="containsText" dxfId="0" priority="679" operator="between" text="欠">
      <formula>NOT(ISERROR(SEARCH("欠",AA4)))</formula>
    </cfRule>
  </conditionalFormatting>
  <conditionalFormatting sqref="AC4:AD4">
    <cfRule type="containsText" dxfId="0" priority="677" operator="between" text="欠">
      <formula>NOT(ISERROR(SEARCH("欠",AC4)))</formula>
    </cfRule>
  </conditionalFormatting>
  <conditionalFormatting sqref="AF4">
    <cfRule type="containsText" dxfId="0" priority="685" operator="between" text="欠">
      <formula>NOT(ISERROR(SEARCH("欠",AF4)))</formula>
    </cfRule>
  </conditionalFormatting>
  <conditionalFormatting sqref="AH4">
    <cfRule type="containsText" dxfId="0" priority="675" operator="between" text="欠">
      <formula>NOT(ISERROR(SEARCH("欠",AH4)))</formula>
    </cfRule>
  </conditionalFormatting>
  <conditionalFormatting sqref="AI4">
    <cfRule type="containsText" dxfId="0" priority="684" operator="between" text="欠">
      <formula>NOT(ISERROR(SEARCH("欠",AI4)))</formula>
    </cfRule>
  </conditionalFormatting>
  <conditionalFormatting sqref="Z9">
    <cfRule type="containsText" dxfId="0" priority="605" operator="between" text="欠">
      <formula>NOT(ISERROR(SEARCH("欠",Z9)))</formula>
    </cfRule>
  </conditionalFormatting>
  <conditionalFormatting sqref="AA9:AB9">
    <cfRule type="containsText" dxfId="0" priority="618" operator="between" text="欠">
      <formula>NOT(ISERROR(SEARCH("欠",AA9)))</formula>
    </cfRule>
  </conditionalFormatting>
  <conditionalFormatting sqref="AB10">
    <cfRule type="containsText" dxfId="0" priority="617" operator="between" text="欠">
      <formula>NOT(ISERROR(SEARCH("欠",AB10)))</formula>
    </cfRule>
  </conditionalFormatting>
  <conditionalFormatting sqref="AB11">
    <cfRule type="containsText" dxfId="0" priority="616" operator="between" text="欠">
      <formula>NOT(ISERROR(SEARCH("欠",AB11)))</formula>
    </cfRule>
  </conditionalFormatting>
  <conditionalFormatting sqref="AB12">
    <cfRule type="containsText" dxfId="0" priority="570" operator="between" text="欠">
      <formula>NOT(ISERROR(SEARCH("欠",AB12)))</formula>
    </cfRule>
  </conditionalFormatting>
  <conditionalFormatting sqref="X20:Y20">
    <cfRule type="containsText" dxfId="0" priority="241" operator="between" text="欠">
      <formula>NOT(ISERROR(SEARCH("欠",X20)))</formula>
    </cfRule>
  </conditionalFormatting>
  <conditionalFormatting sqref="Z20">
    <cfRule type="containsText" dxfId="0" priority="229" operator="between" text="欠">
      <formula>NOT(ISERROR(SEARCH("欠",Z20)))</formula>
    </cfRule>
  </conditionalFormatting>
  <conditionalFormatting sqref="AA20:AB20">
    <cfRule type="containsText" dxfId="0" priority="239" operator="between" text="欠">
      <formula>NOT(ISERROR(SEARCH("欠",AA20)))</formula>
    </cfRule>
  </conditionalFormatting>
  <conditionalFormatting sqref="AE20">
    <cfRule type="containsText" dxfId="0" priority="228" operator="between" text="欠">
      <formula>NOT(ISERROR(SEARCH("欠",AE20)))</formula>
    </cfRule>
  </conditionalFormatting>
  <conditionalFormatting sqref="AG20">
    <cfRule type="containsText" dxfId="0" priority="227" operator="between" text="欠">
      <formula>NOT(ISERROR(SEARCH("欠",AG20)))</formula>
    </cfRule>
  </conditionalFormatting>
  <conditionalFormatting sqref="AI20">
    <cfRule type="containsText" dxfId="0" priority="212" operator="between" text="欠">
      <formula>NOT(ISERROR(SEARCH("欠",AI20)))</formula>
    </cfRule>
  </conditionalFormatting>
  <conditionalFormatting sqref="AK20">
    <cfRule type="containsText" dxfId="0" priority="211" operator="between" text="欠">
      <formula>NOT(ISERROR(SEARCH("欠",AK20)))</formula>
    </cfRule>
  </conditionalFormatting>
  <conditionalFormatting sqref="C21">
    <cfRule type="containsText" dxfId="2" priority="200" operator="between" text="二代">
      <formula>NOT(ISERROR(SEARCH("二代",C21)))</formula>
    </cfRule>
    <cfRule type="containsText" dxfId="3" priority="201" operator="between" text="蛋糕">
      <formula>NOT(ISERROR(SEARCH("蛋糕",C21)))</formula>
    </cfRule>
  </conditionalFormatting>
  <conditionalFormatting sqref="Z21">
    <cfRule type="containsText" dxfId="0" priority="141" operator="between" text="欠">
      <formula>NOT(ISERROR(SEARCH("欠",Z21)))</formula>
    </cfRule>
  </conditionalFormatting>
  <conditionalFormatting sqref="AA21:AB21">
    <cfRule type="containsText" dxfId="0" priority="206" operator="between" text="欠">
      <formula>NOT(ISERROR(SEARCH("欠",AA21)))</formula>
    </cfRule>
  </conditionalFormatting>
  <conditionalFormatting sqref="AE21">
    <cfRule type="containsText" dxfId="0" priority="205" operator="between" text="欠">
      <formula>NOT(ISERROR(SEARCH("欠",AE21)))</formula>
    </cfRule>
  </conditionalFormatting>
  <conditionalFormatting sqref="AF21">
    <cfRule type="containsText" dxfId="0" priority="209" operator="between" text="欠">
      <formula>NOT(ISERROR(SEARCH("欠",AF21)))</formula>
    </cfRule>
  </conditionalFormatting>
  <conditionalFormatting sqref="AG21">
    <cfRule type="containsText" dxfId="0" priority="139" operator="between" text="欠">
      <formula>NOT(ISERROR(SEARCH("欠",AG21)))</formula>
    </cfRule>
  </conditionalFormatting>
  <conditionalFormatting sqref="AH21">
    <cfRule type="containsText" dxfId="0" priority="210" operator="between" text="欠">
      <formula>NOT(ISERROR(SEARCH("欠",AH21)))</formula>
    </cfRule>
  </conditionalFormatting>
  <conditionalFormatting sqref="AI21">
    <cfRule type="containsText" dxfId="0" priority="208" operator="between" text="欠">
      <formula>NOT(ISERROR(SEARCH("欠",AI21)))</formula>
    </cfRule>
  </conditionalFormatting>
  <conditionalFormatting sqref="B22">
    <cfRule type="containsText" dxfId="1" priority="110" operator="between" text="异常">
      <formula>NOT(ISERROR(SEARCH("异常",B22)))</formula>
    </cfRule>
  </conditionalFormatting>
  <conditionalFormatting sqref="C22">
    <cfRule type="containsText" dxfId="2" priority="111" operator="between" text="二代">
      <formula>NOT(ISERROR(SEARCH("二代",C22)))</formula>
    </cfRule>
    <cfRule type="containsText" dxfId="3" priority="112" operator="between" text="蛋糕">
      <formula>NOT(ISERROR(SEARCH("蛋糕",C22)))</formula>
    </cfRule>
  </conditionalFormatting>
  <conditionalFormatting sqref="Y22">
    <cfRule type="containsText" dxfId="0" priority="108" operator="between" text="欠">
      <formula>NOT(ISERROR(SEARCH("欠",Y22)))</formula>
    </cfRule>
  </conditionalFormatting>
  <conditionalFormatting sqref="Z22">
    <cfRule type="containsText" dxfId="0" priority="157" operator="between" text="欠">
      <formula>NOT(ISERROR(SEARCH("欠",Z22)))</formula>
    </cfRule>
  </conditionalFormatting>
  <conditionalFormatting sqref="AA22:AB22">
    <cfRule type="containsText" dxfId="0" priority="105" operator="between" text="欠">
      <formula>NOT(ISERROR(SEARCH("欠",AA22)))</formula>
    </cfRule>
  </conditionalFormatting>
  <conditionalFormatting sqref="AF22">
    <cfRule type="containsText" dxfId="0" priority="155" operator="between" text="欠">
      <formula>NOT(ISERROR(SEARCH("欠",AF22)))</formula>
    </cfRule>
  </conditionalFormatting>
  <conditionalFormatting sqref="AH22">
    <cfRule type="containsText" dxfId="0" priority="103" operator="between" text="欠">
      <formula>NOT(ISERROR(SEARCH("欠",AH22)))</formula>
    </cfRule>
  </conditionalFormatting>
  <conditionalFormatting sqref="AI22">
    <cfRule type="containsText" dxfId="0" priority="151" operator="between" text="欠">
      <formula>NOT(ISERROR(SEARCH("欠",AI22)))</formula>
    </cfRule>
  </conditionalFormatting>
  <conditionalFormatting sqref="AH23">
    <cfRule type="containsText" dxfId="0" priority="86" operator="between" text="欠">
      <formula>NOT(ISERROR(SEARCH("欠",AH23)))</formula>
    </cfRule>
  </conditionalFormatting>
  <conditionalFormatting sqref="AH24">
    <cfRule type="containsText" dxfId="0" priority="91" operator="between" text="欠">
      <formula>NOT(ISERROR(SEARCH("欠",AH24)))</formula>
    </cfRule>
  </conditionalFormatting>
  <conditionalFormatting sqref="AA31:AB31">
    <cfRule type="containsText" dxfId="0" priority="44" operator="between" text="欠">
      <formula>NOT(ISERROR(SEARCH("欠",AA31)))</formula>
    </cfRule>
  </conditionalFormatting>
  <conditionalFormatting sqref="B37">
    <cfRule type="containsText" dxfId="1" priority="31" operator="between" text="异常">
      <formula>NOT(ISERROR(SEARCH("异常",B37)))</formula>
    </cfRule>
  </conditionalFormatting>
  <conditionalFormatting sqref="C37">
    <cfRule type="containsText" dxfId="2" priority="32" operator="between" text="二代">
      <formula>NOT(ISERROR(SEARCH("二代",C37)))</formula>
    </cfRule>
    <cfRule type="containsText" dxfId="3" priority="33" operator="between" text="蛋糕">
      <formula>NOT(ISERROR(SEARCH("蛋糕",C37)))</formula>
    </cfRule>
  </conditionalFormatting>
  <conditionalFormatting sqref="Y37">
    <cfRule type="containsText" dxfId="0" priority="34" operator="between" text="欠">
      <formula>NOT(ISERROR(SEARCH("欠",Y37)))</formula>
    </cfRule>
  </conditionalFormatting>
  <conditionalFormatting sqref="AA37:AB37">
    <cfRule type="containsText" dxfId="0" priority="37" operator="between" text="欠">
      <formula>NOT(ISERROR(SEARCH("欠",AA37)))</formula>
    </cfRule>
  </conditionalFormatting>
  <conditionalFormatting sqref="AF37">
    <cfRule type="containsText" dxfId="0" priority="38" operator="between" text="欠">
      <formula>NOT(ISERROR(SEARCH("欠",AF37)))</formula>
    </cfRule>
  </conditionalFormatting>
  <conditionalFormatting sqref="AH37">
    <cfRule type="containsText" dxfId="0" priority="35" operator="between" text="欠">
      <formula>NOT(ISERROR(SEARCH("欠",AH37)))</formula>
    </cfRule>
  </conditionalFormatting>
  <conditionalFormatting sqref="B38">
    <cfRule type="containsText" dxfId="1" priority="21" operator="between" text="异常">
      <formula>NOT(ISERROR(SEARCH("异常",B38)))</formula>
    </cfRule>
  </conditionalFormatting>
  <conditionalFormatting sqref="C38">
    <cfRule type="containsText" dxfId="2" priority="22" operator="between" text="二代">
      <formula>NOT(ISERROR(SEARCH("二代",C38)))</formula>
    </cfRule>
    <cfRule type="containsText" dxfId="3" priority="23" operator="between" text="蛋糕">
      <formula>NOT(ISERROR(SEARCH("蛋糕",C38)))</formula>
    </cfRule>
  </conditionalFormatting>
  <conditionalFormatting sqref="Y38">
    <cfRule type="containsText" dxfId="0" priority="24" operator="between" text="欠">
      <formula>NOT(ISERROR(SEARCH("欠",Y38)))</formula>
    </cfRule>
  </conditionalFormatting>
  <conditionalFormatting sqref="AA38">
    <cfRule type="containsText" dxfId="0" priority="27" operator="between" text="欠">
      <formula>NOT(ISERROR(SEARCH("欠",AA38)))</formula>
    </cfRule>
  </conditionalFormatting>
  <conditionalFormatting sqref="X53">
    <cfRule type="containsText" dxfId="0" priority="1275" operator="between" text="欠">
      <formula>NOT(ISERROR(SEARCH("欠",X53)))</formula>
    </cfRule>
  </conditionalFormatting>
  <conditionalFormatting sqref="Y53">
    <cfRule type="containsText" dxfId="0" priority="1260" operator="between" text="欠">
      <formula>NOT(ISERROR(SEARCH("欠",Y53)))</formula>
    </cfRule>
  </conditionalFormatting>
  <conditionalFormatting sqref="Z53">
    <cfRule type="containsText" dxfId="0" priority="1282" operator="between" text="欠">
      <formula>NOT(ISERROR(SEARCH("欠",Z53)))</formula>
    </cfRule>
  </conditionalFormatting>
  <conditionalFormatting sqref="AA53:AB53">
    <cfRule type="containsText" dxfId="0" priority="1271" operator="between" text="欠">
      <formula>NOT(ISERROR(SEARCH("欠",AA53)))</formula>
    </cfRule>
  </conditionalFormatting>
  <conditionalFormatting sqref="AC53:AD53">
    <cfRule type="containsText" dxfId="0" priority="1268" operator="between" text="欠">
      <formula>NOT(ISERROR(SEARCH("欠",AC53)))</formula>
    </cfRule>
  </conditionalFormatting>
  <conditionalFormatting sqref="AE53">
    <cfRule type="containsText" dxfId="0" priority="1257" operator="between" text="欠">
      <formula>NOT(ISERROR(SEARCH("欠",AE53)))</formula>
    </cfRule>
  </conditionalFormatting>
  <conditionalFormatting sqref="AG53">
    <cfRule type="containsText" dxfId="0" priority="1255" operator="between" text="欠">
      <formula>NOT(ISERROR(SEARCH("欠",AG53)))</formula>
    </cfRule>
  </conditionalFormatting>
  <conditionalFormatting sqref="X55:Y55">
    <cfRule type="containsText" dxfId="0" priority="1538" operator="between" text="欠">
      <formula>NOT(ISERROR(SEARCH("欠",X55)))</formula>
    </cfRule>
  </conditionalFormatting>
  <conditionalFormatting sqref="Z55:AB55">
    <cfRule type="containsText" dxfId="0" priority="1537" operator="between" text="欠">
      <formula>NOT(ISERROR(SEARCH("欠",Z55)))</formula>
    </cfRule>
  </conditionalFormatting>
  <conditionalFormatting sqref="AC55:AD55">
    <cfRule type="containsText" dxfId="0" priority="1536" operator="between" text="欠">
      <formula>NOT(ISERROR(SEARCH("欠",AC55)))</formula>
    </cfRule>
  </conditionalFormatting>
  <conditionalFormatting sqref="AE55:AI55">
    <cfRule type="containsText" dxfId="0" priority="1535" operator="between" text="欠">
      <formula>NOT(ISERROR(SEARCH("欠",AE55)))</formula>
    </cfRule>
  </conditionalFormatting>
  <conditionalFormatting sqref="B23:B25">
    <cfRule type="containsText" dxfId="1" priority="100" operator="between" text="异常">
      <formula>NOT(ISERROR(SEARCH("异常",B23)))</formula>
    </cfRule>
  </conditionalFormatting>
  <conditionalFormatting sqref="B26:B28">
    <cfRule type="containsText" dxfId="1" priority="80" operator="between" text="异常">
      <formula>NOT(ISERROR(SEARCH("异常",B26)))</formula>
    </cfRule>
  </conditionalFormatting>
  <conditionalFormatting sqref="B29:B30">
    <cfRule type="containsText" dxfId="1" priority="58" operator="between" text="异常">
      <formula>NOT(ISERROR(SEARCH("异常",B29)))</formula>
    </cfRule>
  </conditionalFormatting>
  <conditionalFormatting sqref="B31:B32">
    <cfRule type="containsText" dxfId="1" priority="48" operator="between" text="异常">
      <formula>NOT(ISERROR(SEARCH("异常",B31)))</formula>
    </cfRule>
  </conditionalFormatting>
  <conditionalFormatting sqref="B39:B40">
    <cfRule type="containsText" dxfId="1" priority="11" operator="between" text="异常">
      <formula>NOT(ISERROR(SEARCH("异常",B39)))</formula>
    </cfRule>
  </conditionalFormatting>
  <conditionalFormatting sqref="B41:B45">
    <cfRule type="containsText" dxfId="1" priority="1" operator="between" text="异常">
      <formula>NOT(ISERROR(SEARCH("异常",B41)))</formula>
    </cfRule>
  </conditionalFormatting>
  <conditionalFormatting sqref="C13:C20">
    <cfRule type="containsText" dxfId="2" priority="386" operator="between" text="二代">
      <formula>NOT(ISERROR(SEARCH("二代",C13)))</formula>
    </cfRule>
    <cfRule type="containsText" dxfId="3" priority="387" operator="between" text="蛋糕">
      <formula>NOT(ISERROR(SEARCH("蛋糕",C13)))</formula>
    </cfRule>
  </conditionalFormatting>
  <conditionalFormatting sqref="C23:C25">
    <cfRule type="containsText" dxfId="2" priority="101" operator="between" text="二代">
      <formula>NOT(ISERROR(SEARCH("二代",C23)))</formula>
    </cfRule>
    <cfRule type="containsText" dxfId="3" priority="102" operator="between" text="蛋糕">
      <formula>NOT(ISERROR(SEARCH("蛋糕",C23)))</formula>
    </cfRule>
  </conditionalFormatting>
  <conditionalFormatting sqref="C26:C28">
    <cfRule type="containsText" dxfId="2" priority="81" operator="between" text="二代">
      <formula>NOT(ISERROR(SEARCH("二代",C26)))</formula>
    </cfRule>
    <cfRule type="containsText" dxfId="3" priority="82" operator="between" text="蛋糕">
      <formula>NOT(ISERROR(SEARCH("蛋糕",C26)))</formula>
    </cfRule>
  </conditionalFormatting>
  <conditionalFormatting sqref="C29:C30">
    <cfRule type="containsText" dxfId="2" priority="59" operator="between" text="二代">
      <formula>NOT(ISERROR(SEARCH("二代",C29)))</formula>
    </cfRule>
    <cfRule type="containsText" dxfId="3" priority="60" operator="between" text="蛋糕">
      <formula>NOT(ISERROR(SEARCH("蛋糕",C29)))</formula>
    </cfRule>
  </conditionalFormatting>
  <conditionalFormatting sqref="C31:C32">
    <cfRule type="containsText" dxfId="2" priority="49" operator="between" text="二代">
      <formula>NOT(ISERROR(SEARCH("二代",C31)))</formula>
    </cfRule>
    <cfRule type="containsText" dxfId="3" priority="50" operator="between" text="蛋糕">
      <formula>NOT(ISERROR(SEARCH("蛋糕",C31)))</formula>
    </cfRule>
  </conditionalFormatting>
  <conditionalFormatting sqref="C39:C40">
    <cfRule type="containsText" dxfId="2" priority="12" operator="between" text="二代">
      <formula>NOT(ISERROR(SEARCH("二代",C39)))</formula>
    </cfRule>
    <cfRule type="containsText" dxfId="3" priority="13" operator="between" text="蛋糕">
      <formula>NOT(ISERROR(SEARCH("蛋糕",C39)))</formula>
    </cfRule>
  </conditionalFormatting>
  <conditionalFormatting sqref="C41:C45">
    <cfRule type="containsText" dxfId="2" priority="2" operator="between" text="二代">
      <formula>NOT(ISERROR(SEARCH("二代",C41)))</formula>
    </cfRule>
    <cfRule type="containsText" dxfId="3" priority="3" operator="between" text="蛋糕">
      <formula>NOT(ISERROR(SEARCH("蛋糕",C41)))</formula>
    </cfRule>
  </conditionalFormatting>
  <conditionalFormatting sqref="U15:U16">
    <cfRule type="containsText" dxfId="0" priority="450" operator="between" text="欠">
      <formula>NOT(ISERROR(SEARCH("欠",U15)))</formula>
    </cfRule>
  </conditionalFormatting>
  <conditionalFormatting sqref="Y9:Y12">
    <cfRule type="containsText" dxfId="0" priority="606" operator="between" text="欠">
      <formula>NOT(ISERROR(SEARCH("欠",Y9)))</formula>
    </cfRule>
  </conditionalFormatting>
  <conditionalFormatting sqref="Y23:Y25">
    <cfRule type="containsText" dxfId="0" priority="85" operator="between" text="欠">
      <formula>NOT(ISERROR(SEARCH("欠",Y23)))</formula>
    </cfRule>
  </conditionalFormatting>
  <conditionalFormatting sqref="Y26:Y28">
    <cfRule type="containsText" dxfId="0" priority="83" operator="between" text="欠">
      <formula>NOT(ISERROR(SEARCH("欠",Y26)))</formula>
    </cfRule>
  </conditionalFormatting>
  <conditionalFormatting sqref="Y29:Y30">
    <cfRule type="containsText" dxfId="0" priority="51" operator="between" text="欠">
      <formula>NOT(ISERROR(SEARCH("欠",Y29)))</formula>
    </cfRule>
  </conditionalFormatting>
  <conditionalFormatting sqref="Y31:Y32">
    <cfRule type="containsText" dxfId="0" priority="41" operator="between" text="欠">
      <formula>NOT(ISERROR(SEARCH("欠",Y31)))</formula>
    </cfRule>
  </conditionalFormatting>
  <conditionalFormatting sqref="Y39:Y40">
    <cfRule type="containsText" dxfId="0" priority="14" operator="between" text="欠">
      <formula>NOT(ISERROR(SEARCH("欠",Y39)))</formula>
    </cfRule>
  </conditionalFormatting>
  <conditionalFormatting sqref="Y41:Y43">
    <cfRule type="containsText" dxfId="0" priority="4" operator="between" text="欠">
      <formula>NOT(ISERROR(SEARCH("欠",Y41)))</formula>
    </cfRule>
  </conditionalFormatting>
  <conditionalFormatting sqref="Z10:Z12">
    <cfRule type="containsText" dxfId="0" priority="138" operator="between" text="欠">
      <formula>NOT(ISERROR(SEARCH("欠",Z10)))</formula>
    </cfRule>
  </conditionalFormatting>
  <conditionalFormatting sqref="Z23:Z30">
    <cfRule type="containsText" dxfId="0" priority="99" operator="between" text="欠">
      <formula>NOT(ISERROR(SEARCH("欠",Z23)))</formula>
    </cfRule>
  </conditionalFormatting>
  <conditionalFormatting sqref="Z31:Z32">
    <cfRule type="containsText" dxfId="0" priority="47" operator="between" text="欠">
      <formula>NOT(ISERROR(SEARCH("欠",Z31)))</formula>
    </cfRule>
  </conditionalFormatting>
  <conditionalFormatting sqref="Z37:Z38">
    <cfRule type="containsText" dxfId="0" priority="40" operator="between" text="欠">
      <formula>NOT(ISERROR(SEARCH("欠",Z37)))</formula>
    </cfRule>
  </conditionalFormatting>
  <conditionalFormatting sqref="Z39:Z45">
    <cfRule type="containsText" dxfId="0" priority="20" operator="between" text="欠">
      <formula>NOT(ISERROR(SEARCH("欠",Z39)))</formula>
    </cfRule>
  </conditionalFormatting>
  <conditionalFormatting sqref="AA10:AA12">
    <cfRule type="containsText" dxfId="0" priority="137" operator="between" text="欠">
      <formula>NOT(ISERROR(SEARCH("欠",AA10)))</formula>
    </cfRule>
  </conditionalFormatting>
  <conditionalFormatting sqref="AB24:AB25">
    <cfRule type="containsText" dxfId="0" priority="95" operator="between" text="欠">
      <formula>NOT(ISERROR(SEARCH("欠",AB24)))</formula>
    </cfRule>
  </conditionalFormatting>
  <conditionalFormatting sqref="AC22:AC30">
    <cfRule type="containsText" dxfId="0" priority="154" operator="between" text="欠">
      <formula>NOT(ISERROR(SEARCH("欠",AC22)))</formula>
    </cfRule>
  </conditionalFormatting>
  <conditionalFormatting sqref="AD22:AD30">
    <cfRule type="containsText" dxfId="0" priority="156" operator="between" text="欠">
      <formula>NOT(ISERROR(SEARCH("欠",AD22)))</formula>
    </cfRule>
  </conditionalFormatting>
  <conditionalFormatting sqref="AE13:AE14">
    <cfRule type="containsText" dxfId="0" priority="359" operator="between" text="欠">
      <formula>NOT(ISERROR(SEARCH("欠",AE13)))</formula>
    </cfRule>
  </conditionalFormatting>
  <conditionalFormatting sqref="AE15:AE16">
    <cfRule type="containsText" dxfId="0" priority="425" operator="between" text="欠">
      <formula>NOT(ISERROR(SEARCH("欠",AE15)))</formula>
    </cfRule>
  </conditionalFormatting>
  <conditionalFormatting sqref="AE17:AE19">
    <cfRule type="containsText" dxfId="0" priority="279" operator="between" text="欠">
      <formula>NOT(ISERROR(SEARCH("欠",AE17)))</formula>
    </cfRule>
  </conditionalFormatting>
  <conditionalFormatting sqref="AF5:AF12">
    <cfRule type="containsText" dxfId="0" priority="667" operator="between" text="欠">
      <formula>NOT(ISERROR(SEARCH("欠",AF5)))</formula>
    </cfRule>
  </conditionalFormatting>
  <conditionalFormatting sqref="AF13:AF19">
    <cfRule type="containsText" dxfId="0" priority="213" operator="between" text="欠">
      <formula>NOT(ISERROR(SEARCH("欠",AF13)))</formula>
    </cfRule>
  </conditionalFormatting>
  <conditionalFormatting sqref="AF23:AF30">
    <cfRule type="containsText" dxfId="0" priority="98" operator="between" text="欠">
      <formula>NOT(ISERROR(SEARCH("欠",AF23)))</formula>
    </cfRule>
  </conditionalFormatting>
  <conditionalFormatting sqref="AF31:AF34">
    <cfRule type="containsText" dxfId="0" priority="45" operator="between" text="欠">
      <formula>NOT(ISERROR(SEARCH("欠",AF31)))</formula>
    </cfRule>
  </conditionalFormatting>
  <conditionalFormatting sqref="AF38:AF40">
    <cfRule type="containsText" dxfId="0" priority="28" operator="between" text="欠">
      <formula>NOT(ISERROR(SEARCH("欠",AF38)))</formula>
    </cfRule>
  </conditionalFormatting>
  <conditionalFormatting sqref="AF41:AF44">
    <cfRule type="containsText" dxfId="0" priority="8" operator="between" text="欠">
      <formula>NOT(ISERROR(SEARCH("欠",AF41)))</formula>
    </cfRule>
  </conditionalFormatting>
  <conditionalFormatting sqref="AG13:AG14">
    <cfRule type="containsText" dxfId="0" priority="356" operator="between" text="欠">
      <formula>NOT(ISERROR(SEARCH("欠",AG13)))</formula>
    </cfRule>
  </conditionalFormatting>
  <conditionalFormatting sqref="AG15:AG16">
    <cfRule type="containsText" dxfId="0" priority="355" operator="between" text="欠">
      <formula>NOT(ISERROR(SEARCH("欠",AG15)))</formula>
    </cfRule>
  </conditionalFormatting>
  <conditionalFormatting sqref="AG17:AG19">
    <cfRule type="containsText" dxfId="0" priority="278" operator="between" text="欠">
      <formula>NOT(ISERROR(SEARCH("欠",AG17)))</formula>
    </cfRule>
  </conditionalFormatting>
  <conditionalFormatting sqref="AH5:AH12">
    <cfRule type="containsText" dxfId="0" priority="674" operator="between" text="欠">
      <formula>NOT(ISERROR(SEARCH("欠",AH5)))</formula>
    </cfRule>
  </conditionalFormatting>
  <conditionalFormatting sqref="AH25:AH30">
    <cfRule type="containsText" dxfId="0" priority="90" operator="between" text="欠">
      <formula>NOT(ISERROR(SEARCH("欠",AH25)))</formula>
    </cfRule>
  </conditionalFormatting>
  <conditionalFormatting sqref="AH38:AH40">
    <cfRule type="containsText" dxfId="0" priority="25" operator="between" text="欠">
      <formula>NOT(ISERROR(SEARCH("欠",AH38)))</formula>
    </cfRule>
  </conditionalFormatting>
  <conditionalFormatting sqref="AH41:AH44">
    <cfRule type="containsText" dxfId="0" priority="5" operator="between" text="欠">
      <formula>NOT(ISERROR(SEARCH("欠",AH41)))</formula>
    </cfRule>
  </conditionalFormatting>
  <conditionalFormatting sqref="AI5:AI12">
    <cfRule type="containsText" dxfId="0" priority="657" operator="between" text="欠">
      <formula>NOT(ISERROR(SEARCH("欠",AI5)))</formula>
    </cfRule>
  </conditionalFormatting>
  <conditionalFormatting sqref="AI23:AI30">
    <cfRule type="containsText" dxfId="0" priority="89" operator="between" text="欠">
      <formula>NOT(ISERROR(SEARCH("欠",AI23)))</formula>
    </cfRule>
  </conditionalFormatting>
  <conditionalFormatting sqref="AI37:AI40">
    <cfRule type="containsText" dxfId="0" priority="39" operator="between" text="欠">
      <formula>NOT(ISERROR(SEARCH("欠",AI37)))</formula>
    </cfRule>
  </conditionalFormatting>
  <conditionalFormatting sqref="AI41:AI44">
    <cfRule type="containsText" dxfId="0" priority="9" operator="between" text="欠">
      <formula>NOT(ISERROR(SEARCH("欠",AI41)))</formula>
    </cfRule>
  </conditionalFormatting>
  <conditionalFormatting sqref="AK13:AK19">
    <cfRule type="containsText" dxfId="0" priority="251" operator="between" text="欠">
      <formula>NOT(ISERROR(SEARCH("欠",AK13)))</formula>
    </cfRule>
  </conditionalFormatting>
  <conditionalFormatting sqref="B1 B3:B20">
    <cfRule type="containsText" dxfId="1" priority="374" operator="between" text="异常">
      <formula>NOT(ISERROR(SEARCH("异常",B1)))</formula>
    </cfRule>
  </conditionalFormatting>
  <conditionalFormatting sqref="C1 C3:C12">
    <cfRule type="containsText" dxfId="2" priority="384" operator="between" text="二代">
      <formula>NOT(ISERROR(SEARCH("二代",C1)))</formula>
    </cfRule>
    <cfRule type="containsText" dxfId="3" priority="385" operator="between" text="蛋糕">
      <formula>NOT(ISERROR(SEARCH("蛋糕",C1)))</formula>
    </cfRule>
  </conditionalFormatting>
  <conditionalFormatting sqref="X1:Y2 X54:Y54 X56:Y1048576">
    <cfRule type="containsText" dxfId="0" priority="1542" operator="between" text="欠">
      <formula>NOT(ISERROR(SEARCH("欠",X1)))</formula>
    </cfRule>
  </conditionalFormatting>
  <conditionalFormatting sqref="Z1:AB2 Z54:AB54 Z56:AB1048576">
    <cfRule type="containsText" dxfId="0" priority="1541" operator="between" text="欠">
      <formula>NOT(ISERROR(SEARCH("欠",Z1)))</formula>
    </cfRule>
  </conditionalFormatting>
  <conditionalFormatting sqref="AC1:AD2 AC54:AD54 AC56:AD1048576">
    <cfRule type="containsText" dxfId="0" priority="1540" operator="between" text="欠">
      <formula>NOT(ISERROR(SEARCH("欠",AC1)))</formula>
    </cfRule>
  </conditionalFormatting>
  <conditionalFormatting sqref="AE1:AI2 AE54:AI54 AE56:AI1048576">
    <cfRule type="containsText" dxfId="0" priority="1539" operator="between" text="欠">
      <formula>NOT(ISERROR(SEARCH("欠",AE1)))</formula>
    </cfRule>
  </conditionalFormatting>
  <conditionalFormatting sqref="X3 X5:X8 X21">
    <cfRule type="containsText" dxfId="0" priority="140" operator="between" text="欠">
      <formula>NOT(ISERROR(SEARCH("欠",X3)))</formula>
    </cfRule>
  </conditionalFormatting>
  <conditionalFormatting sqref="Y3 Y5:Y8 Y21">
    <cfRule type="containsText" dxfId="0" priority="1229" operator="between" text="欠">
      <formula>NOT(ISERROR(SEARCH("欠",Y3)))</formula>
    </cfRule>
  </conditionalFormatting>
  <conditionalFormatting sqref="Z3 Z5:Z8">
    <cfRule type="containsText" dxfId="0" priority="1356" operator="between" text="欠">
      <formula>NOT(ISERROR(SEARCH("欠",Z3)))</formula>
    </cfRule>
  </conditionalFormatting>
  <conditionalFormatting sqref="AC3:AD3 AC5:AD21">
    <cfRule type="containsText" dxfId="0" priority="744" operator="between" text="欠">
      <formula>NOT(ISERROR(SEARCH("欠",AC3)))</formula>
    </cfRule>
  </conditionalFormatting>
  <conditionalFormatting sqref="AA5:AB8">
    <cfRule type="containsText" dxfId="0" priority="654" operator="between" text="欠">
      <formula>NOT(ISERROR(SEARCH("欠",AA5)))</formula>
    </cfRule>
  </conditionalFormatting>
  <conditionalFormatting sqref="X13:Y19 X22">
    <cfRule type="containsText" dxfId="0" priority="453" operator="between" text="欠">
      <formula>NOT(ISERROR(SEARCH("欠",X13)))</formula>
    </cfRule>
  </conditionalFormatting>
  <conditionalFormatting sqref="Z13:AB19">
    <cfRule type="containsText" dxfId="0" priority="360" operator="between" text="欠">
      <formula>NOT(ISERROR(SEARCH("欠",Z13)))</formula>
    </cfRule>
  </conditionalFormatting>
  <conditionalFormatting sqref="AH13:AI19">
    <cfRule type="containsText" dxfId="0" priority="438" operator="between" text="欠">
      <formula>NOT(ISERROR(SEARCH("欠",AH13)))</formula>
    </cfRule>
  </conditionalFormatting>
  <conditionalFormatting sqref="AF20 AH20">
    <cfRule type="containsText" dxfId="0" priority="233" operator="between" text="欠">
      <formula>NOT(ISERROR(SEARCH("欠",AF20)))</formula>
    </cfRule>
  </conditionalFormatting>
  <conditionalFormatting sqref="AA23:AB23 AA24:AA25">
    <cfRule type="containsText" dxfId="0" priority="88" operator="between" text="欠">
      <formula>NOT(ISERROR(SEARCH("欠",AA23)))</formula>
    </cfRule>
  </conditionalFormatting>
  <conditionalFormatting sqref="AA26:AB28">
    <cfRule type="containsText" dxfId="0" priority="73" operator="between" text="欠">
      <formula>NOT(ISERROR(SEARCH("欠",AA26)))</formula>
    </cfRule>
  </conditionalFormatting>
  <conditionalFormatting sqref="AA29:AB30">
    <cfRule type="containsText" dxfId="0" priority="54" operator="between" text="欠">
      <formula>NOT(ISERROR(SEARCH("欠",AA29)))</formula>
    </cfRule>
  </conditionalFormatting>
  <conditionalFormatting sqref="AC31:AD31 AC33:AD34">
    <cfRule type="containsText" dxfId="0" priority="43" operator="between" text="欠">
      <formula>NOT(ISERROR(SEARCH("欠",AC31)))</formula>
    </cfRule>
  </conditionalFormatting>
  <conditionalFormatting sqref="AH31 AH33:AH34">
    <cfRule type="containsText" dxfId="0" priority="42" operator="between" text="欠">
      <formula>NOT(ISERROR(SEARCH("欠",AH31)))</formula>
    </cfRule>
  </conditionalFormatting>
  <conditionalFormatting sqref="AI31 AI33:AI34">
    <cfRule type="containsText" dxfId="0" priority="46" operator="between" text="欠">
      <formula>NOT(ISERROR(SEARCH("欠",AI31)))</formula>
    </cfRule>
  </conditionalFormatting>
  <conditionalFormatting sqref="X32:X36 X44:X52">
    <cfRule type="containsText" dxfId="0" priority="272" operator="between" text="欠">
      <formula>NOT(ISERROR(SEARCH("欠",X32)))</formula>
    </cfRule>
  </conditionalFormatting>
  <conditionalFormatting sqref="AA32:AB34 AA35:AD36 AC37:AD37 AB38:AD38 AC39:AD40 AA45:AB52">
    <cfRule type="containsText" dxfId="0" priority="269" operator="between" text="欠">
      <formula>NOT(ISERROR(SEARCH("欠",AA32)))</formula>
    </cfRule>
  </conditionalFormatting>
  <conditionalFormatting sqref="AC32:AD32 AC45:AD52">
    <cfRule type="containsText" dxfId="0" priority="266" operator="between" text="欠">
      <formula>NOT(ISERROR(SEARCH("欠",AC32)))</formula>
    </cfRule>
  </conditionalFormatting>
  <conditionalFormatting sqref="AE32:AE36 AE45:AE52">
    <cfRule type="containsText" dxfId="0" priority="257" operator="between" text="欠">
      <formula>NOT(ISERROR(SEARCH("欠",AE32)))</formula>
    </cfRule>
  </conditionalFormatting>
  <conditionalFormatting sqref="AH32:AI32 AF35 AH35:AI35 AF36 AH36:AI36 AF45 AH45:AI45 AF46 AH46:AI46 AF47 AH47:AI47 AF48 AH48:AI48 AF49 AH49:AI49 AF50 AH50:AI50">
    <cfRule type="containsText" dxfId="0" priority="263" operator="between" text="欠">
      <formula>NOT(ISERROR(SEARCH("欠",AF32)))</formula>
    </cfRule>
  </conditionalFormatting>
  <conditionalFormatting sqref="AG32:AG36 AG45:AG52">
    <cfRule type="containsText" dxfId="0" priority="254" operator="between" text="欠">
      <formula>NOT(ISERROR(SEARCH("欠",AG32)))</formula>
    </cfRule>
  </conditionalFormatting>
  <conditionalFormatting sqref="Y33:Y36 Y44:Y52">
    <cfRule type="containsText" dxfId="0" priority="260" operator="between" text="欠">
      <formula>NOT(ISERROR(SEARCH("欠",Y33)))</formula>
    </cfRule>
  </conditionalFormatting>
  <conditionalFormatting sqref="Z33:Z36 Z46:Z52">
    <cfRule type="containsText" dxfId="0" priority="275" operator="between" text="欠">
      <formula>NOT(ISERROR(SEARCH("欠",Z33)))</formula>
    </cfRule>
  </conditionalFormatting>
  <conditionalFormatting sqref="AA39:AB40">
    <cfRule type="containsText" dxfId="0" priority="17" operator="between" text="欠">
      <formula>NOT(ISERROR(SEARCH("欠",AA39)))</formula>
    </cfRule>
  </conditionalFormatting>
  <conditionalFormatting sqref="AA41:AB44">
    <cfRule type="containsText" dxfId="0" priority="7" operator="between" text="欠">
      <formula>NOT(ISERROR(SEARCH("欠",AA41)))</formula>
    </cfRule>
  </conditionalFormatting>
  <conditionalFormatting sqref="AC41:AD44">
    <cfRule type="containsText" dxfId="0" priority="6" operator="between" text="欠">
      <formula>NOT(ISERROR(SEARCH("欠",AC41)))</formula>
    </cfRule>
  </conditionalFormatting>
  <conditionalFormatting sqref="AF53 AH53:AI53">
    <cfRule type="containsText" dxfId="0" priority="1264" operator="between" text="欠">
      <formula>NOT(ISERROR(SEARCH("欠",AF53)))</formula>
    </cfRule>
  </conditionalFormatting>
  <pageMargins left="0.196527777777778" right="0.161111111111111" top="0.0152777777777778" bottom="0.2125" header="0.5" footer="0.5"/>
  <pageSetup paperSize="9" scale="30" fitToHeight="0" orientation="landscape" horizontalDpi="6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BC779"/>
  <sheetViews>
    <sheetView workbookViewId="0">
      <pane xSplit="16" ySplit="2" topLeftCell="AO723" activePane="bottomRight" state="frozen"/>
      <selection/>
      <selection pane="topRight"/>
      <selection pane="bottomLeft"/>
      <selection pane="bottomRight" activeCell="BV514" sqref="BV514"/>
    </sheetView>
  </sheetViews>
  <sheetFormatPr defaultColWidth="9" defaultRowHeight="25" customHeight="1"/>
  <cols>
    <col min="1" max="1" width="12.625" style="17" customWidth="1"/>
    <col min="2" max="3" width="3.625" style="17" customWidth="1"/>
    <col min="4" max="4" width="10.625" style="12" customWidth="1"/>
    <col min="5" max="5" width="8.625" style="12" customWidth="1"/>
    <col min="6" max="8" width="12.625" style="12" customWidth="1"/>
    <col min="9" max="9" width="10.625" style="12" hidden="1" customWidth="1"/>
    <col min="10" max="10" width="6.625" style="18" customWidth="1"/>
    <col min="11" max="11" width="6.625" style="18" hidden="1" customWidth="1"/>
    <col min="12" max="12" width="8.625" style="18" hidden="1" customWidth="1"/>
    <col min="13" max="13" width="5.625" style="12" customWidth="1"/>
    <col min="14" max="14" width="5.625" style="18" customWidth="1"/>
    <col min="15" max="15" width="12.625" style="17" hidden="1" customWidth="1"/>
    <col min="16" max="16" width="12.625" style="17" customWidth="1"/>
    <col min="17" max="17" width="12.625" style="17" hidden="1" customWidth="1"/>
    <col min="18" max="18" width="6.625" style="12" hidden="1" customWidth="1"/>
    <col min="19" max="19" width="12.625" style="17" hidden="1" customWidth="1"/>
    <col min="20" max="20" width="6.625" style="12" hidden="1" customWidth="1"/>
    <col min="21" max="21" width="8.625" style="19" hidden="1" customWidth="1"/>
    <col min="22" max="22" width="12.5833333333333" style="19" customWidth="1"/>
    <col min="23" max="23" width="4.625" style="19" customWidth="1"/>
    <col min="24" max="24" width="7.99166666666667" style="12" hidden="1" customWidth="1"/>
    <col min="25" max="25" width="7.13333333333333" style="12" hidden="1" customWidth="1"/>
    <col min="26" max="28" width="8.625" style="12" hidden="1" customWidth="1"/>
    <col min="29" max="29" width="10.625" style="12" hidden="1" customWidth="1"/>
    <col min="30" max="30" width="4.625" style="12" hidden="1" customWidth="1"/>
    <col min="31" max="31" width="10.625" style="12" customWidth="1"/>
    <col min="32" max="32" width="6.625" style="12" hidden="1" customWidth="1"/>
    <col min="33" max="33" width="10.625" style="12" customWidth="1"/>
    <col min="34" max="34" width="10.7" style="12" hidden="1" customWidth="1"/>
    <col min="35" max="35" width="6.625" style="12" hidden="1" customWidth="1"/>
    <col min="36" max="37" width="10.625" style="12" hidden="1" customWidth="1"/>
    <col min="38" max="38" width="8.625" style="12" hidden="1" customWidth="1"/>
    <col min="39" max="39" width="15.625" style="18" hidden="1" customWidth="1"/>
    <col min="40" max="40" width="15.625" style="20" customWidth="1"/>
    <col min="41" max="41" width="8.625" style="202" customWidth="1"/>
    <col min="42" max="42" width="12.625" style="21" customWidth="1"/>
    <col min="43" max="43" width="12.625" style="203" customWidth="1"/>
    <col min="44" max="44" width="10.625" style="17" customWidth="1"/>
    <col min="45" max="45" width="12.625" style="17" customWidth="1"/>
    <col min="46" max="46" width="8.625" style="17" customWidth="1"/>
    <col min="47" max="50" width="7.7" style="17" customWidth="1"/>
    <col min="51" max="52" width="8.625" style="17" customWidth="1"/>
    <col min="53" max="53" width="8.875" style="19" customWidth="1"/>
    <col min="54" max="55" width="10.375" style="12"/>
    <col min="56" max="16384" width="9" style="12"/>
  </cols>
  <sheetData>
    <row r="1" s="12" customFormat="1" customHeight="1" spans="1:55">
      <c r="A1" s="25" t="s">
        <v>208</v>
      </c>
      <c r="B1" s="204" t="s">
        <v>1168</v>
      </c>
      <c r="C1" s="27" t="s">
        <v>3</v>
      </c>
      <c r="D1" s="25" t="s">
        <v>1169</v>
      </c>
      <c r="E1" s="25" t="s">
        <v>1170</v>
      </c>
      <c r="F1" s="25" t="s">
        <v>210</v>
      </c>
      <c r="G1" s="25" t="s">
        <v>211</v>
      </c>
      <c r="H1" s="25" t="s">
        <v>0</v>
      </c>
      <c r="I1" s="25" t="s">
        <v>207</v>
      </c>
      <c r="J1" s="205" t="s">
        <v>212</v>
      </c>
      <c r="K1" s="25" t="s">
        <v>1</v>
      </c>
      <c r="L1" s="25" t="s">
        <v>1171</v>
      </c>
      <c r="M1" s="25" t="s">
        <v>1172</v>
      </c>
      <c r="N1" s="25" t="s">
        <v>1173</v>
      </c>
      <c r="O1" s="25" t="s">
        <v>1174</v>
      </c>
      <c r="P1" s="28" t="s">
        <v>1175</v>
      </c>
      <c r="Q1" s="25" t="s">
        <v>1176</v>
      </c>
      <c r="R1" s="29" t="s">
        <v>1177</v>
      </c>
      <c r="S1" s="25" t="s">
        <v>1178</v>
      </c>
      <c r="T1" s="29" t="s">
        <v>1179</v>
      </c>
      <c r="U1" s="30" t="s">
        <v>1180</v>
      </c>
      <c r="V1" s="25" t="s">
        <v>1181</v>
      </c>
      <c r="W1" s="25" t="s">
        <v>1182</v>
      </c>
      <c r="X1" s="29" t="s">
        <v>1183</v>
      </c>
      <c r="Y1" s="29"/>
      <c r="Z1" s="29" t="s">
        <v>1184</v>
      </c>
      <c r="AA1" s="31"/>
      <c r="AB1" s="29"/>
      <c r="AC1" s="29" t="s">
        <v>1185</v>
      </c>
      <c r="AD1" s="29"/>
      <c r="AE1" s="29" t="s">
        <v>1186</v>
      </c>
      <c r="AF1" s="29"/>
      <c r="AG1" s="29" t="s">
        <v>1187</v>
      </c>
      <c r="AH1" s="29"/>
      <c r="AI1" s="29"/>
      <c r="AJ1" s="29" t="s">
        <v>1188</v>
      </c>
      <c r="AK1" s="29" t="s">
        <v>1189</v>
      </c>
      <c r="AL1" s="29" t="s">
        <v>1190</v>
      </c>
      <c r="AM1" s="29" t="s">
        <v>1191</v>
      </c>
      <c r="AN1" s="32" t="s">
        <v>1192</v>
      </c>
      <c r="AO1" s="206" t="s">
        <v>243</v>
      </c>
      <c r="AP1" s="125" t="s">
        <v>244</v>
      </c>
      <c r="AQ1" s="125" t="s">
        <v>245</v>
      </c>
      <c r="AR1" s="33" t="s">
        <v>1193</v>
      </c>
      <c r="AS1" s="32" t="s">
        <v>1194</v>
      </c>
      <c r="AT1" s="32" t="s">
        <v>1195</v>
      </c>
      <c r="AU1" s="34" t="s">
        <v>1196</v>
      </c>
      <c r="AV1" s="34" t="s">
        <v>1197</v>
      </c>
      <c r="AW1" s="34" t="s">
        <v>1198</v>
      </c>
      <c r="AX1" s="35" t="s">
        <v>1199</v>
      </c>
      <c r="AY1" s="32" t="s">
        <v>1553</v>
      </c>
      <c r="AZ1" s="32" t="s">
        <v>1201</v>
      </c>
      <c r="BA1" s="32" t="s">
        <v>1202</v>
      </c>
      <c r="BB1" s="32" t="str">
        <f t="shared" ref="BB1:BB64" si="0">D1</f>
        <v>客名</v>
      </c>
      <c r="BC1" s="32" t="str">
        <f t="shared" ref="BC1:BC64" si="1">E1</f>
        <v>国家</v>
      </c>
    </row>
    <row r="2" s="12" customFormat="1" customHeight="1" spans="1:55">
      <c r="A2" s="25"/>
      <c r="B2" s="207"/>
      <c r="C2" s="36"/>
      <c r="D2" s="25"/>
      <c r="E2" s="25"/>
      <c r="F2" s="25"/>
      <c r="G2" s="25"/>
      <c r="H2" s="25"/>
      <c r="I2" s="25"/>
      <c r="J2" s="205"/>
      <c r="K2" s="25"/>
      <c r="L2" s="25"/>
      <c r="M2" s="25"/>
      <c r="N2" s="25"/>
      <c r="O2" s="25"/>
      <c r="P2" s="28"/>
      <c r="Q2" s="25"/>
      <c r="R2" s="29"/>
      <c r="S2" s="25"/>
      <c r="T2" s="29"/>
      <c r="U2" s="37"/>
      <c r="V2" s="25"/>
      <c r="W2" s="25"/>
      <c r="X2" s="29" t="s">
        <v>1203</v>
      </c>
      <c r="Y2" s="29" t="s">
        <v>1204</v>
      </c>
      <c r="Z2" s="29" t="s">
        <v>1205</v>
      </c>
      <c r="AA2" s="31" t="s">
        <v>1206</v>
      </c>
      <c r="AB2" s="29" t="s">
        <v>1207</v>
      </c>
      <c r="AC2" s="29" t="s">
        <v>1208</v>
      </c>
      <c r="AD2" s="29" t="s">
        <v>1204</v>
      </c>
      <c r="AE2" s="29" t="s">
        <v>1554</v>
      </c>
      <c r="AF2" s="29" t="s">
        <v>1204</v>
      </c>
      <c r="AG2" s="29" t="s">
        <v>1555</v>
      </c>
      <c r="AH2" s="29" t="s">
        <v>1211</v>
      </c>
      <c r="AI2" s="29" t="s">
        <v>1204</v>
      </c>
      <c r="AJ2" s="29"/>
      <c r="AK2" s="29"/>
      <c r="AL2" s="29"/>
      <c r="AM2" s="29"/>
      <c r="AN2" s="32"/>
      <c r="AO2" s="206"/>
      <c r="AP2" s="125"/>
      <c r="AQ2" s="125"/>
      <c r="AR2" s="33"/>
      <c r="AS2" s="32"/>
      <c r="AT2" s="32"/>
      <c r="AU2" s="38"/>
      <c r="AV2" s="38"/>
      <c r="AW2" s="38"/>
      <c r="AX2" s="39"/>
      <c r="AY2" s="32"/>
      <c r="AZ2" s="32"/>
      <c r="BA2" s="32"/>
      <c r="BB2" s="32">
        <f t="shared" si="0"/>
        <v>0</v>
      </c>
      <c r="BC2" s="32">
        <f t="shared" si="1"/>
        <v>0</v>
      </c>
    </row>
    <row r="3" s="194" customFormat="1" customHeight="1" spans="1:55">
      <c r="A3" s="208">
        <v>45978</v>
      </c>
      <c r="B3" s="40" t="str">
        <f ca="1" t="shared" ref="B3:B66" si="2">IF(TODAY()-5&gt;=A3,IF(AB3="","异常",""),"")</f>
        <v/>
      </c>
      <c r="C3" s="209" t="str">
        <f>VLOOKUP(H3,名称!A:E,4,0)</f>
        <v>二代</v>
      </c>
      <c r="D3" s="210" t="s">
        <v>1556</v>
      </c>
      <c r="E3" s="210" t="s">
        <v>1557</v>
      </c>
      <c r="F3" s="211">
        <v>4500454656</v>
      </c>
      <c r="G3" s="211" t="s">
        <v>326</v>
      </c>
      <c r="H3" s="211" t="s">
        <v>25</v>
      </c>
      <c r="I3" s="211"/>
      <c r="J3" s="212">
        <v>12000</v>
      </c>
      <c r="K3" s="211"/>
      <c r="L3" s="211"/>
      <c r="M3" s="211">
        <v>16</v>
      </c>
      <c r="N3" s="212">
        <f t="shared" ref="N3:N66" si="3">J3/M3</f>
        <v>750</v>
      </c>
      <c r="O3" s="208">
        <v>46008</v>
      </c>
      <c r="P3" s="208">
        <v>46017</v>
      </c>
      <c r="Q3" s="208">
        <v>46017</v>
      </c>
      <c r="R3" s="211" t="s">
        <v>1558</v>
      </c>
      <c r="S3" s="208" t="s">
        <v>1133</v>
      </c>
      <c r="T3" s="211"/>
      <c r="U3" s="211"/>
      <c r="V3" s="211" t="s">
        <v>1559</v>
      </c>
      <c r="W3" s="208"/>
      <c r="X3" s="211" t="s">
        <v>1248</v>
      </c>
      <c r="Y3" s="211" t="s">
        <v>1228</v>
      </c>
      <c r="Z3" s="213">
        <v>45979</v>
      </c>
      <c r="AA3" s="214">
        <v>45980</v>
      </c>
      <c r="AB3" s="213">
        <v>45985</v>
      </c>
      <c r="AC3" s="211" t="s">
        <v>1560</v>
      </c>
      <c r="AD3" s="211" t="s">
        <v>1228</v>
      </c>
      <c r="AE3" s="211" t="s">
        <v>1561</v>
      </c>
      <c r="AF3" s="211" t="s">
        <v>1228</v>
      </c>
      <c r="AG3" s="211" t="s">
        <v>327</v>
      </c>
      <c r="AH3" s="211" t="s">
        <v>1562</v>
      </c>
      <c r="AI3" s="211" t="s">
        <v>1228</v>
      </c>
      <c r="AJ3" s="211" t="s">
        <v>1133</v>
      </c>
      <c r="AK3" s="211" t="s">
        <v>1133</v>
      </c>
      <c r="AL3" s="211"/>
      <c r="AM3" s="211" t="s">
        <v>1563</v>
      </c>
      <c r="AN3" s="212" t="s">
        <v>1251</v>
      </c>
      <c r="AO3" s="215">
        <v>0.86</v>
      </c>
      <c r="AP3" s="216">
        <f t="shared" ref="AP3:AP66" si="4">J3*AO3</f>
        <v>10320</v>
      </c>
      <c r="AQ3" s="216">
        <f t="shared" ref="AQ3:AQ66" si="5">AP3*7.75</f>
        <v>79980</v>
      </c>
      <c r="AR3" s="217">
        <v>61016</v>
      </c>
      <c r="AS3" s="208">
        <v>46028</v>
      </c>
      <c r="AT3" s="208" t="s">
        <v>1220</v>
      </c>
      <c r="AU3" s="218"/>
      <c r="AV3" s="219">
        <f t="shared" ref="AV3:AV66" si="6">AU3-J3</f>
        <v>-12000</v>
      </c>
      <c r="AW3" s="116"/>
      <c r="AX3" s="116"/>
      <c r="AY3" s="208"/>
      <c r="AZ3" s="208"/>
      <c r="BA3" s="208"/>
      <c r="BB3" s="208" t="str">
        <f t="shared" si="0"/>
        <v>Orbico Sp. z o.o.</v>
      </c>
      <c r="BC3" s="208" t="str">
        <f t="shared" si="1"/>
        <v>波兰</v>
      </c>
    </row>
    <row r="4" s="194" customFormat="1" customHeight="1" spans="1:55">
      <c r="A4" s="208">
        <v>45978</v>
      </c>
      <c r="B4" s="40" t="str">
        <f ca="1" t="shared" si="2"/>
        <v/>
      </c>
      <c r="C4" s="209" t="str">
        <f>VLOOKUP(H4,名称!A:E,4,0)</f>
        <v>二代</v>
      </c>
      <c r="D4" s="210" t="s">
        <v>1556</v>
      </c>
      <c r="E4" s="210" t="s">
        <v>1557</v>
      </c>
      <c r="F4" s="211">
        <v>4500454656</v>
      </c>
      <c r="G4" s="211" t="s">
        <v>326</v>
      </c>
      <c r="H4" s="211" t="s">
        <v>37</v>
      </c>
      <c r="I4" s="211"/>
      <c r="J4" s="212">
        <v>8004</v>
      </c>
      <c r="K4" s="211"/>
      <c r="L4" s="211"/>
      <c r="M4" s="211">
        <v>6</v>
      </c>
      <c r="N4" s="212">
        <f t="shared" si="3"/>
        <v>1334</v>
      </c>
      <c r="O4" s="208">
        <v>46008</v>
      </c>
      <c r="P4" s="208">
        <v>46017</v>
      </c>
      <c r="Q4" s="208">
        <v>46017</v>
      </c>
      <c r="R4" s="211" t="s">
        <v>1558</v>
      </c>
      <c r="S4" s="208" t="s">
        <v>1133</v>
      </c>
      <c r="T4" s="211"/>
      <c r="U4" s="211"/>
      <c r="V4" s="211" t="s">
        <v>1559</v>
      </c>
      <c r="W4" s="208"/>
      <c r="X4" s="211" t="s">
        <v>1248</v>
      </c>
      <c r="Y4" s="211" t="s">
        <v>1228</v>
      </c>
      <c r="Z4" s="213">
        <v>45979</v>
      </c>
      <c r="AA4" s="214">
        <v>45980</v>
      </c>
      <c r="AB4" s="213">
        <v>45985</v>
      </c>
      <c r="AC4" s="211" t="s">
        <v>1244</v>
      </c>
      <c r="AD4" s="211" t="s">
        <v>1228</v>
      </c>
      <c r="AE4" s="211" t="s">
        <v>1561</v>
      </c>
      <c r="AF4" s="211" t="s">
        <v>1228</v>
      </c>
      <c r="AG4" s="211" t="s">
        <v>327</v>
      </c>
      <c r="AH4" s="211" t="s">
        <v>1562</v>
      </c>
      <c r="AI4" s="211" t="s">
        <v>1228</v>
      </c>
      <c r="AJ4" s="211" t="s">
        <v>327</v>
      </c>
      <c r="AK4" s="211" t="s">
        <v>1133</v>
      </c>
      <c r="AL4" s="211"/>
      <c r="AM4" s="211" t="s">
        <v>1563</v>
      </c>
      <c r="AN4" s="212" t="s">
        <v>1251</v>
      </c>
      <c r="AO4" s="215">
        <v>2.02</v>
      </c>
      <c r="AP4" s="216">
        <f t="shared" si="4"/>
        <v>16168.08</v>
      </c>
      <c r="AQ4" s="216">
        <f t="shared" si="5"/>
        <v>125302.62</v>
      </c>
      <c r="AR4" s="217">
        <v>61016</v>
      </c>
      <c r="AS4" s="208">
        <v>46028</v>
      </c>
      <c r="AT4" s="208" t="s">
        <v>1220</v>
      </c>
      <c r="AU4" s="218">
        <f>32+2976</f>
        <v>3008</v>
      </c>
      <c r="AV4" s="219">
        <f t="shared" si="6"/>
        <v>-4996</v>
      </c>
      <c r="AW4" s="116"/>
      <c r="AX4" s="116"/>
      <c r="AY4" s="208"/>
      <c r="AZ4" s="208"/>
      <c r="BA4" s="208"/>
      <c r="BB4" s="208" t="str">
        <f t="shared" si="0"/>
        <v>Orbico Sp. z o.o.</v>
      </c>
      <c r="BC4" s="208" t="str">
        <f t="shared" si="1"/>
        <v>波兰</v>
      </c>
    </row>
    <row r="5" s="194" customFormat="1" customHeight="1" spans="1:55">
      <c r="A5" s="208">
        <v>45978</v>
      </c>
      <c r="B5" s="40" t="str">
        <f ca="1" t="shared" si="2"/>
        <v/>
      </c>
      <c r="C5" s="209" t="str">
        <f>VLOOKUP(H5,名称!A:E,4,0)</f>
        <v>二代</v>
      </c>
      <c r="D5" s="210" t="s">
        <v>1556</v>
      </c>
      <c r="E5" s="210" t="s">
        <v>1557</v>
      </c>
      <c r="F5" s="211">
        <v>4500454656</v>
      </c>
      <c r="G5" s="211" t="s">
        <v>326</v>
      </c>
      <c r="H5" s="211" t="s">
        <v>44</v>
      </c>
      <c r="I5" s="211"/>
      <c r="J5" s="212">
        <v>24000</v>
      </c>
      <c r="K5" s="211"/>
      <c r="L5" s="211"/>
      <c r="M5" s="211">
        <v>24</v>
      </c>
      <c r="N5" s="212">
        <f t="shared" si="3"/>
        <v>1000</v>
      </c>
      <c r="O5" s="208">
        <v>46008</v>
      </c>
      <c r="P5" s="208">
        <v>46017</v>
      </c>
      <c r="Q5" s="208">
        <v>46017</v>
      </c>
      <c r="R5" s="211" t="s">
        <v>1558</v>
      </c>
      <c r="S5" s="208" t="s">
        <v>1133</v>
      </c>
      <c r="T5" s="211"/>
      <c r="U5" s="211"/>
      <c r="V5" s="211" t="s">
        <v>1559</v>
      </c>
      <c r="W5" s="208"/>
      <c r="X5" s="211" t="s">
        <v>1248</v>
      </c>
      <c r="Y5" s="211" t="s">
        <v>1228</v>
      </c>
      <c r="Z5" s="213">
        <v>45979</v>
      </c>
      <c r="AA5" s="214">
        <v>45980</v>
      </c>
      <c r="AB5" s="213">
        <v>45985</v>
      </c>
      <c r="AC5" s="211" t="s">
        <v>1133</v>
      </c>
      <c r="AD5" s="211" t="s">
        <v>1228</v>
      </c>
      <c r="AE5" s="211" t="s">
        <v>1561</v>
      </c>
      <c r="AF5" s="211" t="s">
        <v>1228</v>
      </c>
      <c r="AG5" s="211" t="s">
        <v>327</v>
      </c>
      <c r="AH5" s="211" t="s">
        <v>1133</v>
      </c>
      <c r="AI5" s="211" t="s">
        <v>1228</v>
      </c>
      <c r="AJ5" s="211" t="s">
        <v>1133</v>
      </c>
      <c r="AK5" s="211" t="s">
        <v>327</v>
      </c>
      <c r="AL5" s="211"/>
      <c r="AM5" s="211" t="s">
        <v>1563</v>
      </c>
      <c r="AN5" s="212" t="s">
        <v>1251</v>
      </c>
      <c r="AO5" s="215">
        <v>0.61</v>
      </c>
      <c r="AP5" s="216">
        <f t="shared" si="4"/>
        <v>14640</v>
      </c>
      <c r="AQ5" s="216">
        <f t="shared" si="5"/>
        <v>113460</v>
      </c>
      <c r="AR5" s="217">
        <v>61016</v>
      </c>
      <c r="AS5" s="208">
        <v>46028</v>
      </c>
      <c r="AT5" s="208" t="s">
        <v>1220</v>
      </c>
      <c r="AU5" s="218"/>
      <c r="AV5" s="219">
        <f t="shared" si="6"/>
        <v>-24000</v>
      </c>
      <c r="AW5" s="116"/>
      <c r="AX5" s="116" t="s">
        <v>1280</v>
      </c>
      <c r="AY5" s="208"/>
      <c r="AZ5" s="208"/>
      <c r="BA5" s="208"/>
      <c r="BB5" s="208" t="str">
        <f t="shared" si="0"/>
        <v>Orbico Sp. z o.o.</v>
      </c>
      <c r="BC5" s="208" t="str">
        <f t="shared" si="1"/>
        <v>波兰</v>
      </c>
    </row>
    <row r="6" s="194" customFormat="1" customHeight="1" spans="1:55">
      <c r="A6" s="208">
        <v>45978</v>
      </c>
      <c r="B6" s="40" t="str">
        <f ca="1" t="shared" si="2"/>
        <v/>
      </c>
      <c r="C6" s="209" t="str">
        <f>VLOOKUP(H6,名称!A:E,4,0)</f>
        <v>二代</v>
      </c>
      <c r="D6" s="210" t="s">
        <v>1556</v>
      </c>
      <c r="E6" s="210" t="s">
        <v>1557</v>
      </c>
      <c r="F6" s="211">
        <v>4500454656</v>
      </c>
      <c r="G6" s="211" t="s">
        <v>326</v>
      </c>
      <c r="H6" s="211" t="s">
        <v>38</v>
      </c>
      <c r="I6" s="211"/>
      <c r="J6" s="212">
        <v>6000</v>
      </c>
      <c r="K6" s="211"/>
      <c r="L6" s="211"/>
      <c r="M6" s="211">
        <v>4</v>
      </c>
      <c r="N6" s="212">
        <f t="shared" si="3"/>
        <v>1500</v>
      </c>
      <c r="O6" s="208">
        <v>46008</v>
      </c>
      <c r="P6" s="208">
        <v>46017</v>
      </c>
      <c r="Q6" s="208">
        <v>46017</v>
      </c>
      <c r="R6" s="211" t="s">
        <v>1558</v>
      </c>
      <c r="S6" s="208" t="s">
        <v>1133</v>
      </c>
      <c r="T6" s="211"/>
      <c r="U6" s="211"/>
      <c r="V6" s="211" t="s">
        <v>1559</v>
      </c>
      <c r="W6" s="208"/>
      <c r="X6" s="211" t="s">
        <v>1248</v>
      </c>
      <c r="Y6" s="211" t="s">
        <v>1228</v>
      </c>
      <c r="Z6" s="213">
        <v>45979</v>
      </c>
      <c r="AA6" s="214">
        <v>45980</v>
      </c>
      <c r="AB6" s="213">
        <v>45985</v>
      </c>
      <c r="AC6" s="211" t="s">
        <v>1133</v>
      </c>
      <c r="AD6" s="211" t="s">
        <v>1228</v>
      </c>
      <c r="AE6" s="211" t="s">
        <v>1561</v>
      </c>
      <c r="AF6" s="211" t="s">
        <v>1228</v>
      </c>
      <c r="AG6" s="211" t="s">
        <v>327</v>
      </c>
      <c r="AH6" s="211" t="s">
        <v>1562</v>
      </c>
      <c r="AI6" s="211" t="s">
        <v>1228</v>
      </c>
      <c r="AJ6" s="211" t="s">
        <v>1133</v>
      </c>
      <c r="AK6" s="211" t="s">
        <v>1133</v>
      </c>
      <c r="AL6" s="211"/>
      <c r="AM6" s="211" t="s">
        <v>1563</v>
      </c>
      <c r="AN6" s="212" t="s">
        <v>1251</v>
      </c>
      <c r="AO6" s="215">
        <v>3.09</v>
      </c>
      <c r="AP6" s="216">
        <f t="shared" si="4"/>
        <v>18540</v>
      </c>
      <c r="AQ6" s="216">
        <f t="shared" si="5"/>
        <v>143685</v>
      </c>
      <c r="AR6" s="217">
        <v>61016</v>
      </c>
      <c r="AS6" s="208">
        <v>46028</v>
      </c>
      <c r="AT6" s="208" t="s">
        <v>1220</v>
      </c>
      <c r="AU6" s="218">
        <v>2000</v>
      </c>
      <c r="AV6" s="219">
        <f t="shared" si="6"/>
        <v>-4000</v>
      </c>
      <c r="AW6" s="116"/>
      <c r="AX6" s="116"/>
      <c r="AY6" s="208"/>
      <c r="AZ6" s="208"/>
      <c r="BA6" s="208"/>
      <c r="BB6" s="208" t="str">
        <f t="shared" si="0"/>
        <v>Orbico Sp. z o.o.</v>
      </c>
      <c r="BC6" s="208" t="str">
        <f t="shared" si="1"/>
        <v>波兰</v>
      </c>
    </row>
    <row r="7" s="194" customFormat="1" customHeight="1" spans="1:55">
      <c r="A7" s="208">
        <v>45978</v>
      </c>
      <c r="B7" s="40" t="str">
        <f ca="1" t="shared" si="2"/>
        <v/>
      </c>
      <c r="C7" s="209" t="str">
        <f>VLOOKUP(H7,名称!A:E,4,0)</f>
        <v>二代</v>
      </c>
      <c r="D7" s="210" t="s">
        <v>1556</v>
      </c>
      <c r="E7" s="210" t="s">
        <v>1557</v>
      </c>
      <c r="F7" s="211">
        <v>4500454656</v>
      </c>
      <c r="G7" s="211" t="s">
        <v>326</v>
      </c>
      <c r="H7" s="211" t="s">
        <v>62</v>
      </c>
      <c r="I7" s="211"/>
      <c r="J7" s="212">
        <v>3600</v>
      </c>
      <c r="K7" s="211"/>
      <c r="L7" s="211"/>
      <c r="M7" s="211">
        <v>24</v>
      </c>
      <c r="N7" s="212">
        <f t="shared" si="3"/>
        <v>150</v>
      </c>
      <c r="O7" s="208">
        <v>46008</v>
      </c>
      <c r="P7" s="208">
        <v>46017</v>
      </c>
      <c r="Q7" s="208">
        <v>46017</v>
      </c>
      <c r="R7" s="211" t="s">
        <v>1558</v>
      </c>
      <c r="S7" s="208" t="s">
        <v>1133</v>
      </c>
      <c r="T7" s="211"/>
      <c r="U7" s="211"/>
      <c r="V7" s="211" t="s">
        <v>1564</v>
      </c>
      <c r="W7" s="208"/>
      <c r="X7" s="211" t="s">
        <v>1248</v>
      </c>
      <c r="Y7" s="211" t="s">
        <v>1228</v>
      </c>
      <c r="Z7" s="213">
        <v>45979</v>
      </c>
      <c r="AA7" s="214">
        <v>45980</v>
      </c>
      <c r="AB7" s="213">
        <v>45985</v>
      </c>
      <c r="AC7" s="211" t="s">
        <v>1133</v>
      </c>
      <c r="AD7" s="211" t="s">
        <v>1228</v>
      </c>
      <c r="AE7" s="211" t="s">
        <v>327</v>
      </c>
      <c r="AF7" s="211" t="s">
        <v>1228</v>
      </c>
      <c r="AG7" s="211" t="s">
        <v>327</v>
      </c>
      <c r="AH7" s="211" t="s">
        <v>1133</v>
      </c>
      <c r="AI7" s="211" t="s">
        <v>1228</v>
      </c>
      <c r="AJ7" s="211" t="s">
        <v>1133</v>
      </c>
      <c r="AK7" s="211" t="s">
        <v>327</v>
      </c>
      <c r="AL7" s="211"/>
      <c r="AM7" s="211" t="s">
        <v>1563</v>
      </c>
      <c r="AN7" s="212" t="s">
        <v>1565</v>
      </c>
      <c r="AO7" s="215">
        <v>0.61</v>
      </c>
      <c r="AP7" s="216">
        <f t="shared" si="4"/>
        <v>2196</v>
      </c>
      <c r="AQ7" s="216">
        <f t="shared" si="5"/>
        <v>17019</v>
      </c>
      <c r="AR7" s="217">
        <v>61016</v>
      </c>
      <c r="AS7" s="208">
        <v>46028</v>
      </c>
      <c r="AT7" s="208" t="s">
        <v>1220</v>
      </c>
      <c r="AU7" s="218"/>
      <c r="AV7" s="219">
        <f t="shared" si="6"/>
        <v>-3600</v>
      </c>
      <c r="AW7" s="116"/>
      <c r="AX7" s="116"/>
      <c r="AY7" s="208"/>
      <c r="AZ7" s="208"/>
      <c r="BA7" s="208"/>
      <c r="BB7" s="208" t="str">
        <f t="shared" si="0"/>
        <v>Orbico Sp. z o.o.</v>
      </c>
      <c r="BC7" s="208" t="str">
        <f t="shared" si="1"/>
        <v>波兰</v>
      </c>
    </row>
    <row r="8" s="194" customFormat="1" customHeight="1" spans="1:55">
      <c r="A8" s="208">
        <v>45986</v>
      </c>
      <c r="B8" s="40" t="str">
        <f ca="1" t="shared" si="2"/>
        <v/>
      </c>
      <c r="C8" s="209" t="str">
        <f>VLOOKUP(H8,名称!A:E,4,0)</f>
        <v>二代</v>
      </c>
      <c r="D8" s="210" t="s">
        <v>1257</v>
      </c>
      <c r="E8" s="210" t="s">
        <v>1258</v>
      </c>
      <c r="F8" s="211" t="s">
        <v>332</v>
      </c>
      <c r="G8" s="211" t="s">
        <v>333</v>
      </c>
      <c r="H8" s="211" t="s">
        <v>44</v>
      </c>
      <c r="I8" s="211"/>
      <c r="J8" s="212">
        <v>30072</v>
      </c>
      <c r="K8" s="211"/>
      <c r="L8" s="211"/>
      <c r="M8" s="211">
        <v>24</v>
      </c>
      <c r="N8" s="212">
        <f t="shared" si="3"/>
        <v>1253</v>
      </c>
      <c r="O8" s="208">
        <v>46017</v>
      </c>
      <c r="P8" s="208">
        <v>46017</v>
      </c>
      <c r="Q8" s="208">
        <v>46027</v>
      </c>
      <c r="R8" s="211" t="s">
        <v>1558</v>
      </c>
      <c r="S8" s="208">
        <v>46029</v>
      </c>
      <c r="T8" s="211" t="s">
        <v>1241</v>
      </c>
      <c r="U8" s="211"/>
      <c r="V8" s="211"/>
      <c r="W8" s="208"/>
      <c r="X8" s="211" t="s">
        <v>1566</v>
      </c>
      <c r="Y8" s="211"/>
      <c r="Z8" s="213">
        <v>45994</v>
      </c>
      <c r="AA8" s="214">
        <v>45994</v>
      </c>
      <c r="AB8" s="213">
        <v>45999</v>
      </c>
      <c r="AC8" s="211" t="s">
        <v>1133</v>
      </c>
      <c r="AD8" s="211"/>
      <c r="AE8" s="211">
        <v>280</v>
      </c>
      <c r="AF8" s="211"/>
      <c r="AG8" s="211" t="s">
        <v>334</v>
      </c>
      <c r="AH8" s="211" t="s">
        <v>1133</v>
      </c>
      <c r="AI8" s="211" t="s">
        <v>1228</v>
      </c>
      <c r="AJ8" s="211" t="s">
        <v>1133</v>
      </c>
      <c r="AK8" s="211" t="s">
        <v>327</v>
      </c>
      <c r="AL8" s="211"/>
      <c r="AM8" s="211" t="s">
        <v>1567</v>
      </c>
      <c r="AN8" s="212" t="s">
        <v>1568</v>
      </c>
      <c r="AO8" s="215">
        <v>0.6</v>
      </c>
      <c r="AP8" s="216">
        <f t="shared" si="4"/>
        <v>18043.2</v>
      </c>
      <c r="AQ8" s="216">
        <f t="shared" si="5"/>
        <v>139834.8</v>
      </c>
      <c r="AR8" s="217">
        <v>61021</v>
      </c>
      <c r="AS8" s="208">
        <v>46038</v>
      </c>
      <c r="AT8" s="208" t="s">
        <v>1313</v>
      </c>
      <c r="AU8" s="218"/>
      <c r="AV8" s="219">
        <f t="shared" si="6"/>
        <v>-30072</v>
      </c>
      <c r="AW8" s="116"/>
      <c r="AX8" s="116"/>
      <c r="AY8" s="208"/>
      <c r="AZ8" s="208"/>
      <c r="BA8" s="208"/>
      <c r="BB8" s="208" t="str">
        <f t="shared" si="0"/>
        <v>Character Options</v>
      </c>
      <c r="BC8" s="208" t="str">
        <f t="shared" si="1"/>
        <v>英国</v>
      </c>
    </row>
    <row r="9" s="194" customFormat="1" customHeight="1" spans="1:55">
      <c r="A9" s="208">
        <v>45980</v>
      </c>
      <c r="B9" s="40" t="str">
        <f ca="1" t="shared" si="2"/>
        <v/>
      </c>
      <c r="C9" s="209" t="str">
        <f>VLOOKUP(H9,名称!A:E,4,0)</f>
        <v>二代</v>
      </c>
      <c r="D9" s="210" t="s">
        <v>1297</v>
      </c>
      <c r="E9" s="210" t="s">
        <v>1325</v>
      </c>
      <c r="F9" s="211" t="s">
        <v>328</v>
      </c>
      <c r="G9" s="211" t="s">
        <v>329</v>
      </c>
      <c r="H9" s="211" t="s">
        <v>26</v>
      </c>
      <c r="I9" s="211"/>
      <c r="J9" s="212">
        <v>900</v>
      </c>
      <c r="K9" s="211"/>
      <c r="L9" s="211"/>
      <c r="M9" s="211">
        <v>6</v>
      </c>
      <c r="N9" s="212">
        <f t="shared" si="3"/>
        <v>150</v>
      </c>
      <c r="O9" s="208">
        <v>46034</v>
      </c>
      <c r="P9" s="208">
        <v>46034</v>
      </c>
      <c r="Q9" s="208">
        <v>46030</v>
      </c>
      <c r="R9" s="211" t="s">
        <v>1241</v>
      </c>
      <c r="S9" s="208">
        <v>46034</v>
      </c>
      <c r="T9" s="211" t="s">
        <v>1241</v>
      </c>
      <c r="U9" s="211"/>
      <c r="V9" s="211" t="s">
        <v>1569</v>
      </c>
      <c r="W9" s="208"/>
      <c r="X9" s="211" t="s">
        <v>1133</v>
      </c>
      <c r="Y9" s="211" t="s">
        <v>1133</v>
      </c>
      <c r="Z9" s="213">
        <v>45980</v>
      </c>
      <c r="AA9" s="214">
        <v>45981</v>
      </c>
      <c r="AB9" s="214">
        <v>45981</v>
      </c>
      <c r="AC9" s="211" t="s">
        <v>1244</v>
      </c>
      <c r="AD9" s="211" t="s">
        <v>1228</v>
      </c>
      <c r="AE9" s="220" t="s">
        <v>253</v>
      </c>
      <c r="AF9" s="211" t="s">
        <v>1228</v>
      </c>
      <c r="AG9" s="220" t="s">
        <v>253</v>
      </c>
      <c r="AH9" s="211" t="s">
        <v>1229</v>
      </c>
      <c r="AI9" s="211" t="s">
        <v>1228</v>
      </c>
      <c r="AJ9" s="211" t="s">
        <v>253</v>
      </c>
      <c r="AK9" s="211" t="s">
        <v>1133</v>
      </c>
      <c r="AL9" s="211"/>
      <c r="AM9" s="211" t="s">
        <v>1570</v>
      </c>
      <c r="AN9" s="212"/>
      <c r="AO9" s="215">
        <v>2.21</v>
      </c>
      <c r="AP9" s="216">
        <f t="shared" si="4"/>
        <v>1989</v>
      </c>
      <c r="AQ9" s="216">
        <f t="shared" si="5"/>
        <v>15414.75</v>
      </c>
      <c r="AR9" s="217">
        <v>61022</v>
      </c>
      <c r="AS9" s="208">
        <v>46038</v>
      </c>
      <c r="AT9" s="208" t="s">
        <v>1220</v>
      </c>
      <c r="AU9" s="218"/>
      <c r="AV9" s="219">
        <f t="shared" si="6"/>
        <v>-900</v>
      </c>
      <c r="AW9" s="116"/>
      <c r="AX9" s="116"/>
      <c r="AY9" s="208"/>
      <c r="AZ9" s="208"/>
      <c r="BA9" s="208"/>
      <c r="BB9" s="208" t="str">
        <f t="shared" si="0"/>
        <v>Jazwares Canada</v>
      </c>
      <c r="BC9" s="208" t="str">
        <f t="shared" si="1"/>
        <v>加拿大</v>
      </c>
    </row>
    <row r="10" s="194" customFormat="1" customHeight="1" spans="1:55">
      <c r="A10" s="208">
        <v>45985</v>
      </c>
      <c r="B10" s="40" t="str">
        <f ca="1" t="shared" si="2"/>
        <v/>
      </c>
      <c r="C10" s="209" t="str">
        <f>VLOOKUP(H10,名称!A:E,4,0)</f>
        <v>二代</v>
      </c>
      <c r="D10" s="210" t="s">
        <v>1430</v>
      </c>
      <c r="E10" s="210" t="s">
        <v>1571</v>
      </c>
      <c r="F10" s="211" t="s">
        <v>330</v>
      </c>
      <c r="G10" s="211" t="s">
        <v>331</v>
      </c>
      <c r="H10" s="211" t="s">
        <v>40</v>
      </c>
      <c r="I10" s="211"/>
      <c r="J10" s="212">
        <v>5004</v>
      </c>
      <c r="K10" s="211"/>
      <c r="L10" s="211"/>
      <c r="M10" s="211">
        <v>12</v>
      </c>
      <c r="N10" s="212">
        <f t="shared" si="3"/>
        <v>417</v>
      </c>
      <c r="O10" s="208">
        <v>46031</v>
      </c>
      <c r="P10" s="208">
        <v>46031</v>
      </c>
      <c r="Q10" s="208">
        <v>46031</v>
      </c>
      <c r="R10" s="211" t="s">
        <v>1241</v>
      </c>
      <c r="S10" s="208" t="s">
        <v>1133</v>
      </c>
      <c r="T10" s="211" t="s">
        <v>1133</v>
      </c>
      <c r="U10" s="211"/>
      <c r="V10" s="211"/>
      <c r="W10" s="208"/>
      <c r="X10" s="211" t="s">
        <v>1248</v>
      </c>
      <c r="Y10" s="211" t="s">
        <v>1228</v>
      </c>
      <c r="Z10" s="211" t="s">
        <v>1249</v>
      </c>
      <c r="AA10" s="214">
        <v>45988</v>
      </c>
      <c r="AB10" s="213">
        <v>45999</v>
      </c>
      <c r="AC10" s="211" t="s">
        <v>1560</v>
      </c>
      <c r="AD10" s="211" t="s">
        <v>1228</v>
      </c>
      <c r="AE10" s="211" t="s">
        <v>327</v>
      </c>
      <c r="AF10" s="211" t="s">
        <v>1228</v>
      </c>
      <c r="AG10" s="211" t="s">
        <v>327</v>
      </c>
      <c r="AH10" s="211" t="s">
        <v>1562</v>
      </c>
      <c r="AI10" s="211" t="s">
        <v>1228</v>
      </c>
      <c r="AJ10" s="211" t="s">
        <v>1133</v>
      </c>
      <c r="AK10" s="211" t="s">
        <v>1133</v>
      </c>
      <c r="AL10" s="211"/>
      <c r="AM10" s="211" t="s">
        <v>1570</v>
      </c>
      <c r="AN10" s="212" t="s">
        <v>1251</v>
      </c>
      <c r="AO10" s="215">
        <v>0.78</v>
      </c>
      <c r="AP10" s="216">
        <f t="shared" si="4"/>
        <v>3903.12</v>
      </c>
      <c r="AQ10" s="216">
        <f t="shared" si="5"/>
        <v>30249.18</v>
      </c>
      <c r="AR10" s="217">
        <v>61023</v>
      </c>
      <c r="AS10" s="208">
        <v>46038</v>
      </c>
      <c r="AT10" s="208" t="s">
        <v>1220</v>
      </c>
      <c r="AU10" s="218"/>
      <c r="AV10" s="219">
        <f t="shared" si="6"/>
        <v>-5004</v>
      </c>
      <c r="AW10" s="116"/>
      <c r="AX10" s="116"/>
      <c r="AY10" s="208"/>
      <c r="AZ10" s="208"/>
      <c r="BA10" s="208"/>
      <c r="BB10" s="208" t="str">
        <f t="shared" si="0"/>
        <v>Grasper Global Private Limited</v>
      </c>
      <c r="BC10" s="208" t="str">
        <f t="shared" si="1"/>
        <v>印度</v>
      </c>
    </row>
    <row r="11" s="194" customFormat="1" customHeight="1" spans="1:55">
      <c r="A11" s="208">
        <v>45985</v>
      </c>
      <c r="B11" s="40" t="str">
        <f ca="1" t="shared" si="2"/>
        <v/>
      </c>
      <c r="C11" s="209" t="str">
        <f>VLOOKUP(H11,名称!A:E,4,0)</f>
        <v>二代</v>
      </c>
      <c r="D11" s="210" t="s">
        <v>1430</v>
      </c>
      <c r="E11" s="210" t="s">
        <v>1571</v>
      </c>
      <c r="F11" s="211" t="s">
        <v>330</v>
      </c>
      <c r="G11" s="211" t="s">
        <v>331</v>
      </c>
      <c r="H11" s="211" t="s">
        <v>37</v>
      </c>
      <c r="I11" s="211"/>
      <c r="J11" s="212">
        <v>3000</v>
      </c>
      <c r="K11" s="211"/>
      <c r="L11" s="211"/>
      <c r="M11" s="211">
        <v>6</v>
      </c>
      <c r="N11" s="212">
        <f t="shared" si="3"/>
        <v>500</v>
      </c>
      <c r="O11" s="208">
        <v>46031</v>
      </c>
      <c r="P11" s="208">
        <v>46031</v>
      </c>
      <c r="Q11" s="208">
        <v>46031</v>
      </c>
      <c r="R11" s="211" t="s">
        <v>1241</v>
      </c>
      <c r="S11" s="208" t="s">
        <v>1133</v>
      </c>
      <c r="T11" s="211" t="s">
        <v>1133</v>
      </c>
      <c r="U11" s="211"/>
      <c r="V11" s="211"/>
      <c r="W11" s="208"/>
      <c r="X11" s="211" t="s">
        <v>1248</v>
      </c>
      <c r="Y11" s="211" t="s">
        <v>1228</v>
      </c>
      <c r="Z11" s="211" t="s">
        <v>1249</v>
      </c>
      <c r="AA11" s="214">
        <v>45988</v>
      </c>
      <c r="AB11" s="213">
        <v>45999</v>
      </c>
      <c r="AC11" s="211" t="s">
        <v>1244</v>
      </c>
      <c r="AD11" s="211" t="s">
        <v>1228</v>
      </c>
      <c r="AE11" s="211" t="s">
        <v>327</v>
      </c>
      <c r="AF11" s="211" t="s">
        <v>1228</v>
      </c>
      <c r="AG11" s="211" t="s">
        <v>327</v>
      </c>
      <c r="AH11" s="211" t="s">
        <v>1562</v>
      </c>
      <c r="AI11" s="211" t="s">
        <v>1228</v>
      </c>
      <c r="AJ11" s="211" t="s">
        <v>1572</v>
      </c>
      <c r="AK11" s="211" t="s">
        <v>1133</v>
      </c>
      <c r="AL11" s="211"/>
      <c r="AM11" s="211" t="s">
        <v>1570</v>
      </c>
      <c r="AN11" s="212" t="s">
        <v>1251</v>
      </c>
      <c r="AO11" s="215">
        <v>2.04</v>
      </c>
      <c r="AP11" s="216">
        <f t="shared" si="4"/>
        <v>6120</v>
      </c>
      <c r="AQ11" s="216">
        <f t="shared" si="5"/>
        <v>47430</v>
      </c>
      <c r="AR11" s="217">
        <v>61023</v>
      </c>
      <c r="AS11" s="208">
        <v>46038</v>
      </c>
      <c r="AT11" s="208" t="s">
        <v>1220</v>
      </c>
      <c r="AU11" s="218"/>
      <c r="AV11" s="219">
        <f t="shared" si="6"/>
        <v>-3000</v>
      </c>
      <c r="AW11" s="116"/>
      <c r="AX11" s="116"/>
      <c r="AY11" s="208"/>
      <c r="AZ11" s="208"/>
      <c r="BA11" s="208"/>
      <c r="BB11" s="208" t="str">
        <f t="shared" si="0"/>
        <v>Grasper Global Private Limited</v>
      </c>
      <c r="BC11" s="208" t="str">
        <f t="shared" si="1"/>
        <v>印度</v>
      </c>
    </row>
    <row r="12" s="194" customFormat="1" customHeight="1" spans="1:55">
      <c r="A12" s="208">
        <v>45985</v>
      </c>
      <c r="B12" s="40" t="str">
        <f ca="1" t="shared" si="2"/>
        <v/>
      </c>
      <c r="C12" s="209" t="str">
        <f>VLOOKUP(H12,名称!A:E,4,0)</f>
        <v>二代</v>
      </c>
      <c r="D12" s="210" t="s">
        <v>1430</v>
      </c>
      <c r="E12" s="210" t="s">
        <v>1571</v>
      </c>
      <c r="F12" s="211" t="s">
        <v>330</v>
      </c>
      <c r="G12" s="211" t="s">
        <v>331</v>
      </c>
      <c r="H12" s="211" t="s">
        <v>41</v>
      </c>
      <c r="I12" s="211"/>
      <c r="J12" s="212">
        <v>5004</v>
      </c>
      <c r="K12" s="211"/>
      <c r="L12" s="211"/>
      <c r="M12" s="211">
        <v>6</v>
      </c>
      <c r="N12" s="212">
        <f t="shared" si="3"/>
        <v>834</v>
      </c>
      <c r="O12" s="208">
        <v>46031</v>
      </c>
      <c r="P12" s="208">
        <v>46031</v>
      </c>
      <c r="Q12" s="208">
        <v>46031</v>
      </c>
      <c r="R12" s="211" t="s">
        <v>1241</v>
      </c>
      <c r="S12" s="208" t="s">
        <v>1133</v>
      </c>
      <c r="T12" s="211" t="s">
        <v>1133</v>
      </c>
      <c r="U12" s="211"/>
      <c r="V12" s="211"/>
      <c r="W12" s="208"/>
      <c r="X12" s="211" t="s">
        <v>1248</v>
      </c>
      <c r="Y12" s="211" t="s">
        <v>1228</v>
      </c>
      <c r="Z12" s="211" t="s">
        <v>1249</v>
      </c>
      <c r="AA12" s="214">
        <v>45988</v>
      </c>
      <c r="AB12" s="213">
        <v>45999</v>
      </c>
      <c r="AC12" s="211" t="s">
        <v>1560</v>
      </c>
      <c r="AD12" s="211" t="s">
        <v>1228</v>
      </c>
      <c r="AE12" s="211" t="s">
        <v>327</v>
      </c>
      <c r="AF12" s="211" t="s">
        <v>1228</v>
      </c>
      <c r="AG12" s="211" t="s">
        <v>327</v>
      </c>
      <c r="AH12" s="211" t="s">
        <v>1562</v>
      </c>
      <c r="AI12" s="211" t="s">
        <v>1228</v>
      </c>
      <c r="AJ12" s="211" t="s">
        <v>1133</v>
      </c>
      <c r="AK12" s="211" t="s">
        <v>1133</v>
      </c>
      <c r="AL12" s="211"/>
      <c r="AM12" s="211" t="s">
        <v>1570</v>
      </c>
      <c r="AN12" s="212" t="s">
        <v>1251</v>
      </c>
      <c r="AO12" s="215">
        <v>1.49</v>
      </c>
      <c r="AP12" s="216">
        <f t="shared" si="4"/>
        <v>7455.96</v>
      </c>
      <c r="AQ12" s="216">
        <f t="shared" si="5"/>
        <v>57783.69</v>
      </c>
      <c r="AR12" s="217">
        <v>61023</v>
      </c>
      <c r="AS12" s="208">
        <v>46038</v>
      </c>
      <c r="AT12" s="208" t="s">
        <v>1220</v>
      </c>
      <c r="AU12" s="218"/>
      <c r="AV12" s="219">
        <f t="shared" si="6"/>
        <v>-5004</v>
      </c>
      <c r="AW12" s="116"/>
      <c r="AX12" s="116"/>
      <c r="AY12" s="208"/>
      <c r="AZ12" s="208"/>
      <c r="BA12" s="208"/>
      <c r="BB12" s="208" t="str">
        <f t="shared" si="0"/>
        <v>Grasper Global Private Limited</v>
      </c>
      <c r="BC12" s="208" t="str">
        <f t="shared" si="1"/>
        <v>印度</v>
      </c>
    </row>
    <row r="13" s="194" customFormat="1" customHeight="1" spans="1:55">
      <c r="A13" s="208">
        <v>46011</v>
      </c>
      <c r="B13" s="40" t="str">
        <f ca="1" t="shared" si="2"/>
        <v/>
      </c>
      <c r="C13" s="209" t="str">
        <f>VLOOKUP(H13,名称!A:E,4,0)</f>
        <v>二代</v>
      </c>
      <c r="D13" s="210" t="s">
        <v>1420</v>
      </c>
      <c r="E13" s="210" t="s">
        <v>1224</v>
      </c>
      <c r="F13" s="211"/>
      <c r="G13" s="211" t="s">
        <v>354</v>
      </c>
      <c r="H13" s="211" t="s">
        <v>45</v>
      </c>
      <c r="I13" s="211"/>
      <c r="J13" s="212">
        <v>27000</v>
      </c>
      <c r="K13" s="211"/>
      <c r="L13" s="211"/>
      <c r="M13" s="211">
        <v>360</v>
      </c>
      <c r="N13" s="212">
        <f t="shared" si="3"/>
        <v>75</v>
      </c>
      <c r="O13" s="208">
        <v>46036</v>
      </c>
      <c r="P13" s="208">
        <v>46036</v>
      </c>
      <c r="Q13" s="208">
        <v>46039</v>
      </c>
      <c r="R13" s="211" t="s">
        <v>1241</v>
      </c>
      <c r="S13" s="208" t="s">
        <v>1133</v>
      </c>
      <c r="T13" s="211" t="s">
        <v>1133</v>
      </c>
      <c r="U13" s="211"/>
      <c r="V13" s="211"/>
      <c r="W13" s="208"/>
      <c r="X13" s="211" t="s">
        <v>1133</v>
      </c>
      <c r="Y13" s="211" t="s">
        <v>1133</v>
      </c>
      <c r="Z13" s="213">
        <v>46014</v>
      </c>
      <c r="AA13" s="214">
        <v>46015</v>
      </c>
      <c r="AB13" s="213">
        <v>46386</v>
      </c>
      <c r="AC13" s="211" t="s">
        <v>1133</v>
      </c>
      <c r="AD13" s="211" t="s">
        <v>1133</v>
      </c>
      <c r="AE13" s="211" t="s">
        <v>327</v>
      </c>
      <c r="AF13" s="211" t="s">
        <v>1228</v>
      </c>
      <c r="AG13" s="211" t="s">
        <v>1133</v>
      </c>
      <c r="AH13" s="211" t="s">
        <v>1133</v>
      </c>
      <c r="AI13" s="211" t="s">
        <v>1228</v>
      </c>
      <c r="AJ13" s="211" t="s">
        <v>1133</v>
      </c>
      <c r="AK13" s="211" t="s">
        <v>327</v>
      </c>
      <c r="AL13" s="211"/>
      <c r="AM13" s="211" t="s">
        <v>1573</v>
      </c>
      <c r="AN13" s="212"/>
      <c r="AO13" s="215">
        <v>0.31</v>
      </c>
      <c r="AP13" s="216">
        <f t="shared" si="4"/>
        <v>8370</v>
      </c>
      <c r="AQ13" s="216">
        <f t="shared" si="5"/>
        <v>64867.5</v>
      </c>
      <c r="AR13" s="217">
        <v>61024</v>
      </c>
      <c r="AS13" s="208">
        <v>46038</v>
      </c>
      <c r="AT13" s="208" t="s">
        <v>1220</v>
      </c>
      <c r="AU13" s="218"/>
      <c r="AV13" s="219">
        <f t="shared" si="6"/>
        <v>-27000</v>
      </c>
      <c r="AW13" s="116"/>
      <c r="AX13" s="116"/>
      <c r="AY13" s="208"/>
      <c r="AZ13" s="208"/>
      <c r="BA13" s="208"/>
      <c r="BB13" s="208" t="str">
        <f t="shared" si="0"/>
        <v>Banter Toys</v>
      </c>
      <c r="BC13" s="208" t="str">
        <f t="shared" si="1"/>
        <v>美国</v>
      </c>
    </row>
    <row r="14" s="194" customFormat="1" customHeight="1" spans="1:55">
      <c r="A14" s="208">
        <v>45996</v>
      </c>
      <c r="B14" s="40" t="str">
        <f ca="1" t="shared" si="2"/>
        <v/>
      </c>
      <c r="C14" s="209" t="str">
        <f>VLOOKUP(H14,名称!A:E,4,0)</f>
        <v>二代</v>
      </c>
      <c r="D14" s="210" t="s">
        <v>1574</v>
      </c>
      <c r="E14" s="210" t="s">
        <v>1224</v>
      </c>
      <c r="F14" s="211"/>
      <c r="G14" s="211" t="s">
        <v>340</v>
      </c>
      <c r="H14" s="211" t="s">
        <v>58</v>
      </c>
      <c r="I14" s="211"/>
      <c r="J14" s="212">
        <v>3312</v>
      </c>
      <c r="K14" s="211">
        <v>7</v>
      </c>
      <c r="L14" s="211">
        <f t="shared" ref="L14:L47" si="7">J14*K14</f>
        <v>23184</v>
      </c>
      <c r="M14" s="211">
        <v>144</v>
      </c>
      <c r="N14" s="212">
        <f t="shared" si="3"/>
        <v>23</v>
      </c>
      <c r="O14" s="208">
        <v>46045</v>
      </c>
      <c r="P14" s="208">
        <v>46045</v>
      </c>
      <c r="Q14" s="208">
        <v>46045</v>
      </c>
      <c r="R14" s="211" t="s">
        <v>1241</v>
      </c>
      <c r="S14" s="208" t="s">
        <v>1133</v>
      </c>
      <c r="T14" s="211" t="s">
        <v>1133</v>
      </c>
      <c r="U14" s="211"/>
      <c r="V14" s="211" t="s">
        <v>1575</v>
      </c>
      <c r="W14" s="208"/>
      <c r="X14" s="211" t="s">
        <v>1576</v>
      </c>
      <c r="Y14" s="211" t="s">
        <v>1228</v>
      </c>
      <c r="Z14" s="211" t="s">
        <v>1249</v>
      </c>
      <c r="AA14" s="214">
        <v>46000</v>
      </c>
      <c r="AB14" s="213">
        <v>46008</v>
      </c>
      <c r="AC14" s="211" t="s">
        <v>1333</v>
      </c>
      <c r="AD14" s="211" t="s">
        <v>1228</v>
      </c>
      <c r="AE14" s="211" t="s">
        <v>327</v>
      </c>
      <c r="AF14" s="211" t="s">
        <v>1228</v>
      </c>
      <c r="AG14" s="211" t="s">
        <v>341</v>
      </c>
      <c r="AH14" s="211" t="s">
        <v>1133</v>
      </c>
      <c r="AI14" s="211" t="s">
        <v>1228</v>
      </c>
      <c r="AJ14" s="211" t="s">
        <v>1133</v>
      </c>
      <c r="AK14" s="211" t="s">
        <v>1133</v>
      </c>
      <c r="AL14" s="211"/>
      <c r="AM14" s="211" t="s">
        <v>1577</v>
      </c>
      <c r="AN14" s="212"/>
      <c r="AO14" s="215">
        <v>0.63</v>
      </c>
      <c r="AP14" s="216">
        <f t="shared" si="4"/>
        <v>2086.56</v>
      </c>
      <c r="AQ14" s="216">
        <f t="shared" si="5"/>
        <v>16170.84</v>
      </c>
      <c r="AR14" s="217">
        <v>61025</v>
      </c>
      <c r="AS14" s="208">
        <v>46048</v>
      </c>
      <c r="AT14" s="208" t="s">
        <v>1220</v>
      </c>
      <c r="AU14" s="218"/>
      <c r="AV14" s="219">
        <f t="shared" si="6"/>
        <v>-3312</v>
      </c>
      <c r="AW14" s="116"/>
      <c r="AX14" s="116"/>
      <c r="AY14" s="208"/>
      <c r="AZ14" s="208"/>
      <c r="BA14" s="208"/>
      <c r="BB14" s="208" t="str">
        <f t="shared" si="0"/>
        <v>AMAZON</v>
      </c>
      <c r="BC14" s="208" t="str">
        <f t="shared" si="1"/>
        <v>美国</v>
      </c>
    </row>
    <row r="15" s="194" customFormat="1" customHeight="1" spans="1:55">
      <c r="A15" s="208">
        <v>45996</v>
      </c>
      <c r="B15" s="40" t="str">
        <f ca="1" t="shared" si="2"/>
        <v/>
      </c>
      <c r="C15" s="209" t="str">
        <f>VLOOKUP(H15,名称!A:E,4,0)</f>
        <v>二代</v>
      </c>
      <c r="D15" s="210" t="s">
        <v>1574</v>
      </c>
      <c r="E15" s="210" t="s">
        <v>1224</v>
      </c>
      <c r="F15" s="211"/>
      <c r="G15" s="211" t="s">
        <v>340</v>
      </c>
      <c r="H15" s="211" t="s">
        <v>76</v>
      </c>
      <c r="I15" s="211"/>
      <c r="J15" s="212">
        <v>4416</v>
      </c>
      <c r="K15" s="211">
        <v>12</v>
      </c>
      <c r="L15" s="211">
        <f t="shared" si="7"/>
        <v>52992</v>
      </c>
      <c r="M15" s="211">
        <v>96</v>
      </c>
      <c r="N15" s="212">
        <f t="shared" si="3"/>
        <v>46</v>
      </c>
      <c r="O15" s="208">
        <v>46045</v>
      </c>
      <c r="P15" s="208">
        <v>46045</v>
      </c>
      <c r="Q15" s="208">
        <v>46045</v>
      </c>
      <c r="R15" s="211" t="s">
        <v>1241</v>
      </c>
      <c r="S15" s="208" t="s">
        <v>1133</v>
      </c>
      <c r="T15" s="211" t="s">
        <v>1133</v>
      </c>
      <c r="U15" s="211"/>
      <c r="V15" s="211"/>
      <c r="W15" s="208"/>
      <c r="X15" s="211" t="s">
        <v>1576</v>
      </c>
      <c r="Y15" s="211" t="s">
        <v>1228</v>
      </c>
      <c r="Z15" s="211" t="s">
        <v>1249</v>
      </c>
      <c r="AA15" s="214">
        <v>46000</v>
      </c>
      <c r="AB15" s="213">
        <v>46008</v>
      </c>
      <c r="AC15" s="211" t="s">
        <v>1333</v>
      </c>
      <c r="AD15" s="211" t="s">
        <v>1228</v>
      </c>
      <c r="AE15" s="211" t="s">
        <v>327</v>
      </c>
      <c r="AF15" s="211" t="s">
        <v>1228</v>
      </c>
      <c r="AG15" s="211" t="s">
        <v>341</v>
      </c>
      <c r="AH15" s="211" t="s">
        <v>1133</v>
      </c>
      <c r="AI15" s="211" t="s">
        <v>1228</v>
      </c>
      <c r="AJ15" s="211" t="s">
        <v>1133</v>
      </c>
      <c r="AK15" s="211" t="s">
        <v>1133</v>
      </c>
      <c r="AL15" s="211"/>
      <c r="AM15" s="211" t="s">
        <v>1577</v>
      </c>
      <c r="AN15" s="212"/>
      <c r="AO15" s="215">
        <v>1.27</v>
      </c>
      <c r="AP15" s="216">
        <f t="shared" si="4"/>
        <v>5608.32</v>
      </c>
      <c r="AQ15" s="216">
        <f t="shared" si="5"/>
        <v>43464.48</v>
      </c>
      <c r="AR15" s="217">
        <v>61025</v>
      </c>
      <c r="AS15" s="208">
        <v>46048</v>
      </c>
      <c r="AT15" s="208" t="s">
        <v>1220</v>
      </c>
      <c r="AU15" s="218"/>
      <c r="AV15" s="219">
        <f t="shared" si="6"/>
        <v>-4416</v>
      </c>
      <c r="AW15" s="116"/>
      <c r="AX15" s="116"/>
      <c r="AY15" s="208"/>
      <c r="AZ15" s="208"/>
      <c r="BA15" s="208"/>
      <c r="BB15" s="208" t="str">
        <f t="shared" si="0"/>
        <v>AMAZON</v>
      </c>
      <c r="BC15" s="208" t="str">
        <f t="shared" si="1"/>
        <v>美国</v>
      </c>
    </row>
    <row r="16" s="194" customFormat="1" customHeight="1" spans="1:55">
      <c r="A16" s="208">
        <v>45996</v>
      </c>
      <c r="B16" s="40" t="str">
        <f ca="1" t="shared" si="2"/>
        <v/>
      </c>
      <c r="C16" s="209" t="str">
        <f>VLOOKUP(H16,名称!A:E,4,0)</f>
        <v>二代</v>
      </c>
      <c r="D16" s="210" t="s">
        <v>1574</v>
      </c>
      <c r="E16" s="210" t="s">
        <v>1224</v>
      </c>
      <c r="F16" s="211"/>
      <c r="G16" s="211" t="s">
        <v>340</v>
      </c>
      <c r="H16" s="211" t="s">
        <v>77</v>
      </c>
      <c r="I16" s="211"/>
      <c r="J16" s="212">
        <v>3360</v>
      </c>
      <c r="K16" s="211">
        <v>12</v>
      </c>
      <c r="L16" s="211">
        <f t="shared" si="7"/>
        <v>40320</v>
      </c>
      <c r="M16" s="211">
        <v>96</v>
      </c>
      <c r="N16" s="212">
        <f t="shared" si="3"/>
        <v>35</v>
      </c>
      <c r="O16" s="208">
        <v>46045</v>
      </c>
      <c r="P16" s="208">
        <v>46045</v>
      </c>
      <c r="Q16" s="208">
        <v>46045</v>
      </c>
      <c r="R16" s="211" t="s">
        <v>1241</v>
      </c>
      <c r="S16" s="208" t="s">
        <v>1133</v>
      </c>
      <c r="T16" s="211" t="s">
        <v>1133</v>
      </c>
      <c r="U16" s="211"/>
      <c r="V16" s="211"/>
      <c r="W16" s="208"/>
      <c r="X16" s="211" t="s">
        <v>1576</v>
      </c>
      <c r="Y16" s="211" t="s">
        <v>1228</v>
      </c>
      <c r="Z16" s="211" t="s">
        <v>1249</v>
      </c>
      <c r="AA16" s="214">
        <v>46000</v>
      </c>
      <c r="AB16" s="213">
        <v>46008</v>
      </c>
      <c r="AC16" s="211" t="s">
        <v>1333</v>
      </c>
      <c r="AD16" s="211" t="s">
        <v>1228</v>
      </c>
      <c r="AE16" s="211" t="s">
        <v>327</v>
      </c>
      <c r="AF16" s="211" t="s">
        <v>1228</v>
      </c>
      <c r="AG16" s="211" t="s">
        <v>341</v>
      </c>
      <c r="AH16" s="211" t="s">
        <v>1133</v>
      </c>
      <c r="AI16" s="211" t="s">
        <v>1228</v>
      </c>
      <c r="AJ16" s="211" t="s">
        <v>1133</v>
      </c>
      <c r="AK16" s="211" t="s">
        <v>1133</v>
      </c>
      <c r="AL16" s="211"/>
      <c r="AM16" s="211" t="s">
        <v>1577</v>
      </c>
      <c r="AN16" s="212"/>
      <c r="AO16" s="215">
        <v>1.27</v>
      </c>
      <c r="AP16" s="216">
        <f t="shared" si="4"/>
        <v>4267.2</v>
      </c>
      <c r="AQ16" s="216">
        <f t="shared" si="5"/>
        <v>33070.8</v>
      </c>
      <c r="AR16" s="217">
        <v>61025</v>
      </c>
      <c r="AS16" s="208">
        <v>46048</v>
      </c>
      <c r="AT16" s="208" t="s">
        <v>1220</v>
      </c>
      <c r="AU16" s="218"/>
      <c r="AV16" s="219">
        <f t="shared" si="6"/>
        <v>-3360</v>
      </c>
      <c r="AW16" s="116"/>
      <c r="AX16" s="116"/>
      <c r="AY16" s="208"/>
      <c r="AZ16" s="208"/>
      <c r="BA16" s="208"/>
      <c r="BB16" s="208" t="str">
        <f t="shared" si="0"/>
        <v>AMAZON</v>
      </c>
      <c r="BC16" s="208" t="str">
        <f t="shared" si="1"/>
        <v>美国</v>
      </c>
    </row>
    <row r="17" s="194" customFormat="1" customHeight="1" spans="1:55">
      <c r="A17" s="208">
        <v>45996</v>
      </c>
      <c r="B17" s="40" t="str">
        <f ca="1" t="shared" si="2"/>
        <v/>
      </c>
      <c r="C17" s="209" t="str">
        <f>VLOOKUP(H17,名称!A:E,4,0)</f>
        <v>二代</v>
      </c>
      <c r="D17" s="210" t="s">
        <v>1574</v>
      </c>
      <c r="E17" s="210" t="s">
        <v>1224</v>
      </c>
      <c r="F17" s="211"/>
      <c r="G17" s="211" t="s">
        <v>340</v>
      </c>
      <c r="H17" s="211" t="s">
        <v>78</v>
      </c>
      <c r="I17" s="211"/>
      <c r="J17" s="212">
        <v>3360</v>
      </c>
      <c r="K17" s="211">
        <v>12</v>
      </c>
      <c r="L17" s="211">
        <f t="shared" si="7"/>
        <v>40320</v>
      </c>
      <c r="M17" s="211">
        <v>96</v>
      </c>
      <c r="N17" s="212">
        <f t="shared" si="3"/>
        <v>35</v>
      </c>
      <c r="O17" s="208">
        <v>46045</v>
      </c>
      <c r="P17" s="208">
        <v>46045</v>
      </c>
      <c r="Q17" s="208">
        <v>46045</v>
      </c>
      <c r="R17" s="211" t="s">
        <v>1241</v>
      </c>
      <c r="S17" s="208" t="s">
        <v>1133</v>
      </c>
      <c r="T17" s="211" t="s">
        <v>1133</v>
      </c>
      <c r="U17" s="211"/>
      <c r="V17" s="211"/>
      <c r="W17" s="208"/>
      <c r="X17" s="211" t="s">
        <v>1576</v>
      </c>
      <c r="Y17" s="211" t="s">
        <v>1228</v>
      </c>
      <c r="Z17" s="211" t="s">
        <v>1249</v>
      </c>
      <c r="AA17" s="214">
        <v>46000</v>
      </c>
      <c r="AB17" s="213">
        <v>46008</v>
      </c>
      <c r="AC17" s="211" t="s">
        <v>1333</v>
      </c>
      <c r="AD17" s="211" t="s">
        <v>1228</v>
      </c>
      <c r="AE17" s="211" t="s">
        <v>327</v>
      </c>
      <c r="AF17" s="211" t="s">
        <v>1228</v>
      </c>
      <c r="AG17" s="211" t="s">
        <v>341</v>
      </c>
      <c r="AH17" s="211" t="s">
        <v>1133</v>
      </c>
      <c r="AI17" s="211" t="s">
        <v>1228</v>
      </c>
      <c r="AJ17" s="211" t="s">
        <v>1133</v>
      </c>
      <c r="AK17" s="211" t="s">
        <v>1133</v>
      </c>
      <c r="AL17" s="211"/>
      <c r="AM17" s="211" t="s">
        <v>1577</v>
      </c>
      <c r="AN17" s="212"/>
      <c r="AO17" s="215">
        <v>1.27</v>
      </c>
      <c r="AP17" s="216">
        <f t="shared" si="4"/>
        <v>4267.2</v>
      </c>
      <c r="AQ17" s="216">
        <f t="shared" si="5"/>
        <v>33070.8</v>
      </c>
      <c r="AR17" s="217">
        <v>61025</v>
      </c>
      <c r="AS17" s="208">
        <v>46048</v>
      </c>
      <c r="AT17" s="208" t="s">
        <v>1220</v>
      </c>
      <c r="AU17" s="218"/>
      <c r="AV17" s="219">
        <f t="shared" si="6"/>
        <v>-3360</v>
      </c>
      <c r="AW17" s="116"/>
      <c r="AX17" s="116"/>
      <c r="AY17" s="208"/>
      <c r="AZ17" s="208"/>
      <c r="BA17" s="208"/>
      <c r="BB17" s="208" t="str">
        <f t="shared" si="0"/>
        <v>AMAZON</v>
      </c>
      <c r="BC17" s="208" t="str">
        <f t="shared" si="1"/>
        <v>美国</v>
      </c>
    </row>
    <row r="18" s="194" customFormat="1" customHeight="1" spans="1:55">
      <c r="A18" s="208">
        <v>45996</v>
      </c>
      <c r="B18" s="40" t="str">
        <f ca="1" t="shared" si="2"/>
        <v/>
      </c>
      <c r="C18" s="209" t="str">
        <f>VLOOKUP(H18,名称!A:E,4,0)</f>
        <v>二代</v>
      </c>
      <c r="D18" s="210" t="s">
        <v>1574</v>
      </c>
      <c r="E18" s="210" t="s">
        <v>1224</v>
      </c>
      <c r="F18" s="211"/>
      <c r="G18" s="211" t="s">
        <v>340</v>
      </c>
      <c r="H18" s="211" t="s">
        <v>81</v>
      </c>
      <c r="I18" s="211"/>
      <c r="J18" s="212">
        <v>4512</v>
      </c>
      <c r="K18" s="211">
        <v>12</v>
      </c>
      <c r="L18" s="211">
        <f t="shared" si="7"/>
        <v>54144</v>
      </c>
      <c r="M18" s="211">
        <v>96</v>
      </c>
      <c r="N18" s="212">
        <f t="shared" si="3"/>
        <v>47</v>
      </c>
      <c r="O18" s="208">
        <v>46045</v>
      </c>
      <c r="P18" s="208">
        <v>46045</v>
      </c>
      <c r="Q18" s="208">
        <v>46045</v>
      </c>
      <c r="R18" s="211" t="s">
        <v>1241</v>
      </c>
      <c r="S18" s="208" t="s">
        <v>1133</v>
      </c>
      <c r="T18" s="211" t="s">
        <v>1133</v>
      </c>
      <c r="U18" s="211"/>
      <c r="V18" s="211"/>
      <c r="W18" s="208"/>
      <c r="X18" s="211" t="s">
        <v>1576</v>
      </c>
      <c r="Y18" s="211" t="s">
        <v>1228</v>
      </c>
      <c r="Z18" s="211" t="s">
        <v>1249</v>
      </c>
      <c r="AA18" s="214">
        <v>46000</v>
      </c>
      <c r="AB18" s="213">
        <v>46008</v>
      </c>
      <c r="AC18" s="211" t="s">
        <v>1333</v>
      </c>
      <c r="AD18" s="211" t="s">
        <v>1228</v>
      </c>
      <c r="AE18" s="211" t="s">
        <v>327</v>
      </c>
      <c r="AF18" s="211" t="s">
        <v>1228</v>
      </c>
      <c r="AG18" s="211" t="s">
        <v>341</v>
      </c>
      <c r="AH18" s="211" t="s">
        <v>1133</v>
      </c>
      <c r="AI18" s="211" t="s">
        <v>1228</v>
      </c>
      <c r="AJ18" s="211" t="s">
        <v>1133</v>
      </c>
      <c r="AK18" s="211" t="s">
        <v>1133</v>
      </c>
      <c r="AL18" s="211"/>
      <c r="AM18" s="211" t="s">
        <v>1577</v>
      </c>
      <c r="AN18" s="212"/>
      <c r="AO18" s="215">
        <v>1.27</v>
      </c>
      <c r="AP18" s="216">
        <f t="shared" si="4"/>
        <v>5730.24</v>
      </c>
      <c r="AQ18" s="216">
        <f t="shared" si="5"/>
        <v>44409.36</v>
      </c>
      <c r="AR18" s="217">
        <v>61025</v>
      </c>
      <c r="AS18" s="208">
        <v>46048</v>
      </c>
      <c r="AT18" s="208" t="s">
        <v>1220</v>
      </c>
      <c r="AU18" s="218"/>
      <c r="AV18" s="219">
        <f t="shared" si="6"/>
        <v>-4512</v>
      </c>
      <c r="AW18" s="116"/>
      <c r="AX18" s="116"/>
      <c r="AY18" s="208"/>
      <c r="AZ18" s="208"/>
      <c r="BA18" s="208"/>
      <c r="BB18" s="208" t="str">
        <f t="shared" si="0"/>
        <v>AMAZON</v>
      </c>
      <c r="BC18" s="208" t="str">
        <f t="shared" si="1"/>
        <v>美国</v>
      </c>
    </row>
    <row r="19" s="194" customFormat="1" customHeight="1" spans="1:55">
      <c r="A19" s="208">
        <v>45995</v>
      </c>
      <c r="B19" s="40" t="str">
        <f ca="1" t="shared" si="2"/>
        <v/>
      </c>
      <c r="C19" s="209" t="str">
        <f>VLOOKUP(H19,名称!A:E,4,0)</f>
        <v>二代</v>
      </c>
      <c r="D19" s="210" t="s">
        <v>1257</v>
      </c>
      <c r="E19" s="210" t="s">
        <v>1258</v>
      </c>
      <c r="F19" s="211" t="s">
        <v>338</v>
      </c>
      <c r="G19" s="211" t="s">
        <v>339</v>
      </c>
      <c r="H19" s="211" t="s">
        <v>54</v>
      </c>
      <c r="I19" s="211"/>
      <c r="J19" s="212">
        <v>6003</v>
      </c>
      <c r="K19" s="211">
        <v>0</v>
      </c>
      <c r="L19" s="211">
        <f t="shared" si="7"/>
        <v>0</v>
      </c>
      <c r="M19" s="211">
        <v>9</v>
      </c>
      <c r="N19" s="212">
        <f t="shared" si="3"/>
        <v>667</v>
      </c>
      <c r="O19" s="208">
        <v>46045</v>
      </c>
      <c r="P19" s="208">
        <v>46045</v>
      </c>
      <c r="Q19" s="208">
        <v>46045</v>
      </c>
      <c r="R19" s="211" t="s">
        <v>1241</v>
      </c>
      <c r="S19" s="208">
        <v>46048</v>
      </c>
      <c r="T19" s="211" t="s">
        <v>1241</v>
      </c>
      <c r="U19" s="211"/>
      <c r="V19" s="211" t="s">
        <v>1578</v>
      </c>
      <c r="W19" s="208"/>
      <c r="X19" s="211" t="s">
        <v>1248</v>
      </c>
      <c r="Y19" s="211"/>
      <c r="Z19" s="211" t="s">
        <v>1249</v>
      </c>
      <c r="AA19" s="214">
        <v>46001</v>
      </c>
      <c r="AB19" s="213">
        <v>46002</v>
      </c>
      <c r="AC19" s="211" t="s">
        <v>1133</v>
      </c>
      <c r="AD19" s="211" t="s">
        <v>1133</v>
      </c>
      <c r="AE19" s="211" t="s">
        <v>334</v>
      </c>
      <c r="AF19" s="211" t="s">
        <v>1228</v>
      </c>
      <c r="AG19" s="211" t="s">
        <v>334</v>
      </c>
      <c r="AH19" s="211" t="s">
        <v>1133</v>
      </c>
      <c r="AI19" s="211" t="s">
        <v>1228</v>
      </c>
      <c r="AJ19" s="211" t="s">
        <v>1133</v>
      </c>
      <c r="AK19" s="211" t="s">
        <v>327</v>
      </c>
      <c r="AL19" s="211"/>
      <c r="AM19" s="211" t="s">
        <v>1579</v>
      </c>
      <c r="AN19" s="212" t="s">
        <v>1580</v>
      </c>
      <c r="AO19" s="215">
        <v>0.6</v>
      </c>
      <c r="AP19" s="216">
        <f t="shared" si="4"/>
        <v>3601.8</v>
      </c>
      <c r="AQ19" s="216">
        <f t="shared" si="5"/>
        <v>27913.95</v>
      </c>
      <c r="AR19" s="217">
        <v>61026</v>
      </c>
      <c r="AS19" s="208">
        <v>46052</v>
      </c>
      <c r="AT19" s="208" t="s">
        <v>1310</v>
      </c>
      <c r="AU19" s="218"/>
      <c r="AV19" s="219">
        <f t="shared" si="6"/>
        <v>-6003</v>
      </c>
      <c r="AW19" s="116"/>
      <c r="AX19" s="116"/>
      <c r="AY19" s="208"/>
      <c r="AZ19" s="208"/>
      <c r="BA19" s="208"/>
      <c r="BB19" s="208" t="str">
        <f t="shared" si="0"/>
        <v>Character Options</v>
      </c>
      <c r="BC19" s="208" t="str">
        <f t="shared" si="1"/>
        <v>英国</v>
      </c>
    </row>
    <row r="20" s="194" customFormat="1" customHeight="1" spans="1:55">
      <c r="A20" s="208">
        <v>45995</v>
      </c>
      <c r="B20" s="40" t="str">
        <f ca="1" t="shared" si="2"/>
        <v/>
      </c>
      <c r="C20" s="209" t="str">
        <f>VLOOKUP(H20,名称!A:E,4,0)</f>
        <v>二代</v>
      </c>
      <c r="D20" s="210" t="s">
        <v>1257</v>
      </c>
      <c r="E20" s="210" t="s">
        <v>1258</v>
      </c>
      <c r="F20" s="211" t="s">
        <v>338</v>
      </c>
      <c r="G20" s="211" t="s">
        <v>339</v>
      </c>
      <c r="H20" s="211" t="s">
        <v>35</v>
      </c>
      <c r="I20" s="211"/>
      <c r="J20" s="212">
        <v>18000</v>
      </c>
      <c r="K20" s="211">
        <v>7</v>
      </c>
      <c r="L20" s="211">
        <f t="shared" si="7"/>
        <v>126000</v>
      </c>
      <c r="M20" s="211">
        <v>24</v>
      </c>
      <c r="N20" s="212">
        <f t="shared" si="3"/>
        <v>750</v>
      </c>
      <c r="O20" s="208">
        <v>46045</v>
      </c>
      <c r="P20" s="208">
        <v>46045</v>
      </c>
      <c r="Q20" s="208">
        <v>46045</v>
      </c>
      <c r="R20" s="211" t="s">
        <v>1425</v>
      </c>
      <c r="S20" s="208">
        <v>46048</v>
      </c>
      <c r="T20" s="211" t="s">
        <v>1241</v>
      </c>
      <c r="U20" s="211"/>
      <c r="V20" s="211"/>
      <c r="W20" s="208"/>
      <c r="X20" s="211" t="s">
        <v>1133</v>
      </c>
      <c r="Y20" s="211" t="s">
        <v>1133</v>
      </c>
      <c r="Z20" s="211" t="s">
        <v>1249</v>
      </c>
      <c r="AA20" s="214">
        <v>46001</v>
      </c>
      <c r="AB20" s="213">
        <v>46002</v>
      </c>
      <c r="AC20" s="211" t="s">
        <v>1581</v>
      </c>
      <c r="AD20" s="211" t="s">
        <v>1228</v>
      </c>
      <c r="AE20" s="211" t="s">
        <v>334</v>
      </c>
      <c r="AF20" s="211" t="s">
        <v>1228</v>
      </c>
      <c r="AG20" s="211" t="s">
        <v>334</v>
      </c>
      <c r="AH20" s="211" t="s">
        <v>1361</v>
      </c>
      <c r="AI20" s="211" t="s">
        <v>1228</v>
      </c>
      <c r="AJ20" s="211" t="s">
        <v>1133</v>
      </c>
      <c r="AK20" s="211" t="s">
        <v>1133</v>
      </c>
      <c r="AL20" s="211"/>
      <c r="AM20" s="211" t="s">
        <v>1582</v>
      </c>
      <c r="AN20" s="212"/>
      <c r="AO20" s="215">
        <v>0.85</v>
      </c>
      <c r="AP20" s="216">
        <f t="shared" si="4"/>
        <v>15300</v>
      </c>
      <c r="AQ20" s="216">
        <f t="shared" si="5"/>
        <v>118575</v>
      </c>
      <c r="AR20" s="217">
        <v>61026</v>
      </c>
      <c r="AS20" s="208">
        <v>46052</v>
      </c>
      <c r="AT20" s="208" t="s">
        <v>1220</v>
      </c>
      <c r="AU20" s="218"/>
      <c r="AV20" s="219">
        <f t="shared" si="6"/>
        <v>-18000</v>
      </c>
      <c r="AW20" s="116"/>
      <c r="AX20" s="116" t="s">
        <v>1280</v>
      </c>
      <c r="AY20" s="208"/>
      <c r="AZ20" s="208"/>
      <c r="BA20" s="208"/>
      <c r="BB20" s="208" t="str">
        <f t="shared" si="0"/>
        <v>Character Options</v>
      </c>
      <c r="BC20" s="208" t="str">
        <f t="shared" si="1"/>
        <v>英国</v>
      </c>
    </row>
    <row r="21" s="194" customFormat="1" customHeight="1" spans="1:55">
      <c r="A21" s="208">
        <v>45995</v>
      </c>
      <c r="B21" s="40" t="str">
        <f ca="1" t="shared" si="2"/>
        <v/>
      </c>
      <c r="C21" s="209" t="str">
        <f>VLOOKUP(H21,名称!A:E,4,0)</f>
        <v>二代</v>
      </c>
      <c r="D21" s="210" t="s">
        <v>1257</v>
      </c>
      <c r="E21" s="210" t="s">
        <v>1258</v>
      </c>
      <c r="F21" s="211" t="s">
        <v>338</v>
      </c>
      <c r="G21" s="211" t="s">
        <v>339</v>
      </c>
      <c r="H21" s="211" t="s">
        <v>37</v>
      </c>
      <c r="I21" s="211"/>
      <c r="J21" s="212">
        <v>18000</v>
      </c>
      <c r="K21" s="211">
        <v>12</v>
      </c>
      <c r="L21" s="211">
        <f t="shared" si="7"/>
        <v>216000</v>
      </c>
      <c r="M21" s="211">
        <v>6</v>
      </c>
      <c r="N21" s="212">
        <f t="shared" si="3"/>
        <v>3000</v>
      </c>
      <c r="O21" s="208">
        <v>46045</v>
      </c>
      <c r="P21" s="208">
        <v>46045</v>
      </c>
      <c r="Q21" s="208">
        <v>46045</v>
      </c>
      <c r="R21" s="211" t="s">
        <v>1241</v>
      </c>
      <c r="S21" s="208">
        <v>46048</v>
      </c>
      <c r="T21" s="211" t="s">
        <v>1241</v>
      </c>
      <c r="U21" s="211"/>
      <c r="V21" s="211"/>
      <c r="W21" s="208"/>
      <c r="X21" s="211" t="s">
        <v>1133</v>
      </c>
      <c r="Y21" s="211" t="s">
        <v>1133</v>
      </c>
      <c r="Z21" s="211" t="s">
        <v>1249</v>
      </c>
      <c r="AA21" s="214">
        <v>46001</v>
      </c>
      <c r="AB21" s="213">
        <v>46002</v>
      </c>
      <c r="AC21" s="211" t="s">
        <v>1581</v>
      </c>
      <c r="AD21" s="211" t="s">
        <v>1228</v>
      </c>
      <c r="AE21" s="211" t="s">
        <v>334</v>
      </c>
      <c r="AF21" s="211" t="s">
        <v>1228</v>
      </c>
      <c r="AG21" s="211" t="s">
        <v>334</v>
      </c>
      <c r="AH21" s="211" t="s">
        <v>1361</v>
      </c>
      <c r="AI21" s="211" t="s">
        <v>1228</v>
      </c>
      <c r="AJ21" s="211" t="s">
        <v>1583</v>
      </c>
      <c r="AK21" s="211" t="s">
        <v>1133</v>
      </c>
      <c r="AL21" s="211"/>
      <c r="AM21" s="211" t="s">
        <v>1584</v>
      </c>
      <c r="AN21" s="212"/>
      <c r="AO21" s="215">
        <v>2.02</v>
      </c>
      <c r="AP21" s="216">
        <f t="shared" si="4"/>
        <v>36360</v>
      </c>
      <c r="AQ21" s="216">
        <f t="shared" si="5"/>
        <v>281790</v>
      </c>
      <c r="AR21" s="217">
        <v>61026</v>
      </c>
      <c r="AS21" s="208">
        <v>46052</v>
      </c>
      <c r="AT21" s="208" t="s">
        <v>1220</v>
      </c>
      <c r="AU21" s="218"/>
      <c r="AV21" s="219">
        <f t="shared" si="6"/>
        <v>-18000</v>
      </c>
      <c r="AW21" s="116"/>
      <c r="AX21" s="116"/>
      <c r="AY21" s="208"/>
      <c r="AZ21" s="208"/>
      <c r="BA21" s="208"/>
      <c r="BB21" s="208" t="str">
        <f t="shared" si="0"/>
        <v>Character Options</v>
      </c>
      <c r="BC21" s="208" t="str">
        <f t="shared" si="1"/>
        <v>英国</v>
      </c>
    </row>
    <row r="22" s="194" customFormat="1" customHeight="1" spans="1:55">
      <c r="A22" s="208">
        <v>45995</v>
      </c>
      <c r="B22" s="40" t="str">
        <f ca="1" t="shared" si="2"/>
        <v/>
      </c>
      <c r="C22" s="209" t="str">
        <f>VLOOKUP(H22,名称!A:E,4,0)</f>
        <v>二代</v>
      </c>
      <c r="D22" s="210" t="s">
        <v>1257</v>
      </c>
      <c r="E22" s="210" t="s">
        <v>1258</v>
      </c>
      <c r="F22" s="211" t="s">
        <v>338</v>
      </c>
      <c r="G22" s="211" t="s">
        <v>339</v>
      </c>
      <c r="H22" s="211" t="s">
        <v>38</v>
      </c>
      <c r="I22" s="211"/>
      <c r="J22" s="212">
        <v>5000</v>
      </c>
      <c r="K22" s="211">
        <v>32</v>
      </c>
      <c r="L22" s="211">
        <f t="shared" si="7"/>
        <v>160000</v>
      </c>
      <c r="M22" s="211">
        <v>4</v>
      </c>
      <c r="N22" s="212">
        <f t="shared" si="3"/>
        <v>1250</v>
      </c>
      <c r="O22" s="208">
        <v>46045</v>
      </c>
      <c r="P22" s="208">
        <v>46045</v>
      </c>
      <c r="Q22" s="208">
        <v>46045</v>
      </c>
      <c r="R22" s="211" t="s">
        <v>1241</v>
      </c>
      <c r="S22" s="208">
        <v>46048</v>
      </c>
      <c r="T22" s="211" t="s">
        <v>1241</v>
      </c>
      <c r="U22" s="211"/>
      <c r="V22" s="211"/>
      <c r="W22" s="208"/>
      <c r="X22" s="211" t="s">
        <v>1133</v>
      </c>
      <c r="Y22" s="211" t="s">
        <v>1133</v>
      </c>
      <c r="Z22" s="211" t="s">
        <v>1249</v>
      </c>
      <c r="AA22" s="214">
        <v>46001</v>
      </c>
      <c r="AB22" s="213">
        <v>46002</v>
      </c>
      <c r="AC22" s="211" t="s">
        <v>1133</v>
      </c>
      <c r="AD22" s="211" t="s">
        <v>1133</v>
      </c>
      <c r="AE22" s="211" t="s">
        <v>334</v>
      </c>
      <c r="AF22" s="211" t="s">
        <v>1228</v>
      </c>
      <c r="AG22" s="211" t="s">
        <v>334</v>
      </c>
      <c r="AH22" s="211" t="s">
        <v>1361</v>
      </c>
      <c r="AI22" s="211" t="s">
        <v>1228</v>
      </c>
      <c r="AJ22" s="211" t="s">
        <v>1133</v>
      </c>
      <c r="AK22" s="211" t="s">
        <v>1133</v>
      </c>
      <c r="AL22" s="211"/>
      <c r="AM22" s="211" t="s">
        <v>1585</v>
      </c>
      <c r="AN22" s="212"/>
      <c r="AO22" s="215">
        <v>3.09</v>
      </c>
      <c r="AP22" s="216">
        <f t="shared" si="4"/>
        <v>15450</v>
      </c>
      <c r="AQ22" s="216">
        <f t="shared" si="5"/>
        <v>119737.5</v>
      </c>
      <c r="AR22" s="217">
        <v>61026</v>
      </c>
      <c r="AS22" s="208">
        <v>46052</v>
      </c>
      <c r="AT22" s="208" t="s">
        <v>1220</v>
      </c>
      <c r="AU22" s="218"/>
      <c r="AV22" s="219">
        <f t="shared" si="6"/>
        <v>-5000</v>
      </c>
      <c r="AW22" s="116" t="s">
        <v>1228</v>
      </c>
      <c r="AX22" s="116" t="s">
        <v>1280</v>
      </c>
      <c r="AY22" s="208"/>
      <c r="AZ22" s="208"/>
      <c r="BA22" s="208"/>
      <c r="BB22" s="208" t="str">
        <f t="shared" si="0"/>
        <v>Character Options</v>
      </c>
      <c r="BC22" s="208" t="str">
        <f t="shared" si="1"/>
        <v>英国</v>
      </c>
    </row>
    <row r="23" s="194" customFormat="1" customHeight="1" spans="1:55">
      <c r="A23" s="208">
        <v>45995</v>
      </c>
      <c r="B23" s="40" t="str">
        <f ca="1" t="shared" si="2"/>
        <v/>
      </c>
      <c r="C23" s="209" t="str">
        <f>VLOOKUP(H23,名称!A:E,4,0)</f>
        <v>二代</v>
      </c>
      <c r="D23" s="210" t="s">
        <v>1257</v>
      </c>
      <c r="E23" s="210" t="s">
        <v>1258</v>
      </c>
      <c r="F23" s="211" t="s">
        <v>338</v>
      </c>
      <c r="G23" s="211" t="s">
        <v>339</v>
      </c>
      <c r="H23" s="211" t="s">
        <v>80</v>
      </c>
      <c r="I23" s="211"/>
      <c r="J23" s="212">
        <v>10002</v>
      </c>
      <c r="K23" s="211">
        <v>12</v>
      </c>
      <c r="L23" s="211">
        <f t="shared" si="7"/>
        <v>120024</v>
      </c>
      <c r="M23" s="211">
        <v>6</v>
      </c>
      <c r="N23" s="212">
        <f t="shared" si="3"/>
        <v>1667</v>
      </c>
      <c r="O23" s="208">
        <v>46045</v>
      </c>
      <c r="P23" s="208">
        <v>46045</v>
      </c>
      <c r="Q23" s="208">
        <v>46045</v>
      </c>
      <c r="R23" s="211" t="s">
        <v>1241</v>
      </c>
      <c r="S23" s="208">
        <v>46048</v>
      </c>
      <c r="T23" s="211" t="s">
        <v>1241</v>
      </c>
      <c r="U23" s="211"/>
      <c r="V23" s="211"/>
      <c r="W23" s="208"/>
      <c r="X23" s="211" t="s">
        <v>1133</v>
      </c>
      <c r="Y23" s="211" t="s">
        <v>1133</v>
      </c>
      <c r="Z23" s="211" t="s">
        <v>1249</v>
      </c>
      <c r="AA23" s="214">
        <v>46001</v>
      </c>
      <c r="AB23" s="213">
        <v>46002</v>
      </c>
      <c r="AC23" s="211" t="s">
        <v>1302</v>
      </c>
      <c r="AD23" s="211" t="s">
        <v>1228</v>
      </c>
      <c r="AE23" s="211" t="s">
        <v>334</v>
      </c>
      <c r="AF23" s="211" t="s">
        <v>1228</v>
      </c>
      <c r="AG23" s="211" t="s">
        <v>1586</v>
      </c>
      <c r="AH23" s="211" t="s">
        <v>1133</v>
      </c>
      <c r="AI23" s="211" t="s">
        <v>1228</v>
      </c>
      <c r="AJ23" s="211" t="s">
        <v>1133</v>
      </c>
      <c r="AK23" s="211" t="s">
        <v>1133</v>
      </c>
      <c r="AL23" s="211"/>
      <c r="AM23" s="211" t="s">
        <v>1587</v>
      </c>
      <c r="AN23" s="212"/>
      <c r="AO23" s="215">
        <v>1.52</v>
      </c>
      <c r="AP23" s="216">
        <f t="shared" si="4"/>
        <v>15203.04</v>
      </c>
      <c r="AQ23" s="216">
        <f t="shared" si="5"/>
        <v>117823.56</v>
      </c>
      <c r="AR23" s="217">
        <v>61026</v>
      </c>
      <c r="AS23" s="208">
        <v>46052</v>
      </c>
      <c r="AT23" s="208" t="s">
        <v>1220</v>
      </c>
      <c r="AU23" s="218"/>
      <c r="AV23" s="219">
        <f t="shared" si="6"/>
        <v>-10002</v>
      </c>
      <c r="AW23" s="116"/>
      <c r="AX23" s="116"/>
      <c r="AY23" s="208"/>
      <c r="AZ23" s="208"/>
      <c r="BA23" s="208"/>
      <c r="BB23" s="208" t="str">
        <f t="shared" si="0"/>
        <v>Character Options</v>
      </c>
      <c r="BC23" s="208" t="str">
        <f t="shared" si="1"/>
        <v>英国</v>
      </c>
    </row>
    <row r="24" s="194" customFormat="1" customHeight="1" spans="1:55">
      <c r="A24" s="208">
        <v>45995</v>
      </c>
      <c r="B24" s="40" t="str">
        <f ca="1" t="shared" si="2"/>
        <v/>
      </c>
      <c r="C24" s="209" t="str">
        <f>VLOOKUP(H24,名称!A:E,4,0)</f>
        <v>二代</v>
      </c>
      <c r="D24" s="210" t="s">
        <v>1257</v>
      </c>
      <c r="E24" s="210" t="s">
        <v>1258</v>
      </c>
      <c r="F24" s="211" t="s">
        <v>338</v>
      </c>
      <c r="G24" s="211" t="s">
        <v>339</v>
      </c>
      <c r="H24" s="211" t="s">
        <v>82</v>
      </c>
      <c r="I24" s="211"/>
      <c r="J24" s="212">
        <v>9000</v>
      </c>
      <c r="K24" s="211">
        <v>18</v>
      </c>
      <c r="L24" s="211">
        <f t="shared" si="7"/>
        <v>162000</v>
      </c>
      <c r="M24" s="211">
        <v>6</v>
      </c>
      <c r="N24" s="212">
        <f t="shared" si="3"/>
        <v>1500</v>
      </c>
      <c r="O24" s="208">
        <v>46045</v>
      </c>
      <c r="P24" s="208">
        <v>46045</v>
      </c>
      <c r="Q24" s="208">
        <v>46045</v>
      </c>
      <c r="R24" s="211" t="s">
        <v>1241</v>
      </c>
      <c r="S24" s="208">
        <v>46048</v>
      </c>
      <c r="T24" s="211" t="s">
        <v>1241</v>
      </c>
      <c r="U24" s="211"/>
      <c r="V24" s="211"/>
      <c r="W24" s="208"/>
      <c r="X24" s="211" t="s">
        <v>1133</v>
      </c>
      <c r="Y24" s="211" t="s">
        <v>1133</v>
      </c>
      <c r="Z24" s="211" t="s">
        <v>1249</v>
      </c>
      <c r="AA24" s="214">
        <v>46001</v>
      </c>
      <c r="AB24" s="213">
        <v>46002</v>
      </c>
      <c r="AC24" s="211" t="s">
        <v>1302</v>
      </c>
      <c r="AD24" s="211" t="s">
        <v>1228</v>
      </c>
      <c r="AE24" s="211" t="s">
        <v>334</v>
      </c>
      <c r="AF24" s="211" t="s">
        <v>1228</v>
      </c>
      <c r="AG24" s="211" t="s">
        <v>1586</v>
      </c>
      <c r="AH24" s="211" t="s">
        <v>1133</v>
      </c>
      <c r="AI24" s="211" t="s">
        <v>1228</v>
      </c>
      <c r="AJ24" s="211" t="s">
        <v>1133</v>
      </c>
      <c r="AK24" s="211" t="s">
        <v>1133</v>
      </c>
      <c r="AL24" s="211"/>
      <c r="AM24" s="211" t="s">
        <v>1588</v>
      </c>
      <c r="AN24" s="212"/>
      <c r="AO24" s="215">
        <v>1.49</v>
      </c>
      <c r="AP24" s="216">
        <f t="shared" si="4"/>
        <v>13410</v>
      </c>
      <c r="AQ24" s="216">
        <f t="shared" si="5"/>
        <v>103927.5</v>
      </c>
      <c r="AR24" s="217">
        <v>61026</v>
      </c>
      <c r="AS24" s="208">
        <v>46052</v>
      </c>
      <c r="AT24" s="208" t="s">
        <v>1220</v>
      </c>
      <c r="AU24" s="218"/>
      <c r="AV24" s="219">
        <f t="shared" si="6"/>
        <v>-9000</v>
      </c>
      <c r="AW24" s="116"/>
      <c r="AX24" s="116"/>
      <c r="AY24" s="208"/>
      <c r="AZ24" s="208"/>
      <c r="BA24" s="208"/>
      <c r="BB24" s="208" t="str">
        <f t="shared" si="0"/>
        <v>Character Options</v>
      </c>
      <c r="BC24" s="208" t="str">
        <f t="shared" si="1"/>
        <v>英国</v>
      </c>
    </row>
    <row r="25" s="194" customFormat="1" customHeight="1" spans="1:55">
      <c r="A25" s="208">
        <v>45992</v>
      </c>
      <c r="B25" s="40" t="str">
        <f ca="1" t="shared" si="2"/>
        <v/>
      </c>
      <c r="C25" s="209" t="str">
        <f>VLOOKUP(H25,名称!A:E,4,0)</f>
        <v>二代</v>
      </c>
      <c r="D25" s="210" t="s">
        <v>1589</v>
      </c>
      <c r="E25" s="210" t="s">
        <v>1590</v>
      </c>
      <c r="F25" s="211"/>
      <c r="G25" s="211" t="s">
        <v>337</v>
      </c>
      <c r="H25" s="211" t="s">
        <v>40</v>
      </c>
      <c r="I25" s="211"/>
      <c r="J25" s="212">
        <v>960</v>
      </c>
      <c r="K25" s="211">
        <v>7</v>
      </c>
      <c r="L25" s="211">
        <f t="shared" si="7"/>
        <v>6720</v>
      </c>
      <c r="M25" s="211">
        <v>12</v>
      </c>
      <c r="N25" s="212">
        <f t="shared" si="3"/>
        <v>80</v>
      </c>
      <c r="O25" s="208">
        <v>46044</v>
      </c>
      <c r="P25" s="208">
        <v>46044</v>
      </c>
      <c r="Q25" s="208">
        <v>46044</v>
      </c>
      <c r="R25" s="211" t="s">
        <v>1241</v>
      </c>
      <c r="S25" s="208" t="s">
        <v>1133</v>
      </c>
      <c r="T25" s="211" t="s">
        <v>1133</v>
      </c>
      <c r="U25" s="211"/>
      <c r="V25" s="211" t="s">
        <v>1591</v>
      </c>
      <c r="W25" s="208"/>
      <c r="X25" s="211" t="s">
        <v>1133</v>
      </c>
      <c r="Y25" s="211" t="s">
        <v>1133</v>
      </c>
      <c r="Z25" s="211" t="s">
        <v>1249</v>
      </c>
      <c r="AA25" s="214">
        <v>46000</v>
      </c>
      <c r="AB25" s="213">
        <v>46007</v>
      </c>
      <c r="AC25" s="211" t="s">
        <v>1560</v>
      </c>
      <c r="AD25" s="211" t="s">
        <v>1228</v>
      </c>
      <c r="AE25" s="211" t="s">
        <v>327</v>
      </c>
      <c r="AF25" s="211" t="s">
        <v>1228</v>
      </c>
      <c r="AG25" s="211" t="s">
        <v>327</v>
      </c>
      <c r="AH25" s="211" t="s">
        <v>1562</v>
      </c>
      <c r="AI25" s="211" t="s">
        <v>1228</v>
      </c>
      <c r="AJ25" s="211" t="s">
        <v>1133</v>
      </c>
      <c r="AK25" s="211" t="s">
        <v>1133</v>
      </c>
      <c r="AL25" s="211"/>
      <c r="AM25" s="211" t="s">
        <v>1592</v>
      </c>
      <c r="AN25" s="212"/>
      <c r="AO25" s="215">
        <v>0.79</v>
      </c>
      <c r="AP25" s="216">
        <f t="shared" si="4"/>
        <v>758.4</v>
      </c>
      <c r="AQ25" s="216">
        <f t="shared" si="5"/>
        <v>5877.6</v>
      </c>
      <c r="AR25" s="217">
        <v>61027</v>
      </c>
      <c r="AS25" s="208">
        <v>46052</v>
      </c>
      <c r="AT25" s="208" t="s">
        <v>1220</v>
      </c>
      <c r="AU25" s="218"/>
      <c r="AV25" s="219">
        <f t="shared" si="6"/>
        <v>-960</v>
      </c>
      <c r="AW25" s="116"/>
      <c r="AX25" s="116"/>
      <c r="AY25" s="208"/>
      <c r="AZ25" s="208"/>
      <c r="BA25" s="208"/>
      <c r="BB25" s="208" t="str">
        <f t="shared" si="0"/>
        <v>Blue Strawberry</v>
      </c>
      <c r="BC25" s="208" t="str">
        <f t="shared" si="1"/>
        <v>蒙古</v>
      </c>
    </row>
    <row r="26" s="194" customFormat="1" customHeight="1" spans="1:55">
      <c r="A26" s="208">
        <v>45992</v>
      </c>
      <c r="B26" s="40" t="str">
        <f ca="1" t="shared" si="2"/>
        <v/>
      </c>
      <c r="C26" s="209" t="str">
        <f>VLOOKUP(H26,名称!A:E,4,0)</f>
        <v>二代</v>
      </c>
      <c r="D26" s="210" t="s">
        <v>1589</v>
      </c>
      <c r="E26" s="210" t="s">
        <v>1590</v>
      </c>
      <c r="F26" s="211"/>
      <c r="G26" s="211" t="s">
        <v>337</v>
      </c>
      <c r="H26" s="211" t="s">
        <v>25</v>
      </c>
      <c r="I26" s="211"/>
      <c r="J26" s="212">
        <v>960</v>
      </c>
      <c r="K26" s="211">
        <v>7</v>
      </c>
      <c r="L26" s="211">
        <f t="shared" si="7"/>
        <v>6720</v>
      </c>
      <c r="M26" s="211">
        <v>16</v>
      </c>
      <c r="N26" s="212">
        <f t="shared" si="3"/>
        <v>60</v>
      </c>
      <c r="O26" s="208">
        <v>46044</v>
      </c>
      <c r="P26" s="208">
        <v>46044</v>
      </c>
      <c r="Q26" s="208">
        <v>46044</v>
      </c>
      <c r="R26" s="211" t="s">
        <v>1241</v>
      </c>
      <c r="S26" s="208" t="s">
        <v>1133</v>
      </c>
      <c r="T26" s="211" t="s">
        <v>1133</v>
      </c>
      <c r="U26" s="211"/>
      <c r="V26" s="211" t="s">
        <v>1591</v>
      </c>
      <c r="W26" s="208"/>
      <c r="X26" s="211" t="s">
        <v>1133</v>
      </c>
      <c r="Y26" s="211" t="s">
        <v>1133</v>
      </c>
      <c r="Z26" s="211" t="s">
        <v>1249</v>
      </c>
      <c r="AA26" s="214">
        <v>46000</v>
      </c>
      <c r="AB26" s="213">
        <v>46007</v>
      </c>
      <c r="AC26" s="211" t="s">
        <v>1560</v>
      </c>
      <c r="AD26" s="211" t="s">
        <v>1228</v>
      </c>
      <c r="AE26" s="211" t="s">
        <v>327</v>
      </c>
      <c r="AF26" s="211" t="s">
        <v>1228</v>
      </c>
      <c r="AG26" s="211" t="s">
        <v>327</v>
      </c>
      <c r="AH26" s="211" t="s">
        <v>1562</v>
      </c>
      <c r="AI26" s="211" t="s">
        <v>1228</v>
      </c>
      <c r="AJ26" s="211" t="s">
        <v>1133</v>
      </c>
      <c r="AK26" s="211" t="s">
        <v>1133</v>
      </c>
      <c r="AL26" s="211"/>
      <c r="AM26" s="211" t="s">
        <v>1592</v>
      </c>
      <c r="AN26" s="212"/>
      <c r="AO26" s="215">
        <v>0.91</v>
      </c>
      <c r="AP26" s="216">
        <f t="shared" si="4"/>
        <v>873.6</v>
      </c>
      <c r="AQ26" s="216">
        <f t="shared" si="5"/>
        <v>6770.4</v>
      </c>
      <c r="AR26" s="217">
        <v>61027</v>
      </c>
      <c r="AS26" s="208">
        <v>46052</v>
      </c>
      <c r="AT26" s="208" t="s">
        <v>1220</v>
      </c>
      <c r="AU26" s="218"/>
      <c r="AV26" s="219">
        <f t="shared" si="6"/>
        <v>-960</v>
      </c>
      <c r="AW26" s="116"/>
      <c r="AX26" s="116"/>
      <c r="AY26" s="208"/>
      <c r="AZ26" s="208"/>
      <c r="BA26" s="208"/>
      <c r="BB26" s="208" t="str">
        <f t="shared" si="0"/>
        <v>Blue Strawberry</v>
      </c>
      <c r="BC26" s="208" t="str">
        <f t="shared" si="1"/>
        <v>蒙古</v>
      </c>
    </row>
    <row r="27" s="194" customFormat="1" customHeight="1" spans="1:55">
      <c r="A27" s="208">
        <v>45992</v>
      </c>
      <c r="B27" s="40" t="str">
        <f ca="1" t="shared" si="2"/>
        <v/>
      </c>
      <c r="C27" s="209" t="str">
        <f>VLOOKUP(H27,名称!A:E,4,0)</f>
        <v>二代</v>
      </c>
      <c r="D27" s="210" t="s">
        <v>1589</v>
      </c>
      <c r="E27" s="210" t="s">
        <v>1590</v>
      </c>
      <c r="F27" s="211"/>
      <c r="G27" s="211" t="s">
        <v>337</v>
      </c>
      <c r="H27" s="211" t="s">
        <v>44</v>
      </c>
      <c r="I27" s="211"/>
      <c r="J27" s="212">
        <v>1512</v>
      </c>
      <c r="K27" s="211">
        <v>5</v>
      </c>
      <c r="L27" s="211">
        <f t="shared" si="7"/>
        <v>7560</v>
      </c>
      <c r="M27" s="211">
        <v>24</v>
      </c>
      <c r="N27" s="212">
        <f t="shared" si="3"/>
        <v>63</v>
      </c>
      <c r="O27" s="208">
        <v>46044</v>
      </c>
      <c r="P27" s="208">
        <v>46044</v>
      </c>
      <c r="Q27" s="208">
        <v>46044</v>
      </c>
      <c r="R27" s="211" t="s">
        <v>1241</v>
      </c>
      <c r="S27" s="208" t="s">
        <v>1133</v>
      </c>
      <c r="T27" s="211" t="s">
        <v>1133</v>
      </c>
      <c r="U27" s="211"/>
      <c r="V27" s="211" t="s">
        <v>1591</v>
      </c>
      <c r="W27" s="208"/>
      <c r="X27" s="211" t="s">
        <v>1133</v>
      </c>
      <c r="Y27" s="211" t="s">
        <v>1133</v>
      </c>
      <c r="Z27" s="211" t="s">
        <v>1249</v>
      </c>
      <c r="AA27" s="214">
        <v>46000</v>
      </c>
      <c r="AB27" s="213">
        <v>46007</v>
      </c>
      <c r="AC27" s="211" t="s">
        <v>1133</v>
      </c>
      <c r="AD27" s="211" t="s">
        <v>1133</v>
      </c>
      <c r="AE27" s="211" t="s">
        <v>327</v>
      </c>
      <c r="AF27" s="211" t="s">
        <v>1228</v>
      </c>
      <c r="AG27" s="211" t="s">
        <v>327</v>
      </c>
      <c r="AH27" s="211" t="s">
        <v>1133</v>
      </c>
      <c r="AI27" s="211" t="s">
        <v>1228</v>
      </c>
      <c r="AJ27" s="211" t="s">
        <v>1133</v>
      </c>
      <c r="AK27" s="211" t="s">
        <v>327</v>
      </c>
      <c r="AL27" s="211"/>
      <c r="AM27" s="211" t="s">
        <v>1592</v>
      </c>
      <c r="AN27" s="212"/>
      <c r="AO27" s="215">
        <v>0.65</v>
      </c>
      <c r="AP27" s="216">
        <f t="shared" si="4"/>
        <v>982.8</v>
      </c>
      <c r="AQ27" s="216">
        <f t="shared" si="5"/>
        <v>7616.7</v>
      </c>
      <c r="AR27" s="217">
        <v>61027</v>
      </c>
      <c r="AS27" s="208">
        <v>46052</v>
      </c>
      <c r="AT27" s="208" t="s">
        <v>1220</v>
      </c>
      <c r="AU27" s="218"/>
      <c r="AV27" s="219">
        <f t="shared" si="6"/>
        <v>-1512</v>
      </c>
      <c r="AW27" s="116"/>
      <c r="AX27" s="116"/>
      <c r="AY27" s="208"/>
      <c r="AZ27" s="208"/>
      <c r="BA27" s="208"/>
      <c r="BB27" s="208" t="str">
        <f t="shared" si="0"/>
        <v>Blue Strawberry</v>
      </c>
      <c r="BC27" s="208" t="str">
        <f t="shared" si="1"/>
        <v>蒙古</v>
      </c>
    </row>
    <row r="28" s="194" customFormat="1" customHeight="1" spans="1:55">
      <c r="A28" s="208">
        <v>45992</v>
      </c>
      <c r="B28" s="40" t="str">
        <f ca="1" t="shared" si="2"/>
        <v/>
      </c>
      <c r="C28" s="209" t="str">
        <f>VLOOKUP(H28,名称!A:E,4,0)</f>
        <v>二代</v>
      </c>
      <c r="D28" s="210" t="s">
        <v>1589</v>
      </c>
      <c r="E28" s="210" t="s">
        <v>1590</v>
      </c>
      <c r="F28" s="211"/>
      <c r="G28" s="211" t="s">
        <v>337</v>
      </c>
      <c r="H28" s="211" t="s">
        <v>37</v>
      </c>
      <c r="I28" s="211"/>
      <c r="J28" s="212">
        <v>978</v>
      </c>
      <c r="K28" s="211">
        <v>12</v>
      </c>
      <c r="L28" s="211">
        <f t="shared" si="7"/>
        <v>11736</v>
      </c>
      <c r="M28" s="211">
        <v>6</v>
      </c>
      <c r="N28" s="212">
        <f t="shared" si="3"/>
        <v>163</v>
      </c>
      <c r="O28" s="208">
        <v>46044</v>
      </c>
      <c r="P28" s="208">
        <v>46044</v>
      </c>
      <c r="Q28" s="208">
        <v>46044</v>
      </c>
      <c r="R28" s="211" t="s">
        <v>1241</v>
      </c>
      <c r="S28" s="208" t="s">
        <v>1133</v>
      </c>
      <c r="T28" s="211" t="s">
        <v>1133</v>
      </c>
      <c r="U28" s="211"/>
      <c r="V28" s="211" t="s">
        <v>1591</v>
      </c>
      <c r="W28" s="208"/>
      <c r="X28" s="211" t="s">
        <v>1133</v>
      </c>
      <c r="Y28" s="211" t="s">
        <v>1133</v>
      </c>
      <c r="Z28" s="211" t="s">
        <v>1249</v>
      </c>
      <c r="AA28" s="214">
        <v>46000</v>
      </c>
      <c r="AB28" s="213">
        <v>46007</v>
      </c>
      <c r="AC28" s="211" t="s">
        <v>1244</v>
      </c>
      <c r="AD28" s="211" t="s">
        <v>1228</v>
      </c>
      <c r="AE28" s="211" t="s">
        <v>327</v>
      </c>
      <c r="AF28" s="211" t="s">
        <v>1228</v>
      </c>
      <c r="AG28" s="211" t="s">
        <v>327</v>
      </c>
      <c r="AH28" s="211" t="s">
        <v>1562</v>
      </c>
      <c r="AI28" s="211" t="s">
        <v>1228</v>
      </c>
      <c r="AJ28" s="211" t="s">
        <v>1572</v>
      </c>
      <c r="AK28" s="211" t="s">
        <v>1133</v>
      </c>
      <c r="AL28" s="211"/>
      <c r="AM28" s="211" t="s">
        <v>1592</v>
      </c>
      <c r="AN28" s="212"/>
      <c r="AO28" s="215">
        <v>2.09</v>
      </c>
      <c r="AP28" s="216">
        <f t="shared" si="4"/>
        <v>2044.02</v>
      </c>
      <c r="AQ28" s="216">
        <f t="shared" si="5"/>
        <v>15841.16</v>
      </c>
      <c r="AR28" s="217">
        <v>61027</v>
      </c>
      <c r="AS28" s="208">
        <v>46052</v>
      </c>
      <c r="AT28" s="208" t="s">
        <v>1220</v>
      </c>
      <c r="AU28" s="218"/>
      <c r="AV28" s="219">
        <f t="shared" si="6"/>
        <v>-978</v>
      </c>
      <c r="AW28" s="116"/>
      <c r="AX28" s="116"/>
      <c r="AY28" s="208"/>
      <c r="AZ28" s="208"/>
      <c r="BA28" s="208"/>
      <c r="BB28" s="208" t="str">
        <f t="shared" si="0"/>
        <v>Blue Strawberry</v>
      </c>
      <c r="BC28" s="208" t="str">
        <f t="shared" si="1"/>
        <v>蒙古</v>
      </c>
    </row>
    <row r="29" s="194" customFormat="1" customHeight="1" spans="1:55">
      <c r="A29" s="208">
        <v>45992</v>
      </c>
      <c r="B29" s="40" t="str">
        <f ca="1" t="shared" si="2"/>
        <v/>
      </c>
      <c r="C29" s="209" t="str">
        <f>VLOOKUP(H29,名称!A:E,4,0)</f>
        <v>二代</v>
      </c>
      <c r="D29" s="210" t="s">
        <v>1589</v>
      </c>
      <c r="E29" s="210" t="s">
        <v>1590</v>
      </c>
      <c r="F29" s="211"/>
      <c r="G29" s="211" t="s">
        <v>337</v>
      </c>
      <c r="H29" s="211" t="s">
        <v>38</v>
      </c>
      <c r="I29" s="211"/>
      <c r="J29" s="212">
        <v>480</v>
      </c>
      <c r="K29" s="211">
        <v>32</v>
      </c>
      <c r="L29" s="211">
        <f t="shared" si="7"/>
        <v>15360</v>
      </c>
      <c r="M29" s="211">
        <v>4</v>
      </c>
      <c r="N29" s="212">
        <f t="shared" si="3"/>
        <v>120</v>
      </c>
      <c r="O29" s="208">
        <v>46044</v>
      </c>
      <c r="P29" s="208">
        <v>46044</v>
      </c>
      <c r="Q29" s="208">
        <v>46044</v>
      </c>
      <c r="R29" s="211" t="s">
        <v>1241</v>
      </c>
      <c r="S29" s="208" t="s">
        <v>1133</v>
      </c>
      <c r="T29" s="211" t="s">
        <v>1133</v>
      </c>
      <c r="U29" s="211"/>
      <c r="V29" s="211" t="s">
        <v>1591</v>
      </c>
      <c r="W29" s="208"/>
      <c r="X29" s="211" t="s">
        <v>1133</v>
      </c>
      <c r="Y29" s="211" t="s">
        <v>1133</v>
      </c>
      <c r="Z29" s="211" t="s">
        <v>1249</v>
      </c>
      <c r="AA29" s="214">
        <v>46000</v>
      </c>
      <c r="AB29" s="213">
        <v>46007</v>
      </c>
      <c r="AC29" s="211" t="s">
        <v>1133</v>
      </c>
      <c r="AD29" s="211" t="s">
        <v>1133</v>
      </c>
      <c r="AE29" s="211" t="s">
        <v>327</v>
      </c>
      <c r="AF29" s="211" t="s">
        <v>1228</v>
      </c>
      <c r="AG29" s="211" t="s">
        <v>327</v>
      </c>
      <c r="AH29" s="211" t="s">
        <v>1562</v>
      </c>
      <c r="AI29" s="211" t="s">
        <v>1228</v>
      </c>
      <c r="AJ29" s="211" t="s">
        <v>1133</v>
      </c>
      <c r="AK29" s="211" t="s">
        <v>1133</v>
      </c>
      <c r="AL29" s="211"/>
      <c r="AM29" s="211" t="s">
        <v>1592</v>
      </c>
      <c r="AN29" s="212"/>
      <c r="AO29" s="215">
        <v>3.23</v>
      </c>
      <c r="AP29" s="216">
        <f t="shared" si="4"/>
        <v>1550.4</v>
      </c>
      <c r="AQ29" s="216">
        <f t="shared" si="5"/>
        <v>12015.6</v>
      </c>
      <c r="AR29" s="217">
        <v>61027</v>
      </c>
      <c r="AS29" s="208">
        <v>46052</v>
      </c>
      <c r="AT29" s="208" t="s">
        <v>1220</v>
      </c>
      <c r="AU29" s="218"/>
      <c r="AV29" s="219">
        <f t="shared" si="6"/>
        <v>-480</v>
      </c>
      <c r="AW29" s="116"/>
      <c r="AX29" s="116"/>
      <c r="AY29" s="208"/>
      <c r="AZ29" s="208"/>
      <c r="BA29" s="208"/>
      <c r="BB29" s="208" t="str">
        <f t="shared" si="0"/>
        <v>Blue Strawberry</v>
      </c>
      <c r="BC29" s="208" t="str">
        <f t="shared" si="1"/>
        <v>蒙古</v>
      </c>
    </row>
    <row r="30" s="194" customFormat="1" customHeight="1" spans="1:55">
      <c r="A30" s="208">
        <v>45992</v>
      </c>
      <c r="B30" s="40" t="str">
        <f ca="1" t="shared" si="2"/>
        <v/>
      </c>
      <c r="C30" s="209" t="str">
        <f>VLOOKUP(H30,名称!A:E,4,0)</f>
        <v>二代</v>
      </c>
      <c r="D30" s="210" t="s">
        <v>1589</v>
      </c>
      <c r="E30" s="210" t="s">
        <v>1590</v>
      </c>
      <c r="F30" s="211"/>
      <c r="G30" s="211" t="s">
        <v>337</v>
      </c>
      <c r="H30" s="211" t="s">
        <v>73</v>
      </c>
      <c r="I30" s="211"/>
      <c r="J30" s="212">
        <v>480</v>
      </c>
      <c r="K30" s="211">
        <v>12</v>
      </c>
      <c r="L30" s="211">
        <f t="shared" si="7"/>
        <v>5760</v>
      </c>
      <c r="M30" s="211">
        <v>12</v>
      </c>
      <c r="N30" s="212">
        <f t="shared" si="3"/>
        <v>40</v>
      </c>
      <c r="O30" s="208">
        <v>46044</v>
      </c>
      <c r="P30" s="208">
        <v>46044</v>
      </c>
      <c r="Q30" s="208">
        <v>46044</v>
      </c>
      <c r="R30" s="211" t="s">
        <v>1241</v>
      </c>
      <c r="S30" s="208" t="s">
        <v>1133</v>
      </c>
      <c r="T30" s="211" t="s">
        <v>1133</v>
      </c>
      <c r="U30" s="211"/>
      <c r="V30" s="211" t="s">
        <v>1591</v>
      </c>
      <c r="W30" s="208"/>
      <c r="X30" s="211" t="s">
        <v>1133</v>
      </c>
      <c r="Y30" s="211" t="s">
        <v>1133</v>
      </c>
      <c r="Z30" s="211" t="s">
        <v>1249</v>
      </c>
      <c r="AA30" s="214">
        <v>46000</v>
      </c>
      <c r="AB30" s="213">
        <v>46007</v>
      </c>
      <c r="AC30" s="211" t="s">
        <v>1302</v>
      </c>
      <c r="AD30" s="211" t="s">
        <v>1228</v>
      </c>
      <c r="AE30" s="211" t="s">
        <v>327</v>
      </c>
      <c r="AF30" s="211" t="s">
        <v>1228</v>
      </c>
      <c r="AG30" s="211" t="s">
        <v>327</v>
      </c>
      <c r="AH30" s="211" t="s">
        <v>1562</v>
      </c>
      <c r="AI30" s="211" t="s">
        <v>1228</v>
      </c>
      <c r="AJ30" s="211" t="s">
        <v>1133</v>
      </c>
      <c r="AK30" s="211" t="s">
        <v>1133</v>
      </c>
      <c r="AL30" s="211"/>
      <c r="AM30" s="211" t="s">
        <v>1592</v>
      </c>
      <c r="AN30" s="212"/>
      <c r="AO30" s="215">
        <v>1.65</v>
      </c>
      <c r="AP30" s="216">
        <f t="shared" si="4"/>
        <v>792</v>
      </c>
      <c r="AQ30" s="216">
        <f t="shared" si="5"/>
        <v>6138</v>
      </c>
      <c r="AR30" s="217">
        <v>61027</v>
      </c>
      <c r="AS30" s="208">
        <v>46052</v>
      </c>
      <c r="AT30" s="208" t="s">
        <v>1220</v>
      </c>
      <c r="AU30" s="218"/>
      <c r="AV30" s="219">
        <f t="shared" si="6"/>
        <v>-480</v>
      </c>
      <c r="AW30" s="116"/>
      <c r="AX30" s="116"/>
      <c r="AY30" s="208"/>
      <c r="AZ30" s="208"/>
      <c r="BA30" s="208"/>
      <c r="BB30" s="208" t="str">
        <f t="shared" si="0"/>
        <v>Blue Strawberry</v>
      </c>
      <c r="BC30" s="208" t="str">
        <f t="shared" si="1"/>
        <v>蒙古</v>
      </c>
    </row>
    <row r="31" s="194" customFormat="1" customHeight="1" spans="1:55">
      <c r="A31" s="208">
        <v>45992</v>
      </c>
      <c r="B31" s="40" t="str">
        <f ca="1" t="shared" si="2"/>
        <v/>
      </c>
      <c r="C31" s="209" t="str">
        <f>VLOOKUP(H31,名称!A:E,4,0)</f>
        <v>二代</v>
      </c>
      <c r="D31" s="210" t="s">
        <v>1589</v>
      </c>
      <c r="E31" s="210" t="s">
        <v>1590</v>
      </c>
      <c r="F31" s="211"/>
      <c r="G31" s="211" t="s">
        <v>337</v>
      </c>
      <c r="H31" s="211" t="s">
        <v>69</v>
      </c>
      <c r="I31" s="211"/>
      <c r="J31" s="212">
        <v>100</v>
      </c>
      <c r="K31" s="211">
        <v>50</v>
      </c>
      <c r="L31" s="211">
        <f t="shared" si="7"/>
        <v>5000</v>
      </c>
      <c r="M31" s="211">
        <v>2</v>
      </c>
      <c r="N31" s="212">
        <f t="shared" si="3"/>
        <v>50</v>
      </c>
      <c r="O31" s="208">
        <v>46044</v>
      </c>
      <c r="P31" s="208">
        <v>46044</v>
      </c>
      <c r="Q31" s="208">
        <v>46044</v>
      </c>
      <c r="R31" s="211" t="s">
        <v>1241</v>
      </c>
      <c r="S31" s="208" t="s">
        <v>1133</v>
      </c>
      <c r="T31" s="211" t="s">
        <v>1133</v>
      </c>
      <c r="U31" s="211"/>
      <c r="V31" s="211" t="s">
        <v>1591</v>
      </c>
      <c r="W31" s="208"/>
      <c r="X31" s="211" t="s">
        <v>1248</v>
      </c>
      <c r="Y31" s="211" t="s">
        <v>1228</v>
      </c>
      <c r="Z31" s="211" t="s">
        <v>1249</v>
      </c>
      <c r="AA31" s="214">
        <v>46000</v>
      </c>
      <c r="AB31" s="213">
        <v>46007</v>
      </c>
      <c r="AC31" s="211" t="s">
        <v>1133</v>
      </c>
      <c r="AD31" s="211" t="s">
        <v>1133</v>
      </c>
      <c r="AE31" s="211" t="s">
        <v>327</v>
      </c>
      <c r="AF31" s="211" t="s">
        <v>1228</v>
      </c>
      <c r="AG31" s="211" t="s">
        <v>334</v>
      </c>
      <c r="AH31" s="211" t="s">
        <v>1133</v>
      </c>
      <c r="AI31" s="211" t="s">
        <v>1228</v>
      </c>
      <c r="AJ31" s="211" t="s">
        <v>1133</v>
      </c>
      <c r="AK31" s="211" t="s">
        <v>1356</v>
      </c>
      <c r="AL31" s="211"/>
      <c r="AM31" s="211" t="s">
        <v>1592</v>
      </c>
      <c r="AN31" s="212" t="s">
        <v>1593</v>
      </c>
      <c r="AO31" s="215">
        <v>9.98</v>
      </c>
      <c r="AP31" s="216">
        <f t="shared" si="4"/>
        <v>998</v>
      </c>
      <c r="AQ31" s="216">
        <f t="shared" si="5"/>
        <v>7734.5</v>
      </c>
      <c r="AR31" s="217">
        <v>61027</v>
      </c>
      <c r="AS31" s="208">
        <v>46052</v>
      </c>
      <c r="AT31" s="208" t="s">
        <v>1220</v>
      </c>
      <c r="AU31" s="218"/>
      <c r="AV31" s="219">
        <f t="shared" si="6"/>
        <v>-100</v>
      </c>
      <c r="AW31" s="116"/>
      <c r="AX31" s="116"/>
      <c r="AY31" s="208"/>
      <c r="AZ31" s="208"/>
      <c r="BA31" s="208"/>
      <c r="BB31" s="208" t="str">
        <f t="shared" si="0"/>
        <v>Blue Strawberry</v>
      </c>
      <c r="BC31" s="208" t="str">
        <f t="shared" si="1"/>
        <v>蒙古</v>
      </c>
    </row>
    <row r="32" s="194" customFormat="1" customHeight="1" spans="1:55">
      <c r="A32" s="208">
        <v>45992</v>
      </c>
      <c r="B32" s="40" t="str">
        <f ca="1" t="shared" si="2"/>
        <v/>
      </c>
      <c r="C32" s="209" t="str">
        <f>VLOOKUP(H32,名称!A:E,4,0)</f>
        <v>二代</v>
      </c>
      <c r="D32" s="210" t="s">
        <v>1589</v>
      </c>
      <c r="E32" s="210" t="s">
        <v>1590</v>
      </c>
      <c r="F32" s="211"/>
      <c r="G32" s="211" t="s">
        <v>337</v>
      </c>
      <c r="H32" s="211" t="s">
        <v>64</v>
      </c>
      <c r="I32" s="211"/>
      <c r="J32" s="212">
        <v>480</v>
      </c>
      <c r="K32" s="211">
        <v>5</v>
      </c>
      <c r="L32" s="211">
        <f t="shared" si="7"/>
        <v>2400</v>
      </c>
      <c r="M32" s="211">
        <v>24</v>
      </c>
      <c r="N32" s="212">
        <f t="shared" si="3"/>
        <v>20</v>
      </c>
      <c r="O32" s="208">
        <v>46044</v>
      </c>
      <c r="P32" s="208">
        <v>46114</v>
      </c>
      <c r="Q32" s="208">
        <v>46044</v>
      </c>
      <c r="R32" s="211" t="s">
        <v>1241</v>
      </c>
      <c r="S32" s="208" t="s">
        <v>1133</v>
      </c>
      <c r="T32" s="211" t="s">
        <v>1133</v>
      </c>
      <c r="U32" s="211"/>
      <c r="V32" s="211" t="s">
        <v>1591</v>
      </c>
      <c r="W32" s="208"/>
      <c r="X32" s="211" t="s">
        <v>1248</v>
      </c>
      <c r="Y32" s="211" t="s">
        <v>1228</v>
      </c>
      <c r="Z32" s="211" t="s">
        <v>1249</v>
      </c>
      <c r="AA32" s="214">
        <v>46000</v>
      </c>
      <c r="AB32" s="213">
        <v>46007</v>
      </c>
      <c r="AC32" s="211" t="s">
        <v>1133</v>
      </c>
      <c r="AD32" s="211" t="s">
        <v>1133</v>
      </c>
      <c r="AE32" s="211" t="s">
        <v>327</v>
      </c>
      <c r="AF32" s="211" t="s">
        <v>1228</v>
      </c>
      <c r="AG32" s="211" t="s">
        <v>327</v>
      </c>
      <c r="AH32" s="211" t="s">
        <v>1133</v>
      </c>
      <c r="AI32" s="211" t="s">
        <v>1228</v>
      </c>
      <c r="AJ32" s="211" t="s">
        <v>1133</v>
      </c>
      <c r="AK32" s="211" t="s">
        <v>327</v>
      </c>
      <c r="AL32" s="211"/>
      <c r="AM32" s="211" t="s">
        <v>1592</v>
      </c>
      <c r="AN32" s="212"/>
      <c r="AO32" s="215">
        <v>0.65</v>
      </c>
      <c r="AP32" s="216">
        <f t="shared" si="4"/>
        <v>312</v>
      </c>
      <c r="AQ32" s="216">
        <f t="shared" si="5"/>
        <v>2418</v>
      </c>
      <c r="AR32" s="217">
        <v>61027</v>
      </c>
      <c r="AS32" s="208">
        <v>46052</v>
      </c>
      <c r="AT32" s="208" t="s">
        <v>1220</v>
      </c>
      <c r="AU32" s="218"/>
      <c r="AV32" s="219">
        <f t="shared" si="6"/>
        <v>-480</v>
      </c>
      <c r="AW32" s="116"/>
      <c r="AX32" s="116" t="s">
        <v>1280</v>
      </c>
      <c r="AY32" s="208"/>
      <c r="AZ32" s="208"/>
      <c r="BA32" s="208"/>
      <c r="BB32" s="208" t="str">
        <f t="shared" si="0"/>
        <v>Blue Strawberry</v>
      </c>
      <c r="BC32" s="208" t="str">
        <f t="shared" si="1"/>
        <v>蒙古</v>
      </c>
    </row>
    <row r="33" s="194" customFormat="1" customHeight="1" spans="1:55">
      <c r="A33" s="208">
        <v>45992</v>
      </c>
      <c r="B33" s="40" t="str">
        <f ca="1" t="shared" si="2"/>
        <v/>
      </c>
      <c r="C33" s="209" t="str">
        <f>VLOOKUP(H33,名称!A:E,4,0)</f>
        <v>二代</v>
      </c>
      <c r="D33" s="210" t="s">
        <v>1589</v>
      </c>
      <c r="E33" s="210" t="s">
        <v>1590</v>
      </c>
      <c r="F33" s="211"/>
      <c r="G33" s="211" t="s">
        <v>337</v>
      </c>
      <c r="H33" s="211" t="s">
        <v>74</v>
      </c>
      <c r="I33" s="211"/>
      <c r="J33" s="212">
        <v>120</v>
      </c>
      <c r="K33" s="211">
        <v>5</v>
      </c>
      <c r="L33" s="211">
        <f t="shared" si="7"/>
        <v>600</v>
      </c>
      <c r="M33" s="211">
        <v>12</v>
      </c>
      <c r="N33" s="212">
        <f t="shared" si="3"/>
        <v>10</v>
      </c>
      <c r="O33" s="208">
        <v>46044</v>
      </c>
      <c r="P33" s="208">
        <v>46044</v>
      </c>
      <c r="Q33" s="208">
        <v>46044</v>
      </c>
      <c r="R33" s="211" t="s">
        <v>1241</v>
      </c>
      <c r="S33" s="208" t="s">
        <v>1133</v>
      </c>
      <c r="T33" s="211" t="s">
        <v>1133</v>
      </c>
      <c r="U33" s="211"/>
      <c r="V33" s="211" t="s">
        <v>1591</v>
      </c>
      <c r="W33" s="208"/>
      <c r="X33" s="211" t="s">
        <v>1133</v>
      </c>
      <c r="Y33" s="211" t="s">
        <v>1133</v>
      </c>
      <c r="Z33" s="211" t="s">
        <v>1249</v>
      </c>
      <c r="AA33" s="214">
        <v>46000</v>
      </c>
      <c r="AB33" s="213">
        <v>46007</v>
      </c>
      <c r="AC33" s="211" t="s">
        <v>1302</v>
      </c>
      <c r="AD33" s="211" t="s">
        <v>1228</v>
      </c>
      <c r="AE33" s="211" t="s">
        <v>327</v>
      </c>
      <c r="AF33" s="211" t="s">
        <v>1228</v>
      </c>
      <c r="AG33" s="211" t="s">
        <v>327</v>
      </c>
      <c r="AH33" s="211" t="s">
        <v>1562</v>
      </c>
      <c r="AI33" s="211" t="s">
        <v>1228</v>
      </c>
      <c r="AJ33" s="211" t="s">
        <v>1133</v>
      </c>
      <c r="AK33" s="211" t="s">
        <v>1133</v>
      </c>
      <c r="AL33" s="211"/>
      <c r="AM33" s="211" t="s">
        <v>1592</v>
      </c>
      <c r="AN33" s="212"/>
      <c r="AO33" s="215">
        <v>1.65</v>
      </c>
      <c r="AP33" s="216">
        <f t="shared" si="4"/>
        <v>198</v>
      </c>
      <c r="AQ33" s="216">
        <f t="shared" si="5"/>
        <v>1534.5</v>
      </c>
      <c r="AR33" s="217">
        <v>61027</v>
      </c>
      <c r="AS33" s="208">
        <v>46052</v>
      </c>
      <c r="AT33" s="208" t="s">
        <v>1220</v>
      </c>
      <c r="AU33" s="218"/>
      <c r="AV33" s="219">
        <f t="shared" si="6"/>
        <v>-120</v>
      </c>
      <c r="AW33" s="116"/>
      <c r="AX33" s="116"/>
      <c r="AY33" s="208"/>
      <c r="AZ33" s="208"/>
      <c r="BA33" s="208"/>
      <c r="BB33" s="208" t="str">
        <f t="shared" si="0"/>
        <v>Blue Strawberry</v>
      </c>
      <c r="BC33" s="208" t="str">
        <f t="shared" si="1"/>
        <v>蒙古</v>
      </c>
    </row>
    <row r="34" s="194" customFormat="1" customHeight="1" spans="1:55">
      <c r="A34" s="208">
        <v>45992</v>
      </c>
      <c r="B34" s="40" t="str">
        <f ca="1" t="shared" si="2"/>
        <v/>
      </c>
      <c r="C34" s="209" t="str">
        <f>VLOOKUP(H34,名称!A:E,4,0)</f>
        <v>二代</v>
      </c>
      <c r="D34" s="210" t="s">
        <v>1589</v>
      </c>
      <c r="E34" s="210" t="s">
        <v>1590</v>
      </c>
      <c r="F34" s="211"/>
      <c r="G34" s="211" t="s">
        <v>337</v>
      </c>
      <c r="H34" s="211" t="s">
        <v>53</v>
      </c>
      <c r="I34" s="211"/>
      <c r="J34" s="212">
        <v>240</v>
      </c>
      <c r="K34" s="211">
        <v>0</v>
      </c>
      <c r="L34" s="211">
        <f t="shared" si="7"/>
        <v>0</v>
      </c>
      <c r="M34" s="211">
        <v>24</v>
      </c>
      <c r="N34" s="212">
        <f t="shared" si="3"/>
        <v>10</v>
      </c>
      <c r="O34" s="208">
        <v>46044</v>
      </c>
      <c r="P34" s="208">
        <v>46044</v>
      </c>
      <c r="Q34" s="208">
        <v>46044</v>
      </c>
      <c r="R34" s="211" t="s">
        <v>1241</v>
      </c>
      <c r="S34" s="208" t="s">
        <v>1133</v>
      </c>
      <c r="T34" s="211" t="s">
        <v>1133</v>
      </c>
      <c r="U34" s="211"/>
      <c r="V34" s="211" t="s">
        <v>1591</v>
      </c>
      <c r="W34" s="208"/>
      <c r="X34" s="211" t="s">
        <v>1133</v>
      </c>
      <c r="Y34" s="211" t="s">
        <v>1133</v>
      </c>
      <c r="Z34" s="211" t="s">
        <v>1249</v>
      </c>
      <c r="AA34" s="214">
        <v>46000</v>
      </c>
      <c r="AB34" s="213">
        <v>46007</v>
      </c>
      <c r="AC34" s="211" t="s">
        <v>1133</v>
      </c>
      <c r="AD34" s="211" t="s">
        <v>1133</v>
      </c>
      <c r="AE34" s="211" t="s">
        <v>327</v>
      </c>
      <c r="AF34" s="211" t="s">
        <v>1228</v>
      </c>
      <c r="AG34" s="211" t="s">
        <v>327</v>
      </c>
      <c r="AH34" s="211" t="s">
        <v>1133</v>
      </c>
      <c r="AI34" s="211" t="s">
        <v>1228</v>
      </c>
      <c r="AJ34" s="211" t="s">
        <v>1133</v>
      </c>
      <c r="AK34" s="211" t="s">
        <v>327</v>
      </c>
      <c r="AL34" s="211"/>
      <c r="AM34" s="211" t="s">
        <v>1592</v>
      </c>
      <c r="AN34" s="212"/>
      <c r="AO34" s="215">
        <v>0.64</v>
      </c>
      <c r="AP34" s="216">
        <f t="shared" si="4"/>
        <v>153.6</v>
      </c>
      <c r="AQ34" s="216">
        <f t="shared" si="5"/>
        <v>1190.4</v>
      </c>
      <c r="AR34" s="217">
        <v>61027</v>
      </c>
      <c r="AS34" s="208">
        <v>46052</v>
      </c>
      <c r="AT34" s="208" t="s">
        <v>1220</v>
      </c>
      <c r="AU34" s="218"/>
      <c r="AV34" s="219">
        <f t="shared" si="6"/>
        <v>-240</v>
      </c>
      <c r="AW34" s="116"/>
      <c r="AX34" s="116"/>
      <c r="AY34" s="208"/>
      <c r="AZ34" s="208"/>
      <c r="BA34" s="208"/>
      <c r="BB34" s="208" t="str">
        <f t="shared" si="0"/>
        <v>Blue Strawberry</v>
      </c>
      <c r="BC34" s="208" t="str">
        <f t="shared" si="1"/>
        <v>蒙古</v>
      </c>
    </row>
    <row r="35" s="194" customFormat="1" customHeight="1" spans="1:55">
      <c r="A35" s="208">
        <v>45992</v>
      </c>
      <c r="B35" s="40" t="str">
        <f ca="1" t="shared" si="2"/>
        <v/>
      </c>
      <c r="C35" s="209" t="str">
        <f>VLOOKUP(H35,名称!A:E,4,0)</f>
        <v>二代</v>
      </c>
      <c r="D35" s="210" t="s">
        <v>1589</v>
      </c>
      <c r="E35" s="210" t="s">
        <v>1590</v>
      </c>
      <c r="F35" s="211"/>
      <c r="G35" s="211" t="s">
        <v>337</v>
      </c>
      <c r="H35" s="211" t="s">
        <v>43</v>
      </c>
      <c r="I35" s="211"/>
      <c r="J35" s="212">
        <v>120</v>
      </c>
      <c r="K35" s="211">
        <v>5</v>
      </c>
      <c r="L35" s="211">
        <f t="shared" si="7"/>
        <v>600</v>
      </c>
      <c r="M35" s="211">
        <v>24</v>
      </c>
      <c r="N35" s="212">
        <f t="shared" si="3"/>
        <v>5</v>
      </c>
      <c r="O35" s="208">
        <v>46044</v>
      </c>
      <c r="P35" s="208">
        <v>46044</v>
      </c>
      <c r="Q35" s="208">
        <v>46044</v>
      </c>
      <c r="R35" s="211" t="s">
        <v>1241</v>
      </c>
      <c r="S35" s="208" t="s">
        <v>1133</v>
      </c>
      <c r="T35" s="211" t="s">
        <v>1133</v>
      </c>
      <c r="U35" s="211"/>
      <c r="V35" s="211" t="s">
        <v>1591</v>
      </c>
      <c r="W35" s="208"/>
      <c r="X35" s="211" t="s">
        <v>1248</v>
      </c>
      <c r="Y35" s="211" t="s">
        <v>1228</v>
      </c>
      <c r="Z35" s="211" t="s">
        <v>1249</v>
      </c>
      <c r="AA35" s="214">
        <v>46000</v>
      </c>
      <c r="AB35" s="213">
        <v>46007</v>
      </c>
      <c r="AC35" s="211" t="s">
        <v>1133</v>
      </c>
      <c r="AD35" s="211" t="s">
        <v>1133</v>
      </c>
      <c r="AE35" s="211" t="s">
        <v>327</v>
      </c>
      <c r="AF35" s="211" t="s">
        <v>1228</v>
      </c>
      <c r="AG35" s="211" t="s">
        <v>327</v>
      </c>
      <c r="AH35" s="211" t="s">
        <v>1133</v>
      </c>
      <c r="AI35" s="211" t="s">
        <v>1228</v>
      </c>
      <c r="AJ35" s="211" t="s">
        <v>1133</v>
      </c>
      <c r="AK35" s="211" t="s">
        <v>327</v>
      </c>
      <c r="AL35" s="211"/>
      <c r="AM35" s="211" t="s">
        <v>1592</v>
      </c>
      <c r="AN35" s="212" t="s">
        <v>1594</v>
      </c>
      <c r="AO35" s="215">
        <v>0.65</v>
      </c>
      <c r="AP35" s="216">
        <f t="shared" si="4"/>
        <v>78</v>
      </c>
      <c r="AQ35" s="216">
        <f t="shared" si="5"/>
        <v>604.5</v>
      </c>
      <c r="AR35" s="217">
        <v>61027</v>
      </c>
      <c r="AS35" s="208">
        <v>46052</v>
      </c>
      <c r="AT35" s="208" t="s">
        <v>1220</v>
      </c>
      <c r="AU35" s="218"/>
      <c r="AV35" s="219">
        <f t="shared" si="6"/>
        <v>-120</v>
      </c>
      <c r="AW35" s="116"/>
      <c r="AX35" s="116"/>
      <c r="AY35" s="208"/>
      <c r="AZ35" s="208"/>
      <c r="BA35" s="208"/>
      <c r="BB35" s="208" t="str">
        <f t="shared" si="0"/>
        <v>Blue Strawberry</v>
      </c>
      <c r="BC35" s="208" t="str">
        <f t="shared" si="1"/>
        <v>蒙古</v>
      </c>
    </row>
    <row r="36" s="194" customFormat="1" customHeight="1" spans="1:55">
      <c r="A36" s="208">
        <v>45915</v>
      </c>
      <c r="B36" s="40" t="str">
        <f ca="1" t="shared" si="2"/>
        <v/>
      </c>
      <c r="C36" s="209" t="str">
        <f>VLOOKUP(H36,名称!A:E,4,0)</f>
        <v>二代</v>
      </c>
      <c r="D36" s="210" t="s">
        <v>1240</v>
      </c>
      <c r="E36" s="210" t="s">
        <v>1224</v>
      </c>
      <c r="F36" s="211" t="s">
        <v>275</v>
      </c>
      <c r="G36" s="211" t="s">
        <v>276</v>
      </c>
      <c r="H36" s="211" t="s">
        <v>43</v>
      </c>
      <c r="I36" s="211"/>
      <c r="J36" s="212">
        <v>6216</v>
      </c>
      <c r="K36" s="211">
        <v>5</v>
      </c>
      <c r="L36" s="211">
        <f t="shared" si="7"/>
        <v>31080</v>
      </c>
      <c r="M36" s="211">
        <v>24</v>
      </c>
      <c r="N36" s="212">
        <f t="shared" si="3"/>
        <v>259</v>
      </c>
      <c r="O36" s="208">
        <v>46045</v>
      </c>
      <c r="P36" s="208">
        <f>O36</f>
        <v>46045</v>
      </c>
      <c r="Q36" s="208">
        <v>46044</v>
      </c>
      <c r="R36" s="211" t="s">
        <v>1241</v>
      </c>
      <c r="S36" s="208">
        <v>46045</v>
      </c>
      <c r="T36" s="211" t="s">
        <v>1241</v>
      </c>
      <c r="U36" s="211"/>
      <c r="V36" s="211" t="s">
        <v>1595</v>
      </c>
      <c r="W36" s="208"/>
      <c r="X36" s="211" t="s">
        <v>1133</v>
      </c>
      <c r="Y36" s="211" t="s">
        <v>1133</v>
      </c>
      <c r="Z36" s="213">
        <v>45992</v>
      </c>
      <c r="AA36" s="214">
        <v>45994</v>
      </c>
      <c r="AB36" s="213">
        <v>45996</v>
      </c>
      <c r="AC36" s="211" t="s">
        <v>1133</v>
      </c>
      <c r="AD36" s="211" t="s">
        <v>1133</v>
      </c>
      <c r="AE36" s="211" t="s">
        <v>1596</v>
      </c>
      <c r="AF36" s="211" t="s">
        <v>1228</v>
      </c>
      <c r="AG36" s="211" t="s">
        <v>1597</v>
      </c>
      <c r="AH36" s="211" t="s">
        <v>1133</v>
      </c>
      <c r="AI36" s="211" t="s">
        <v>1228</v>
      </c>
      <c r="AJ36" s="211" t="s">
        <v>1133</v>
      </c>
      <c r="AK36" s="211" t="s">
        <v>1598</v>
      </c>
      <c r="AL36" s="211"/>
      <c r="AM36" s="211" t="s">
        <v>1599</v>
      </c>
      <c r="AN36" s="212"/>
      <c r="AO36" s="215">
        <v>0.61</v>
      </c>
      <c r="AP36" s="216">
        <f t="shared" si="4"/>
        <v>3791.76</v>
      </c>
      <c r="AQ36" s="216">
        <f t="shared" si="5"/>
        <v>29386.14</v>
      </c>
      <c r="AR36" s="217">
        <v>61028</v>
      </c>
      <c r="AS36" s="208">
        <v>46052</v>
      </c>
      <c r="AT36" s="208" t="s">
        <v>1220</v>
      </c>
      <c r="AU36" s="218"/>
      <c r="AV36" s="219">
        <f t="shared" si="6"/>
        <v>-6216</v>
      </c>
      <c r="AW36" s="116"/>
      <c r="AX36" s="116"/>
      <c r="AY36" s="208"/>
      <c r="AZ36" s="208"/>
      <c r="BA36" s="208"/>
      <c r="BB36" s="208" t="str">
        <f t="shared" si="0"/>
        <v>JAZWARES - TARGET US DOM</v>
      </c>
      <c r="BC36" s="208" t="str">
        <f t="shared" si="1"/>
        <v>美国</v>
      </c>
    </row>
    <row r="37" s="194" customFormat="1" customHeight="1" spans="1:55">
      <c r="A37" s="208">
        <v>45915</v>
      </c>
      <c r="B37" s="40" t="str">
        <f ca="1" t="shared" si="2"/>
        <v/>
      </c>
      <c r="C37" s="209" t="str">
        <f>VLOOKUP(H37,名称!A:E,4,0)</f>
        <v>二代</v>
      </c>
      <c r="D37" s="210" t="s">
        <v>1240</v>
      </c>
      <c r="E37" s="210" t="s">
        <v>1224</v>
      </c>
      <c r="F37" s="211" t="s">
        <v>271</v>
      </c>
      <c r="G37" s="211" t="s">
        <v>272</v>
      </c>
      <c r="H37" s="211" t="s">
        <v>44</v>
      </c>
      <c r="I37" s="211"/>
      <c r="J37" s="212">
        <v>6048</v>
      </c>
      <c r="K37" s="211">
        <v>5</v>
      </c>
      <c r="L37" s="211">
        <f t="shared" si="7"/>
        <v>30240</v>
      </c>
      <c r="M37" s="211">
        <v>24</v>
      </c>
      <c r="N37" s="212">
        <f t="shared" si="3"/>
        <v>252</v>
      </c>
      <c r="O37" s="208">
        <v>46045</v>
      </c>
      <c r="P37" s="208">
        <f>O37</f>
        <v>46045</v>
      </c>
      <c r="Q37" s="208">
        <v>46044</v>
      </c>
      <c r="R37" s="211" t="s">
        <v>1241</v>
      </c>
      <c r="S37" s="208">
        <v>46045</v>
      </c>
      <c r="T37" s="211" t="s">
        <v>1241</v>
      </c>
      <c r="U37" s="211"/>
      <c r="V37" s="211" t="s">
        <v>1595</v>
      </c>
      <c r="W37" s="208"/>
      <c r="X37" s="211" t="s">
        <v>1133</v>
      </c>
      <c r="Y37" s="211" t="s">
        <v>1133</v>
      </c>
      <c r="Z37" s="213">
        <v>45992</v>
      </c>
      <c r="AA37" s="214">
        <v>45994</v>
      </c>
      <c r="AB37" s="213">
        <v>45996</v>
      </c>
      <c r="AC37" s="211" t="s">
        <v>1133</v>
      </c>
      <c r="AD37" s="211" t="s">
        <v>1133</v>
      </c>
      <c r="AE37" s="211" t="s">
        <v>1597</v>
      </c>
      <c r="AF37" s="211" t="s">
        <v>1228</v>
      </c>
      <c r="AG37" s="211" t="s">
        <v>1597</v>
      </c>
      <c r="AH37" s="211" t="s">
        <v>1133</v>
      </c>
      <c r="AI37" s="211" t="s">
        <v>1228</v>
      </c>
      <c r="AJ37" s="211" t="s">
        <v>1133</v>
      </c>
      <c r="AK37" s="211" t="s">
        <v>1598</v>
      </c>
      <c r="AL37" s="211"/>
      <c r="AM37" s="211" t="s">
        <v>1599</v>
      </c>
      <c r="AN37" s="212"/>
      <c r="AO37" s="215">
        <v>0.61</v>
      </c>
      <c r="AP37" s="216">
        <f t="shared" si="4"/>
        <v>3689.28</v>
      </c>
      <c r="AQ37" s="216">
        <f t="shared" si="5"/>
        <v>28591.92</v>
      </c>
      <c r="AR37" s="217">
        <v>61029</v>
      </c>
      <c r="AS37" s="208">
        <v>46052</v>
      </c>
      <c r="AT37" s="208" t="s">
        <v>1220</v>
      </c>
      <c r="AU37" s="218"/>
      <c r="AV37" s="219">
        <f t="shared" si="6"/>
        <v>-6048</v>
      </c>
      <c r="AW37" s="116"/>
      <c r="AX37" s="116"/>
      <c r="AY37" s="208"/>
      <c r="AZ37" s="208"/>
      <c r="BA37" s="208"/>
      <c r="BB37" s="208" t="str">
        <f t="shared" si="0"/>
        <v>JAZWARES - TARGET US DOM</v>
      </c>
      <c r="BC37" s="208" t="str">
        <f t="shared" si="1"/>
        <v>美国</v>
      </c>
    </row>
    <row r="38" s="194" customFormat="1" customHeight="1" spans="1:55">
      <c r="A38" s="208">
        <v>45915</v>
      </c>
      <c r="B38" s="40" t="str">
        <f ca="1" t="shared" si="2"/>
        <v/>
      </c>
      <c r="C38" s="209" t="str">
        <f>VLOOKUP(H38,名称!A:E,4,0)</f>
        <v>二代</v>
      </c>
      <c r="D38" s="210" t="s">
        <v>1240</v>
      </c>
      <c r="E38" s="210" t="s">
        <v>1224</v>
      </c>
      <c r="F38" s="211" t="s">
        <v>273</v>
      </c>
      <c r="G38" s="211" t="s">
        <v>274</v>
      </c>
      <c r="H38" s="211" t="s">
        <v>26</v>
      </c>
      <c r="I38" s="211"/>
      <c r="J38" s="212">
        <v>2400</v>
      </c>
      <c r="K38" s="211">
        <v>15</v>
      </c>
      <c r="L38" s="211">
        <f t="shared" si="7"/>
        <v>36000</v>
      </c>
      <c r="M38" s="211">
        <v>6</v>
      </c>
      <c r="N38" s="212">
        <f t="shared" si="3"/>
        <v>400</v>
      </c>
      <c r="O38" s="208">
        <v>46045</v>
      </c>
      <c r="P38" s="208">
        <f>O38</f>
        <v>46045</v>
      </c>
      <c r="Q38" s="208">
        <v>46044</v>
      </c>
      <c r="R38" s="211" t="s">
        <v>1241</v>
      </c>
      <c r="S38" s="208">
        <v>46045</v>
      </c>
      <c r="T38" s="211" t="s">
        <v>1241</v>
      </c>
      <c r="U38" s="211"/>
      <c r="V38" s="211" t="s">
        <v>1595</v>
      </c>
      <c r="W38" s="208"/>
      <c r="X38" s="211" t="s">
        <v>1133</v>
      </c>
      <c r="Y38" s="211" t="s">
        <v>1133</v>
      </c>
      <c r="Z38" s="213">
        <v>45992</v>
      </c>
      <c r="AA38" s="214">
        <v>45994</v>
      </c>
      <c r="AB38" s="213">
        <v>45996</v>
      </c>
      <c r="AC38" s="211" t="s">
        <v>1244</v>
      </c>
      <c r="AD38" s="211" t="s">
        <v>1228</v>
      </c>
      <c r="AE38" s="211" t="s">
        <v>1597</v>
      </c>
      <c r="AF38" s="211" t="s">
        <v>1228</v>
      </c>
      <c r="AG38" s="211" t="s">
        <v>1597</v>
      </c>
      <c r="AH38" s="211" t="s">
        <v>1285</v>
      </c>
      <c r="AI38" s="211" t="s">
        <v>1228</v>
      </c>
      <c r="AJ38" s="211" t="s">
        <v>327</v>
      </c>
      <c r="AK38" s="211" t="s">
        <v>1133</v>
      </c>
      <c r="AL38" s="211"/>
      <c r="AM38" s="211" t="s">
        <v>1599</v>
      </c>
      <c r="AN38" s="212"/>
      <c r="AO38" s="215">
        <v>2.14</v>
      </c>
      <c r="AP38" s="216">
        <f t="shared" si="4"/>
        <v>5136</v>
      </c>
      <c r="AQ38" s="216">
        <f t="shared" si="5"/>
        <v>39804</v>
      </c>
      <c r="AR38" s="217">
        <v>61030</v>
      </c>
      <c r="AS38" s="208">
        <v>46052</v>
      </c>
      <c r="AT38" s="208" t="s">
        <v>1220</v>
      </c>
      <c r="AU38" s="218"/>
      <c r="AV38" s="219">
        <f t="shared" si="6"/>
        <v>-2400</v>
      </c>
      <c r="AW38" s="116"/>
      <c r="AX38" s="116"/>
      <c r="AY38" s="208"/>
      <c r="AZ38" s="208"/>
      <c r="BA38" s="208"/>
      <c r="BB38" s="208" t="str">
        <f t="shared" si="0"/>
        <v>JAZWARES - TARGET US DOM</v>
      </c>
      <c r="BC38" s="208" t="str">
        <f t="shared" si="1"/>
        <v>美国</v>
      </c>
    </row>
    <row r="39" s="194" customFormat="1" customHeight="1" spans="1:55">
      <c r="A39" s="208">
        <v>45915</v>
      </c>
      <c r="B39" s="40" t="str">
        <f ca="1" t="shared" si="2"/>
        <v/>
      </c>
      <c r="C39" s="209" t="str">
        <f>VLOOKUP(H39,名称!A:E,4,0)</f>
        <v>二代</v>
      </c>
      <c r="D39" s="210" t="s">
        <v>1240</v>
      </c>
      <c r="E39" s="210" t="s">
        <v>1224</v>
      </c>
      <c r="F39" s="211" t="s">
        <v>277</v>
      </c>
      <c r="G39" s="211" t="s">
        <v>278</v>
      </c>
      <c r="H39" s="211" t="s">
        <v>26</v>
      </c>
      <c r="I39" s="211"/>
      <c r="J39" s="212">
        <v>2400</v>
      </c>
      <c r="K39" s="211">
        <v>15</v>
      </c>
      <c r="L39" s="211">
        <f t="shared" si="7"/>
        <v>36000</v>
      </c>
      <c r="M39" s="211">
        <v>6</v>
      </c>
      <c r="N39" s="212">
        <f t="shared" si="3"/>
        <v>400</v>
      </c>
      <c r="O39" s="208">
        <v>46045</v>
      </c>
      <c r="P39" s="208">
        <f>O39</f>
        <v>46045</v>
      </c>
      <c r="Q39" s="208">
        <v>46044</v>
      </c>
      <c r="R39" s="211" t="s">
        <v>1241</v>
      </c>
      <c r="S39" s="208">
        <v>46045</v>
      </c>
      <c r="T39" s="211" t="s">
        <v>1241</v>
      </c>
      <c r="U39" s="211"/>
      <c r="V39" s="211" t="s">
        <v>1595</v>
      </c>
      <c r="W39" s="208"/>
      <c r="X39" s="211" t="s">
        <v>1133</v>
      </c>
      <c r="Y39" s="211" t="s">
        <v>1133</v>
      </c>
      <c r="Z39" s="213">
        <v>45992</v>
      </c>
      <c r="AA39" s="214">
        <v>45994</v>
      </c>
      <c r="AB39" s="213">
        <v>45996</v>
      </c>
      <c r="AC39" s="211" t="s">
        <v>1244</v>
      </c>
      <c r="AD39" s="211" t="s">
        <v>1228</v>
      </c>
      <c r="AE39" s="211" t="s">
        <v>1597</v>
      </c>
      <c r="AF39" s="211" t="s">
        <v>1228</v>
      </c>
      <c r="AG39" s="211" t="s">
        <v>1597</v>
      </c>
      <c r="AH39" s="211" t="s">
        <v>1285</v>
      </c>
      <c r="AI39" s="211" t="s">
        <v>1228</v>
      </c>
      <c r="AJ39" s="211" t="s">
        <v>327</v>
      </c>
      <c r="AK39" s="211" t="s">
        <v>1133</v>
      </c>
      <c r="AL39" s="211"/>
      <c r="AM39" s="211" t="s">
        <v>1599</v>
      </c>
      <c r="AN39" s="212"/>
      <c r="AO39" s="215">
        <v>2.14</v>
      </c>
      <c r="AP39" s="216">
        <f t="shared" si="4"/>
        <v>5136</v>
      </c>
      <c r="AQ39" s="216">
        <f t="shared" si="5"/>
        <v>39804</v>
      </c>
      <c r="AR39" s="217">
        <v>61031</v>
      </c>
      <c r="AS39" s="208">
        <v>46052</v>
      </c>
      <c r="AT39" s="208" t="s">
        <v>1220</v>
      </c>
      <c r="AU39" s="218">
        <f>552+4444+4</f>
        <v>5000</v>
      </c>
      <c r="AV39" s="219">
        <f t="shared" si="6"/>
        <v>2600</v>
      </c>
      <c r="AW39" s="116"/>
      <c r="AX39" s="116"/>
      <c r="AY39" s="208"/>
      <c r="AZ39" s="208"/>
      <c r="BA39" s="208"/>
      <c r="BB39" s="208" t="str">
        <f t="shared" si="0"/>
        <v>JAZWARES - TARGET US DOM</v>
      </c>
      <c r="BC39" s="208" t="str">
        <f t="shared" si="1"/>
        <v>美国</v>
      </c>
    </row>
    <row r="40" s="194" customFormat="1" customHeight="1" spans="1:55">
      <c r="A40" s="208">
        <v>45915</v>
      </c>
      <c r="B40" s="40" t="str">
        <f ca="1" t="shared" si="2"/>
        <v/>
      </c>
      <c r="C40" s="209" t="str">
        <f>VLOOKUP(H40,名称!A:E,4,0)</f>
        <v>二代</v>
      </c>
      <c r="D40" s="210" t="s">
        <v>1240</v>
      </c>
      <c r="E40" s="210" t="s">
        <v>1224</v>
      </c>
      <c r="F40" s="211" t="s">
        <v>281</v>
      </c>
      <c r="G40" s="211" t="s">
        <v>282</v>
      </c>
      <c r="H40" s="211" t="s">
        <v>26</v>
      </c>
      <c r="I40" s="211"/>
      <c r="J40" s="212">
        <v>2400</v>
      </c>
      <c r="K40" s="211">
        <v>15</v>
      </c>
      <c r="L40" s="211">
        <f t="shared" si="7"/>
        <v>36000</v>
      </c>
      <c r="M40" s="211">
        <v>6</v>
      </c>
      <c r="N40" s="212">
        <f t="shared" si="3"/>
        <v>400</v>
      </c>
      <c r="O40" s="208">
        <v>46045</v>
      </c>
      <c r="P40" s="208">
        <f>O40</f>
        <v>46045</v>
      </c>
      <c r="Q40" s="208">
        <v>46044</v>
      </c>
      <c r="R40" s="211" t="s">
        <v>1241</v>
      </c>
      <c r="S40" s="208">
        <v>46045</v>
      </c>
      <c r="T40" s="211" t="s">
        <v>1241</v>
      </c>
      <c r="U40" s="211"/>
      <c r="V40" s="211" t="s">
        <v>1595</v>
      </c>
      <c r="W40" s="208"/>
      <c r="X40" s="211" t="s">
        <v>1133</v>
      </c>
      <c r="Y40" s="211" t="s">
        <v>1133</v>
      </c>
      <c r="Z40" s="213">
        <v>45966</v>
      </c>
      <c r="AA40" s="214">
        <v>45967</v>
      </c>
      <c r="AB40" s="213">
        <v>45971</v>
      </c>
      <c r="AC40" s="211" t="s">
        <v>1244</v>
      </c>
      <c r="AD40" s="211" t="s">
        <v>1228</v>
      </c>
      <c r="AE40" s="211" t="s">
        <v>1597</v>
      </c>
      <c r="AF40" s="211" t="s">
        <v>1228</v>
      </c>
      <c r="AG40" s="211" t="s">
        <v>1597</v>
      </c>
      <c r="AH40" s="211" t="s">
        <v>1285</v>
      </c>
      <c r="AI40" s="211" t="s">
        <v>1228</v>
      </c>
      <c r="AJ40" s="211" t="s">
        <v>327</v>
      </c>
      <c r="AK40" s="211" t="s">
        <v>1133</v>
      </c>
      <c r="AL40" s="211"/>
      <c r="AM40" s="211" t="s">
        <v>1600</v>
      </c>
      <c r="AN40" s="212"/>
      <c r="AO40" s="215">
        <v>2.14</v>
      </c>
      <c r="AP40" s="216">
        <f t="shared" si="4"/>
        <v>5136</v>
      </c>
      <c r="AQ40" s="216">
        <f t="shared" si="5"/>
        <v>39804</v>
      </c>
      <c r="AR40" s="217">
        <v>61032</v>
      </c>
      <c r="AS40" s="208">
        <v>46052</v>
      </c>
      <c r="AT40" s="208" t="s">
        <v>1220</v>
      </c>
      <c r="AU40" s="218"/>
      <c r="AV40" s="219">
        <f t="shared" si="6"/>
        <v>-2400</v>
      </c>
      <c r="AW40" s="116"/>
      <c r="AX40" s="116"/>
      <c r="AY40" s="208"/>
      <c r="AZ40" s="208"/>
      <c r="BA40" s="208"/>
      <c r="BB40" s="208" t="str">
        <f t="shared" si="0"/>
        <v>JAZWARES - TARGET US DOM</v>
      </c>
      <c r="BC40" s="208" t="str">
        <f t="shared" si="1"/>
        <v>美国</v>
      </c>
    </row>
    <row r="41" s="194" customFormat="1" customHeight="1" spans="1:55">
      <c r="A41" s="208">
        <v>45953</v>
      </c>
      <c r="B41" s="40" t="str">
        <f ca="1" t="shared" si="2"/>
        <v/>
      </c>
      <c r="C41" s="209" t="str">
        <f>VLOOKUP(H41,名称!A:E,4,0)</f>
        <v>二代</v>
      </c>
      <c r="D41" s="210" t="s">
        <v>1240</v>
      </c>
      <c r="E41" s="210" t="s">
        <v>1224</v>
      </c>
      <c r="F41" s="211" t="s">
        <v>299</v>
      </c>
      <c r="G41" s="211" t="s">
        <v>300</v>
      </c>
      <c r="H41" s="211" t="s">
        <v>26</v>
      </c>
      <c r="I41" s="211"/>
      <c r="J41" s="212">
        <v>9000</v>
      </c>
      <c r="K41" s="211">
        <v>15</v>
      </c>
      <c r="L41" s="211">
        <f t="shared" si="7"/>
        <v>135000</v>
      </c>
      <c r="M41" s="211">
        <v>6</v>
      </c>
      <c r="N41" s="212">
        <f t="shared" si="3"/>
        <v>1500</v>
      </c>
      <c r="O41" s="208">
        <v>46051</v>
      </c>
      <c r="P41" s="208">
        <v>46051</v>
      </c>
      <c r="Q41" s="208">
        <v>46050</v>
      </c>
      <c r="R41" s="211" t="s">
        <v>1241</v>
      </c>
      <c r="S41" s="208">
        <v>46051</v>
      </c>
      <c r="T41" s="211" t="s">
        <v>1282</v>
      </c>
      <c r="U41" s="211"/>
      <c r="V41" s="211" t="s">
        <v>1595</v>
      </c>
      <c r="W41" s="208"/>
      <c r="X41" s="211" t="s">
        <v>1133</v>
      </c>
      <c r="Y41" s="211" t="s">
        <v>1133</v>
      </c>
      <c r="Z41" s="213">
        <v>45992</v>
      </c>
      <c r="AA41" s="214">
        <v>45994</v>
      </c>
      <c r="AB41" s="213">
        <v>45996</v>
      </c>
      <c r="AC41" s="211" t="s">
        <v>1244</v>
      </c>
      <c r="AD41" s="211" t="s">
        <v>1228</v>
      </c>
      <c r="AE41" s="211" t="s">
        <v>1597</v>
      </c>
      <c r="AF41" s="211" t="s">
        <v>1228</v>
      </c>
      <c r="AG41" s="211" t="s">
        <v>1597</v>
      </c>
      <c r="AH41" s="211" t="s">
        <v>1601</v>
      </c>
      <c r="AI41" s="211" t="s">
        <v>1228</v>
      </c>
      <c r="AJ41" s="211" t="s">
        <v>327</v>
      </c>
      <c r="AK41" s="211" t="s">
        <v>1133</v>
      </c>
      <c r="AL41" s="211"/>
      <c r="AM41" s="211" t="s">
        <v>1599</v>
      </c>
      <c r="AN41" s="212"/>
      <c r="AO41" s="215">
        <v>2.14</v>
      </c>
      <c r="AP41" s="216">
        <f t="shared" si="4"/>
        <v>19260</v>
      </c>
      <c r="AQ41" s="216">
        <f t="shared" si="5"/>
        <v>149265</v>
      </c>
      <c r="AR41" s="217">
        <v>61033</v>
      </c>
      <c r="AS41" s="208">
        <v>46052</v>
      </c>
      <c r="AT41" s="208" t="s">
        <v>1220</v>
      </c>
      <c r="AU41" s="218"/>
      <c r="AV41" s="219">
        <f t="shared" si="6"/>
        <v>-9000</v>
      </c>
      <c r="AW41" s="116"/>
      <c r="AX41" s="116"/>
      <c r="AY41" s="208"/>
      <c r="AZ41" s="208"/>
      <c r="BA41" s="208"/>
      <c r="BB41" s="208" t="str">
        <f t="shared" si="0"/>
        <v>JAZWARES - TARGET US DOM</v>
      </c>
      <c r="BC41" s="208" t="str">
        <f t="shared" si="1"/>
        <v>美国</v>
      </c>
    </row>
    <row r="42" s="194" customFormat="1" customHeight="1" spans="1:55">
      <c r="A42" s="208">
        <v>45953</v>
      </c>
      <c r="B42" s="40" t="str">
        <f ca="1" t="shared" si="2"/>
        <v/>
      </c>
      <c r="C42" s="209" t="str">
        <f>VLOOKUP(H42,名称!A:E,4,0)</f>
        <v>二代</v>
      </c>
      <c r="D42" s="210" t="s">
        <v>1240</v>
      </c>
      <c r="E42" s="210" t="s">
        <v>1224</v>
      </c>
      <c r="F42" s="211" t="s">
        <v>297</v>
      </c>
      <c r="G42" s="211" t="s">
        <v>298</v>
      </c>
      <c r="H42" s="211" t="s">
        <v>43</v>
      </c>
      <c r="I42" s="211"/>
      <c r="J42" s="212">
        <v>15000</v>
      </c>
      <c r="K42" s="211">
        <v>5</v>
      </c>
      <c r="L42" s="211">
        <f t="shared" si="7"/>
        <v>75000</v>
      </c>
      <c r="M42" s="211">
        <v>24</v>
      </c>
      <c r="N42" s="212">
        <f t="shared" si="3"/>
        <v>625</v>
      </c>
      <c r="O42" s="208">
        <v>46051</v>
      </c>
      <c r="P42" s="208">
        <v>46051</v>
      </c>
      <c r="Q42" s="208">
        <v>46050</v>
      </c>
      <c r="R42" s="211" t="s">
        <v>1425</v>
      </c>
      <c r="S42" s="208">
        <v>46051</v>
      </c>
      <c r="T42" s="211" t="s">
        <v>1282</v>
      </c>
      <c r="U42" s="211"/>
      <c r="V42" s="211" t="s">
        <v>1595</v>
      </c>
      <c r="W42" s="208"/>
      <c r="X42" s="211" t="s">
        <v>1133</v>
      </c>
      <c r="Y42" s="211" t="s">
        <v>1133</v>
      </c>
      <c r="Z42" s="213">
        <v>45992</v>
      </c>
      <c r="AA42" s="214">
        <v>45994</v>
      </c>
      <c r="AB42" s="213">
        <v>45996</v>
      </c>
      <c r="AC42" s="211" t="s">
        <v>1133</v>
      </c>
      <c r="AD42" s="211" t="s">
        <v>1133</v>
      </c>
      <c r="AE42" s="211" t="s">
        <v>1596</v>
      </c>
      <c r="AF42" s="211" t="s">
        <v>1228</v>
      </c>
      <c r="AG42" s="211" t="s">
        <v>1597</v>
      </c>
      <c r="AH42" s="211" t="s">
        <v>1133</v>
      </c>
      <c r="AI42" s="211" t="s">
        <v>1228</v>
      </c>
      <c r="AJ42" s="211" t="s">
        <v>1133</v>
      </c>
      <c r="AK42" s="211" t="s">
        <v>1598</v>
      </c>
      <c r="AL42" s="211"/>
      <c r="AM42" s="211" t="s">
        <v>1599</v>
      </c>
      <c r="AN42" s="212"/>
      <c r="AO42" s="215">
        <v>0.61</v>
      </c>
      <c r="AP42" s="216">
        <f t="shared" si="4"/>
        <v>9150</v>
      </c>
      <c r="AQ42" s="216">
        <f t="shared" si="5"/>
        <v>70912.5</v>
      </c>
      <c r="AR42" s="217">
        <v>61034</v>
      </c>
      <c r="AS42" s="208">
        <v>46052</v>
      </c>
      <c r="AT42" s="208" t="s">
        <v>1220</v>
      </c>
      <c r="AU42" s="218"/>
      <c r="AV42" s="219">
        <f t="shared" si="6"/>
        <v>-15000</v>
      </c>
      <c r="AW42" s="116"/>
      <c r="AX42" s="116"/>
      <c r="AY42" s="208"/>
      <c r="AZ42" s="208"/>
      <c r="BA42" s="208"/>
      <c r="BB42" s="208" t="str">
        <f t="shared" si="0"/>
        <v>JAZWARES - TARGET US DOM</v>
      </c>
      <c r="BC42" s="208" t="str">
        <f t="shared" si="1"/>
        <v>美国</v>
      </c>
    </row>
    <row r="43" s="194" customFormat="1" customHeight="1" spans="1:55">
      <c r="A43" s="208">
        <v>45953</v>
      </c>
      <c r="B43" s="40" t="str">
        <f ca="1" t="shared" si="2"/>
        <v/>
      </c>
      <c r="C43" s="209" t="str">
        <f>VLOOKUP(H43,名称!A:E,4,0)</f>
        <v>二代</v>
      </c>
      <c r="D43" s="210" t="s">
        <v>1240</v>
      </c>
      <c r="E43" s="210" t="s">
        <v>1224</v>
      </c>
      <c r="F43" s="211" t="s">
        <v>305</v>
      </c>
      <c r="G43" s="211" t="s">
        <v>306</v>
      </c>
      <c r="H43" s="211" t="s">
        <v>43</v>
      </c>
      <c r="I43" s="211"/>
      <c r="J43" s="212">
        <v>15000</v>
      </c>
      <c r="K43" s="211">
        <v>5</v>
      </c>
      <c r="L43" s="211">
        <f t="shared" si="7"/>
        <v>75000</v>
      </c>
      <c r="M43" s="211">
        <v>24</v>
      </c>
      <c r="N43" s="212">
        <f t="shared" si="3"/>
        <v>625</v>
      </c>
      <c r="O43" s="208">
        <v>46051</v>
      </c>
      <c r="P43" s="208">
        <v>46051</v>
      </c>
      <c r="Q43" s="208">
        <v>46050</v>
      </c>
      <c r="R43" s="211" t="s">
        <v>1425</v>
      </c>
      <c r="S43" s="208">
        <v>46051</v>
      </c>
      <c r="T43" s="211" t="s">
        <v>1282</v>
      </c>
      <c r="U43" s="211"/>
      <c r="V43" s="211" t="s">
        <v>1595</v>
      </c>
      <c r="W43" s="208"/>
      <c r="X43" s="211" t="s">
        <v>1133</v>
      </c>
      <c r="Y43" s="211" t="s">
        <v>1133</v>
      </c>
      <c r="Z43" s="213">
        <v>45992</v>
      </c>
      <c r="AA43" s="214">
        <v>45994</v>
      </c>
      <c r="AB43" s="213">
        <v>45996</v>
      </c>
      <c r="AC43" s="211" t="s">
        <v>1133</v>
      </c>
      <c r="AD43" s="211" t="s">
        <v>1133</v>
      </c>
      <c r="AE43" s="211" t="s">
        <v>1596</v>
      </c>
      <c r="AF43" s="211" t="s">
        <v>1228</v>
      </c>
      <c r="AG43" s="211" t="s">
        <v>1597</v>
      </c>
      <c r="AH43" s="211" t="s">
        <v>1133</v>
      </c>
      <c r="AI43" s="211" t="s">
        <v>1228</v>
      </c>
      <c r="AJ43" s="211" t="s">
        <v>1133</v>
      </c>
      <c r="AK43" s="211" t="s">
        <v>1598</v>
      </c>
      <c r="AL43" s="211"/>
      <c r="AM43" s="211" t="s">
        <v>1599</v>
      </c>
      <c r="AN43" s="212"/>
      <c r="AO43" s="215">
        <v>0.61</v>
      </c>
      <c r="AP43" s="216">
        <f t="shared" si="4"/>
        <v>9150</v>
      </c>
      <c r="AQ43" s="216">
        <f t="shared" si="5"/>
        <v>70912.5</v>
      </c>
      <c r="AR43" s="217">
        <v>61035</v>
      </c>
      <c r="AS43" s="208">
        <v>46052</v>
      </c>
      <c r="AT43" s="208" t="s">
        <v>1220</v>
      </c>
      <c r="AU43" s="218"/>
      <c r="AV43" s="219">
        <f t="shared" si="6"/>
        <v>-15000</v>
      </c>
      <c r="AW43" s="116"/>
      <c r="AX43" s="116"/>
      <c r="AY43" s="208"/>
      <c r="AZ43" s="208"/>
      <c r="BA43" s="208"/>
      <c r="BB43" s="208" t="str">
        <f t="shared" si="0"/>
        <v>JAZWARES - TARGET US DOM</v>
      </c>
      <c r="BC43" s="208" t="str">
        <f t="shared" si="1"/>
        <v>美国</v>
      </c>
    </row>
    <row r="44" s="194" customFormat="1" customHeight="1" spans="1:55">
      <c r="A44" s="208">
        <v>45953</v>
      </c>
      <c r="B44" s="40" t="str">
        <f ca="1" t="shared" si="2"/>
        <v/>
      </c>
      <c r="C44" s="209" t="str">
        <f>VLOOKUP(H44,名称!A:E,4,0)</f>
        <v>二代</v>
      </c>
      <c r="D44" s="210" t="s">
        <v>1240</v>
      </c>
      <c r="E44" s="210" t="s">
        <v>1224</v>
      </c>
      <c r="F44" s="211" t="s">
        <v>295</v>
      </c>
      <c r="G44" s="211" t="s">
        <v>296</v>
      </c>
      <c r="H44" s="211" t="s">
        <v>44</v>
      </c>
      <c r="I44" s="211"/>
      <c r="J44" s="212">
        <v>14016</v>
      </c>
      <c r="K44" s="211">
        <v>5</v>
      </c>
      <c r="L44" s="211">
        <f t="shared" si="7"/>
        <v>70080</v>
      </c>
      <c r="M44" s="211">
        <v>24</v>
      </c>
      <c r="N44" s="212">
        <f t="shared" si="3"/>
        <v>584</v>
      </c>
      <c r="O44" s="208">
        <v>46051</v>
      </c>
      <c r="P44" s="208">
        <v>46051</v>
      </c>
      <c r="Q44" s="208">
        <v>46050</v>
      </c>
      <c r="R44" s="211" t="s">
        <v>1241</v>
      </c>
      <c r="S44" s="208">
        <v>46051</v>
      </c>
      <c r="T44" s="211" t="s">
        <v>1282</v>
      </c>
      <c r="U44" s="211"/>
      <c r="V44" s="211" t="s">
        <v>1595</v>
      </c>
      <c r="W44" s="208"/>
      <c r="X44" s="211" t="s">
        <v>1133</v>
      </c>
      <c r="Y44" s="211" t="s">
        <v>1133</v>
      </c>
      <c r="Z44" s="213">
        <v>45992</v>
      </c>
      <c r="AA44" s="214">
        <v>45994</v>
      </c>
      <c r="AB44" s="213">
        <v>45996</v>
      </c>
      <c r="AC44" s="211" t="s">
        <v>1133</v>
      </c>
      <c r="AD44" s="211" t="s">
        <v>1133</v>
      </c>
      <c r="AE44" s="211" t="s">
        <v>1597</v>
      </c>
      <c r="AF44" s="211" t="s">
        <v>1228</v>
      </c>
      <c r="AG44" s="211" t="s">
        <v>1597</v>
      </c>
      <c r="AH44" s="211" t="s">
        <v>1133</v>
      </c>
      <c r="AI44" s="211" t="s">
        <v>1228</v>
      </c>
      <c r="AJ44" s="211" t="s">
        <v>1133</v>
      </c>
      <c r="AK44" s="211" t="s">
        <v>1598</v>
      </c>
      <c r="AL44" s="211"/>
      <c r="AM44" s="211" t="s">
        <v>1599</v>
      </c>
      <c r="AN44" s="212"/>
      <c r="AO44" s="215">
        <v>0.61</v>
      </c>
      <c r="AP44" s="216">
        <f t="shared" si="4"/>
        <v>8549.76</v>
      </c>
      <c r="AQ44" s="216">
        <f t="shared" si="5"/>
        <v>66260.64</v>
      </c>
      <c r="AR44" s="217">
        <v>61036</v>
      </c>
      <c r="AS44" s="208">
        <v>46052</v>
      </c>
      <c r="AT44" s="208" t="s">
        <v>1220</v>
      </c>
      <c r="AU44" s="218"/>
      <c r="AV44" s="219">
        <f t="shared" si="6"/>
        <v>-14016</v>
      </c>
      <c r="AW44" s="116"/>
      <c r="AX44" s="116"/>
      <c r="AY44" s="208"/>
      <c r="AZ44" s="208"/>
      <c r="BA44" s="208"/>
      <c r="BB44" s="208" t="str">
        <f t="shared" si="0"/>
        <v>JAZWARES - TARGET US DOM</v>
      </c>
      <c r="BC44" s="208" t="str">
        <f t="shared" si="1"/>
        <v>美国</v>
      </c>
    </row>
    <row r="45" s="194" customFormat="1" customHeight="1" spans="1:55">
      <c r="A45" s="208">
        <v>45953</v>
      </c>
      <c r="B45" s="40" t="str">
        <f ca="1" t="shared" si="2"/>
        <v/>
      </c>
      <c r="C45" s="209" t="str">
        <f>VLOOKUP(H45,名称!A:E,4,0)</f>
        <v>二代</v>
      </c>
      <c r="D45" s="210" t="s">
        <v>1240</v>
      </c>
      <c r="E45" s="210" t="s">
        <v>1224</v>
      </c>
      <c r="F45" s="211" t="s">
        <v>303</v>
      </c>
      <c r="G45" s="211" t="s">
        <v>304</v>
      </c>
      <c r="H45" s="211" t="s">
        <v>44</v>
      </c>
      <c r="I45" s="211"/>
      <c r="J45" s="212">
        <v>14016</v>
      </c>
      <c r="K45" s="211">
        <v>5</v>
      </c>
      <c r="L45" s="211">
        <f t="shared" si="7"/>
        <v>70080</v>
      </c>
      <c r="M45" s="211">
        <v>24</v>
      </c>
      <c r="N45" s="212">
        <f t="shared" si="3"/>
        <v>584</v>
      </c>
      <c r="O45" s="208">
        <v>46051</v>
      </c>
      <c r="P45" s="208">
        <v>46051</v>
      </c>
      <c r="Q45" s="208">
        <v>46050</v>
      </c>
      <c r="R45" s="211" t="s">
        <v>1241</v>
      </c>
      <c r="S45" s="208">
        <v>46051</v>
      </c>
      <c r="T45" s="211" t="s">
        <v>1282</v>
      </c>
      <c r="U45" s="211"/>
      <c r="V45" s="211" t="s">
        <v>1595</v>
      </c>
      <c r="W45" s="208"/>
      <c r="X45" s="211" t="s">
        <v>1133</v>
      </c>
      <c r="Y45" s="211" t="s">
        <v>1133</v>
      </c>
      <c r="Z45" s="213">
        <v>45992</v>
      </c>
      <c r="AA45" s="214">
        <v>45994</v>
      </c>
      <c r="AB45" s="213">
        <v>45996</v>
      </c>
      <c r="AC45" s="211" t="s">
        <v>1133</v>
      </c>
      <c r="AD45" s="211" t="s">
        <v>1133</v>
      </c>
      <c r="AE45" s="211" t="s">
        <v>1597</v>
      </c>
      <c r="AF45" s="211" t="s">
        <v>1228</v>
      </c>
      <c r="AG45" s="211" t="s">
        <v>1597</v>
      </c>
      <c r="AH45" s="211" t="s">
        <v>1133</v>
      </c>
      <c r="AI45" s="211" t="s">
        <v>1228</v>
      </c>
      <c r="AJ45" s="211" t="s">
        <v>1133</v>
      </c>
      <c r="AK45" s="211" t="s">
        <v>1598</v>
      </c>
      <c r="AL45" s="211"/>
      <c r="AM45" s="211" t="s">
        <v>1599</v>
      </c>
      <c r="AN45" s="212"/>
      <c r="AO45" s="215">
        <v>0.61</v>
      </c>
      <c r="AP45" s="216">
        <f t="shared" si="4"/>
        <v>8549.76</v>
      </c>
      <c r="AQ45" s="216">
        <f t="shared" si="5"/>
        <v>66260.64</v>
      </c>
      <c r="AR45" s="217">
        <v>61037</v>
      </c>
      <c r="AS45" s="208">
        <v>46052</v>
      </c>
      <c r="AT45" s="208" t="s">
        <v>1220</v>
      </c>
      <c r="AU45" s="218"/>
      <c r="AV45" s="219">
        <f t="shared" si="6"/>
        <v>-14016</v>
      </c>
      <c r="AW45" s="116"/>
      <c r="AX45" s="116"/>
      <c r="AY45" s="208"/>
      <c r="AZ45" s="208"/>
      <c r="BA45" s="208"/>
      <c r="BB45" s="208" t="str">
        <f t="shared" si="0"/>
        <v>JAZWARES - TARGET US DOM</v>
      </c>
      <c r="BC45" s="208" t="str">
        <f t="shared" si="1"/>
        <v>美国</v>
      </c>
    </row>
    <row r="46" s="194" customFormat="1" customHeight="1" spans="1:55">
      <c r="A46" s="208">
        <v>45953</v>
      </c>
      <c r="B46" s="40" t="str">
        <f ca="1" t="shared" si="2"/>
        <v/>
      </c>
      <c r="C46" s="209" t="str">
        <f>VLOOKUP(H46,名称!A:E,4,0)</f>
        <v>二代</v>
      </c>
      <c r="D46" s="210" t="s">
        <v>1240</v>
      </c>
      <c r="E46" s="210" t="s">
        <v>1224</v>
      </c>
      <c r="F46" s="211" t="s">
        <v>301</v>
      </c>
      <c r="G46" s="211" t="s">
        <v>302</v>
      </c>
      <c r="H46" s="211" t="s">
        <v>26</v>
      </c>
      <c r="I46" s="211"/>
      <c r="J46" s="212">
        <v>9000</v>
      </c>
      <c r="K46" s="211">
        <v>15</v>
      </c>
      <c r="L46" s="211">
        <f t="shared" si="7"/>
        <v>135000</v>
      </c>
      <c r="M46" s="211">
        <v>6</v>
      </c>
      <c r="N46" s="212">
        <f t="shared" si="3"/>
        <v>1500</v>
      </c>
      <c r="O46" s="208">
        <v>46051</v>
      </c>
      <c r="P46" s="208">
        <v>46051</v>
      </c>
      <c r="Q46" s="208">
        <v>46050</v>
      </c>
      <c r="R46" s="211" t="s">
        <v>1241</v>
      </c>
      <c r="S46" s="208">
        <v>46051</v>
      </c>
      <c r="T46" s="211" t="s">
        <v>1282</v>
      </c>
      <c r="U46" s="211"/>
      <c r="V46" s="211" t="s">
        <v>1595</v>
      </c>
      <c r="W46" s="208"/>
      <c r="X46" s="211" t="s">
        <v>1133</v>
      </c>
      <c r="Y46" s="211" t="s">
        <v>1133</v>
      </c>
      <c r="Z46" s="213">
        <v>45992</v>
      </c>
      <c r="AA46" s="214">
        <v>45994</v>
      </c>
      <c r="AB46" s="213">
        <v>45996</v>
      </c>
      <c r="AC46" s="211" t="s">
        <v>1244</v>
      </c>
      <c r="AD46" s="211" t="s">
        <v>1228</v>
      </c>
      <c r="AE46" s="211" t="s">
        <v>1597</v>
      </c>
      <c r="AF46" s="211" t="s">
        <v>1228</v>
      </c>
      <c r="AG46" s="211" t="s">
        <v>1597</v>
      </c>
      <c r="AH46" s="211" t="s">
        <v>1601</v>
      </c>
      <c r="AI46" s="211" t="s">
        <v>1228</v>
      </c>
      <c r="AJ46" s="211" t="s">
        <v>327</v>
      </c>
      <c r="AK46" s="211" t="s">
        <v>1133</v>
      </c>
      <c r="AL46" s="211"/>
      <c r="AM46" s="211" t="s">
        <v>1599</v>
      </c>
      <c r="AN46" s="212"/>
      <c r="AO46" s="215">
        <v>2.14</v>
      </c>
      <c r="AP46" s="216">
        <f t="shared" si="4"/>
        <v>19260</v>
      </c>
      <c r="AQ46" s="216">
        <f t="shared" si="5"/>
        <v>149265</v>
      </c>
      <c r="AR46" s="217">
        <v>61038</v>
      </c>
      <c r="AS46" s="208">
        <v>46052</v>
      </c>
      <c r="AT46" s="208" t="s">
        <v>1220</v>
      </c>
      <c r="AU46" s="218"/>
      <c r="AV46" s="219">
        <f t="shared" si="6"/>
        <v>-9000</v>
      </c>
      <c r="AW46" s="116"/>
      <c r="AX46" s="116"/>
      <c r="AY46" s="208"/>
      <c r="AZ46" s="208"/>
      <c r="BA46" s="208"/>
      <c r="BB46" s="208" t="str">
        <f t="shared" si="0"/>
        <v>JAZWARES - TARGET US DOM</v>
      </c>
      <c r="BC46" s="208" t="str">
        <f t="shared" si="1"/>
        <v>美国</v>
      </c>
    </row>
    <row r="47" s="194" customFormat="1" customHeight="1" spans="1:55">
      <c r="A47" s="208">
        <v>45945</v>
      </c>
      <c r="B47" s="40" t="str">
        <f ca="1" t="shared" si="2"/>
        <v/>
      </c>
      <c r="C47" s="209" t="str">
        <f>VLOOKUP(H47,名称!A:E,4,0)</f>
        <v>二代</v>
      </c>
      <c r="D47" s="210" t="s">
        <v>1240</v>
      </c>
      <c r="E47" s="210" t="s">
        <v>1224</v>
      </c>
      <c r="F47" s="211" t="s">
        <v>293</v>
      </c>
      <c r="G47" s="211" t="s">
        <v>294</v>
      </c>
      <c r="H47" s="211" t="s">
        <v>44</v>
      </c>
      <c r="I47" s="211"/>
      <c r="J47" s="212">
        <v>7008</v>
      </c>
      <c r="K47" s="211">
        <v>5</v>
      </c>
      <c r="L47" s="211">
        <f t="shared" si="7"/>
        <v>35040</v>
      </c>
      <c r="M47" s="211">
        <v>24</v>
      </c>
      <c r="N47" s="212">
        <f t="shared" si="3"/>
        <v>292</v>
      </c>
      <c r="O47" s="208">
        <v>46052</v>
      </c>
      <c r="P47" s="208">
        <v>46052</v>
      </c>
      <c r="Q47" s="208">
        <v>46051</v>
      </c>
      <c r="R47" s="211" t="s">
        <v>1241</v>
      </c>
      <c r="S47" s="208">
        <v>46052</v>
      </c>
      <c r="T47" s="211" t="s">
        <v>1282</v>
      </c>
      <c r="U47" s="211"/>
      <c r="V47" s="211" t="s">
        <v>1595</v>
      </c>
      <c r="W47" s="208"/>
      <c r="X47" s="211" t="s">
        <v>1133</v>
      </c>
      <c r="Y47" s="211" t="s">
        <v>1133</v>
      </c>
      <c r="Z47" s="213">
        <v>45992</v>
      </c>
      <c r="AA47" s="214">
        <v>45994</v>
      </c>
      <c r="AB47" s="213">
        <v>45996</v>
      </c>
      <c r="AC47" s="211" t="s">
        <v>1133</v>
      </c>
      <c r="AD47" s="211" t="s">
        <v>1133</v>
      </c>
      <c r="AE47" s="211" t="s">
        <v>1597</v>
      </c>
      <c r="AF47" s="211" t="s">
        <v>1228</v>
      </c>
      <c r="AG47" s="211" t="s">
        <v>1597</v>
      </c>
      <c r="AH47" s="211" t="s">
        <v>1133</v>
      </c>
      <c r="AI47" s="211" t="s">
        <v>1228</v>
      </c>
      <c r="AJ47" s="211" t="s">
        <v>1133</v>
      </c>
      <c r="AK47" s="211" t="s">
        <v>1598</v>
      </c>
      <c r="AL47" s="211"/>
      <c r="AM47" s="211" t="s">
        <v>1599</v>
      </c>
      <c r="AN47" s="212"/>
      <c r="AO47" s="215">
        <v>0.61</v>
      </c>
      <c r="AP47" s="216">
        <f t="shared" si="4"/>
        <v>4274.88</v>
      </c>
      <c r="AQ47" s="216">
        <f t="shared" si="5"/>
        <v>33130.32</v>
      </c>
      <c r="AR47" s="217">
        <v>61039</v>
      </c>
      <c r="AS47" s="208">
        <v>46052</v>
      </c>
      <c r="AT47" s="208" t="s">
        <v>1220</v>
      </c>
      <c r="AU47" s="218"/>
      <c r="AV47" s="219">
        <f t="shared" si="6"/>
        <v>-7008</v>
      </c>
      <c r="AW47" s="116"/>
      <c r="AX47" s="116"/>
      <c r="AY47" s="208"/>
      <c r="AZ47" s="208"/>
      <c r="BA47" s="208"/>
      <c r="BB47" s="208" t="str">
        <f t="shared" si="0"/>
        <v>JAZWARES - TARGET US DOM</v>
      </c>
      <c r="BC47" s="208" t="str">
        <f t="shared" si="1"/>
        <v>美国</v>
      </c>
    </row>
    <row r="48" s="194" customFormat="1" customHeight="1" spans="1:55">
      <c r="A48" s="208">
        <v>45916</v>
      </c>
      <c r="B48" s="40" t="str">
        <f ca="1" t="shared" si="2"/>
        <v/>
      </c>
      <c r="C48" s="209" t="str">
        <f>VLOOKUP(H48,名称!A:E,4,0)</f>
        <v>二代</v>
      </c>
      <c r="D48" s="210" t="s">
        <v>1429</v>
      </c>
      <c r="E48" s="210" t="s">
        <v>1224</v>
      </c>
      <c r="F48" s="211" t="s">
        <v>289</v>
      </c>
      <c r="G48" s="211" t="s">
        <v>290</v>
      </c>
      <c r="H48" s="211" t="s">
        <v>43</v>
      </c>
      <c r="I48" s="211"/>
      <c r="J48" s="212">
        <v>5016</v>
      </c>
      <c r="K48" s="211"/>
      <c r="L48" s="211"/>
      <c r="M48" s="211">
        <v>24</v>
      </c>
      <c r="N48" s="211">
        <f t="shared" si="3"/>
        <v>209</v>
      </c>
      <c r="O48" s="208">
        <v>45991</v>
      </c>
      <c r="P48" s="208">
        <f>O48</f>
        <v>45991</v>
      </c>
      <c r="Q48" s="208">
        <v>45988</v>
      </c>
      <c r="R48" s="211" t="s">
        <v>1241</v>
      </c>
      <c r="S48" s="208">
        <v>45989</v>
      </c>
      <c r="T48" s="211" t="s">
        <v>1241</v>
      </c>
      <c r="U48" s="211"/>
      <c r="V48" s="211" t="s">
        <v>1595</v>
      </c>
      <c r="W48" s="208"/>
      <c r="X48" s="211" t="s">
        <v>1133</v>
      </c>
      <c r="Y48" s="211" t="s">
        <v>1133</v>
      </c>
      <c r="Z48" s="213">
        <v>45966</v>
      </c>
      <c r="AA48" s="214">
        <v>45967</v>
      </c>
      <c r="AB48" s="213">
        <v>45967</v>
      </c>
      <c r="AC48" s="211" t="s">
        <v>1133</v>
      </c>
      <c r="AD48" s="211" t="s">
        <v>1133</v>
      </c>
      <c r="AE48" s="211" t="s">
        <v>1596</v>
      </c>
      <c r="AF48" s="211" t="s">
        <v>1228</v>
      </c>
      <c r="AG48" s="211" t="s">
        <v>1597</v>
      </c>
      <c r="AH48" s="211" t="s">
        <v>1133</v>
      </c>
      <c r="AI48" s="211" t="s">
        <v>1228</v>
      </c>
      <c r="AJ48" s="211" t="s">
        <v>1133</v>
      </c>
      <c r="AK48" s="211" t="s">
        <v>1598</v>
      </c>
      <c r="AL48" s="211"/>
      <c r="AM48" s="211" t="s">
        <v>1602</v>
      </c>
      <c r="AN48" s="212"/>
      <c r="AO48" s="215">
        <v>0.61</v>
      </c>
      <c r="AP48" s="216">
        <f t="shared" si="4"/>
        <v>3059.76</v>
      </c>
      <c r="AQ48" s="216">
        <f t="shared" si="5"/>
        <v>23713.14</v>
      </c>
      <c r="AR48" s="217">
        <v>61040</v>
      </c>
      <c r="AS48" s="208">
        <v>46052</v>
      </c>
      <c r="AT48" s="208" t="s">
        <v>1220</v>
      </c>
      <c r="AU48" s="218"/>
      <c r="AV48" s="219">
        <f t="shared" si="6"/>
        <v>-5016</v>
      </c>
      <c r="AW48" s="116"/>
      <c r="AX48" s="116"/>
      <c r="AY48" s="208"/>
      <c r="AZ48" s="208"/>
      <c r="BA48" s="208"/>
      <c r="BB48" s="208" t="str">
        <f t="shared" si="0"/>
        <v>JAZWARES - MEIJER INC. DOM</v>
      </c>
      <c r="BC48" s="208" t="str">
        <f t="shared" si="1"/>
        <v>美国</v>
      </c>
    </row>
    <row r="49" s="194" customFormat="1" customHeight="1" spans="1:55">
      <c r="A49" s="208">
        <v>45915</v>
      </c>
      <c r="B49" s="40" t="str">
        <f ca="1" t="shared" si="2"/>
        <v/>
      </c>
      <c r="C49" s="209" t="str">
        <f>VLOOKUP(H49,名称!A:E,4,0)</f>
        <v>二代</v>
      </c>
      <c r="D49" s="210" t="s">
        <v>1240</v>
      </c>
      <c r="E49" s="210" t="s">
        <v>1224</v>
      </c>
      <c r="F49" s="211" t="s">
        <v>285</v>
      </c>
      <c r="G49" s="211" t="s">
        <v>286</v>
      </c>
      <c r="H49" s="211" t="s">
        <v>43</v>
      </c>
      <c r="I49" s="211"/>
      <c r="J49" s="212">
        <v>3000</v>
      </c>
      <c r="K49" s="211">
        <v>5</v>
      </c>
      <c r="L49" s="211">
        <f>K49*J49</f>
        <v>15000</v>
      </c>
      <c r="M49" s="211">
        <v>24</v>
      </c>
      <c r="N49" s="212">
        <f t="shared" si="3"/>
        <v>125</v>
      </c>
      <c r="O49" s="208">
        <v>46031</v>
      </c>
      <c r="P49" s="208">
        <f>O49</f>
        <v>46031</v>
      </c>
      <c r="Q49" s="208">
        <v>46030</v>
      </c>
      <c r="R49" s="211" t="s">
        <v>1241</v>
      </c>
      <c r="S49" s="208">
        <v>46031</v>
      </c>
      <c r="T49" s="211" t="s">
        <v>1241</v>
      </c>
      <c r="U49" s="211"/>
      <c r="V49" s="211" t="s">
        <v>1595</v>
      </c>
      <c r="W49" s="208"/>
      <c r="X49" s="211" t="s">
        <v>1133</v>
      </c>
      <c r="Y49" s="211" t="s">
        <v>1133</v>
      </c>
      <c r="Z49" s="213">
        <v>45966</v>
      </c>
      <c r="AA49" s="214">
        <v>45967</v>
      </c>
      <c r="AB49" s="213">
        <v>45971</v>
      </c>
      <c r="AC49" s="211" t="s">
        <v>1133</v>
      </c>
      <c r="AD49" s="211" t="s">
        <v>1133</v>
      </c>
      <c r="AE49" s="211" t="s">
        <v>1596</v>
      </c>
      <c r="AF49" s="211" t="s">
        <v>1228</v>
      </c>
      <c r="AG49" s="211" t="s">
        <v>1597</v>
      </c>
      <c r="AH49" s="211" t="s">
        <v>1133</v>
      </c>
      <c r="AI49" s="211" t="s">
        <v>1228</v>
      </c>
      <c r="AJ49" s="211" t="s">
        <v>1133</v>
      </c>
      <c r="AK49" s="211" t="s">
        <v>1598</v>
      </c>
      <c r="AL49" s="211"/>
      <c r="AM49" s="211" t="s">
        <v>1600</v>
      </c>
      <c r="AN49" s="212"/>
      <c r="AO49" s="215">
        <v>0.61</v>
      </c>
      <c r="AP49" s="216">
        <f t="shared" si="4"/>
        <v>1830</v>
      </c>
      <c r="AQ49" s="216">
        <f t="shared" si="5"/>
        <v>14182.5</v>
      </c>
      <c r="AR49" s="217">
        <v>61041</v>
      </c>
      <c r="AS49" s="208">
        <v>46052</v>
      </c>
      <c r="AT49" s="208" t="s">
        <v>1220</v>
      </c>
      <c r="AU49" s="218"/>
      <c r="AV49" s="219">
        <f t="shared" si="6"/>
        <v>-3000</v>
      </c>
      <c r="AW49" s="116"/>
      <c r="AX49" s="116"/>
      <c r="AY49" s="208"/>
      <c r="AZ49" s="208"/>
      <c r="BA49" s="208"/>
      <c r="BB49" s="208" t="str">
        <f t="shared" si="0"/>
        <v>JAZWARES - TARGET US DOM</v>
      </c>
      <c r="BC49" s="208" t="str">
        <f t="shared" si="1"/>
        <v>美国</v>
      </c>
    </row>
    <row r="50" s="194" customFormat="1" customHeight="1" spans="1:55">
      <c r="A50" s="208">
        <v>45915</v>
      </c>
      <c r="B50" s="40" t="str">
        <f ca="1" t="shared" si="2"/>
        <v/>
      </c>
      <c r="C50" s="209" t="str">
        <f>VLOOKUP(H50,名称!A:E,4,0)</f>
        <v>二代</v>
      </c>
      <c r="D50" s="210" t="s">
        <v>1240</v>
      </c>
      <c r="E50" s="210" t="s">
        <v>1224</v>
      </c>
      <c r="F50" s="211" t="s">
        <v>287</v>
      </c>
      <c r="G50" s="211" t="s">
        <v>288</v>
      </c>
      <c r="H50" s="211" t="s">
        <v>26</v>
      </c>
      <c r="I50" s="211"/>
      <c r="J50" s="212">
        <v>2400</v>
      </c>
      <c r="K50" s="211">
        <v>15</v>
      </c>
      <c r="L50" s="211">
        <f>K50*J50</f>
        <v>36000</v>
      </c>
      <c r="M50" s="211">
        <v>6</v>
      </c>
      <c r="N50" s="212">
        <f t="shared" si="3"/>
        <v>400</v>
      </c>
      <c r="O50" s="208">
        <v>46031</v>
      </c>
      <c r="P50" s="208">
        <f>O50</f>
        <v>46031</v>
      </c>
      <c r="Q50" s="208">
        <v>46030</v>
      </c>
      <c r="R50" s="211" t="s">
        <v>1241</v>
      </c>
      <c r="S50" s="208">
        <v>46031</v>
      </c>
      <c r="T50" s="211" t="s">
        <v>1241</v>
      </c>
      <c r="U50" s="211"/>
      <c r="V50" s="211" t="s">
        <v>1595</v>
      </c>
      <c r="W50" s="208"/>
      <c r="X50" s="211" t="s">
        <v>1133</v>
      </c>
      <c r="Y50" s="211" t="s">
        <v>1133</v>
      </c>
      <c r="Z50" s="213">
        <v>45966</v>
      </c>
      <c r="AA50" s="214">
        <v>45967</v>
      </c>
      <c r="AB50" s="213">
        <v>45971</v>
      </c>
      <c r="AC50" s="211" t="s">
        <v>1244</v>
      </c>
      <c r="AD50" s="211" t="s">
        <v>1228</v>
      </c>
      <c r="AE50" s="211" t="s">
        <v>1597</v>
      </c>
      <c r="AF50" s="211" t="s">
        <v>1228</v>
      </c>
      <c r="AG50" s="211" t="s">
        <v>1597</v>
      </c>
      <c r="AH50" s="211" t="s">
        <v>1285</v>
      </c>
      <c r="AI50" s="211" t="s">
        <v>1228</v>
      </c>
      <c r="AJ50" s="211" t="s">
        <v>327</v>
      </c>
      <c r="AK50" s="211" t="s">
        <v>1133</v>
      </c>
      <c r="AL50" s="211"/>
      <c r="AM50" s="211" t="s">
        <v>1600</v>
      </c>
      <c r="AN50" s="212"/>
      <c r="AO50" s="215">
        <v>2.14</v>
      </c>
      <c r="AP50" s="216">
        <f t="shared" si="4"/>
        <v>5136</v>
      </c>
      <c r="AQ50" s="216">
        <f t="shared" si="5"/>
        <v>39804</v>
      </c>
      <c r="AR50" s="217">
        <v>61042</v>
      </c>
      <c r="AS50" s="208">
        <v>46052</v>
      </c>
      <c r="AT50" s="208" t="s">
        <v>1220</v>
      </c>
      <c r="AU50" s="218"/>
      <c r="AV50" s="219">
        <f t="shared" si="6"/>
        <v>-2400</v>
      </c>
      <c r="AW50" s="116"/>
      <c r="AX50" s="116"/>
      <c r="AY50" s="208"/>
      <c r="AZ50" s="208"/>
      <c r="BA50" s="208"/>
      <c r="BB50" s="208" t="str">
        <f t="shared" si="0"/>
        <v>JAZWARES - TARGET US DOM</v>
      </c>
      <c r="BC50" s="208" t="str">
        <f t="shared" si="1"/>
        <v>美国</v>
      </c>
    </row>
    <row r="51" s="194" customFormat="1" customHeight="1" spans="1:55">
      <c r="A51" s="208">
        <v>45915</v>
      </c>
      <c r="B51" s="40" t="str">
        <f ca="1" t="shared" si="2"/>
        <v/>
      </c>
      <c r="C51" s="209" t="str">
        <f>VLOOKUP(H51,名称!A:E,4,0)</f>
        <v>二代</v>
      </c>
      <c r="D51" s="210" t="s">
        <v>1240</v>
      </c>
      <c r="E51" s="210" t="s">
        <v>1224</v>
      </c>
      <c r="F51" s="211" t="s">
        <v>279</v>
      </c>
      <c r="G51" s="211" t="s">
        <v>280</v>
      </c>
      <c r="H51" s="211" t="s">
        <v>43</v>
      </c>
      <c r="I51" s="211"/>
      <c r="J51" s="212">
        <v>6216</v>
      </c>
      <c r="K51" s="211">
        <v>5</v>
      </c>
      <c r="L51" s="211">
        <f t="shared" ref="L51:L59" si="8">J51*K51</f>
        <v>31080</v>
      </c>
      <c r="M51" s="211">
        <v>24</v>
      </c>
      <c r="N51" s="212">
        <f t="shared" si="3"/>
        <v>259</v>
      </c>
      <c r="O51" s="208">
        <v>46045</v>
      </c>
      <c r="P51" s="208">
        <f>O51</f>
        <v>46045</v>
      </c>
      <c r="Q51" s="208">
        <v>46044</v>
      </c>
      <c r="R51" s="211" t="s">
        <v>1241</v>
      </c>
      <c r="S51" s="208">
        <v>46045</v>
      </c>
      <c r="T51" s="211" t="s">
        <v>1241</v>
      </c>
      <c r="U51" s="211"/>
      <c r="V51" s="211" t="s">
        <v>1595</v>
      </c>
      <c r="W51" s="208"/>
      <c r="X51" s="211" t="s">
        <v>1133</v>
      </c>
      <c r="Y51" s="211" t="s">
        <v>1133</v>
      </c>
      <c r="Z51" s="213">
        <v>45992</v>
      </c>
      <c r="AA51" s="214">
        <v>45994</v>
      </c>
      <c r="AB51" s="213">
        <v>45996</v>
      </c>
      <c r="AC51" s="211" t="s">
        <v>1133</v>
      </c>
      <c r="AD51" s="211" t="s">
        <v>1133</v>
      </c>
      <c r="AE51" s="211" t="s">
        <v>1596</v>
      </c>
      <c r="AF51" s="211" t="s">
        <v>1228</v>
      </c>
      <c r="AG51" s="211" t="s">
        <v>1597</v>
      </c>
      <c r="AH51" s="211" t="s">
        <v>1133</v>
      </c>
      <c r="AI51" s="211" t="s">
        <v>1228</v>
      </c>
      <c r="AJ51" s="211" t="s">
        <v>1133</v>
      </c>
      <c r="AK51" s="211" t="s">
        <v>1598</v>
      </c>
      <c r="AL51" s="211"/>
      <c r="AM51" s="211" t="s">
        <v>1599</v>
      </c>
      <c r="AN51" s="212"/>
      <c r="AO51" s="215">
        <v>0.61</v>
      </c>
      <c r="AP51" s="216">
        <f t="shared" si="4"/>
        <v>3791.76</v>
      </c>
      <c r="AQ51" s="216">
        <f t="shared" si="5"/>
        <v>29386.14</v>
      </c>
      <c r="AR51" s="217">
        <v>61043</v>
      </c>
      <c r="AS51" s="208">
        <v>46052</v>
      </c>
      <c r="AT51" s="208" t="s">
        <v>1220</v>
      </c>
      <c r="AU51" s="218"/>
      <c r="AV51" s="219">
        <f t="shared" si="6"/>
        <v>-6216</v>
      </c>
      <c r="AW51" s="116"/>
      <c r="AX51" s="116"/>
      <c r="AY51" s="208"/>
      <c r="AZ51" s="208"/>
      <c r="BA51" s="208"/>
      <c r="BB51" s="208" t="str">
        <f t="shared" si="0"/>
        <v>JAZWARES - TARGET US DOM</v>
      </c>
      <c r="BC51" s="208" t="str">
        <f t="shared" si="1"/>
        <v>美国</v>
      </c>
    </row>
    <row r="52" s="194" customFormat="1" customHeight="1" spans="1:55">
      <c r="A52" s="208">
        <v>45915</v>
      </c>
      <c r="B52" s="40" t="str">
        <f ca="1" t="shared" si="2"/>
        <v/>
      </c>
      <c r="C52" s="209" t="str">
        <f>VLOOKUP(H52,名称!A:E,4,0)</f>
        <v>二代</v>
      </c>
      <c r="D52" s="210" t="s">
        <v>1240</v>
      </c>
      <c r="E52" s="210" t="s">
        <v>1224</v>
      </c>
      <c r="F52" s="211" t="s">
        <v>283</v>
      </c>
      <c r="G52" s="211" t="s">
        <v>284</v>
      </c>
      <c r="H52" s="211" t="s">
        <v>43</v>
      </c>
      <c r="I52" s="211"/>
      <c r="J52" s="212">
        <v>6216</v>
      </c>
      <c r="K52" s="211">
        <v>5</v>
      </c>
      <c r="L52" s="211">
        <f t="shared" si="8"/>
        <v>31080</v>
      </c>
      <c r="M52" s="211">
        <v>24</v>
      </c>
      <c r="N52" s="212">
        <f t="shared" si="3"/>
        <v>259</v>
      </c>
      <c r="O52" s="208">
        <v>46045</v>
      </c>
      <c r="P52" s="208">
        <f>O52</f>
        <v>46045</v>
      </c>
      <c r="Q52" s="208">
        <v>46044</v>
      </c>
      <c r="R52" s="211" t="s">
        <v>1241</v>
      </c>
      <c r="S52" s="208">
        <v>46045</v>
      </c>
      <c r="T52" s="211" t="s">
        <v>1241</v>
      </c>
      <c r="U52" s="211"/>
      <c r="V52" s="211" t="s">
        <v>1595</v>
      </c>
      <c r="W52" s="208"/>
      <c r="X52" s="211" t="s">
        <v>1133</v>
      </c>
      <c r="Y52" s="211" t="s">
        <v>1133</v>
      </c>
      <c r="Z52" s="213">
        <v>45966</v>
      </c>
      <c r="AA52" s="214">
        <v>45967</v>
      </c>
      <c r="AB52" s="213">
        <v>45971</v>
      </c>
      <c r="AC52" s="211" t="s">
        <v>1133</v>
      </c>
      <c r="AD52" s="211" t="s">
        <v>1133</v>
      </c>
      <c r="AE52" s="211" t="s">
        <v>1596</v>
      </c>
      <c r="AF52" s="211" t="s">
        <v>1228</v>
      </c>
      <c r="AG52" s="211" t="s">
        <v>1597</v>
      </c>
      <c r="AH52" s="211" t="s">
        <v>1133</v>
      </c>
      <c r="AI52" s="211" t="s">
        <v>1228</v>
      </c>
      <c r="AJ52" s="211" t="s">
        <v>1133</v>
      </c>
      <c r="AK52" s="211" t="s">
        <v>1598</v>
      </c>
      <c r="AL52" s="211"/>
      <c r="AM52" s="211" t="s">
        <v>1600</v>
      </c>
      <c r="AN52" s="212"/>
      <c r="AO52" s="215">
        <v>0.61</v>
      </c>
      <c r="AP52" s="216">
        <f t="shared" si="4"/>
        <v>3791.76</v>
      </c>
      <c r="AQ52" s="216">
        <f t="shared" si="5"/>
        <v>29386.14</v>
      </c>
      <c r="AR52" s="217">
        <v>61044</v>
      </c>
      <c r="AS52" s="208">
        <v>46052</v>
      </c>
      <c r="AT52" s="208" t="s">
        <v>1220</v>
      </c>
      <c r="AU52" s="218"/>
      <c r="AV52" s="219">
        <f t="shared" si="6"/>
        <v>-6216</v>
      </c>
      <c r="AW52" s="116"/>
      <c r="AX52" s="116"/>
      <c r="AY52" s="208"/>
      <c r="AZ52" s="208"/>
      <c r="BA52" s="208"/>
      <c r="BB52" s="208" t="str">
        <f t="shared" si="0"/>
        <v>JAZWARES - TARGET US DOM</v>
      </c>
      <c r="BC52" s="208" t="str">
        <f t="shared" si="1"/>
        <v>美国</v>
      </c>
    </row>
    <row r="53" s="194" customFormat="1" customHeight="1" spans="1:55">
      <c r="A53" s="208">
        <v>45999</v>
      </c>
      <c r="B53" s="40" t="str">
        <f ca="1" t="shared" si="2"/>
        <v/>
      </c>
      <c r="C53" s="209" t="str">
        <f>VLOOKUP(H53,名称!A:E,4,0)</f>
        <v>二代</v>
      </c>
      <c r="D53" s="210" t="s">
        <v>1530</v>
      </c>
      <c r="E53" s="210" t="s">
        <v>1531</v>
      </c>
      <c r="F53" s="211" t="s">
        <v>344</v>
      </c>
      <c r="G53" s="211" t="s">
        <v>345</v>
      </c>
      <c r="H53" s="211" t="s">
        <v>53</v>
      </c>
      <c r="I53" s="211"/>
      <c r="J53" s="212">
        <v>3120</v>
      </c>
      <c r="K53" s="211">
        <v>0</v>
      </c>
      <c r="L53" s="211">
        <f t="shared" si="8"/>
        <v>0</v>
      </c>
      <c r="M53" s="211">
        <v>24</v>
      </c>
      <c r="N53" s="212">
        <f t="shared" si="3"/>
        <v>130</v>
      </c>
      <c r="O53" s="208">
        <v>46052</v>
      </c>
      <c r="P53" s="208">
        <v>46052</v>
      </c>
      <c r="Q53" s="208">
        <v>46052</v>
      </c>
      <c r="R53" s="211" t="s">
        <v>1425</v>
      </c>
      <c r="S53" s="208" t="s">
        <v>1133</v>
      </c>
      <c r="T53" s="208" t="s">
        <v>1133</v>
      </c>
      <c r="U53" s="211"/>
      <c r="V53" s="211"/>
      <c r="W53" s="211" t="s">
        <v>1603</v>
      </c>
      <c r="X53" s="211" t="s">
        <v>1248</v>
      </c>
      <c r="Y53" s="211" t="s">
        <v>1228</v>
      </c>
      <c r="Z53" s="211" t="s">
        <v>1249</v>
      </c>
      <c r="AA53" s="214">
        <v>46001</v>
      </c>
      <c r="AB53" s="213">
        <v>46015</v>
      </c>
      <c r="AC53" s="211" t="s">
        <v>1133</v>
      </c>
      <c r="AD53" s="211" t="s">
        <v>1133</v>
      </c>
      <c r="AE53" s="211" t="s">
        <v>327</v>
      </c>
      <c r="AF53" s="211" t="s">
        <v>1228</v>
      </c>
      <c r="AG53" s="211" t="s">
        <v>327</v>
      </c>
      <c r="AH53" s="211" t="s">
        <v>1133</v>
      </c>
      <c r="AI53" s="211" t="s">
        <v>1228</v>
      </c>
      <c r="AJ53" s="211" t="s">
        <v>1133</v>
      </c>
      <c r="AK53" s="211" t="s">
        <v>327</v>
      </c>
      <c r="AL53" s="211"/>
      <c r="AM53" s="211" t="s">
        <v>1592</v>
      </c>
      <c r="AN53" s="212" t="s">
        <v>1251</v>
      </c>
      <c r="AO53" s="215">
        <v>0.61</v>
      </c>
      <c r="AP53" s="216">
        <f t="shared" si="4"/>
        <v>1903.2</v>
      </c>
      <c r="AQ53" s="216">
        <f t="shared" si="5"/>
        <v>14749.8</v>
      </c>
      <c r="AR53" s="217">
        <v>61045</v>
      </c>
      <c r="AS53" s="208">
        <v>46052</v>
      </c>
      <c r="AT53" s="208" t="s">
        <v>1220</v>
      </c>
      <c r="AU53" s="218"/>
      <c r="AV53" s="219">
        <f t="shared" si="6"/>
        <v>-3120</v>
      </c>
      <c r="AW53" s="116"/>
      <c r="AX53" s="116"/>
      <c r="AY53" s="208"/>
      <c r="AZ53" s="208"/>
      <c r="BA53" s="208"/>
      <c r="BB53" s="208" t="str">
        <f t="shared" si="0"/>
        <v>Playkit Phils Inc</v>
      </c>
      <c r="BC53" s="208" t="str">
        <f t="shared" si="1"/>
        <v>菲律宾</v>
      </c>
    </row>
    <row r="54" s="194" customFormat="1" customHeight="1" spans="1:55">
      <c r="A54" s="208">
        <v>45999</v>
      </c>
      <c r="B54" s="40" t="str">
        <f ca="1" t="shared" si="2"/>
        <v/>
      </c>
      <c r="C54" s="209" t="str">
        <f>VLOOKUP(H54,名称!A:E,4,0)</f>
        <v>二代</v>
      </c>
      <c r="D54" s="210" t="s">
        <v>1530</v>
      </c>
      <c r="E54" s="210" t="s">
        <v>1531</v>
      </c>
      <c r="F54" s="211" t="s">
        <v>344</v>
      </c>
      <c r="G54" s="211" t="s">
        <v>345</v>
      </c>
      <c r="H54" s="211" t="s">
        <v>28</v>
      </c>
      <c r="I54" s="211"/>
      <c r="J54" s="212">
        <v>1560</v>
      </c>
      <c r="K54" s="211">
        <v>0</v>
      </c>
      <c r="L54" s="211">
        <f t="shared" si="8"/>
        <v>0</v>
      </c>
      <c r="M54" s="211">
        <v>12</v>
      </c>
      <c r="N54" s="212">
        <f t="shared" si="3"/>
        <v>130</v>
      </c>
      <c r="O54" s="208">
        <v>46052</v>
      </c>
      <c r="P54" s="208">
        <v>46052</v>
      </c>
      <c r="Q54" s="208">
        <v>46052</v>
      </c>
      <c r="R54" s="211" t="s">
        <v>1241</v>
      </c>
      <c r="S54" s="208" t="s">
        <v>1133</v>
      </c>
      <c r="T54" s="208" t="s">
        <v>1133</v>
      </c>
      <c r="U54" s="211"/>
      <c r="V54" s="211"/>
      <c r="W54" s="211" t="s">
        <v>1603</v>
      </c>
      <c r="X54" s="211" t="s">
        <v>1248</v>
      </c>
      <c r="Y54" s="211" t="s">
        <v>1228</v>
      </c>
      <c r="Z54" s="211" t="s">
        <v>1249</v>
      </c>
      <c r="AA54" s="214">
        <v>46001</v>
      </c>
      <c r="AB54" s="213">
        <v>46015</v>
      </c>
      <c r="AC54" s="211" t="s">
        <v>1133</v>
      </c>
      <c r="AD54" s="211" t="s">
        <v>1133</v>
      </c>
      <c r="AE54" s="211" t="s">
        <v>327</v>
      </c>
      <c r="AF54" s="211" t="s">
        <v>1228</v>
      </c>
      <c r="AG54" s="211" t="s">
        <v>327</v>
      </c>
      <c r="AH54" s="211" t="s">
        <v>1133</v>
      </c>
      <c r="AI54" s="211" t="s">
        <v>1228</v>
      </c>
      <c r="AJ54" s="211" t="s">
        <v>1133</v>
      </c>
      <c r="AK54" s="211" t="s">
        <v>1133</v>
      </c>
      <c r="AL54" s="211"/>
      <c r="AM54" s="211" t="s">
        <v>1592</v>
      </c>
      <c r="AN54" s="212" t="s">
        <v>1251</v>
      </c>
      <c r="AO54" s="215">
        <v>1.27</v>
      </c>
      <c r="AP54" s="216">
        <f t="shared" si="4"/>
        <v>1981.2</v>
      </c>
      <c r="AQ54" s="216">
        <f t="shared" si="5"/>
        <v>15354.3</v>
      </c>
      <c r="AR54" s="217">
        <v>61045</v>
      </c>
      <c r="AS54" s="208">
        <v>46052</v>
      </c>
      <c r="AT54" s="208" t="s">
        <v>1220</v>
      </c>
      <c r="AU54" s="218"/>
      <c r="AV54" s="219">
        <f t="shared" si="6"/>
        <v>-1560</v>
      </c>
      <c r="AW54" s="116"/>
      <c r="AX54" s="116"/>
      <c r="AY54" s="208"/>
      <c r="AZ54" s="208"/>
      <c r="BA54" s="208"/>
      <c r="BB54" s="208" t="str">
        <f t="shared" si="0"/>
        <v>Playkit Phils Inc</v>
      </c>
      <c r="BC54" s="208" t="str">
        <f t="shared" si="1"/>
        <v>菲律宾</v>
      </c>
    </row>
    <row r="55" s="194" customFormat="1" customHeight="1" spans="1:55">
      <c r="A55" s="208">
        <v>45999</v>
      </c>
      <c r="B55" s="40" t="str">
        <f ca="1" t="shared" si="2"/>
        <v/>
      </c>
      <c r="C55" s="209" t="str">
        <f>VLOOKUP(H55,名称!A:E,4,0)</f>
        <v>二代</v>
      </c>
      <c r="D55" s="210" t="s">
        <v>1530</v>
      </c>
      <c r="E55" s="210" t="s">
        <v>1531</v>
      </c>
      <c r="F55" s="211" t="s">
        <v>346</v>
      </c>
      <c r="G55" s="211" t="s">
        <v>347</v>
      </c>
      <c r="H55" s="211" t="s">
        <v>35</v>
      </c>
      <c r="I55" s="211"/>
      <c r="J55" s="212">
        <v>6120</v>
      </c>
      <c r="K55" s="211">
        <v>7</v>
      </c>
      <c r="L55" s="211">
        <f t="shared" si="8"/>
        <v>42840</v>
      </c>
      <c r="M55" s="211">
        <v>24</v>
      </c>
      <c r="N55" s="212">
        <f t="shared" si="3"/>
        <v>255</v>
      </c>
      <c r="O55" s="208">
        <v>46052</v>
      </c>
      <c r="P55" s="208">
        <v>46052</v>
      </c>
      <c r="Q55" s="208">
        <v>46052</v>
      </c>
      <c r="R55" s="211" t="s">
        <v>1241</v>
      </c>
      <c r="S55" s="208" t="s">
        <v>1133</v>
      </c>
      <c r="T55" s="208" t="s">
        <v>1133</v>
      </c>
      <c r="U55" s="211"/>
      <c r="V55" s="211"/>
      <c r="W55" s="211" t="s">
        <v>1603</v>
      </c>
      <c r="X55" s="211" t="s">
        <v>1248</v>
      </c>
      <c r="Y55" s="211" t="s">
        <v>1228</v>
      </c>
      <c r="Z55" s="211" t="s">
        <v>1249</v>
      </c>
      <c r="AA55" s="214">
        <v>46001</v>
      </c>
      <c r="AB55" s="213">
        <v>46015</v>
      </c>
      <c r="AC55" s="211" t="s">
        <v>1560</v>
      </c>
      <c r="AD55" s="211" t="s">
        <v>1228</v>
      </c>
      <c r="AE55" s="211" t="s">
        <v>327</v>
      </c>
      <c r="AF55" s="211" t="s">
        <v>1228</v>
      </c>
      <c r="AG55" s="211" t="s">
        <v>327</v>
      </c>
      <c r="AH55" s="211" t="s">
        <v>1562</v>
      </c>
      <c r="AI55" s="211" t="s">
        <v>1228</v>
      </c>
      <c r="AJ55" s="211" t="s">
        <v>1133</v>
      </c>
      <c r="AK55" s="211" t="s">
        <v>1133</v>
      </c>
      <c r="AL55" s="211"/>
      <c r="AM55" s="211" t="s">
        <v>1592</v>
      </c>
      <c r="AN55" s="212" t="s">
        <v>1251</v>
      </c>
      <c r="AO55" s="215">
        <v>0.87</v>
      </c>
      <c r="AP55" s="216">
        <f t="shared" si="4"/>
        <v>5324.4</v>
      </c>
      <c r="AQ55" s="216">
        <f t="shared" si="5"/>
        <v>41264.1</v>
      </c>
      <c r="AR55" s="217">
        <v>61046</v>
      </c>
      <c r="AS55" s="208">
        <v>46052</v>
      </c>
      <c r="AT55" s="208" t="s">
        <v>1220</v>
      </c>
      <c r="AU55" s="218"/>
      <c r="AV55" s="219">
        <f t="shared" si="6"/>
        <v>-6120</v>
      </c>
      <c r="AW55" s="116"/>
      <c r="AX55" s="116"/>
      <c r="AY55" s="208"/>
      <c r="AZ55" s="208"/>
      <c r="BA55" s="208"/>
      <c r="BB55" s="208" t="str">
        <f t="shared" si="0"/>
        <v>Playkit Phils Inc</v>
      </c>
      <c r="BC55" s="208" t="str">
        <f t="shared" si="1"/>
        <v>菲律宾</v>
      </c>
    </row>
    <row r="56" s="194" customFormat="1" customHeight="1" spans="1:55">
      <c r="A56" s="208">
        <v>45999</v>
      </c>
      <c r="B56" s="40" t="str">
        <f ca="1" t="shared" si="2"/>
        <v/>
      </c>
      <c r="C56" s="209" t="str">
        <f>VLOOKUP(H56,名称!A:E,4,0)</f>
        <v>二代</v>
      </c>
      <c r="D56" s="210" t="s">
        <v>1530</v>
      </c>
      <c r="E56" s="210" t="s">
        <v>1531</v>
      </c>
      <c r="F56" s="211" t="s">
        <v>346</v>
      </c>
      <c r="G56" s="211" t="s">
        <v>347</v>
      </c>
      <c r="H56" s="211" t="s">
        <v>44</v>
      </c>
      <c r="I56" s="211"/>
      <c r="J56" s="212">
        <v>6120</v>
      </c>
      <c r="K56" s="211">
        <v>5</v>
      </c>
      <c r="L56" s="211">
        <f t="shared" si="8"/>
        <v>30600</v>
      </c>
      <c r="M56" s="211">
        <v>24</v>
      </c>
      <c r="N56" s="212">
        <f t="shared" si="3"/>
        <v>255</v>
      </c>
      <c r="O56" s="208">
        <v>46052</v>
      </c>
      <c r="P56" s="208">
        <v>46052</v>
      </c>
      <c r="Q56" s="208">
        <v>46052</v>
      </c>
      <c r="R56" s="211" t="s">
        <v>1241</v>
      </c>
      <c r="S56" s="208" t="s">
        <v>1133</v>
      </c>
      <c r="T56" s="208" t="s">
        <v>1133</v>
      </c>
      <c r="U56" s="211"/>
      <c r="V56" s="211"/>
      <c r="W56" s="211" t="s">
        <v>1603</v>
      </c>
      <c r="X56" s="211" t="s">
        <v>1248</v>
      </c>
      <c r="Y56" s="211" t="s">
        <v>1228</v>
      </c>
      <c r="Z56" s="211" t="s">
        <v>1249</v>
      </c>
      <c r="AA56" s="214">
        <v>46001</v>
      </c>
      <c r="AB56" s="213">
        <v>46015</v>
      </c>
      <c r="AC56" s="211" t="s">
        <v>1133</v>
      </c>
      <c r="AD56" s="211" t="s">
        <v>1133</v>
      </c>
      <c r="AE56" s="211" t="s">
        <v>327</v>
      </c>
      <c r="AF56" s="211" t="s">
        <v>1228</v>
      </c>
      <c r="AG56" s="211" t="s">
        <v>327</v>
      </c>
      <c r="AH56" s="211" t="s">
        <v>1133</v>
      </c>
      <c r="AI56" s="211" t="s">
        <v>1228</v>
      </c>
      <c r="AJ56" s="211" t="s">
        <v>1133</v>
      </c>
      <c r="AK56" s="211" t="s">
        <v>327</v>
      </c>
      <c r="AL56" s="211"/>
      <c r="AM56" s="211" t="s">
        <v>1592</v>
      </c>
      <c r="AN56" s="212" t="s">
        <v>1251</v>
      </c>
      <c r="AO56" s="215">
        <v>0.63</v>
      </c>
      <c r="AP56" s="216">
        <f t="shared" si="4"/>
        <v>3855.6</v>
      </c>
      <c r="AQ56" s="216">
        <f t="shared" si="5"/>
        <v>29880.9</v>
      </c>
      <c r="AR56" s="217">
        <v>61046</v>
      </c>
      <c r="AS56" s="208">
        <v>46052</v>
      </c>
      <c r="AT56" s="208" t="s">
        <v>1220</v>
      </c>
      <c r="AU56" s="218"/>
      <c r="AV56" s="219">
        <f t="shared" si="6"/>
        <v>-6120</v>
      </c>
      <c r="AW56" s="116"/>
      <c r="AX56" s="116"/>
      <c r="AY56" s="208"/>
      <c r="AZ56" s="208"/>
      <c r="BA56" s="208"/>
      <c r="BB56" s="208" t="str">
        <f t="shared" si="0"/>
        <v>Playkit Phils Inc</v>
      </c>
      <c r="BC56" s="208" t="str">
        <f t="shared" si="1"/>
        <v>菲律宾</v>
      </c>
    </row>
    <row r="57" s="194" customFormat="1" customHeight="1" spans="1:55">
      <c r="A57" s="208">
        <v>45999</v>
      </c>
      <c r="B57" s="40" t="str">
        <f ca="1" t="shared" si="2"/>
        <v/>
      </c>
      <c r="C57" s="209" t="str">
        <f>VLOOKUP(H57,名称!A:E,4,0)</f>
        <v>二代</v>
      </c>
      <c r="D57" s="210" t="s">
        <v>1530</v>
      </c>
      <c r="E57" s="210" t="s">
        <v>1531</v>
      </c>
      <c r="F57" s="211" t="s">
        <v>346</v>
      </c>
      <c r="G57" s="211" t="s">
        <v>347</v>
      </c>
      <c r="H57" s="211" t="s">
        <v>38</v>
      </c>
      <c r="I57" s="211"/>
      <c r="J57" s="212">
        <v>1320</v>
      </c>
      <c r="K57" s="211">
        <v>32</v>
      </c>
      <c r="L57" s="211">
        <f t="shared" si="8"/>
        <v>42240</v>
      </c>
      <c r="M57" s="211">
        <v>4</v>
      </c>
      <c r="N57" s="212">
        <f t="shared" si="3"/>
        <v>330</v>
      </c>
      <c r="O57" s="208">
        <v>46052</v>
      </c>
      <c r="P57" s="208">
        <v>46052</v>
      </c>
      <c r="Q57" s="208">
        <v>46052</v>
      </c>
      <c r="R57" s="211" t="s">
        <v>1241</v>
      </c>
      <c r="S57" s="208" t="s">
        <v>1133</v>
      </c>
      <c r="T57" s="208" t="s">
        <v>1133</v>
      </c>
      <c r="U57" s="211"/>
      <c r="V57" s="211"/>
      <c r="W57" s="211" t="s">
        <v>1603</v>
      </c>
      <c r="X57" s="211" t="s">
        <v>1248</v>
      </c>
      <c r="Y57" s="211" t="s">
        <v>1228</v>
      </c>
      <c r="Z57" s="211" t="s">
        <v>1249</v>
      </c>
      <c r="AA57" s="214">
        <v>46001</v>
      </c>
      <c r="AB57" s="213">
        <v>46015</v>
      </c>
      <c r="AC57" s="211" t="s">
        <v>1133</v>
      </c>
      <c r="AD57" s="211" t="s">
        <v>1133</v>
      </c>
      <c r="AE57" s="211" t="s">
        <v>327</v>
      </c>
      <c r="AF57" s="211" t="s">
        <v>1228</v>
      </c>
      <c r="AG57" s="211" t="s">
        <v>327</v>
      </c>
      <c r="AH57" s="211" t="s">
        <v>1562</v>
      </c>
      <c r="AI57" s="211" t="s">
        <v>1228</v>
      </c>
      <c r="AJ57" s="211" t="s">
        <v>1133</v>
      </c>
      <c r="AK57" s="211" t="s">
        <v>1133</v>
      </c>
      <c r="AL57" s="211"/>
      <c r="AM57" s="211" t="s">
        <v>1592</v>
      </c>
      <c r="AN57" s="212" t="s">
        <v>1251</v>
      </c>
      <c r="AO57" s="215">
        <v>3.12</v>
      </c>
      <c r="AP57" s="216">
        <f t="shared" si="4"/>
        <v>4118.4</v>
      </c>
      <c r="AQ57" s="216">
        <f t="shared" si="5"/>
        <v>31917.6</v>
      </c>
      <c r="AR57" s="217">
        <v>61046</v>
      </c>
      <c r="AS57" s="208">
        <v>46052</v>
      </c>
      <c r="AT57" s="208" t="s">
        <v>1220</v>
      </c>
      <c r="AU57" s="218"/>
      <c r="AV57" s="219">
        <f t="shared" si="6"/>
        <v>-1320</v>
      </c>
      <c r="AW57" s="116"/>
      <c r="AX57" s="116"/>
      <c r="AY57" s="208"/>
      <c r="AZ57" s="208"/>
      <c r="BA57" s="208"/>
      <c r="BB57" s="208" t="str">
        <f t="shared" si="0"/>
        <v>Playkit Phils Inc</v>
      </c>
      <c r="BC57" s="208" t="str">
        <f t="shared" si="1"/>
        <v>菲律宾</v>
      </c>
    </row>
    <row r="58" s="194" customFormat="1" customHeight="1" spans="1:55">
      <c r="A58" s="208">
        <v>45999</v>
      </c>
      <c r="B58" s="40" t="str">
        <f ca="1" t="shared" si="2"/>
        <v/>
      </c>
      <c r="C58" s="209" t="str">
        <f>VLOOKUP(H58,名称!A:E,4,0)</f>
        <v>二代</v>
      </c>
      <c r="D58" s="210" t="s">
        <v>1530</v>
      </c>
      <c r="E58" s="210" t="s">
        <v>1531</v>
      </c>
      <c r="F58" s="211" t="s">
        <v>346</v>
      </c>
      <c r="G58" s="211" t="s">
        <v>347</v>
      </c>
      <c r="H58" s="211" t="s">
        <v>41</v>
      </c>
      <c r="I58" s="211"/>
      <c r="J58" s="212">
        <v>840</v>
      </c>
      <c r="K58" s="211">
        <v>12</v>
      </c>
      <c r="L58" s="211">
        <f t="shared" si="8"/>
        <v>10080</v>
      </c>
      <c r="M58" s="211">
        <v>6</v>
      </c>
      <c r="N58" s="212">
        <f t="shared" si="3"/>
        <v>140</v>
      </c>
      <c r="O58" s="208">
        <v>46052</v>
      </c>
      <c r="P58" s="208">
        <v>46052</v>
      </c>
      <c r="Q58" s="208">
        <v>46052</v>
      </c>
      <c r="R58" s="211" t="s">
        <v>1241</v>
      </c>
      <c r="S58" s="208" t="s">
        <v>1133</v>
      </c>
      <c r="T58" s="208" t="s">
        <v>1133</v>
      </c>
      <c r="U58" s="211"/>
      <c r="V58" s="211"/>
      <c r="W58" s="211" t="s">
        <v>1603</v>
      </c>
      <c r="X58" s="211" t="s">
        <v>1248</v>
      </c>
      <c r="Y58" s="211" t="s">
        <v>1228</v>
      </c>
      <c r="Z58" s="211" t="s">
        <v>1249</v>
      </c>
      <c r="AA58" s="214">
        <v>46001</v>
      </c>
      <c r="AB58" s="213">
        <v>46015</v>
      </c>
      <c r="AC58" s="211" t="s">
        <v>1560</v>
      </c>
      <c r="AD58" s="211" t="s">
        <v>1228</v>
      </c>
      <c r="AE58" s="211" t="s">
        <v>327</v>
      </c>
      <c r="AF58" s="211" t="s">
        <v>1228</v>
      </c>
      <c r="AG58" s="211" t="s">
        <v>327</v>
      </c>
      <c r="AH58" s="211" t="s">
        <v>1562</v>
      </c>
      <c r="AI58" s="211" t="s">
        <v>1228</v>
      </c>
      <c r="AJ58" s="211" t="s">
        <v>1133</v>
      </c>
      <c r="AK58" s="211" t="s">
        <v>1133</v>
      </c>
      <c r="AL58" s="211"/>
      <c r="AM58" s="211" t="s">
        <v>1592</v>
      </c>
      <c r="AN58" s="212" t="s">
        <v>1251</v>
      </c>
      <c r="AO58" s="215">
        <v>1.49</v>
      </c>
      <c r="AP58" s="216">
        <f t="shared" si="4"/>
        <v>1251.6</v>
      </c>
      <c r="AQ58" s="216">
        <f t="shared" si="5"/>
        <v>9699.9</v>
      </c>
      <c r="AR58" s="217">
        <v>61046</v>
      </c>
      <c r="AS58" s="208">
        <v>46052</v>
      </c>
      <c r="AT58" s="208" t="s">
        <v>1220</v>
      </c>
      <c r="AU58" s="218"/>
      <c r="AV58" s="219">
        <f t="shared" si="6"/>
        <v>-840</v>
      </c>
      <c r="AW58" s="116"/>
      <c r="AX58" s="116"/>
      <c r="AY58" s="208"/>
      <c r="AZ58" s="208"/>
      <c r="BA58" s="208"/>
      <c r="BB58" s="208" t="str">
        <f t="shared" si="0"/>
        <v>Playkit Phils Inc</v>
      </c>
      <c r="BC58" s="208" t="str">
        <f t="shared" si="1"/>
        <v>菲律宾</v>
      </c>
    </row>
    <row r="59" s="194" customFormat="1" customHeight="1" spans="1:55">
      <c r="A59" s="208">
        <v>45999</v>
      </c>
      <c r="B59" s="40" t="str">
        <f ca="1" t="shared" si="2"/>
        <v/>
      </c>
      <c r="C59" s="209" t="str">
        <f>VLOOKUP(H59,名称!A:E,4,0)</f>
        <v>二代</v>
      </c>
      <c r="D59" s="210" t="s">
        <v>1530</v>
      </c>
      <c r="E59" s="210" t="s">
        <v>1531</v>
      </c>
      <c r="F59" s="211" t="s">
        <v>346</v>
      </c>
      <c r="G59" s="211" t="s">
        <v>347</v>
      </c>
      <c r="H59" s="211" t="s">
        <v>34</v>
      </c>
      <c r="I59" s="211"/>
      <c r="J59" s="212">
        <v>1284</v>
      </c>
      <c r="K59" s="211">
        <v>12</v>
      </c>
      <c r="L59" s="211">
        <f t="shared" si="8"/>
        <v>15408</v>
      </c>
      <c r="M59" s="211">
        <v>6</v>
      </c>
      <c r="N59" s="212">
        <f t="shared" si="3"/>
        <v>214</v>
      </c>
      <c r="O59" s="208">
        <v>46052</v>
      </c>
      <c r="P59" s="208">
        <v>46052</v>
      </c>
      <c r="Q59" s="208">
        <v>46052</v>
      </c>
      <c r="R59" s="211" t="s">
        <v>1241</v>
      </c>
      <c r="S59" s="208" t="s">
        <v>1133</v>
      </c>
      <c r="T59" s="208" t="s">
        <v>1133</v>
      </c>
      <c r="U59" s="211"/>
      <c r="V59" s="211"/>
      <c r="W59" s="211" t="s">
        <v>1603</v>
      </c>
      <c r="X59" s="211" t="s">
        <v>1248</v>
      </c>
      <c r="Y59" s="211" t="s">
        <v>1228</v>
      </c>
      <c r="Z59" s="211" t="s">
        <v>1249</v>
      </c>
      <c r="AA59" s="214">
        <v>46001</v>
      </c>
      <c r="AB59" s="213">
        <v>46015</v>
      </c>
      <c r="AC59" s="211" t="s">
        <v>1560</v>
      </c>
      <c r="AD59" s="211" t="s">
        <v>1228</v>
      </c>
      <c r="AE59" s="211" t="s">
        <v>327</v>
      </c>
      <c r="AF59" s="211" t="s">
        <v>1228</v>
      </c>
      <c r="AG59" s="211" t="s">
        <v>327</v>
      </c>
      <c r="AH59" s="211" t="s">
        <v>1562</v>
      </c>
      <c r="AI59" s="211" t="s">
        <v>1228</v>
      </c>
      <c r="AJ59" s="211" t="s">
        <v>1133</v>
      </c>
      <c r="AK59" s="211" t="s">
        <v>1133</v>
      </c>
      <c r="AL59" s="211"/>
      <c r="AM59" s="211" t="s">
        <v>1592</v>
      </c>
      <c r="AN59" s="212" t="s">
        <v>1251</v>
      </c>
      <c r="AO59" s="215">
        <v>1.49</v>
      </c>
      <c r="AP59" s="216">
        <f t="shared" si="4"/>
        <v>1913.16</v>
      </c>
      <c r="AQ59" s="216">
        <f t="shared" si="5"/>
        <v>14826.99</v>
      </c>
      <c r="AR59" s="217">
        <v>61046</v>
      </c>
      <c r="AS59" s="208">
        <v>46052</v>
      </c>
      <c r="AT59" s="208" t="s">
        <v>1220</v>
      </c>
      <c r="AU59" s="218"/>
      <c r="AV59" s="219">
        <f t="shared" si="6"/>
        <v>-1284</v>
      </c>
      <c r="AW59" s="116"/>
      <c r="AX59" s="116"/>
      <c r="AY59" s="208"/>
      <c r="AZ59" s="208"/>
      <c r="BA59" s="208"/>
      <c r="BB59" s="208" t="str">
        <f t="shared" si="0"/>
        <v>Playkit Phils Inc</v>
      </c>
      <c r="BC59" s="208" t="str">
        <f t="shared" si="1"/>
        <v>菲律宾</v>
      </c>
    </row>
    <row r="60" s="194" customFormat="1" customHeight="1" spans="1:55">
      <c r="A60" s="208">
        <v>45986</v>
      </c>
      <c r="B60" s="40" t="str">
        <f ca="1" t="shared" si="2"/>
        <v/>
      </c>
      <c r="C60" s="209" t="str">
        <f>VLOOKUP(H60,名称!A:E,4,0)</f>
        <v>二代</v>
      </c>
      <c r="D60" s="210" t="s">
        <v>1223</v>
      </c>
      <c r="E60" s="210" t="s">
        <v>1224</v>
      </c>
      <c r="F60" s="211" t="s">
        <v>335</v>
      </c>
      <c r="G60" s="211" t="s">
        <v>336</v>
      </c>
      <c r="H60" s="211" t="s">
        <v>44</v>
      </c>
      <c r="I60" s="211"/>
      <c r="J60" s="212">
        <v>2400</v>
      </c>
      <c r="K60" s="211">
        <v>5</v>
      </c>
      <c r="L60" s="211">
        <f>K60*J60</f>
        <v>12000</v>
      </c>
      <c r="M60" s="211">
        <v>24</v>
      </c>
      <c r="N60" s="212">
        <f t="shared" si="3"/>
        <v>100</v>
      </c>
      <c r="O60" s="208">
        <v>46029</v>
      </c>
      <c r="P60" s="208">
        <v>46029</v>
      </c>
      <c r="Q60" s="208">
        <v>46027</v>
      </c>
      <c r="R60" s="211" t="s">
        <v>1241</v>
      </c>
      <c r="S60" s="208">
        <v>45663</v>
      </c>
      <c r="T60" s="211" t="s">
        <v>1241</v>
      </c>
      <c r="U60" s="211"/>
      <c r="V60" s="211"/>
      <c r="W60" s="208"/>
      <c r="X60" s="211" t="s">
        <v>1133</v>
      </c>
      <c r="Y60" s="211" t="s">
        <v>1133</v>
      </c>
      <c r="Z60" s="213">
        <v>45987</v>
      </c>
      <c r="AA60" s="214">
        <v>45988</v>
      </c>
      <c r="AB60" s="213">
        <v>45988</v>
      </c>
      <c r="AC60" s="211" t="s">
        <v>1133</v>
      </c>
      <c r="AD60" s="211" t="s">
        <v>1133</v>
      </c>
      <c r="AE60" s="211" t="s">
        <v>253</v>
      </c>
      <c r="AF60" s="211" t="s">
        <v>1228</v>
      </c>
      <c r="AG60" s="211" t="s">
        <v>1604</v>
      </c>
      <c r="AH60" s="211" t="s">
        <v>1133</v>
      </c>
      <c r="AI60" s="211" t="s">
        <v>1228</v>
      </c>
      <c r="AJ60" s="211" t="s">
        <v>1133</v>
      </c>
      <c r="AK60" s="211" t="s">
        <v>1605</v>
      </c>
      <c r="AL60" s="211" t="s">
        <v>1228</v>
      </c>
      <c r="AM60" s="211" t="s">
        <v>1230</v>
      </c>
      <c r="AN60" s="212" t="s">
        <v>1234</v>
      </c>
      <c r="AO60" s="215">
        <v>0.61</v>
      </c>
      <c r="AP60" s="216">
        <f t="shared" si="4"/>
        <v>1464</v>
      </c>
      <c r="AQ60" s="216">
        <f t="shared" si="5"/>
        <v>11346</v>
      </c>
      <c r="AR60" s="217">
        <v>61047</v>
      </c>
      <c r="AS60" s="208">
        <v>46052</v>
      </c>
      <c r="AT60" s="208" t="s">
        <v>1220</v>
      </c>
      <c r="AU60" s="218"/>
      <c r="AV60" s="219">
        <f t="shared" si="6"/>
        <v>-2400</v>
      </c>
      <c r="AW60" s="116"/>
      <c r="AX60" s="116"/>
      <c r="AY60" s="208" t="s">
        <v>1232</v>
      </c>
      <c r="AZ60" s="208" t="s">
        <v>1222</v>
      </c>
      <c r="BA60" s="208"/>
      <c r="BB60" s="208" t="str">
        <f t="shared" si="0"/>
        <v>JAZWARES INTERNATIONAL</v>
      </c>
      <c r="BC60" s="208" t="str">
        <f t="shared" si="1"/>
        <v>美国</v>
      </c>
    </row>
    <row r="61" s="194" customFormat="1" customHeight="1" spans="1:55">
      <c r="A61" s="208">
        <v>46003</v>
      </c>
      <c r="B61" s="40" t="str">
        <f ca="1" t="shared" si="2"/>
        <v/>
      </c>
      <c r="C61" s="209" t="str">
        <f>VLOOKUP(H61,名称!A:E,4,0)</f>
        <v>二代</v>
      </c>
      <c r="D61" s="210" t="s">
        <v>1459</v>
      </c>
      <c r="E61" s="210" t="s">
        <v>1460</v>
      </c>
      <c r="F61" s="211" t="s">
        <v>350</v>
      </c>
      <c r="G61" s="211" t="s">
        <v>351</v>
      </c>
      <c r="H61" s="211" t="s">
        <v>38</v>
      </c>
      <c r="I61" s="211"/>
      <c r="J61" s="212">
        <v>1500</v>
      </c>
      <c r="K61" s="211">
        <v>32</v>
      </c>
      <c r="L61" s="211">
        <f t="shared" ref="L61:L124" si="9">J61*K61</f>
        <v>48000</v>
      </c>
      <c r="M61" s="211">
        <v>4</v>
      </c>
      <c r="N61" s="212">
        <f t="shared" si="3"/>
        <v>375</v>
      </c>
      <c r="O61" s="208">
        <v>46052</v>
      </c>
      <c r="P61" s="208">
        <v>46052</v>
      </c>
      <c r="Q61" s="208">
        <v>46050</v>
      </c>
      <c r="R61" s="211" t="s">
        <v>1241</v>
      </c>
      <c r="S61" s="208">
        <v>46051</v>
      </c>
      <c r="T61" s="211" t="s">
        <v>1241</v>
      </c>
      <c r="U61" s="211"/>
      <c r="V61" s="211"/>
      <c r="W61" s="208"/>
      <c r="X61" s="211" t="s">
        <v>1248</v>
      </c>
      <c r="Y61" s="211" t="s">
        <v>1228</v>
      </c>
      <c r="Z61" s="211" t="s">
        <v>1249</v>
      </c>
      <c r="AA61" s="214">
        <v>46007</v>
      </c>
      <c r="AB61" s="213">
        <v>46008</v>
      </c>
      <c r="AC61" s="211" t="s">
        <v>1133</v>
      </c>
      <c r="AD61" s="211" t="s">
        <v>1133</v>
      </c>
      <c r="AE61" s="211" t="s">
        <v>327</v>
      </c>
      <c r="AF61" s="211" t="s">
        <v>1228</v>
      </c>
      <c r="AG61" s="211" t="s">
        <v>327</v>
      </c>
      <c r="AH61" s="211" t="s">
        <v>1562</v>
      </c>
      <c r="AI61" s="211" t="s">
        <v>1228</v>
      </c>
      <c r="AJ61" s="211" t="s">
        <v>1133</v>
      </c>
      <c r="AK61" s="211" t="s">
        <v>1133</v>
      </c>
      <c r="AL61" s="211"/>
      <c r="AM61" s="211" t="s">
        <v>1606</v>
      </c>
      <c r="AN61" s="212" t="s">
        <v>1251</v>
      </c>
      <c r="AO61" s="215">
        <v>3.23</v>
      </c>
      <c r="AP61" s="216">
        <f t="shared" si="4"/>
        <v>4845</v>
      </c>
      <c r="AQ61" s="216">
        <f t="shared" si="5"/>
        <v>37548.75</v>
      </c>
      <c r="AR61" s="217">
        <v>61049</v>
      </c>
      <c r="AS61" s="208">
        <v>46059</v>
      </c>
      <c r="AT61" s="208" t="s">
        <v>1220</v>
      </c>
      <c r="AU61" s="218"/>
      <c r="AV61" s="219">
        <f t="shared" si="6"/>
        <v>-1500</v>
      </c>
      <c r="AW61" s="116"/>
      <c r="AX61" s="116"/>
      <c r="AY61" s="208"/>
      <c r="AZ61" s="208"/>
      <c r="BA61" s="208"/>
      <c r="BB61" s="208" t="str">
        <f t="shared" si="0"/>
        <v>Proxy (Far East) Limited</v>
      </c>
      <c r="BC61" s="208" t="str">
        <f t="shared" si="1"/>
        <v>瑞典</v>
      </c>
    </row>
    <row r="62" s="194" customFormat="1" customHeight="1" spans="1:55">
      <c r="A62" s="208">
        <v>46003</v>
      </c>
      <c r="B62" s="40" t="str">
        <f ca="1" t="shared" si="2"/>
        <v/>
      </c>
      <c r="C62" s="209" t="str">
        <f>VLOOKUP(H62,名称!A:E,4,0)</f>
        <v>二代</v>
      </c>
      <c r="D62" s="210" t="s">
        <v>1459</v>
      </c>
      <c r="E62" s="210" t="s">
        <v>1460</v>
      </c>
      <c r="F62" s="211" t="s">
        <v>350</v>
      </c>
      <c r="G62" s="211" t="s">
        <v>351</v>
      </c>
      <c r="H62" s="211" t="s">
        <v>37</v>
      </c>
      <c r="I62" s="211"/>
      <c r="J62" s="212">
        <v>2004</v>
      </c>
      <c r="K62" s="211">
        <v>7</v>
      </c>
      <c r="L62" s="211">
        <f t="shared" si="9"/>
        <v>14028</v>
      </c>
      <c r="M62" s="211">
        <v>6</v>
      </c>
      <c r="N62" s="212">
        <f t="shared" si="3"/>
        <v>334</v>
      </c>
      <c r="O62" s="208">
        <v>46052</v>
      </c>
      <c r="P62" s="208">
        <v>46052</v>
      </c>
      <c r="Q62" s="208">
        <v>46050</v>
      </c>
      <c r="R62" s="211" t="s">
        <v>1241</v>
      </c>
      <c r="S62" s="208">
        <v>46051</v>
      </c>
      <c r="T62" s="211" t="s">
        <v>1241</v>
      </c>
      <c r="U62" s="211"/>
      <c r="V62" s="211"/>
      <c r="W62" s="208"/>
      <c r="X62" s="211" t="s">
        <v>1248</v>
      </c>
      <c r="Y62" s="211" t="s">
        <v>1228</v>
      </c>
      <c r="Z62" s="211" t="s">
        <v>1249</v>
      </c>
      <c r="AA62" s="214">
        <v>46007</v>
      </c>
      <c r="AB62" s="213">
        <v>46008</v>
      </c>
      <c r="AC62" s="211" t="s">
        <v>1244</v>
      </c>
      <c r="AD62" s="211" t="s">
        <v>1228</v>
      </c>
      <c r="AE62" s="211" t="s">
        <v>327</v>
      </c>
      <c r="AF62" s="211" t="s">
        <v>1228</v>
      </c>
      <c r="AG62" s="211" t="s">
        <v>327</v>
      </c>
      <c r="AH62" s="211" t="s">
        <v>1562</v>
      </c>
      <c r="AI62" s="211" t="s">
        <v>1228</v>
      </c>
      <c r="AJ62" s="211" t="s">
        <v>1572</v>
      </c>
      <c r="AK62" s="211" t="s">
        <v>1133</v>
      </c>
      <c r="AL62" s="211"/>
      <c r="AM62" s="211" t="s">
        <v>1607</v>
      </c>
      <c r="AN62" s="212" t="s">
        <v>1251</v>
      </c>
      <c r="AO62" s="215">
        <v>2.09</v>
      </c>
      <c r="AP62" s="216">
        <f t="shared" si="4"/>
        <v>4188.36</v>
      </c>
      <c r="AQ62" s="216">
        <f t="shared" si="5"/>
        <v>32459.79</v>
      </c>
      <c r="AR62" s="217">
        <v>61049</v>
      </c>
      <c r="AS62" s="208">
        <v>46059</v>
      </c>
      <c r="AT62" s="208" t="s">
        <v>1220</v>
      </c>
      <c r="AU62" s="218"/>
      <c r="AV62" s="219">
        <f t="shared" si="6"/>
        <v>-2004</v>
      </c>
      <c r="AW62" s="116"/>
      <c r="AX62" s="116"/>
      <c r="AY62" s="208"/>
      <c r="AZ62" s="208"/>
      <c r="BA62" s="208"/>
      <c r="BB62" s="208" t="str">
        <f t="shared" si="0"/>
        <v>Proxy (Far East) Limited</v>
      </c>
      <c r="BC62" s="208" t="str">
        <f t="shared" si="1"/>
        <v>瑞典</v>
      </c>
    </row>
    <row r="63" s="194" customFormat="1" customHeight="1" spans="1:55">
      <c r="A63" s="208">
        <v>46003</v>
      </c>
      <c r="B63" s="40" t="str">
        <f ca="1" t="shared" si="2"/>
        <v/>
      </c>
      <c r="C63" s="209" t="str">
        <f>VLOOKUP(H63,名称!A:E,4,0)</f>
        <v>二代</v>
      </c>
      <c r="D63" s="210" t="s">
        <v>1459</v>
      </c>
      <c r="E63" s="210" t="s">
        <v>1460</v>
      </c>
      <c r="F63" s="211" t="s">
        <v>350</v>
      </c>
      <c r="G63" s="211" t="s">
        <v>351</v>
      </c>
      <c r="H63" s="211" t="s">
        <v>62</v>
      </c>
      <c r="I63" s="211"/>
      <c r="J63" s="212">
        <v>3000</v>
      </c>
      <c r="K63" s="211">
        <v>5</v>
      </c>
      <c r="L63" s="211">
        <f t="shared" si="9"/>
        <v>15000</v>
      </c>
      <c r="M63" s="211">
        <v>24</v>
      </c>
      <c r="N63" s="212">
        <f t="shared" si="3"/>
        <v>125</v>
      </c>
      <c r="O63" s="208">
        <v>46052</v>
      </c>
      <c r="P63" s="208">
        <v>46052</v>
      </c>
      <c r="Q63" s="208">
        <v>46050</v>
      </c>
      <c r="R63" s="211" t="s">
        <v>1241</v>
      </c>
      <c r="S63" s="208">
        <v>46051</v>
      </c>
      <c r="T63" s="211" t="s">
        <v>1241</v>
      </c>
      <c r="U63" s="211"/>
      <c r="V63" s="211" t="s">
        <v>1608</v>
      </c>
      <c r="W63" s="208"/>
      <c r="X63" s="211" t="s">
        <v>1248</v>
      </c>
      <c r="Y63" s="211" t="s">
        <v>1228</v>
      </c>
      <c r="Z63" s="211" t="s">
        <v>1249</v>
      </c>
      <c r="AA63" s="214">
        <v>46007</v>
      </c>
      <c r="AB63" s="213">
        <v>46008</v>
      </c>
      <c r="AC63" s="211" t="s">
        <v>1133</v>
      </c>
      <c r="AD63" s="211" t="s">
        <v>1133</v>
      </c>
      <c r="AE63" s="211" t="s">
        <v>327</v>
      </c>
      <c r="AF63" s="211" t="s">
        <v>1228</v>
      </c>
      <c r="AG63" s="211" t="s">
        <v>334</v>
      </c>
      <c r="AH63" s="211" t="s">
        <v>1133</v>
      </c>
      <c r="AI63" s="211" t="s">
        <v>1228</v>
      </c>
      <c r="AJ63" s="211" t="s">
        <v>1133</v>
      </c>
      <c r="AK63" s="211" t="s">
        <v>327</v>
      </c>
      <c r="AL63" s="211"/>
      <c r="AM63" s="211" t="s">
        <v>1609</v>
      </c>
      <c r="AN63" s="212" t="s">
        <v>1251</v>
      </c>
      <c r="AO63" s="215">
        <v>0.65</v>
      </c>
      <c r="AP63" s="216">
        <f t="shared" si="4"/>
        <v>1950</v>
      </c>
      <c r="AQ63" s="216">
        <f t="shared" si="5"/>
        <v>15112.5</v>
      </c>
      <c r="AR63" s="217">
        <v>61049</v>
      </c>
      <c r="AS63" s="208">
        <v>46059</v>
      </c>
      <c r="AT63" s="208" t="s">
        <v>1220</v>
      </c>
      <c r="AU63" s="218"/>
      <c r="AV63" s="219">
        <f t="shared" si="6"/>
        <v>-3000</v>
      </c>
      <c r="AW63" s="116"/>
      <c r="AX63" s="116"/>
      <c r="AY63" s="208"/>
      <c r="AZ63" s="208"/>
      <c r="BA63" s="208"/>
      <c r="BB63" s="208" t="str">
        <f t="shared" si="0"/>
        <v>Proxy (Far East) Limited</v>
      </c>
      <c r="BC63" s="208" t="str">
        <f t="shared" si="1"/>
        <v>瑞典</v>
      </c>
    </row>
    <row r="64" s="194" customFormat="1" customHeight="1" spans="1:55">
      <c r="A64" s="208">
        <v>46003</v>
      </c>
      <c r="B64" s="40" t="str">
        <f ca="1" t="shared" si="2"/>
        <v/>
      </c>
      <c r="C64" s="209" t="str">
        <f>VLOOKUP(H64,名称!A:E,4,0)</f>
        <v>二代</v>
      </c>
      <c r="D64" s="210" t="s">
        <v>1459</v>
      </c>
      <c r="E64" s="210" t="s">
        <v>1460</v>
      </c>
      <c r="F64" s="211" t="s">
        <v>350</v>
      </c>
      <c r="G64" s="211" t="s">
        <v>351</v>
      </c>
      <c r="H64" s="211" t="s">
        <v>44</v>
      </c>
      <c r="I64" s="211"/>
      <c r="J64" s="212">
        <v>4008</v>
      </c>
      <c r="K64" s="211">
        <v>5</v>
      </c>
      <c r="L64" s="211">
        <f t="shared" si="9"/>
        <v>20040</v>
      </c>
      <c r="M64" s="211">
        <v>24</v>
      </c>
      <c r="N64" s="212">
        <f t="shared" si="3"/>
        <v>167</v>
      </c>
      <c r="O64" s="208">
        <v>46052</v>
      </c>
      <c r="P64" s="208">
        <v>46052</v>
      </c>
      <c r="Q64" s="208">
        <v>46050</v>
      </c>
      <c r="R64" s="211" t="s">
        <v>1241</v>
      </c>
      <c r="S64" s="208">
        <v>46051</v>
      </c>
      <c r="T64" s="211" t="s">
        <v>1241</v>
      </c>
      <c r="U64" s="211"/>
      <c r="V64" s="211" t="s">
        <v>1608</v>
      </c>
      <c r="W64" s="208"/>
      <c r="X64" s="211" t="s">
        <v>1133</v>
      </c>
      <c r="Y64" s="211" t="s">
        <v>1133</v>
      </c>
      <c r="Z64" s="211" t="s">
        <v>1249</v>
      </c>
      <c r="AA64" s="214">
        <v>46007</v>
      </c>
      <c r="AB64" s="213">
        <v>46008</v>
      </c>
      <c r="AC64" s="211" t="s">
        <v>1133</v>
      </c>
      <c r="AD64" s="211" t="s">
        <v>1133</v>
      </c>
      <c r="AE64" s="211" t="s">
        <v>327</v>
      </c>
      <c r="AF64" s="211" t="s">
        <v>1228</v>
      </c>
      <c r="AG64" s="211" t="s">
        <v>327</v>
      </c>
      <c r="AH64" s="211" t="s">
        <v>1133</v>
      </c>
      <c r="AI64" s="211" t="s">
        <v>1228</v>
      </c>
      <c r="AJ64" s="211" t="s">
        <v>1133</v>
      </c>
      <c r="AK64" s="211" t="s">
        <v>1610</v>
      </c>
      <c r="AL64" s="211"/>
      <c r="AM64" s="211" t="s">
        <v>1611</v>
      </c>
      <c r="AN64" s="212"/>
      <c r="AO64" s="215">
        <v>0.65</v>
      </c>
      <c r="AP64" s="216">
        <f t="shared" si="4"/>
        <v>2605.2</v>
      </c>
      <c r="AQ64" s="216">
        <f t="shared" si="5"/>
        <v>20190.3</v>
      </c>
      <c r="AR64" s="217">
        <v>61049</v>
      </c>
      <c r="AS64" s="208">
        <v>46059</v>
      </c>
      <c r="AT64" s="208" t="s">
        <v>1220</v>
      </c>
      <c r="AU64" s="218"/>
      <c r="AV64" s="219">
        <f t="shared" si="6"/>
        <v>-4008</v>
      </c>
      <c r="AW64" s="116"/>
      <c r="AX64" s="116"/>
      <c r="AY64" s="208"/>
      <c r="AZ64" s="208"/>
      <c r="BA64" s="208"/>
      <c r="BB64" s="208" t="str">
        <f t="shared" si="0"/>
        <v>Proxy (Far East) Limited</v>
      </c>
      <c r="BC64" s="208" t="str">
        <f t="shared" si="1"/>
        <v>瑞典</v>
      </c>
    </row>
    <row r="65" s="194" customFormat="1" customHeight="1" spans="1:55">
      <c r="A65" s="208">
        <v>46003</v>
      </c>
      <c r="B65" s="40" t="str">
        <f ca="1" t="shared" si="2"/>
        <v/>
      </c>
      <c r="C65" s="209" t="str">
        <f>VLOOKUP(H65,名称!A:E,4,0)</f>
        <v>二代</v>
      </c>
      <c r="D65" s="210" t="s">
        <v>1459</v>
      </c>
      <c r="E65" s="210" t="s">
        <v>1460</v>
      </c>
      <c r="F65" s="211" t="s">
        <v>350</v>
      </c>
      <c r="G65" s="211" t="s">
        <v>351</v>
      </c>
      <c r="H65" s="211" t="s">
        <v>40</v>
      </c>
      <c r="I65" s="211"/>
      <c r="J65" s="212">
        <v>3000</v>
      </c>
      <c r="K65" s="211">
        <v>7</v>
      </c>
      <c r="L65" s="211">
        <f t="shared" si="9"/>
        <v>21000</v>
      </c>
      <c r="M65" s="211">
        <v>12</v>
      </c>
      <c r="N65" s="212">
        <f t="shared" si="3"/>
        <v>250</v>
      </c>
      <c r="O65" s="208">
        <v>46052</v>
      </c>
      <c r="P65" s="208">
        <v>46052</v>
      </c>
      <c r="Q65" s="208">
        <v>46050</v>
      </c>
      <c r="R65" s="211" t="s">
        <v>1241</v>
      </c>
      <c r="S65" s="208">
        <v>46051</v>
      </c>
      <c r="T65" s="211" t="s">
        <v>1241</v>
      </c>
      <c r="U65" s="211"/>
      <c r="V65" s="211"/>
      <c r="W65" s="208"/>
      <c r="X65" s="211" t="s">
        <v>1248</v>
      </c>
      <c r="Y65" s="211" t="s">
        <v>1228</v>
      </c>
      <c r="Z65" s="211" t="s">
        <v>1249</v>
      </c>
      <c r="AA65" s="214">
        <v>46007</v>
      </c>
      <c r="AB65" s="213">
        <v>46008</v>
      </c>
      <c r="AC65" s="211" t="s">
        <v>1560</v>
      </c>
      <c r="AD65" s="211" t="s">
        <v>1228</v>
      </c>
      <c r="AE65" s="211" t="s">
        <v>327</v>
      </c>
      <c r="AF65" s="211" t="s">
        <v>1228</v>
      </c>
      <c r="AG65" s="211" t="s">
        <v>327</v>
      </c>
      <c r="AH65" s="211" t="s">
        <v>1562</v>
      </c>
      <c r="AI65" s="211" t="s">
        <v>1228</v>
      </c>
      <c r="AJ65" s="211" t="s">
        <v>1133</v>
      </c>
      <c r="AK65" s="211" t="s">
        <v>1133</v>
      </c>
      <c r="AL65" s="211"/>
      <c r="AM65" s="211" t="s">
        <v>1612</v>
      </c>
      <c r="AN65" s="212" t="s">
        <v>1251</v>
      </c>
      <c r="AO65" s="215">
        <v>0.79</v>
      </c>
      <c r="AP65" s="216">
        <f t="shared" si="4"/>
        <v>2370</v>
      </c>
      <c r="AQ65" s="216">
        <f t="shared" si="5"/>
        <v>18367.5</v>
      </c>
      <c r="AR65" s="217">
        <v>61049</v>
      </c>
      <c r="AS65" s="208">
        <v>46059</v>
      </c>
      <c r="AT65" s="208" t="s">
        <v>1220</v>
      </c>
      <c r="AU65" s="218"/>
      <c r="AV65" s="219">
        <f t="shared" si="6"/>
        <v>-3000</v>
      </c>
      <c r="AW65" s="116"/>
      <c r="AX65" s="116" t="s">
        <v>1280</v>
      </c>
      <c r="AY65" s="208"/>
      <c r="AZ65" s="208"/>
      <c r="BA65" s="208"/>
      <c r="BB65" s="208" t="str">
        <f t="shared" ref="BB65:BB128" si="10">D65</f>
        <v>Proxy (Far East) Limited</v>
      </c>
      <c r="BC65" s="208" t="str">
        <f t="shared" ref="BC65:BC128" si="11">E65</f>
        <v>瑞典</v>
      </c>
    </row>
    <row r="66" s="194" customFormat="1" customHeight="1" spans="1:55">
      <c r="A66" s="208">
        <v>46000</v>
      </c>
      <c r="B66" s="40" t="str">
        <f ca="1" t="shared" si="2"/>
        <v/>
      </c>
      <c r="C66" s="209" t="str">
        <f>VLOOKUP(H66,名称!A:E,4,0)</f>
        <v>二代</v>
      </c>
      <c r="D66" s="210" t="s">
        <v>1613</v>
      </c>
      <c r="E66" s="210" t="s">
        <v>1325</v>
      </c>
      <c r="F66" s="211">
        <v>8150975574</v>
      </c>
      <c r="G66" s="211" t="s">
        <v>342</v>
      </c>
      <c r="H66" s="211" t="s">
        <v>47</v>
      </c>
      <c r="I66" s="211"/>
      <c r="J66" s="212">
        <v>3580</v>
      </c>
      <c r="K66" s="211">
        <v>15</v>
      </c>
      <c r="L66" s="211">
        <f t="shared" si="9"/>
        <v>53700</v>
      </c>
      <c r="M66" s="211">
        <v>5</v>
      </c>
      <c r="N66" s="212">
        <f t="shared" si="3"/>
        <v>716</v>
      </c>
      <c r="O66" s="208">
        <v>46087</v>
      </c>
      <c r="P66" s="208">
        <v>46087</v>
      </c>
      <c r="Q66" s="208">
        <v>46051</v>
      </c>
      <c r="R66" s="211" t="s">
        <v>1241</v>
      </c>
      <c r="S66" s="208" t="s">
        <v>1614</v>
      </c>
      <c r="T66" s="211" t="s">
        <v>1241</v>
      </c>
      <c r="U66" s="211"/>
      <c r="V66" s="211" t="s">
        <v>1615</v>
      </c>
      <c r="W66" s="208"/>
      <c r="X66" s="211" t="s">
        <v>1133</v>
      </c>
      <c r="Y66" s="211" t="s">
        <v>1133</v>
      </c>
      <c r="Z66" s="213">
        <v>45988</v>
      </c>
      <c r="AA66" s="214">
        <v>46001</v>
      </c>
      <c r="AB66" s="213">
        <v>46009</v>
      </c>
      <c r="AC66" s="211" t="s">
        <v>1302</v>
      </c>
      <c r="AD66" s="211" t="s">
        <v>1228</v>
      </c>
      <c r="AE66" s="211" t="s">
        <v>253</v>
      </c>
      <c r="AF66" s="211" t="s">
        <v>1228</v>
      </c>
      <c r="AG66" s="211" t="s">
        <v>1604</v>
      </c>
      <c r="AH66" s="211" t="s">
        <v>1229</v>
      </c>
      <c r="AI66" s="211" t="s">
        <v>1228</v>
      </c>
      <c r="AJ66" s="211" t="s">
        <v>253</v>
      </c>
      <c r="AK66" s="211" t="s">
        <v>1133</v>
      </c>
      <c r="AL66" s="211"/>
      <c r="AM66" s="211" t="s">
        <v>1616</v>
      </c>
      <c r="AN66" s="212" t="s">
        <v>1231</v>
      </c>
      <c r="AO66" s="215">
        <v>2.29</v>
      </c>
      <c r="AP66" s="216">
        <f t="shared" si="4"/>
        <v>8198.2</v>
      </c>
      <c r="AQ66" s="216">
        <f t="shared" si="5"/>
        <v>63536.05</v>
      </c>
      <c r="AR66" s="217">
        <v>61050</v>
      </c>
      <c r="AS66" s="208">
        <v>46059</v>
      </c>
      <c r="AT66" s="208" t="s">
        <v>1220</v>
      </c>
      <c r="AU66" s="218"/>
      <c r="AV66" s="219">
        <f t="shared" si="6"/>
        <v>-3580</v>
      </c>
      <c r="AW66" s="116"/>
      <c r="AX66" s="116"/>
      <c r="AY66" s="208"/>
      <c r="AZ66" s="208"/>
      <c r="BA66" s="208"/>
      <c r="BB66" s="208" t="str">
        <f t="shared" si="10"/>
        <v>WALMART CANADA</v>
      </c>
      <c r="BC66" s="208" t="str">
        <f t="shared" si="11"/>
        <v>加拿大</v>
      </c>
    </row>
    <row r="67" s="194" customFormat="1" customHeight="1" spans="1:55">
      <c r="A67" s="208">
        <v>46000</v>
      </c>
      <c r="B67" s="40" t="str">
        <f ca="1" t="shared" ref="B67:B130" si="12">IF(TODAY()-5&gt;=A67,IF(AB67="","异常",""),"")</f>
        <v/>
      </c>
      <c r="C67" s="209" t="str">
        <f>VLOOKUP(H67,名称!A:E,4,0)</f>
        <v>二代</v>
      </c>
      <c r="D67" s="210" t="s">
        <v>1613</v>
      </c>
      <c r="E67" s="210" t="s">
        <v>1325</v>
      </c>
      <c r="F67" s="211">
        <v>8150975575</v>
      </c>
      <c r="G67" s="211" t="s">
        <v>343</v>
      </c>
      <c r="H67" s="211" t="s">
        <v>48</v>
      </c>
      <c r="I67" s="211"/>
      <c r="J67" s="212">
        <v>2616</v>
      </c>
      <c r="K67" s="211">
        <v>5</v>
      </c>
      <c r="L67" s="211">
        <f t="shared" si="9"/>
        <v>13080</v>
      </c>
      <c r="M67" s="211">
        <v>12</v>
      </c>
      <c r="N67" s="212">
        <f t="shared" ref="N67:N130" si="13">J67/M67</f>
        <v>218</v>
      </c>
      <c r="O67" s="208">
        <v>46087</v>
      </c>
      <c r="P67" s="208">
        <v>46087</v>
      </c>
      <c r="Q67" s="208">
        <v>46051</v>
      </c>
      <c r="R67" s="211" t="s">
        <v>1241</v>
      </c>
      <c r="S67" s="208" t="s">
        <v>1614</v>
      </c>
      <c r="T67" s="211" t="s">
        <v>1241</v>
      </c>
      <c r="U67" s="211"/>
      <c r="V67" s="211" t="s">
        <v>1615</v>
      </c>
      <c r="W67" s="208"/>
      <c r="X67" s="211" t="s">
        <v>1133</v>
      </c>
      <c r="Y67" s="211" t="s">
        <v>1133</v>
      </c>
      <c r="Z67" s="213">
        <v>45988</v>
      </c>
      <c r="AA67" s="214">
        <v>46001</v>
      </c>
      <c r="AB67" s="213">
        <v>46009</v>
      </c>
      <c r="AC67" s="211" t="s">
        <v>1133</v>
      </c>
      <c r="AD67" s="211" t="s">
        <v>1133</v>
      </c>
      <c r="AE67" s="211" t="s">
        <v>253</v>
      </c>
      <c r="AF67" s="211" t="s">
        <v>1228</v>
      </c>
      <c r="AG67" s="211" t="s">
        <v>1604</v>
      </c>
      <c r="AH67" s="211" t="s">
        <v>1133</v>
      </c>
      <c r="AI67" s="211" t="s">
        <v>1228</v>
      </c>
      <c r="AJ67" s="211" t="s">
        <v>1133</v>
      </c>
      <c r="AK67" s="211" t="s">
        <v>253</v>
      </c>
      <c r="AL67" s="211"/>
      <c r="AM67" s="211" t="s">
        <v>1616</v>
      </c>
      <c r="AN67" s="212" t="s">
        <v>1234</v>
      </c>
      <c r="AO67" s="215">
        <v>0.63</v>
      </c>
      <c r="AP67" s="216">
        <f t="shared" ref="AP67:AP130" si="14">J67*AO67</f>
        <v>1648.08</v>
      </c>
      <c r="AQ67" s="216">
        <f t="shared" ref="AQ67:AQ130" si="15">AP67*7.75</f>
        <v>12772.62</v>
      </c>
      <c r="AR67" s="217">
        <v>61051</v>
      </c>
      <c r="AS67" s="208">
        <v>46059</v>
      </c>
      <c r="AT67" s="208" t="s">
        <v>1220</v>
      </c>
      <c r="AU67" s="218"/>
      <c r="AV67" s="219">
        <f t="shared" ref="AV67:AV94" si="16">AU67-J67</f>
        <v>-2616</v>
      </c>
      <c r="AW67" s="116"/>
      <c r="AX67" s="116"/>
      <c r="AY67" s="208"/>
      <c r="AZ67" s="208"/>
      <c r="BA67" s="208"/>
      <c r="BB67" s="208" t="str">
        <f t="shared" si="10"/>
        <v>WALMART CANADA</v>
      </c>
      <c r="BC67" s="208" t="str">
        <f t="shared" si="11"/>
        <v>加拿大</v>
      </c>
    </row>
    <row r="68" s="194" customFormat="1" customHeight="1" spans="1:55">
      <c r="A68" s="208">
        <v>46000</v>
      </c>
      <c r="B68" s="40" t="str">
        <f ca="1" t="shared" si="12"/>
        <v/>
      </c>
      <c r="C68" s="209" t="str">
        <f>VLOOKUP(H68,名称!A:E,4,0)</f>
        <v>二代</v>
      </c>
      <c r="D68" s="210" t="s">
        <v>1420</v>
      </c>
      <c r="E68" s="210" t="s">
        <v>1617</v>
      </c>
      <c r="F68" s="211">
        <v>21011533</v>
      </c>
      <c r="G68" s="211" t="s">
        <v>348</v>
      </c>
      <c r="H68" s="211" t="s">
        <v>38</v>
      </c>
      <c r="I68" s="211"/>
      <c r="J68" s="212">
        <f>3840+160</f>
        <v>4000</v>
      </c>
      <c r="K68" s="211">
        <v>32</v>
      </c>
      <c r="L68" s="211">
        <f t="shared" si="9"/>
        <v>128000</v>
      </c>
      <c r="M68" s="211">
        <v>4</v>
      </c>
      <c r="N68" s="212">
        <f t="shared" si="13"/>
        <v>1000</v>
      </c>
      <c r="O68" s="208">
        <v>46053</v>
      </c>
      <c r="P68" s="208">
        <v>46053</v>
      </c>
      <c r="Q68" s="208">
        <v>46055</v>
      </c>
      <c r="R68" s="211" t="s">
        <v>1241</v>
      </c>
      <c r="S68" s="208" t="s">
        <v>1133</v>
      </c>
      <c r="T68" s="208" t="s">
        <v>1133</v>
      </c>
      <c r="U68" s="211"/>
      <c r="V68" s="211"/>
      <c r="W68" s="211"/>
      <c r="X68" s="211" t="s">
        <v>1248</v>
      </c>
      <c r="Y68" s="208" t="s">
        <v>1228</v>
      </c>
      <c r="Z68" s="211" t="s">
        <v>1249</v>
      </c>
      <c r="AA68" s="214">
        <v>46001</v>
      </c>
      <c r="AB68" s="213">
        <v>46008</v>
      </c>
      <c r="AC68" s="211" t="s">
        <v>1133</v>
      </c>
      <c r="AD68" s="211" t="s">
        <v>1133</v>
      </c>
      <c r="AE68" s="211" t="s">
        <v>327</v>
      </c>
      <c r="AF68" s="211" t="s">
        <v>1228</v>
      </c>
      <c r="AG68" s="211" t="s">
        <v>327</v>
      </c>
      <c r="AH68" s="211" t="s">
        <v>1562</v>
      </c>
      <c r="AI68" s="211" t="s">
        <v>1228</v>
      </c>
      <c r="AJ68" s="211" t="s">
        <v>1133</v>
      </c>
      <c r="AK68" s="211" t="s">
        <v>1133</v>
      </c>
      <c r="AL68" s="211"/>
      <c r="AM68" s="211" t="s">
        <v>1592</v>
      </c>
      <c r="AN68" s="212" t="s">
        <v>1251</v>
      </c>
      <c r="AO68" s="215">
        <v>3.23</v>
      </c>
      <c r="AP68" s="216">
        <f t="shared" si="14"/>
        <v>12920</v>
      </c>
      <c r="AQ68" s="216">
        <f t="shared" si="15"/>
        <v>100130</v>
      </c>
      <c r="AR68" s="217">
        <v>61053</v>
      </c>
      <c r="AS68" s="208">
        <v>46063</v>
      </c>
      <c r="AT68" s="208" t="s">
        <v>1220</v>
      </c>
      <c r="AU68" s="218"/>
      <c r="AV68" s="219">
        <f t="shared" si="16"/>
        <v>-4000</v>
      </c>
      <c r="AW68" s="116"/>
      <c r="AX68" s="116"/>
      <c r="AY68" s="208"/>
      <c r="AZ68" s="208"/>
      <c r="BA68" s="208"/>
      <c r="BB68" s="208" t="str">
        <f t="shared" si="10"/>
        <v>Banter Toys</v>
      </c>
      <c r="BC68" s="208" t="str">
        <f t="shared" si="11"/>
        <v>澳洲</v>
      </c>
    </row>
    <row r="69" s="194" customFormat="1" customHeight="1" spans="1:55">
      <c r="A69" s="208">
        <v>46000</v>
      </c>
      <c r="B69" s="40" t="str">
        <f ca="1" t="shared" si="12"/>
        <v/>
      </c>
      <c r="C69" s="209" t="str">
        <f>VLOOKUP(H69,名称!A:E,4,0)</f>
        <v>二代</v>
      </c>
      <c r="D69" s="210" t="s">
        <v>1420</v>
      </c>
      <c r="E69" s="210" t="s">
        <v>1617</v>
      </c>
      <c r="F69" s="211">
        <v>21011533</v>
      </c>
      <c r="G69" s="211" t="s">
        <v>348</v>
      </c>
      <c r="H69" s="211" t="s">
        <v>53</v>
      </c>
      <c r="I69" s="211"/>
      <c r="J69" s="212">
        <v>12000</v>
      </c>
      <c r="K69" s="211">
        <v>0</v>
      </c>
      <c r="L69" s="211">
        <f t="shared" si="9"/>
        <v>0</v>
      </c>
      <c r="M69" s="211">
        <v>24</v>
      </c>
      <c r="N69" s="212">
        <f t="shared" si="13"/>
        <v>500</v>
      </c>
      <c r="O69" s="208">
        <v>46053</v>
      </c>
      <c r="P69" s="208">
        <v>46053</v>
      </c>
      <c r="Q69" s="208">
        <v>46055</v>
      </c>
      <c r="R69" s="211" t="s">
        <v>1241</v>
      </c>
      <c r="S69" s="208" t="s">
        <v>1133</v>
      </c>
      <c r="T69" s="208" t="s">
        <v>1133</v>
      </c>
      <c r="U69" s="211"/>
      <c r="V69" s="211"/>
      <c r="W69" s="211"/>
      <c r="X69" s="211" t="s">
        <v>1248</v>
      </c>
      <c r="Y69" s="208" t="s">
        <v>1228</v>
      </c>
      <c r="Z69" s="211" t="s">
        <v>1249</v>
      </c>
      <c r="AA69" s="214">
        <v>46001</v>
      </c>
      <c r="AB69" s="213">
        <v>46008</v>
      </c>
      <c r="AC69" s="211" t="s">
        <v>1133</v>
      </c>
      <c r="AD69" s="211" t="s">
        <v>1133</v>
      </c>
      <c r="AE69" s="211" t="s">
        <v>327</v>
      </c>
      <c r="AF69" s="211" t="s">
        <v>1228</v>
      </c>
      <c r="AG69" s="211" t="s">
        <v>327</v>
      </c>
      <c r="AH69" s="211" t="s">
        <v>1133</v>
      </c>
      <c r="AI69" s="211" t="s">
        <v>1228</v>
      </c>
      <c r="AJ69" s="211" t="s">
        <v>1133</v>
      </c>
      <c r="AK69" s="211" t="s">
        <v>327</v>
      </c>
      <c r="AL69" s="211"/>
      <c r="AM69" s="211" t="s">
        <v>1592</v>
      </c>
      <c r="AN69" s="212" t="s">
        <v>1251</v>
      </c>
      <c r="AO69" s="215">
        <v>0.64</v>
      </c>
      <c r="AP69" s="216">
        <f t="shared" si="14"/>
        <v>7680</v>
      </c>
      <c r="AQ69" s="216">
        <f t="shared" si="15"/>
        <v>59520</v>
      </c>
      <c r="AR69" s="217">
        <v>61053</v>
      </c>
      <c r="AS69" s="208">
        <v>46063</v>
      </c>
      <c r="AT69" s="208" t="s">
        <v>1220</v>
      </c>
      <c r="AU69" s="218"/>
      <c r="AV69" s="219">
        <f t="shared" si="16"/>
        <v>-12000</v>
      </c>
      <c r="AW69" s="116"/>
      <c r="AX69" s="116"/>
      <c r="AY69" s="208"/>
      <c r="AZ69" s="208"/>
      <c r="BA69" s="208"/>
      <c r="BB69" s="208" t="str">
        <f t="shared" si="10"/>
        <v>Banter Toys</v>
      </c>
      <c r="BC69" s="208" t="str">
        <f t="shared" si="11"/>
        <v>澳洲</v>
      </c>
    </row>
    <row r="70" s="194" customFormat="1" customHeight="1" spans="1:55">
      <c r="A70" s="208">
        <v>46000</v>
      </c>
      <c r="B70" s="40" t="str">
        <f ca="1" t="shared" si="12"/>
        <v/>
      </c>
      <c r="C70" s="209" t="str">
        <f>VLOOKUP(H70,名称!A:E,4,0)</f>
        <v>二代</v>
      </c>
      <c r="D70" s="210" t="s">
        <v>1420</v>
      </c>
      <c r="E70" s="210" t="s">
        <v>1617</v>
      </c>
      <c r="F70" s="211">
        <v>21011533</v>
      </c>
      <c r="G70" s="211" t="s">
        <v>348</v>
      </c>
      <c r="H70" s="211" t="s">
        <v>35</v>
      </c>
      <c r="I70" s="211"/>
      <c r="J70" s="212">
        <v>8016</v>
      </c>
      <c r="K70" s="211">
        <v>7</v>
      </c>
      <c r="L70" s="211">
        <f t="shared" si="9"/>
        <v>56112</v>
      </c>
      <c r="M70" s="211">
        <v>24</v>
      </c>
      <c r="N70" s="212">
        <f t="shared" si="13"/>
        <v>334</v>
      </c>
      <c r="O70" s="208">
        <v>46053</v>
      </c>
      <c r="P70" s="208">
        <v>46053</v>
      </c>
      <c r="Q70" s="208">
        <v>46055</v>
      </c>
      <c r="R70" s="211" t="s">
        <v>1241</v>
      </c>
      <c r="S70" s="208" t="s">
        <v>1133</v>
      </c>
      <c r="T70" s="208" t="s">
        <v>1133</v>
      </c>
      <c r="U70" s="211"/>
      <c r="V70" s="211"/>
      <c r="W70" s="211"/>
      <c r="X70" s="211" t="s">
        <v>1248</v>
      </c>
      <c r="Y70" s="208" t="s">
        <v>1228</v>
      </c>
      <c r="Z70" s="211" t="s">
        <v>1249</v>
      </c>
      <c r="AA70" s="214">
        <v>46001</v>
      </c>
      <c r="AB70" s="213">
        <v>46008</v>
      </c>
      <c r="AC70" s="211" t="s">
        <v>1560</v>
      </c>
      <c r="AD70" s="211" t="s">
        <v>1228</v>
      </c>
      <c r="AE70" s="211" t="s">
        <v>327</v>
      </c>
      <c r="AF70" s="211" t="s">
        <v>1228</v>
      </c>
      <c r="AG70" s="211" t="s">
        <v>327</v>
      </c>
      <c r="AH70" s="211" t="s">
        <v>1562</v>
      </c>
      <c r="AI70" s="211" t="s">
        <v>1228</v>
      </c>
      <c r="AJ70" s="211" t="s">
        <v>1133</v>
      </c>
      <c r="AK70" s="211" t="s">
        <v>1133</v>
      </c>
      <c r="AL70" s="211"/>
      <c r="AM70" s="211" t="s">
        <v>1592</v>
      </c>
      <c r="AN70" s="212" t="s">
        <v>1251</v>
      </c>
      <c r="AO70" s="215">
        <v>0.9</v>
      </c>
      <c r="AP70" s="216">
        <f t="shared" si="14"/>
        <v>7214.4</v>
      </c>
      <c r="AQ70" s="216">
        <f t="shared" si="15"/>
        <v>55911.6</v>
      </c>
      <c r="AR70" s="217">
        <v>61053</v>
      </c>
      <c r="AS70" s="208">
        <v>46063</v>
      </c>
      <c r="AT70" s="208" t="s">
        <v>1220</v>
      </c>
      <c r="AU70" s="218"/>
      <c r="AV70" s="219">
        <f t="shared" si="16"/>
        <v>-8016</v>
      </c>
      <c r="AW70" s="116"/>
      <c r="AX70" s="116"/>
      <c r="AY70" s="208"/>
      <c r="AZ70" s="208"/>
      <c r="BA70" s="208"/>
      <c r="BB70" s="208" t="str">
        <f t="shared" si="10"/>
        <v>Banter Toys</v>
      </c>
      <c r="BC70" s="208" t="str">
        <f t="shared" si="11"/>
        <v>澳洲</v>
      </c>
    </row>
    <row r="71" s="194" customFormat="1" customHeight="1" spans="1:55">
      <c r="A71" s="208">
        <v>46013</v>
      </c>
      <c r="B71" s="40" t="str">
        <f ca="1" t="shared" si="12"/>
        <v/>
      </c>
      <c r="C71" s="209" t="str">
        <f>VLOOKUP(H71,名称!A:E,4,0)</f>
        <v>二代</v>
      </c>
      <c r="D71" s="210" t="s">
        <v>1240</v>
      </c>
      <c r="E71" s="210" t="s">
        <v>1224</v>
      </c>
      <c r="F71" s="211" t="s">
        <v>357</v>
      </c>
      <c r="G71" s="211" t="s">
        <v>358</v>
      </c>
      <c r="H71" s="211" t="s">
        <v>26</v>
      </c>
      <c r="I71" s="211"/>
      <c r="J71" s="212">
        <v>25002</v>
      </c>
      <c r="K71" s="211">
        <v>15</v>
      </c>
      <c r="L71" s="211">
        <f t="shared" si="9"/>
        <v>375030</v>
      </c>
      <c r="M71" s="211">
        <v>6</v>
      </c>
      <c r="N71" s="212">
        <f t="shared" si="13"/>
        <v>4167</v>
      </c>
      <c r="O71" s="208">
        <v>46058</v>
      </c>
      <c r="P71" s="208">
        <v>46058</v>
      </c>
      <c r="Q71" s="208">
        <v>46058</v>
      </c>
      <c r="R71" s="211" t="s">
        <v>1241</v>
      </c>
      <c r="S71" s="208">
        <v>46059</v>
      </c>
      <c r="T71" s="211" t="s">
        <v>1282</v>
      </c>
      <c r="U71" s="211"/>
      <c r="V71" s="211" t="s">
        <v>1618</v>
      </c>
      <c r="W71" s="208"/>
      <c r="X71" s="211" t="s">
        <v>1133</v>
      </c>
      <c r="Y71" s="211" t="s">
        <v>1133</v>
      </c>
      <c r="Z71" s="211" t="s">
        <v>1249</v>
      </c>
      <c r="AA71" s="214">
        <v>46028</v>
      </c>
      <c r="AB71" s="213">
        <v>46033</v>
      </c>
      <c r="AC71" s="211" t="s">
        <v>1244</v>
      </c>
      <c r="AD71" s="211" t="s">
        <v>1228</v>
      </c>
      <c r="AE71" s="211" t="s">
        <v>1597</v>
      </c>
      <c r="AF71" s="211" t="s">
        <v>1228</v>
      </c>
      <c r="AG71" s="211" t="s">
        <v>1597</v>
      </c>
      <c r="AH71" s="211" t="s">
        <v>1601</v>
      </c>
      <c r="AI71" s="211" t="s">
        <v>1228</v>
      </c>
      <c r="AJ71" s="211" t="s">
        <v>1572</v>
      </c>
      <c r="AK71" s="211" t="s">
        <v>1133</v>
      </c>
      <c r="AL71" s="211"/>
      <c r="AM71" s="211" t="s">
        <v>1619</v>
      </c>
      <c r="AN71" s="212"/>
      <c r="AO71" s="215">
        <v>2.14</v>
      </c>
      <c r="AP71" s="216">
        <f t="shared" si="14"/>
        <v>53504.28</v>
      </c>
      <c r="AQ71" s="216">
        <f t="shared" si="15"/>
        <v>414658.17</v>
      </c>
      <c r="AR71" s="217">
        <v>61054</v>
      </c>
      <c r="AS71" s="208">
        <v>46063</v>
      </c>
      <c r="AT71" s="208" t="s">
        <v>1220</v>
      </c>
      <c r="AU71" s="218"/>
      <c r="AV71" s="219">
        <f t="shared" si="16"/>
        <v>-25002</v>
      </c>
      <c r="AW71" s="116"/>
      <c r="AX71" s="116"/>
      <c r="AY71" s="208"/>
      <c r="AZ71" s="208"/>
      <c r="BA71" s="208"/>
      <c r="BB71" s="208" t="str">
        <f t="shared" si="10"/>
        <v>JAZWARES - TARGET US DOM</v>
      </c>
      <c r="BC71" s="208" t="str">
        <f t="shared" si="11"/>
        <v>美国</v>
      </c>
    </row>
    <row r="72" s="194" customFormat="1" customHeight="1" spans="1:55">
      <c r="A72" s="208">
        <v>46013</v>
      </c>
      <c r="B72" s="40" t="str">
        <f ca="1" t="shared" si="12"/>
        <v/>
      </c>
      <c r="C72" s="209" t="str">
        <f>VLOOKUP(H72,名称!A:E,4,0)</f>
        <v>二代</v>
      </c>
      <c r="D72" s="210" t="s">
        <v>1240</v>
      </c>
      <c r="E72" s="210" t="s">
        <v>1224</v>
      </c>
      <c r="F72" s="211" t="s">
        <v>359</v>
      </c>
      <c r="G72" s="211" t="s">
        <v>360</v>
      </c>
      <c r="H72" s="211" t="s">
        <v>43</v>
      </c>
      <c r="I72" s="211"/>
      <c r="J72" s="212">
        <v>30000</v>
      </c>
      <c r="K72" s="211">
        <v>5</v>
      </c>
      <c r="L72" s="211">
        <f t="shared" si="9"/>
        <v>150000</v>
      </c>
      <c r="M72" s="211">
        <v>24</v>
      </c>
      <c r="N72" s="212">
        <f t="shared" si="13"/>
        <v>1250</v>
      </c>
      <c r="O72" s="208">
        <v>46058</v>
      </c>
      <c r="P72" s="208">
        <v>46058</v>
      </c>
      <c r="Q72" s="208">
        <v>46058</v>
      </c>
      <c r="R72" s="211" t="s">
        <v>1558</v>
      </c>
      <c r="S72" s="208">
        <v>46059</v>
      </c>
      <c r="T72" s="211" t="s">
        <v>1282</v>
      </c>
      <c r="U72" s="211"/>
      <c r="V72" s="211" t="s">
        <v>1618</v>
      </c>
      <c r="W72" s="208"/>
      <c r="X72" s="211" t="s">
        <v>1133</v>
      </c>
      <c r="Y72" s="211" t="s">
        <v>1133</v>
      </c>
      <c r="Z72" s="211" t="s">
        <v>1249</v>
      </c>
      <c r="AA72" s="214">
        <v>46028</v>
      </c>
      <c r="AB72" s="213">
        <v>46033</v>
      </c>
      <c r="AC72" s="211" t="s">
        <v>1133</v>
      </c>
      <c r="AD72" s="211" t="s">
        <v>1133</v>
      </c>
      <c r="AE72" s="211" t="s">
        <v>1596</v>
      </c>
      <c r="AF72" s="211" t="s">
        <v>1228</v>
      </c>
      <c r="AG72" s="211" t="s">
        <v>1597</v>
      </c>
      <c r="AH72" s="211" t="s">
        <v>1133</v>
      </c>
      <c r="AI72" s="211" t="s">
        <v>1228</v>
      </c>
      <c r="AJ72" s="211" t="s">
        <v>1133</v>
      </c>
      <c r="AK72" s="211" t="s">
        <v>1598</v>
      </c>
      <c r="AL72" s="211"/>
      <c r="AM72" s="211" t="s">
        <v>1619</v>
      </c>
      <c r="AN72" s="212"/>
      <c r="AO72" s="215">
        <v>0.61</v>
      </c>
      <c r="AP72" s="216">
        <f t="shared" si="14"/>
        <v>18300</v>
      </c>
      <c r="AQ72" s="216">
        <f t="shared" si="15"/>
        <v>141825</v>
      </c>
      <c r="AR72" s="217">
        <v>61055</v>
      </c>
      <c r="AS72" s="208">
        <v>46063</v>
      </c>
      <c r="AT72" s="208" t="s">
        <v>1220</v>
      </c>
      <c r="AU72" s="218"/>
      <c r="AV72" s="219">
        <f t="shared" si="16"/>
        <v>-30000</v>
      </c>
      <c r="AW72" s="116"/>
      <c r="AX72" s="116"/>
      <c r="AY72" s="208"/>
      <c r="AZ72" s="208"/>
      <c r="BA72" s="208"/>
      <c r="BB72" s="208" t="str">
        <f t="shared" si="10"/>
        <v>JAZWARES - TARGET US DOM</v>
      </c>
      <c r="BC72" s="208" t="str">
        <f t="shared" si="11"/>
        <v>美国</v>
      </c>
    </row>
    <row r="73" s="194" customFormat="1" customHeight="1" spans="1:55">
      <c r="A73" s="208">
        <v>46013</v>
      </c>
      <c r="B73" s="40" t="str">
        <f ca="1" t="shared" si="12"/>
        <v/>
      </c>
      <c r="C73" s="209" t="str">
        <f>VLOOKUP(H73,名称!A:E,4,0)</f>
        <v>二代</v>
      </c>
      <c r="D73" s="210" t="s">
        <v>1240</v>
      </c>
      <c r="E73" s="210" t="s">
        <v>1224</v>
      </c>
      <c r="F73" s="211" t="s">
        <v>361</v>
      </c>
      <c r="G73" s="211" t="s">
        <v>362</v>
      </c>
      <c r="H73" s="211" t="s">
        <v>43</v>
      </c>
      <c r="I73" s="211"/>
      <c r="J73" s="212">
        <v>25008</v>
      </c>
      <c r="K73" s="211">
        <v>5</v>
      </c>
      <c r="L73" s="211">
        <f t="shared" si="9"/>
        <v>125040</v>
      </c>
      <c r="M73" s="211">
        <v>24</v>
      </c>
      <c r="N73" s="212">
        <f t="shared" si="13"/>
        <v>1042</v>
      </c>
      <c r="O73" s="208">
        <v>46058</v>
      </c>
      <c r="P73" s="208">
        <v>46058</v>
      </c>
      <c r="Q73" s="208">
        <v>46058</v>
      </c>
      <c r="R73" s="211" t="s">
        <v>1558</v>
      </c>
      <c r="S73" s="208">
        <v>46059</v>
      </c>
      <c r="T73" s="211" t="s">
        <v>1282</v>
      </c>
      <c r="U73" s="211"/>
      <c r="V73" s="211" t="s">
        <v>1618</v>
      </c>
      <c r="W73" s="208"/>
      <c r="X73" s="211" t="s">
        <v>1133</v>
      </c>
      <c r="Y73" s="211" t="s">
        <v>1133</v>
      </c>
      <c r="Z73" s="211" t="s">
        <v>1249</v>
      </c>
      <c r="AA73" s="214">
        <v>46028</v>
      </c>
      <c r="AB73" s="213">
        <v>46033</v>
      </c>
      <c r="AC73" s="211" t="s">
        <v>1133</v>
      </c>
      <c r="AD73" s="211" t="s">
        <v>1133</v>
      </c>
      <c r="AE73" s="211" t="s">
        <v>1596</v>
      </c>
      <c r="AF73" s="211" t="s">
        <v>1228</v>
      </c>
      <c r="AG73" s="211" t="s">
        <v>1597</v>
      </c>
      <c r="AH73" s="211" t="s">
        <v>1133</v>
      </c>
      <c r="AI73" s="211" t="s">
        <v>1228</v>
      </c>
      <c r="AJ73" s="211" t="s">
        <v>1133</v>
      </c>
      <c r="AK73" s="211" t="s">
        <v>1598</v>
      </c>
      <c r="AL73" s="211"/>
      <c r="AM73" s="211" t="s">
        <v>1619</v>
      </c>
      <c r="AN73" s="212"/>
      <c r="AO73" s="215">
        <v>0.61</v>
      </c>
      <c r="AP73" s="216">
        <f t="shared" si="14"/>
        <v>15254.88</v>
      </c>
      <c r="AQ73" s="216">
        <f t="shared" si="15"/>
        <v>118225.32</v>
      </c>
      <c r="AR73" s="217">
        <v>61056</v>
      </c>
      <c r="AS73" s="208">
        <v>46063</v>
      </c>
      <c r="AT73" s="208" t="s">
        <v>1220</v>
      </c>
      <c r="AU73" s="218"/>
      <c r="AV73" s="219">
        <f t="shared" si="16"/>
        <v>-25008</v>
      </c>
      <c r="AW73" s="116"/>
      <c r="AX73" s="116"/>
      <c r="AY73" s="208"/>
      <c r="AZ73" s="208"/>
      <c r="BA73" s="208"/>
      <c r="BB73" s="208" t="str">
        <f t="shared" si="10"/>
        <v>JAZWARES - TARGET US DOM</v>
      </c>
      <c r="BC73" s="208" t="str">
        <f t="shared" si="11"/>
        <v>美国</v>
      </c>
    </row>
    <row r="74" s="194" customFormat="1" customHeight="1" spans="1:55">
      <c r="A74" s="208">
        <v>46014</v>
      </c>
      <c r="B74" s="40" t="str">
        <f ca="1" t="shared" si="12"/>
        <v/>
      </c>
      <c r="C74" s="209" t="str">
        <f>VLOOKUP(H74,名称!A:E,4,0)</f>
        <v>二代</v>
      </c>
      <c r="D74" s="210" t="s">
        <v>1240</v>
      </c>
      <c r="E74" s="210" t="s">
        <v>1224</v>
      </c>
      <c r="F74" s="211" t="s">
        <v>373</v>
      </c>
      <c r="G74" s="211" t="s">
        <v>374</v>
      </c>
      <c r="H74" s="211" t="s">
        <v>44</v>
      </c>
      <c r="I74" s="211"/>
      <c r="J74" s="212">
        <v>15000</v>
      </c>
      <c r="K74" s="211">
        <v>5</v>
      </c>
      <c r="L74" s="211">
        <f t="shared" si="9"/>
        <v>75000</v>
      </c>
      <c r="M74" s="211">
        <v>24</v>
      </c>
      <c r="N74" s="212">
        <f t="shared" si="13"/>
        <v>625</v>
      </c>
      <c r="O74" s="208">
        <v>46058</v>
      </c>
      <c r="P74" s="208">
        <v>46058</v>
      </c>
      <c r="Q74" s="208">
        <v>46058</v>
      </c>
      <c r="R74" s="211" t="s">
        <v>1241</v>
      </c>
      <c r="S74" s="208">
        <v>46059</v>
      </c>
      <c r="T74" s="211" t="s">
        <v>1282</v>
      </c>
      <c r="U74" s="211"/>
      <c r="V74" s="211" t="s">
        <v>1618</v>
      </c>
      <c r="W74" s="208"/>
      <c r="X74" s="211" t="s">
        <v>1133</v>
      </c>
      <c r="Y74" s="211" t="s">
        <v>1133</v>
      </c>
      <c r="Z74" s="211" t="s">
        <v>1249</v>
      </c>
      <c r="AA74" s="214">
        <v>46028</v>
      </c>
      <c r="AB74" s="213">
        <v>46033</v>
      </c>
      <c r="AC74" s="211" t="s">
        <v>1133</v>
      </c>
      <c r="AD74" s="211" t="s">
        <v>1133</v>
      </c>
      <c r="AE74" s="211" t="s">
        <v>1597</v>
      </c>
      <c r="AF74" s="211" t="s">
        <v>1228</v>
      </c>
      <c r="AG74" s="211" t="s">
        <v>1597</v>
      </c>
      <c r="AH74" s="211" t="s">
        <v>1133</v>
      </c>
      <c r="AI74" s="211" t="s">
        <v>1228</v>
      </c>
      <c r="AJ74" s="211" t="s">
        <v>1133</v>
      </c>
      <c r="AK74" s="211" t="s">
        <v>1598</v>
      </c>
      <c r="AL74" s="211"/>
      <c r="AM74" s="211" t="s">
        <v>1619</v>
      </c>
      <c r="AN74" s="212"/>
      <c r="AO74" s="215">
        <v>0.61</v>
      </c>
      <c r="AP74" s="216">
        <f t="shared" si="14"/>
        <v>9150</v>
      </c>
      <c r="AQ74" s="216">
        <f t="shared" si="15"/>
        <v>70912.5</v>
      </c>
      <c r="AR74" s="217">
        <v>61057</v>
      </c>
      <c r="AS74" s="208">
        <v>46063</v>
      </c>
      <c r="AT74" s="208" t="s">
        <v>1220</v>
      </c>
      <c r="AU74" s="218"/>
      <c r="AV74" s="219">
        <f t="shared" si="16"/>
        <v>-15000</v>
      </c>
      <c r="AW74" s="116"/>
      <c r="AX74" s="116"/>
      <c r="AY74" s="208"/>
      <c r="AZ74" s="208"/>
      <c r="BA74" s="208"/>
      <c r="BB74" s="208" t="str">
        <f t="shared" si="10"/>
        <v>JAZWARES - TARGET US DOM</v>
      </c>
      <c r="BC74" s="208" t="str">
        <f t="shared" si="11"/>
        <v>美国</v>
      </c>
    </row>
    <row r="75" s="194" customFormat="1" customHeight="1" spans="1:55">
      <c r="A75" s="208">
        <v>46013</v>
      </c>
      <c r="B75" s="40" t="str">
        <f ca="1" t="shared" si="12"/>
        <v/>
      </c>
      <c r="C75" s="209" t="str">
        <f>VLOOKUP(H75,名称!A:E,4,0)</f>
        <v>二代</v>
      </c>
      <c r="D75" s="210" t="s">
        <v>1240</v>
      </c>
      <c r="E75" s="210" t="s">
        <v>1224</v>
      </c>
      <c r="F75" s="211" t="s">
        <v>367</v>
      </c>
      <c r="G75" s="211" t="s">
        <v>368</v>
      </c>
      <c r="H75" s="211" t="s">
        <v>26</v>
      </c>
      <c r="I75" s="211"/>
      <c r="J75" s="212">
        <v>5004</v>
      </c>
      <c r="K75" s="211">
        <v>15</v>
      </c>
      <c r="L75" s="211">
        <f t="shared" si="9"/>
        <v>75060</v>
      </c>
      <c r="M75" s="211">
        <v>6</v>
      </c>
      <c r="N75" s="212">
        <f t="shared" si="13"/>
        <v>834</v>
      </c>
      <c r="O75" s="208">
        <v>46058</v>
      </c>
      <c r="P75" s="208">
        <v>46058</v>
      </c>
      <c r="Q75" s="208">
        <v>46058</v>
      </c>
      <c r="R75" s="211" t="s">
        <v>1241</v>
      </c>
      <c r="S75" s="208">
        <v>46059</v>
      </c>
      <c r="T75" s="211" t="s">
        <v>1282</v>
      </c>
      <c r="U75" s="211"/>
      <c r="V75" s="211" t="s">
        <v>1618</v>
      </c>
      <c r="W75" s="208"/>
      <c r="X75" s="211" t="s">
        <v>1133</v>
      </c>
      <c r="Y75" s="211" t="s">
        <v>1133</v>
      </c>
      <c r="Z75" s="211" t="s">
        <v>1249</v>
      </c>
      <c r="AA75" s="214">
        <v>46028</v>
      </c>
      <c r="AB75" s="213">
        <v>46033</v>
      </c>
      <c r="AC75" s="211" t="s">
        <v>1244</v>
      </c>
      <c r="AD75" s="211" t="s">
        <v>1228</v>
      </c>
      <c r="AE75" s="211" t="s">
        <v>1597</v>
      </c>
      <c r="AF75" s="211" t="s">
        <v>1228</v>
      </c>
      <c r="AG75" s="211" t="s">
        <v>1597</v>
      </c>
      <c r="AH75" s="211" t="s">
        <v>1601</v>
      </c>
      <c r="AI75" s="211" t="s">
        <v>1228</v>
      </c>
      <c r="AJ75" s="211" t="s">
        <v>1572</v>
      </c>
      <c r="AK75" s="211" t="s">
        <v>1133</v>
      </c>
      <c r="AL75" s="211"/>
      <c r="AM75" s="211" t="s">
        <v>1619</v>
      </c>
      <c r="AN75" s="212"/>
      <c r="AO75" s="215">
        <v>2.14</v>
      </c>
      <c r="AP75" s="216">
        <f t="shared" si="14"/>
        <v>10708.56</v>
      </c>
      <c r="AQ75" s="216">
        <f t="shared" si="15"/>
        <v>82991.34</v>
      </c>
      <c r="AR75" s="217">
        <v>61058</v>
      </c>
      <c r="AS75" s="208">
        <v>46063</v>
      </c>
      <c r="AT75" s="208" t="s">
        <v>1220</v>
      </c>
      <c r="AU75" s="218">
        <f>1572</f>
        <v>1572</v>
      </c>
      <c r="AV75" s="219">
        <f t="shared" si="16"/>
        <v>-3432</v>
      </c>
      <c r="AW75" s="116"/>
      <c r="AX75" s="116"/>
      <c r="AY75" s="208"/>
      <c r="AZ75" s="208"/>
      <c r="BA75" s="208"/>
      <c r="BB75" s="208" t="str">
        <f t="shared" si="10"/>
        <v>JAZWARES - TARGET US DOM</v>
      </c>
      <c r="BC75" s="208" t="str">
        <f t="shared" si="11"/>
        <v>美国</v>
      </c>
    </row>
    <row r="76" s="194" customFormat="1" customHeight="1" spans="1:55">
      <c r="A76" s="208">
        <v>46013</v>
      </c>
      <c r="B76" s="40" t="str">
        <f ca="1" t="shared" si="12"/>
        <v/>
      </c>
      <c r="C76" s="209" t="str">
        <f>VLOOKUP(H76,名称!A:E,4,0)</f>
        <v>二代</v>
      </c>
      <c r="D76" s="210" t="s">
        <v>1240</v>
      </c>
      <c r="E76" s="210" t="s">
        <v>1224</v>
      </c>
      <c r="F76" s="211" t="s">
        <v>365</v>
      </c>
      <c r="G76" s="211" t="s">
        <v>366</v>
      </c>
      <c r="H76" s="211" t="s">
        <v>26</v>
      </c>
      <c r="I76" s="211"/>
      <c r="J76" s="212">
        <v>5004</v>
      </c>
      <c r="K76" s="211">
        <v>15</v>
      </c>
      <c r="L76" s="211">
        <f t="shared" si="9"/>
        <v>75060</v>
      </c>
      <c r="M76" s="211">
        <v>6</v>
      </c>
      <c r="N76" s="212">
        <f t="shared" si="13"/>
        <v>834</v>
      </c>
      <c r="O76" s="208">
        <v>46058</v>
      </c>
      <c r="P76" s="208">
        <v>46058</v>
      </c>
      <c r="Q76" s="208">
        <v>46058</v>
      </c>
      <c r="R76" s="211" t="s">
        <v>1241</v>
      </c>
      <c r="S76" s="208">
        <v>46059</v>
      </c>
      <c r="T76" s="211" t="s">
        <v>1282</v>
      </c>
      <c r="U76" s="211"/>
      <c r="V76" s="211" t="s">
        <v>1618</v>
      </c>
      <c r="W76" s="208"/>
      <c r="X76" s="211" t="s">
        <v>1133</v>
      </c>
      <c r="Y76" s="211" t="s">
        <v>1133</v>
      </c>
      <c r="Z76" s="211" t="s">
        <v>1249</v>
      </c>
      <c r="AA76" s="214">
        <v>46028</v>
      </c>
      <c r="AB76" s="213">
        <v>46033</v>
      </c>
      <c r="AC76" s="211" t="s">
        <v>1244</v>
      </c>
      <c r="AD76" s="211" t="s">
        <v>1228</v>
      </c>
      <c r="AE76" s="211" t="s">
        <v>1597</v>
      </c>
      <c r="AF76" s="211" t="s">
        <v>1228</v>
      </c>
      <c r="AG76" s="211" t="s">
        <v>1597</v>
      </c>
      <c r="AH76" s="211" t="s">
        <v>1601</v>
      </c>
      <c r="AI76" s="211" t="s">
        <v>1228</v>
      </c>
      <c r="AJ76" s="211" t="s">
        <v>1572</v>
      </c>
      <c r="AK76" s="211" t="s">
        <v>1133</v>
      </c>
      <c r="AL76" s="211"/>
      <c r="AM76" s="211" t="s">
        <v>1619</v>
      </c>
      <c r="AN76" s="212"/>
      <c r="AO76" s="215">
        <v>2.14</v>
      </c>
      <c r="AP76" s="216">
        <f t="shared" si="14"/>
        <v>10708.56</v>
      </c>
      <c r="AQ76" s="216">
        <f t="shared" si="15"/>
        <v>82991.34</v>
      </c>
      <c r="AR76" s="217">
        <v>61059</v>
      </c>
      <c r="AS76" s="208">
        <v>46063</v>
      </c>
      <c r="AT76" s="208" t="s">
        <v>1220</v>
      </c>
      <c r="AU76" s="218"/>
      <c r="AV76" s="219">
        <f t="shared" si="16"/>
        <v>-5004</v>
      </c>
      <c r="AW76" s="116"/>
      <c r="AX76" s="116"/>
      <c r="AY76" s="208"/>
      <c r="AZ76" s="208"/>
      <c r="BA76" s="208"/>
      <c r="BB76" s="208" t="str">
        <f t="shared" si="10"/>
        <v>JAZWARES - TARGET US DOM</v>
      </c>
      <c r="BC76" s="208" t="str">
        <f t="shared" si="11"/>
        <v>美国</v>
      </c>
    </row>
    <row r="77" s="194" customFormat="1" customHeight="1" spans="1:55">
      <c r="A77" s="208">
        <v>46013</v>
      </c>
      <c r="B77" s="40" t="str">
        <f ca="1" t="shared" si="12"/>
        <v/>
      </c>
      <c r="C77" s="209" t="str">
        <f>VLOOKUP(H77,名称!A:E,4,0)</f>
        <v>二代</v>
      </c>
      <c r="D77" s="210" t="s">
        <v>1240</v>
      </c>
      <c r="E77" s="210" t="s">
        <v>1224</v>
      </c>
      <c r="F77" s="211" t="s">
        <v>363</v>
      </c>
      <c r="G77" s="211" t="s">
        <v>364</v>
      </c>
      <c r="H77" s="211" t="s">
        <v>43</v>
      </c>
      <c r="I77" s="211"/>
      <c r="J77" s="212">
        <v>25008</v>
      </c>
      <c r="K77" s="211">
        <v>5</v>
      </c>
      <c r="L77" s="211">
        <f t="shared" si="9"/>
        <v>125040</v>
      </c>
      <c r="M77" s="211">
        <v>24</v>
      </c>
      <c r="N77" s="212">
        <f t="shared" si="13"/>
        <v>1042</v>
      </c>
      <c r="O77" s="208">
        <v>46086</v>
      </c>
      <c r="P77" s="208">
        <v>46058</v>
      </c>
      <c r="Q77" s="208">
        <v>46062</v>
      </c>
      <c r="R77" s="211"/>
      <c r="S77" s="208">
        <v>46062</v>
      </c>
      <c r="T77" s="211"/>
      <c r="U77" s="211"/>
      <c r="V77" s="211" t="s">
        <v>1618</v>
      </c>
      <c r="W77" s="208"/>
      <c r="X77" s="211" t="s">
        <v>1133</v>
      </c>
      <c r="Y77" s="211" t="s">
        <v>1133</v>
      </c>
      <c r="Z77" s="211" t="s">
        <v>1249</v>
      </c>
      <c r="AA77" s="214">
        <v>46028</v>
      </c>
      <c r="AB77" s="213">
        <v>46033</v>
      </c>
      <c r="AC77" s="211" t="s">
        <v>1133</v>
      </c>
      <c r="AD77" s="211" t="s">
        <v>1133</v>
      </c>
      <c r="AE77" s="211" t="s">
        <v>1596</v>
      </c>
      <c r="AF77" s="211" t="s">
        <v>1228</v>
      </c>
      <c r="AG77" s="211" t="s">
        <v>1597</v>
      </c>
      <c r="AH77" s="211" t="s">
        <v>1133</v>
      </c>
      <c r="AI77" s="211" t="s">
        <v>1228</v>
      </c>
      <c r="AJ77" s="211" t="s">
        <v>1133</v>
      </c>
      <c r="AK77" s="211" t="s">
        <v>1598</v>
      </c>
      <c r="AL77" s="211"/>
      <c r="AM77" s="211" t="s">
        <v>1620</v>
      </c>
      <c r="AN77" s="212"/>
      <c r="AO77" s="215">
        <v>0.61</v>
      </c>
      <c r="AP77" s="216">
        <f t="shared" si="14"/>
        <v>15254.88</v>
      </c>
      <c r="AQ77" s="216">
        <f t="shared" si="15"/>
        <v>118225.32</v>
      </c>
      <c r="AR77" s="217">
        <v>61060</v>
      </c>
      <c r="AS77" s="208">
        <v>46063</v>
      </c>
      <c r="AT77" s="208" t="s">
        <v>1220</v>
      </c>
      <c r="AU77" s="218"/>
      <c r="AV77" s="219">
        <f t="shared" si="16"/>
        <v>-25008</v>
      </c>
      <c r="AW77" s="116"/>
      <c r="AX77" s="116"/>
      <c r="AY77" s="208"/>
      <c r="AZ77" s="208"/>
      <c r="BA77" s="208"/>
      <c r="BB77" s="208" t="str">
        <f t="shared" si="10"/>
        <v>JAZWARES - TARGET US DOM</v>
      </c>
      <c r="BC77" s="208" t="str">
        <f t="shared" si="11"/>
        <v>美国</v>
      </c>
    </row>
    <row r="78" s="194" customFormat="1" customHeight="1" spans="1:55">
      <c r="A78" s="208">
        <v>46015</v>
      </c>
      <c r="B78" s="40" t="str">
        <f ca="1" t="shared" si="12"/>
        <v/>
      </c>
      <c r="C78" s="209" t="str">
        <f>VLOOKUP(H78,名称!A:E,4,0)</f>
        <v>二代</v>
      </c>
      <c r="D78" s="210" t="s">
        <v>1489</v>
      </c>
      <c r="E78" s="210" t="s">
        <v>1621</v>
      </c>
      <c r="F78" s="211" t="s">
        <v>379</v>
      </c>
      <c r="G78" s="211" t="s">
        <v>380</v>
      </c>
      <c r="H78" s="211" t="s">
        <v>35</v>
      </c>
      <c r="I78" s="211"/>
      <c r="J78" s="212">
        <v>2640</v>
      </c>
      <c r="K78" s="211">
        <v>7</v>
      </c>
      <c r="L78" s="211">
        <f t="shared" si="9"/>
        <v>18480</v>
      </c>
      <c r="M78" s="211">
        <f>VLOOKUP(H78,名称!A:E,3,0)</f>
        <v>24</v>
      </c>
      <c r="N78" s="212">
        <f t="shared" si="13"/>
        <v>110</v>
      </c>
      <c r="O78" s="208">
        <v>46059</v>
      </c>
      <c r="P78" s="208">
        <v>46059</v>
      </c>
      <c r="Q78" s="208">
        <v>46059</v>
      </c>
      <c r="R78" s="211" t="s">
        <v>1425</v>
      </c>
      <c r="S78" s="208" t="s">
        <v>1133</v>
      </c>
      <c r="T78" s="208" t="s">
        <v>1133</v>
      </c>
      <c r="U78" s="211"/>
      <c r="V78" s="211"/>
      <c r="W78" s="208"/>
      <c r="X78" s="211" t="s">
        <v>1248</v>
      </c>
      <c r="Y78" s="211" t="s">
        <v>1228</v>
      </c>
      <c r="Z78" s="211" t="s">
        <v>1249</v>
      </c>
      <c r="AA78" s="214">
        <v>46021</v>
      </c>
      <c r="AB78" s="213">
        <v>46028</v>
      </c>
      <c r="AC78" s="211" t="s">
        <v>1560</v>
      </c>
      <c r="AD78" s="211" t="s">
        <v>1228</v>
      </c>
      <c r="AE78" s="211" t="s">
        <v>327</v>
      </c>
      <c r="AF78" s="211" t="s">
        <v>1228</v>
      </c>
      <c r="AG78" s="211" t="s">
        <v>327</v>
      </c>
      <c r="AH78" s="211" t="s">
        <v>1562</v>
      </c>
      <c r="AI78" s="211" t="s">
        <v>1228</v>
      </c>
      <c r="AJ78" s="211" t="s">
        <v>1133</v>
      </c>
      <c r="AK78" s="211" t="s">
        <v>1133</v>
      </c>
      <c r="AL78" s="211"/>
      <c r="AM78" s="211" t="s">
        <v>1619</v>
      </c>
      <c r="AN78" s="212" t="s">
        <v>1251</v>
      </c>
      <c r="AO78" s="215">
        <v>0.87</v>
      </c>
      <c r="AP78" s="216">
        <f t="shared" si="14"/>
        <v>2296.8</v>
      </c>
      <c r="AQ78" s="216">
        <f t="shared" si="15"/>
        <v>17800.2</v>
      </c>
      <c r="AR78" s="217">
        <v>61061</v>
      </c>
      <c r="AS78" s="208">
        <v>46077</v>
      </c>
      <c r="AT78" s="208" t="s">
        <v>1220</v>
      </c>
      <c r="AU78" s="218"/>
      <c r="AV78" s="219">
        <f t="shared" si="16"/>
        <v>-2640</v>
      </c>
      <c r="AW78" s="116"/>
      <c r="AX78" s="116"/>
      <c r="AY78" s="208"/>
      <c r="AZ78" s="208"/>
      <c r="BA78" s="208"/>
      <c r="BB78" s="208" t="str">
        <f t="shared" si="10"/>
        <v>Kidland</v>
      </c>
      <c r="BC78" s="208" t="str">
        <f t="shared" si="11"/>
        <v>中东</v>
      </c>
    </row>
    <row r="79" s="194" customFormat="1" customHeight="1" spans="1:55">
      <c r="A79" s="208">
        <v>46015</v>
      </c>
      <c r="B79" s="40" t="str">
        <f ca="1" t="shared" si="12"/>
        <v/>
      </c>
      <c r="C79" s="209" t="str">
        <f>VLOOKUP(H79,名称!A:E,4,0)</f>
        <v>二代</v>
      </c>
      <c r="D79" s="210" t="s">
        <v>1489</v>
      </c>
      <c r="E79" s="210" t="s">
        <v>1621</v>
      </c>
      <c r="F79" s="211" t="s">
        <v>379</v>
      </c>
      <c r="G79" s="211" t="s">
        <v>380</v>
      </c>
      <c r="H79" s="211" t="s">
        <v>37</v>
      </c>
      <c r="I79" s="211"/>
      <c r="J79" s="212">
        <v>1200</v>
      </c>
      <c r="K79" s="211">
        <v>12</v>
      </c>
      <c r="L79" s="211">
        <f t="shared" si="9"/>
        <v>14400</v>
      </c>
      <c r="M79" s="211">
        <f>VLOOKUP(H79,名称!A:E,3,0)</f>
        <v>6</v>
      </c>
      <c r="N79" s="212">
        <f t="shared" si="13"/>
        <v>200</v>
      </c>
      <c r="O79" s="208">
        <v>46059</v>
      </c>
      <c r="P79" s="208">
        <v>46059</v>
      </c>
      <c r="Q79" s="208">
        <v>46059</v>
      </c>
      <c r="R79" s="211" t="s">
        <v>1241</v>
      </c>
      <c r="S79" s="208" t="s">
        <v>1133</v>
      </c>
      <c r="T79" s="208" t="s">
        <v>1133</v>
      </c>
      <c r="U79" s="211"/>
      <c r="V79" s="211"/>
      <c r="W79" s="208"/>
      <c r="X79" s="211" t="s">
        <v>1248</v>
      </c>
      <c r="Y79" s="211" t="s">
        <v>1228</v>
      </c>
      <c r="Z79" s="211" t="s">
        <v>1249</v>
      </c>
      <c r="AA79" s="214">
        <v>46021</v>
      </c>
      <c r="AB79" s="213">
        <v>46028</v>
      </c>
      <c r="AC79" s="211" t="s">
        <v>1244</v>
      </c>
      <c r="AD79" s="211" t="s">
        <v>1228</v>
      </c>
      <c r="AE79" s="211" t="s">
        <v>327</v>
      </c>
      <c r="AF79" s="211" t="s">
        <v>1228</v>
      </c>
      <c r="AG79" s="211" t="s">
        <v>327</v>
      </c>
      <c r="AH79" s="211" t="s">
        <v>1562</v>
      </c>
      <c r="AI79" s="211" t="s">
        <v>1228</v>
      </c>
      <c r="AJ79" s="211" t="s">
        <v>1572</v>
      </c>
      <c r="AK79" s="211" t="s">
        <v>1133</v>
      </c>
      <c r="AL79" s="211"/>
      <c r="AM79" s="211" t="s">
        <v>1619</v>
      </c>
      <c r="AN79" s="212" t="s">
        <v>1251</v>
      </c>
      <c r="AO79" s="215">
        <v>2.04</v>
      </c>
      <c r="AP79" s="216">
        <f t="shared" si="14"/>
        <v>2448</v>
      </c>
      <c r="AQ79" s="216">
        <f t="shared" si="15"/>
        <v>18972</v>
      </c>
      <c r="AR79" s="217">
        <v>61061</v>
      </c>
      <c r="AS79" s="208">
        <v>46077</v>
      </c>
      <c r="AT79" s="208" t="s">
        <v>1220</v>
      </c>
      <c r="AU79" s="218"/>
      <c r="AV79" s="219">
        <f t="shared" si="16"/>
        <v>-1200</v>
      </c>
      <c r="AW79" s="116"/>
      <c r="AX79" s="116"/>
      <c r="AY79" s="208"/>
      <c r="AZ79" s="208"/>
      <c r="BA79" s="208"/>
      <c r="BB79" s="208" t="str">
        <f t="shared" si="10"/>
        <v>Kidland</v>
      </c>
      <c r="BC79" s="208" t="str">
        <f t="shared" si="11"/>
        <v>中东</v>
      </c>
    </row>
    <row r="80" s="194" customFormat="1" customHeight="1" spans="1:55">
      <c r="A80" s="208">
        <v>46015</v>
      </c>
      <c r="B80" s="40" t="str">
        <f ca="1" t="shared" si="12"/>
        <v/>
      </c>
      <c r="C80" s="209" t="str">
        <f>VLOOKUP(H80,名称!A:E,4,0)</f>
        <v>二代</v>
      </c>
      <c r="D80" s="210" t="s">
        <v>1489</v>
      </c>
      <c r="E80" s="210" t="s">
        <v>1621</v>
      </c>
      <c r="F80" s="211" t="s">
        <v>379</v>
      </c>
      <c r="G80" s="211" t="s">
        <v>380</v>
      </c>
      <c r="H80" s="211" t="s">
        <v>38</v>
      </c>
      <c r="I80" s="211"/>
      <c r="J80" s="212">
        <v>720</v>
      </c>
      <c r="K80" s="211">
        <v>32</v>
      </c>
      <c r="L80" s="211">
        <f t="shared" si="9"/>
        <v>23040</v>
      </c>
      <c r="M80" s="211">
        <f>VLOOKUP(H80,名称!A:E,3,0)</f>
        <v>4</v>
      </c>
      <c r="N80" s="212">
        <f t="shared" si="13"/>
        <v>180</v>
      </c>
      <c r="O80" s="208">
        <v>46059</v>
      </c>
      <c r="P80" s="208">
        <v>46059</v>
      </c>
      <c r="Q80" s="208">
        <v>46059</v>
      </c>
      <c r="R80" s="211" t="s">
        <v>1241</v>
      </c>
      <c r="S80" s="208" t="s">
        <v>1133</v>
      </c>
      <c r="T80" s="208" t="s">
        <v>1133</v>
      </c>
      <c r="U80" s="211"/>
      <c r="V80" s="211"/>
      <c r="W80" s="208"/>
      <c r="X80" s="211" t="s">
        <v>1248</v>
      </c>
      <c r="Y80" s="211" t="s">
        <v>1228</v>
      </c>
      <c r="Z80" s="211" t="s">
        <v>1249</v>
      </c>
      <c r="AA80" s="214">
        <v>46021</v>
      </c>
      <c r="AB80" s="213">
        <v>46028</v>
      </c>
      <c r="AC80" s="211" t="s">
        <v>1133</v>
      </c>
      <c r="AD80" s="211" t="s">
        <v>1133</v>
      </c>
      <c r="AE80" s="211" t="s">
        <v>327</v>
      </c>
      <c r="AF80" s="211" t="s">
        <v>1228</v>
      </c>
      <c r="AG80" s="211" t="s">
        <v>327</v>
      </c>
      <c r="AH80" s="211" t="s">
        <v>1562</v>
      </c>
      <c r="AI80" s="211" t="s">
        <v>1228</v>
      </c>
      <c r="AJ80" s="211" t="s">
        <v>1133</v>
      </c>
      <c r="AK80" s="211" t="s">
        <v>1133</v>
      </c>
      <c r="AL80" s="211"/>
      <c r="AM80" s="211" t="s">
        <v>1619</v>
      </c>
      <c r="AN80" s="212" t="s">
        <v>1251</v>
      </c>
      <c r="AO80" s="215">
        <v>3.12</v>
      </c>
      <c r="AP80" s="216">
        <f t="shared" si="14"/>
        <v>2246.4</v>
      </c>
      <c r="AQ80" s="216">
        <f t="shared" si="15"/>
        <v>17409.6</v>
      </c>
      <c r="AR80" s="217">
        <v>61061</v>
      </c>
      <c r="AS80" s="208">
        <v>46077</v>
      </c>
      <c r="AT80" s="208" t="s">
        <v>1220</v>
      </c>
      <c r="AU80" s="218"/>
      <c r="AV80" s="219">
        <f t="shared" si="16"/>
        <v>-720</v>
      </c>
      <c r="AW80" s="116"/>
      <c r="AX80" s="116"/>
      <c r="AY80" s="208"/>
      <c r="AZ80" s="208"/>
      <c r="BA80" s="208"/>
      <c r="BB80" s="208" t="str">
        <f t="shared" si="10"/>
        <v>Kidland</v>
      </c>
      <c r="BC80" s="208" t="str">
        <f t="shared" si="11"/>
        <v>中东</v>
      </c>
    </row>
    <row r="81" s="194" customFormat="1" customHeight="1" spans="1:55">
      <c r="A81" s="208">
        <v>46015</v>
      </c>
      <c r="B81" s="40" t="str">
        <f ca="1" t="shared" si="12"/>
        <v/>
      </c>
      <c r="C81" s="209" t="str">
        <f>VLOOKUP(H81,名称!A:E,4,0)</f>
        <v>二代</v>
      </c>
      <c r="D81" s="210" t="s">
        <v>1489</v>
      </c>
      <c r="E81" s="210" t="s">
        <v>1621</v>
      </c>
      <c r="F81" s="211" t="s">
        <v>379</v>
      </c>
      <c r="G81" s="211" t="s">
        <v>380</v>
      </c>
      <c r="H81" s="211" t="s">
        <v>69</v>
      </c>
      <c r="I81" s="211"/>
      <c r="J81" s="212">
        <v>370</v>
      </c>
      <c r="K81" s="211">
        <v>50</v>
      </c>
      <c r="L81" s="211">
        <f t="shared" si="9"/>
        <v>18500</v>
      </c>
      <c r="M81" s="211">
        <f>VLOOKUP(H81,名称!A:E,3,0)</f>
        <v>2</v>
      </c>
      <c r="N81" s="212">
        <f t="shared" si="13"/>
        <v>185</v>
      </c>
      <c r="O81" s="208">
        <v>46059</v>
      </c>
      <c r="P81" s="208">
        <v>46059</v>
      </c>
      <c r="Q81" s="208">
        <v>46059</v>
      </c>
      <c r="R81" s="211" t="s">
        <v>1241</v>
      </c>
      <c r="S81" s="208" t="s">
        <v>1133</v>
      </c>
      <c r="T81" s="208" t="s">
        <v>1133</v>
      </c>
      <c r="U81" s="211"/>
      <c r="V81" s="211" t="s">
        <v>1622</v>
      </c>
      <c r="W81" s="208"/>
      <c r="X81" s="211" t="s">
        <v>1248</v>
      </c>
      <c r="Y81" s="211" t="s">
        <v>1228</v>
      </c>
      <c r="Z81" s="211" t="s">
        <v>1249</v>
      </c>
      <c r="AA81" s="214">
        <v>46021</v>
      </c>
      <c r="AB81" s="213">
        <v>46028</v>
      </c>
      <c r="AC81" s="211" t="s">
        <v>1133</v>
      </c>
      <c r="AD81" s="211" t="s">
        <v>1133</v>
      </c>
      <c r="AE81" s="211" t="s">
        <v>327</v>
      </c>
      <c r="AF81" s="211" t="s">
        <v>1228</v>
      </c>
      <c r="AG81" s="211" t="s">
        <v>334</v>
      </c>
      <c r="AH81" s="211" t="s">
        <v>1133</v>
      </c>
      <c r="AI81" s="211" t="s">
        <v>1228</v>
      </c>
      <c r="AJ81" s="211" t="s">
        <v>1133</v>
      </c>
      <c r="AK81" s="211" t="s">
        <v>1356</v>
      </c>
      <c r="AL81" s="211"/>
      <c r="AM81" s="211" t="s">
        <v>1619</v>
      </c>
      <c r="AN81" s="212" t="s">
        <v>1251</v>
      </c>
      <c r="AO81" s="215">
        <v>9.42</v>
      </c>
      <c r="AP81" s="216">
        <f t="shared" si="14"/>
        <v>3485.4</v>
      </c>
      <c r="AQ81" s="216">
        <f t="shared" si="15"/>
        <v>27011.85</v>
      </c>
      <c r="AR81" s="217">
        <v>61061</v>
      </c>
      <c r="AS81" s="208">
        <v>46077</v>
      </c>
      <c r="AT81" s="208" t="s">
        <v>1220</v>
      </c>
      <c r="AU81" s="218"/>
      <c r="AV81" s="219">
        <f t="shared" si="16"/>
        <v>-370</v>
      </c>
      <c r="AW81" s="116"/>
      <c r="AX81" s="116"/>
      <c r="AY81" s="208"/>
      <c r="AZ81" s="208"/>
      <c r="BA81" s="208"/>
      <c r="BB81" s="208" t="str">
        <f t="shared" si="10"/>
        <v>Kidland</v>
      </c>
      <c r="BC81" s="208" t="str">
        <f t="shared" si="11"/>
        <v>中东</v>
      </c>
    </row>
    <row r="82" s="194" customFormat="1" customHeight="1" spans="1:55">
      <c r="A82" s="208">
        <v>46015</v>
      </c>
      <c r="B82" s="40" t="str">
        <f ca="1" t="shared" si="12"/>
        <v/>
      </c>
      <c r="C82" s="209" t="str">
        <f>VLOOKUP(H82,名称!A:E,4,0)</f>
        <v>二代</v>
      </c>
      <c r="D82" s="210" t="s">
        <v>1489</v>
      </c>
      <c r="E82" s="210" t="s">
        <v>1621</v>
      </c>
      <c r="F82" s="211" t="s">
        <v>379</v>
      </c>
      <c r="G82" s="211" t="s">
        <v>380</v>
      </c>
      <c r="H82" s="211" t="s">
        <v>53</v>
      </c>
      <c r="I82" s="211"/>
      <c r="J82" s="212">
        <v>2400</v>
      </c>
      <c r="K82" s="211">
        <v>0</v>
      </c>
      <c r="L82" s="211">
        <f t="shared" si="9"/>
        <v>0</v>
      </c>
      <c r="M82" s="211">
        <f>VLOOKUP(H82,名称!A:E,3,0)</f>
        <v>24</v>
      </c>
      <c r="N82" s="212">
        <f t="shared" si="13"/>
        <v>100</v>
      </c>
      <c r="O82" s="208">
        <v>46059</v>
      </c>
      <c r="P82" s="208">
        <v>46059</v>
      </c>
      <c r="Q82" s="208">
        <v>46059</v>
      </c>
      <c r="R82" s="211" t="s">
        <v>1241</v>
      </c>
      <c r="S82" s="208" t="s">
        <v>1133</v>
      </c>
      <c r="T82" s="208" t="s">
        <v>1133</v>
      </c>
      <c r="U82" s="211"/>
      <c r="V82" s="211"/>
      <c r="W82" s="208"/>
      <c r="X82" s="211" t="s">
        <v>1248</v>
      </c>
      <c r="Y82" s="211" t="s">
        <v>1228</v>
      </c>
      <c r="Z82" s="211" t="s">
        <v>1249</v>
      </c>
      <c r="AA82" s="214">
        <v>46021</v>
      </c>
      <c r="AB82" s="213">
        <v>46028</v>
      </c>
      <c r="AC82" s="211" t="s">
        <v>1133</v>
      </c>
      <c r="AD82" s="211" t="s">
        <v>1133</v>
      </c>
      <c r="AE82" s="211" t="s">
        <v>327</v>
      </c>
      <c r="AF82" s="211" t="s">
        <v>1228</v>
      </c>
      <c r="AG82" s="211" t="s">
        <v>327</v>
      </c>
      <c r="AH82" s="211" t="s">
        <v>1133</v>
      </c>
      <c r="AI82" s="211" t="s">
        <v>1228</v>
      </c>
      <c r="AJ82" s="211" t="s">
        <v>1133</v>
      </c>
      <c r="AK82" s="211" t="s">
        <v>327</v>
      </c>
      <c r="AL82" s="211"/>
      <c r="AM82" s="211" t="s">
        <v>1619</v>
      </c>
      <c r="AN82" s="212" t="s">
        <v>1251</v>
      </c>
      <c r="AO82" s="215">
        <v>0.61</v>
      </c>
      <c r="AP82" s="216">
        <f t="shared" si="14"/>
        <v>1464</v>
      </c>
      <c r="AQ82" s="216">
        <f t="shared" si="15"/>
        <v>11346</v>
      </c>
      <c r="AR82" s="217">
        <v>61061</v>
      </c>
      <c r="AS82" s="208">
        <v>46077</v>
      </c>
      <c r="AT82" s="208" t="s">
        <v>1220</v>
      </c>
      <c r="AU82" s="218"/>
      <c r="AV82" s="219">
        <f t="shared" si="16"/>
        <v>-2400</v>
      </c>
      <c r="AW82" s="116"/>
      <c r="AX82" s="116"/>
      <c r="AY82" s="208"/>
      <c r="AZ82" s="208"/>
      <c r="BA82" s="208"/>
      <c r="BB82" s="208" t="str">
        <f t="shared" si="10"/>
        <v>Kidland</v>
      </c>
      <c r="BC82" s="208" t="str">
        <f t="shared" si="11"/>
        <v>中东</v>
      </c>
    </row>
    <row r="83" s="194" customFormat="1" customHeight="1" spans="1:55">
      <c r="A83" s="208">
        <v>46015</v>
      </c>
      <c r="B83" s="40" t="str">
        <f ca="1" t="shared" si="12"/>
        <v/>
      </c>
      <c r="C83" s="209" t="str">
        <f>VLOOKUP(H83,名称!A:E,4,0)</f>
        <v>二代</v>
      </c>
      <c r="D83" s="210" t="s">
        <v>1489</v>
      </c>
      <c r="E83" s="210" t="s">
        <v>1621</v>
      </c>
      <c r="F83" s="211" t="s">
        <v>379</v>
      </c>
      <c r="G83" s="211" t="s">
        <v>380</v>
      </c>
      <c r="H83" s="211" t="s">
        <v>28</v>
      </c>
      <c r="I83" s="211"/>
      <c r="J83" s="212">
        <v>960</v>
      </c>
      <c r="K83" s="211">
        <v>0</v>
      </c>
      <c r="L83" s="211">
        <f t="shared" si="9"/>
        <v>0</v>
      </c>
      <c r="M83" s="211">
        <f>VLOOKUP(H83,名称!A:E,3,0)</f>
        <v>12</v>
      </c>
      <c r="N83" s="212">
        <f t="shared" si="13"/>
        <v>80</v>
      </c>
      <c r="O83" s="208">
        <v>46059</v>
      </c>
      <c r="P83" s="208">
        <v>46059</v>
      </c>
      <c r="Q83" s="208">
        <v>46059</v>
      </c>
      <c r="R83" s="211" t="s">
        <v>1241</v>
      </c>
      <c r="S83" s="208" t="s">
        <v>1133</v>
      </c>
      <c r="T83" s="208" t="s">
        <v>1133</v>
      </c>
      <c r="U83" s="211"/>
      <c r="V83" s="211"/>
      <c r="W83" s="208"/>
      <c r="X83" s="211" t="s">
        <v>1248</v>
      </c>
      <c r="Y83" s="211" t="s">
        <v>1228</v>
      </c>
      <c r="Z83" s="211" t="s">
        <v>1249</v>
      </c>
      <c r="AA83" s="214">
        <v>46021</v>
      </c>
      <c r="AB83" s="213">
        <v>46028</v>
      </c>
      <c r="AC83" s="211" t="s">
        <v>1133</v>
      </c>
      <c r="AD83" s="211" t="s">
        <v>1133</v>
      </c>
      <c r="AE83" s="211" t="s">
        <v>327</v>
      </c>
      <c r="AF83" s="211" t="s">
        <v>1228</v>
      </c>
      <c r="AG83" s="211" t="s">
        <v>327</v>
      </c>
      <c r="AH83" s="211" t="s">
        <v>1133</v>
      </c>
      <c r="AI83" s="211" t="s">
        <v>1228</v>
      </c>
      <c r="AJ83" s="211" t="s">
        <v>1133</v>
      </c>
      <c r="AK83" s="211" t="s">
        <v>1133</v>
      </c>
      <c r="AL83" s="211"/>
      <c r="AM83" s="211" t="s">
        <v>1619</v>
      </c>
      <c r="AN83" s="212" t="s">
        <v>1251</v>
      </c>
      <c r="AO83" s="215">
        <v>1.27</v>
      </c>
      <c r="AP83" s="216">
        <f t="shared" si="14"/>
        <v>1219.2</v>
      </c>
      <c r="AQ83" s="216">
        <f t="shared" si="15"/>
        <v>9448.8</v>
      </c>
      <c r="AR83" s="217">
        <v>61061</v>
      </c>
      <c r="AS83" s="208">
        <v>46077</v>
      </c>
      <c r="AT83" s="208" t="s">
        <v>1220</v>
      </c>
      <c r="AU83" s="218"/>
      <c r="AV83" s="219">
        <f t="shared" si="16"/>
        <v>-960</v>
      </c>
      <c r="AW83" s="116"/>
      <c r="AX83" s="116"/>
      <c r="AY83" s="208"/>
      <c r="AZ83" s="208"/>
      <c r="BA83" s="208"/>
      <c r="BB83" s="208" t="str">
        <f t="shared" si="10"/>
        <v>Kidland</v>
      </c>
      <c r="BC83" s="208" t="str">
        <f t="shared" si="11"/>
        <v>中东</v>
      </c>
    </row>
    <row r="84" s="194" customFormat="1" customHeight="1" spans="1:55">
      <c r="A84" s="208">
        <v>46015</v>
      </c>
      <c r="B84" s="40" t="str">
        <f ca="1" t="shared" si="12"/>
        <v/>
      </c>
      <c r="C84" s="209" t="str">
        <f>VLOOKUP(H84,名称!A:E,4,0)</f>
        <v>二代</v>
      </c>
      <c r="D84" s="210" t="s">
        <v>1489</v>
      </c>
      <c r="E84" s="210" t="s">
        <v>1621</v>
      </c>
      <c r="F84" s="211" t="s">
        <v>379</v>
      </c>
      <c r="G84" s="211" t="s">
        <v>380</v>
      </c>
      <c r="H84" s="211" t="s">
        <v>65</v>
      </c>
      <c r="I84" s="211"/>
      <c r="J84" s="212">
        <v>1800</v>
      </c>
      <c r="K84" s="211">
        <v>5</v>
      </c>
      <c r="L84" s="211">
        <f t="shared" si="9"/>
        <v>9000</v>
      </c>
      <c r="M84" s="211">
        <f>VLOOKUP(H84,名称!A:E,3,0)</f>
        <v>24</v>
      </c>
      <c r="N84" s="212">
        <f t="shared" si="13"/>
        <v>75</v>
      </c>
      <c r="O84" s="208">
        <v>46059</v>
      </c>
      <c r="P84" s="208">
        <v>46059</v>
      </c>
      <c r="Q84" s="208">
        <v>46059</v>
      </c>
      <c r="R84" s="211" t="s">
        <v>1241</v>
      </c>
      <c r="S84" s="208" t="s">
        <v>1133</v>
      </c>
      <c r="T84" s="208" t="s">
        <v>1133</v>
      </c>
      <c r="U84" s="211"/>
      <c r="V84" s="211"/>
      <c r="W84" s="208"/>
      <c r="X84" s="211" t="s">
        <v>1248</v>
      </c>
      <c r="Y84" s="211" t="s">
        <v>1228</v>
      </c>
      <c r="Z84" s="211" t="s">
        <v>1249</v>
      </c>
      <c r="AA84" s="214">
        <v>46021</v>
      </c>
      <c r="AB84" s="213">
        <v>46028</v>
      </c>
      <c r="AC84" s="211" t="s">
        <v>1133</v>
      </c>
      <c r="AD84" s="211" t="s">
        <v>1133</v>
      </c>
      <c r="AE84" s="211" t="s">
        <v>327</v>
      </c>
      <c r="AF84" s="211" t="s">
        <v>1228</v>
      </c>
      <c r="AG84" s="211" t="s">
        <v>327</v>
      </c>
      <c r="AH84" s="211" t="s">
        <v>1133</v>
      </c>
      <c r="AI84" s="211" t="s">
        <v>1228</v>
      </c>
      <c r="AJ84" s="211" t="s">
        <v>1133</v>
      </c>
      <c r="AK84" s="211" t="s">
        <v>327</v>
      </c>
      <c r="AL84" s="211"/>
      <c r="AM84" s="211" t="s">
        <v>1619</v>
      </c>
      <c r="AN84" s="212" t="s">
        <v>1251</v>
      </c>
      <c r="AO84" s="215">
        <v>0.63</v>
      </c>
      <c r="AP84" s="216">
        <f t="shared" si="14"/>
        <v>1134</v>
      </c>
      <c r="AQ84" s="216">
        <f t="shared" si="15"/>
        <v>8788.5</v>
      </c>
      <c r="AR84" s="217">
        <v>61061</v>
      </c>
      <c r="AS84" s="208">
        <v>46077</v>
      </c>
      <c r="AT84" s="208" t="s">
        <v>1220</v>
      </c>
      <c r="AU84" s="218"/>
      <c r="AV84" s="219">
        <f t="shared" si="16"/>
        <v>-1800</v>
      </c>
      <c r="AW84" s="116"/>
      <c r="AX84" s="116"/>
      <c r="AY84" s="208"/>
      <c r="AZ84" s="208"/>
      <c r="BA84" s="208"/>
      <c r="BB84" s="208" t="str">
        <f t="shared" si="10"/>
        <v>Kidland</v>
      </c>
      <c r="BC84" s="208" t="str">
        <f t="shared" si="11"/>
        <v>中东</v>
      </c>
    </row>
    <row r="85" s="194" customFormat="1" customHeight="1" spans="1:55">
      <c r="A85" s="208">
        <v>46015</v>
      </c>
      <c r="B85" s="40" t="str">
        <f ca="1" t="shared" si="12"/>
        <v/>
      </c>
      <c r="C85" s="209" t="str">
        <f>VLOOKUP(H85,名称!A:E,4,0)</f>
        <v>二代</v>
      </c>
      <c r="D85" s="210" t="s">
        <v>1489</v>
      </c>
      <c r="E85" s="210" t="s">
        <v>1621</v>
      </c>
      <c r="F85" s="211" t="s">
        <v>379</v>
      </c>
      <c r="G85" s="211" t="s">
        <v>380</v>
      </c>
      <c r="H85" s="211" t="s">
        <v>64</v>
      </c>
      <c r="I85" s="211"/>
      <c r="J85" s="212">
        <v>720</v>
      </c>
      <c r="K85" s="211">
        <v>5</v>
      </c>
      <c r="L85" s="211">
        <f t="shared" si="9"/>
        <v>3600</v>
      </c>
      <c r="M85" s="211">
        <f>VLOOKUP(H85,名称!A:E,3,0)</f>
        <v>24</v>
      </c>
      <c r="N85" s="212">
        <f t="shared" si="13"/>
        <v>30</v>
      </c>
      <c r="O85" s="208">
        <v>46059</v>
      </c>
      <c r="P85" s="208">
        <v>46059</v>
      </c>
      <c r="Q85" s="208">
        <v>46059</v>
      </c>
      <c r="R85" s="211" t="s">
        <v>1241</v>
      </c>
      <c r="S85" s="208" t="s">
        <v>1133</v>
      </c>
      <c r="T85" s="208" t="s">
        <v>1133</v>
      </c>
      <c r="U85" s="211"/>
      <c r="V85" s="211"/>
      <c r="W85" s="208"/>
      <c r="X85" s="211" t="s">
        <v>1248</v>
      </c>
      <c r="Y85" s="211" t="s">
        <v>1228</v>
      </c>
      <c r="Z85" s="211" t="s">
        <v>1249</v>
      </c>
      <c r="AA85" s="214">
        <v>46021</v>
      </c>
      <c r="AB85" s="213">
        <v>46028</v>
      </c>
      <c r="AC85" s="211" t="s">
        <v>1133</v>
      </c>
      <c r="AD85" s="211" t="s">
        <v>1133</v>
      </c>
      <c r="AE85" s="211" t="s">
        <v>327</v>
      </c>
      <c r="AF85" s="211" t="s">
        <v>1228</v>
      </c>
      <c r="AG85" s="211" t="s">
        <v>327</v>
      </c>
      <c r="AH85" s="211" t="s">
        <v>1133</v>
      </c>
      <c r="AI85" s="211" t="s">
        <v>1228</v>
      </c>
      <c r="AJ85" s="211" t="s">
        <v>1133</v>
      </c>
      <c r="AK85" s="211" t="s">
        <v>327</v>
      </c>
      <c r="AL85" s="211"/>
      <c r="AM85" s="211" t="s">
        <v>1619</v>
      </c>
      <c r="AN85" s="212" t="s">
        <v>1251</v>
      </c>
      <c r="AO85" s="215">
        <v>0.63</v>
      </c>
      <c r="AP85" s="216">
        <f t="shared" si="14"/>
        <v>453.6</v>
      </c>
      <c r="AQ85" s="216">
        <f t="shared" si="15"/>
        <v>3515.4</v>
      </c>
      <c r="AR85" s="217">
        <v>61061</v>
      </c>
      <c r="AS85" s="208">
        <v>46077</v>
      </c>
      <c r="AT85" s="208" t="s">
        <v>1220</v>
      </c>
      <c r="AU85" s="218"/>
      <c r="AV85" s="219">
        <f t="shared" si="16"/>
        <v>-720</v>
      </c>
      <c r="AW85" s="116"/>
      <c r="AX85" s="116"/>
      <c r="AY85" s="208"/>
      <c r="AZ85" s="208"/>
      <c r="BA85" s="208"/>
      <c r="BB85" s="208" t="str">
        <f t="shared" si="10"/>
        <v>Kidland</v>
      </c>
      <c r="BC85" s="208" t="str">
        <f t="shared" si="11"/>
        <v>中东</v>
      </c>
    </row>
    <row r="86" s="194" customFormat="1" customHeight="1" spans="1:55">
      <c r="A86" s="208">
        <v>46015</v>
      </c>
      <c r="B86" s="40" t="str">
        <f ca="1" t="shared" si="12"/>
        <v/>
      </c>
      <c r="C86" s="209" t="str">
        <f>VLOOKUP(H86,名称!A:E,4,0)</f>
        <v>二代</v>
      </c>
      <c r="D86" s="210" t="s">
        <v>1489</v>
      </c>
      <c r="E86" s="210" t="s">
        <v>1621</v>
      </c>
      <c r="F86" s="211" t="s">
        <v>379</v>
      </c>
      <c r="G86" s="211" t="s">
        <v>380</v>
      </c>
      <c r="H86" s="211" t="s">
        <v>62</v>
      </c>
      <c r="I86" s="211"/>
      <c r="J86" s="212">
        <v>720</v>
      </c>
      <c r="K86" s="211">
        <v>5</v>
      </c>
      <c r="L86" s="211">
        <f t="shared" si="9"/>
        <v>3600</v>
      </c>
      <c r="M86" s="211">
        <f>VLOOKUP(H86,名称!A:E,3,0)</f>
        <v>24</v>
      </c>
      <c r="N86" s="212">
        <f t="shared" si="13"/>
        <v>30</v>
      </c>
      <c r="O86" s="208">
        <v>46059</v>
      </c>
      <c r="P86" s="208">
        <v>46059</v>
      </c>
      <c r="Q86" s="208">
        <v>46059</v>
      </c>
      <c r="R86" s="211" t="s">
        <v>1241</v>
      </c>
      <c r="S86" s="208" t="s">
        <v>1133</v>
      </c>
      <c r="T86" s="208" t="s">
        <v>1133</v>
      </c>
      <c r="U86" s="211"/>
      <c r="V86" s="211"/>
      <c r="W86" s="208"/>
      <c r="X86" s="211" t="s">
        <v>1248</v>
      </c>
      <c r="Y86" s="211" t="s">
        <v>1228</v>
      </c>
      <c r="Z86" s="211" t="s">
        <v>1249</v>
      </c>
      <c r="AA86" s="214">
        <v>46021</v>
      </c>
      <c r="AB86" s="213">
        <v>46028</v>
      </c>
      <c r="AC86" s="211" t="s">
        <v>1133</v>
      </c>
      <c r="AD86" s="211" t="s">
        <v>1133</v>
      </c>
      <c r="AE86" s="211" t="s">
        <v>327</v>
      </c>
      <c r="AF86" s="211" t="s">
        <v>1228</v>
      </c>
      <c r="AG86" s="211" t="s">
        <v>327</v>
      </c>
      <c r="AH86" s="211" t="s">
        <v>1133</v>
      </c>
      <c r="AI86" s="211" t="s">
        <v>1228</v>
      </c>
      <c r="AJ86" s="211" t="s">
        <v>1133</v>
      </c>
      <c r="AK86" s="211" t="s">
        <v>327</v>
      </c>
      <c r="AL86" s="211"/>
      <c r="AM86" s="211" t="s">
        <v>1619</v>
      </c>
      <c r="AN86" s="212" t="s">
        <v>1251</v>
      </c>
      <c r="AO86" s="215">
        <v>0.63</v>
      </c>
      <c r="AP86" s="216">
        <f t="shared" si="14"/>
        <v>453.6</v>
      </c>
      <c r="AQ86" s="216">
        <f t="shared" si="15"/>
        <v>3515.4</v>
      </c>
      <c r="AR86" s="217">
        <v>61061</v>
      </c>
      <c r="AS86" s="208">
        <v>46077</v>
      </c>
      <c r="AT86" s="208" t="s">
        <v>1220</v>
      </c>
      <c r="AU86" s="218"/>
      <c r="AV86" s="219">
        <f t="shared" si="16"/>
        <v>-720</v>
      </c>
      <c r="AW86" s="116"/>
      <c r="AX86" s="116"/>
      <c r="AY86" s="208"/>
      <c r="AZ86" s="208"/>
      <c r="BA86" s="208"/>
      <c r="BB86" s="208" t="str">
        <f t="shared" si="10"/>
        <v>Kidland</v>
      </c>
      <c r="BC86" s="208" t="str">
        <f t="shared" si="11"/>
        <v>中东</v>
      </c>
    </row>
    <row r="87" s="194" customFormat="1" customHeight="1" spans="1:55">
      <c r="A87" s="208">
        <v>46015</v>
      </c>
      <c r="B87" s="40" t="str">
        <f ca="1" t="shared" si="12"/>
        <v/>
      </c>
      <c r="C87" s="209" t="str">
        <f>VLOOKUP(H87,名称!A:E,4,0)</f>
        <v>二代</v>
      </c>
      <c r="D87" s="210" t="s">
        <v>1489</v>
      </c>
      <c r="E87" s="210" t="s">
        <v>1621</v>
      </c>
      <c r="F87" s="211" t="s">
        <v>379</v>
      </c>
      <c r="G87" s="211" t="s">
        <v>380</v>
      </c>
      <c r="H87" s="211" t="s">
        <v>79</v>
      </c>
      <c r="I87" s="211"/>
      <c r="J87" s="212">
        <v>720</v>
      </c>
      <c r="K87" s="211">
        <v>12</v>
      </c>
      <c r="L87" s="211">
        <f t="shared" si="9"/>
        <v>8640</v>
      </c>
      <c r="M87" s="211">
        <f>VLOOKUP(H87,名称!A:E,3,0)</f>
        <v>12</v>
      </c>
      <c r="N87" s="212">
        <f t="shared" si="13"/>
        <v>60</v>
      </c>
      <c r="O87" s="208">
        <v>46059</v>
      </c>
      <c r="P87" s="208">
        <v>46059</v>
      </c>
      <c r="Q87" s="208">
        <v>46059</v>
      </c>
      <c r="R87" s="211" t="s">
        <v>1241</v>
      </c>
      <c r="S87" s="208" t="s">
        <v>1133</v>
      </c>
      <c r="T87" s="208" t="s">
        <v>1133</v>
      </c>
      <c r="U87" s="211"/>
      <c r="V87" s="211"/>
      <c r="W87" s="208"/>
      <c r="X87" s="211" t="s">
        <v>1248</v>
      </c>
      <c r="Y87" s="211" t="s">
        <v>1228</v>
      </c>
      <c r="Z87" s="211" t="s">
        <v>1249</v>
      </c>
      <c r="AA87" s="214">
        <v>46021</v>
      </c>
      <c r="AB87" s="213">
        <v>46028</v>
      </c>
      <c r="AC87" s="211" t="s">
        <v>1302</v>
      </c>
      <c r="AD87" s="211" t="s">
        <v>1133</v>
      </c>
      <c r="AE87" s="211" t="s">
        <v>327</v>
      </c>
      <c r="AF87" s="211" t="s">
        <v>1228</v>
      </c>
      <c r="AG87" s="211" t="s">
        <v>327</v>
      </c>
      <c r="AH87" s="211" t="s">
        <v>1133</v>
      </c>
      <c r="AI87" s="211" t="s">
        <v>1228</v>
      </c>
      <c r="AJ87" s="211" t="s">
        <v>1133</v>
      </c>
      <c r="AK87" s="211" t="s">
        <v>1133</v>
      </c>
      <c r="AL87" s="211"/>
      <c r="AM87" s="211" t="s">
        <v>1619</v>
      </c>
      <c r="AN87" s="212" t="s">
        <v>1251</v>
      </c>
      <c r="AO87" s="215">
        <v>1.58</v>
      </c>
      <c r="AP87" s="216">
        <f t="shared" si="14"/>
        <v>1137.6</v>
      </c>
      <c r="AQ87" s="216">
        <f t="shared" si="15"/>
        <v>8816.4</v>
      </c>
      <c r="AR87" s="217">
        <v>61061</v>
      </c>
      <c r="AS87" s="208">
        <v>46077</v>
      </c>
      <c r="AT87" s="208" t="s">
        <v>1220</v>
      </c>
      <c r="AU87" s="218"/>
      <c r="AV87" s="219">
        <f t="shared" si="16"/>
        <v>-720</v>
      </c>
      <c r="AW87" s="116"/>
      <c r="AX87" s="116"/>
      <c r="AY87" s="208"/>
      <c r="AZ87" s="208"/>
      <c r="BA87" s="208"/>
      <c r="BB87" s="208" t="str">
        <f t="shared" si="10"/>
        <v>Kidland</v>
      </c>
      <c r="BC87" s="208" t="str">
        <f t="shared" si="11"/>
        <v>中东</v>
      </c>
    </row>
    <row r="88" s="194" customFormat="1" customHeight="1" spans="1:55">
      <c r="A88" s="208">
        <v>46015</v>
      </c>
      <c r="B88" s="40" t="str">
        <f ca="1" t="shared" si="12"/>
        <v/>
      </c>
      <c r="C88" s="209" t="str">
        <f>VLOOKUP(H88,名称!A:E,4,0)</f>
        <v>二代</v>
      </c>
      <c r="D88" s="210" t="s">
        <v>1489</v>
      </c>
      <c r="E88" s="210" t="s">
        <v>1621</v>
      </c>
      <c r="F88" s="211" t="s">
        <v>379</v>
      </c>
      <c r="G88" s="211" t="s">
        <v>380</v>
      </c>
      <c r="H88" s="211" t="s">
        <v>43</v>
      </c>
      <c r="I88" s="211"/>
      <c r="J88" s="212">
        <v>1440</v>
      </c>
      <c r="K88" s="211">
        <v>5</v>
      </c>
      <c r="L88" s="211">
        <f t="shared" si="9"/>
        <v>7200</v>
      </c>
      <c r="M88" s="211">
        <f>VLOOKUP(H88,名称!A:E,3,0)</f>
        <v>24</v>
      </c>
      <c r="N88" s="212">
        <f t="shared" si="13"/>
        <v>60</v>
      </c>
      <c r="O88" s="208">
        <v>46059</v>
      </c>
      <c r="P88" s="208">
        <v>46059</v>
      </c>
      <c r="Q88" s="208">
        <v>46059</v>
      </c>
      <c r="R88" s="211" t="s">
        <v>1241</v>
      </c>
      <c r="S88" s="208" t="s">
        <v>1133</v>
      </c>
      <c r="T88" s="208" t="s">
        <v>1133</v>
      </c>
      <c r="U88" s="211"/>
      <c r="V88" s="211"/>
      <c r="W88" s="208"/>
      <c r="X88" s="211" t="s">
        <v>1248</v>
      </c>
      <c r="Y88" s="211" t="s">
        <v>1228</v>
      </c>
      <c r="Z88" s="211" t="s">
        <v>1249</v>
      </c>
      <c r="AA88" s="214">
        <v>46021</v>
      </c>
      <c r="AB88" s="213">
        <v>46028</v>
      </c>
      <c r="AC88" s="211" t="s">
        <v>1133</v>
      </c>
      <c r="AD88" s="211" t="s">
        <v>1133</v>
      </c>
      <c r="AE88" s="211" t="s">
        <v>327</v>
      </c>
      <c r="AF88" s="211" t="s">
        <v>1228</v>
      </c>
      <c r="AG88" s="211" t="s">
        <v>327</v>
      </c>
      <c r="AH88" s="211" t="s">
        <v>1133</v>
      </c>
      <c r="AI88" s="211" t="s">
        <v>1228</v>
      </c>
      <c r="AJ88" s="211" t="s">
        <v>1133</v>
      </c>
      <c r="AK88" s="211" t="s">
        <v>327</v>
      </c>
      <c r="AL88" s="211"/>
      <c r="AM88" s="211" t="s">
        <v>1619</v>
      </c>
      <c r="AN88" s="212" t="s">
        <v>1251</v>
      </c>
      <c r="AO88" s="215">
        <v>0.63</v>
      </c>
      <c r="AP88" s="216">
        <f t="shared" si="14"/>
        <v>907.2</v>
      </c>
      <c r="AQ88" s="216">
        <f t="shared" si="15"/>
        <v>7030.8</v>
      </c>
      <c r="AR88" s="217">
        <v>61061</v>
      </c>
      <c r="AS88" s="208">
        <v>46077</v>
      </c>
      <c r="AT88" s="208" t="s">
        <v>1220</v>
      </c>
      <c r="AU88" s="218"/>
      <c r="AV88" s="219">
        <f t="shared" si="16"/>
        <v>-1440</v>
      </c>
      <c r="AW88" s="116"/>
      <c r="AX88" s="116"/>
      <c r="AY88" s="208"/>
      <c r="AZ88" s="208"/>
      <c r="BA88" s="208"/>
      <c r="BB88" s="208" t="str">
        <f t="shared" si="10"/>
        <v>Kidland</v>
      </c>
      <c r="BC88" s="208" t="str">
        <f t="shared" si="11"/>
        <v>中东</v>
      </c>
    </row>
    <row r="89" s="194" customFormat="1" customHeight="1" spans="1:55">
      <c r="A89" s="208">
        <v>46015</v>
      </c>
      <c r="B89" s="40" t="str">
        <f ca="1" t="shared" si="12"/>
        <v/>
      </c>
      <c r="C89" s="209" t="str">
        <f>VLOOKUP(H89,名称!A:E,4,0)</f>
        <v>二代</v>
      </c>
      <c r="D89" s="210" t="s">
        <v>1489</v>
      </c>
      <c r="E89" s="210" t="s">
        <v>1621</v>
      </c>
      <c r="F89" s="211" t="s">
        <v>379</v>
      </c>
      <c r="G89" s="211" t="s">
        <v>380</v>
      </c>
      <c r="H89" s="211" t="s">
        <v>74</v>
      </c>
      <c r="I89" s="211"/>
      <c r="J89" s="212">
        <v>1440</v>
      </c>
      <c r="K89" s="211">
        <v>12</v>
      </c>
      <c r="L89" s="211">
        <f t="shared" si="9"/>
        <v>17280</v>
      </c>
      <c r="M89" s="211">
        <f>VLOOKUP(H89,名称!A:E,3,0)</f>
        <v>12</v>
      </c>
      <c r="N89" s="212">
        <f t="shared" si="13"/>
        <v>120</v>
      </c>
      <c r="O89" s="208">
        <v>46059</v>
      </c>
      <c r="P89" s="208">
        <v>46059</v>
      </c>
      <c r="Q89" s="208">
        <v>46059</v>
      </c>
      <c r="R89" s="211" t="s">
        <v>1241</v>
      </c>
      <c r="S89" s="208" t="s">
        <v>1133</v>
      </c>
      <c r="T89" s="208" t="s">
        <v>1133</v>
      </c>
      <c r="U89" s="211"/>
      <c r="V89" s="211"/>
      <c r="W89" s="208"/>
      <c r="X89" s="211" t="s">
        <v>1248</v>
      </c>
      <c r="Y89" s="211" t="s">
        <v>1228</v>
      </c>
      <c r="Z89" s="211" t="s">
        <v>1249</v>
      </c>
      <c r="AA89" s="214">
        <v>46021</v>
      </c>
      <c r="AB89" s="213">
        <v>46028</v>
      </c>
      <c r="AC89" s="211" t="s">
        <v>1302</v>
      </c>
      <c r="AD89" s="211" t="s">
        <v>1133</v>
      </c>
      <c r="AE89" s="211" t="s">
        <v>327</v>
      </c>
      <c r="AF89" s="211" t="s">
        <v>1228</v>
      </c>
      <c r="AG89" s="211" t="s">
        <v>327</v>
      </c>
      <c r="AH89" s="211" t="s">
        <v>1562</v>
      </c>
      <c r="AI89" s="211" t="s">
        <v>1228</v>
      </c>
      <c r="AJ89" s="211" t="s">
        <v>1133</v>
      </c>
      <c r="AK89" s="211" t="s">
        <v>1133</v>
      </c>
      <c r="AL89" s="211"/>
      <c r="AM89" s="211" t="s">
        <v>1619</v>
      </c>
      <c r="AN89" s="212" t="s">
        <v>1251</v>
      </c>
      <c r="AO89" s="215">
        <v>1.6</v>
      </c>
      <c r="AP89" s="216">
        <f t="shared" si="14"/>
        <v>2304</v>
      </c>
      <c r="AQ89" s="216">
        <f t="shared" si="15"/>
        <v>17856</v>
      </c>
      <c r="AR89" s="217">
        <v>61061</v>
      </c>
      <c r="AS89" s="208">
        <v>46077</v>
      </c>
      <c r="AT89" s="208" t="s">
        <v>1220</v>
      </c>
      <c r="AU89" s="218"/>
      <c r="AV89" s="219">
        <f t="shared" si="16"/>
        <v>-1440</v>
      </c>
      <c r="AW89" s="116"/>
      <c r="AX89" s="116"/>
      <c r="AY89" s="208"/>
      <c r="AZ89" s="208"/>
      <c r="BA89" s="208"/>
      <c r="BB89" s="208" t="str">
        <f t="shared" si="10"/>
        <v>Kidland</v>
      </c>
      <c r="BC89" s="208" t="str">
        <f t="shared" si="11"/>
        <v>中东</v>
      </c>
    </row>
    <row r="90" s="194" customFormat="1" customHeight="1" spans="1:55">
      <c r="A90" s="208">
        <v>46015</v>
      </c>
      <c r="B90" s="40" t="str">
        <f ca="1" t="shared" si="12"/>
        <v/>
      </c>
      <c r="C90" s="209" t="str">
        <f>VLOOKUP(H90,名称!A:E,4,0)</f>
        <v>二代</v>
      </c>
      <c r="D90" s="210" t="s">
        <v>1489</v>
      </c>
      <c r="E90" s="210" t="s">
        <v>1621</v>
      </c>
      <c r="F90" s="211" t="s">
        <v>381</v>
      </c>
      <c r="G90" s="211" t="s">
        <v>382</v>
      </c>
      <c r="H90" s="211" t="s">
        <v>40</v>
      </c>
      <c r="I90" s="211"/>
      <c r="J90" s="212">
        <v>1248</v>
      </c>
      <c r="K90" s="211">
        <v>7</v>
      </c>
      <c r="L90" s="211">
        <f t="shared" si="9"/>
        <v>8736</v>
      </c>
      <c r="M90" s="211">
        <f>VLOOKUP(H90,名称!A:E,3,0)</f>
        <v>12</v>
      </c>
      <c r="N90" s="212">
        <f t="shared" si="13"/>
        <v>104</v>
      </c>
      <c r="O90" s="208">
        <v>46064</v>
      </c>
      <c r="P90" s="208">
        <v>46056</v>
      </c>
      <c r="Q90" s="208">
        <v>46056</v>
      </c>
      <c r="R90" s="211" t="s">
        <v>1241</v>
      </c>
      <c r="S90" s="208" t="s">
        <v>1133</v>
      </c>
      <c r="T90" s="208" t="s">
        <v>1133</v>
      </c>
      <c r="U90" s="211"/>
      <c r="V90" s="211"/>
      <c r="W90" s="208"/>
      <c r="X90" s="211" t="s">
        <v>1248</v>
      </c>
      <c r="Y90" s="211" t="s">
        <v>1228</v>
      </c>
      <c r="Z90" s="211" t="s">
        <v>1249</v>
      </c>
      <c r="AA90" s="214">
        <v>46026</v>
      </c>
      <c r="AB90" s="213">
        <v>46028</v>
      </c>
      <c r="AC90" s="211" t="s">
        <v>1560</v>
      </c>
      <c r="AD90" s="211" t="s">
        <v>1228</v>
      </c>
      <c r="AE90" s="211" t="s">
        <v>327</v>
      </c>
      <c r="AF90" s="211" t="s">
        <v>1228</v>
      </c>
      <c r="AG90" s="211" t="s">
        <v>327</v>
      </c>
      <c r="AH90" s="211" t="s">
        <v>1562</v>
      </c>
      <c r="AI90" s="211" t="s">
        <v>1228</v>
      </c>
      <c r="AJ90" s="211" t="s">
        <v>1133</v>
      </c>
      <c r="AK90" s="211" t="s">
        <v>1133</v>
      </c>
      <c r="AL90" s="211"/>
      <c r="AM90" s="211" t="s">
        <v>1619</v>
      </c>
      <c r="AN90" s="212" t="s">
        <v>1251</v>
      </c>
      <c r="AO90" s="215">
        <v>0.78</v>
      </c>
      <c r="AP90" s="216">
        <f t="shared" si="14"/>
        <v>973.44</v>
      </c>
      <c r="AQ90" s="216">
        <f t="shared" si="15"/>
        <v>7544.16</v>
      </c>
      <c r="AR90" s="217">
        <v>61062</v>
      </c>
      <c r="AS90" s="208">
        <v>46077</v>
      </c>
      <c r="AT90" s="208" t="s">
        <v>1220</v>
      </c>
      <c r="AU90" s="218"/>
      <c r="AV90" s="219">
        <f t="shared" si="16"/>
        <v>-1248</v>
      </c>
      <c r="AW90" s="116"/>
      <c r="AX90" s="116"/>
      <c r="AY90" s="208"/>
      <c r="AZ90" s="208"/>
      <c r="BA90" s="208"/>
      <c r="BB90" s="208" t="str">
        <f t="shared" si="10"/>
        <v>Kidland</v>
      </c>
      <c r="BC90" s="208" t="str">
        <f t="shared" si="11"/>
        <v>中东</v>
      </c>
    </row>
    <row r="91" s="194" customFormat="1" customHeight="1" spans="1:55">
      <c r="A91" s="208">
        <v>46015</v>
      </c>
      <c r="B91" s="40" t="str">
        <f ca="1" t="shared" si="12"/>
        <v/>
      </c>
      <c r="C91" s="209" t="str">
        <f>VLOOKUP(H91,名称!A:E,4,0)</f>
        <v>二代</v>
      </c>
      <c r="D91" s="210" t="s">
        <v>1489</v>
      </c>
      <c r="E91" s="210" t="s">
        <v>1621</v>
      </c>
      <c r="F91" s="211" t="s">
        <v>381</v>
      </c>
      <c r="G91" s="211" t="s">
        <v>382</v>
      </c>
      <c r="H91" s="211" t="s">
        <v>44</v>
      </c>
      <c r="I91" s="211"/>
      <c r="J91" s="212">
        <v>1848</v>
      </c>
      <c r="K91" s="211">
        <v>5</v>
      </c>
      <c r="L91" s="211">
        <f t="shared" si="9"/>
        <v>9240</v>
      </c>
      <c r="M91" s="211">
        <f>VLOOKUP(H91,名称!A:E,3,0)</f>
        <v>24</v>
      </c>
      <c r="N91" s="212">
        <f t="shared" si="13"/>
        <v>77</v>
      </c>
      <c r="O91" s="208">
        <v>46064</v>
      </c>
      <c r="P91" s="208">
        <v>46056</v>
      </c>
      <c r="Q91" s="208">
        <v>46056</v>
      </c>
      <c r="R91" s="211" t="s">
        <v>1241</v>
      </c>
      <c r="S91" s="208" t="s">
        <v>1133</v>
      </c>
      <c r="T91" s="208" t="s">
        <v>1133</v>
      </c>
      <c r="U91" s="211"/>
      <c r="V91" s="211"/>
      <c r="W91" s="208"/>
      <c r="X91" s="211" t="s">
        <v>1248</v>
      </c>
      <c r="Y91" s="211" t="s">
        <v>1228</v>
      </c>
      <c r="Z91" s="211" t="s">
        <v>1249</v>
      </c>
      <c r="AA91" s="214">
        <v>46026</v>
      </c>
      <c r="AB91" s="213">
        <v>46028</v>
      </c>
      <c r="AC91" s="211" t="s">
        <v>1133</v>
      </c>
      <c r="AD91" s="211" t="s">
        <v>1133</v>
      </c>
      <c r="AE91" s="211" t="s">
        <v>327</v>
      </c>
      <c r="AF91" s="211" t="s">
        <v>1228</v>
      </c>
      <c r="AG91" s="211" t="s">
        <v>327</v>
      </c>
      <c r="AH91" s="211" t="s">
        <v>1133</v>
      </c>
      <c r="AI91" s="211" t="s">
        <v>1228</v>
      </c>
      <c r="AJ91" s="211" t="s">
        <v>1133</v>
      </c>
      <c r="AK91" s="211" t="s">
        <v>327</v>
      </c>
      <c r="AL91" s="211"/>
      <c r="AM91" s="211" t="s">
        <v>1619</v>
      </c>
      <c r="AN91" s="212" t="s">
        <v>1251</v>
      </c>
      <c r="AO91" s="215">
        <v>0.63</v>
      </c>
      <c r="AP91" s="216">
        <f t="shared" si="14"/>
        <v>1164.24</v>
      </c>
      <c r="AQ91" s="216">
        <f t="shared" si="15"/>
        <v>9022.86</v>
      </c>
      <c r="AR91" s="217">
        <v>61062</v>
      </c>
      <c r="AS91" s="208">
        <v>46077</v>
      </c>
      <c r="AT91" s="208" t="s">
        <v>1220</v>
      </c>
      <c r="AU91" s="218"/>
      <c r="AV91" s="219">
        <f t="shared" si="16"/>
        <v>-1848</v>
      </c>
      <c r="AW91" s="116"/>
      <c r="AX91" s="116"/>
      <c r="AY91" s="208"/>
      <c r="AZ91" s="208"/>
      <c r="BA91" s="208"/>
      <c r="BB91" s="208" t="str">
        <f t="shared" si="10"/>
        <v>Kidland</v>
      </c>
      <c r="BC91" s="208" t="str">
        <f t="shared" si="11"/>
        <v>中东</v>
      </c>
    </row>
    <row r="92" s="194" customFormat="1" customHeight="1" spans="1:55">
      <c r="A92" s="208">
        <v>46015</v>
      </c>
      <c r="B92" s="40" t="str">
        <f ca="1" t="shared" si="12"/>
        <v/>
      </c>
      <c r="C92" s="209" t="str">
        <f>VLOOKUP(H92,名称!A:E,4,0)</f>
        <v>二代</v>
      </c>
      <c r="D92" s="210" t="s">
        <v>1489</v>
      </c>
      <c r="E92" s="210" t="s">
        <v>1621</v>
      </c>
      <c r="F92" s="211" t="s">
        <v>381</v>
      </c>
      <c r="G92" s="211" t="s">
        <v>382</v>
      </c>
      <c r="H92" s="211" t="s">
        <v>37</v>
      </c>
      <c r="I92" s="211"/>
      <c r="J92" s="212">
        <v>828</v>
      </c>
      <c r="K92" s="211">
        <v>7</v>
      </c>
      <c r="L92" s="211">
        <f t="shared" si="9"/>
        <v>5796</v>
      </c>
      <c r="M92" s="211">
        <f>VLOOKUP(H92,名称!A:E,3,0)</f>
        <v>6</v>
      </c>
      <c r="N92" s="212">
        <f t="shared" si="13"/>
        <v>138</v>
      </c>
      <c r="O92" s="208">
        <v>46064</v>
      </c>
      <c r="P92" s="208">
        <v>46056</v>
      </c>
      <c r="Q92" s="208">
        <v>46056</v>
      </c>
      <c r="R92" s="211" t="s">
        <v>1241</v>
      </c>
      <c r="S92" s="208" t="s">
        <v>1133</v>
      </c>
      <c r="T92" s="208" t="s">
        <v>1133</v>
      </c>
      <c r="U92" s="211"/>
      <c r="V92" s="211"/>
      <c r="W92" s="208"/>
      <c r="X92" s="211" t="s">
        <v>1248</v>
      </c>
      <c r="Y92" s="211" t="s">
        <v>1228</v>
      </c>
      <c r="Z92" s="211" t="s">
        <v>1249</v>
      </c>
      <c r="AA92" s="214">
        <v>46026</v>
      </c>
      <c r="AB92" s="213">
        <v>46028</v>
      </c>
      <c r="AC92" s="211" t="s">
        <v>1244</v>
      </c>
      <c r="AD92" s="211" t="s">
        <v>1228</v>
      </c>
      <c r="AE92" s="211" t="s">
        <v>327</v>
      </c>
      <c r="AF92" s="211" t="s">
        <v>1228</v>
      </c>
      <c r="AG92" s="211" t="s">
        <v>327</v>
      </c>
      <c r="AH92" s="211" t="s">
        <v>1562</v>
      </c>
      <c r="AI92" s="211" t="s">
        <v>1228</v>
      </c>
      <c r="AJ92" s="211" t="s">
        <v>1572</v>
      </c>
      <c r="AK92" s="211" t="s">
        <v>1133</v>
      </c>
      <c r="AL92" s="211"/>
      <c r="AM92" s="211" t="s">
        <v>1619</v>
      </c>
      <c r="AN92" s="212" t="s">
        <v>1251</v>
      </c>
      <c r="AO92" s="215">
        <v>2.04</v>
      </c>
      <c r="AP92" s="216">
        <f t="shared" si="14"/>
        <v>1689.12</v>
      </c>
      <c r="AQ92" s="216">
        <f t="shared" si="15"/>
        <v>13090.68</v>
      </c>
      <c r="AR92" s="217">
        <v>61062</v>
      </c>
      <c r="AS92" s="208">
        <v>46077</v>
      </c>
      <c r="AT92" s="208" t="s">
        <v>1220</v>
      </c>
      <c r="AU92" s="218"/>
      <c r="AV92" s="219">
        <f t="shared" si="16"/>
        <v>-828</v>
      </c>
      <c r="AW92" s="116"/>
      <c r="AX92" s="116"/>
      <c r="AY92" s="208"/>
      <c r="AZ92" s="208"/>
      <c r="BA92" s="208"/>
      <c r="BB92" s="208" t="str">
        <f t="shared" si="10"/>
        <v>Kidland</v>
      </c>
      <c r="BC92" s="208" t="str">
        <f t="shared" si="11"/>
        <v>中东</v>
      </c>
    </row>
    <row r="93" s="194" customFormat="1" customHeight="1" spans="1:55">
      <c r="A93" s="208">
        <v>46015</v>
      </c>
      <c r="B93" s="40" t="str">
        <f ca="1" t="shared" si="12"/>
        <v/>
      </c>
      <c r="C93" s="209" t="str">
        <f>VLOOKUP(H93,名称!A:E,4,0)</f>
        <v>二代</v>
      </c>
      <c r="D93" s="210" t="s">
        <v>1489</v>
      </c>
      <c r="E93" s="210" t="s">
        <v>1621</v>
      </c>
      <c r="F93" s="211" t="s">
        <v>381</v>
      </c>
      <c r="G93" s="211" t="s">
        <v>382</v>
      </c>
      <c r="H93" s="211" t="s">
        <v>38</v>
      </c>
      <c r="I93" s="211"/>
      <c r="J93" s="212">
        <v>480</v>
      </c>
      <c r="K93" s="211">
        <v>32</v>
      </c>
      <c r="L93" s="211">
        <f t="shared" si="9"/>
        <v>15360</v>
      </c>
      <c r="M93" s="211">
        <f>VLOOKUP(H93,名称!A:E,3,0)</f>
        <v>4</v>
      </c>
      <c r="N93" s="212">
        <f t="shared" si="13"/>
        <v>120</v>
      </c>
      <c r="O93" s="208">
        <v>46064</v>
      </c>
      <c r="P93" s="208">
        <v>46056</v>
      </c>
      <c r="Q93" s="208">
        <v>46056</v>
      </c>
      <c r="R93" s="211" t="s">
        <v>1241</v>
      </c>
      <c r="S93" s="208" t="s">
        <v>1133</v>
      </c>
      <c r="T93" s="208" t="s">
        <v>1133</v>
      </c>
      <c r="U93" s="211"/>
      <c r="V93" s="211"/>
      <c r="W93" s="208"/>
      <c r="X93" s="211" t="s">
        <v>1248</v>
      </c>
      <c r="Y93" s="211" t="s">
        <v>1228</v>
      </c>
      <c r="Z93" s="211" t="s">
        <v>1249</v>
      </c>
      <c r="AA93" s="214">
        <v>46026</v>
      </c>
      <c r="AB93" s="213">
        <v>46028</v>
      </c>
      <c r="AC93" s="211" t="s">
        <v>1133</v>
      </c>
      <c r="AD93" s="211" t="s">
        <v>1133</v>
      </c>
      <c r="AE93" s="211" t="s">
        <v>327</v>
      </c>
      <c r="AF93" s="211" t="s">
        <v>1228</v>
      </c>
      <c r="AG93" s="211" t="s">
        <v>327</v>
      </c>
      <c r="AH93" s="211" t="s">
        <v>1562</v>
      </c>
      <c r="AI93" s="211" t="s">
        <v>1228</v>
      </c>
      <c r="AJ93" s="211" t="s">
        <v>1133</v>
      </c>
      <c r="AK93" s="211" t="s">
        <v>1133</v>
      </c>
      <c r="AL93" s="211"/>
      <c r="AM93" s="211" t="s">
        <v>1619</v>
      </c>
      <c r="AN93" s="212" t="s">
        <v>1251</v>
      </c>
      <c r="AO93" s="215">
        <v>3.12</v>
      </c>
      <c r="AP93" s="216">
        <f t="shared" si="14"/>
        <v>1497.6</v>
      </c>
      <c r="AQ93" s="216">
        <f t="shared" si="15"/>
        <v>11606.4</v>
      </c>
      <c r="AR93" s="217">
        <v>61062</v>
      </c>
      <c r="AS93" s="208">
        <v>46077</v>
      </c>
      <c r="AT93" s="208" t="s">
        <v>1220</v>
      </c>
      <c r="AU93" s="218"/>
      <c r="AV93" s="219">
        <f t="shared" si="16"/>
        <v>-480</v>
      </c>
      <c r="AW93" s="116"/>
      <c r="AX93" s="116"/>
      <c r="AY93" s="208"/>
      <c r="AZ93" s="208"/>
      <c r="BA93" s="208"/>
      <c r="BB93" s="208" t="str">
        <f t="shared" si="10"/>
        <v>Kidland</v>
      </c>
      <c r="BC93" s="208" t="str">
        <f t="shared" si="11"/>
        <v>中东</v>
      </c>
    </row>
    <row r="94" s="194" customFormat="1" customHeight="1" spans="1:55">
      <c r="A94" s="208">
        <v>46015</v>
      </c>
      <c r="B94" s="40" t="str">
        <f ca="1" t="shared" si="12"/>
        <v/>
      </c>
      <c r="C94" s="209" t="str">
        <f>VLOOKUP(H94,名称!A:E,4,0)</f>
        <v>二代</v>
      </c>
      <c r="D94" s="210" t="s">
        <v>1489</v>
      </c>
      <c r="E94" s="210" t="s">
        <v>1621</v>
      </c>
      <c r="F94" s="211" t="s">
        <v>381</v>
      </c>
      <c r="G94" s="211" t="s">
        <v>382</v>
      </c>
      <c r="H94" s="211" t="s">
        <v>73</v>
      </c>
      <c r="I94" s="211"/>
      <c r="J94" s="212">
        <v>780</v>
      </c>
      <c r="K94" s="211">
        <v>12</v>
      </c>
      <c r="L94" s="211">
        <f t="shared" si="9"/>
        <v>9360</v>
      </c>
      <c r="M94" s="211">
        <f>VLOOKUP(H94,名称!A:E,3,0)</f>
        <v>12</v>
      </c>
      <c r="N94" s="212">
        <f t="shared" si="13"/>
        <v>65</v>
      </c>
      <c r="O94" s="208">
        <v>46064</v>
      </c>
      <c r="P94" s="208">
        <v>46056</v>
      </c>
      <c r="Q94" s="208">
        <v>46056</v>
      </c>
      <c r="R94" s="211" t="s">
        <v>1241</v>
      </c>
      <c r="S94" s="208" t="s">
        <v>1133</v>
      </c>
      <c r="T94" s="208" t="s">
        <v>1133</v>
      </c>
      <c r="U94" s="211"/>
      <c r="V94" s="211"/>
      <c r="W94" s="208"/>
      <c r="X94" s="211" t="s">
        <v>1248</v>
      </c>
      <c r="Y94" s="211" t="s">
        <v>1228</v>
      </c>
      <c r="Z94" s="211" t="s">
        <v>1249</v>
      </c>
      <c r="AA94" s="214">
        <v>46026</v>
      </c>
      <c r="AB94" s="213">
        <v>46028</v>
      </c>
      <c r="AC94" s="211" t="s">
        <v>1302</v>
      </c>
      <c r="AD94" s="211" t="s">
        <v>1133</v>
      </c>
      <c r="AE94" s="211" t="s">
        <v>327</v>
      </c>
      <c r="AF94" s="211" t="s">
        <v>1228</v>
      </c>
      <c r="AG94" s="211" t="s">
        <v>327</v>
      </c>
      <c r="AH94" s="211" t="s">
        <v>327</v>
      </c>
      <c r="AI94" s="211" t="s">
        <v>1228</v>
      </c>
      <c r="AJ94" s="211" t="s">
        <v>1133</v>
      </c>
      <c r="AK94" s="211" t="s">
        <v>1133</v>
      </c>
      <c r="AL94" s="211"/>
      <c r="AM94" s="211" t="s">
        <v>1619</v>
      </c>
      <c r="AN94" s="212" t="s">
        <v>1251</v>
      </c>
      <c r="AO94" s="215">
        <v>1.6</v>
      </c>
      <c r="AP94" s="216">
        <f t="shared" si="14"/>
        <v>1248</v>
      </c>
      <c r="AQ94" s="216">
        <f t="shared" si="15"/>
        <v>9672</v>
      </c>
      <c r="AR94" s="217">
        <v>61062</v>
      </c>
      <c r="AS94" s="208">
        <v>46077</v>
      </c>
      <c r="AT94" s="208" t="s">
        <v>1220</v>
      </c>
      <c r="AU94" s="218"/>
      <c r="AV94" s="219">
        <f t="shared" si="16"/>
        <v>-780</v>
      </c>
      <c r="AW94" s="116"/>
      <c r="AX94" s="116"/>
      <c r="AY94" s="208"/>
      <c r="AZ94" s="208"/>
      <c r="BA94" s="208"/>
      <c r="BB94" s="208" t="str">
        <f t="shared" si="10"/>
        <v>Kidland</v>
      </c>
      <c r="BC94" s="208" t="str">
        <f t="shared" si="11"/>
        <v>中东</v>
      </c>
    </row>
    <row r="95" s="194" customFormat="1" customHeight="1" spans="1:55">
      <c r="A95" s="208">
        <v>46015</v>
      </c>
      <c r="B95" s="40" t="str">
        <f ca="1" t="shared" si="12"/>
        <v/>
      </c>
      <c r="C95" s="209" t="str">
        <f>VLOOKUP(H95,名称!A:E,4,0)</f>
        <v>二代</v>
      </c>
      <c r="D95" s="210" t="s">
        <v>1489</v>
      </c>
      <c r="E95" s="210" t="s">
        <v>1621</v>
      </c>
      <c r="F95" s="211" t="s">
        <v>381</v>
      </c>
      <c r="G95" s="211" t="s">
        <v>382</v>
      </c>
      <c r="H95" s="211" t="s">
        <v>69</v>
      </c>
      <c r="I95" s="211"/>
      <c r="J95" s="212">
        <v>168</v>
      </c>
      <c r="K95" s="211">
        <v>50</v>
      </c>
      <c r="L95" s="211">
        <f t="shared" si="9"/>
        <v>8400</v>
      </c>
      <c r="M95" s="211">
        <f>VLOOKUP(H95,名称!A:E,3,0)</f>
        <v>2</v>
      </c>
      <c r="N95" s="212">
        <f t="shared" si="13"/>
        <v>84</v>
      </c>
      <c r="O95" s="208">
        <v>46064</v>
      </c>
      <c r="P95" s="208">
        <v>46056</v>
      </c>
      <c r="Q95" s="208">
        <v>46058</v>
      </c>
      <c r="R95" s="211" t="s">
        <v>1241</v>
      </c>
      <c r="S95" s="208" t="s">
        <v>1133</v>
      </c>
      <c r="T95" s="208" t="s">
        <v>1133</v>
      </c>
      <c r="U95" s="211"/>
      <c r="V95" s="211" t="s">
        <v>1622</v>
      </c>
      <c r="W95" s="208"/>
      <c r="X95" s="211" t="s">
        <v>1248</v>
      </c>
      <c r="Y95" s="211" t="s">
        <v>1228</v>
      </c>
      <c r="Z95" s="211" t="s">
        <v>1249</v>
      </c>
      <c r="AA95" s="214">
        <v>46026</v>
      </c>
      <c r="AB95" s="213">
        <v>46028</v>
      </c>
      <c r="AC95" s="211" t="s">
        <v>1133</v>
      </c>
      <c r="AD95" s="211" t="s">
        <v>1133</v>
      </c>
      <c r="AE95" s="211" t="s">
        <v>327</v>
      </c>
      <c r="AF95" s="211" t="s">
        <v>1228</v>
      </c>
      <c r="AG95" s="211" t="s">
        <v>334</v>
      </c>
      <c r="AH95" s="211" t="s">
        <v>1133</v>
      </c>
      <c r="AI95" s="211" t="s">
        <v>1228</v>
      </c>
      <c r="AJ95" s="211" t="s">
        <v>1133</v>
      </c>
      <c r="AK95" s="211" t="s">
        <v>1356</v>
      </c>
      <c r="AL95" s="211"/>
      <c r="AM95" s="211" t="s">
        <v>1619</v>
      </c>
      <c r="AN95" s="212" t="s">
        <v>1251</v>
      </c>
      <c r="AO95" s="215">
        <v>9.42</v>
      </c>
      <c r="AP95" s="216">
        <f t="shared" si="14"/>
        <v>1582.56</v>
      </c>
      <c r="AQ95" s="216">
        <f t="shared" si="15"/>
        <v>12264.84</v>
      </c>
      <c r="AR95" s="217">
        <v>61062</v>
      </c>
      <c r="AS95" s="208">
        <v>46077</v>
      </c>
      <c r="AT95" s="208" t="s">
        <v>1220</v>
      </c>
      <c r="AU95" s="218"/>
      <c r="AV95" s="116"/>
      <c r="AW95" s="116"/>
      <c r="AX95" s="116" t="s">
        <v>1280</v>
      </c>
      <c r="AY95" s="208"/>
      <c r="AZ95" s="208"/>
      <c r="BA95" s="208"/>
      <c r="BB95" s="208" t="str">
        <f t="shared" si="10"/>
        <v>Kidland</v>
      </c>
      <c r="BC95" s="208" t="str">
        <f t="shared" si="11"/>
        <v>中东</v>
      </c>
    </row>
    <row r="96" s="194" customFormat="1" customHeight="1" spans="1:55">
      <c r="A96" s="208">
        <v>46015</v>
      </c>
      <c r="B96" s="40" t="str">
        <f ca="1" t="shared" si="12"/>
        <v/>
      </c>
      <c r="C96" s="209" t="str">
        <f>VLOOKUP(H96,名称!A:E,4,0)</f>
        <v>二代</v>
      </c>
      <c r="D96" s="210" t="s">
        <v>1489</v>
      </c>
      <c r="E96" s="210" t="s">
        <v>1621</v>
      </c>
      <c r="F96" s="211" t="s">
        <v>381</v>
      </c>
      <c r="G96" s="211" t="s">
        <v>382</v>
      </c>
      <c r="H96" s="211" t="s">
        <v>53</v>
      </c>
      <c r="I96" s="211"/>
      <c r="J96" s="212">
        <v>1848</v>
      </c>
      <c r="K96" s="211">
        <v>0</v>
      </c>
      <c r="L96" s="211">
        <f t="shared" si="9"/>
        <v>0</v>
      </c>
      <c r="M96" s="211">
        <f>VLOOKUP(H96,名称!A:E,3,0)</f>
        <v>24</v>
      </c>
      <c r="N96" s="212">
        <f t="shared" si="13"/>
        <v>77</v>
      </c>
      <c r="O96" s="208">
        <v>46064</v>
      </c>
      <c r="P96" s="208">
        <v>46056</v>
      </c>
      <c r="Q96" s="208">
        <v>46056</v>
      </c>
      <c r="R96" s="211" t="s">
        <v>1241</v>
      </c>
      <c r="S96" s="208" t="s">
        <v>1133</v>
      </c>
      <c r="T96" s="208" t="s">
        <v>1133</v>
      </c>
      <c r="U96" s="211"/>
      <c r="V96" s="211"/>
      <c r="W96" s="208"/>
      <c r="X96" s="211" t="s">
        <v>1248</v>
      </c>
      <c r="Y96" s="211" t="s">
        <v>1228</v>
      </c>
      <c r="Z96" s="211" t="s">
        <v>1249</v>
      </c>
      <c r="AA96" s="214">
        <v>46026</v>
      </c>
      <c r="AB96" s="213">
        <v>46028</v>
      </c>
      <c r="AC96" s="211" t="s">
        <v>1133</v>
      </c>
      <c r="AD96" s="211" t="s">
        <v>1133</v>
      </c>
      <c r="AE96" s="211" t="s">
        <v>327</v>
      </c>
      <c r="AF96" s="211" t="s">
        <v>1228</v>
      </c>
      <c r="AG96" s="211" t="s">
        <v>327</v>
      </c>
      <c r="AH96" s="211" t="s">
        <v>1133</v>
      </c>
      <c r="AI96" s="211" t="s">
        <v>1228</v>
      </c>
      <c r="AJ96" s="211" t="s">
        <v>1133</v>
      </c>
      <c r="AK96" s="211" t="s">
        <v>327</v>
      </c>
      <c r="AL96" s="211"/>
      <c r="AM96" s="211" t="s">
        <v>1619</v>
      </c>
      <c r="AN96" s="212" t="s">
        <v>1251</v>
      </c>
      <c r="AO96" s="215">
        <v>0.61</v>
      </c>
      <c r="AP96" s="216">
        <f t="shared" si="14"/>
        <v>1127.28</v>
      </c>
      <c r="AQ96" s="216">
        <f t="shared" si="15"/>
        <v>8736.42</v>
      </c>
      <c r="AR96" s="217">
        <v>61062</v>
      </c>
      <c r="AS96" s="208">
        <v>46077</v>
      </c>
      <c r="AT96" s="208" t="s">
        <v>1220</v>
      </c>
      <c r="AU96" s="218"/>
      <c r="AV96" s="116"/>
      <c r="AW96" s="116"/>
      <c r="AX96" s="116"/>
      <c r="AY96" s="208"/>
      <c r="AZ96" s="208"/>
      <c r="BA96" s="208"/>
      <c r="BB96" s="208" t="str">
        <f t="shared" si="10"/>
        <v>Kidland</v>
      </c>
      <c r="BC96" s="208" t="str">
        <f t="shared" si="11"/>
        <v>中东</v>
      </c>
    </row>
    <row r="97" s="194" customFormat="1" customHeight="1" spans="1:55">
      <c r="A97" s="208">
        <v>46015</v>
      </c>
      <c r="B97" s="40" t="str">
        <f ca="1" t="shared" si="12"/>
        <v/>
      </c>
      <c r="C97" s="209" t="str">
        <f>VLOOKUP(H97,名称!A:E,4,0)</f>
        <v>二代</v>
      </c>
      <c r="D97" s="210" t="s">
        <v>1489</v>
      </c>
      <c r="E97" s="210" t="s">
        <v>1621</v>
      </c>
      <c r="F97" s="211" t="s">
        <v>381</v>
      </c>
      <c r="G97" s="211" t="s">
        <v>382</v>
      </c>
      <c r="H97" s="211" t="s">
        <v>28</v>
      </c>
      <c r="I97" s="211"/>
      <c r="J97" s="212">
        <v>1248</v>
      </c>
      <c r="K97" s="211">
        <v>0</v>
      </c>
      <c r="L97" s="211">
        <f t="shared" si="9"/>
        <v>0</v>
      </c>
      <c r="M97" s="211">
        <f>VLOOKUP(H97,名称!A:E,3,0)</f>
        <v>12</v>
      </c>
      <c r="N97" s="212">
        <f t="shared" si="13"/>
        <v>104</v>
      </c>
      <c r="O97" s="208">
        <v>46064</v>
      </c>
      <c r="P97" s="208">
        <v>46056</v>
      </c>
      <c r="Q97" s="208">
        <v>46056</v>
      </c>
      <c r="R97" s="211" t="s">
        <v>1241</v>
      </c>
      <c r="S97" s="208" t="s">
        <v>1133</v>
      </c>
      <c r="T97" s="208" t="s">
        <v>1133</v>
      </c>
      <c r="U97" s="211"/>
      <c r="V97" s="211"/>
      <c r="W97" s="208"/>
      <c r="X97" s="211" t="s">
        <v>1248</v>
      </c>
      <c r="Y97" s="211" t="s">
        <v>1228</v>
      </c>
      <c r="Z97" s="211" t="s">
        <v>1249</v>
      </c>
      <c r="AA97" s="214">
        <v>46026</v>
      </c>
      <c r="AB97" s="213">
        <v>46028</v>
      </c>
      <c r="AC97" s="211" t="s">
        <v>1133</v>
      </c>
      <c r="AD97" s="211" t="s">
        <v>1133</v>
      </c>
      <c r="AE97" s="211" t="s">
        <v>327</v>
      </c>
      <c r="AF97" s="211" t="s">
        <v>1228</v>
      </c>
      <c r="AG97" s="211" t="s">
        <v>327</v>
      </c>
      <c r="AH97" s="211" t="s">
        <v>1133</v>
      </c>
      <c r="AI97" s="211" t="s">
        <v>1228</v>
      </c>
      <c r="AJ97" s="211" t="s">
        <v>1133</v>
      </c>
      <c r="AK97" s="211" t="s">
        <v>1133</v>
      </c>
      <c r="AL97" s="211"/>
      <c r="AM97" s="211" t="s">
        <v>1619</v>
      </c>
      <c r="AN97" s="212" t="s">
        <v>1251</v>
      </c>
      <c r="AO97" s="215">
        <v>1.27</v>
      </c>
      <c r="AP97" s="216">
        <f t="shared" si="14"/>
        <v>1584.96</v>
      </c>
      <c r="AQ97" s="216">
        <f t="shared" si="15"/>
        <v>12283.44</v>
      </c>
      <c r="AR97" s="217">
        <v>61062</v>
      </c>
      <c r="AS97" s="208">
        <v>46077</v>
      </c>
      <c r="AT97" s="208" t="s">
        <v>1220</v>
      </c>
      <c r="AU97" s="218"/>
      <c r="AV97" s="116"/>
      <c r="AW97" s="116"/>
      <c r="AX97" s="116"/>
      <c r="AY97" s="208"/>
      <c r="AZ97" s="208"/>
      <c r="BA97" s="208"/>
      <c r="BB97" s="208" t="str">
        <f t="shared" si="10"/>
        <v>Kidland</v>
      </c>
      <c r="BC97" s="208" t="str">
        <f t="shared" si="11"/>
        <v>中东</v>
      </c>
    </row>
    <row r="98" s="194" customFormat="1" customHeight="1" spans="1:55">
      <c r="A98" s="208">
        <v>46015</v>
      </c>
      <c r="B98" s="40" t="str">
        <f ca="1" t="shared" si="12"/>
        <v/>
      </c>
      <c r="C98" s="209" t="str">
        <f>VLOOKUP(H98,名称!A:E,4,0)</f>
        <v>二代</v>
      </c>
      <c r="D98" s="210" t="s">
        <v>1489</v>
      </c>
      <c r="E98" s="210" t="s">
        <v>1621</v>
      </c>
      <c r="F98" s="211" t="s">
        <v>381</v>
      </c>
      <c r="G98" s="211" t="s">
        <v>382</v>
      </c>
      <c r="H98" s="211" t="s">
        <v>79</v>
      </c>
      <c r="I98" s="211"/>
      <c r="J98" s="212">
        <f>312-156</f>
        <v>156</v>
      </c>
      <c r="K98" s="211">
        <v>12</v>
      </c>
      <c r="L98" s="211">
        <f t="shared" si="9"/>
        <v>1872</v>
      </c>
      <c r="M98" s="211">
        <f>VLOOKUP(H98,名称!A:E,3,0)</f>
        <v>12</v>
      </c>
      <c r="N98" s="212">
        <f t="shared" si="13"/>
        <v>13</v>
      </c>
      <c r="O98" s="208">
        <v>46064</v>
      </c>
      <c r="P98" s="208">
        <v>46056</v>
      </c>
      <c r="Q98" s="208">
        <v>46056</v>
      </c>
      <c r="R98" s="211" t="s">
        <v>1241</v>
      </c>
      <c r="S98" s="208" t="s">
        <v>1133</v>
      </c>
      <c r="T98" s="208" t="s">
        <v>1133</v>
      </c>
      <c r="U98" s="211"/>
      <c r="V98" s="211"/>
      <c r="W98" s="208"/>
      <c r="X98" s="211" t="s">
        <v>1248</v>
      </c>
      <c r="Y98" s="211" t="s">
        <v>1228</v>
      </c>
      <c r="Z98" s="211" t="s">
        <v>1249</v>
      </c>
      <c r="AA98" s="214">
        <v>46026</v>
      </c>
      <c r="AB98" s="213">
        <v>46028</v>
      </c>
      <c r="AC98" s="211" t="s">
        <v>1302</v>
      </c>
      <c r="AD98" s="211" t="s">
        <v>1133</v>
      </c>
      <c r="AE98" s="211" t="s">
        <v>327</v>
      </c>
      <c r="AF98" s="211" t="s">
        <v>1228</v>
      </c>
      <c r="AG98" s="211" t="s">
        <v>327</v>
      </c>
      <c r="AH98" s="211" t="s">
        <v>1133</v>
      </c>
      <c r="AI98" s="211" t="s">
        <v>1228</v>
      </c>
      <c r="AJ98" s="211" t="s">
        <v>1133</v>
      </c>
      <c r="AK98" s="211" t="s">
        <v>1133</v>
      </c>
      <c r="AL98" s="211"/>
      <c r="AM98" s="211" t="s">
        <v>1619</v>
      </c>
      <c r="AN98" s="212" t="s">
        <v>1251</v>
      </c>
      <c r="AO98" s="215">
        <v>1.58</v>
      </c>
      <c r="AP98" s="216">
        <f t="shared" si="14"/>
        <v>246.48</v>
      </c>
      <c r="AQ98" s="216">
        <f t="shared" si="15"/>
        <v>1910.22</v>
      </c>
      <c r="AR98" s="217">
        <v>61062</v>
      </c>
      <c r="AS98" s="208">
        <v>46077</v>
      </c>
      <c r="AT98" s="208" t="s">
        <v>1220</v>
      </c>
      <c r="AU98" s="218"/>
      <c r="AV98" s="116"/>
      <c r="AW98" s="116"/>
      <c r="AX98" s="116"/>
      <c r="AY98" s="208"/>
      <c r="AZ98" s="208"/>
      <c r="BA98" s="208"/>
      <c r="BB98" s="208" t="str">
        <f t="shared" si="10"/>
        <v>Kidland</v>
      </c>
      <c r="BC98" s="208" t="str">
        <f t="shared" si="11"/>
        <v>中东</v>
      </c>
    </row>
    <row r="99" s="194" customFormat="1" customHeight="1" spans="1:55">
      <c r="A99" s="208">
        <v>46015</v>
      </c>
      <c r="B99" s="40" t="str">
        <f ca="1" t="shared" si="12"/>
        <v/>
      </c>
      <c r="C99" s="209" t="str">
        <f>VLOOKUP(H99,名称!A:E,4,0)</f>
        <v>二代</v>
      </c>
      <c r="D99" s="210" t="s">
        <v>1489</v>
      </c>
      <c r="E99" s="210" t="s">
        <v>1621</v>
      </c>
      <c r="F99" s="211" t="s">
        <v>381</v>
      </c>
      <c r="G99" s="211" t="s">
        <v>382</v>
      </c>
      <c r="H99" s="211" t="s">
        <v>43</v>
      </c>
      <c r="I99" s="211"/>
      <c r="J99" s="212">
        <v>1848</v>
      </c>
      <c r="K99" s="211">
        <v>5</v>
      </c>
      <c r="L99" s="211">
        <f t="shared" si="9"/>
        <v>9240</v>
      </c>
      <c r="M99" s="211">
        <f>VLOOKUP(H99,名称!A:E,3,0)</f>
        <v>24</v>
      </c>
      <c r="N99" s="212">
        <f t="shared" si="13"/>
        <v>77</v>
      </c>
      <c r="O99" s="208">
        <v>46064</v>
      </c>
      <c r="P99" s="208">
        <v>46056</v>
      </c>
      <c r="Q99" s="208">
        <v>46056</v>
      </c>
      <c r="R99" s="211" t="s">
        <v>1241</v>
      </c>
      <c r="S99" s="208" t="s">
        <v>1133</v>
      </c>
      <c r="T99" s="208" t="s">
        <v>1133</v>
      </c>
      <c r="U99" s="211"/>
      <c r="V99" s="211" t="s">
        <v>1623</v>
      </c>
      <c r="W99" s="208"/>
      <c r="X99" s="211" t="s">
        <v>1248</v>
      </c>
      <c r="Y99" s="211" t="s">
        <v>1228</v>
      </c>
      <c r="Z99" s="211" t="s">
        <v>1249</v>
      </c>
      <c r="AA99" s="214">
        <v>46026</v>
      </c>
      <c r="AB99" s="213">
        <v>46028</v>
      </c>
      <c r="AC99" s="211" t="s">
        <v>1133</v>
      </c>
      <c r="AD99" s="211" t="s">
        <v>1133</v>
      </c>
      <c r="AE99" s="211" t="s">
        <v>327</v>
      </c>
      <c r="AF99" s="211" t="s">
        <v>1228</v>
      </c>
      <c r="AG99" s="211" t="s">
        <v>327</v>
      </c>
      <c r="AH99" s="211" t="s">
        <v>1133</v>
      </c>
      <c r="AI99" s="211" t="s">
        <v>1228</v>
      </c>
      <c r="AJ99" s="211" t="s">
        <v>1133</v>
      </c>
      <c r="AK99" s="211" t="s">
        <v>327</v>
      </c>
      <c r="AL99" s="211"/>
      <c r="AM99" s="211" t="s">
        <v>1619</v>
      </c>
      <c r="AN99" s="212" t="s">
        <v>1251</v>
      </c>
      <c r="AO99" s="215">
        <v>0.63</v>
      </c>
      <c r="AP99" s="216">
        <f t="shared" si="14"/>
        <v>1164.24</v>
      </c>
      <c r="AQ99" s="216">
        <f t="shared" si="15"/>
        <v>9022.86</v>
      </c>
      <c r="AR99" s="217">
        <v>61062</v>
      </c>
      <c r="AS99" s="208">
        <v>46077</v>
      </c>
      <c r="AT99" s="208" t="s">
        <v>1220</v>
      </c>
      <c r="AU99" s="218"/>
      <c r="AV99" s="116"/>
      <c r="AW99" s="116"/>
      <c r="AX99" s="116"/>
      <c r="AY99" s="208"/>
      <c r="AZ99" s="208"/>
      <c r="BA99" s="208"/>
      <c r="BB99" s="208" t="str">
        <f t="shared" si="10"/>
        <v>Kidland</v>
      </c>
      <c r="BC99" s="208" t="str">
        <f t="shared" si="11"/>
        <v>中东</v>
      </c>
    </row>
    <row r="100" s="194" customFormat="1" customHeight="1" spans="1:55">
      <c r="A100" s="208">
        <v>46009</v>
      </c>
      <c r="B100" s="40" t="str">
        <f ca="1" t="shared" si="12"/>
        <v/>
      </c>
      <c r="C100" s="209" t="str">
        <f>VLOOKUP(H100,名称!A:E,4,0)</f>
        <v>二代</v>
      </c>
      <c r="D100" s="210" t="s">
        <v>1489</v>
      </c>
      <c r="E100" s="211" t="s">
        <v>1621</v>
      </c>
      <c r="F100" s="211" t="s">
        <v>352</v>
      </c>
      <c r="G100" s="211" t="s">
        <v>353</v>
      </c>
      <c r="H100" s="211" t="s">
        <v>40</v>
      </c>
      <c r="I100" s="211"/>
      <c r="J100" s="212">
        <v>2400</v>
      </c>
      <c r="K100" s="211">
        <v>7</v>
      </c>
      <c r="L100" s="211">
        <f t="shared" si="9"/>
        <v>16800</v>
      </c>
      <c r="M100" s="211">
        <f>VLOOKUP(H100,名称!A:E,3,0)</f>
        <v>12</v>
      </c>
      <c r="N100" s="212">
        <f t="shared" si="13"/>
        <v>200</v>
      </c>
      <c r="O100" s="208">
        <v>46052</v>
      </c>
      <c r="P100" s="208">
        <v>46052</v>
      </c>
      <c r="Q100" s="208">
        <v>46052</v>
      </c>
      <c r="R100" s="211" t="s">
        <v>1241</v>
      </c>
      <c r="S100" s="208" t="s">
        <v>1133</v>
      </c>
      <c r="T100" s="208" t="s">
        <v>1133</v>
      </c>
      <c r="U100" s="211"/>
      <c r="V100" s="211"/>
      <c r="W100" s="208"/>
      <c r="X100" s="211" t="s">
        <v>1248</v>
      </c>
      <c r="Y100" s="211" t="s">
        <v>1228</v>
      </c>
      <c r="Z100" s="211" t="s">
        <v>1249</v>
      </c>
      <c r="AA100" s="214">
        <v>46015</v>
      </c>
      <c r="AB100" s="213">
        <v>46028</v>
      </c>
      <c r="AC100" s="211" t="s">
        <v>1560</v>
      </c>
      <c r="AD100" s="211" t="s">
        <v>1228</v>
      </c>
      <c r="AE100" s="211" t="s">
        <v>327</v>
      </c>
      <c r="AF100" s="211" t="s">
        <v>1228</v>
      </c>
      <c r="AG100" s="211" t="s">
        <v>327</v>
      </c>
      <c r="AH100" s="211" t="s">
        <v>1562</v>
      </c>
      <c r="AI100" s="211" t="s">
        <v>1228</v>
      </c>
      <c r="AJ100" s="211" t="s">
        <v>1133</v>
      </c>
      <c r="AK100" s="211" t="s">
        <v>1133</v>
      </c>
      <c r="AL100" s="211"/>
      <c r="AM100" s="211" t="s">
        <v>1616</v>
      </c>
      <c r="AN100" s="212" t="s">
        <v>1251</v>
      </c>
      <c r="AO100" s="215">
        <v>0.78</v>
      </c>
      <c r="AP100" s="216">
        <f t="shared" si="14"/>
        <v>1872</v>
      </c>
      <c r="AQ100" s="216">
        <f t="shared" si="15"/>
        <v>14508</v>
      </c>
      <c r="AR100" s="217">
        <v>61063</v>
      </c>
      <c r="AS100" s="208">
        <v>46077</v>
      </c>
      <c r="AT100" s="208" t="s">
        <v>1220</v>
      </c>
      <c r="AU100" s="218"/>
      <c r="AV100" s="116"/>
      <c r="AW100" s="116"/>
      <c r="AX100" s="116"/>
      <c r="AY100" s="208"/>
      <c r="AZ100" s="208"/>
      <c r="BA100" s="208"/>
      <c r="BB100" s="208" t="str">
        <f t="shared" si="10"/>
        <v>Kidland</v>
      </c>
      <c r="BC100" s="208" t="str">
        <f t="shared" si="11"/>
        <v>中东</v>
      </c>
    </row>
    <row r="101" s="194" customFormat="1" customHeight="1" spans="1:55">
      <c r="A101" s="208">
        <v>46009</v>
      </c>
      <c r="B101" s="40" t="str">
        <f ca="1" t="shared" si="12"/>
        <v/>
      </c>
      <c r="C101" s="209" t="str">
        <f>VLOOKUP(H101,名称!A:E,4,0)</f>
        <v>二代</v>
      </c>
      <c r="D101" s="210" t="s">
        <v>1489</v>
      </c>
      <c r="E101" s="211" t="s">
        <v>1621</v>
      </c>
      <c r="F101" s="211" t="s">
        <v>352</v>
      </c>
      <c r="G101" s="211" t="s">
        <v>353</v>
      </c>
      <c r="H101" s="211" t="s">
        <v>44</v>
      </c>
      <c r="I101" s="211"/>
      <c r="J101" s="212">
        <v>1920</v>
      </c>
      <c r="K101" s="211">
        <v>5</v>
      </c>
      <c r="L101" s="211">
        <f t="shared" si="9"/>
        <v>9600</v>
      </c>
      <c r="M101" s="211">
        <f>VLOOKUP(H101,名称!A:E,3,0)</f>
        <v>24</v>
      </c>
      <c r="N101" s="212">
        <f t="shared" si="13"/>
        <v>80</v>
      </c>
      <c r="O101" s="208">
        <v>46052</v>
      </c>
      <c r="P101" s="208">
        <v>46052</v>
      </c>
      <c r="Q101" s="208">
        <v>46052</v>
      </c>
      <c r="R101" s="211" t="s">
        <v>1241</v>
      </c>
      <c r="S101" s="208" t="s">
        <v>1133</v>
      </c>
      <c r="T101" s="208" t="s">
        <v>1133</v>
      </c>
      <c r="U101" s="211"/>
      <c r="V101" s="211"/>
      <c r="W101" s="208"/>
      <c r="X101" s="211" t="s">
        <v>1248</v>
      </c>
      <c r="Y101" s="211" t="s">
        <v>1228</v>
      </c>
      <c r="Z101" s="211" t="s">
        <v>1249</v>
      </c>
      <c r="AA101" s="214">
        <v>46015</v>
      </c>
      <c r="AB101" s="213">
        <v>46028</v>
      </c>
      <c r="AC101" s="211" t="s">
        <v>1133</v>
      </c>
      <c r="AD101" s="211" t="s">
        <v>1228</v>
      </c>
      <c r="AE101" s="211" t="s">
        <v>327</v>
      </c>
      <c r="AF101" s="211" t="s">
        <v>1228</v>
      </c>
      <c r="AG101" s="211" t="s">
        <v>327</v>
      </c>
      <c r="AH101" s="211" t="s">
        <v>1133</v>
      </c>
      <c r="AI101" s="211" t="s">
        <v>1133</v>
      </c>
      <c r="AJ101" s="211" t="s">
        <v>1133</v>
      </c>
      <c r="AK101" s="211" t="s">
        <v>327</v>
      </c>
      <c r="AL101" s="211"/>
      <c r="AM101" s="211" t="s">
        <v>1616</v>
      </c>
      <c r="AN101" s="212" t="s">
        <v>1251</v>
      </c>
      <c r="AO101" s="215">
        <v>0.61</v>
      </c>
      <c r="AP101" s="216">
        <f t="shared" si="14"/>
        <v>1171.2</v>
      </c>
      <c r="AQ101" s="216">
        <f t="shared" si="15"/>
        <v>9076.8</v>
      </c>
      <c r="AR101" s="217">
        <v>61063</v>
      </c>
      <c r="AS101" s="208">
        <v>46077</v>
      </c>
      <c r="AT101" s="208" t="s">
        <v>1220</v>
      </c>
      <c r="AU101" s="218"/>
      <c r="AV101" s="116"/>
      <c r="AW101" s="116"/>
      <c r="AX101" s="116"/>
      <c r="AY101" s="208"/>
      <c r="AZ101" s="208"/>
      <c r="BA101" s="208"/>
      <c r="BB101" s="208" t="str">
        <f t="shared" si="10"/>
        <v>Kidland</v>
      </c>
      <c r="BC101" s="208" t="str">
        <f t="shared" si="11"/>
        <v>中东</v>
      </c>
    </row>
    <row r="102" s="194" customFormat="1" customHeight="1" spans="1:55">
      <c r="A102" s="208">
        <v>46009</v>
      </c>
      <c r="B102" s="40" t="str">
        <f ca="1" t="shared" si="12"/>
        <v/>
      </c>
      <c r="C102" s="209" t="str">
        <f>VLOOKUP(H102,名称!A:E,4,0)</f>
        <v>二代</v>
      </c>
      <c r="D102" s="210" t="s">
        <v>1489</v>
      </c>
      <c r="E102" s="211" t="s">
        <v>1621</v>
      </c>
      <c r="F102" s="211" t="s">
        <v>352</v>
      </c>
      <c r="G102" s="211" t="s">
        <v>353</v>
      </c>
      <c r="H102" s="211" t="s">
        <v>37</v>
      </c>
      <c r="I102" s="211"/>
      <c r="J102" s="212">
        <v>1440</v>
      </c>
      <c r="K102" s="211">
        <v>7</v>
      </c>
      <c r="L102" s="211">
        <f t="shared" si="9"/>
        <v>10080</v>
      </c>
      <c r="M102" s="211">
        <f>VLOOKUP(H102,名称!A:E,3,0)</f>
        <v>6</v>
      </c>
      <c r="N102" s="212">
        <f t="shared" si="13"/>
        <v>240</v>
      </c>
      <c r="O102" s="208">
        <v>46052</v>
      </c>
      <c r="P102" s="208">
        <v>46052</v>
      </c>
      <c r="Q102" s="208">
        <v>46052</v>
      </c>
      <c r="R102" s="211" t="s">
        <v>1241</v>
      </c>
      <c r="S102" s="208" t="s">
        <v>1133</v>
      </c>
      <c r="T102" s="208" t="s">
        <v>1133</v>
      </c>
      <c r="U102" s="211"/>
      <c r="V102" s="211"/>
      <c r="W102" s="208"/>
      <c r="X102" s="211" t="s">
        <v>1248</v>
      </c>
      <c r="Y102" s="211" t="s">
        <v>1228</v>
      </c>
      <c r="Z102" s="211" t="s">
        <v>1249</v>
      </c>
      <c r="AA102" s="214">
        <v>46015</v>
      </c>
      <c r="AB102" s="213">
        <v>46028</v>
      </c>
      <c r="AC102" s="211" t="s">
        <v>1244</v>
      </c>
      <c r="AD102" s="211" t="s">
        <v>1228</v>
      </c>
      <c r="AE102" s="211" t="s">
        <v>327</v>
      </c>
      <c r="AF102" s="211" t="s">
        <v>1228</v>
      </c>
      <c r="AG102" s="211" t="s">
        <v>327</v>
      </c>
      <c r="AH102" s="211" t="s">
        <v>1562</v>
      </c>
      <c r="AI102" s="211" t="s">
        <v>1228</v>
      </c>
      <c r="AJ102" s="211" t="s">
        <v>1572</v>
      </c>
      <c r="AK102" s="211" t="s">
        <v>1133</v>
      </c>
      <c r="AL102" s="211"/>
      <c r="AM102" s="211" t="s">
        <v>1616</v>
      </c>
      <c r="AN102" s="212" t="s">
        <v>1251</v>
      </c>
      <c r="AO102" s="215">
        <v>2.02</v>
      </c>
      <c r="AP102" s="216">
        <f t="shared" si="14"/>
        <v>2908.8</v>
      </c>
      <c r="AQ102" s="216">
        <f t="shared" si="15"/>
        <v>22543.2</v>
      </c>
      <c r="AR102" s="217">
        <v>61063</v>
      </c>
      <c r="AS102" s="208">
        <v>46077</v>
      </c>
      <c r="AT102" s="208" t="s">
        <v>1220</v>
      </c>
      <c r="AU102" s="218"/>
      <c r="AV102" s="116"/>
      <c r="AW102" s="116"/>
      <c r="AX102" s="116"/>
      <c r="AY102" s="208"/>
      <c r="AZ102" s="208"/>
      <c r="BA102" s="208"/>
      <c r="BB102" s="208" t="str">
        <f t="shared" si="10"/>
        <v>Kidland</v>
      </c>
      <c r="BC102" s="208" t="str">
        <f t="shared" si="11"/>
        <v>中东</v>
      </c>
    </row>
    <row r="103" s="194" customFormat="1" customHeight="1" spans="1:55">
      <c r="A103" s="208">
        <v>46009</v>
      </c>
      <c r="B103" s="40" t="str">
        <f ca="1" t="shared" si="12"/>
        <v/>
      </c>
      <c r="C103" s="209" t="str">
        <f>VLOOKUP(H103,名称!A:E,4,0)</f>
        <v>二代</v>
      </c>
      <c r="D103" s="210" t="s">
        <v>1489</v>
      </c>
      <c r="E103" s="211" t="s">
        <v>1621</v>
      </c>
      <c r="F103" s="211" t="s">
        <v>352</v>
      </c>
      <c r="G103" s="211" t="s">
        <v>353</v>
      </c>
      <c r="H103" s="211" t="s">
        <v>38</v>
      </c>
      <c r="I103" s="211"/>
      <c r="J103" s="212">
        <v>1008</v>
      </c>
      <c r="K103" s="211">
        <v>32</v>
      </c>
      <c r="L103" s="211">
        <f t="shared" si="9"/>
        <v>32256</v>
      </c>
      <c r="M103" s="211">
        <f>VLOOKUP(H103,名称!A:E,3,0)</f>
        <v>4</v>
      </c>
      <c r="N103" s="212">
        <f t="shared" si="13"/>
        <v>252</v>
      </c>
      <c r="O103" s="208">
        <v>46052</v>
      </c>
      <c r="P103" s="208">
        <v>46052</v>
      </c>
      <c r="Q103" s="208">
        <v>46052</v>
      </c>
      <c r="R103" s="211" t="s">
        <v>1241</v>
      </c>
      <c r="S103" s="208" t="s">
        <v>1133</v>
      </c>
      <c r="T103" s="208" t="s">
        <v>1133</v>
      </c>
      <c r="U103" s="211"/>
      <c r="V103" s="211"/>
      <c r="W103" s="208"/>
      <c r="X103" s="211" t="s">
        <v>1248</v>
      </c>
      <c r="Y103" s="211" t="s">
        <v>1228</v>
      </c>
      <c r="Z103" s="211" t="s">
        <v>1249</v>
      </c>
      <c r="AA103" s="214">
        <v>46015</v>
      </c>
      <c r="AB103" s="213">
        <v>46028</v>
      </c>
      <c r="AC103" s="211" t="s">
        <v>1133</v>
      </c>
      <c r="AD103" s="211" t="s">
        <v>1228</v>
      </c>
      <c r="AE103" s="211" t="s">
        <v>327</v>
      </c>
      <c r="AF103" s="211" t="s">
        <v>1228</v>
      </c>
      <c r="AG103" s="211" t="s">
        <v>327</v>
      </c>
      <c r="AH103" s="211" t="s">
        <v>1562</v>
      </c>
      <c r="AI103" s="211" t="s">
        <v>1228</v>
      </c>
      <c r="AJ103" s="211" t="s">
        <v>1133</v>
      </c>
      <c r="AK103" s="211" t="s">
        <v>1133</v>
      </c>
      <c r="AL103" s="211"/>
      <c r="AM103" s="211" t="s">
        <v>1616</v>
      </c>
      <c r="AN103" s="212" t="s">
        <v>1251</v>
      </c>
      <c r="AO103" s="215">
        <v>3.09</v>
      </c>
      <c r="AP103" s="216">
        <f t="shared" si="14"/>
        <v>3114.72</v>
      </c>
      <c r="AQ103" s="216">
        <f t="shared" si="15"/>
        <v>24139.08</v>
      </c>
      <c r="AR103" s="217">
        <v>61063</v>
      </c>
      <c r="AS103" s="208">
        <v>46077</v>
      </c>
      <c r="AT103" s="208" t="s">
        <v>1220</v>
      </c>
      <c r="AU103" s="218"/>
      <c r="AV103" s="116"/>
      <c r="AW103" s="116"/>
      <c r="AX103" s="116"/>
      <c r="AY103" s="208"/>
      <c r="AZ103" s="208"/>
      <c r="BA103" s="208"/>
      <c r="BB103" s="208" t="str">
        <f t="shared" si="10"/>
        <v>Kidland</v>
      </c>
      <c r="BC103" s="208" t="str">
        <f t="shared" si="11"/>
        <v>中东</v>
      </c>
    </row>
    <row r="104" s="194" customFormat="1" customHeight="1" spans="1:55">
      <c r="A104" s="208">
        <v>46009</v>
      </c>
      <c r="B104" s="40" t="str">
        <f ca="1" t="shared" si="12"/>
        <v/>
      </c>
      <c r="C104" s="209" t="str">
        <f>VLOOKUP(H104,名称!A:E,4,0)</f>
        <v>二代</v>
      </c>
      <c r="D104" s="210" t="s">
        <v>1489</v>
      </c>
      <c r="E104" s="211" t="s">
        <v>1621</v>
      </c>
      <c r="F104" s="211" t="s">
        <v>352</v>
      </c>
      <c r="G104" s="211" t="s">
        <v>353</v>
      </c>
      <c r="H104" s="211" t="s">
        <v>65</v>
      </c>
      <c r="I104" s="211"/>
      <c r="J104" s="212">
        <v>2016</v>
      </c>
      <c r="K104" s="211">
        <v>5</v>
      </c>
      <c r="L104" s="211">
        <f t="shared" si="9"/>
        <v>10080</v>
      </c>
      <c r="M104" s="211">
        <f>VLOOKUP(H104,名称!A:E,3,0)</f>
        <v>24</v>
      </c>
      <c r="N104" s="212">
        <f t="shared" si="13"/>
        <v>84</v>
      </c>
      <c r="O104" s="208">
        <v>46052</v>
      </c>
      <c r="P104" s="208">
        <v>46052</v>
      </c>
      <c r="Q104" s="208">
        <v>46052</v>
      </c>
      <c r="R104" s="211" t="s">
        <v>1241</v>
      </c>
      <c r="S104" s="208" t="s">
        <v>1133</v>
      </c>
      <c r="T104" s="208" t="s">
        <v>1133</v>
      </c>
      <c r="U104" s="211"/>
      <c r="V104" s="211"/>
      <c r="W104" s="208"/>
      <c r="X104" s="211" t="s">
        <v>1248</v>
      </c>
      <c r="Y104" s="211" t="s">
        <v>1228</v>
      </c>
      <c r="Z104" s="211" t="s">
        <v>1249</v>
      </c>
      <c r="AA104" s="214">
        <v>46015</v>
      </c>
      <c r="AB104" s="213">
        <v>46028</v>
      </c>
      <c r="AC104" s="211" t="s">
        <v>1133</v>
      </c>
      <c r="AD104" s="211" t="s">
        <v>1228</v>
      </c>
      <c r="AE104" s="211" t="s">
        <v>327</v>
      </c>
      <c r="AF104" s="211" t="s">
        <v>1228</v>
      </c>
      <c r="AG104" s="211" t="s">
        <v>327</v>
      </c>
      <c r="AH104" s="211" t="s">
        <v>1133</v>
      </c>
      <c r="AI104" s="211" t="s">
        <v>1133</v>
      </c>
      <c r="AJ104" s="211" t="s">
        <v>1133</v>
      </c>
      <c r="AK104" s="211" t="s">
        <v>327</v>
      </c>
      <c r="AL104" s="211"/>
      <c r="AM104" s="211" t="s">
        <v>1616</v>
      </c>
      <c r="AN104" s="212" t="s">
        <v>1251</v>
      </c>
      <c r="AO104" s="215">
        <v>0.61</v>
      </c>
      <c r="AP104" s="216">
        <f t="shared" si="14"/>
        <v>1229.76</v>
      </c>
      <c r="AQ104" s="216">
        <f t="shared" si="15"/>
        <v>9530.64</v>
      </c>
      <c r="AR104" s="217">
        <v>61063</v>
      </c>
      <c r="AS104" s="208">
        <v>46077</v>
      </c>
      <c r="AT104" s="208" t="s">
        <v>1220</v>
      </c>
      <c r="AU104" s="218"/>
      <c r="AV104" s="116"/>
      <c r="AW104" s="116"/>
      <c r="AX104" s="116"/>
      <c r="AY104" s="208"/>
      <c r="AZ104" s="208"/>
      <c r="BA104" s="208"/>
      <c r="BB104" s="208" t="str">
        <f t="shared" si="10"/>
        <v>Kidland</v>
      </c>
      <c r="BC104" s="208" t="str">
        <f t="shared" si="11"/>
        <v>中东</v>
      </c>
    </row>
    <row r="105" s="194" customFormat="1" customHeight="1" spans="1:55">
      <c r="A105" s="208">
        <v>46009</v>
      </c>
      <c r="B105" s="40" t="str">
        <f ca="1" t="shared" si="12"/>
        <v/>
      </c>
      <c r="C105" s="209" t="str">
        <f>VLOOKUP(H105,名称!A:E,4,0)</f>
        <v>二代</v>
      </c>
      <c r="D105" s="210" t="s">
        <v>1489</v>
      </c>
      <c r="E105" s="211" t="s">
        <v>1621</v>
      </c>
      <c r="F105" s="211" t="s">
        <v>352</v>
      </c>
      <c r="G105" s="211" t="s">
        <v>353</v>
      </c>
      <c r="H105" s="211" t="s">
        <v>64</v>
      </c>
      <c r="I105" s="211"/>
      <c r="J105" s="212">
        <v>2400</v>
      </c>
      <c r="K105" s="211">
        <v>5</v>
      </c>
      <c r="L105" s="211">
        <f t="shared" si="9"/>
        <v>12000</v>
      </c>
      <c r="M105" s="211">
        <f>VLOOKUP(H105,名称!A:E,3,0)</f>
        <v>24</v>
      </c>
      <c r="N105" s="212">
        <f t="shared" si="13"/>
        <v>100</v>
      </c>
      <c r="O105" s="208">
        <v>46052</v>
      </c>
      <c r="P105" s="208">
        <v>46052</v>
      </c>
      <c r="Q105" s="208">
        <v>46052</v>
      </c>
      <c r="R105" s="211" t="s">
        <v>1241</v>
      </c>
      <c r="S105" s="208" t="s">
        <v>1133</v>
      </c>
      <c r="T105" s="208" t="s">
        <v>1133</v>
      </c>
      <c r="U105" s="211"/>
      <c r="V105" s="211"/>
      <c r="W105" s="208"/>
      <c r="X105" s="211" t="s">
        <v>1248</v>
      </c>
      <c r="Y105" s="211" t="s">
        <v>1228</v>
      </c>
      <c r="Z105" s="211" t="s">
        <v>1249</v>
      </c>
      <c r="AA105" s="214">
        <v>46015</v>
      </c>
      <c r="AB105" s="213">
        <v>46028</v>
      </c>
      <c r="AC105" s="211" t="s">
        <v>1133</v>
      </c>
      <c r="AD105" s="211" t="s">
        <v>1228</v>
      </c>
      <c r="AE105" s="211" t="s">
        <v>327</v>
      </c>
      <c r="AF105" s="211" t="s">
        <v>1228</v>
      </c>
      <c r="AG105" s="211" t="s">
        <v>327</v>
      </c>
      <c r="AH105" s="211" t="s">
        <v>1133</v>
      </c>
      <c r="AI105" s="211" t="s">
        <v>1133</v>
      </c>
      <c r="AJ105" s="211" t="s">
        <v>1133</v>
      </c>
      <c r="AK105" s="211" t="s">
        <v>327</v>
      </c>
      <c r="AL105" s="211"/>
      <c r="AM105" s="211" t="s">
        <v>1616</v>
      </c>
      <c r="AN105" s="212" t="s">
        <v>1251</v>
      </c>
      <c r="AO105" s="215">
        <v>0.61</v>
      </c>
      <c r="AP105" s="216">
        <f t="shared" si="14"/>
        <v>1464</v>
      </c>
      <c r="AQ105" s="216">
        <f t="shared" si="15"/>
        <v>11346</v>
      </c>
      <c r="AR105" s="217">
        <v>61063</v>
      </c>
      <c r="AS105" s="208">
        <v>46077</v>
      </c>
      <c r="AT105" s="208" t="s">
        <v>1220</v>
      </c>
      <c r="AU105" s="218"/>
      <c r="AV105" s="116"/>
      <c r="AW105" s="116"/>
      <c r="AX105" s="116"/>
      <c r="AY105" s="208"/>
      <c r="AZ105" s="208"/>
      <c r="BA105" s="208"/>
      <c r="BB105" s="208" t="str">
        <f t="shared" si="10"/>
        <v>Kidland</v>
      </c>
      <c r="BC105" s="208" t="str">
        <f t="shared" si="11"/>
        <v>中东</v>
      </c>
    </row>
    <row r="106" s="194" customFormat="1" customHeight="1" spans="1:55">
      <c r="A106" s="208">
        <v>46009</v>
      </c>
      <c r="B106" s="40" t="str">
        <f ca="1" t="shared" si="12"/>
        <v/>
      </c>
      <c r="C106" s="209" t="str">
        <f>VLOOKUP(H106,名称!A:E,4,0)</f>
        <v>二代</v>
      </c>
      <c r="D106" s="210" t="s">
        <v>1489</v>
      </c>
      <c r="E106" s="211" t="s">
        <v>1621</v>
      </c>
      <c r="F106" s="211" t="s">
        <v>352</v>
      </c>
      <c r="G106" s="211" t="s">
        <v>353</v>
      </c>
      <c r="H106" s="211" t="s">
        <v>62</v>
      </c>
      <c r="I106" s="211"/>
      <c r="J106" s="212">
        <v>2400</v>
      </c>
      <c r="K106" s="211">
        <v>5</v>
      </c>
      <c r="L106" s="211">
        <f t="shared" si="9"/>
        <v>12000</v>
      </c>
      <c r="M106" s="211">
        <f>VLOOKUP(H106,名称!A:E,3,0)</f>
        <v>24</v>
      </c>
      <c r="N106" s="212">
        <f t="shared" si="13"/>
        <v>100</v>
      </c>
      <c r="O106" s="208">
        <v>46052</v>
      </c>
      <c r="P106" s="208">
        <v>46052</v>
      </c>
      <c r="Q106" s="208">
        <v>46052</v>
      </c>
      <c r="R106" s="211" t="s">
        <v>1241</v>
      </c>
      <c r="S106" s="208" t="s">
        <v>1133</v>
      </c>
      <c r="T106" s="208" t="s">
        <v>1133</v>
      </c>
      <c r="U106" s="211"/>
      <c r="V106" s="211"/>
      <c r="W106" s="208"/>
      <c r="X106" s="211" t="s">
        <v>1248</v>
      </c>
      <c r="Y106" s="211" t="s">
        <v>1228</v>
      </c>
      <c r="Z106" s="211" t="s">
        <v>1249</v>
      </c>
      <c r="AA106" s="214">
        <v>46015</v>
      </c>
      <c r="AB106" s="213">
        <v>46028</v>
      </c>
      <c r="AC106" s="211" t="s">
        <v>1133</v>
      </c>
      <c r="AD106" s="211" t="s">
        <v>1228</v>
      </c>
      <c r="AE106" s="211" t="s">
        <v>327</v>
      </c>
      <c r="AF106" s="211" t="s">
        <v>1228</v>
      </c>
      <c r="AG106" s="211" t="s">
        <v>327</v>
      </c>
      <c r="AH106" s="211" t="s">
        <v>1133</v>
      </c>
      <c r="AI106" s="211" t="s">
        <v>1133</v>
      </c>
      <c r="AJ106" s="211" t="s">
        <v>1133</v>
      </c>
      <c r="AK106" s="211" t="s">
        <v>327</v>
      </c>
      <c r="AL106" s="211"/>
      <c r="AM106" s="211" t="s">
        <v>1616</v>
      </c>
      <c r="AN106" s="212" t="s">
        <v>1251</v>
      </c>
      <c r="AO106" s="215">
        <v>0.61</v>
      </c>
      <c r="AP106" s="216">
        <f t="shared" si="14"/>
        <v>1464</v>
      </c>
      <c r="AQ106" s="216">
        <f t="shared" si="15"/>
        <v>11346</v>
      </c>
      <c r="AR106" s="217">
        <v>61063</v>
      </c>
      <c r="AS106" s="208">
        <v>46077</v>
      </c>
      <c r="AT106" s="208" t="s">
        <v>1220</v>
      </c>
      <c r="AU106" s="218"/>
      <c r="AV106" s="116"/>
      <c r="AW106" s="116"/>
      <c r="AX106" s="116"/>
      <c r="AY106" s="208"/>
      <c r="AZ106" s="208"/>
      <c r="BA106" s="208"/>
      <c r="BB106" s="208" t="str">
        <f t="shared" si="10"/>
        <v>Kidland</v>
      </c>
      <c r="BC106" s="208" t="str">
        <f t="shared" si="11"/>
        <v>中东</v>
      </c>
    </row>
    <row r="107" s="194" customFormat="1" customHeight="1" spans="1:55">
      <c r="A107" s="208">
        <v>46009</v>
      </c>
      <c r="B107" s="40" t="str">
        <f ca="1" t="shared" si="12"/>
        <v/>
      </c>
      <c r="C107" s="209" t="str">
        <f>VLOOKUP(H107,名称!A:E,4,0)</f>
        <v>二代</v>
      </c>
      <c r="D107" s="210" t="s">
        <v>1489</v>
      </c>
      <c r="E107" s="211" t="s">
        <v>1621</v>
      </c>
      <c r="F107" s="211" t="s">
        <v>352</v>
      </c>
      <c r="G107" s="211" t="s">
        <v>353</v>
      </c>
      <c r="H107" s="211" t="s">
        <v>79</v>
      </c>
      <c r="I107" s="211"/>
      <c r="J107" s="212">
        <v>3000</v>
      </c>
      <c r="K107" s="211">
        <v>12</v>
      </c>
      <c r="L107" s="211">
        <f t="shared" si="9"/>
        <v>36000</v>
      </c>
      <c r="M107" s="211">
        <f>VLOOKUP(H107,名称!A:E,3,0)</f>
        <v>12</v>
      </c>
      <c r="N107" s="212">
        <f t="shared" si="13"/>
        <v>250</v>
      </c>
      <c r="O107" s="208">
        <v>46052</v>
      </c>
      <c r="P107" s="208">
        <v>46052</v>
      </c>
      <c r="Q107" s="208">
        <v>46056</v>
      </c>
      <c r="R107" s="211" t="s">
        <v>1241</v>
      </c>
      <c r="S107" s="208" t="s">
        <v>1133</v>
      </c>
      <c r="T107" s="208" t="s">
        <v>1133</v>
      </c>
      <c r="U107" s="211"/>
      <c r="V107" s="211"/>
      <c r="W107" s="208"/>
      <c r="X107" s="211" t="s">
        <v>1248</v>
      </c>
      <c r="Y107" s="211" t="s">
        <v>1228</v>
      </c>
      <c r="Z107" s="211" t="s">
        <v>1249</v>
      </c>
      <c r="AA107" s="214">
        <v>46015</v>
      </c>
      <c r="AB107" s="213">
        <v>46028</v>
      </c>
      <c r="AC107" s="211" t="s">
        <v>1302</v>
      </c>
      <c r="AD107" s="211" t="s">
        <v>1228</v>
      </c>
      <c r="AE107" s="211" t="s">
        <v>327</v>
      </c>
      <c r="AF107" s="211" t="s">
        <v>1228</v>
      </c>
      <c r="AG107" s="211" t="s">
        <v>327</v>
      </c>
      <c r="AH107" s="211" t="s">
        <v>1133</v>
      </c>
      <c r="AI107" s="211" t="s">
        <v>1133</v>
      </c>
      <c r="AJ107" s="211" t="s">
        <v>1133</v>
      </c>
      <c r="AK107" s="211" t="s">
        <v>1133</v>
      </c>
      <c r="AL107" s="211"/>
      <c r="AM107" s="211" t="s">
        <v>1616</v>
      </c>
      <c r="AN107" s="212" t="s">
        <v>1251</v>
      </c>
      <c r="AO107" s="215">
        <v>1.56</v>
      </c>
      <c r="AP107" s="216">
        <f t="shared" si="14"/>
        <v>4680</v>
      </c>
      <c r="AQ107" s="216">
        <f t="shared" si="15"/>
        <v>36270</v>
      </c>
      <c r="AR107" s="217">
        <v>61063</v>
      </c>
      <c r="AS107" s="208">
        <v>46077</v>
      </c>
      <c r="AT107" s="208" t="s">
        <v>1220</v>
      </c>
      <c r="AU107" s="218"/>
      <c r="AV107" s="116"/>
      <c r="AW107" s="116"/>
      <c r="AX107" s="116"/>
      <c r="AY107" s="208"/>
      <c r="AZ107" s="208"/>
      <c r="BA107" s="208"/>
      <c r="BB107" s="208" t="str">
        <f t="shared" si="10"/>
        <v>Kidland</v>
      </c>
      <c r="BC107" s="208" t="str">
        <f t="shared" si="11"/>
        <v>中东</v>
      </c>
    </row>
    <row r="108" s="194" customFormat="1" customHeight="1" spans="1:55">
      <c r="A108" s="208">
        <v>46009</v>
      </c>
      <c r="B108" s="40" t="str">
        <f ca="1" t="shared" si="12"/>
        <v/>
      </c>
      <c r="C108" s="209" t="str">
        <f>VLOOKUP(H108,名称!A:E,4,0)</f>
        <v>二代</v>
      </c>
      <c r="D108" s="210" t="s">
        <v>1489</v>
      </c>
      <c r="E108" s="211" t="s">
        <v>1621</v>
      </c>
      <c r="F108" s="211" t="s">
        <v>352</v>
      </c>
      <c r="G108" s="211" t="s">
        <v>353</v>
      </c>
      <c r="H108" s="211" t="s">
        <v>74</v>
      </c>
      <c r="I108" s="211"/>
      <c r="J108" s="212">
        <v>2400</v>
      </c>
      <c r="K108" s="211">
        <v>12</v>
      </c>
      <c r="L108" s="211">
        <f t="shared" si="9"/>
        <v>28800</v>
      </c>
      <c r="M108" s="211">
        <f>VLOOKUP(H108,名称!A:E,3,0)</f>
        <v>12</v>
      </c>
      <c r="N108" s="212">
        <f t="shared" si="13"/>
        <v>200</v>
      </c>
      <c r="O108" s="208">
        <v>46052</v>
      </c>
      <c r="P108" s="208">
        <v>46052</v>
      </c>
      <c r="Q108" s="208">
        <v>46052</v>
      </c>
      <c r="R108" s="211" t="s">
        <v>1241</v>
      </c>
      <c r="S108" s="208" t="s">
        <v>1133</v>
      </c>
      <c r="T108" s="208" t="s">
        <v>1133</v>
      </c>
      <c r="U108" s="211"/>
      <c r="V108" s="211"/>
      <c r="W108" s="208"/>
      <c r="X108" s="211" t="s">
        <v>1248</v>
      </c>
      <c r="Y108" s="211" t="s">
        <v>1228</v>
      </c>
      <c r="Z108" s="211" t="s">
        <v>1249</v>
      </c>
      <c r="AA108" s="214">
        <v>46015</v>
      </c>
      <c r="AB108" s="213">
        <v>46028</v>
      </c>
      <c r="AC108" s="211" t="s">
        <v>1302</v>
      </c>
      <c r="AD108" s="211" t="s">
        <v>1228</v>
      </c>
      <c r="AE108" s="211" t="s">
        <v>327</v>
      </c>
      <c r="AF108" s="211" t="s">
        <v>1228</v>
      </c>
      <c r="AG108" s="211" t="s">
        <v>327</v>
      </c>
      <c r="AH108" s="211" t="s">
        <v>1562</v>
      </c>
      <c r="AI108" s="211" t="s">
        <v>1228</v>
      </c>
      <c r="AJ108" s="211" t="s">
        <v>1133</v>
      </c>
      <c r="AK108" s="211" t="s">
        <v>1133</v>
      </c>
      <c r="AL108" s="211"/>
      <c r="AM108" s="211" t="s">
        <v>1616</v>
      </c>
      <c r="AN108" s="212" t="s">
        <v>1251</v>
      </c>
      <c r="AO108" s="215">
        <v>1.58</v>
      </c>
      <c r="AP108" s="216">
        <f t="shared" si="14"/>
        <v>3792</v>
      </c>
      <c r="AQ108" s="216">
        <f t="shared" si="15"/>
        <v>29388</v>
      </c>
      <c r="AR108" s="217">
        <v>61063</v>
      </c>
      <c r="AS108" s="208">
        <v>46077</v>
      </c>
      <c r="AT108" s="208" t="s">
        <v>1220</v>
      </c>
      <c r="AU108" s="218"/>
      <c r="AV108" s="116"/>
      <c r="AW108" s="116"/>
      <c r="AX108" s="116"/>
      <c r="AY108" s="208"/>
      <c r="AZ108" s="208"/>
      <c r="BA108" s="208"/>
      <c r="BB108" s="208" t="str">
        <f t="shared" si="10"/>
        <v>Kidland</v>
      </c>
      <c r="BC108" s="208" t="str">
        <f t="shared" si="11"/>
        <v>中东</v>
      </c>
    </row>
    <row r="109" s="194" customFormat="1" customHeight="1" spans="1:55">
      <c r="A109" s="208">
        <v>46015</v>
      </c>
      <c r="B109" s="40" t="str">
        <f ca="1" t="shared" si="12"/>
        <v/>
      </c>
      <c r="C109" s="209" t="str">
        <f>VLOOKUP(H109,名称!A:E,4,0)</f>
        <v>二代</v>
      </c>
      <c r="D109" s="210" t="s">
        <v>1489</v>
      </c>
      <c r="E109" s="210" t="s">
        <v>1621</v>
      </c>
      <c r="F109" s="211"/>
      <c r="G109" s="211" t="s">
        <v>378</v>
      </c>
      <c r="H109" s="211" t="s">
        <v>40</v>
      </c>
      <c r="I109" s="211"/>
      <c r="J109" s="212">
        <v>1200</v>
      </c>
      <c r="K109" s="211">
        <v>7</v>
      </c>
      <c r="L109" s="211">
        <f t="shared" si="9"/>
        <v>8400</v>
      </c>
      <c r="M109" s="211">
        <f>VLOOKUP(H109,名称!A:E,3,0)</f>
        <v>12</v>
      </c>
      <c r="N109" s="212">
        <f t="shared" si="13"/>
        <v>100</v>
      </c>
      <c r="O109" s="208">
        <v>46062</v>
      </c>
      <c r="P109" s="208">
        <v>46062</v>
      </c>
      <c r="Q109" s="208">
        <v>46062</v>
      </c>
      <c r="R109" s="211" t="s">
        <v>1241</v>
      </c>
      <c r="S109" s="208" t="s">
        <v>1133</v>
      </c>
      <c r="T109" s="208" t="s">
        <v>1133</v>
      </c>
      <c r="U109" s="211"/>
      <c r="V109" s="211"/>
      <c r="W109" s="208"/>
      <c r="X109" s="211" t="s">
        <v>1248</v>
      </c>
      <c r="Y109" s="211" t="s">
        <v>1228</v>
      </c>
      <c r="Z109" s="211" t="s">
        <v>1249</v>
      </c>
      <c r="AA109" s="214">
        <v>46021</v>
      </c>
      <c r="AB109" s="213">
        <v>46028</v>
      </c>
      <c r="AC109" s="211" t="s">
        <v>1560</v>
      </c>
      <c r="AD109" s="211" t="s">
        <v>1228</v>
      </c>
      <c r="AE109" s="211" t="s">
        <v>327</v>
      </c>
      <c r="AF109" s="211" t="s">
        <v>1228</v>
      </c>
      <c r="AG109" s="211" t="s">
        <v>327</v>
      </c>
      <c r="AH109" s="211" t="s">
        <v>1562</v>
      </c>
      <c r="AI109" s="211" t="s">
        <v>1228</v>
      </c>
      <c r="AJ109" s="211" t="s">
        <v>1133</v>
      </c>
      <c r="AK109" s="211" t="s">
        <v>1133</v>
      </c>
      <c r="AL109" s="211"/>
      <c r="AM109" s="211" t="s">
        <v>1619</v>
      </c>
      <c r="AN109" s="212" t="s">
        <v>1251</v>
      </c>
      <c r="AO109" s="215">
        <v>0.78</v>
      </c>
      <c r="AP109" s="216">
        <f t="shared" si="14"/>
        <v>936</v>
      </c>
      <c r="AQ109" s="216">
        <f t="shared" si="15"/>
        <v>7254</v>
      </c>
      <c r="AR109" s="217">
        <v>61064</v>
      </c>
      <c r="AS109" s="208">
        <v>46077</v>
      </c>
      <c r="AT109" s="208" t="s">
        <v>1220</v>
      </c>
      <c r="AU109" s="218"/>
      <c r="AV109" s="116"/>
      <c r="AW109" s="116"/>
      <c r="AX109" s="116"/>
      <c r="AY109" s="208"/>
      <c r="AZ109" s="208"/>
      <c r="BA109" s="208"/>
      <c r="BB109" s="208" t="str">
        <f t="shared" si="10"/>
        <v>Kidland</v>
      </c>
      <c r="BC109" s="208" t="str">
        <f t="shared" si="11"/>
        <v>中东</v>
      </c>
    </row>
    <row r="110" s="194" customFormat="1" customHeight="1" spans="1:55">
      <c r="A110" s="208">
        <v>46015</v>
      </c>
      <c r="B110" s="40" t="str">
        <f ca="1" t="shared" si="12"/>
        <v/>
      </c>
      <c r="C110" s="209" t="str">
        <f>VLOOKUP(H110,名称!A:E,4,0)</f>
        <v>二代</v>
      </c>
      <c r="D110" s="210" t="s">
        <v>1489</v>
      </c>
      <c r="E110" s="210" t="s">
        <v>1621</v>
      </c>
      <c r="F110" s="211"/>
      <c r="G110" s="211" t="s">
        <v>378</v>
      </c>
      <c r="H110" s="211" t="s">
        <v>44</v>
      </c>
      <c r="I110" s="211"/>
      <c r="J110" s="212">
        <v>2400</v>
      </c>
      <c r="K110" s="211">
        <v>5</v>
      </c>
      <c r="L110" s="211">
        <f t="shared" si="9"/>
        <v>12000</v>
      </c>
      <c r="M110" s="211">
        <f>VLOOKUP(H110,名称!A:E,3,0)</f>
        <v>24</v>
      </c>
      <c r="N110" s="212">
        <f t="shared" si="13"/>
        <v>100</v>
      </c>
      <c r="O110" s="208">
        <v>46062</v>
      </c>
      <c r="P110" s="208">
        <v>46062</v>
      </c>
      <c r="Q110" s="208">
        <v>46062</v>
      </c>
      <c r="R110" s="211" t="s">
        <v>1241</v>
      </c>
      <c r="S110" s="208" t="s">
        <v>1133</v>
      </c>
      <c r="T110" s="208" t="s">
        <v>1133</v>
      </c>
      <c r="U110" s="211"/>
      <c r="V110" s="211"/>
      <c r="W110" s="208"/>
      <c r="X110" s="211" t="s">
        <v>1248</v>
      </c>
      <c r="Y110" s="211" t="s">
        <v>1228</v>
      </c>
      <c r="Z110" s="211" t="s">
        <v>1249</v>
      </c>
      <c r="AA110" s="214">
        <v>46021</v>
      </c>
      <c r="AB110" s="213">
        <v>46028</v>
      </c>
      <c r="AC110" s="211" t="s">
        <v>1133</v>
      </c>
      <c r="AD110" s="211" t="s">
        <v>1133</v>
      </c>
      <c r="AE110" s="211" t="s">
        <v>327</v>
      </c>
      <c r="AF110" s="211" t="s">
        <v>1228</v>
      </c>
      <c r="AG110" s="211" t="s">
        <v>327</v>
      </c>
      <c r="AH110" s="211" t="s">
        <v>1133</v>
      </c>
      <c r="AI110" s="211" t="s">
        <v>1228</v>
      </c>
      <c r="AJ110" s="211" t="s">
        <v>1133</v>
      </c>
      <c r="AK110" s="211" t="s">
        <v>327</v>
      </c>
      <c r="AL110" s="211"/>
      <c r="AM110" s="211" t="s">
        <v>1619</v>
      </c>
      <c r="AN110" s="212" t="s">
        <v>1251</v>
      </c>
      <c r="AO110" s="215">
        <v>0.61</v>
      </c>
      <c r="AP110" s="216">
        <f t="shared" si="14"/>
        <v>1464</v>
      </c>
      <c r="AQ110" s="216">
        <f t="shared" si="15"/>
        <v>11346</v>
      </c>
      <c r="AR110" s="217">
        <v>61064</v>
      </c>
      <c r="AS110" s="208">
        <v>46077</v>
      </c>
      <c r="AT110" s="208" t="s">
        <v>1220</v>
      </c>
      <c r="AU110" s="218"/>
      <c r="AV110" s="116"/>
      <c r="AW110" s="116"/>
      <c r="AX110" s="116"/>
      <c r="AY110" s="208"/>
      <c r="AZ110" s="208"/>
      <c r="BA110" s="208"/>
      <c r="BB110" s="208" t="str">
        <f t="shared" si="10"/>
        <v>Kidland</v>
      </c>
      <c r="BC110" s="208" t="str">
        <f t="shared" si="11"/>
        <v>中东</v>
      </c>
    </row>
    <row r="111" s="194" customFormat="1" customHeight="1" spans="1:55">
      <c r="A111" s="208">
        <v>46015</v>
      </c>
      <c r="B111" s="40" t="str">
        <f ca="1" t="shared" si="12"/>
        <v/>
      </c>
      <c r="C111" s="209" t="str">
        <f>VLOOKUP(H111,名称!A:E,4,0)</f>
        <v>二代</v>
      </c>
      <c r="D111" s="210" t="s">
        <v>1489</v>
      </c>
      <c r="E111" s="210" t="s">
        <v>1621</v>
      </c>
      <c r="F111" s="211"/>
      <c r="G111" s="211" t="s">
        <v>378</v>
      </c>
      <c r="H111" s="211" t="s">
        <v>37</v>
      </c>
      <c r="I111" s="211"/>
      <c r="J111" s="212">
        <v>960</v>
      </c>
      <c r="K111" s="211">
        <v>12</v>
      </c>
      <c r="L111" s="211">
        <f t="shared" si="9"/>
        <v>11520</v>
      </c>
      <c r="M111" s="211">
        <f>VLOOKUP(H111,名称!A:E,3,0)</f>
        <v>6</v>
      </c>
      <c r="N111" s="212">
        <f t="shared" si="13"/>
        <v>160</v>
      </c>
      <c r="O111" s="208">
        <v>46062</v>
      </c>
      <c r="P111" s="208">
        <v>46062</v>
      </c>
      <c r="Q111" s="208">
        <v>46062</v>
      </c>
      <c r="R111" s="211" t="s">
        <v>1241</v>
      </c>
      <c r="S111" s="208" t="s">
        <v>1133</v>
      </c>
      <c r="T111" s="208" t="s">
        <v>1133</v>
      </c>
      <c r="U111" s="211"/>
      <c r="V111" s="211"/>
      <c r="W111" s="208"/>
      <c r="X111" s="211" t="s">
        <v>1248</v>
      </c>
      <c r="Y111" s="211" t="s">
        <v>1228</v>
      </c>
      <c r="Z111" s="211" t="s">
        <v>1249</v>
      </c>
      <c r="AA111" s="214">
        <v>46021</v>
      </c>
      <c r="AB111" s="213">
        <v>46028</v>
      </c>
      <c r="AC111" s="211" t="s">
        <v>1244</v>
      </c>
      <c r="AD111" s="211" t="s">
        <v>1228</v>
      </c>
      <c r="AE111" s="211" t="s">
        <v>327</v>
      </c>
      <c r="AF111" s="211" t="s">
        <v>1228</v>
      </c>
      <c r="AG111" s="211" t="s">
        <v>327</v>
      </c>
      <c r="AH111" s="211" t="s">
        <v>1562</v>
      </c>
      <c r="AI111" s="211" t="s">
        <v>1228</v>
      </c>
      <c r="AJ111" s="211" t="s">
        <v>1572</v>
      </c>
      <c r="AK111" s="211" t="s">
        <v>1133</v>
      </c>
      <c r="AL111" s="211"/>
      <c r="AM111" s="211" t="s">
        <v>1619</v>
      </c>
      <c r="AN111" s="212" t="s">
        <v>1251</v>
      </c>
      <c r="AO111" s="215">
        <v>2.02</v>
      </c>
      <c r="AP111" s="216">
        <f t="shared" si="14"/>
        <v>1939.2</v>
      </c>
      <c r="AQ111" s="216">
        <f t="shared" si="15"/>
        <v>15028.8</v>
      </c>
      <c r="AR111" s="217">
        <v>61064</v>
      </c>
      <c r="AS111" s="208">
        <v>46077</v>
      </c>
      <c r="AT111" s="208" t="s">
        <v>1220</v>
      </c>
      <c r="AU111" s="218"/>
      <c r="AV111" s="116"/>
      <c r="AW111" s="116"/>
      <c r="AX111" s="116"/>
      <c r="AY111" s="208"/>
      <c r="AZ111" s="208"/>
      <c r="BA111" s="208"/>
      <c r="BB111" s="208" t="str">
        <f t="shared" si="10"/>
        <v>Kidland</v>
      </c>
      <c r="BC111" s="208" t="str">
        <f t="shared" si="11"/>
        <v>中东</v>
      </c>
    </row>
    <row r="112" s="194" customFormat="1" customHeight="1" spans="1:55">
      <c r="A112" s="208">
        <v>46015</v>
      </c>
      <c r="B112" s="40" t="str">
        <f ca="1" t="shared" si="12"/>
        <v/>
      </c>
      <c r="C112" s="209" t="str">
        <f>VLOOKUP(H112,名称!A:E,4,0)</f>
        <v>二代</v>
      </c>
      <c r="D112" s="210" t="s">
        <v>1489</v>
      </c>
      <c r="E112" s="210" t="s">
        <v>1621</v>
      </c>
      <c r="F112" s="211"/>
      <c r="G112" s="211" t="s">
        <v>378</v>
      </c>
      <c r="H112" s="211" t="s">
        <v>38</v>
      </c>
      <c r="I112" s="211"/>
      <c r="J112" s="212">
        <v>600</v>
      </c>
      <c r="K112" s="211">
        <v>32</v>
      </c>
      <c r="L112" s="211">
        <f t="shared" si="9"/>
        <v>19200</v>
      </c>
      <c r="M112" s="211">
        <f>VLOOKUP(H112,名称!A:E,3,0)</f>
        <v>4</v>
      </c>
      <c r="N112" s="212">
        <f t="shared" si="13"/>
        <v>150</v>
      </c>
      <c r="O112" s="208">
        <v>46062</v>
      </c>
      <c r="P112" s="208">
        <v>46062</v>
      </c>
      <c r="Q112" s="208">
        <v>46062</v>
      </c>
      <c r="R112" s="211" t="s">
        <v>1241</v>
      </c>
      <c r="S112" s="208" t="s">
        <v>1133</v>
      </c>
      <c r="T112" s="208" t="s">
        <v>1133</v>
      </c>
      <c r="U112" s="211"/>
      <c r="V112" s="211"/>
      <c r="W112" s="208"/>
      <c r="X112" s="211" t="s">
        <v>1248</v>
      </c>
      <c r="Y112" s="211" t="s">
        <v>1228</v>
      </c>
      <c r="Z112" s="211" t="s">
        <v>1249</v>
      </c>
      <c r="AA112" s="214">
        <v>46021</v>
      </c>
      <c r="AB112" s="213">
        <v>46028</v>
      </c>
      <c r="AC112" s="211" t="s">
        <v>1133</v>
      </c>
      <c r="AD112" s="211" t="s">
        <v>1133</v>
      </c>
      <c r="AE112" s="211" t="s">
        <v>327</v>
      </c>
      <c r="AF112" s="211" t="s">
        <v>1228</v>
      </c>
      <c r="AG112" s="211" t="s">
        <v>327</v>
      </c>
      <c r="AH112" s="211" t="s">
        <v>1562</v>
      </c>
      <c r="AI112" s="211" t="s">
        <v>1228</v>
      </c>
      <c r="AJ112" s="211" t="s">
        <v>1133</v>
      </c>
      <c r="AK112" s="211" t="s">
        <v>1133</v>
      </c>
      <c r="AL112" s="211"/>
      <c r="AM112" s="211" t="s">
        <v>1619</v>
      </c>
      <c r="AN112" s="212" t="s">
        <v>1251</v>
      </c>
      <c r="AO112" s="215">
        <v>3.09</v>
      </c>
      <c r="AP112" s="216">
        <f t="shared" si="14"/>
        <v>1854</v>
      </c>
      <c r="AQ112" s="216">
        <f t="shared" si="15"/>
        <v>14368.5</v>
      </c>
      <c r="AR112" s="217">
        <v>61064</v>
      </c>
      <c r="AS112" s="208">
        <v>46077</v>
      </c>
      <c r="AT112" s="208" t="s">
        <v>1220</v>
      </c>
      <c r="AU112" s="218"/>
      <c r="AV112" s="116"/>
      <c r="AW112" s="116"/>
      <c r="AX112" s="116"/>
      <c r="AY112" s="208"/>
      <c r="AZ112" s="208"/>
      <c r="BA112" s="208"/>
      <c r="BB112" s="208" t="str">
        <f t="shared" si="10"/>
        <v>Kidland</v>
      </c>
      <c r="BC112" s="208" t="str">
        <f t="shared" si="11"/>
        <v>中东</v>
      </c>
    </row>
    <row r="113" s="194" customFormat="1" customHeight="1" spans="1:55">
      <c r="A113" s="208">
        <v>46015</v>
      </c>
      <c r="B113" s="40" t="str">
        <f ca="1" t="shared" si="12"/>
        <v/>
      </c>
      <c r="C113" s="209" t="str">
        <f>VLOOKUP(H113,名称!A:E,4,0)</f>
        <v>二代</v>
      </c>
      <c r="D113" s="210" t="s">
        <v>1489</v>
      </c>
      <c r="E113" s="210" t="s">
        <v>1621</v>
      </c>
      <c r="F113" s="211"/>
      <c r="G113" s="211" t="s">
        <v>378</v>
      </c>
      <c r="H113" s="211" t="s">
        <v>73</v>
      </c>
      <c r="I113" s="211"/>
      <c r="J113" s="212">
        <v>1920</v>
      </c>
      <c r="K113" s="211">
        <v>12</v>
      </c>
      <c r="L113" s="211">
        <f t="shared" si="9"/>
        <v>23040</v>
      </c>
      <c r="M113" s="211">
        <f>VLOOKUP(H113,名称!A:E,3,0)</f>
        <v>12</v>
      </c>
      <c r="N113" s="212">
        <f t="shared" si="13"/>
        <v>160</v>
      </c>
      <c r="O113" s="208">
        <v>46062</v>
      </c>
      <c r="P113" s="208">
        <v>46062</v>
      </c>
      <c r="Q113" s="208">
        <v>46062</v>
      </c>
      <c r="R113" s="211"/>
      <c r="S113" s="208" t="s">
        <v>1133</v>
      </c>
      <c r="T113" s="208" t="s">
        <v>1133</v>
      </c>
      <c r="U113" s="211"/>
      <c r="V113" s="211"/>
      <c r="W113" s="208"/>
      <c r="X113" s="211" t="s">
        <v>1248</v>
      </c>
      <c r="Y113" s="211" t="s">
        <v>1228</v>
      </c>
      <c r="Z113" s="211" t="s">
        <v>1249</v>
      </c>
      <c r="AA113" s="214">
        <v>46021</v>
      </c>
      <c r="AB113" s="213">
        <v>46028</v>
      </c>
      <c r="AC113" s="211" t="s">
        <v>1302</v>
      </c>
      <c r="AD113" s="211" t="s">
        <v>1133</v>
      </c>
      <c r="AE113" s="211" t="s">
        <v>327</v>
      </c>
      <c r="AF113" s="211" t="s">
        <v>1228</v>
      </c>
      <c r="AG113" s="211" t="s">
        <v>327</v>
      </c>
      <c r="AH113" s="211" t="s">
        <v>327</v>
      </c>
      <c r="AI113" s="211" t="s">
        <v>1228</v>
      </c>
      <c r="AJ113" s="211" t="s">
        <v>1133</v>
      </c>
      <c r="AK113" s="211" t="s">
        <v>1133</v>
      </c>
      <c r="AL113" s="211"/>
      <c r="AM113" s="211" t="s">
        <v>1619</v>
      </c>
      <c r="AN113" s="212" t="s">
        <v>1251</v>
      </c>
      <c r="AO113" s="215">
        <v>1.58</v>
      </c>
      <c r="AP113" s="216">
        <f t="shared" si="14"/>
        <v>3033.6</v>
      </c>
      <c r="AQ113" s="216">
        <f t="shared" si="15"/>
        <v>23510.4</v>
      </c>
      <c r="AR113" s="217">
        <v>61064</v>
      </c>
      <c r="AS113" s="208">
        <v>46077</v>
      </c>
      <c r="AT113" s="208" t="s">
        <v>1220</v>
      </c>
      <c r="AU113" s="218"/>
      <c r="AV113" s="116"/>
      <c r="AW113" s="116"/>
      <c r="AX113" s="116"/>
      <c r="AY113" s="208"/>
      <c r="AZ113" s="208"/>
      <c r="BA113" s="208"/>
      <c r="BB113" s="208" t="str">
        <f t="shared" si="10"/>
        <v>Kidland</v>
      </c>
      <c r="BC113" s="208" t="str">
        <f t="shared" si="11"/>
        <v>中东</v>
      </c>
    </row>
    <row r="114" s="194" customFormat="1" customHeight="1" spans="1:55">
      <c r="A114" s="208">
        <v>46015</v>
      </c>
      <c r="B114" s="40" t="str">
        <f ca="1" t="shared" si="12"/>
        <v/>
      </c>
      <c r="C114" s="209" t="str">
        <f>VLOOKUP(H114,名称!A:E,4,0)</f>
        <v>二代</v>
      </c>
      <c r="D114" s="210" t="s">
        <v>1489</v>
      </c>
      <c r="E114" s="210" t="s">
        <v>1621</v>
      </c>
      <c r="F114" s="211"/>
      <c r="G114" s="211" t="s">
        <v>378</v>
      </c>
      <c r="H114" s="211" t="s">
        <v>69</v>
      </c>
      <c r="I114" s="211"/>
      <c r="J114" s="212">
        <v>300</v>
      </c>
      <c r="K114" s="211">
        <v>50</v>
      </c>
      <c r="L114" s="211">
        <f t="shared" si="9"/>
        <v>15000</v>
      </c>
      <c r="M114" s="211">
        <f>VLOOKUP(H114,名称!A:E,3,0)</f>
        <v>2</v>
      </c>
      <c r="N114" s="212">
        <f t="shared" si="13"/>
        <v>150</v>
      </c>
      <c r="O114" s="208">
        <v>46062</v>
      </c>
      <c r="P114" s="208">
        <v>46062</v>
      </c>
      <c r="Q114" s="208">
        <v>46062</v>
      </c>
      <c r="R114" s="211" t="s">
        <v>1241</v>
      </c>
      <c r="S114" s="208" t="s">
        <v>1133</v>
      </c>
      <c r="T114" s="208" t="s">
        <v>1133</v>
      </c>
      <c r="U114" s="211"/>
      <c r="V114" s="211" t="s">
        <v>1622</v>
      </c>
      <c r="W114" s="208"/>
      <c r="X114" s="211" t="s">
        <v>1248</v>
      </c>
      <c r="Y114" s="211" t="s">
        <v>1228</v>
      </c>
      <c r="Z114" s="211" t="s">
        <v>1249</v>
      </c>
      <c r="AA114" s="214">
        <v>46021</v>
      </c>
      <c r="AB114" s="213">
        <v>46028</v>
      </c>
      <c r="AC114" s="211" t="s">
        <v>1133</v>
      </c>
      <c r="AD114" s="211" t="s">
        <v>1133</v>
      </c>
      <c r="AE114" s="211" t="s">
        <v>327</v>
      </c>
      <c r="AF114" s="211" t="s">
        <v>1228</v>
      </c>
      <c r="AG114" s="211" t="s">
        <v>334</v>
      </c>
      <c r="AH114" s="211" t="s">
        <v>1133</v>
      </c>
      <c r="AI114" s="211" t="s">
        <v>1228</v>
      </c>
      <c r="AJ114" s="211" t="s">
        <v>1133</v>
      </c>
      <c r="AK114" s="211" t="s">
        <v>1356</v>
      </c>
      <c r="AL114" s="211"/>
      <c r="AM114" s="211" t="s">
        <v>1619</v>
      </c>
      <c r="AN114" s="212" t="s">
        <v>1251</v>
      </c>
      <c r="AO114" s="215">
        <v>9.15</v>
      </c>
      <c r="AP114" s="216">
        <f t="shared" si="14"/>
        <v>2745</v>
      </c>
      <c r="AQ114" s="216">
        <f t="shared" si="15"/>
        <v>21273.75</v>
      </c>
      <c r="AR114" s="217">
        <v>61064</v>
      </c>
      <c r="AS114" s="208">
        <v>46077</v>
      </c>
      <c r="AT114" s="208" t="s">
        <v>1220</v>
      </c>
      <c r="AU114" s="218"/>
      <c r="AV114" s="116"/>
      <c r="AW114" s="116"/>
      <c r="AX114" s="116"/>
      <c r="AY114" s="208"/>
      <c r="AZ114" s="208"/>
      <c r="BA114" s="208"/>
      <c r="BB114" s="208" t="str">
        <f t="shared" si="10"/>
        <v>Kidland</v>
      </c>
      <c r="BC114" s="208" t="str">
        <f t="shared" si="11"/>
        <v>中东</v>
      </c>
    </row>
    <row r="115" s="194" customFormat="1" customHeight="1" spans="1:55">
      <c r="A115" s="208">
        <v>46015</v>
      </c>
      <c r="B115" s="40" t="str">
        <f ca="1" t="shared" si="12"/>
        <v/>
      </c>
      <c r="C115" s="209" t="str">
        <f>VLOOKUP(H115,名称!A:E,4,0)</f>
        <v>二代</v>
      </c>
      <c r="D115" s="210" t="s">
        <v>1489</v>
      </c>
      <c r="E115" s="210" t="s">
        <v>1621</v>
      </c>
      <c r="F115" s="211"/>
      <c r="G115" s="211" t="s">
        <v>378</v>
      </c>
      <c r="H115" s="211" t="s">
        <v>53</v>
      </c>
      <c r="I115" s="211"/>
      <c r="J115" s="212">
        <v>1440</v>
      </c>
      <c r="K115" s="211">
        <v>0</v>
      </c>
      <c r="L115" s="211">
        <f t="shared" si="9"/>
        <v>0</v>
      </c>
      <c r="M115" s="211">
        <f>VLOOKUP(H115,名称!A:E,3,0)</f>
        <v>24</v>
      </c>
      <c r="N115" s="212">
        <f t="shared" si="13"/>
        <v>60</v>
      </c>
      <c r="O115" s="208">
        <v>46062</v>
      </c>
      <c r="P115" s="208">
        <v>46062</v>
      </c>
      <c r="Q115" s="208">
        <v>46062</v>
      </c>
      <c r="R115" s="211" t="s">
        <v>1241</v>
      </c>
      <c r="S115" s="208" t="s">
        <v>1133</v>
      </c>
      <c r="T115" s="208" t="s">
        <v>1133</v>
      </c>
      <c r="U115" s="211"/>
      <c r="V115" s="211"/>
      <c r="W115" s="208"/>
      <c r="X115" s="211" t="s">
        <v>1248</v>
      </c>
      <c r="Y115" s="211" t="s">
        <v>1228</v>
      </c>
      <c r="Z115" s="211" t="s">
        <v>1249</v>
      </c>
      <c r="AA115" s="214">
        <v>46021</v>
      </c>
      <c r="AB115" s="213">
        <v>46028</v>
      </c>
      <c r="AC115" s="211" t="s">
        <v>1133</v>
      </c>
      <c r="AD115" s="211" t="s">
        <v>1133</v>
      </c>
      <c r="AE115" s="211" t="s">
        <v>327</v>
      </c>
      <c r="AF115" s="211" t="s">
        <v>1228</v>
      </c>
      <c r="AG115" s="211" t="s">
        <v>327</v>
      </c>
      <c r="AH115" s="211" t="s">
        <v>1133</v>
      </c>
      <c r="AI115" s="211" t="s">
        <v>1228</v>
      </c>
      <c r="AJ115" s="211" t="s">
        <v>1133</v>
      </c>
      <c r="AK115" s="211" t="s">
        <v>327</v>
      </c>
      <c r="AL115" s="211"/>
      <c r="AM115" s="211" t="s">
        <v>1619</v>
      </c>
      <c r="AN115" s="212" t="s">
        <v>1251</v>
      </c>
      <c r="AO115" s="215">
        <v>0.59</v>
      </c>
      <c r="AP115" s="216">
        <f t="shared" si="14"/>
        <v>849.6</v>
      </c>
      <c r="AQ115" s="216">
        <f t="shared" si="15"/>
        <v>6584.4</v>
      </c>
      <c r="AR115" s="217">
        <v>61064</v>
      </c>
      <c r="AS115" s="208">
        <v>46077</v>
      </c>
      <c r="AT115" s="208" t="s">
        <v>1220</v>
      </c>
      <c r="AU115" s="218"/>
      <c r="AV115" s="116"/>
      <c r="AW115" s="116"/>
      <c r="AX115" s="116"/>
      <c r="AY115" s="208"/>
      <c r="AZ115" s="208"/>
      <c r="BA115" s="208"/>
      <c r="BB115" s="208" t="str">
        <f t="shared" si="10"/>
        <v>Kidland</v>
      </c>
      <c r="BC115" s="208" t="str">
        <f t="shared" si="11"/>
        <v>中东</v>
      </c>
    </row>
    <row r="116" s="194" customFormat="1" customHeight="1" spans="1:55">
      <c r="A116" s="208">
        <v>46015</v>
      </c>
      <c r="B116" s="40" t="str">
        <f ca="1" t="shared" si="12"/>
        <v/>
      </c>
      <c r="C116" s="209" t="str">
        <f>VLOOKUP(H116,名称!A:E,4,0)</f>
        <v>二代</v>
      </c>
      <c r="D116" s="210" t="s">
        <v>1489</v>
      </c>
      <c r="E116" s="210" t="s">
        <v>1621</v>
      </c>
      <c r="F116" s="211"/>
      <c r="G116" s="211" t="s">
        <v>378</v>
      </c>
      <c r="H116" s="211" t="s">
        <v>28</v>
      </c>
      <c r="I116" s="211"/>
      <c r="J116" s="212">
        <v>1392</v>
      </c>
      <c r="K116" s="211">
        <v>0</v>
      </c>
      <c r="L116" s="211">
        <f t="shared" si="9"/>
        <v>0</v>
      </c>
      <c r="M116" s="211">
        <f>VLOOKUP(H116,名称!A:E,3,0)</f>
        <v>12</v>
      </c>
      <c r="N116" s="212">
        <f t="shared" si="13"/>
        <v>116</v>
      </c>
      <c r="O116" s="208">
        <v>46062</v>
      </c>
      <c r="P116" s="208">
        <v>46062</v>
      </c>
      <c r="Q116" s="208">
        <v>46062</v>
      </c>
      <c r="R116" s="211" t="s">
        <v>1241</v>
      </c>
      <c r="S116" s="208" t="s">
        <v>1133</v>
      </c>
      <c r="T116" s="208" t="s">
        <v>1133</v>
      </c>
      <c r="U116" s="211"/>
      <c r="V116" s="211"/>
      <c r="W116" s="208"/>
      <c r="X116" s="211" t="s">
        <v>1248</v>
      </c>
      <c r="Y116" s="211" t="s">
        <v>1228</v>
      </c>
      <c r="Z116" s="211" t="s">
        <v>1249</v>
      </c>
      <c r="AA116" s="214">
        <v>46021</v>
      </c>
      <c r="AB116" s="213">
        <v>46028</v>
      </c>
      <c r="AC116" s="211" t="s">
        <v>1133</v>
      </c>
      <c r="AD116" s="211" t="s">
        <v>1133</v>
      </c>
      <c r="AE116" s="211" t="s">
        <v>327</v>
      </c>
      <c r="AF116" s="211" t="s">
        <v>1228</v>
      </c>
      <c r="AG116" s="211" t="s">
        <v>327</v>
      </c>
      <c r="AH116" s="211" t="s">
        <v>1133</v>
      </c>
      <c r="AI116" s="211" t="s">
        <v>1228</v>
      </c>
      <c r="AJ116" s="211" t="s">
        <v>1133</v>
      </c>
      <c r="AK116" s="211" t="s">
        <v>1133</v>
      </c>
      <c r="AL116" s="211"/>
      <c r="AM116" s="211" t="s">
        <v>1619</v>
      </c>
      <c r="AN116" s="212" t="s">
        <v>1251</v>
      </c>
      <c r="AO116" s="215">
        <v>1.24</v>
      </c>
      <c r="AP116" s="216">
        <f t="shared" si="14"/>
        <v>1726.08</v>
      </c>
      <c r="AQ116" s="216">
        <f t="shared" si="15"/>
        <v>13377.12</v>
      </c>
      <c r="AR116" s="217">
        <v>61064</v>
      </c>
      <c r="AS116" s="208">
        <v>46077</v>
      </c>
      <c r="AT116" s="208" t="s">
        <v>1220</v>
      </c>
      <c r="AU116" s="218"/>
      <c r="AV116" s="116"/>
      <c r="AW116" s="116"/>
      <c r="AX116" s="116"/>
      <c r="AY116" s="208"/>
      <c r="AZ116" s="208"/>
      <c r="BA116" s="208"/>
      <c r="BB116" s="208" t="str">
        <f t="shared" si="10"/>
        <v>Kidland</v>
      </c>
      <c r="BC116" s="208" t="str">
        <f t="shared" si="11"/>
        <v>中东</v>
      </c>
    </row>
    <row r="117" s="194" customFormat="1" customHeight="1" spans="1:55">
      <c r="A117" s="208">
        <v>46015</v>
      </c>
      <c r="B117" s="40" t="str">
        <f ca="1" t="shared" si="12"/>
        <v/>
      </c>
      <c r="C117" s="209" t="str">
        <f>VLOOKUP(H117,名称!A:E,4,0)</f>
        <v>二代</v>
      </c>
      <c r="D117" s="210" t="s">
        <v>1489</v>
      </c>
      <c r="E117" s="210" t="s">
        <v>1621</v>
      </c>
      <c r="F117" s="211"/>
      <c r="G117" s="211" t="s">
        <v>378</v>
      </c>
      <c r="H117" s="211" t="s">
        <v>65</v>
      </c>
      <c r="I117" s="211"/>
      <c r="J117" s="212">
        <v>2400</v>
      </c>
      <c r="K117" s="211">
        <v>5</v>
      </c>
      <c r="L117" s="211">
        <f t="shared" si="9"/>
        <v>12000</v>
      </c>
      <c r="M117" s="211">
        <f>VLOOKUP(H117,名称!A:E,3,0)</f>
        <v>24</v>
      </c>
      <c r="N117" s="212">
        <f t="shared" si="13"/>
        <v>100</v>
      </c>
      <c r="O117" s="208">
        <v>46062</v>
      </c>
      <c r="P117" s="208">
        <v>46062</v>
      </c>
      <c r="Q117" s="208">
        <v>46062</v>
      </c>
      <c r="R117" s="211" t="s">
        <v>1241</v>
      </c>
      <c r="S117" s="208" t="s">
        <v>1133</v>
      </c>
      <c r="T117" s="208" t="s">
        <v>1133</v>
      </c>
      <c r="U117" s="211"/>
      <c r="V117" s="211"/>
      <c r="W117" s="208"/>
      <c r="X117" s="211" t="s">
        <v>1248</v>
      </c>
      <c r="Y117" s="211" t="s">
        <v>1228</v>
      </c>
      <c r="Z117" s="211" t="s">
        <v>1249</v>
      </c>
      <c r="AA117" s="214">
        <v>46021</v>
      </c>
      <c r="AB117" s="213">
        <v>46028</v>
      </c>
      <c r="AC117" s="211" t="s">
        <v>1133</v>
      </c>
      <c r="AD117" s="211" t="s">
        <v>1133</v>
      </c>
      <c r="AE117" s="211" t="s">
        <v>327</v>
      </c>
      <c r="AF117" s="211" t="s">
        <v>1228</v>
      </c>
      <c r="AG117" s="211" t="s">
        <v>327</v>
      </c>
      <c r="AH117" s="211" t="s">
        <v>1133</v>
      </c>
      <c r="AI117" s="211" t="s">
        <v>1228</v>
      </c>
      <c r="AJ117" s="211" t="s">
        <v>1133</v>
      </c>
      <c r="AK117" s="211" t="s">
        <v>327</v>
      </c>
      <c r="AL117" s="211"/>
      <c r="AM117" s="211" t="s">
        <v>1619</v>
      </c>
      <c r="AN117" s="212" t="s">
        <v>1251</v>
      </c>
      <c r="AO117" s="215">
        <v>0.61</v>
      </c>
      <c r="AP117" s="216">
        <f t="shared" si="14"/>
        <v>1464</v>
      </c>
      <c r="AQ117" s="216">
        <f t="shared" si="15"/>
        <v>11346</v>
      </c>
      <c r="AR117" s="217">
        <v>61064</v>
      </c>
      <c r="AS117" s="208">
        <v>46077</v>
      </c>
      <c r="AT117" s="208" t="s">
        <v>1220</v>
      </c>
      <c r="AU117" s="218"/>
      <c r="AV117" s="116"/>
      <c r="AW117" s="116"/>
      <c r="AX117" s="116" t="s">
        <v>1280</v>
      </c>
      <c r="AY117" s="208"/>
      <c r="AZ117" s="208"/>
      <c r="BA117" s="208"/>
      <c r="BB117" s="208" t="str">
        <f t="shared" si="10"/>
        <v>Kidland</v>
      </c>
      <c r="BC117" s="208" t="str">
        <f t="shared" si="11"/>
        <v>中东</v>
      </c>
    </row>
    <row r="118" s="194" customFormat="1" customHeight="1" spans="1:55">
      <c r="A118" s="208">
        <v>46015</v>
      </c>
      <c r="B118" s="40" t="str">
        <f ca="1" t="shared" si="12"/>
        <v/>
      </c>
      <c r="C118" s="209" t="str">
        <f>VLOOKUP(H118,名称!A:E,4,0)</f>
        <v>二代</v>
      </c>
      <c r="D118" s="210" t="s">
        <v>1489</v>
      </c>
      <c r="E118" s="210" t="s">
        <v>1621</v>
      </c>
      <c r="F118" s="211"/>
      <c r="G118" s="211" t="s">
        <v>378</v>
      </c>
      <c r="H118" s="211" t="s">
        <v>62</v>
      </c>
      <c r="I118" s="211"/>
      <c r="J118" s="212">
        <v>1440</v>
      </c>
      <c r="K118" s="211">
        <v>5</v>
      </c>
      <c r="L118" s="211">
        <f t="shared" si="9"/>
        <v>7200</v>
      </c>
      <c r="M118" s="211">
        <f>VLOOKUP(H118,名称!A:E,3,0)</f>
        <v>24</v>
      </c>
      <c r="N118" s="212">
        <f t="shared" si="13"/>
        <v>60</v>
      </c>
      <c r="O118" s="208">
        <v>46062</v>
      </c>
      <c r="P118" s="208">
        <v>46062</v>
      </c>
      <c r="Q118" s="208">
        <v>46062</v>
      </c>
      <c r="R118" s="211" t="s">
        <v>1558</v>
      </c>
      <c r="S118" s="208" t="s">
        <v>1133</v>
      </c>
      <c r="T118" s="208" t="s">
        <v>1133</v>
      </c>
      <c r="U118" s="211"/>
      <c r="V118" s="211"/>
      <c r="W118" s="208"/>
      <c r="X118" s="211" t="s">
        <v>1248</v>
      </c>
      <c r="Y118" s="211" t="s">
        <v>1228</v>
      </c>
      <c r="Z118" s="211" t="s">
        <v>1249</v>
      </c>
      <c r="AA118" s="214">
        <v>46021</v>
      </c>
      <c r="AB118" s="213">
        <v>46028</v>
      </c>
      <c r="AC118" s="211" t="s">
        <v>1133</v>
      </c>
      <c r="AD118" s="211" t="s">
        <v>1133</v>
      </c>
      <c r="AE118" s="211" t="s">
        <v>327</v>
      </c>
      <c r="AF118" s="211" t="s">
        <v>1228</v>
      </c>
      <c r="AG118" s="211" t="s">
        <v>327</v>
      </c>
      <c r="AH118" s="211" t="s">
        <v>1133</v>
      </c>
      <c r="AI118" s="211" t="s">
        <v>1228</v>
      </c>
      <c r="AJ118" s="211" t="s">
        <v>1133</v>
      </c>
      <c r="AK118" s="211" t="s">
        <v>327</v>
      </c>
      <c r="AL118" s="211"/>
      <c r="AM118" s="211" t="s">
        <v>1619</v>
      </c>
      <c r="AN118" s="212" t="s">
        <v>1251</v>
      </c>
      <c r="AO118" s="215">
        <v>0.61</v>
      </c>
      <c r="AP118" s="216">
        <f t="shared" si="14"/>
        <v>878.4</v>
      </c>
      <c r="AQ118" s="216">
        <f t="shared" si="15"/>
        <v>6807.6</v>
      </c>
      <c r="AR118" s="217">
        <v>61064</v>
      </c>
      <c r="AS118" s="208">
        <v>46077</v>
      </c>
      <c r="AT118" s="208" t="s">
        <v>1220</v>
      </c>
      <c r="AU118" s="218"/>
      <c r="AV118" s="116"/>
      <c r="AW118" s="116"/>
      <c r="AX118" s="116"/>
      <c r="AY118" s="208"/>
      <c r="AZ118" s="208"/>
      <c r="BA118" s="208"/>
      <c r="BB118" s="208" t="str">
        <f t="shared" si="10"/>
        <v>Kidland</v>
      </c>
      <c r="BC118" s="208" t="str">
        <f t="shared" si="11"/>
        <v>中东</v>
      </c>
    </row>
    <row r="119" s="194" customFormat="1" customHeight="1" spans="1:55">
      <c r="A119" s="208">
        <v>46015</v>
      </c>
      <c r="B119" s="40" t="str">
        <f ca="1" t="shared" si="12"/>
        <v/>
      </c>
      <c r="C119" s="209" t="str">
        <f>VLOOKUP(H119,名称!A:E,4,0)</f>
        <v>二代</v>
      </c>
      <c r="D119" s="210" t="s">
        <v>1489</v>
      </c>
      <c r="E119" s="210" t="s">
        <v>1621</v>
      </c>
      <c r="F119" s="211"/>
      <c r="G119" s="211" t="s">
        <v>378</v>
      </c>
      <c r="H119" s="211" t="s">
        <v>43</v>
      </c>
      <c r="I119" s="211"/>
      <c r="J119" s="212">
        <v>1440</v>
      </c>
      <c r="K119" s="211">
        <v>5</v>
      </c>
      <c r="L119" s="211">
        <f t="shared" si="9"/>
        <v>7200</v>
      </c>
      <c r="M119" s="211">
        <f>VLOOKUP(H119,名称!A:E,3,0)</f>
        <v>24</v>
      </c>
      <c r="N119" s="212">
        <f t="shared" si="13"/>
        <v>60</v>
      </c>
      <c r="O119" s="208">
        <v>46062</v>
      </c>
      <c r="P119" s="208">
        <v>46062</v>
      </c>
      <c r="Q119" s="208">
        <v>46062</v>
      </c>
      <c r="R119" s="211" t="s">
        <v>1241</v>
      </c>
      <c r="S119" s="208" t="s">
        <v>1133</v>
      </c>
      <c r="T119" s="208" t="s">
        <v>1133</v>
      </c>
      <c r="U119" s="211"/>
      <c r="V119" s="211"/>
      <c r="W119" s="208"/>
      <c r="X119" s="211" t="s">
        <v>1248</v>
      </c>
      <c r="Y119" s="211" t="s">
        <v>1228</v>
      </c>
      <c r="Z119" s="211" t="s">
        <v>1249</v>
      </c>
      <c r="AA119" s="214">
        <v>46021</v>
      </c>
      <c r="AB119" s="213">
        <v>46028</v>
      </c>
      <c r="AC119" s="211" t="s">
        <v>1133</v>
      </c>
      <c r="AD119" s="211" t="s">
        <v>1133</v>
      </c>
      <c r="AE119" s="211" t="s">
        <v>327</v>
      </c>
      <c r="AF119" s="211" t="s">
        <v>1228</v>
      </c>
      <c r="AG119" s="211" t="s">
        <v>327</v>
      </c>
      <c r="AH119" s="211" t="s">
        <v>1133</v>
      </c>
      <c r="AI119" s="211" t="s">
        <v>1228</v>
      </c>
      <c r="AJ119" s="211" t="s">
        <v>1133</v>
      </c>
      <c r="AK119" s="211" t="s">
        <v>327</v>
      </c>
      <c r="AL119" s="211"/>
      <c r="AM119" s="211" t="s">
        <v>1619</v>
      </c>
      <c r="AN119" s="212" t="s">
        <v>1251</v>
      </c>
      <c r="AO119" s="215">
        <v>0.61</v>
      </c>
      <c r="AP119" s="216">
        <f t="shared" si="14"/>
        <v>878.4</v>
      </c>
      <c r="AQ119" s="216">
        <f t="shared" si="15"/>
        <v>6807.6</v>
      </c>
      <c r="AR119" s="217">
        <v>61064</v>
      </c>
      <c r="AS119" s="208">
        <v>46077</v>
      </c>
      <c r="AT119" s="208" t="s">
        <v>1220</v>
      </c>
      <c r="AU119" s="218"/>
      <c r="AV119" s="116"/>
      <c r="AW119" s="116"/>
      <c r="AX119" s="116"/>
      <c r="AY119" s="208"/>
      <c r="AZ119" s="208"/>
      <c r="BA119" s="208"/>
      <c r="BB119" s="208" t="str">
        <f t="shared" si="10"/>
        <v>Kidland</v>
      </c>
      <c r="BC119" s="208" t="str">
        <f t="shared" si="11"/>
        <v>中东</v>
      </c>
    </row>
    <row r="120" s="194" customFormat="1" customHeight="1" spans="1:55">
      <c r="A120" s="208">
        <v>46015</v>
      </c>
      <c r="B120" s="40" t="str">
        <f ca="1" t="shared" si="12"/>
        <v/>
      </c>
      <c r="C120" s="209" t="str">
        <f>VLOOKUP(H120,名称!A:E,4,0)</f>
        <v>二代</v>
      </c>
      <c r="D120" s="210" t="s">
        <v>1489</v>
      </c>
      <c r="E120" s="210" t="s">
        <v>1621</v>
      </c>
      <c r="F120" s="211"/>
      <c r="G120" s="211" t="s">
        <v>378</v>
      </c>
      <c r="H120" s="211" t="s">
        <v>74</v>
      </c>
      <c r="I120" s="211"/>
      <c r="J120" s="212">
        <v>1200</v>
      </c>
      <c r="K120" s="211">
        <v>12</v>
      </c>
      <c r="L120" s="211">
        <f t="shared" si="9"/>
        <v>14400</v>
      </c>
      <c r="M120" s="211">
        <f>VLOOKUP(H120,名称!A:E,3,0)</f>
        <v>12</v>
      </c>
      <c r="N120" s="212">
        <f t="shared" si="13"/>
        <v>100</v>
      </c>
      <c r="O120" s="208">
        <v>46062</v>
      </c>
      <c r="P120" s="208">
        <v>46062</v>
      </c>
      <c r="Q120" s="208">
        <v>46062</v>
      </c>
      <c r="R120" s="211" t="s">
        <v>1241</v>
      </c>
      <c r="S120" s="208" t="s">
        <v>1133</v>
      </c>
      <c r="T120" s="208" t="s">
        <v>1133</v>
      </c>
      <c r="U120" s="211"/>
      <c r="V120" s="211"/>
      <c r="W120" s="208"/>
      <c r="X120" s="211" t="s">
        <v>1248</v>
      </c>
      <c r="Y120" s="211" t="s">
        <v>1228</v>
      </c>
      <c r="Z120" s="211" t="s">
        <v>1249</v>
      </c>
      <c r="AA120" s="214">
        <v>46021</v>
      </c>
      <c r="AB120" s="213">
        <v>46028</v>
      </c>
      <c r="AC120" s="211" t="s">
        <v>1302</v>
      </c>
      <c r="AD120" s="211" t="s">
        <v>1228</v>
      </c>
      <c r="AE120" s="211" t="s">
        <v>327</v>
      </c>
      <c r="AF120" s="211" t="s">
        <v>1228</v>
      </c>
      <c r="AG120" s="211" t="s">
        <v>327</v>
      </c>
      <c r="AH120" s="211" t="s">
        <v>1562</v>
      </c>
      <c r="AI120" s="211" t="s">
        <v>1228</v>
      </c>
      <c r="AJ120" s="211" t="s">
        <v>1133</v>
      </c>
      <c r="AK120" s="211" t="s">
        <v>1133</v>
      </c>
      <c r="AL120" s="211"/>
      <c r="AM120" s="211" t="s">
        <v>1619</v>
      </c>
      <c r="AN120" s="212" t="s">
        <v>1251</v>
      </c>
      <c r="AO120" s="215">
        <v>1.58</v>
      </c>
      <c r="AP120" s="216">
        <f t="shared" si="14"/>
        <v>1896</v>
      </c>
      <c r="AQ120" s="216">
        <f t="shared" si="15"/>
        <v>14694</v>
      </c>
      <c r="AR120" s="217">
        <v>61064</v>
      </c>
      <c r="AS120" s="208">
        <v>46077</v>
      </c>
      <c r="AT120" s="208" t="s">
        <v>1220</v>
      </c>
      <c r="AU120" s="218"/>
      <c r="AV120" s="116"/>
      <c r="AW120" s="116"/>
      <c r="AX120" s="116"/>
      <c r="AY120" s="208"/>
      <c r="AZ120" s="208"/>
      <c r="BA120" s="208"/>
      <c r="BB120" s="208" t="str">
        <f t="shared" si="10"/>
        <v>Kidland</v>
      </c>
      <c r="BC120" s="208" t="str">
        <f t="shared" si="11"/>
        <v>中东</v>
      </c>
    </row>
    <row r="121" s="194" customFormat="1" customHeight="1" spans="1:55">
      <c r="A121" s="208">
        <v>46002</v>
      </c>
      <c r="B121" s="40" t="str">
        <f ca="1" t="shared" si="12"/>
        <v/>
      </c>
      <c r="C121" s="209" t="str">
        <f>VLOOKUP(H121,名称!A:E,4,0)</f>
        <v>二代</v>
      </c>
      <c r="D121" s="210" t="s">
        <v>1624</v>
      </c>
      <c r="E121" s="210" t="s">
        <v>1625</v>
      </c>
      <c r="F121" s="211"/>
      <c r="G121" s="211" t="s">
        <v>349</v>
      </c>
      <c r="H121" s="211" t="s">
        <v>38</v>
      </c>
      <c r="I121" s="211"/>
      <c r="J121" s="212">
        <v>660</v>
      </c>
      <c r="K121" s="211">
        <v>32</v>
      </c>
      <c r="L121" s="211">
        <f t="shared" si="9"/>
        <v>21120</v>
      </c>
      <c r="M121" s="211">
        <f>VLOOKUP(H121,名称!A:E,3,0)</f>
        <v>4</v>
      </c>
      <c r="N121" s="212">
        <f t="shared" si="13"/>
        <v>165</v>
      </c>
      <c r="O121" s="208">
        <v>46055</v>
      </c>
      <c r="P121" s="208">
        <v>46055</v>
      </c>
      <c r="Q121" s="208">
        <v>46055</v>
      </c>
      <c r="R121" s="211" t="s">
        <v>1241</v>
      </c>
      <c r="S121" s="208" t="s">
        <v>1133</v>
      </c>
      <c r="T121" s="208" t="s">
        <v>1133</v>
      </c>
      <c r="U121" s="211"/>
      <c r="V121" s="211"/>
      <c r="W121" s="208"/>
      <c r="X121" s="211" t="s">
        <v>1133</v>
      </c>
      <c r="Y121" s="211" t="s">
        <v>1133</v>
      </c>
      <c r="Z121" s="211" t="s">
        <v>1249</v>
      </c>
      <c r="AA121" s="214">
        <v>46007</v>
      </c>
      <c r="AB121" s="213">
        <v>46021</v>
      </c>
      <c r="AC121" s="211" t="s">
        <v>1133</v>
      </c>
      <c r="AD121" s="211" t="s">
        <v>1133</v>
      </c>
      <c r="AE121" s="211" t="s">
        <v>327</v>
      </c>
      <c r="AF121" s="211" t="s">
        <v>1228</v>
      </c>
      <c r="AG121" s="211" t="s">
        <v>327</v>
      </c>
      <c r="AH121" s="211" t="s">
        <v>1562</v>
      </c>
      <c r="AI121" s="211" t="s">
        <v>1228</v>
      </c>
      <c r="AJ121" s="211" t="s">
        <v>1133</v>
      </c>
      <c r="AK121" s="211" t="s">
        <v>1133</v>
      </c>
      <c r="AL121" s="211"/>
      <c r="AM121" s="211" t="s">
        <v>1619</v>
      </c>
      <c r="AN121" s="212"/>
      <c r="AO121" s="215">
        <v>3.23</v>
      </c>
      <c r="AP121" s="216">
        <f t="shared" si="14"/>
        <v>2131.8</v>
      </c>
      <c r="AQ121" s="216">
        <f t="shared" si="15"/>
        <v>16521.45</v>
      </c>
      <c r="AR121" s="217">
        <v>61065</v>
      </c>
      <c r="AS121" s="208">
        <v>46081</v>
      </c>
      <c r="AT121" s="208" t="s">
        <v>1220</v>
      </c>
      <c r="AU121" s="218"/>
      <c r="AV121" s="116"/>
      <c r="AW121" s="116"/>
      <c r="AX121" s="116"/>
      <c r="AY121" s="208"/>
      <c r="AZ121" s="208"/>
      <c r="BA121" s="208"/>
      <c r="BB121" s="208" t="str">
        <f t="shared" si="10"/>
        <v>Viet Tinh Anh</v>
      </c>
      <c r="BC121" s="208" t="str">
        <f t="shared" si="11"/>
        <v>越南</v>
      </c>
    </row>
    <row r="122" s="194" customFormat="1" customHeight="1" spans="1:55">
      <c r="A122" s="208">
        <v>46002</v>
      </c>
      <c r="B122" s="40" t="str">
        <f ca="1" t="shared" si="12"/>
        <v/>
      </c>
      <c r="C122" s="209" t="str">
        <f>VLOOKUP(H122,名称!A:E,4,0)</f>
        <v>二代</v>
      </c>
      <c r="D122" s="210" t="s">
        <v>1624</v>
      </c>
      <c r="E122" s="210" t="s">
        <v>1625</v>
      </c>
      <c r="F122" s="211"/>
      <c r="G122" s="211" t="s">
        <v>349</v>
      </c>
      <c r="H122" s="211" t="s">
        <v>37</v>
      </c>
      <c r="I122" s="211"/>
      <c r="J122" s="212">
        <v>720</v>
      </c>
      <c r="K122" s="211">
        <v>7</v>
      </c>
      <c r="L122" s="211">
        <f t="shared" si="9"/>
        <v>5040</v>
      </c>
      <c r="M122" s="211">
        <f>VLOOKUP(H122,名称!A:E,3,0)</f>
        <v>6</v>
      </c>
      <c r="N122" s="212">
        <f t="shared" si="13"/>
        <v>120</v>
      </c>
      <c r="O122" s="208">
        <v>46055</v>
      </c>
      <c r="P122" s="208">
        <v>46055</v>
      </c>
      <c r="Q122" s="208">
        <v>46055</v>
      </c>
      <c r="R122" s="211" t="s">
        <v>1241</v>
      </c>
      <c r="S122" s="208" t="s">
        <v>1133</v>
      </c>
      <c r="T122" s="208" t="s">
        <v>1133</v>
      </c>
      <c r="U122" s="211"/>
      <c r="V122" s="211"/>
      <c r="W122" s="208"/>
      <c r="X122" s="211" t="s">
        <v>1133</v>
      </c>
      <c r="Y122" s="211" t="s">
        <v>1133</v>
      </c>
      <c r="Z122" s="211" t="s">
        <v>1249</v>
      </c>
      <c r="AA122" s="214">
        <v>46007</v>
      </c>
      <c r="AB122" s="213">
        <v>46021</v>
      </c>
      <c r="AC122" s="211" t="s">
        <v>1244</v>
      </c>
      <c r="AD122" s="211" t="s">
        <v>1228</v>
      </c>
      <c r="AE122" s="211" t="s">
        <v>327</v>
      </c>
      <c r="AF122" s="211" t="s">
        <v>1228</v>
      </c>
      <c r="AG122" s="211" t="s">
        <v>327</v>
      </c>
      <c r="AH122" s="211" t="s">
        <v>1562</v>
      </c>
      <c r="AI122" s="211" t="s">
        <v>1228</v>
      </c>
      <c r="AJ122" s="211" t="s">
        <v>1572</v>
      </c>
      <c r="AK122" s="211" t="s">
        <v>1133</v>
      </c>
      <c r="AL122" s="211"/>
      <c r="AM122" s="211" t="s">
        <v>1619</v>
      </c>
      <c r="AN122" s="212"/>
      <c r="AO122" s="215">
        <v>2.09</v>
      </c>
      <c r="AP122" s="216">
        <f t="shared" si="14"/>
        <v>1504.8</v>
      </c>
      <c r="AQ122" s="216">
        <f t="shared" si="15"/>
        <v>11662.2</v>
      </c>
      <c r="AR122" s="217">
        <v>61065</v>
      </c>
      <c r="AS122" s="208">
        <v>46081</v>
      </c>
      <c r="AT122" s="208" t="s">
        <v>1220</v>
      </c>
      <c r="AU122" s="218"/>
      <c r="AV122" s="116"/>
      <c r="AW122" s="116"/>
      <c r="AX122" s="116"/>
      <c r="AY122" s="208"/>
      <c r="AZ122" s="208"/>
      <c r="BA122" s="208"/>
      <c r="BB122" s="208" t="str">
        <f t="shared" si="10"/>
        <v>Viet Tinh Anh</v>
      </c>
      <c r="BC122" s="208" t="str">
        <f t="shared" si="11"/>
        <v>越南</v>
      </c>
    </row>
    <row r="123" s="194" customFormat="1" customHeight="1" spans="1:55">
      <c r="A123" s="208">
        <v>46002</v>
      </c>
      <c r="B123" s="40" t="str">
        <f ca="1" t="shared" si="12"/>
        <v/>
      </c>
      <c r="C123" s="209" t="str">
        <f>VLOOKUP(H123,名称!A:E,4,0)</f>
        <v>二代</v>
      </c>
      <c r="D123" s="210" t="s">
        <v>1624</v>
      </c>
      <c r="E123" s="210" t="s">
        <v>1625</v>
      </c>
      <c r="F123" s="211"/>
      <c r="G123" s="211" t="s">
        <v>349</v>
      </c>
      <c r="H123" s="211" t="s">
        <v>65</v>
      </c>
      <c r="I123" s="211"/>
      <c r="J123" s="212">
        <v>3240</v>
      </c>
      <c r="K123" s="211">
        <v>5</v>
      </c>
      <c r="L123" s="211">
        <f t="shared" si="9"/>
        <v>16200</v>
      </c>
      <c r="M123" s="211">
        <f>VLOOKUP(H123,名称!A:E,3,0)</f>
        <v>24</v>
      </c>
      <c r="N123" s="212">
        <f t="shared" si="13"/>
        <v>135</v>
      </c>
      <c r="O123" s="208">
        <v>46055</v>
      </c>
      <c r="P123" s="208">
        <v>46055</v>
      </c>
      <c r="Q123" s="208">
        <v>46055</v>
      </c>
      <c r="R123" s="211" t="s">
        <v>1241</v>
      </c>
      <c r="S123" s="208" t="s">
        <v>1133</v>
      </c>
      <c r="T123" s="208" t="s">
        <v>1133</v>
      </c>
      <c r="U123" s="211"/>
      <c r="V123" s="211"/>
      <c r="W123" s="208"/>
      <c r="X123" s="211" t="s">
        <v>1133</v>
      </c>
      <c r="Y123" s="211" t="s">
        <v>1133</v>
      </c>
      <c r="Z123" s="211" t="s">
        <v>1249</v>
      </c>
      <c r="AA123" s="214">
        <v>46007</v>
      </c>
      <c r="AB123" s="213">
        <v>46021</v>
      </c>
      <c r="AC123" s="211" t="s">
        <v>1133</v>
      </c>
      <c r="AD123" s="211" t="s">
        <v>1133</v>
      </c>
      <c r="AE123" s="211" t="s">
        <v>327</v>
      </c>
      <c r="AF123" s="211" t="s">
        <v>1228</v>
      </c>
      <c r="AG123" s="211" t="s">
        <v>327</v>
      </c>
      <c r="AH123" s="211" t="s">
        <v>1133</v>
      </c>
      <c r="AI123" s="211" t="s">
        <v>1228</v>
      </c>
      <c r="AJ123" s="211" t="s">
        <v>1133</v>
      </c>
      <c r="AK123" s="211" t="s">
        <v>327</v>
      </c>
      <c r="AL123" s="211"/>
      <c r="AM123" s="211" t="s">
        <v>1619</v>
      </c>
      <c r="AN123" s="212"/>
      <c r="AO123" s="215">
        <v>0.65</v>
      </c>
      <c r="AP123" s="216">
        <f t="shared" si="14"/>
        <v>2106</v>
      </c>
      <c r="AQ123" s="216">
        <f t="shared" si="15"/>
        <v>16321.5</v>
      </c>
      <c r="AR123" s="217">
        <v>61065</v>
      </c>
      <c r="AS123" s="208">
        <v>46081</v>
      </c>
      <c r="AT123" s="208" t="s">
        <v>1220</v>
      </c>
      <c r="AU123" s="218"/>
      <c r="AV123" s="116"/>
      <c r="AW123" s="116"/>
      <c r="AX123" s="116"/>
      <c r="AY123" s="208"/>
      <c r="AZ123" s="208"/>
      <c r="BA123" s="208"/>
      <c r="BB123" s="208" t="str">
        <f t="shared" si="10"/>
        <v>Viet Tinh Anh</v>
      </c>
      <c r="BC123" s="208" t="str">
        <f t="shared" si="11"/>
        <v>越南</v>
      </c>
    </row>
    <row r="124" s="194" customFormat="1" customHeight="1" spans="1:55">
      <c r="A124" s="208">
        <v>46015</v>
      </c>
      <c r="B124" s="40" t="str">
        <f ca="1" t="shared" si="12"/>
        <v/>
      </c>
      <c r="C124" s="209" t="str">
        <f>VLOOKUP(H124,名称!A:E,4,0)</f>
        <v>二代</v>
      </c>
      <c r="D124" s="210" t="s">
        <v>1257</v>
      </c>
      <c r="E124" s="210" t="s">
        <v>1258</v>
      </c>
      <c r="F124" s="211" t="s">
        <v>375</v>
      </c>
      <c r="G124" s="211" t="s">
        <v>376</v>
      </c>
      <c r="H124" s="211" t="s">
        <v>35</v>
      </c>
      <c r="I124" s="211"/>
      <c r="J124" s="212">
        <v>12000</v>
      </c>
      <c r="K124" s="211">
        <v>7</v>
      </c>
      <c r="L124" s="211">
        <f t="shared" si="9"/>
        <v>84000</v>
      </c>
      <c r="M124" s="211">
        <f>VLOOKUP(H124,名称!A:E,3,0)</f>
        <v>24</v>
      </c>
      <c r="N124" s="212">
        <f t="shared" si="13"/>
        <v>500</v>
      </c>
      <c r="O124" s="208">
        <v>46079</v>
      </c>
      <c r="P124" s="208">
        <v>46079</v>
      </c>
      <c r="Q124" s="208">
        <v>46079</v>
      </c>
      <c r="R124" s="211" t="s">
        <v>1558</v>
      </c>
      <c r="S124" s="208">
        <v>46080</v>
      </c>
      <c r="T124" s="211" t="s">
        <v>1241</v>
      </c>
      <c r="U124" s="211"/>
      <c r="V124" s="211" t="s">
        <v>1608</v>
      </c>
      <c r="W124" s="208"/>
      <c r="X124" s="211" t="s">
        <v>1133</v>
      </c>
      <c r="Y124" s="211" t="s">
        <v>1133</v>
      </c>
      <c r="Z124" s="211" t="s">
        <v>1249</v>
      </c>
      <c r="AA124" s="214">
        <v>46034</v>
      </c>
      <c r="AB124" s="213">
        <v>46036</v>
      </c>
      <c r="AC124" s="211" t="s">
        <v>1581</v>
      </c>
      <c r="AD124" s="211" t="s">
        <v>1228</v>
      </c>
      <c r="AE124" s="211" t="s">
        <v>334</v>
      </c>
      <c r="AF124" s="211" t="s">
        <v>1228</v>
      </c>
      <c r="AG124" s="211" t="s">
        <v>334</v>
      </c>
      <c r="AH124" s="211" t="s">
        <v>1361</v>
      </c>
      <c r="AI124" s="211" t="s">
        <v>1228</v>
      </c>
      <c r="AJ124" s="211" t="s">
        <v>1133</v>
      </c>
      <c r="AK124" s="211" t="s">
        <v>1133</v>
      </c>
      <c r="AL124" s="211"/>
      <c r="AM124" s="211" t="s">
        <v>1626</v>
      </c>
      <c r="AN124" s="212"/>
      <c r="AO124" s="215">
        <v>0.85</v>
      </c>
      <c r="AP124" s="216">
        <f t="shared" si="14"/>
        <v>10200</v>
      </c>
      <c r="AQ124" s="216">
        <f t="shared" si="15"/>
        <v>79050</v>
      </c>
      <c r="AR124" s="217">
        <v>61066</v>
      </c>
      <c r="AS124" s="208">
        <v>46083</v>
      </c>
      <c r="AT124" s="208" t="s">
        <v>1220</v>
      </c>
      <c r="AU124" s="218"/>
      <c r="AV124" s="116"/>
      <c r="AW124" s="116"/>
      <c r="AX124" s="116"/>
      <c r="AY124" s="208"/>
      <c r="AZ124" s="208"/>
      <c r="BA124" s="208"/>
      <c r="BB124" s="208" t="str">
        <f t="shared" si="10"/>
        <v>Character Options</v>
      </c>
      <c r="BC124" s="208" t="str">
        <f t="shared" si="11"/>
        <v>英国</v>
      </c>
    </row>
    <row r="125" s="194" customFormat="1" customHeight="1" spans="1:55">
      <c r="A125" s="208">
        <v>46015</v>
      </c>
      <c r="B125" s="40" t="str">
        <f ca="1" t="shared" si="12"/>
        <v/>
      </c>
      <c r="C125" s="209" t="str">
        <f>VLOOKUP(H125,名称!A:E,4,0)</f>
        <v>二代</v>
      </c>
      <c r="D125" s="210" t="s">
        <v>1257</v>
      </c>
      <c r="E125" s="210" t="s">
        <v>1258</v>
      </c>
      <c r="F125" s="211" t="s">
        <v>375</v>
      </c>
      <c r="G125" s="211" t="s">
        <v>376</v>
      </c>
      <c r="H125" s="211" t="s">
        <v>36</v>
      </c>
      <c r="I125" s="211"/>
      <c r="J125" s="212">
        <v>12006</v>
      </c>
      <c r="K125" s="211">
        <v>7</v>
      </c>
      <c r="L125" s="211">
        <f>J125*K125</f>
        <v>84042</v>
      </c>
      <c r="M125" s="211">
        <f>VLOOKUP(H125,名称!A:E,3,0)</f>
        <v>9</v>
      </c>
      <c r="N125" s="212">
        <f t="shared" si="13"/>
        <v>1334</v>
      </c>
      <c r="O125" s="208">
        <v>46079</v>
      </c>
      <c r="P125" s="208">
        <v>46079</v>
      </c>
      <c r="Q125" s="208">
        <v>46079</v>
      </c>
      <c r="R125" s="211" t="s">
        <v>1558</v>
      </c>
      <c r="S125" s="208">
        <v>46080</v>
      </c>
      <c r="T125" s="211" t="s">
        <v>1241</v>
      </c>
      <c r="U125" s="211"/>
      <c r="V125" s="211"/>
      <c r="W125" s="208"/>
      <c r="X125" s="211" t="s">
        <v>1133</v>
      </c>
      <c r="Y125" s="211" t="s">
        <v>1133</v>
      </c>
      <c r="Z125" s="211" t="s">
        <v>1249</v>
      </c>
      <c r="AA125" s="214">
        <v>46034</v>
      </c>
      <c r="AB125" s="213">
        <v>46036</v>
      </c>
      <c r="AC125" s="211" t="s">
        <v>1581</v>
      </c>
      <c r="AD125" s="211" t="s">
        <v>1228</v>
      </c>
      <c r="AE125" s="211" t="s">
        <v>334</v>
      </c>
      <c r="AF125" s="211" t="s">
        <v>1228</v>
      </c>
      <c r="AG125" s="211" t="s">
        <v>334</v>
      </c>
      <c r="AH125" s="211" t="s">
        <v>1361</v>
      </c>
      <c r="AI125" s="211" t="s">
        <v>1228</v>
      </c>
      <c r="AJ125" s="211" t="s">
        <v>1133</v>
      </c>
      <c r="AK125" s="211" t="s">
        <v>1133</v>
      </c>
      <c r="AL125" s="211"/>
      <c r="AM125" s="211" t="s">
        <v>1626</v>
      </c>
      <c r="AN125" s="212"/>
      <c r="AO125" s="215">
        <v>0.83</v>
      </c>
      <c r="AP125" s="216">
        <f t="shared" si="14"/>
        <v>9964.98</v>
      </c>
      <c r="AQ125" s="216">
        <f t="shared" si="15"/>
        <v>77228.6</v>
      </c>
      <c r="AR125" s="217">
        <v>61066</v>
      </c>
      <c r="AS125" s="208">
        <v>46083</v>
      </c>
      <c r="AT125" s="208" t="s">
        <v>1220</v>
      </c>
      <c r="AU125" s="218"/>
      <c r="AV125" s="116"/>
      <c r="AW125" s="116"/>
      <c r="AX125" s="116"/>
      <c r="AY125" s="208"/>
      <c r="AZ125" s="208"/>
      <c r="BA125" s="208"/>
      <c r="BB125" s="208" t="str">
        <f t="shared" si="10"/>
        <v>Character Options</v>
      </c>
      <c r="BC125" s="208" t="str">
        <f t="shared" si="11"/>
        <v>英国</v>
      </c>
    </row>
    <row r="126" s="194" customFormat="1" customHeight="1" spans="1:55">
      <c r="A126" s="208">
        <v>46015</v>
      </c>
      <c r="B126" s="40" t="str">
        <f ca="1" t="shared" si="12"/>
        <v/>
      </c>
      <c r="C126" s="209" t="str">
        <f>VLOOKUP(H126,名称!A:E,4,0)</f>
        <v>二代</v>
      </c>
      <c r="D126" s="210" t="s">
        <v>1257</v>
      </c>
      <c r="E126" s="210" t="s">
        <v>1258</v>
      </c>
      <c r="F126" s="211" t="s">
        <v>375</v>
      </c>
      <c r="G126" s="211" t="s">
        <v>376</v>
      </c>
      <c r="H126" s="211" t="s">
        <v>37</v>
      </c>
      <c r="I126" s="211"/>
      <c r="J126" s="212">
        <v>12000</v>
      </c>
      <c r="K126" s="211">
        <v>12</v>
      </c>
      <c r="L126" s="211">
        <f>J126*K126</f>
        <v>144000</v>
      </c>
      <c r="M126" s="211">
        <f>VLOOKUP(H126,名称!A:E,3,0)</f>
        <v>6</v>
      </c>
      <c r="N126" s="212">
        <f t="shared" si="13"/>
        <v>2000</v>
      </c>
      <c r="O126" s="208">
        <v>46079</v>
      </c>
      <c r="P126" s="208">
        <v>46079</v>
      </c>
      <c r="Q126" s="208">
        <v>46079</v>
      </c>
      <c r="R126" s="211" t="s">
        <v>1558</v>
      </c>
      <c r="S126" s="208">
        <v>46080</v>
      </c>
      <c r="T126" s="211" t="s">
        <v>1241</v>
      </c>
      <c r="U126" s="211"/>
      <c r="V126" s="211"/>
      <c r="W126" s="208"/>
      <c r="X126" s="211" t="s">
        <v>1133</v>
      </c>
      <c r="Y126" s="211" t="s">
        <v>1133</v>
      </c>
      <c r="Z126" s="211" t="s">
        <v>1249</v>
      </c>
      <c r="AA126" s="214">
        <v>46034</v>
      </c>
      <c r="AB126" s="213">
        <v>46036</v>
      </c>
      <c r="AC126" s="211" t="s">
        <v>1581</v>
      </c>
      <c r="AD126" s="211" t="s">
        <v>1228</v>
      </c>
      <c r="AE126" s="211" t="s">
        <v>334</v>
      </c>
      <c r="AF126" s="211" t="s">
        <v>1228</v>
      </c>
      <c r="AG126" s="211" t="s">
        <v>334</v>
      </c>
      <c r="AH126" s="211" t="s">
        <v>1361</v>
      </c>
      <c r="AI126" s="211" t="s">
        <v>1228</v>
      </c>
      <c r="AJ126" s="211" t="s">
        <v>1583</v>
      </c>
      <c r="AK126" s="211" t="s">
        <v>1133</v>
      </c>
      <c r="AL126" s="211"/>
      <c r="AM126" s="211" t="s">
        <v>1627</v>
      </c>
      <c r="AN126" s="212"/>
      <c r="AO126" s="215">
        <v>2.02</v>
      </c>
      <c r="AP126" s="216">
        <f t="shared" si="14"/>
        <v>24240</v>
      </c>
      <c r="AQ126" s="216">
        <f t="shared" si="15"/>
        <v>187860</v>
      </c>
      <c r="AR126" s="217">
        <v>61066</v>
      </c>
      <c r="AS126" s="208">
        <v>46083</v>
      </c>
      <c r="AT126" s="208" t="s">
        <v>1220</v>
      </c>
      <c r="AU126" s="218"/>
      <c r="AV126" s="116"/>
      <c r="AW126" s="116"/>
      <c r="AX126" s="116"/>
      <c r="AY126" s="208"/>
      <c r="AZ126" s="208"/>
      <c r="BA126" s="208"/>
      <c r="BB126" s="208" t="str">
        <f t="shared" si="10"/>
        <v>Character Options</v>
      </c>
      <c r="BC126" s="208" t="str">
        <f t="shared" si="11"/>
        <v>英国</v>
      </c>
    </row>
    <row r="127" s="194" customFormat="1" customHeight="1" spans="1:55">
      <c r="A127" s="208">
        <v>45966</v>
      </c>
      <c r="B127" s="40" t="str">
        <f ca="1" t="shared" si="12"/>
        <v/>
      </c>
      <c r="C127" s="209" t="str">
        <f>VLOOKUP(H127,名称!A:E,4,0)</f>
        <v>二代</v>
      </c>
      <c r="D127" s="210" t="s">
        <v>1223</v>
      </c>
      <c r="E127" s="210" t="s">
        <v>1224</v>
      </c>
      <c r="F127" s="211">
        <v>2916427</v>
      </c>
      <c r="G127" s="211" t="s">
        <v>325</v>
      </c>
      <c r="H127" s="211" t="s">
        <v>44</v>
      </c>
      <c r="I127" s="211"/>
      <c r="J127" s="212">
        <v>1800</v>
      </c>
      <c r="K127" s="211">
        <v>5</v>
      </c>
      <c r="L127" s="211">
        <f>K127*J127</f>
        <v>9000</v>
      </c>
      <c r="M127" s="211">
        <f>VLOOKUP(H127,名称!A:E,3,0)</f>
        <v>24</v>
      </c>
      <c r="N127" s="212">
        <f t="shared" si="13"/>
        <v>75</v>
      </c>
      <c r="O127" s="208">
        <v>46055</v>
      </c>
      <c r="P127" s="208">
        <v>46055</v>
      </c>
      <c r="Q127" s="208">
        <v>46001</v>
      </c>
      <c r="R127" s="211" t="s">
        <v>1241</v>
      </c>
      <c r="S127" s="208">
        <v>46052</v>
      </c>
      <c r="T127" s="211" t="s">
        <v>1282</v>
      </c>
      <c r="U127" s="211"/>
      <c r="V127" s="211"/>
      <c r="W127" s="211" t="s">
        <v>1628</v>
      </c>
      <c r="X127" s="211" t="s">
        <v>1133</v>
      </c>
      <c r="Y127" s="211" t="s">
        <v>1133</v>
      </c>
      <c r="Z127" s="213">
        <v>45967</v>
      </c>
      <c r="AA127" s="214">
        <v>45967</v>
      </c>
      <c r="AB127" s="213">
        <v>45971</v>
      </c>
      <c r="AC127" s="211" t="s">
        <v>1133</v>
      </c>
      <c r="AD127" s="211" t="s">
        <v>1133</v>
      </c>
      <c r="AE127" s="211" t="s">
        <v>253</v>
      </c>
      <c r="AF127" s="211" t="s">
        <v>1228</v>
      </c>
      <c r="AG127" s="211" t="s">
        <v>1604</v>
      </c>
      <c r="AH127" s="211" t="s">
        <v>1133</v>
      </c>
      <c r="AI127" s="211" t="s">
        <v>1228</v>
      </c>
      <c r="AJ127" s="211" t="s">
        <v>1133</v>
      </c>
      <c r="AK127" s="211" t="s">
        <v>1605</v>
      </c>
      <c r="AL127" s="211" t="s">
        <v>1228</v>
      </c>
      <c r="AM127" s="211" t="s">
        <v>1230</v>
      </c>
      <c r="AN127" s="212" t="s">
        <v>1234</v>
      </c>
      <c r="AO127" s="215">
        <v>0.65</v>
      </c>
      <c r="AP127" s="216">
        <f t="shared" si="14"/>
        <v>1170</v>
      </c>
      <c r="AQ127" s="216">
        <f t="shared" si="15"/>
        <v>9067.5</v>
      </c>
      <c r="AR127" s="217">
        <v>61067</v>
      </c>
      <c r="AS127" s="208">
        <v>46083</v>
      </c>
      <c r="AT127" s="208" t="s">
        <v>1220</v>
      </c>
      <c r="AU127" s="218"/>
      <c r="AV127" s="116"/>
      <c r="AW127" s="116"/>
      <c r="AX127" s="116"/>
      <c r="AY127" s="208" t="s">
        <v>1232</v>
      </c>
      <c r="AZ127" s="208" t="s">
        <v>1222</v>
      </c>
      <c r="BA127" s="208"/>
      <c r="BB127" s="208" t="str">
        <f t="shared" si="10"/>
        <v>JAZWARES INTERNATIONAL</v>
      </c>
      <c r="BC127" s="208" t="str">
        <f t="shared" si="11"/>
        <v>美国</v>
      </c>
    </row>
    <row r="128" s="194" customFormat="1" customHeight="1" spans="1:55">
      <c r="A128" s="208">
        <v>45953</v>
      </c>
      <c r="B128" s="40" t="str">
        <f ca="1" t="shared" si="12"/>
        <v/>
      </c>
      <c r="C128" s="209" t="str">
        <f>VLOOKUP(H128,名称!A:E,4,0)</f>
        <v>二代</v>
      </c>
      <c r="D128" s="210" t="s">
        <v>1240</v>
      </c>
      <c r="E128" s="210" t="s">
        <v>1224</v>
      </c>
      <c r="F128" s="211" t="s">
        <v>307</v>
      </c>
      <c r="G128" s="211" t="s">
        <v>308</v>
      </c>
      <c r="H128" s="211" t="s">
        <v>44</v>
      </c>
      <c r="I128" s="211"/>
      <c r="J128" s="212">
        <v>14016</v>
      </c>
      <c r="K128" s="211">
        <v>5</v>
      </c>
      <c r="L128" s="211">
        <f t="shared" ref="L128:L138" si="17">J128*K128</f>
        <v>70080</v>
      </c>
      <c r="M128" s="211">
        <f>VLOOKUP(H128,名称!A:E,3,0)</f>
        <v>24</v>
      </c>
      <c r="N128" s="212">
        <f t="shared" si="13"/>
        <v>584</v>
      </c>
      <c r="O128" s="208">
        <v>46079</v>
      </c>
      <c r="P128" s="208">
        <v>46079</v>
      </c>
      <c r="Q128" s="208">
        <v>46078</v>
      </c>
      <c r="R128" s="211" t="s">
        <v>1241</v>
      </c>
      <c r="S128" s="208">
        <v>46079</v>
      </c>
      <c r="T128" s="211" t="s">
        <v>1241</v>
      </c>
      <c r="U128" s="211"/>
      <c r="V128" s="211"/>
      <c r="W128" s="208"/>
      <c r="X128" s="211" t="s">
        <v>1133</v>
      </c>
      <c r="Y128" s="211" t="s">
        <v>1133</v>
      </c>
      <c r="Z128" s="211" t="s">
        <v>1249</v>
      </c>
      <c r="AA128" s="214">
        <v>46029</v>
      </c>
      <c r="AB128" s="213">
        <v>46033</v>
      </c>
      <c r="AC128" s="211" t="s">
        <v>1133</v>
      </c>
      <c r="AD128" s="211" t="s">
        <v>1133</v>
      </c>
      <c r="AE128" s="211" t="s">
        <v>1597</v>
      </c>
      <c r="AF128" s="211" t="s">
        <v>1228</v>
      </c>
      <c r="AG128" s="211" t="s">
        <v>1597</v>
      </c>
      <c r="AH128" s="211" t="s">
        <v>1133</v>
      </c>
      <c r="AI128" s="211" t="s">
        <v>1228</v>
      </c>
      <c r="AJ128" s="211" t="s">
        <v>1133</v>
      </c>
      <c r="AK128" s="211" t="s">
        <v>1598</v>
      </c>
      <c r="AL128" s="211"/>
      <c r="AM128" s="211" t="s">
        <v>1620</v>
      </c>
      <c r="AN128" s="212"/>
      <c r="AO128" s="215">
        <v>0.61</v>
      </c>
      <c r="AP128" s="216">
        <f t="shared" si="14"/>
        <v>8549.76</v>
      </c>
      <c r="AQ128" s="216">
        <f t="shared" si="15"/>
        <v>66260.64</v>
      </c>
      <c r="AR128" s="217">
        <v>61068</v>
      </c>
      <c r="AS128" s="208">
        <v>46092</v>
      </c>
      <c r="AT128" s="208" t="s">
        <v>1220</v>
      </c>
      <c r="AU128" s="218"/>
      <c r="AV128" s="116"/>
      <c r="AW128" s="116"/>
      <c r="AX128" s="116"/>
      <c r="AY128" s="208"/>
      <c r="AZ128" s="208"/>
      <c r="BA128" s="208"/>
      <c r="BB128" s="208" t="str">
        <f t="shared" si="10"/>
        <v>JAZWARES - TARGET US DOM</v>
      </c>
      <c r="BC128" s="208" t="str">
        <f t="shared" si="11"/>
        <v>美国</v>
      </c>
    </row>
    <row r="129" s="194" customFormat="1" customHeight="1" spans="1:55">
      <c r="A129" s="208">
        <v>45953</v>
      </c>
      <c r="B129" s="40" t="str">
        <f ca="1" t="shared" si="12"/>
        <v/>
      </c>
      <c r="C129" s="209" t="str">
        <f>VLOOKUP(H129,名称!A:E,4,0)</f>
        <v>二代</v>
      </c>
      <c r="D129" s="210" t="s">
        <v>1240</v>
      </c>
      <c r="E129" s="210" t="s">
        <v>1224</v>
      </c>
      <c r="F129" s="211" t="s">
        <v>311</v>
      </c>
      <c r="G129" s="211" t="s">
        <v>312</v>
      </c>
      <c r="H129" s="211" t="s">
        <v>26</v>
      </c>
      <c r="I129" s="211"/>
      <c r="J129" s="212">
        <v>9000</v>
      </c>
      <c r="K129" s="211">
        <v>12</v>
      </c>
      <c r="L129" s="211">
        <f t="shared" si="17"/>
        <v>108000</v>
      </c>
      <c r="M129" s="211">
        <f>VLOOKUP(H129,名称!A:E,3,0)</f>
        <v>6</v>
      </c>
      <c r="N129" s="212">
        <f t="shared" si="13"/>
        <v>1500</v>
      </c>
      <c r="O129" s="208">
        <v>46079</v>
      </c>
      <c r="P129" s="208">
        <v>46079</v>
      </c>
      <c r="Q129" s="208">
        <v>46078</v>
      </c>
      <c r="R129" s="211" t="s">
        <v>1241</v>
      </c>
      <c r="S129" s="208">
        <v>46084</v>
      </c>
      <c r="T129" s="211" t="s">
        <v>1241</v>
      </c>
      <c r="U129" s="211"/>
      <c r="V129" s="211"/>
      <c r="W129" s="208"/>
      <c r="X129" s="211" t="s">
        <v>1133</v>
      </c>
      <c r="Y129" s="211" t="s">
        <v>1133</v>
      </c>
      <c r="Z129" s="211" t="s">
        <v>1249</v>
      </c>
      <c r="AA129" s="214">
        <v>46029</v>
      </c>
      <c r="AB129" s="213">
        <v>46033</v>
      </c>
      <c r="AC129" s="211" t="s">
        <v>1244</v>
      </c>
      <c r="AD129" s="211" t="s">
        <v>1228</v>
      </c>
      <c r="AE129" s="211" t="s">
        <v>1597</v>
      </c>
      <c r="AF129" s="211" t="s">
        <v>1228</v>
      </c>
      <c r="AG129" s="211" t="s">
        <v>1597</v>
      </c>
      <c r="AH129" s="211" t="s">
        <v>1601</v>
      </c>
      <c r="AI129" s="211" t="s">
        <v>1228</v>
      </c>
      <c r="AJ129" s="211" t="s">
        <v>327</v>
      </c>
      <c r="AK129" s="211" t="s">
        <v>1133</v>
      </c>
      <c r="AL129" s="211"/>
      <c r="AM129" s="211" t="s">
        <v>1620</v>
      </c>
      <c r="AN129" s="212"/>
      <c r="AO129" s="215">
        <v>2.14</v>
      </c>
      <c r="AP129" s="216">
        <f t="shared" si="14"/>
        <v>19260</v>
      </c>
      <c r="AQ129" s="216">
        <f t="shared" si="15"/>
        <v>149265</v>
      </c>
      <c r="AR129" s="217">
        <v>61069</v>
      </c>
      <c r="AS129" s="208">
        <v>46092</v>
      </c>
      <c r="AT129" s="208" t="s">
        <v>1220</v>
      </c>
      <c r="AU129" s="218"/>
      <c r="AV129" s="116"/>
      <c r="AW129" s="116"/>
      <c r="AX129" s="116"/>
      <c r="AY129" s="208"/>
      <c r="AZ129" s="208"/>
      <c r="BA129" s="208"/>
      <c r="BB129" s="208" t="str">
        <f t="shared" ref="BB129:BB192" si="18">D129</f>
        <v>JAZWARES - TARGET US DOM</v>
      </c>
      <c r="BC129" s="208" t="str">
        <f t="shared" ref="BC129:BC192" si="19">E129</f>
        <v>美国</v>
      </c>
    </row>
    <row r="130" s="194" customFormat="1" customHeight="1" spans="1:55">
      <c r="A130" s="208">
        <v>45953</v>
      </c>
      <c r="B130" s="40" t="str">
        <f ca="1" t="shared" si="12"/>
        <v/>
      </c>
      <c r="C130" s="209" t="str">
        <f>VLOOKUP(H130,名称!A:E,4,0)</f>
        <v>二代</v>
      </c>
      <c r="D130" s="210" t="s">
        <v>1240</v>
      </c>
      <c r="E130" s="210" t="s">
        <v>1224</v>
      </c>
      <c r="F130" s="211" t="s">
        <v>309</v>
      </c>
      <c r="G130" s="211" t="s">
        <v>310</v>
      </c>
      <c r="H130" s="211" t="s">
        <v>43</v>
      </c>
      <c r="I130" s="211"/>
      <c r="J130" s="212">
        <v>15000</v>
      </c>
      <c r="K130" s="211">
        <v>5</v>
      </c>
      <c r="L130" s="211">
        <f t="shared" si="17"/>
        <v>75000</v>
      </c>
      <c r="M130" s="211">
        <f>VLOOKUP(H130,名称!A:E,3,0)</f>
        <v>24</v>
      </c>
      <c r="N130" s="212">
        <f t="shared" si="13"/>
        <v>625</v>
      </c>
      <c r="O130" s="208">
        <v>46079</v>
      </c>
      <c r="P130" s="208">
        <v>46079</v>
      </c>
      <c r="Q130" s="208">
        <v>46078</v>
      </c>
      <c r="R130" s="211" t="s">
        <v>1241</v>
      </c>
      <c r="S130" s="208">
        <v>46079</v>
      </c>
      <c r="T130" s="211" t="s">
        <v>1241</v>
      </c>
      <c r="U130" s="211"/>
      <c r="V130" s="211"/>
      <c r="W130" s="208"/>
      <c r="X130" s="211" t="s">
        <v>1133</v>
      </c>
      <c r="Y130" s="211" t="s">
        <v>1133</v>
      </c>
      <c r="Z130" s="211" t="s">
        <v>1249</v>
      </c>
      <c r="AA130" s="214">
        <v>46029</v>
      </c>
      <c r="AB130" s="213">
        <v>46033</v>
      </c>
      <c r="AC130" s="211" t="s">
        <v>1133</v>
      </c>
      <c r="AD130" s="211" t="s">
        <v>1133</v>
      </c>
      <c r="AE130" s="211" t="s">
        <v>1596</v>
      </c>
      <c r="AF130" s="211" t="s">
        <v>1228</v>
      </c>
      <c r="AG130" s="211" t="s">
        <v>1597</v>
      </c>
      <c r="AH130" s="211" t="s">
        <v>1133</v>
      </c>
      <c r="AI130" s="211" t="s">
        <v>1228</v>
      </c>
      <c r="AJ130" s="211" t="s">
        <v>1133</v>
      </c>
      <c r="AK130" s="211" t="s">
        <v>1598</v>
      </c>
      <c r="AL130" s="211"/>
      <c r="AM130" s="211" t="s">
        <v>1620</v>
      </c>
      <c r="AN130" s="212"/>
      <c r="AO130" s="215">
        <v>0.61</v>
      </c>
      <c r="AP130" s="216">
        <f t="shared" si="14"/>
        <v>9150</v>
      </c>
      <c r="AQ130" s="216">
        <f t="shared" si="15"/>
        <v>70912.5</v>
      </c>
      <c r="AR130" s="217">
        <v>61070</v>
      </c>
      <c r="AS130" s="208">
        <v>46092</v>
      </c>
      <c r="AT130" s="208" t="s">
        <v>1220</v>
      </c>
      <c r="AU130" s="218"/>
      <c r="AV130" s="116"/>
      <c r="AW130" s="116"/>
      <c r="AX130" s="116"/>
      <c r="AY130" s="208"/>
      <c r="AZ130" s="208"/>
      <c r="BA130" s="208"/>
      <c r="BB130" s="208" t="str">
        <f t="shared" si="18"/>
        <v>JAZWARES - TARGET US DOM</v>
      </c>
      <c r="BC130" s="208" t="str">
        <f t="shared" si="19"/>
        <v>美国</v>
      </c>
    </row>
    <row r="131" s="194" customFormat="1" customHeight="1" spans="1:55">
      <c r="A131" s="208">
        <v>46014</v>
      </c>
      <c r="B131" s="40" t="str">
        <f ca="1" t="shared" ref="B131:B194" si="20">IF(TODAY()-5&gt;=A131,IF(AB131="","异常",""),"")</f>
        <v/>
      </c>
      <c r="C131" s="209" t="str">
        <f>VLOOKUP(H131,名称!A:E,4,0)</f>
        <v>二代</v>
      </c>
      <c r="D131" s="210" t="s">
        <v>1240</v>
      </c>
      <c r="E131" s="210" t="s">
        <v>1224</v>
      </c>
      <c r="F131" s="211" t="s">
        <v>369</v>
      </c>
      <c r="G131" s="211" t="s">
        <v>370</v>
      </c>
      <c r="H131" s="211" t="s">
        <v>44</v>
      </c>
      <c r="I131" s="211"/>
      <c r="J131" s="212">
        <v>10008</v>
      </c>
      <c r="K131" s="211">
        <v>5</v>
      </c>
      <c r="L131" s="211">
        <f t="shared" si="17"/>
        <v>50040</v>
      </c>
      <c r="M131" s="211">
        <f>VLOOKUP(H131,名称!A:E,3,0)</f>
        <v>24</v>
      </c>
      <c r="N131" s="212">
        <f t="shared" ref="N131:N194" si="21">J131/M131</f>
        <v>417</v>
      </c>
      <c r="O131" s="208">
        <v>46078</v>
      </c>
      <c r="P131" s="208">
        <v>46078</v>
      </c>
      <c r="Q131" s="208">
        <v>46078</v>
      </c>
      <c r="R131" s="211" t="s">
        <v>1241</v>
      </c>
      <c r="S131" s="208">
        <v>46079</v>
      </c>
      <c r="T131" s="211" t="s">
        <v>1241</v>
      </c>
      <c r="U131" s="211"/>
      <c r="V131" s="211" t="s">
        <v>1608</v>
      </c>
      <c r="W131" s="208"/>
      <c r="X131" s="211" t="s">
        <v>1133</v>
      </c>
      <c r="Y131" s="211" t="s">
        <v>1133</v>
      </c>
      <c r="Z131" s="211" t="s">
        <v>1249</v>
      </c>
      <c r="AA131" s="214">
        <v>46028</v>
      </c>
      <c r="AB131" s="213">
        <v>46033</v>
      </c>
      <c r="AC131" s="211" t="s">
        <v>1133</v>
      </c>
      <c r="AD131" s="211" t="s">
        <v>1133</v>
      </c>
      <c r="AE131" s="211" t="s">
        <v>1597</v>
      </c>
      <c r="AF131" s="211" t="s">
        <v>1228</v>
      </c>
      <c r="AG131" s="211" t="s">
        <v>1597</v>
      </c>
      <c r="AH131" s="211" t="s">
        <v>1133</v>
      </c>
      <c r="AI131" s="211" t="s">
        <v>1228</v>
      </c>
      <c r="AJ131" s="211" t="s">
        <v>1133</v>
      </c>
      <c r="AK131" s="211" t="s">
        <v>1598</v>
      </c>
      <c r="AL131" s="211"/>
      <c r="AM131" s="211" t="s">
        <v>1620</v>
      </c>
      <c r="AN131" s="212"/>
      <c r="AO131" s="215">
        <v>0.61</v>
      </c>
      <c r="AP131" s="216">
        <f t="shared" ref="AP131:AP194" si="22">J131*AO131</f>
        <v>6104.88</v>
      </c>
      <c r="AQ131" s="216">
        <f t="shared" ref="AQ131:AQ194" si="23">AP131*7.75</f>
        <v>47312.82</v>
      </c>
      <c r="AR131" s="217">
        <v>61071</v>
      </c>
      <c r="AS131" s="208">
        <v>46092</v>
      </c>
      <c r="AT131" s="208" t="s">
        <v>1220</v>
      </c>
      <c r="AU131" s="218"/>
      <c r="AV131" s="116"/>
      <c r="AW131" s="116"/>
      <c r="AX131" s="116"/>
      <c r="AY131" s="208"/>
      <c r="AZ131" s="208"/>
      <c r="BA131" s="208"/>
      <c r="BB131" s="208" t="str">
        <f t="shared" si="18"/>
        <v>JAZWARES - TARGET US DOM</v>
      </c>
      <c r="BC131" s="208" t="str">
        <f t="shared" si="19"/>
        <v>美国</v>
      </c>
    </row>
    <row r="132" s="194" customFormat="1" customHeight="1" spans="1:55">
      <c r="A132" s="208">
        <v>46014</v>
      </c>
      <c r="B132" s="40" t="str">
        <f ca="1" t="shared" si="20"/>
        <v/>
      </c>
      <c r="C132" s="209" t="str">
        <f>VLOOKUP(H132,名称!A:E,4,0)</f>
        <v>二代</v>
      </c>
      <c r="D132" s="210" t="s">
        <v>1240</v>
      </c>
      <c r="E132" s="210" t="s">
        <v>1224</v>
      </c>
      <c r="F132" s="211" t="s">
        <v>371</v>
      </c>
      <c r="G132" s="211" t="s">
        <v>372</v>
      </c>
      <c r="H132" s="211" t="s">
        <v>44</v>
      </c>
      <c r="I132" s="211"/>
      <c r="J132" s="212">
        <v>10008</v>
      </c>
      <c r="K132" s="211">
        <v>5</v>
      </c>
      <c r="L132" s="211">
        <f t="shared" si="17"/>
        <v>50040</v>
      </c>
      <c r="M132" s="211">
        <f>VLOOKUP(H132,名称!A:E,3,0)</f>
        <v>24</v>
      </c>
      <c r="N132" s="212">
        <f t="shared" si="21"/>
        <v>417</v>
      </c>
      <c r="O132" s="208">
        <v>46078</v>
      </c>
      <c r="P132" s="208">
        <v>46078</v>
      </c>
      <c r="Q132" s="208">
        <v>46078</v>
      </c>
      <c r="R132" s="211" t="s">
        <v>1241</v>
      </c>
      <c r="S132" s="208">
        <v>46079</v>
      </c>
      <c r="T132" s="211" t="s">
        <v>1241</v>
      </c>
      <c r="U132" s="211"/>
      <c r="V132" s="211"/>
      <c r="W132" s="208"/>
      <c r="X132" s="211" t="s">
        <v>1133</v>
      </c>
      <c r="Y132" s="211" t="s">
        <v>1133</v>
      </c>
      <c r="Z132" s="211" t="s">
        <v>1249</v>
      </c>
      <c r="AA132" s="214">
        <v>46028</v>
      </c>
      <c r="AB132" s="213">
        <v>46033</v>
      </c>
      <c r="AC132" s="211" t="s">
        <v>1133</v>
      </c>
      <c r="AD132" s="211" t="s">
        <v>1133</v>
      </c>
      <c r="AE132" s="211" t="s">
        <v>1597</v>
      </c>
      <c r="AF132" s="211" t="s">
        <v>1228</v>
      </c>
      <c r="AG132" s="211" t="s">
        <v>1597</v>
      </c>
      <c r="AH132" s="211" t="s">
        <v>1133</v>
      </c>
      <c r="AI132" s="211" t="s">
        <v>1228</v>
      </c>
      <c r="AJ132" s="211" t="s">
        <v>1133</v>
      </c>
      <c r="AK132" s="211" t="s">
        <v>1598</v>
      </c>
      <c r="AL132" s="211"/>
      <c r="AM132" s="211" t="s">
        <v>1620</v>
      </c>
      <c r="AN132" s="212"/>
      <c r="AO132" s="215">
        <v>0.61</v>
      </c>
      <c r="AP132" s="216">
        <f t="shared" si="22"/>
        <v>6104.88</v>
      </c>
      <c r="AQ132" s="216">
        <f t="shared" si="23"/>
        <v>47312.82</v>
      </c>
      <c r="AR132" s="217">
        <v>61072</v>
      </c>
      <c r="AS132" s="208">
        <v>46092</v>
      </c>
      <c r="AT132" s="208" t="s">
        <v>1220</v>
      </c>
      <c r="AU132" s="218"/>
      <c r="AV132" s="116"/>
      <c r="AW132" s="116"/>
      <c r="AX132" s="116"/>
      <c r="AY132" s="208"/>
      <c r="AZ132" s="208"/>
      <c r="BA132" s="208"/>
      <c r="BB132" s="208" t="str">
        <f t="shared" si="18"/>
        <v>JAZWARES - TARGET US DOM</v>
      </c>
      <c r="BC132" s="208" t="str">
        <f t="shared" si="19"/>
        <v>美国</v>
      </c>
    </row>
    <row r="133" s="194" customFormat="1" customHeight="1" spans="1:55">
      <c r="A133" s="208">
        <v>45915</v>
      </c>
      <c r="B133" s="40" t="str">
        <f ca="1" t="shared" si="20"/>
        <v/>
      </c>
      <c r="C133" s="209" t="str">
        <f>VLOOKUP(H133,名称!A:E,4,0)</f>
        <v>二代</v>
      </c>
      <c r="D133" s="210" t="s">
        <v>1240</v>
      </c>
      <c r="E133" s="210" t="s">
        <v>1224</v>
      </c>
      <c r="F133" s="211" t="s">
        <v>268</v>
      </c>
      <c r="G133" s="211" t="s">
        <v>269</v>
      </c>
      <c r="H133" s="211" t="s">
        <v>43</v>
      </c>
      <c r="I133" s="211"/>
      <c r="J133" s="212">
        <v>6216</v>
      </c>
      <c r="K133" s="211">
        <v>5</v>
      </c>
      <c r="L133" s="211">
        <f t="shared" si="17"/>
        <v>31080</v>
      </c>
      <c r="M133" s="211">
        <f>VLOOKUP(H133,名称!A:E,3,0)</f>
        <v>24</v>
      </c>
      <c r="N133" s="212">
        <f t="shared" si="21"/>
        <v>259</v>
      </c>
      <c r="O133" s="208">
        <v>46087</v>
      </c>
      <c r="P133" s="208">
        <f>O133</f>
        <v>46087</v>
      </c>
      <c r="Q133" s="208">
        <v>46086</v>
      </c>
      <c r="R133" s="211" t="s">
        <v>1277</v>
      </c>
      <c r="S133" s="208">
        <v>46087</v>
      </c>
      <c r="T133" s="211" t="s">
        <v>1277</v>
      </c>
      <c r="U133" s="211"/>
      <c r="V133" s="211"/>
      <c r="W133" s="208"/>
      <c r="X133" s="211" t="s">
        <v>1133</v>
      </c>
      <c r="Y133" s="211" t="s">
        <v>1133</v>
      </c>
      <c r="Z133" s="213">
        <v>46031</v>
      </c>
      <c r="AA133" s="214">
        <v>46032</v>
      </c>
      <c r="AB133" s="213">
        <v>46034</v>
      </c>
      <c r="AC133" s="211" t="s">
        <v>1133</v>
      </c>
      <c r="AD133" s="211" t="s">
        <v>1133</v>
      </c>
      <c r="AE133" s="211" t="s">
        <v>1596</v>
      </c>
      <c r="AF133" s="211" t="s">
        <v>1228</v>
      </c>
      <c r="AG133" s="211" t="s">
        <v>1597</v>
      </c>
      <c r="AH133" s="211" t="s">
        <v>1133</v>
      </c>
      <c r="AI133" s="211" t="s">
        <v>1228</v>
      </c>
      <c r="AJ133" s="211" t="s">
        <v>1133</v>
      </c>
      <c r="AK133" s="211" t="s">
        <v>1598</v>
      </c>
      <c r="AL133" s="211"/>
      <c r="AM133" s="211" t="s">
        <v>1243</v>
      </c>
      <c r="AN133" s="212"/>
      <c r="AO133" s="215">
        <v>0.61</v>
      </c>
      <c r="AP133" s="216">
        <f t="shared" si="22"/>
        <v>3791.76</v>
      </c>
      <c r="AQ133" s="216">
        <f t="shared" si="23"/>
        <v>29386.14</v>
      </c>
      <c r="AR133" s="217">
        <v>61073</v>
      </c>
      <c r="AS133" s="208">
        <v>46092</v>
      </c>
      <c r="AT133" s="208" t="s">
        <v>1220</v>
      </c>
      <c r="AU133" s="218"/>
      <c r="AV133" s="116"/>
      <c r="AW133" s="116"/>
      <c r="AX133" s="116"/>
      <c r="AY133" s="208"/>
      <c r="AZ133" s="208"/>
      <c r="BA133" s="208"/>
      <c r="BB133" s="208" t="str">
        <f t="shared" si="18"/>
        <v>JAZWARES - TARGET US DOM</v>
      </c>
      <c r="BC133" s="208" t="str">
        <f t="shared" si="19"/>
        <v>美国</v>
      </c>
    </row>
    <row r="134" s="194" customFormat="1" customHeight="1" spans="1:55">
      <c r="A134" s="208">
        <v>45945</v>
      </c>
      <c r="B134" s="40" t="str">
        <f ca="1" t="shared" si="20"/>
        <v/>
      </c>
      <c r="C134" s="209" t="str">
        <f>VLOOKUP(H134,名称!A:E,4,0)</f>
        <v>二代</v>
      </c>
      <c r="D134" s="210" t="s">
        <v>1240</v>
      </c>
      <c r="E134" s="210" t="s">
        <v>1224</v>
      </c>
      <c r="F134" s="211" t="s">
        <v>291</v>
      </c>
      <c r="G134" s="211" t="s">
        <v>292</v>
      </c>
      <c r="H134" s="211" t="s">
        <v>44</v>
      </c>
      <c r="I134" s="211"/>
      <c r="J134" s="212">
        <v>7008</v>
      </c>
      <c r="K134" s="211">
        <v>5</v>
      </c>
      <c r="L134" s="211">
        <f t="shared" si="17"/>
        <v>35040</v>
      </c>
      <c r="M134" s="211">
        <f>VLOOKUP(H134,名称!A:E,3,0)</f>
        <v>24</v>
      </c>
      <c r="N134" s="212">
        <f t="shared" si="21"/>
        <v>292</v>
      </c>
      <c r="O134" s="208">
        <v>46087</v>
      </c>
      <c r="P134" s="208">
        <v>46087</v>
      </c>
      <c r="Q134" s="208">
        <v>46086</v>
      </c>
      <c r="R134" s="211" t="s">
        <v>1241</v>
      </c>
      <c r="S134" s="208">
        <v>46087</v>
      </c>
      <c r="T134" s="211" t="s">
        <v>1241</v>
      </c>
      <c r="U134" s="211"/>
      <c r="V134" s="211"/>
      <c r="W134" s="208"/>
      <c r="X134" s="211" t="s">
        <v>1133</v>
      </c>
      <c r="Y134" s="211" t="s">
        <v>1133</v>
      </c>
      <c r="Z134" s="213">
        <v>46031</v>
      </c>
      <c r="AA134" s="214">
        <v>46032</v>
      </c>
      <c r="AB134" s="213">
        <v>46034</v>
      </c>
      <c r="AC134" s="211" t="s">
        <v>1133</v>
      </c>
      <c r="AD134" s="211" t="s">
        <v>1133</v>
      </c>
      <c r="AE134" s="211" t="s">
        <v>1597</v>
      </c>
      <c r="AF134" s="211" t="s">
        <v>1228</v>
      </c>
      <c r="AG134" s="211" t="s">
        <v>1597</v>
      </c>
      <c r="AH134" s="211" t="s">
        <v>1133</v>
      </c>
      <c r="AI134" s="211" t="s">
        <v>1228</v>
      </c>
      <c r="AJ134" s="211" t="s">
        <v>1133</v>
      </c>
      <c r="AK134" s="211" t="s">
        <v>1598</v>
      </c>
      <c r="AL134" s="211"/>
      <c r="AM134" s="211" t="s">
        <v>1243</v>
      </c>
      <c r="AN134" s="212"/>
      <c r="AO134" s="215">
        <v>0.61</v>
      </c>
      <c r="AP134" s="216">
        <f t="shared" si="22"/>
        <v>4274.88</v>
      </c>
      <c r="AQ134" s="216">
        <f t="shared" si="23"/>
        <v>33130.32</v>
      </c>
      <c r="AR134" s="217">
        <v>61074</v>
      </c>
      <c r="AS134" s="208">
        <v>46092</v>
      </c>
      <c r="AT134" s="208" t="s">
        <v>1220</v>
      </c>
      <c r="AU134" s="218"/>
      <c r="AV134" s="116"/>
      <c r="AW134" s="116"/>
      <c r="AX134" s="116"/>
      <c r="AY134" s="208"/>
      <c r="AZ134" s="208"/>
      <c r="BA134" s="208"/>
      <c r="BB134" s="208" t="str">
        <f t="shared" si="18"/>
        <v>JAZWARES - TARGET US DOM</v>
      </c>
      <c r="BC134" s="208" t="str">
        <f t="shared" si="19"/>
        <v>美国</v>
      </c>
    </row>
    <row r="135" s="194" customFormat="1" customHeight="1" spans="1:55">
      <c r="A135" s="208">
        <v>46038</v>
      </c>
      <c r="B135" s="40" t="str">
        <f ca="1" t="shared" si="20"/>
        <v/>
      </c>
      <c r="C135" s="209" t="str">
        <f>VLOOKUP(H135,名称!A:E,4,0)</f>
        <v>二代</v>
      </c>
      <c r="D135" s="210" t="s">
        <v>1629</v>
      </c>
      <c r="E135" s="210" t="s">
        <v>1224</v>
      </c>
      <c r="F135" s="211" t="s">
        <v>461</v>
      </c>
      <c r="G135" s="211" t="s">
        <v>462</v>
      </c>
      <c r="H135" s="211" t="s">
        <v>31</v>
      </c>
      <c r="I135" s="211"/>
      <c r="J135" s="212">
        <v>1104</v>
      </c>
      <c r="K135" s="211">
        <v>5</v>
      </c>
      <c r="L135" s="211">
        <f t="shared" si="17"/>
        <v>5520</v>
      </c>
      <c r="M135" s="211">
        <f>VLOOKUP(H135,名称!A:E,3,0)</f>
        <v>12</v>
      </c>
      <c r="N135" s="212">
        <f t="shared" si="21"/>
        <v>92</v>
      </c>
      <c r="O135" s="208">
        <v>46077</v>
      </c>
      <c r="P135" s="208">
        <v>46077</v>
      </c>
      <c r="Q135" s="208">
        <v>46078</v>
      </c>
      <c r="R135" s="211" t="s">
        <v>1241</v>
      </c>
      <c r="S135" s="208">
        <v>46079</v>
      </c>
      <c r="T135" s="211" t="s">
        <v>1241</v>
      </c>
      <c r="U135" s="211"/>
      <c r="V135" s="211" t="s">
        <v>1630</v>
      </c>
      <c r="W135" s="208"/>
      <c r="X135" s="211"/>
      <c r="Y135" s="211"/>
      <c r="Z135" s="213">
        <v>46038</v>
      </c>
      <c r="AA135" s="214">
        <v>46041</v>
      </c>
      <c r="AB135" s="213">
        <v>46041</v>
      </c>
      <c r="AC135" s="211" t="s">
        <v>1133</v>
      </c>
      <c r="AD135" s="211" t="s">
        <v>1133</v>
      </c>
      <c r="AE135" s="211" t="s">
        <v>253</v>
      </c>
      <c r="AF135" s="211" t="s">
        <v>1228</v>
      </c>
      <c r="AG135" s="211" t="s">
        <v>1604</v>
      </c>
      <c r="AH135" s="211" t="s">
        <v>1133</v>
      </c>
      <c r="AI135" s="211" t="s">
        <v>1228</v>
      </c>
      <c r="AJ135" s="211" t="s">
        <v>1133</v>
      </c>
      <c r="AK135" s="211" t="s">
        <v>1605</v>
      </c>
      <c r="AL135" s="211"/>
      <c r="AM135" s="211"/>
      <c r="AN135" s="212"/>
      <c r="AO135" s="215">
        <v>0.63</v>
      </c>
      <c r="AP135" s="216">
        <f t="shared" si="22"/>
        <v>695.52</v>
      </c>
      <c r="AQ135" s="216">
        <f t="shared" si="23"/>
        <v>5390.28</v>
      </c>
      <c r="AR135" s="217">
        <v>61075</v>
      </c>
      <c r="AS135" s="208">
        <v>46092</v>
      </c>
      <c r="AT135" s="208" t="s">
        <v>1631</v>
      </c>
      <c r="AU135" s="218"/>
      <c r="AV135" s="116"/>
      <c r="AW135" s="116"/>
      <c r="AX135" s="116"/>
      <c r="AY135" s="208"/>
      <c r="AZ135" s="208"/>
      <c r="BA135" s="208"/>
      <c r="BB135" s="208" t="str">
        <f t="shared" si="18"/>
        <v>JAZWARES -WALMART CANADA (IMPORT)</v>
      </c>
      <c r="BC135" s="208" t="str">
        <f t="shared" si="19"/>
        <v>美国</v>
      </c>
    </row>
    <row r="136" s="194" customFormat="1" customHeight="1" spans="1:55">
      <c r="A136" s="208">
        <v>45953</v>
      </c>
      <c r="B136" s="40" t="str">
        <f ca="1" t="shared" si="20"/>
        <v/>
      </c>
      <c r="C136" s="209" t="str">
        <f>VLOOKUP(H136,名称!A:E,4,0)</f>
        <v>二代</v>
      </c>
      <c r="D136" s="210" t="s">
        <v>1240</v>
      </c>
      <c r="E136" s="210" t="s">
        <v>1224</v>
      </c>
      <c r="F136" s="211" t="s">
        <v>313</v>
      </c>
      <c r="G136" s="211" t="s">
        <v>314</v>
      </c>
      <c r="H136" s="211" t="s">
        <v>43</v>
      </c>
      <c r="I136" s="211"/>
      <c r="J136" s="212">
        <v>15000</v>
      </c>
      <c r="K136" s="211">
        <v>5</v>
      </c>
      <c r="L136" s="211">
        <f t="shared" si="17"/>
        <v>75000</v>
      </c>
      <c r="M136" s="211">
        <f>VLOOKUP(H136,名称!A:E,3,0)</f>
        <v>24</v>
      </c>
      <c r="N136" s="212">
        <f t="shared" si="21"/>
        <v>625</v>
      </c>
      <c r="O136" s="208">
        <v>46093</v>
      </c>
      <c r="P136" s="208">
        <v>46093</v>
      </c>
      <c r="Q136" s="208">
        <v>46092</v>
      </c>
      <c r="R136" s="211" t="s">
        <v>1241</v>
      </c>
      <c r="S136" s="208">
        <v>46093</v>
      </c>
      <c r="T136" s="211" t="s">
        <v>1241</v>
      </c>
      <c r="U136" s="211"/>
      <c r="V136" s="211"/>
      <c r="W136" s="208"/>
      <c r="X136" s="211" t="s">
        <v>1133</v>
      </c>
      <c r="Y136" s="211" t="s">
        <v>1133</v>
      </c>
      <c r="Z136" s="213">
        <v>46031</v>
      </c>
      <c r="AA136" s="214">
        <v>46032</v>
      </c>
      <c r="AB136" s="213">
        <v>46034</v>
      </c>
      <c r="AC136" s="211" t="s">
        <v>1133</v>
      </c>
      <c r="AD136" s="211" t="s">
        <v>1133</v>
      </c>
      <c r="AE136" s="211" t="s">
        <v>1596</v>
      </c>
      <c r="AF136" s="211" t="s">
        <v>1228</v>
      </c>
      <c r="AG136" s="211" t="s">
        <v>1597</v>
      </c>
      <c r="AH136" s="211" t="s">
        <v>1133</v>
      </c>
      <c r="AI136" s="211" t="s">
        <v>1228</v>
      </c>
      <c r="AJ136" s="211" t="s">
        <v>1133</v>
      </c>
      <c r="AK136" s="211" t="s">
        <v>1598</v>
      </c>
      <c r="AL136" s="211"/>
      <c r="AM136" s="211" t="s">
        <v>1243</v>
      </c>
      <c r="AN136" s="212"/>
      <c r="AO136" s="215">
        <v>0.61</v>
      </c>
      <c r="AP136" s="216">
        <f t="shared" si="22"/>
        <v>9150</v>
      </c>
      <c r="AQ136" s="216">
        <f t="shared" si="23"/>
        <v>70912.5</v>
      </c>
      <c r="AR136" s="217">
        <v>61077</v>
      </c>
      <c r="AS136" s="208">
        <v>46099</v>
      </c>
      <c r="AT136" s="208" t="s">
        <v>1220</v>
      </c>
      <c r="AU136" s="218"/>
      <c r="AV136" s="116"/>
      <c r="AW136" s="116"/>
      <c r="AX136" s="116"/>
      <c r="AY136" s="208"/>
      <c r="AZ136" s="208"/>
      <c r="BA136" s="208"/>
      <c r="BB136" s="208" t="str">
        <f t="shared" si="18"/>
        <v>JAZWARES - TARGET US DOM</v>
      </c>
      <c r="BC136" s="208" t="str">
        <f t="shared" si="19"/>
        <v>美国</v>
      </c>
    </row>
    <row r="137" s="194" customFormat="1" customHeight="1" spans="1:55">
      <c r="A137" s="208">
        <v>45953</v>
      </c>
      <c r="B137" s="40" t="str">
        <f ca="1" t="shared" si="20"/>
        <v/>
      </c>
      <c r="C137" s="209" t="str">
        <f>VLOOKUP(H137,名称!A:E,4,0)</f>
        <v>二代</v>
      </c>
      <c r="D137" s="210" t="s">
        <v>1240</v>
      </c>
      <c r="E137" s="210" t="s">
        <v>1224</v>
      </c>
      <c r="F137" s="211" t="s">
        <v>315</v>
      </c>
      <c r="G137" s="211" t="s">
        <v>316</v>
      </c>
      <c r="H137" s="211" t="s">
        <v>44</v>
      </c>
      <c r="I137" s="211"/>
      <c r="J137" s="212">
        <v>14016</v>
      </c>
      <c r="K137" s="211">
        <v>5</v>
      </c>
      <c r="L137" s="211">
        <f t="shared" si="17"/>
        <v>70080</v>
      </c>
      <c r="M137" s="211">
        <f>VLOOKUP(H137,名称!A:E,3,0)</f>
        <v>24</v>
      </c>
      <c r="N137" s="212">
        <f t="shared" si="21"/>
        <v>584</v>
      </c>
      <c r="O137" s="208">
        <v>46093</v>
      </c>
      <c r="P137" s="208">
        <v>46093</v>
      </c>
      <c r="Q137" s="208">
        <v>46092</v>
      </c>
      <c r="R137" s="211" t="s">
        <v>1241</v>
      </c>
      <c r="S137" s="208">
        <v>46093</v>
      </c>
      <c r="T137" s="211" t="s">
        <v>1241</v>
      </c>
      <c r="U137" s="211"/>
      <c r="V137" s="211"/>
      <c r="W137" s="208"/>
      <c r="X137" s="211" t="s">
        <v>1133</v>
      </c>
      <c r="Y137" s="211" t="s">
        <v>1133</v>
      </c>
      <c r="Z137" s="213">
        <v>46031</v>
      </c>
      <c r="AA137" s="214">
        <v>46032</v>
      </c>
      <c r="AB137" s="213">
        <v>46034</v>
      </c>
      <c r="AC137" s="211" t="s">
        <v>1133</v>
      </c>
      <c r="AD137" s="211" t="s">
        <v>1133</v>
      </c>
      <c r="AE137" s="211" t="s">
        <v>1597</v>
      </c>
      <c r="AF137" s="211" t="s">
        <v>1228</v>
      </c>
      <c r="AG137" s="211" t="s">
        <v>1597</v>
      </c>
      <c r="AH137" s="211" t="s">
        <v>1133</v>
      </c>
      <c r="AI137" s="211" t="s">
        <v>1228</v>
      </c>
      <c r="AJ137" s="211" t="s">
        <v>1133</v>
      </c>
      <c r="AK137" s="212" t="s">
        <v>1598</v>
      </c>
      <c r="AL137" s="211"/>
      <c r="AM137" s="211" t="s">
        <v>1243</v>
      </c>
      <c r="AN137" s="212"/>
      <c r="AO137" s="215">
        <v>0.61</v>
      </c>
      <c r="AP137" s="216">
        <f t="shared" si="22"/>
        <v>8549.76</v>
      </c>
      <c r="AQ137" s="216">
        <f t="shared" si="23"/>
        <v>66260.64</v>
      </c>
      <c r="AR137" s="217">
        <v>61078</v>
      </c>
      <c r="AS137" s="208">
        <v>46099</v>
      </c>
      <c r="AT137" s="208" t="s">
        <v>1220</v>
      </c>
      <c r="AU137" s="218"/>
      <c r="AV137" s="116"/>
      <c r="AW137" s="116"/>
      <c r="AX137" s="116"/>
      <c r="AY137" s="208"/>
      <c r="AZ137" s="208"/>
      <c r="BA137" s="208"/>
      <c r="BB137" s="208" t="str">
        <f t="shared" si="18"/>
        <v>JAZWARES - TARGET US DOM</v>
      </c>
      <c r="BC137" s="208" t="str">
        <f t="shared" si="19"/>
        <v>美国</v>
      </c>
    </row>
    <row r="138" s="194" customFormat="1" customHeight="1" spans="1:55">
      <c r="A138" s="208">
        <v>45953</v>
      </c>
      <c r="B138" s="40" t="str">
        <f ca="1" t="shared" si="20"/>
        <v/>
      </c>
      <c r="C138" s="209" t="str">
        <f>VLOOKUP(H138,名称!A:E,4,0)</f>
        <v>二代</v>
      </c>
      <c r="D138" s="210" t="s">
        <v>1240</v>
      </c>
      <c r="E138" s="210" t="s">
        <v>1224</v>
      </c>
      <c r="F138" s="211" t="s">
        <v>317</v>
      </c>
      <c r="G138" s="211" t="s">
        <v>318</v>
      </c>
      <c r="H138" s="211" t="s">
        <v>26</v>
      </c>
      <c r="I138" s="211"/>
      <c r="J138" s="212">
        <v>9000</v>
      </c>
      <c r="K138" s="211">
        <v>15</v>
      </c>
      <c r="L138" s="211">
        <f t="shared" si="17"/>
        <v>135000</v>
      </c>
      <c r="M138" s="211">
        <f>VLOOKUP(H138,名称!A:E,3,0)</f>
        <v>6</v>
      </c>
      <c r="N138" s="212">
        <f t="shared" si="21"/>
        <v>1500</v>
      </c>
      <c r="O138" s="208">
        <v>46093</v>
      </c>
      <c r="P138" s="208">
        <v>46093</v>
      </c>
      <c r="Q138" s="208">
        <v>46092</v>
      </c>
      <c r="R138" s="211" t="s">
        <v>1241</v>
      </c>
      <c r="S138" s="208">
        <v>46093</v>
      </c>
      <c r="T138" s="211" t="s">
        <v>1241</v>
      </c>
      <c r="U138" s="211"/>
      <c r="V138" s="211"/>
      <c r="W138" s="208"/>
      <c r="X138" s="211" t="s">
        <v>1133</v>
      </c>
      <c r="Y138" s="211" t="s">
        <v>1133</v>
      </c>
      <c r="Z138" s="213">
        <v>46031</v>
      </c>
      <c r="AA138" s="214">
        <v>46032</v>
      </c>
      <c r="AB138" s="213">
        <v>46034</v>
      </c>
      <c r="AC138" s="211" t="s">
        <v>1244</v>
      </c>
      <c r="AD138" s="211" t="s">
        <v>1228</v>
      </c>
      <c r="AE138" s="211" t="s">
        <v>1597</v>
      </c>
      <c r="AF138" s="211" t="s">
        <v>1228</v>
      </c>
      <c r="AG138" s="211" t="s">
        <v>1597</v>
      </c>
      <c r="AH138" s="211" t="s">
        <v>1601</v>
      </c>
      <c r="AI138" s="211" t="s">
        <v>1228</v>
      </c>
      <c r="AJ138" s="211" t="s">
        <v>327</v>
      </c>
      <c r="AK138" s="211" t="s">
        <v>1133</v>
      </c>
      <c r="AL138" s="211"/>
      <c r="AM138" s="211" t="s">
        <v>1243</v>
      </c>
      <c r="AN138" s="212"/>
      <c r="AO138" s="215">
        <v>2.14</v>
      </c>
      <c r="AP138" s="216">
        <f t="shared" si="22"/>
        <v>19260</v>
      </c>
      <c r="AQ138" s="216">
        <f t="shared" si="23"/>
        <v>149265</v>
      </c>
      <c r="AR138" s="217">
        <v>61079</v>
      </c>
      <c r="AS138" s="208">
        <v>46099</v>
      </c>
      <c r="AT138" s="208" t="s">
        <v>1220</v>
      </c>
      <c r="AU138" s="218"/>
      <c r="AV138" s="116"/>
      <c r="AW138" s="116"/>
      <c r="AX138" s="116"/>
      <c r="AY138" s="208"/>
      <c r="AZ138" s="208"/>
      <c r="BA138" s="208"/>
      <c r="BB138" s="208" t="str">
        <f t="shared" si="18"/>
        <v>JAZWARES - TARGET US DOM</v>
      </c>
      <c r="BC138" s="208" t="str">
        <f t="shared" si="19"/>
        <v>美国</v>
      </c>
    </row>
    <row r="139" s="194" customFormat="1" customHeight="1" spans="1:55">
      <c r="A139" s="208">
        <v>46091</v>
      </c>
      <c r="B139" s="40" t="str">
        <f ca="1" t="shared" si="20"/>
        <v/>
      </c>
      <c r="C139" s="209" t="str">
        <f>VLOOKUP(H139,名称!A:E,4,0)</f>
        <v>二代</v>
      </c>
      <c r="D139" s="210" t="s">
        <v>1420</v>
      </c>
      <c r="E139" s="210" t="s">
        <v>1421</v>
      </c>
      <c r="F139" s="211"/>
      <c r="G139" s="211" t="s">
        <v>541</v>
      </c>
      <c r="H139" s="211" t="s">
        <v>37</v>
      </c>
      <c r="I139" s="211"/>
      <c r="J139" s="212">
        <v>3000</v>
      </c>
      <c r="K139" s="211"/>
      <c r="L139" s="211"/>
      <c r="M139" s="211">
        <f>VLOOKUP(H139,名称!A:E,3,0)</f>
        <v>6</v>
      </c>
      <c r="N139" s="212">
        <f t="shared" si="21"/>
        <v>500</v>
      </c>
      <c r="O139" s="208">
        <v>46106</v>
      </c>
      <c r="P139" s="208">
        <v>46106</v>
      </c>
      <c r="Q139" s="208">
        <v>46105</v>
      </c>
      <c r="R139" s="211" t="s">
        <v>1241</v>
      </c>
      <c r="S139" s="208" t="s">
        <v>1133</v>
      </c>
      <c r="T139" s="211"/>
      <c r="U139" s="211"/>
      <c r="V139" s="211"/>
      <c r="W139" s="208"/>
      <c r="X139" s="211" t="s">
        <v>1133</v>
      </c>
      <c r="Y139" s="211" t="s">
        <v>1133</v>
      </c>
      <c r="Z139" s="213">
        <v>46091</v>
      </c>
      <c r="AA139" s="213">
        <v>46091</v>
      </c>
      <c r="AB139" s="213">
        <v>46091</v>
      </c>
      <c r="AC139" s="211" t="s">
        <v>1244</v>
      </c>
      <c r="AD139" s="211" t="s">
        <v>1228</v>
      </c>
      <c r="AE139" s="211" t="s">
        <v>327</v>
      </c>
      <c r="AF139" s="211" t="s">
        <v>1228</v>
      </c>
      <c r="AG139" s="211" t="s">
        <v>327</v>
      </c>
      <c r="AH139" s="211" t="s">
        <v>1562</v>
      </c>
      <c r="AI139" s="211" t="s">
        <v>1228</v>
      </c>
      <c r="AJ139" s="211" t="s">
        <v>1572</v>
      </c>
      <c r="AK139" s="211" t="s">
        <v>1133</v>
      </c>
      <c r="AL139" s="211" t="s">
        <v>1228</v>
      </c>
      <c r="AM139" s="211" t="s">
        <v>1632</v>
      </c>
      <c r="AN139" s="212" t="s">
        <v>1633</v>
      </c>
      <c r="AO139" s="215">
        <v>2.09</v>
      </c>
      <c r="AP139" s="216">
        <f t="shared" si="22"/>
        <v>6270</v>
      </c>
      <c r="AQ139" s="216">
        <f t="shared" si="23"/>
        <v>48592.5</v>
      </c>
      <c r="AR139" s="217">
        <v>61080</v>
      </c>
      <c r="AS139" s="208">
        <v>46108</v>
      </c>
      <c r="AT139" s="208" t="s">
        <v>1220</v>
      </c>
      <c r="AU139" s="218"/>
      <c r="AV139" s="116"/>
      <c r="AW139" s="116"/>
      <c r="AX139" s="116"/>
      <c r="AY139" s="208"/>
      <c r="AZ139" s="208"/>
      <c r="BA139" s="208"/>
      <c r="BB139" s="208" t="str">
        <f t="shared" si="18"/>
        <v>Banter Toys</v>
      </c>
      <c r="BC139" s="208" t="str">
        <f t="shared" si="19"/>
        <v>澳大利亚</v>
      </c>
    </row>
    <row r="140" s="194" customFormat="1" customHeight="1" spans="1:55">
      <c r="A140" s="208">
        <v>46031</v>
      </c>
      <c r="B140" s="40" t="str">
        <f ca="1" t="shared" si="20"/>
        <v/>
      </c>
      <c r="C140" s="209" t="str">
        <f>VLOOKUP(H140,名称!A:E,4,0)</f>
        <v>二代</v>
      </c>
      <c r="D140" s="210" t="s">
        <v>1634</v>
      </c>
      <c r="E140" s="210" t="s">
        <v>1635</v>
      </c>
      <c r="F140" s="211">
        <v>101003438</v>
      </c>
      <c r="G140" s="211" t="s">
        <v>426</v>
      </c>
      <c r="H140" s="211" t="s">
        <v>25</v>
      </c>
      <c r="I140" s="211"/>
      <c r="J140" s="212">
        <v>27360</v>
      </c>
      <c r="K140" s="211">
        <v>7</v>
      </c>
      <c r="L140" s="211">
        <f>J140*K140</f>
        <v>191520</v>
      </c>
      <c r="M140" s="211">
        <f>VLOOKUP(H140,名称!A:E,3,0)</f>
        <v>16</v>
      </c>
      <c r="N140" s="212">
        <f t="shared" si="21"/>
        <v>1710</v>
      </c>
      <c r="O140" s="208">
        <v>46098</v>
      </c>
      <c r="P140" s="208">
        <v>46098</v>
      </c>
      <c r="Q140" s="208">
        <v>46097</v>
      </c>
      <c r="R140" s="211" t="s">
        <v>1558</v>
      </c>
      <c r="S140" s="208">
        <v>46099</v>
      </c>
      <c r="T140" s="212" t="s">
        <v>1241</v>
      </c>
      <c r="U140" s="211"/>
      <c r="V140" s="211"/>
      <c r="W140" s="208"/>
      <c r="X140" s="211" t="s">
        <v>1636</v>
      </c>
      <c r="Y140" s="211" t="s">
        <v>1228</v>
      </c>
      <c r="Z140" s="213">
        <v>46031</v>
      </c>
      <c r="AA140" s="214">
        <v>46032</v>
      </c>
      <c r="AB140" s="213">
        <v>46035</v>
      </c>
      <c r="AC140" s="211" t="s">
        <v>1560</v>
      </c>
      <c r="AD140" s="211" t="s">
        <v>1228</v>
      </c>
      <c r="AE140" s="211" t="s">
        <v>842</v>
      </c>
      <c r="AF140" s="211" t="s">
        <v>1228</v>
      </c>
      <c r="AG140" s="211" t="s">
        <v>1637</v>
      </c>
      <c r="AH140" s="211" t="s">
        <v>1638</v>
      </c>
      <c r="AI140" s="211" t="s">
        <v>1228</v>
      </c>
      <c r="AJ140" s="211" t="s">
        <v>1133</v>
      </c>
      <c r="AK140" s="211" t="s">
        <v>1133</v>
      </c>
      <c r="AL140" s="211"/>
      <c r="AM140" s="211">
        <v>11426</v>
      </c>
      <c r="AN140" s="212"/>
      <c r="AO140" s="215">
        <v>0.86</v>
      </c>
      <c r="AP140" s="216">
        <f t="shared" si="22"/>
        <v>23529.6</v>
      </c>
      <c r="AQ140" s="216">
        <f t="shared" si="23"/>
        <v>182354.4</v>
      </c>
      <c r="AR140" s="217">
        <v>61085</v>
      </c>
      <c r="AS140" s="208">
        <v>46120</v>
      </c>
      <c r="AT140" s="208" t="s">
        <v>1313</v>
      </c>
      <c r="AU140" s="218"/>
      <c r="AV140" s="116"/>
      <c r="AW140" s="116"/>
      <c r="AX140" s="116"/>
      <c r="AY140" s="208"/>
      <c r="AZ140" s="208"/>
      <c r="BA140" s="208"/>
      <c r="BB140" s="208" t="str">
        <f t="shared" si="18"/>
        <v>AS Company</v>
      </c>
      <c r="BC140" s="208" t="str">
        <f t="shared" si="19"/>
        <v>希腊</v>
      </c>
    </row>
    <row r="141" s="194" customFormat="1" customHeight="1" spans="1:55">
      <c r="A141" s="208">
        <v>46031</v>
      </c>
      <c r="B141" s="40" t="str">
        <f ca="1" t="shared" si="20"/>
        <v/>
      </c>
      <c r="C141" s="209" t="str">
        <f>VLOOKUP(H141,名称!A:E,4,0)</f>
        <v>二代</v>
      </c>
      <c r="D141" s="210" t="s">
        <v>1634</v>
      </c>
      <c r="E141" s="210" t="s">
        <v>1635</v>
      </c>
      <c r="F141" s="211">
        <v>101003438</v>
      </c>
      <c r="G141" s="211" t="s">
        <v>426</v>
      </c>
      <c r="H141" s="211" t="s">
        <v>37</v>
      </c>
      <c r="I141" s="211"/>
      <c r="J141" s="212">
        <v>11400</v>
      </c>
      <c r="K141" s="211">
        <v>12</v>
      </c>
      <c r="L141" s="211">
        <f>J141*K141</f>
        <v>136800</v>
      </c>
      <c r="M141" s="211">
        <f>VLOOKUP(H141,名称!A:E,3,0)</f>
        <v>6</v>
      </c>
      <c r="N141" s="212">
        <f t="shared" si="21"/>
        <v>1900</v>
      </c>
      <c r="O141" s="208">
        <v>46098</v>
      </c>
      <c r="P141" s="208">
        <v>46098</v>
      </c>
      <c r="Q141" s="208">
        <v>46097</v>
      </c>
      <c r="R141" s="211" t="s">
        <v>1241</v>
      </c>
      <c r="S141" s="208">
        <v>46099</v>
      </c>
      <c r="T141" s="212" t="s">
        <v>1241</v>
      </c>
      <c r="U141" s="211"/>
      <c r="V141" s="211"/>
      <c r="W141" s="208"/>
      <c r="X141" s="211" t="s">
        <v>1133</v>
      </c>
      <c r="Y141" s="211" t="s">
        <v>1133</v>
      </c>
      <c r="Z141" s="213">
        <v>46031</v>
      </c>
      <c r="AA141" s="214">
        <v>46032</v>
      </c>
      <c r="AB141" s="213">
        <v>46035</v>
      </c>
      <c r="AC141" s="211" t="s">
        <v>1244</v>
      </c>
      <c r="AD141" s="211" t="s">
        <v>1228</v>
      </c>
      <c r="AE141" s="211" t="s">
        <v>842</v>
      </c>
      <c r="AF141" s="211" t="s">
        <v>1228</v>
      </c>
      <c r="AG141" s="211" t="s">
        <v>842</v>
      </c>
      <c r="AH141" s="211" t="s">
        <v>1638</v>
      </c>
      <c r="AI141" s="211" t="s">
        <v>1228</v>
      </c>
      <c r="AJ141" s="211" t="s">
        <v>842</v>
      </c>
      <c r="AK141" s="211" t="s">
        <v>1133</v>
      </c>
      <c r="AL141" s="211"/>
      <c r="AM141" s="211">
        <v>11426</v>
      </c>
      <c r="AN141" s="212"/>
      <c r="AO141" s="215">
        <v>2.02</v>
      </c>
      <c r="AP141" s="216">
        <f t="shared" si="22"/>
        <v>23028</v>
      </c>
      <c r="AQ141" s="216">
        <f t="shared" si="23"/>
        <v>178467</v>
      </c>
      <c r="AR141" s="217">
        <v>61085</v>
      </c>
      <c r="AS141" s="208">
        <v>46120</v>
      </c>
      <c r="AT141" s="208" t="s">
        <v>1313</v>
      </c>
      <c r="AU141" s="218"/>
      <c r="AV141" s="116"/>
      <c r="AW141" s="116"/>
      <c r="AX141" s="116"/>
      <c r="AY141" s="208"/>
      <c r="AZ141" s="208"/>
      <c r="BA141" s="208"/>
      <c r="BB141" s="208" t="str">
        <f t="shared" si="18"/>
        <v>AS Company</v>
      </c>
      <c r="BC141" s="208" t="str">
        <f t="shared" si="19"/>
        <v>希腊</v>
      </c>
    </row>
    <row r="142" s="194" customFormat="1" customHeight="1" spans="1:55">
      <c r="A142" s="208">
        <v>46031</v>
      </c>
      <c r="B142" s="40" t="str">
        <f ca="1" t="shared" si="20"/>
        <v/>
      </c>
      <c r="C142" s="209" t="str">
        <f>VLOOKUP(H142,名称!A:E,4,0)</f>
        <v>二代</v>
      </c>
      <c r="D142" s="210" t="s">
        <v>1634</v>
      </c>
      <c r="E142" s="210" t="s">
        <v>1635</v>
      </c>
      <c r="F142" s="211">
        <v>101003438</v>
      </c>
      <c r="G142" s="211" t="s">
        <v>426</v>
      </c>
      <c r="H142" s="211" t="s">
        <v>38</v>
      </c>
      <c r="I142" s="211"/>
      <c r="J142" s="212">
        <v>3100</v>
      </c>
      <c r="K142" s="211">
        <v>32</v>
      </c>
      <c r="L142" s="211">
        <f>J142*K142</f>
        <v>99200</v>
      </c>
      <c r="M142" s="211">
        <f>VLOOKUP(H142,名称!A:E,3,0)</f>
        <v>4</v>
      </c>
      <c r="N142" s="212">
        <f t="shared" si="21"/>
        <v>775</v>
      </c>
      <c r="O142" s="208">
        <v>46098</v>
      </c>
      <c r="P142" s="208">
        <v>46098</v>
      </c>
      <c r="Q142" s="208">
        <v>46097</v>
      </c>
      <c r="R142" s="211" t="s">
        <v>1241</v>
      </c>
      <c r="S142" s="208">
        <v>46099</v>
      </c>
      <c r="T142" s="212" t="s">
        <v>1241</v>
      </c>
      <c r="U142" s="211"/>
      <c r="V142" s="211"/>
      <c r="W142" s="208"/>
      <c r="X142" s="211" t="s">
        <v>1133</v>
      </c>
      <c r="Y142" s="211" t="s">
        <v>1133</v>
      </c>
      <c r="Z142" s="213">
        <v>46031</v>
      </c>
      <c r="AA142" s="214">
        <v>46032</v>
      </c>
      <c r="AB142" s="213">
        <v>46035</v>
      </c>
      <c r="AC142" s="211" t="s">
        <v>1133</v>
      </c>
      <c r="AD142" s="211" t="s">
        <v>1133</v>
      </c>
      <c r="AE142" s="211" t="s">
        <v>842</v>
      </c>
      <c r="AF142" s="211" t="s">
        <v>1228</v>
      </c>
      <c r="AG142" s="211" t="s">
        <v>842</v>
      </c>
      <c r="AH142" s="211" t="s">
        <v>1638</v>
      </c>
      <c r="AI142" s="211" t="s">
        <v>1228</v>
      </c>
      <c r="AJ142" s="211" t="s">
        <v>1133</v>
      </c>
      <c r="AK142" s="211" t="s">
        <v>1133</v>
      </c>
      <c r="AL142" s="211"/>
      <c r="AM142" s="211">
        <v>11426</v>
      </c>
      <c r="AN142" s="212"/>
      <c r="AO142" s="215">
        <v>3.09</v>
      </c>
      <c r="AP142" s="216">
        <f t="shared" si="22"/>
        <v>9579</v>
      </c>
      <c r="AQ142" s="216">
        <f t="shared" si="23"/>
        <v>74237.25</v>
      </c>
      <c r="AR142" s="217">
        <v>61085</v>
      </c>
      <c r="AS142" s="208">
        <v>46120</v>
      </c>
      <c r="AT142" s="208" t="s">
        <v>1313</v>
      </c>
      <c r="AU142" s="218"/>
      <c r="AV142" s="116"/>
      <c r="AW142" s="116"/>
      <c r="AX142" s="116"/>
      <c r="AY142" s="208"/>
      <c r="AZ142" s="208"/>
      <c r="BA142" s="208"/>
      <c r="BB142" s="208" t="str">
        <f t="shared" si="18"/>
        <v>AS Company</v>
      </c>
      <c r="BC142" s="208" t="str">
        <f t="shared" si="19"/>
        <v>希腊</v>
      </c>
    </row>
    <row r="143" s="194" customFormat="1" customHeight="1" spans="1:55">
      <c r="A143" s="208">
        <v>46032</v>
      </c>
      <c r="B143" s="40" t="str">
        <f ca="1" t="shared" si="20"/>
        <v/>
      </c>
      <c r="C143" s="209" t="str">
        <f>VLOOKUP(H143,名称!A:E,4,0)</f>
        <v>三代</v>
      </c>
      <c r="D143" s="210" t="s">
        <v>1240</v>
      </c>
      <c r="E143" s="210" t="s">
        <v>1224</v>
      </c>
      <c r="F143" s="211" t="s">
        <v>427</v>
      </c>
      <c r="G143" s="211" t="s">
        <v>428</v>
      </c>
      <c r="H143" s="211" t="s">
        <v>85</v>
      </c>
      <c r="I143" s="211"/>
      <c r="J143" s="212">
        <v>21600</v>
      </c>
      <c r="K143" s="211"/>
      <c r="L143" s="212"/>
      <c r="M143" s="211">
        <f>VLOOKUP(H143,名称!A:E,3,0)</f>
        <v>24</v>
      </c>
      <c r="N143" s="212">
        <f t="shared" si="21"/>
        <v>900</v>
      </c>
      <c r="O143" s="208">
        <v>46119</v>
      </c>
      <c r="P143" s="208">
        <v>46119</v>
      </c>
      <c r="Q143" s="208">
        <v>46129</v>
      </c>
      <c r="R143" s="208" t="s">
        <v>1425</v>
      </c>
      <c r="S143" s="208">
        <v>46129</v>
      </c>
      <c r="T143" s="208" t="s">
        <v>1282</v>
      </c>
      <c r="U143" s="211"/>
      <c r="V143" s="211"/>
      <c r="W143" s="208"/>
      <c r="X143" s="211" t="s">
        <v>1133</v>
      </c>
      <c r="Y143" s="211" t="s">
        <v>1133</v>
      </c>
      <c r="Z143" s="213">
        <v>46034</v>
      </c>
      <c r="AA143" s="213">
        <v>46034</v>
      </c>
      <c r="AB143" s="213">
        <v>46094</v>
      </c>
      <c r="AC143" s="211" t="s">
        <v>1133</v>
      </c>
      <c r="AD143" s="211" t="s">
        <v>1133</v>
      </c>
      <c r="AE143" s="211" t="s">
        <v>1597</v>
      </c>
      <c r="AF143" s="211" t="s">
        <v>1228</v>
      </c>
      <c r="AG143" s="211" t="s">
        <v>1597</v>
      </c>
      <c r="AH143" s="211" t="s">
        <v>1133</v>
      </c>
      <c r="AI143" s="211" t="s">
        <v>1228</v>
      </c>
      <c r="AJ143" s="211" t="s">
        <v>1133</v>
      </c>
      <c r="AK143" s="211" t="s">
        <v>1598</v>
      </c>
      <c r="AL143" s="211"/>
      <c r="AM143" s="211" t="s">
        <v>1286</v>
      </c>
      <c r="AN143" s="212"/>
      <c r="AO143" s="215">
        <v>0.88</v>
      </c>
      <c r="AP143" s="216">
        <f t="shared" si="22"/>
        <v>19008</v>
      </c>
      <c r="AQ143" s="216">
        <f t="shared" si="23"/>
        <v>147312</v>
      </c>
      <c r="AR143" s="217">
        <v>61086</v>
      </c>
      <c r="AS143" s="208">
        <v>46127</v>
      </c>
      <c r="AT143" s="208" t="s">
        <v>1220</v>
      </c>
      <c r="AU143" s="221"/>
      <c r="AV143" s="222">
        <f t="shared" ref="AV143:AV149" si="24">AU143-J143</f>
        <v>-21600</v>
      </c>
      <c r="AW143" s="208"/>
      <c r="AX143" s="208" t="s">
        <v>1280</v>
      </c>
      <c r="AY143" s="208"/>
      <c r="AZ143" s="208"/>
      <c r="BA143" s="208"/>
      <c r="BB143" s="208" t="str">
        <f t="shared" si="18"/>
        <v>JAZWARES - TARGET US DOM</v>
      </c>
      <c r="BC143" s="208" t="str">
        <f t="shared" si="19"/>
        <v>美国</v>
      </c>
    </row>
    <row r="144" s="194" customFormat="1" customHeight="1" spans="1:55">
      <c r="A144" s="208">
        <v>46031</v>
      </c>
      <c r="B144" s="40" t="str">
        <f ca="1" t="shared" si="20"/>
        <v/>
      </c>
      <c r="C144" s="209" t="str">
        <f>VLOOKUP(H144,名称!A:E,4,0)</f>
        <v>三代</v>
      </c>
      <c r="D144" s="210" t="s">
        <v>1281</v>
      </c>
      <c r="E144" s="210" t="s">
        <v>1224</v>
      </c>
      <c r="F144" s="211" t="s">
        <v>418</v>
      </c>
      <c r="G144" s="211" t="s">
        <v>419</v>
      </c>
      <c r="H144" s="211" t="s">
        <v>96</v>
      </c>
      <c r="I144" s="211"/>
      <c r="J144" s="212">
        <v>5004</v>
      </c>
      <c r="K144" s="211"/>
      <c r="L144" s="212"/>
      <c r="M144" s="211">
        <f>VLOOKUP(H144,名称!A:E,3,0)</f>
        <v>12</v>
      </c>
      <c r="N144" s="212">
        <f t="shared" si="21"/>
        <v>417</v>
      </c>
      <c r="O144" s="208">
        <v>46120</v>
      </c>
      <c r="P144" s="208">
        <v>46120</v>
      </c>
      <c r="Q144" s="208">
        <v>46127</v>
      </c>
      <c r="R144" s="211" t="s">
        <v>1282</v>
      </c>
      <c r="S144" s="208">
        <v>46128</v>
      </c>
      <c r="T144" s="211"/>
      <c r="U144" s="211"/>
      <c r="V144" s="211" t="s">
        <v>1283</v>
      </c>
      <c r="W144" s="208"/>
      <c r="X144" s="211" t="s">
        <v>1133</v>
      </c>
      <c r="Y144" s="211" t="s">
        <v>1133</v>
      </c>
      <c r="Z144" s="213">
        <v>46031</v>
      </c>
      <c r="AA144" s="214">
        <v>46034</v>
      </c>
      <c r="AB144" s="213">
        <v>46035</v>
      </c>
      <c r="AC144" s="211" t="s">
        <v>1133</v>
      </c>
      <c r="AD144" s="211" t="s">
        <v>1133</v>
      </c>
      <c r="AE144" s="211" t="s">
        <v>1597</v>
      </c>
      <c r="AF144" s="211" t="s">
        <v>1228</v>
      </c>
      <c r="AG144" s="211" t="s">
        <v>1597</v>
      </c>
      <c r="AH144" s="211" t="s">
        <v>1133</v>
      </c>
      <c r="AI144" s="211" t="s">
        <v>1228</v>
      </c>
      <c r="AJ144" s="211" t="s">
        <v>1133</v>
      </c>
      <c r="AK144" s="211" t="s">
        <v>1598</v>
      </c>
      <c r="AL144" s="211"/>
      <c r="AM144" s="211" t="s">
        <v>1286</v>
      </c>
      <c r="AN144" s="212"/>
      <c r="AO144" s="215">
        <v>0.6</v>
      </c>
      <c r="AP144" s="216">
        <f t="shared" si="22"/>
        <v>3002.4</v>
      </c>
      <c r="AQ144" s="216">
        <f t="shared" si="23"/>
        <v>23268.6</v>
      </c>
      <c r="AR144" s="217">
        <v>61087</v>
      </c>
      <c r="AS144" s="208">
        <v>46127</v>
      </c>
      <c r="AT144" s="208" t="s">
        <v>1220</v>
      </c>
      <c r="AU144" s="221">
        <f>4992+12</f>
        <v>5004</v>
      </c>
      <c r="AV144" s="222">
        <f t="shared" si="24"/>
        <v>0</v>
      </c>
      <c r="AW144" s="208"/>
      <c r="AX144" s="208" t="s">
        <v>1280</v>
      </c>
      <c r="AY144" s="208"/>
      <c r="AZ144" s="208"/>
      <c r="BA144" s="208"/>
      <c r="BB144" s="208" t="str">
        <f t="shared" si="18"/>
        <v>Jazwares, LLC</v>
      </c>
      <c r="BC144" s="208" t="str">
        <f t="shared" si="19"/>
        <v>美国</v>
      </c>
    </row>
    <row r="145" s="194" customFormat="1" customHeight="1" spans="1:55">
      <c r="A145" s="208">
        <v>46031</v>
      </c>
      <c r="B145" s="40" t="str">
        <f ca="1" t="shared" si="20"/>
        <v/>
      </c>
      <c r="C145" s="209" t="str">
        <f>VLOOKUP(H145,名称!A:E,4,0)</f>
        <v>三代</v>
      </c>
      <c r="D145" s="210" t="s">
        <v>1281</v>
      </c>
      <c r="E145" s="210" t="s">
        <v>1224</v>
      </c>
      <c r="F145" s="211" t="s">
        <v>424</v>
      </c>
      <c r="G145" s="211" t="s">
        <v>425</v>
      </c>
      <c r="H145" s="211" t="s">
        <v>83</v>
      </c>
      <c r="I145" s="211"/>
      <c r="J145" s="212">
        <v>5004</v>
      </c>
      <c r="K145" s="211"/>
      <c r="L145" s="212"/>
      <c r="M145" s="211">
        <f>VLOOKUP(H145,名称!A:E,3,0)</f>
        <v>12</v>
      </c>
      <c r="N145" s="212">
        <f t="shared" si="21"/>
        <v>417</v>
      </c>
      <c r="O145" s="208">
        <v>46113</v>
      </c>
      <c r="P145" s="208">
        <v>46113</v>
      </c>
      <c r="Q145" s="208">
        <v>46129</v>
      </c>
      <c r="R145" s="211" t="s">
        <v>1425</v>
      </c>
      <c r="S145" s="208">
        <v>46129</v>
      </c>
      <c r="T145" s="211" t="s">
        <v>1282</v>
      </c>
      <c r="U145" s="211"/>
      <c r="V145" s="211"/>
      <c r="W145" s="208"/>
      <c r="X145" s="211" t="s">
        <v>1133</v>
      </c>
      <c r="Y145" s="211" t="s">
        <v>1133</v>
      </c>
      <c r="Z145" s="213">
        <v>46031</v>
      </c>
      <c r="AA145" s="214">
        <v>46034</v>
      </c>
      <c r="AB145" s="213">
        <v>46035</v>
      </c>
      <c r="AC145" s="211" t="s">
        <v>1133</v>
      </c>
      <c r="AD145" s="211" t="s">
        <v>1133</v>
      </c>
      <c r="AE145" s="211" t="s">
        <v>1597</v>
      </c>
      <c r="AF145" s="211" t="s">
        <v>1228</v>
      </c>
      <c r="AG145" s="211" t="s">
        <v>1597</v>
      </c>
      <c r="AH145" s="211" t="s">
        <v>1133</v>
      </c>
      <c r="AI145" s="211" t="s">
        <v>1228</v>
      </c>
      <c r="AJ145" s="211" t="s">
        <v>1133</v>
      </c>
      <c r="AK145" s="211" t="s">
        <v>1598</v>
      </c>
      <c r="AL145" s="211"/>
      <c r="AM145" s="211" t="s">
        <v>1286</v>
      </c>
      <c r="AN145" s="212"/>
      <c r="AO145" s="215">
        <v>0.91</v>
      </c>
      <c r="AP145" s="216">
        <f t="shared" si="22"/>
        <v>4553.64</v>
      </c>
      <c r="AQ145" s="216">
        <f t="shared" si="23"/>
        <v>35290.71</v>
      </c>
      <c r="AR145" s="217">
        <v>61088</v>
      </c>
      <c r="AS145" s="208">
        <v>46127</v>
      </c>
      <c r="AT145" s="208" t="s">
        <v>1220</v>
      </c>
      <c r="AU145" s="221"/>
      <c r="AV145" s="222">
        <f t="shared" si="24"/>
        <v>-5004</v>
      </c>
      <c r="AW145" s="208"/>
      <c r="AX145" s="208" t="s">
        <v>1280</v>
      </c>
      <c r="AY145" s="208"/>
      <c r="AZ145" s="208"/>
      <c r="BA145" s="208"/>
      <c r="BB145" s="208" t="str">
        <f t="shared" si="18"/>
        <v>Jazwares, LLC</v>
      </c>
      <c r="BC145" s="208" t="str">
        <f t="shared" si="19"/>
        <v>美国</v>
      </c>
    </row>
    <row r="146" s="194" customFormat="1" customHeight="1" spans="1:55">
      <c r="A146" s="208">
        <v>46031</v>
      </c>
      <c r="B146" s="40" t="str">
        <f ca="1" t="shared" si="20"/>
        <v/>
      </c>
      <c r="C146" s="209" t="str">
        <f>VLOOKUP(H146,名称!A:E,4,0)</f>
        <v>三代</v>
      </c>
      <c r="D146" s="210" t="s">
        <v>1281</v>
      </c>
      <c r="E146" s="210" t="s">
        <v>1224</v>
      </c>
      <c r="F146" s="211" t="s">
        <v>420</v>
      </c>
      <c r="G146" s="211" t="s">
        <v>421</v>
      </c>
      <c r="H146" s="211" t="s">
        <v>67</v>
      </c>
      <c r="I146" s="211"/>
      <c r="J146" s="212">
        <v>3000</v>
      </c>
      <c r="K146" s="211"/>
      <c r="L146" s="212"/>
      <c r="M146" s="211">
        <f>VLOOKUP(H146,名称!A:E,3,0)</f>
        <v>6</v>
      </c>
      <c r="N146" s="212">
        <f t="shared" si="21"/>
        <v>500</v>
      </c>
      <c r="O146" s="208">
        <v>46120</v>
      </c>
      <c r="P146" s="208">
        <v>46120</v>
      </c>
      <c r="Q146" s="208">
        <v>46120</v>
      </c>
      <c r="R146" s="211" t="s">
        <v>1282</v>
      </c>
      <c r="S146" s="208">
        <v>46128</v>
      </c>
      <c r="T146" s="211"/>
      <c r="U146" s="211"/>
      <c r="V146" s="211"/>
      <c r="W146" s="208"/>
      <c r="X146" s="211" t="s">
        <v>1133</v>
      </c>
      <c r="Y146" s="211" t="s">
        <v>1133</v>
      </c>
      <c r="Z146" s="213">
        <v>46031</v>
      </c>
      <c r="AA146" s="214">
        <v>46034</v>
      </c>
      <c r="AB146" s="213">
        <v>46035</v>
      </c>
      <c r="AC146" s="211" t="s">
        <v>1318</v>
      </c>
      <c r="AD146" s="211" t="s">
        <v>1228</v>
      </c>
      <c r="AE146" s="211" t="s">
        <v>1597</v>
      </c>
      <c r="AF146" s="211" t="s">
        <v>1228</v>
      </c>
      <c r="AG146" s="211" t="s">
        <v>1597</v>
      </c>
      <c r="AH146" s="211" t="s">
        <v>1285</v>
      </c>
      <c r="AI146" s="211" t="s">
        <v>1228</v>
      </c>
      <c r="AJ146" s="211" t="s">
        <v>510</v>
      </c>
      <c r="AK146" s="211" t="s">
        <v>1133</v>
      </c>
      <c r="AL146" s="211"/>
      <c r="AM146" s="211" t="s">
        <v>1286</v>
      </c>
      <c r="AN146" s="212"/>
      <c r="AO146" s="215">
        <v>2.02</v>
      </c>
      <c r="AP146" s="216">
        <f t="shared" si="22"/>
        <v>6060</v>
      </c>
      <c r="AQ146" s="216">
        <f t="shared" si="23"/>
        <v>46965</v>
      </c>
      <c r="AR146" s="217">
        <v>61089</v>
      </c>
      <c r="AS146" s="208">
        <v>46127</v>
      </c>
      <c r="AT146" s="208" t="s">
        <v>1310</v>
      </c>
      <c r="AU146" s="221">
        <f>24+2976</f>
        <v>3000</v>
      </c>
      <c r="AV146" s="222">
        <f t="shared" si="24"/>
        <v>0</v>
      </c>
      <c r="AW146" s="208"/>
      <c r="AX146" s="208"/>
      <c r="AY146" s="208"/>
      <c r="AZ146" s="208"/>
      <c r="BA146" s="208"/>
      <c r="BB146" s="208" t="str">
        <f t="shared" si="18"/>
        <v>Jazwares, LLC</v>
      </c>
      <c r="BC146" s="208" t="str">
        <f t="shared" si="19"/>
        <v>美国</v>
      </c>
    </row>
    <row r="147" s="194" customFormat="1" customHeight="1" spans="1:55">
      <c r="A147" s="208">
        <v>46035</v>
      </c>
      <c r="B147" s="40" t="str">
        <f ca="1" t="shared" si="20"/>
        <v/>
      </c>
      <c r="C147" s="209" t="str">
        <f>VLOOKUP(H147,名称!A:E,4,0)</f>
        <v>三代</v>
      </c>
      <c r="D147" s="210" t="s">
        <v>1240</v>
      </c>
      <c r="E147" s="210" t="s">
        <v>1224</v>
      </c>
      <c r="F147" s="211" t="s">
        <v>441</v>
      </c>
      <c r="G147" s="211" t="s">
        <v>442</v>
      </c>
      <c r="H147" s="211" t="s">
        <v>94</v>
      </c>
      <c r="I147" s="211"/>
      <c r="J147" s="212">
        <v>43200</v>
      </c>
      <c r="K147" s="211"/>
      <c r="L147" s="212"/>
      <c r="M147" s="211">
        <f>VLOOKUP(H147,名称!A:E,3,0)</f>
        <v>24</v>
      </c>
      <c r="N147" s="212">
        <f t="shared" si="21"/>
        <v>1800</v>
      </c>
      <c r="O147" s="208">
        <v>46120</v>
      </c>
      <c r="P147" s="208">
        <v>46120</v>
      </c>
      <c r="Q147" s="208">
        <v>46129</v>
      </c>
      <c r="R147" s="208" t="s">
        <v>1133</v>
      </c>
      <c r="S147" s="208">
        <v>46129</v>
      </c>
      <c r="T147" s="208" t="s">
        <v>1241</v>
      </c>
      <c r="U147" s="211"/>
      <c r="V147" s="211"/>
      <c r="W147" s="208"/>
      <c r="X147" s="211" t="s">
        <v>1133</v>
      </c>
      <c r="Y147" s="211" t="s">
        <v>1133</v>
      </c>
      <c r="Z147" s="213">
        <v>46034</v>
      </c>
      <c r="AA147" s="214">
        <v>46034</v>
      </c>
      <c r="AB147" s="213">
        <v>46035</v>
      </c>
      <c r="AC147" s="211" t="s">
        <v>1133</v>
      </c>
      <c r="AD147" s="211" t="s">
        <v>1133</v>
      </c>
      <c r="AE147" s="211" t="s">
        <v>1597</v>
      </c>
      <c r="AF147" s="211" t="s">
        <v>1228</v>
      </c>
      <c r="AG147" s="211" t="s">
        <v>1597</v>
      </c>
      <c r="AH147" s="211" t="s">
        <v>1133</v>
      </c>
      <c r="AI147" s="211" t="s">
        <v>1228</v>
      </c>
      <c r="AJ147" s="211" t="s">
        <v>1133</v>
      </c>
      <c r="AK147" s="211" t="s">
        <v>1598</v>
      </c>
      <c r="AL147" s="211"/>
      <c r="AM147" s="211" t="s">
        <v>1286</v>
      </c>
      <c r="AN147" s="212"/>
      <c r="AO147" s="215">
        <v>0.61</v>
      </c>
      <c r="AP147" s="216">
        <f t="shared" si="22"/>
        <v>26352</v>
      </c>
      <c r="AQ147" s="216">
        <f t="shared" si="23"/>
        <v>204228</v>
      </c>
      <c r="AR147" s="217">
        <v>61090</v>
      </c>
      <c r="AS147" s="208">
        <v>46127</v>
      </c>
      <c r="AT147" s="208"/>
      <c r="AU147" s="221"/>
      <c r="AV147" s="222">
        <f t="shared" si="24"/>
        <v>-43200</v>
      </c>
      <c r="AW147" s="208"/>
      <c r="AX147" s="208"/>
      <c r="AY147" s="208"/>
      <c r="AZ147" s="208"/>
      <c r="BA147" s="208"/>
      <c r="BB147" s="208" t="str">
        <f t="shared" si="18"/>
        <v>JAZWARES - TARGET US DOM</v>
      </c>
      <c r="BC147" s="208" t="str">
        <f t="shared" si="19"/>
        <v>美国</v>
      </c>
    </row>
    <row r="148" s="194" customFormat="1" customHeight="1" spans="1:55">
      <c r="A148" s="208">
        <v>46031</v>
      </c>
      <c r="B148" s="40" t="str">
        <f ca="1" t="shared" si="20"/>
        <v/>
      </c>
      <c r="C148" s="209" t="str">
        <f>VLOOKUP(H148,名称!A:E,4,0)</f>
        <v>三代</v>
      </c>
      <c r="D148" s="210" t="s">
        <v>1276</v>
      </c>
      <c r="E148" s="210" t="s">
        <v>1224</v>
      </c>
      <c r="F148" s="211" t="s">
        <v>390</v>
      </c>
      <c r="G148" s="211" t="s">
        <v>391</v>
      </c>
      <c r="H148" s="211" t="s">
        <v>59</v>
      </c>
      <c r="I148" s="211"/>
      <c r="J148" s="212">
        <v>43200</v>
      </c>
      <c r="K148" s="211"/>
      <c r="L148" s="212"/>
      <c r="M148" s="211">
        <f>VLOOKUP(H148,名称!A:E,3,0)</f>
        <v>24</v>
      </c>
      <c r="N148" s="212">
        <f t="shared" si="21"/>
        <v>1800</v>
      </c>
      <c r="O148" s="208">
        <v>46113</v>
      </c>
      <c r="P148" s="208">
        <v>46113</v>
      </c>
      <c r="Q148" s="208">
        <v>46128</v>
      </c>
      <c r="R148" s="211" t="s">
        <v>1282</v>
      </c>
      <c r="S148" s="208">
        <v>46128</v>
      </c>
      <c r="T148" s="211"/>
      <c r="U148" s="211"/>
      <c r="V148" s="211"/>
      <c r="W148" s="208"/>
      <c r="X148" s="211" t="s">
        <v>1133</v>
      </c>
      <c r="Y148" s="211" t="s">
        <v>1133</v>
      </c>
      <c r="Z148" s="213">
        <v>46031</v>
      </c>
      <c r="AA148" s="214">
        <v>46034</v>
      </c>
      <c r="AB148" s="213">
        <v>46094</v>
      </c>
      <c r="AC148" s="211" t="s">
        <v>1133</v>
      </c>
      <c r="AD148" s="211" t="s">
        <v>1133</v>
      </c>
      <c r="AE148" s="211" t="s">
        <v>1597</v>
      </c>
      <c r="AF148" s="211" t="s">
        <v>1228</v>
      </c>
      <c r="AG148" s="211" t="s">
        <v>1597</v>
      </c>
      <c r="AH148" s="211" t="s">
        <v>1133</v>
      </c>
      <c r="AI148" s="211" t="s">
        <v>1228</v>
      </c>
      <c r="AJ148" s="211" t="s">
        <v>1133</v>
      </c>
      <c r="AK148" s="211" t="s">
        <v>1598</v>
      </c>
      <c r="AL148" s="211"/>
      <c r="AM148" s="211" t="s">
        <v>1286</v>
      </c>
      <c r="AN148" s="212"/>
      <c r="AO148" s="215">
        <v>0.61</v>
      </c>
      <c r="AP148" s="216">
        <f t="shared" si="22"/>
        <v>26352</v>
      </c>
      <c r="AQ148" s="216">
        <f t="shared" si="23"/>
        <v>204228</v>
      </c>
      <c r="AR148" s="217">
        <v>61091</v>
      </c>
      <c r="AS148" s="208">
        <v>46127</v>
      </c>
      <c r="AT148" s="208" t="s">
        <v>1310</v>
      </c>
      <c r="AU148" s="221">
        <f>10080+9576+23544</f>
        <v>43200</v>
      </c>
      <c r="AV148" s="222">
        <f t="shared" si="24"/>
        <v>0</v>
      </c>
      <c r="AW148" s="208"/>
      <c r="AX148" s="208"/>
      <c r="AY148" s="208"/>
      <c r="AZ148" s="208"/>
      <c r="BA148" s="208"/>
      <c r="BB148" s="208" t="str">
        <f t="shared" si="18"/>
        <v>Jazwares- TARGET US DOM</v>
      </c>
      <c r="BC148" s="208" t="str">
        <f t="shared" si="19"/>
        <v>美国</v>
      </c>
    </row>
    <row r="149" s="194" customFormat="1" customHeight="1" spans="1:55">
      <c r="A149" s="208">
        <v>46031</v>
      </c>
      <c r="B149" s="40" t="str">
        <f ca="1" t="shared" si="20"/>
        <v/>
      </c>
      <c r="C149" s="209" t="str">
        <f>VLOOKUP(H149,名称!A:E,4,0)</f>
        <v>三代</v>
      </c>
      <c r="D149" s="210" t="s">
        <v>1276</v>
      </c>
      <c r="E149" s="210" t="s">
        <v>1224</v>
      </c>
      <c r="F149" s="211" t="s">
        <v>392</v>
      </c>
      <c r="G149" s="211" t="s">
        <v>393</v>
      </c>
      <c r="H149" s="211" t="s">
        <v>61</v>
      </c>
      <c r="I149" s="211"/>
      <c r="J149" s="212">
        <v>43200</v>
      </c>
      <c r="K149" s="211"/>
      <c r="L149" s="212"/>
      <c r="M149" s="211">
        <f>VLOOKUP(H149,名称!A:E,3,0)</f>
        <v>24</v>
      </c>
      <c r="N149" s="212">
        <f t="shared" si="21"/>
        <v>1800</v>
      </c>
      <c r="O149" s="208">
        <v>46113</v>
      </c>
      <c r="P149" s="208">
        <v>46113</v>
      </c>
      <c r="Q149" s="208">
        <v>46128</v>
      </c>
      <c r="R149" s="211" t="s">
        <v>1241</v>
      </c>
      <c r="S149" s="208">
        <v>46128</v>
      </c>
      <c r="T149" s="211" t="s">
        <v>1282</v>
      </c>
      <c r="U149" s="211"/>
      <c r="V149" s="211"/>
      <c r="W149" s="208"/>
      <c r="X149" s="211" t="s">
        <v>1133</v>
      </c>
      <c r="Y149" s="211" t="s">
        <v>1133</v>
      </c>
      <c r="Z149" s="213">
        <v>46031</v>
      </c>
      <c r="AA149" s="214">
        <v>46034</v>
      </c>
      <c r="AB149" s="213">
        <v>46035</v>
      </c>
      <c r="AC149" s="211" t="s">
        <v>1133</v>
      </c>
      <c r="AD149" s="211" t="s">
        <v>1133</v>
      </c>
      <c r="AE149" s="211" t="s">
        <v>1597</v>
      </c>
      <c r="AF149" s="211" t="s">
        <v>1228</v>
      </c>
      <c r="AG149" s="211" t="s">
        <v>1597</v>
      </c>
      <c r="AH149" s="211" t="s">
        <v>1133</v>
      </c>
      <c r="AI149" s="211" t="s">
        <v>1228</v>
      </c>
      <c r="AJ149" s="211" t="s">
        <v>1133</v>
      </c>
      <c r="AK149" s="211" t="s">
        <v>1598</v>
      </c>
      <c r="AL149" s="211"/>
      <c r="AM149" s="211" t="s">
        <v>1286</v>
      </c>
      <c r="AN149" s="212"/>
      <c r="AO149" s="215">
        <v>0.61</v>
      </c>
      <c r="AP149" s="216">
        <f t="shared" si="22"/>
        <v>26352</v>
      </c>
      <c r="AQ149" s="216">
        <f t="shared" si="23"/>
        <v>204228</v>
      </c>
      <c r="AR149" s="217">
        <v>61092</v>
      </c>
      <c r="AS149" s="208">
        <v>46127</v>
      </c>
      <c r="AT149" s="208" t="s">
        <v>1310</v>
      </c>
      <c r="AU149" s="221"/>
      <c r="AV149" s="222">
        <f t="shared" si="24"/>
        <v>-43200</v>
      </c>
      <c r="AW149" s="208"/>
      <c r="AX149" s="208"/>
      <c r="AY149" s="208"/>
      <c r="AZ149" s="208"/>
      <c r="BA149" s="208"/>
      <c r="BB149" s="208" t="str">
        <f t="shared" si="18"/>
        <v>Jazwares- TARGET US DOM</v>
      </c>
      <c r="BC149" s="208" t="str">
        <f t="shared" si="19"/>
        <v>美国</v>
      </c>
    </row>
    <row r="150" s="194" customFormat="1" customHeight="1" spans="1:55">
      <c r="A150" s="208">
        <v>46053</v>
      </c>
      <c r="B150" s="40" t="str">
        <f ca="1" t="shared" si="20"/>
        <v/>
      </c>
      <c r="C150" s="209" t="str">
        <f>VLOOKUP(H150,名称!A:E,4,0)</f>
        <v>二代</v>
      </c>
      <c r="D150" s="210" t="s">
        <v>1430</v>
      </c>
      <c r="E150" s="210" t="s">
        <v>1571</v>
      </c>
      <c r="F150" s="211"/>
      <c r="G150" s="211" t="s">
        <v>486</v>
      </c>
      <c r="H150" s="211" t="s">
        <v>40</v>
      </c>
      <c r="I150" s="211"/>
      <c r="J150" s="212">
        <v>5004</v>
      </c>
      <c r="K150" s="223">
        <f>VLOOKUP(H150,名称!A:C,2,0)</f>
        <v>7</v>
      </c>
      <c r="L150" s="223">
        <f>K150*J150</f>
        <v>35028</v>
      </c>
      <c r="M150" s="211">
        <f>VLOOKUP(H150,名称!A:E,3,0)</f>
        <v>12</v>
      </c>
      <c r="N150" s="212">
        <f t="shared" si="21"/>
        <v>417</v>
      </c>
      <c r="O150" s="208">
        <v>46121</v>
      </c>
      <c r="P150" s="208">
        <v>46121</v>
      </c>
      <c r="Q150" s="208">
        <v>46121</v>
      </c>
      <c r="R150" s="211" t="s">
        <v>1241</v>
      </c>
      <c r="S150" s="208" t="s">
        <v>1133</v>
      </c>
      <c r="T150" s="211" t="s">
        <v>1241</v>
      </c>
      <c r="U150" s="211"/>
      <c r="V150" s="211"/>
      <c r="W150" s="208"/>
      <c r="X150" s="211" t="s">
        <v>1248</v>
      </c>
      <c r="Y150" s="211" t="s">
        <v>1228</v>
      </c>
      <c r="Z150" s="211" t="s">
        <v>1249</v>
      </c>
      <c r="AA150" s="214">
        <v>46056</v>
      </c>
      <c r="AB150" s="213">
        <v>46085</v>
      </c>
      <c r="AC150" s="211" t="s">
        <v>1560</v>
      </c>
      <c r="AD150" s="211" t="s">
        <v>1228</v>
      </c>
      <c r="AE150" s="211" t="s">
        <v>327</v>
      </c>
      <c r="AF150" s="211" t="s">
        <v>1228</v>
      </c>
      <c r="AG150" s="211" t="s">
        <v>327</v>
      </c>
      <c r="AH150" s="211" t="s">
        <v>1562</v>
      </c>
      <c r="AI150" s="211" t="s">
        <v>1228</v>
      </c>
      <c r="AJ150" s="211" t="s">
        <v>1133</v>
      </c>
      <c r="AK150" s="211" t="s">
        <v>1133</v>
      </c>
      <c r="AL150" s="211"/>
      <c r="AM150" s="211" t="s">
        <v>1639</v>
      </c>
      <c r="AN150" s="212" t="s">
        <v>1251</v>
      </c>
      <c r="AO150" s="215">
        <v>0.78</v>
      </c>
      <c r="AP150" s="216">
        <f t="shared" si="22"/>
        <v>3903.12</v>
      </c>
      <c r="AQ150" s="216">
        <f t="shared" si="23"/>
        <v>30249.18</v>
      </c>
      <c r="AR150" s="217">
        <v>61093</v>
      </c>
      <c r="AS150" s="208">
        <v>46132</v>
      </c>
      <c r="AT150" s="208" t="s">
        <v>1220</v>
      </c>
      <c r="AU150" s="221"/>
      <c r="AV150" s="222"/>
      <c r="AW150" s="208"/>
      <c r="AX150" s="208"/>
      <c r="AY150" s="208"/>
      <c r="AZ150" s="208"/>
      <c r="BA150" s="208"/>
      <c r="BB150" s="208" t="str">
        <f t="shared" si="18"/>
        <v>Grasper Global Private Limited</v>
      </c>
      <c r="BC150" s="208" t="str">
        <f t="shared" si="19"/>
        <v>印度</v>
      </c>
    </row>
    <row r="151" s="194" customFormat="1" customHeight="1" spans="1:55">
      <c r="A151" s="208">
        <v>46053</v>
      </c>
      <c r="B151" s="40" t="str">
        <f ca="1" t="shared" si="20"/>
        <v/>
      </c>
      <c r="C151" s="209" t="str">
        <f>VLOOKUP(H151,名称!A:E,4,0)</f>
        <v>二代</v>
      </c>
      <c r="D151" s="210" t="s">
        <v>1430</v>
      </c>
      <c r="E151" s="210" t="s">
        <v>1571</v>
      </c>
      <c r="F151" s="211"/>
      <c r="G151" s="211" t="s">
        <v>486</v>
      </c>
      <c r="H151" s="211" t="s">
        <v>37</v>
      </c>
      <c r="I151" s="211"/>
      <c r="J151" s="212">
        <v>3000</v>
      </c>
      <c r="K151" s="223">
        <f>VLOOKUP(H151,名称!A:C,2,0)</f>
        <v>12</v>
      </c>
      <c r="L151" s="223">
        <f>K151*J151</f>
        <v>36000</v>
      </c>
      <c r="M151" s="211">
        <f>VLOOKUP(H151,名称!A:E,3,0)</f>
        <v>6</v>
      </c>
      <c r="N151" s="212">
        <f t="shared" si="21"/>
        <v>500</v>
      </c>
      <c r="O151" s="208">
        <v>46121</v>
      </c>
      <c r="P151" s="208">
        <v>46121</v>
      </c>
      <c r="Q151" s="208">
        <v>46127</v>
      </c>
      <c r="R151" s="211" t="s">
        <v>1241</v>
      </c>
      <c r="S151" s="208" t="s">
        <v>1133</v>
      </c>
      <c r="T151" s="211"/>
      <c r="U151" s="211"/>
      <c r="V151" s="211"/>
      <c r="W151" s="208"/>
      <c r="X151" s="211" t="s">
        <v>1248</v>
      </c>
      <c r="Y151" s="211" t="s">
        <v>1228</v>
      </c>
      <c r="Z151" s="211" t="s">
        <v>1249</v>
      </c>
      <c r="AA151" s="214">
        <v>46056</v>
      </c>
      <c r="AB151" s="213">
        <v>46085</v>
      </c>
      <c r="AC151" s="211" t="s">
        <v>1244</v>
      </c>
      <c r="AD151" s="211" t="s">
        <v>1228</v>
      </c>
      <c r="AE151" s="211" t="s">
        <v>327</v>
      </c>
      <c r="AF151" s="211" t="s">
        <v>1228</v>
      </c>
      <c r="AG151" s="211" t="s">
        <v>327</v>
      </c>
      <c r="AH151" s="211" t="s">
        <v>1562</v>
      </c>
      <c r="AI151" s="211" t="s">
        <v>1228</v>
      </c>
      <c r="AJ151" s="211" t="s">
        <v>1572</v>
      </c>
      <c r="AK151" s="211" t="s">
        <v>1133</v>
      </c>
      <c r="AL151" s="211"/>
      <c r="AM151" s="211" t="s">
        <v>1639</v>
      </c>
      <c r="AN151" s="212" t="s">
        <v>1251</v>
      </c>
      <c r="AO151" s="215">
        <v>2.04</v>
      </c>
      <c r="AP151" s="216">
        <f t="shared" si="22"/>
        <v>6120</v>
      </c>
      <c r="AQ151" s="216">
        <f t="shared" si="23"/>
        <v>47430</v>
      </c>
      <c r="AR151" s="217">
        <v>61093</v>
      </c>
      <c r="AS151" s="208">
        <v>46132</v>
      </c>
      <c r="AT151" s="208" t="s">
        <v>1220</v>
      </c>
      <c r="AU151" s="221"/>
      <c r="AV151" s="222"/>
      <c r="AW151" s="208"/>
      <c r="AX151" s="208"/>
      <c r="AY151" s="208"/>
      <c r="AZ151" s="208"/>
      <c r="BA151" s="208"/>
      <c r="BB151" s="208" t="str">
        <f t="shared" si="18"/>
        <v>Grasper Global Private Limited</v>
      </c>
      <c r="BC151" s="208" t="str">
        <f t="shared" si="19"/>
        <v>印度</v>
      </c>
    </row>
    <row r="152" s="194" customFormat="1" customHeight="1" spans="1:55">
      <c r="A152" s="208">
        <v>46053</v>
      </c>
      <c r="B152" s="40" t="str">
        <f ca="1" t="shared" si="20"/>
        <v/>
      </c>
      <c r="C152" s="209" t="str">
        <f>VLOOKUP(H152,名称!A:E,4,0)</f>
        <v>二代</v>
      </c>
      <c r="D152" s="210" t="s">
        <v>1430</v>
      </c>
      <c r="E152" s="210" t="s">
        <v>1571</v>
      </c>
      <c r="F152" s="211"/>
      <c r="G152" s="211" t="s">
        <v>486</v>
      </c>
      <c r="H152" s="211" t="s">
        <v>41</v>
      </c>
      <c r="I152" s="211"/>
      <c r="J152" s="212">
        <v>4824</v>
      </c>
      <c r="K152" s="223">
        <f>VLOOKUP(H152,名称!A:C,2,0)</f>
        <v>12</v>
      </c>
      <c r="L152" s="223">
        <f>K152*J152</f>
        <v>57888</v>
      </c>
      <c r="M152" s="211">
        <f>VLOOKUP(H152,名称!A:E,3,0)</f>
        <v>6</v>
      </c>
      <c r="N152" s="212">
        <f t="shared" si="21"/>
        <v>804</v>
      </c>
      <c r="O152" s="208">
        <v>46121</v>
      </c>
      <c r="P152" s="208">
        <v>46121</v>
      </c>
      <c r="Q152" s="208">
        <v>46121</v>
      </c>
      <c r="R152" s="211" t="s">
        <v>1241</v>
      </c>
      <c r="S152" s="208" t="s">
        <v>1133</v>
      </c>
      <c r="T152" s="211"/>
      <c r="U152" s="211"/>
      <c r="V152" s="211"/>
      <c r="W152" s="208"/>
      <c r="X152" s="211" t="s">
        <v>1248</v>
      </c>
      <c r="Y152" s="211" t="s">
        <v>1228</v>
      </c>
      <c r="Z152" s="211" t="s">
        <v>1249</v>
      </c>
      <c r="AA152" s="214">
        <v>46056</v>
      </c>
      <c r="AB152" s="213">
        <v>46085</v>
      </c>
      <c r="AC152" s="211" t="s">
        <v>1560</v>
      </c>
      <c r="AD152" s="211" t="s">
        <v>1228</v>
      </c>
      <c r="AE152" s="211" t="s">
        <v>327</v>
      </c>
      <c r="AF152" s="211" t="s">
        <v>1228</v>
      </c>
      <c r="AG152" s="211" t="s">
        <v>327</v>
      </c>
      <c r="AH152" s="211" t="s">
        <v>1562</v>
      </c>
      <c r="AI152" s="211" t="s">
        <v>1228</v>
      </c>
      <c r="AJ152" s="211" t="s">
        <v>1133</v>
      </c>
      <c r="AK152" s="211" t="s">
        <v>1133</v>
      </c>
      <c r="AL152" s="211"/>
      <c r="AM152" s="211" t="s">
        <v>1639</v>
      </c>
      <c r="AN152" s="212" t="s">
        <v>1251</v>
      </c>
      <c r="AO152" s="215">
        <v>1.49</v>
      </c>
      <c r="AP152" s="216">
        <f t="shared" si="22"/>
        <v>7187.76</v>
      </c>
      <c r="AQ152" s="216">
        <f t="shared" si="23"/>
        <v>55705.14</v>
      </c>
      <c r="AR152" s="217">
        <v>61093</v>
      </c>
      <c r="AS152" s="208">
        <v>46132</v>
      </c>
      <c r="AT152" s="208" t="s">
        <v>1220</v>
      </c>
      <c r="AU152" s="221"/>
      <c r="AV152" s="222"/>
      <c r="AW152" s="208"/>
      <c r="AX152" s="208"/>
      <c r="AY152" s="208"/>
      <c r="AZ152" s="208"/>
      <c r="BA152" s="208"/>
      <c r="BB152" s="208" t="str">
        <f t="shared" si="18"/>
        <v>Grasper Global Private Limited</v>
      </c>
      <c r="BC152" s="208" t="str">
        <f t="shared" si="19"/>
        <v>印度</v>
      </c>
    </row>
    <row r="153" s="194" customFormat="1" customHeight="1" spans="1:55">
      <c r="A153" s="208">
        <v>46043</v>
      </c>
      <c r="B153" s="40" t="str">
        <f ca="1" t="shared" si="20"/>
        <v/>
      </c>
      <c r="C153" s="209" t="str">
        <f>VLOOKUP(H153,名称!A:E,4,0)</f>
        <v>三代</v>
      </c>
      <c r="D153" s="210" t="s">
        <v>1257</v>
      </c>
      <c r="E153" s="210" t="s">
        <v>1258</v>
      </c>
      <c r="F153" s="211"/>
      <c r="G153" s="211" t="s">
        <v>465</v>
      </c>
      <c r="H153" s="211" t="s">
        <v>68</v>
      </c>
      <c r="I153" s="211"/>
      <c r="J153" s="212">
        <v>5000</v>
      </c>
      <c r="K153" s="223">
        <f>VLOOKUP(H153,名称!A:C,2,0)</f>
        <v>32</v>
      </c>
      <c r="L153" s="212">
        <f>J153*K153</f>
        <v>160000</v>
      </c>
      <c r="M153" s="211">
        <f>VLOOKUP(H153,名称!A:E,3,0)</f>
        <v>4</v>
      </c>
      <c r="N153" s="212">
        <f t="shared" si="21"/>
        <v>1250</v>
      </c>
      <c r="O153" s="208">
        <v>46125</v>
      </c>
      <c r="P153" s="208">
        <v>46125</v>
      </c>
      <c r="Q153" s="208">
        <v>46127</v>
      </c>
      <c r="R153" s="211" t="s">
        <v>1241</v>
      </c>
      <c r="S153" s="208">
        <v>46127</v>
      </c>
      <c r="T153" s="211" t="s">
        <v>1241</v>
      </c>
      <c r="U153" s="211"/>
      <c r="V153" s="211"/>
      <c r="W153" s="208"/>
      <c r="X153" s="211" t="s">
        <v>1133</v>
      </c>
      <c r="Y153" s="211" t="s">
        <v>1133</v>
      </c>
      <c r="Z153" s="211" t="s">
        <v>1249</v>
      </c>
      <c r="AA153" s="214">
        <v>46051</v>
      </c>
      <c r="AB153" s="213">
        <v>46052</v>
      </c>
      <c r="AC153" s="211" t="s">
        <v>1133</v>
      </c>
      <c r="AD153" s="211" t="s">
        <v>1133</v>
      </c>
      <c r="AE153" s="211" t="s">
        <v>334</v>
      </c>
      <c r="AF153" s="211" t="s">
        <v>1228</v>
      </c>
      <c r="AG153" s="211" t="s">
        <v>334</v>
      </c>
      <c r="AH153" s="211" t="s">
        <v>1361</v>
      </c>
      <c r="AI153" s="211" t="s">
        <v>1228</v>
      </c>
      <c r="AJ153" s="211" t="s">
        <v>1133</v>
      </c>
      <c r="AK153" s="211" t="s">
        <v>1133</v>
      </c>
      <c r="AL153" s="211"/>
      <c r="AM153" s="212" t="s">
        <v>1640</v>
      </c>
      <c r="AN153" s="212"/>
      <c r="AO153" s="215">
        <v>3.23</v>
      </c>
      <c r="AP153" s="216">
        <f t="shared" si="22"/>
        <v>16150</v>
      </c>
      <c r="AQ153" s="216">
        <f t="shared" si="23"/>
        <v>125162.5</v>
      </c>
      <c r="AR153" s="224" t="s">
        <v>1641</v>
      </c>
      <c r="AS153" s="208">
        <v>46132</v>
      </c>
      <c r="AT153" s="208" t="s">
        <v>1220</v>
      </c>
      <c r="AU153" s="221">
        <f>552+4444+4</f>
        <v>5000</v>
      </c>
      <c r="AV153" s="222">
        <f>AU153-J153</f>
        <v>0</v>
      </c>
      <c r="AW153" s="208"/>
      <c r="AX153" s="208"/>
      <c r="AY153" s="208"/>
      <c r="AZ153" s="208"/>
      <c r="BA153" s="208"/>
      <c r="BB153" s="208" t="str">
        <f t="shared" si="18"/>
        <v>Character Options</v>
      </c>
      <c r="BC153" s="208" t="str">
        <f t="shared" si="19"/>
        <v>英国</v>
      </c>
    </row>
    <row r="154" s="194" customFormat="1" customHeight="1" spans="1:55">
      <c r="A154" s="208">
        <v>46085</v>
      </c>
      <c r="B154" s="40" t="str">
        <f ca="1" t="shared" si="20"/>
        <v/>
      </c>
      <c r="C154" s="209" t="str">
        <f>VLOOKUP(H154,名称!A:E,4,0)</f>
        <v>蛋糕</v>
      </c>
      <c r="D154" s="210" t="s">
        <v>1502</v>
      </c>
      <c r="E154" s="210" t="s">
        <v>1224</v>
      </c>
      <c r="F154" s="211" t="s">
        <v>538</v>
      </c>
      <c r="G154" s="211" t="s">
        <v>539</v>
      </c>
      <c r="H154" s="211" t="s">
        <v>50</v>
      </c>
      <c r="I154" s="211">
        <f>VLOOKUP(H154,名称!A:E,5,0)</f>
        <v>0</v>
      </c>
      <c r="J154" s="212">
        <v>504</v>
      </c>
      <c r="K154" s="211">
        <v>0</v>
      </c>
      <c r="L154" s="211">
        <f>J154*K154</f>
        <v>0</v>
      </c>
      <c r="M154" s="211">
        <f>VLOOKUP(H154,名称!A:E,3,0)</f>
        <v>18</v>
      </c>
      <c r="N154" s="212">
        <f t="shared" si="21"/>
        <v>28</v>
      </c>
      <c r="O154" s="208">
        <v>46136</v>
      </c>
      <c r="P154" s="208">
        <v>46133</v>
      </c>
      <c r="Q154" s="208">
        <v>46135</v>
      </c>
      <c r="R154" s="211"/>
      <c r="S154" s="208"/>
      <c r="T154" s="211"/>
      <c r="U154" s="211"/>
      <c r="V154" s="211"/>
      <c r="W154" s="208"/>
      <c r="X154" s="211" t="s">
        <v>1133</v>
      </c>
      <c r="Y154" s="211" t="s">
        <v>1133</v>
      </c>
      <c r="Z154" s="211" t="s">
        <v>1503</v>
      </c>
      <c r="AA154" s="213">
        <v>46108</v>
      </c>
      <c r="AB154" s="213">
        <v>46108</v>
      </c>
      <c r="AC154" s="211" t="s">
        <v>1133</v>
      </c>
      <c r="AD154" s="211" t="s">
        <v>1133</v>
      </c>
      <c r="AE154" s="211" t="s">
        <v>510</v>
      </c>
      <c r="AF154" s="211" t="s">
        <v>1228</v>
      </c>
      <c r="AG154" s="211" t="s">
        <v>510</v>
      </c>
      <c r="AH154" s="211" t="s">
        <v>1133</v>
      </c>
      <c r="AI154" s="211" t="s">
        <v>1228</v>
      </c>
      <c r="AJ154" s="211" t="s">
        <v>1133</v>
      </c>
      <c r="AK154" s="211" t="s">
        <v>1228</v>
      </c>
      <c r="AL154" s="211"/>
      <c r="AM154" s="211" t="s">
        <v>1296</v>
      </c>
      <c r="AN154" s="212"/>
      <c r="AO154" s="215">
        <v>1.11</v>
      </c>
      <c r="AP154" s="216">
        <f t="shared" si="22"/>
        <v>559.44</v>
      </c>
      <c r="AQ154" s="216">
        <f t="shared" si="23"/>
        <v>4335.66</v>
      </c>
      <c r="AR154" s="217">
        <v>61096</v>
      </c>
      <c r="AS154" s="208">
        <v>46141</v>
      </c>
      <c r="AT154" s="208" t="s">
        <v>1220</v>
      </c>
      <c r="AU154" s="208"/>
      <c r="AV154" s="208"/>
      <c r="AW154" s="208"/>
      <c r="AX154" s="208"/>
      <c r="AY154" s="208"/>
      <c r="AZ154" s="208"/>
      <c r="BA154" s="208"/>
      <c r="BB154" s="208" t="str">
        <f t="shared" si="18"/>
        <v>Target Corporation</v>
      </c>
      <c r="BC154" s="208" t="str">
        <f t="shared" si="19"/>
        <v>美国</v>
      </c>
    </row>
    <row r="155" s="194" customFormat="1" customHeight="1" spans="1:55">
      <c r="A155" s="208">
        <v>46035</v>
      </c>
      <c r="B155" s="40" t="str">
        <f ca="1" t="shared" si="20"/>
        <v/>
      </c>
      <c r="C155" s="209" t="str">
        <f>VLOOKUP(H155,名称!A:E,4,0)</f>
        <v>三代</v>
      </c>
      <c r="D155" s="210" t="s">
        <v>1257</v>
      </c>
      <c r="E155" s="210" t="s">
        <v>1258</v>
      </c>
      <c r="F155" s="211" t="s">
        <v>457</v>
      </c>
      <c r="G155" s="211" t="s">
        <v>458</v>
      </c>
      <c r="H155" s="211" t="s">
        <v>84</v>
      </c>
      <c r="I155" s="211"/>
      <c r="J155" s="212">
        <v>72000</v>
      </c>
      <c r="K155" s="223">
        <f>VLOOKUP(H155,名称!A:C,2,0)</f>
        <v>5</v>
      </c>
      <c r="L155" s="212">
        <f>J155*K155</f>
        <v>360000</v>
      </c>
      <c r="M155" s="211">
        <f>VLOOKUP(H155,名称!A:E,3,0)</f>
        <v>18</v>
      </c>
      <c r="N155" s="212">
        <f t="shared" si="21"/>
        <v>4000</v>
      </c>
      <c r="O155" s="208">
        <v>46127</v>
      </c>
      <c r="P155" s="208">
        <v>46140</v>
      </c>
      <c r="Q155" s="208">
        <v>46140</v>
      </c>
      <c r="R155" s="208" t="s">
        <v>1304</v>
      </c>
      <c r="S155" s="225">
        <v>46140</v>
      </c>
      <c r="T155" s="211" t="s">
        <v>1241</v>
      </c>
      <c r="U155" s="211"/>
      <c r="V155" s="211" t="s">
        <v>1642</v>
      </c>
      <c r="W155" s="208"/>
      <c r="X155" s="211" t="s">
        <v>1133</v>
      </c>
      <c r="Y155" s="211" t="s">
        <v>1133</v>
      </c>
      <c r="Z155" s="213">
        <v>46099</v>
      </c>
      <c r="AA155" s="214">
        <v>46100</v>
      </c>
      <c r="AB155" s="213">
        <v>46107</v>
      </c>
      <c r="AC155" s="211" t="s">
        <v>1133</v>
      </c>
      <c r="AD155" s="211" t="s">
        <v>1133</v>
      </c>
      <c r="AE155" s="211" t="s">
        <v>334</v>
      </c>
      <c r="AF155" s="211" t="s">
        <v>1228</v>
      </c>
      <c r="AG155" s="211" t="s">
        <v>334</v>
      </c>
      <c r="AH155" s="211" t="s">
        <v>1133</v>
      </c>
      <c r="AI155" s="211" t="s">
        <v>1228</v>
      </c>
      <c r="AJ155" s="211" t="s">
        <v>1133</v>
      </c>
      <c r="AK155" s="211" t="s">
        <v>334</v>
      </c>
      <c r="AL155" s="211"/>
      <c r="AM155" s="211" t="s">
        <v>1643</v>
      </c>
      <c r="AN155" s="212"/>
      <c r="AO155" s="215">
        <v>0.88</v>
      </c>
      <c r="AP155" s="216">
        <f t="shared" si="22"/>
        <v>63360</v>
      </c>
      <c r="AQ155" s="216">
        <f t="shared" si="23"/>
        <v>491040</v>
      </c>
      <c r="AR155" s="217">
        <v>61097</v>
      </c>
      <c r="AS155" s="208">
        <v>46141</v>
      </c>
      <c r="AT155" s="208" t="s">
        <v>1310</v>
      </c>
      <c r="AU155" s="221"/>
      <c r="AV155" s="222">
        <f>AU155-J155</f>
        <v>-72000</v>
      </c>
      <c r="AW155" s="208"/>
      <c r="AX155" s="208"/>
      <c r="AY155" s="208"/>
      <c r="AZ155" s="208"/>
      <c r="BA155" s="208"/>
      <c r="BB155" s="208" t="str">
        <f t="shared" si="18"/>
        <v>Character Options</v>
      </c>
      <c r="BC155" s="208" t="str">
        <f t="shared" si="19"/>
        <v>英国</v>
      </c>
    </row>
    <row r="156" s="194" customFormat="1" customHeight="1" spans="1:55">
      <c r="A156" s="208">
        <v>46043</v>
      </c>
      <c r="B156" s="40" t="str">
        <f ca="1" t="shared" si="20"/>
        <v/>
      </c>
      <c r="C156" s="209" t="str">
        <f>VLOOKUP(H156,名称!A:E,4,0)</f>
        <v>二代</v>
      </c>
      <c r="D156" s="210" t="s">
        <v>1257</v>
      </c>
      <c r="E156" s="210" t="s">
        <v>1258</v>
      </c>
      <c r="F156" s="211"/>
      <c r="G156" s="211" t="s">
        <v>465</v>
      </c>
      <c r="H156" s="211" t="s">
        <v>75</v>
      </c>
      <c r="I156" s="211"/>
      <c r="J156" s="212">
        <v>6000</v>
      </c>
      <c r="K156" s="223">
        <f>VLOOKUP(H156,名称!A:C,2,0)</f>
        <v>12</v>
      </c>
      <c r="L156" s="223">
        <f>K156*J156</f>
        <v>72000</v>
      </c>
      <c r="M156" s="211">
        <f>VLOOKUP(H156,名称!A:E,3,0)</f>
        <v>6</v>
      </c>
      <c r="N156" s="212">
        <f t="shared" si="21"/>
        <v>1000</v>
      </c>
      <c r="O156" s="208">
        <v>46125</v>
      </c>
      <c r="P156" s="208">
        <v>46125</v>
      </c>
      <c r="Q156" s="208">
        <v>46136</v>
      </c>
      <c r="R156" s="211" t="s">
        <v>1241</v>
      </c>
      <c r="S156" s="208">
        <v>46137</v>
      </c>
      <c r="T156" s="211" t="s">
        <v>1241</v>
      </c>
      <c r="U156" s="211"/>
      <c r="V156" s="211"/>
      <c r="W156" s="208"/>
      <c r="X156" s="211" t="s">
        <v>1133</v>
      </c>
      <c r="Y156" s="211" t="s">
        <v>1133</v>
      </c>
      <c r="Z156" s="211" t="s">
        <v>1249</v>
      </c>
      <c r="AA156" s="214">
        <v>46051</v>
      </c>
      <c r="AB156" s="213">
        <v>46052</v>
      </c>
      <c r="AC156" s="211" t="s">
        <v>1302</v>
      </c>
      <c r="AD156" s="211" t="s">
        <v>1228</v>
      </c>
      <c r="AE156" s="211" t="s">
        <v>334</v>
      </c>
      <c r="AF156" s="211" t="s">
        <v>1228</v>
      </c>
      <c r="AG156" s="211" t="s">
        <v>334</v>
      </c>
      <c r="AH156" s="211" t="s">
        <v>1361</v>
      </c>
      <c r="AI156" s="211" t="s">
        <v>1228</v>
      </c>
      <c r="AJ156" s="211" t="s">
        <v>1133</v>
      </c>
      <c r="AK156" s="211" t="s">
        <v>1133</v>
      </c>
      <c r="AL156" s="211"/>
      <c r="AM156" s="211" t="s">
        <v>1644</v>
      </c>
      <c r="AN156" s="212"/>
      <c r="AO156" s="215">
        <v>1.56</v>
      </c>
      <c r="AP156" s="216">
        <f t="shared" si="22"/>
        <v>9360</v>
      </c>
      <c r="AQ156" s="216">
        <f t="shared" si="23"/>
        <v>72540</v>
      </c>
      <c r="AR156" s="217">
        <v>61098</v>
      </c>
      <c r="AS156" s="208">
        <v>46141</v>
      </c>
      <c r="AT156" s="208" t="s">
        <v>1220</v>
      </c>
      <c r="AU156" s="221"/>
      <c r="AV156" s="222"/>
      <c r="AW156" s="208"/>
      <c r="AX156" s="208"/>
      <c r="AY156" s="208"/>
      <c r="AZ156" s="208"/>
      <c r="BA156" s="208"/>
      <c r="BB156" s="208" t="str">
        <f t="shared" si="18"/>
        <v>Character Options</v>
      </c>
      <c r="BC156" s="208" t="str">
        <f t="shared" si="19"/>
        <v>英国</v>
      </c>
    </row>
    <row r="157" s="194" customFormat="1" customHeight="1" spans="1:55">
      <c r="A157" s="208">
        <v>46043</v>
      </c>
      <c r="B157" s="40" t="str">
        <f ca="1" t="shared" si="20"/>
        <v/>
      </c>
      <c r="C157" s="209" t="str">
        <f>VLOOKUP(H157,名称!A:E,4,0)</f>
        <v>二代</v>
      </c>
      <c r="D157" s="210" t="s">
        <v>1257</v>
      </c>
      <c r="E157" s="210" t="s">
        <v>1258</v>
      </c>
      <c r="F157" s="211"/>
      <c r="G157" s="211" t="s">
        <v>465</v>
      </c>
      <c r="H157" s="211" t="s">
        <v>43</v>
      </c>
      <c r="I157" s="211"/>
      <c r="J157" s="212">
        <v>24000</v>
      </c>
      <c r="K157" s="223">
        <f>VLOOKUP(H157,名称!A:C,2,0)</f>
        <v>5</v>
      </c>
      <c r="L157" s="223">
        <f>K157*J157</f>
        <v>120000</v>
      </c>
      <c r="M157" s="211">
        <f>VLOOKUP(H157,名称!A:E,3,0)</f>
        <v>24</v>
      </c>
      <c r="N157" s="212">
        <f t="shared" si="21"/>
        <v>1000</v>
      </c>
      <c r="O157" s="208">
        <v>46125</v>
      </c>
      <c r="P157" s="208">
        <v>46125</v>
      </c>
      <c r="Q157" s="208">
        <v>46129</v>
      </c>
      <c r="R157" s="211" t="s">
        <v>1241</v>
      </c>
      <c r="S157" s="208">
        <v>46130</v>
      </c>
      <c r="T157" s="211" t="s">
        <v>1241</v>
      </c>
      <c r="U157" s="211"/>
      <c r="V157" s="211"/>
      <c r="W157" s="208"/>
      <c r="X157" s="211" t="s">
        <v>1133</v>
      </c>
      <c r="Y157" s="211" t="s">
        <v>1133</v>
      </c>
      <c r="Z157" s="211" t="s">
        <v>1249</v>
      </c>
      <c r="AA157" s="214">
        <v>46051</v>
      </c>
      <c r="AB157" s="213">
        <v>46052</v>
      </c>
      <c r="AC157" s="211" t="s">
        <v>1133</v>
      </c>
      <c r="AD157" s="211" t="s">
        <v>1133</v>
      </c>
      <c r="AE157" s="211" t="s">
        <v>334</v>
      </c>
      <c r="AF157" s="211" t="s">
        <v>1228</v>
      </c>
      <c r="AG157" s="211" t="s">
        <v>334</v>
      </c>
      <c r="AH157" s="194" t="s">
        <v>1133</v>
      </c>
      <c r="AI157" s="211" t="s">
        <v>1133</v>
      </c>
      <c r="AJ157" s="211" t="s">
        <v>1133</v>
      </c>
      <c r="AK157" s="211" t="s">
        <v>334</v>
      </c>
      <c r="AL157" s="211"/>
      <c r="AM157" s="211" t="s">
        <v>1645</v>
      </c>
      <c r="AN157" s="212" t="s">
        <v>1646</v>
      </c>
      <c r="AO157" s="215">
        <v>0.61</v>
      </c>
      <c r="AP157" s="216">
        <f t="shared" si="22"/>
        <v>14640</v>
      </c>
      <c r="AQ157" s="216">
        <f t="shared" si="23"/>
        <v>113460</v>
      </c>
      <c r="AR157" s="217">
        <v>61098</v>
      </c>
      <c r="AS157" s="208">
        <v>46141</v>
      </c>
      <c r="AT157" s="208" t="s">
        <v>1220</v>
      </c>
      <c r="AU157" s="221"/>
      <c r="AV157" s="222"/>
      <c r="AW157" s="208"/>
      <c r="AX157" s="208"/>
      <c r="AY157" s="208"/>
      <c r="AZ157" s="208"/>
      <c r="BA157" s="208"/>
      <c r="BB157" s="208" t="str">
        <f t="shared" si="18"/>
        <v>Character Options</v>
      </c>
      <c r="BC157" s="208" t="str">
        <f t="shared" si="19"/>
        <v>英国</v>
      </c>
    </row>
    <row r="158" s="194" customFormat="1" customHeight="1" spans="1:55">
      <c r="A158" s="208">
        <v>46038</v>
      </c>
      <c r="B158" s="40" t="str">
        <f ca="1" t="shared" si="20"/>
        <v/>
      </c>
      <c r="C158" s="209" t="str">
        <f>VLOOKUP(H158,名称!A:E,4,0)</f>
        <v>蛋糕</v>
      </c>
      <c r="D158" s="210" t="s">
        <v>1257</v>
      </c>
      <c r="E158" s="210" t="s">
        <v>1258</v>
      </c>
      <c r="F158" s="211" t="s">
        <v>463</v>
      </c>
      <c r="G158" s="211" t="s">
        <v>464</v>
      </c>
      <c r="H158" s="211" t="s">
        <v>106</v>
      </c>
      <c r="I158" s="211">
        <f>VLOOKUP(H158,名称!A:E,5,0)</f>
        <v>0</v>
      </c>
      <c r="J158" s="212">
        <f>30006-8370</f>
        <v>21636</v>
      </c>
      <c r="K158" s="211">
        <v>0</v>
      </c>
      <c r="L158" s="211">
        <f t="shared" ref="L158:L164" si="25">J158*K158</f>
        <v>0</v>
      </c>
      <c r="M158" s="211">
        <f>VLOOKUP(H158,名称!A:E,3,0)</f>
        <v>9</v>
      </c>
      <c r="N158" s="212">
        <f t="shared" si="21"/>
        <v>2404</v>
      </c>
      <c r="O158" s="208">
        <v>46127</v>
      </c>
      <c r="P158" s="208">
        <v>46127</v>
      </c>
      <c r="Q158" s="208">
        <v>46133</v>
      </c>
      <c r="R158" s="211" t="s">
        <v>1425</v>
      </c>
      <c r="S158" s="208">
        <v>46133</v>
      </c>
      <c r="T158" s="211" t="s">
        <v>1425</v>
      </c>
      <c r="U158" s="211"/>
      <c r="V158" s="211"/>
      <c r="W158" s="208"/>
      <c r="X158" s="211" t="s">
        <v>1133</v>
      </c>
      <c r="Y158" s="211" t="s">
        <v>1133</v>
      </c>
      <c r="Z158" s="213">
        <v>46099</v>
      </c>
      <c r="AA158" s="214">
        <v>46100</v>
      </c>
      <c r="AB158" s="213">
        <v>46108</v>
      </c>
      <c r="AC158" s="211" t="s">
        <v>1133</v>
      </c>
      <c r="AD158" s="211" t="s">
        <v>1133</v>
      </c>
      <c r="AE158" s="211" t="s">
        <v>334</v>
      </c>
      <c r="AF158" s="211" t="s">
        <v>1228</v>
      </c>
      <c r="AG158" s="211" t="s">
        <v>334</v>
      </c>
      <c r="AH158" s="211" t="s">
        <v>1133</v>
      </c>
      <c r="AI158" s="211" t="s">
        <v>1228</v>
      </c>
      <c r="AJ158" s="211" t="s">
        <v>1133</v>
      </c>
      <c r="AK158" s="211" t="s">
        <v>1228</v>
      </c>
      <c r="AL158" s="211"/>
      <c r="AM158" s="211" t="s">
        <v>1516</v>
      </c>
      <c r="AN158" s="212"/>
      <c r="AO158" s="215">
        <v>1.05</v>
      </c>
      <c r="AP158" s="216">
        <f t="shared" si="22"/>
        <v>22717.8</v>
      </c>
      <c r="AQ158" s="216">
        <f t="shared" si="23"/>
        <v>176062.95</v>
      </c>
      <c r="AR158" s="217">
        <v>61099</v>
      </c>
      <c r="AS158" s="208">
        <v>46141</v>
      </c>
      <c r="AT158" s="208" t="s">
        <v>1220</v>
      </c>
      <c r="AU158" s="208"/>
      <c r="AV158" s="222">
        <f t="shared" ref="AV158:AV164" si="26">AU158-J158</f>
        <v>-21636</v>
      </c>
      <c r="AW158" s="208"/>
      <c r="AX158" s="208"/>
      <c r="AY158" s="208"/>
      <c r="AZ158" s="208"/>
      <c r="BA158" s="208"/>
      <c r="BB158" s="208" t="str">
        <f t="shared" si="18"/>
        <v>Character Options</v>
      </c>
      <c r="BC158" s="208" t="str">
        <f t="shared" si="19"/>
        <v>英国</v>
      </c>
    </row>
    <row r="159" s="194" customFormat="1" customHeight="1" spans="1:55">
      <c r="A159" s="208">
        <v>46038</v>
      </c>
      <c r="B159" s="40" t="str">
        <f ca="1" t="shared" si="20"/>
        <v/>
      </c>
      <c r="C159" s="209" t="str">
        <f>VLOOKUP(H159,名称!A:E,4,0)</f>
        <v>蛋糕</v>
      </c>
      <c r="D159" s="210" t="s">
        <v>1257</v>
      </c>
      <c r="E159" s="210" t="s">
        <v>1258</v>
      </c>
      <c r="F159" s="211" t="s">
        <v>463</v>
      </c>
      <c r="G159" s="211" t="s">
        <v>464</v>
      </c>
      <c r="H159" s="211" t="s">
        <v>106</v>
      </c>
      <c r="I159" s="211">
        <f>VLOOKUP(H159,名称!A:E,5,0)</f>
        <v>0</v>
      </c>
      <c r="J159" s="212">
        <v>8370</v>
      </c>
      <c r="K159" s="211">
        <v>0</v>
      </c>
      <c r="L159" s="211">
        <f t="shared" si="25"/>
        <v>0</v>
      </c>
      <c r="M159" s="211">
        <f>VLOOKUP(H159,名称!A:E,3,0)</f>
        <v>9</v>
      </c>
      <c r="N159" s="212">
        <f t="shared" si="21"/>
        <v>930</v>
      </c>
      <c r="O159" s="208">
        <v>46127</v>
      </c>
      <c r="P159" s="208">
        <v>46127</v>
      </c>
      <c r="Q159" s="208">
        <v>46133</v>
      </c>
      <c r="R159" s="211" t="s">
        <v>1425</v>
      </c>
      <c r="S159" s="208">
        <v>46133</v>
      </c>
      <c r="T159" s="211" t="s">
        <v>1425</v>
      </c>
      <c r="U159" s="211"/>
      <c r="V159" s="211"/>
      <c r="W159" s="208"/>
      <c r="X159" s="211" t="s">
        <v>1133</v>
      </c>
      <c r="Y159" s="211" t="s">
        <v>1133</v>
      </c>
      <c r="Z159" s="213">
        <v>46099</v>
      </c>
      <c r="AA159" s="214">
        <v>46100</v>
      </c>
      <c r="AB159" s="213">
        <v>46108</v>
      </c>
      <c r="AC159" s="211" t="s">
        <v>1133</v>
      </c>
      <c r="AD159" s="211" t="s">
        <v>1133</v>
      </c>
      <c r="AE159" s="211" t="s">
        <v>334</v>
      </c>
      <c r="AF159" s="211" t="s">
        <v>1228</v>
      </c>
      <c r="AG159" s="211" t="s">
        <v>334</v>
      </c>
      <c r="AH159" s="211" t="s">
        <v>1133</v>
      </c>
      <c r="AI159" s="211" t="s">
        <v>1228</v>
      </c>
      <c r="AJ159" s="211" t="s">
        <v>1133</v>
      </c>
      <c r="AK159" s="211" t="s">
        <v>1228</v>
      </c>
      <c r="AL159" s="211"/>
      <c r="AM159" s="211" t="s">
        <v>1516</v>
      </c>
      <c r="AN159" s="212"/>
      <c r="AO159" s="215">
        <v>1.05</v>
      </c>
      <c r="AP159" s="216">
        <f t="shared" si="22"/>
        <v>8788.5</v>
      </c>
      <c r="AQ159" s="216">
        <f t="shared" si="23"/>
        <v>68110.88</v>
      </c>
      <c r="AR159" s="217">
        <v>61099</v>
      </c>
      <c r="AS159" s="208">
        <v>46141</v>
      </c>
      <c r="AT159" s="208" t="s">
        <v>1220</v>
      </c>
      <c r="AU159" s="208"/>
      <c r="AV159" s="222">
        <f t="shared" si="26"/>
        <v>-8370</v>
      </c>
      <c r="AW159" s="208"/>
      <c r="AX159" s="208"/>
      <c r="AY159" s="208"/>
      <c r="AZ159" s="208"/>
      <c r="BA159" s="208"/>
      <c r="BB159" s="208" t="str">
        <f t="shared" si="18"/>
        <v>Character Options</v>
      </c>
      <c r="BC159" s="208" t="str">
        <f t="shared" si="19"/>
        <v>英国</v>
      </c>
    </row>
    <row r="160" s="194" customFormat="1" customHeight="1" spans="1:55">
      <c r="A160" s="208">
        <v>46038</v>
      </c>
      <c r="B160" s="40" t="str">
        <f ca="1" t="shared" si="20"/>
        <v/>
      </c>
      <c r="C160" s="209" t="str">
        <f>VLOOKUP(H160,名称!A:E,4,0)</f>
        <v>蛋糕</v>
      </c>
      <c r="D160" s="210" t="s">
        <v>1257</v>
      </c>
      <c r="E160" s="210" t="s">
        <v>1258</v>
      </c>
      <c r="F160" s="211" t="s">
        <v>463</v>
      </c>
      <c r="G160" s="211" t="s">
        <v>464</v>
      </c>
      <c r="H160" s="211" t="s">
        <v>50</v>
      </c>
      <c r="I160" s="211">
        <f>VLOOKUP(H160,名称!A:E,5,0)</f>
        <v>0</v>
      </c>
      <c r="J160" s="212">
        <f>72000-30006+18</f>
        <v>42012</v>
      </c>
      <c r="K160" s="211">
        <v>0</v>
      </c>
      <c r="L160" s="211">
        <f t="shared" si="25"/>
        <v>0</v>
      </c>
      <c r="M160" s="211">
        <f>VLOOKUP(H160,名称!A:E,3,0)</f>
        <v>18</v>
      </c>
      <c r="N160" s="212">
        <f t="shared" si="21"/>
        <v>2334</v>
      </c>
      <c r="O160" s="208">
        <v>46127</v>
      </c>
      <c r="P160" s="208">
        <v>46127</v>
      </c>
      <c r="Q160" s="208">
        <v>46133</v>
      </c>
      <c r="R160" s="211" t="s">
        <v>1425</v>
      </c>
      <c r="S160" s="208">
        <v>46133</v>
      </c>
      <c r="T160" s="211" t="s">
        <v>1425</v>
      </c>
      <c r="U160" s="211"/>
      <c r="V160" s="211"/>
      <c r="W160" s="208"/>
      <c r="X160" s="211" t="s">
        <v>1133</v>
      </c>
      <c r="Y160" s="211" t="s">
        <v>1133</v>
      </c>
      <c r="Z160" s="213">
        <v>46099</v>
      </c>
      <c r="AA160" s="214">
        <v>46100</v>
      </c>
      <c r="AB160" s="213">
        <v>46108</v>
      </c>
      <c r="AC160" s="211" t="s">
        <v>1133</v>
      </c>
      <c r="AD160" s="211" t="s">
        <v>1133</v>
      </c>
      <c r="AE160" s="211" t="s">
        <v>334</v>
      </c>
      <c r="AF160" s="211" t="s">
        <v>1228</v>
      </c>
      <c r="AG160" s="211" t="s">
        <v>334</v>
      </c>
      <c r="AH160" s="211" t="s">
        <v>1133</v>
      </c>
      <c r="AI160" s="211" t="s">
        <v>1228</v>
      </c>
      <c r="AJ160" s="211" t="s">
        <v>1133</v>
      </c>
      <c r="AK160" s="211" t="s">
        <v>1228</v>
      </c>
      <c r="AL160" s="211"/>
      <c r="AM160" s="211" t="s">
        <v>1516</v>
      </c>
      <c r="AN160" s="212"/>
      <c r="AO160" s="215">
        <v>1.03</v>
      </c>
      <c r="AP160" s="216">
        <f t="shared" si="22"/>
        <v>43272.36</v>
      </c>
      <c r="AQ160" s="216">
        <f t="shared" si="23"/>
        <v>335360.79</v>
      </c>
      <c r="AR160" s="217">
        <v>61099</v>
      </c>
      <c r="AS160" s="208">
        <v>46141</v>
      </c>
      <c r="AT160" s="208" t="s">
        <v>1220</v>
      </c>
      <c r="AU160" s="208"/>
      <c r="AV160" s="222">
        <f t="shared" si="26"/>
        <v>-42012</v>
      </c>
      <c r="AW160" s="208"/>
      <c r="AX160" s="208"/>
      <c r="AY160" s="208"/>
      <c r="AZ160" s="208"/>
      <c r="BA160" s="208"/>
      <c r="BB160" s="208" t="str">
        <f t="shared" si="18"/>
        <v>Character Options</v>
      </c>
      <c r="BC160" s="208" t="str">
        <f t="shared" si="19"/>
        <v>英国</v>
      </c>
    </row>
    <row r="161" s="194" customFormat="1" customHeight="1" spans="1:55">
      <c r="A161" s="208">
        <v>46031</v>
      </c>
      <c r="B161" s="40" t="str">
        <f ca="1" t="shared" si="20"/>
        <v/>
      </c>
      <c r="C161" s="209" t="str">
        <f>VLOOKUP(H161,名称!A:E,4,0)</f>
        <v>三代</v>
      </c>
      <c r="D161" s="210" t="s">
        <v>1276</v>
      </c>
      <c r="E161" s="210" t="s">
        <v>1224</v>
      </c>
      <c r="F161" s="211" t="s">
        <v>400</v>
      </c>
      <c r="G161" s="211" t="s">
        <v>401</v>
      </c>
      <c r="H161" s="211" t="s">
        <v>61</v>
      </c>
      <c r="I161" s="211"/>
      <c r="J161" s="212">
        <v>32016</v>
      </c>
      <c r="K161" s="223">
        <f>VLOOKUP(H161,名称!A:C,2,0)</f>
        <v>5</v>
      </c>
      <c r="L161" s="212">
        <f t="shared" si="25"/>
        <v>160080</v>
      </c>
      <c r="M161" s="211">
        <f>VLOOKUP(H161,名称!A:E,3,0)</f>
        <v>24</v>
      </c>
      <c r="N161" s="212">
        <f t="shared" si="21"/>
        <v>1334</v>
      </c>
      <c r="O161" s="208">
        <v>46136</v>
      </c>
      <c r="P161" s="208">
        <v>46136</v>
      </c>
      <c r="Q161" s="208">
        <v>46139</v>
      </c>
      <c r="R161" s="211"/>
      <c r="S161" s="208" t="s">
        <v>1647</v>
      </c>
      <c r="T161" s="211"/>
      <c r="U161" s="211"/>
      <c r="V161" s="211" t="s">
        <v>1648</v>
      </c>
      <c r="W161" s="208"/>
      <c r="X161" s="211" t="s">
        <v>1133</v>
      </c>
      <c r="Y161" s="211" t="s">
        <v>1133</v>
      </c>
      <c r="Z161" s="213">
        <v>46059</v>
      </c>
      <c r="AA161" s="214">
        <v>46079</v>
      </c>
      <c r="AB161" s="213">
        <v>46080</v>
      </c>
      <c r="AC161" s="211" t="s">
        <v>1133</v>
      </c>
      <c r="AD161" s="211" t="s">
        <v>1133</v>
      </c>
      <c r="AE161" s="211" t="s">
        <v>1597</v>
      </c>
      <c r="AF161" s="211" t="s">
        <v>1228</v>
      </c>
      <c r="AG161" s="211" t="s">
        <v>1597</v>
      </c>
      <c r="AH161" s="211" t="s">
        <v>1133</v>
      </c>
      <c r="AI161" s="211" t="s">
        <v>1228</v>
      </c>
      <c r="AJ161" s="211" t="s">
        <v>1133</v>
      </c>
      <c r="AK161" s="211" t="s">
        <v>1597</v>
      </c>
      <c r="AL161" s="211"/>
      <c r="AM161" s="211" t="s">
        <v>1649</v>
      </c>
      <c r="AN161" s="212"/>
      <c r="AO161" s="215">
        <v>0.61</v>
      </c>
      <c r="AP161" s="216">
        <f t="shared" si="22"/>
        <v>19529.76</v>
      </c>
      <c r="AQ161" s="216">
        <f t="shared" si="23"/>
        <v>151355.64</v>
      </c>
      <c r="AR161" s="217">
        <v>61101</v>
      </c>
      <c r="AS161" s="208">
        <v>46146</v>
      </c>
      <c r="AT161" s="208" t="s">
        <v>1220</v>
      </c>
      <c r="AU161" s="221">
        <f>31848+168</f>
        <v>32016</v>
      </c>
      <c r="AV161" s="222">
        <f t="shared" si="26"/>
        <v>0</v>
      </c>
      <c r="AW161" s="208" t="s">
        <v>1280</v>
      </c>
      <c r="AX161" s="208"/>
      <c r="AY161" s="208"/>
      <c r="AZ161" s="208"/>
      <c r="BA161" s="226"/>
      <c r="BB161" s="208" t="str">
        <f t="shared" si="18"/>
        <v>Jazwares- TARGET US DOM</v>
      </c>
      <c r="BC161" s="208" t="str">
        <f t="shared" si="19"/>
        <v>美国</v>
      </c>
    </row>
    <row r="162" s="194" customFormat="1" customHeight="1" spans="1:55">
      <c r="A162" s="208">
        <v>46031</v>
      </c>
      <c r="B162" s="40" t="str">
        <f ca="1" t="shared" si="20"/>
        <v/>
      </c>
      <c r="C162" s="209" t="str">
        <f>VLOOKUP(H162,名称!A:E,4,0)</f>
        <v>三代</v>
      </c>
      <c r="D162" s="210" t="s">
        <v>1276</v>
      </c>
      <c r="E162" s="210" t="s">
        <v>1224</v>
      </c>
      <c r="F162" s="211" t="s">
        <v>396</v>
      </c>
      <c r="G162" s="211" t="s">
        <v>397</v>
      </c>
      <c r="H162" s="211" t="s">
        <v>59</v>
      </c>
      <c r="I162" s="211"/>
      <c r="J162" s="212">
        <v>36000</v>
      </c>
      <c r="K162" s="223">
        <f>VLOOKUP(H162,名称!A:C,2,0)</f>
        <v>5</v>
      </c>
      <c r="L162" s="212">
        <f t="shared" si="25"/>
        <v>180000</v>
      </c>
      <c r="M162" s="211">
        <f>VLOOKUP(H162,名称!A:E,3,0)</f>
        <v>24</v>
      </c>
      <c r="N162" s="212">
        <f t="shared" si="21"/>
        <v>1500</v>
      </c>
      <c r="O162" s="208">
        <v>46135</v>
      </c>
      <c r="P162" s="208">
        <v>46135</v>
      </c>
      <c r="Q162" s="208">
        <v>46139</v>
      </c>
      <c r="R162" s="211"/>
      <c r="S162" s="208" t="s">
        <v>1647</v>
      </c>
      <c r="T162" s="211"/>
      <c r="U162" s="211"/>
      <c r="V162" s="211" t="s">
        <v>1648</v>
      </c>
      <c r="W162" s="208"/>
      <c r="X162" s="211" t="s">
        <v>1133</v>
      </c>
      <c r="Y162" s="211" t="s">
        <v>1133</v>
      </c>
      <c r="Z162" s="213">
        <v>46059</v>
      </c>
      <c r="AA162" s="214">
        <v>46079</v>
      </c>
      <c r="AB162" s="213">
        <v>46094</v>
      </c>
      <c r="AC162" s="211" t="s">
        <v>1133</v>
      </c>
      <c r="AD162" s="211" t="s">
        <v>1133</v>
      </c>
      <c r="AE162" s="211" t="s">
        <v>1597</v>
      </c>
      <c r="AF162" s="211" t="s">
        <v>1228</v>
      </c>
      <c r="AG162" s="211" t="s">
        <v>1597</v>
      </c>
      <c r="AH162" s="211" t="s">
        <v>1133</v>
      </c>
      <c r="AI162" s="211" t="s">
        <v>1228</v>
      </c>
      <c r="AJ162" s="211" t="s">
        <v>1133</v>
      </c>
      <c r="AK162" s="211" t="s">
        <v>1597</v>
      </c>
      <c r="AL162" s="211"/>
      <c r="AM162" s="211" t="s">
        <v>1649</v>
      </c>
      <c r="AN162" s="212"/>
      <c r="AO162" s="215">
        <v>0.62</v>
      </c>
      <c r="AP162" s="216">
        <f t="shared" si="22"/>
        <v>22320</v>
      </c>
      <c r="AQ162" s="216">
        <f t="shared" si="23"/>
        <v>172980</v>
      </c>
      <c r="AR162" s="217">
        <v>61102</v>
      </c>
      <c r="AS162" s="208">
        <v>46146</v>
      </c>
      <c r="AT162" s="208" t="s">
        <v>1220</v>
      </c>
      <c r="AU162" s="221">
        <f>20163+15837</f>
        <v>36000</v>
      </c>
      <c r="AV162" s="222">
        <f t="shared" si="26"/>
        <v>0</v>
      </c>
      <c r="AW162" s="208"/>
      <c r="AX162" s="208"/>
      <c r="AY162" s="208"/>
      <c r="AZ162" s="208"/>
      <c r="BA162" s="226"/>
      <c r="BB162" s="208" t="str">
        <f t="shared" si="18"/>
        <v>Jazwares- TARGET US DOM</v>
      </c>
      <c r="BC162" s="208" t="str">
        <f t="shared" si="19"/>
        <v>美国</v>
      </c>
    </row>
    <row r="163" s="194" customFormat="1" customHeight="1" spans="1:55">
      <c r="A163" s="208">
        <v>46031</v>
      </c>
      <c r="B163" s="40" t="str">
        <f ca="1" t="shared" si="20"/>
        <v/>
      </c>
      <c r="C163" s="209" t="str">
        <f>VLOOKUP(H163,名称!A:E,4,0)</f>
        <v>三代</v>
      </c>
      <c r="D163" s="210" t="s">
        <v>1276</v>
      </c>
      <c r="E163" s="210" t="s">
        <v>1224</v>
      </c>
      <c r="F163" s="211" t="s">
        <v>406</v>
      </c>
      <c r="G163" s="211" t="s">
        <v>407</v>
      </c>
      <c r="H163" s="211" t="s">
        <v>61</v>
      </c>
      <c r="I163" s="211"/>
      <c r="J163" s="212">
        <v>50016</v>
      </c>
      <c r="K163" s="223">
        <f>VLOOKUP(H163,名称!A:C,2,0)</f>
        <v>5</v>
      </c>
      <c r="L163" s="212">
        <f t="shared" si="25"/>
        <v>250080</v>
      </c>
      <c r="M163" s="211">
        <f>VLOOKUP(H163,名称!A:E,3,0)</f>
        <v>24</v>
      </c>
      <c r="N163" s="212">
        <f t="shared" si="21"/>
        <v>2084</v>
      </c>
      <c r="O163" s="208">
        <v>46136</v>
      </c>
      <c r="P163" s="208">
        <v>46142</v>
      </c>
      <c r="Q163" s="208">
        <v>46142</v>
      </c>
      <c r="R163" s="211"/>
      <c r="S163" s="208">
        <v>46142</v>
      </c>
      <c r="T163" s="211"/>
      <c r="U163" s="211"/>
      <c r="V163" s="211" t="s">
        <v>1648</v>
      </c>
      <c r="W163" s="208"/>
      <c r="X163" s="211" t="s">
        <v>1133</v>
      </c>
      <c r="Y163" s="211" t="s">
        <v>1133</v>
      </c>
      <c r="Z163" s="213">
        <v>46059</v>
      </c>
      <c r="AA163" s="214">
        <v>46079</v>
      </c>
      <c r="AB163" s="213">
        <v>46080</v>
      </c>
      <c r="AC163" s="211" t="s">
        <v>1133</v>
      </c>
      <c r="AD163" s="211" t="s">
        <v>1133</v>
      </c>
      <c r="AE163" s="211" t="s">
        <v>1597</v>
      </c>
      <c r="AF163" s="211" t="s">
        <v>1228</v>
      </c>
      <c r="AG163" s="211" t="s">
        <v>1597</v>
      </c>
      <c r="AH163" s="211" t="s">
        <v>1133</v>
      </c>
      <c r="AI163" s="211" t="s">
        <v>1228</v>
      </c>
      <c r="AJ163" s="211" t="s">
        <v>1133</v>
      </c>
      <c r="AK163" s="211" t="s">
        <v>1597</v>
      </c>
      <c r="AL163" s="211"/>
      <c r="AM163" s="211" t="s">
        <v>1649</v>
      </c>
      <c r="AN163" s="212"/>
      <c r="AO163" s="215">
        <v>0.61</v>
      </c>
      <c r="AP163" s="216">
        <f t="shared" si="22"/>
        <v>30509.76</v>
      </c>
      <c r="AQ163" s="216">
        <f t="shared" si="23"/>
        <v>236450.64</v>
      </c>
      <c r="AR163" s="217">
        <v>61103</v>
      </c>
      <c r="AS163" s="208">
        <v>46146</v>
      </c>
      <c r="AT163" s="208" t="s">
        <v>1220</v>
      </c>
      <c r="AU163" s="221">
        <v>50016</v>
      </c>
      <c r="AV163" s="222">
        <f t="shared" si="26"/>
        <v>0</v>
      </c>
      <c r="AW163" s="208" t="s">
        <v>1280</v>
      </c>
      <c r="AX163" s="208"/>
      <c r="AY163" s="208"/>
      <c r="AZ163" s="208"/>
      <c r="BA163" s="226"/>
      <c r="BB163" s="208" t="str">
        <f t="shared" si="18"/>
        <v>Jazwares- TARGET US DOM</v>
      </c>
      <c r="BC163" s="208" t="str">
        <f t="shared" si="19"/>
        <v>美国</v>
      </c>
    </row>
    <row r="164" s="194" customFormat="1" customHeight="1" spans="1:55">
      <c r="A164" s="208">
        <v>46031</v>
      </c>
      <c r="B164" s="40" t="str">
        <f ca="1" t="shared" si="20"/>
        <v/>
      </c>
      <c r="C164" s="209" t="str">
        <f>VLOOKUP(H164,名称!A:E,4,0)</f>
        <v>三代</v>
      </c>
      <c r="D164" s="210" t="s">
        <v>1281</v>
      </c>
      <c r="E164" s="210" t="s">
        <v>1224</v>
      </c>
      <c r="F164" s="211" t="s">
        <v>422</v>
      </c>
      <c r="G164" s="211" t="s">
        <v>423</v>
      </c>
      <c r="H164" s="211" t="s">
        <v>55</v>
      </c>
      <c r="I164" s="211"/>
      <c r="J164" s="212">
        <v>2000</v>
      </c>
      <c r="K164" s="223">
        <f>VLOOKUP(H164,名称!A:C,2,0)</f>
        <v>7</v>
      </c>
      <c r="L164" s="212">
        <f t="shared" si="25"/>
        <v>14000</v>
      </c>
      <c r="M164" s="211">
        <f>VLOOKUP(H164,名称!A:E,3,0)</f>
        <v>16</v>
      </c>
      <c r="N164" s="212">
        <f t="shared" si="21"/>
        <v>125</v>
      </c>
      <c r="O164" s="208">
        <v>46127</v>
      </c>
      <c r="P164" s="208">
        <v>46127</v>
      </c>
      <c r="Q164" s="208">
        <v>46139</v>
      </c>
      <c r="R164" s="211" t="s">
        <v>1241</v>
      </c>
      <c r="S164" s="208">
        <v>46140</v>
      </c>
      <c r="T164" s="211" t="s">
        <v>1241</v>
      </c>
      <c r="U164" s="211"/>
      <c r="V164" s="211" t="s">
        <v>1648</v>
      </c>
      <c r="W164" s="208"/>
      <c r="X164" s="211" t="s">
        <v>1133</v>
      </c>
      <c r="Y164" s="211" t="s">
        <v>1133</v>
      </c>
      <c r="Z164" s="213">
        <v>46059</v>
      </c>
      <c r="AA164" s="214">
        <v>46079</v>
      </c>
      <c r="AB164" s="213">
        <v>46080</v>
      </c>
      <c r="AC164" s="211" t="s">
        <v>1284</v>
      </c>
      <c r="AD164" s="211" t="s">
        <v>1228</v>
      </c>
      <c r="AE164" s="211" t="s">
        <v>1597</v>
      </c>
      <c r="AF164" s="211" t="s">
        <v>1228</v>
      </c>
      <c r="AG164" s="211" t="s">
        <v>1597</v>
      </c>
      <c r="AH164" s="211" t="s">
        <v>1285</v>
      </c>
      <c r="AI164" s="211" t="s">
        <v>1228</v>
      </c>
      <c r="AJ164" s="211" t="s">
        <v>1133</v>
      </c>
      <c r="AK164" s="211" t="s">
        <v>1133</v>
      </c>
      <c r="AL164" s="211"/>
      <c r="AM164" s="211" t="s">
        <v>1649</v>
      </c>
      <c r="AN164" s="212"/>
      <c r="AO164" s="215">
        <v>0.88</v>
      </c>
      <c r="AP164" s="216">
        <f t="shared" si="22"/>
        <v>1760</v>
      </c>
      <c r="AQ164" s="216">
        <f t="shared" si="23"/>
        <v>13640</v>
      </c>
      <c r="AR164" s="217">
        <v>61104</v>
      </c>
      <c r="AS164" s="208">
        <v>46146</v>
      </c>
      <c r="AT164" s="208" t="s">
        <v>1220</v>
      </c>
      <c r="AU164" s="221">
        <v>2000</v>
      </c>
      <c r="AV164" s="222">
        <f t="shared" si="26"/>
        <v>0</v>
      </c>
      <c r="AW164" s="208" t="s">
        <v>1280</v>
      </c>
      <c r="AX164" s="208"/>
      <c r="AY164" s="208"/>
      <c r="AZ164" s="208"/>
      <c r="BA164" s="226"/>
      <c r="BB164" s="208" t="str">
        <f t="shared" si="18"/>
        <v>Jazwares, LLC</v>
      </c>
      <c r="BC164" s="208" t="str">
        <f t="shared" si="19"/>
        <v>美国</v>
      </c>
    </row>
    <row r="165" s="194" customFormat="1" customHeight="1" spans="1:55">
      <c r="A165" s="208">
        <v>46013</v>
      </c>
      <c r="B165" s="40" t="str">
        <f ca="1" t="shared" si="20"/>
        <v/>
      </c>
      <c r="C165" s="209" t="str">
        <f>VLOOKUP(H165,名称!A:E,4,0)</f>
        <v>二代</v>
      </c>
      <c r="D165" s="210" t="s">
        <v>1281</v>
      </c>
      <c r="E165" s="210" t="s">
        <v>1224</v>
      </c>
      <c r="F165" s="211" t="s">
        <v>355</v>
      </c>
      <c r="G165" s="211" t="s">
        <v>356</v>
      </c>
      <c r="H165" s="211" t="s">
        <v>44</v>
      </c>
      <c r="I165" s="211"/>
      <c r="J165" s="212">
        <v>2016</v>
      </c>
      <c r="K165" s="223">
        <f>VLOOKUP(H165,名称!A:C,2,0)</f>
        <v>5</v>
      </c>
      <c r="L165" s="223">
        <f>K165*J165</f>
        <v>10080</v>
      </c>
      <c r="M165" s="211">
        <f>VLOOKUP(H165,名称!A:E,3,0)</f>
        <v>24</v>
      </c>
      <c r="N165" s="212">
        <f t="shared" si="21"/>
        <v>84</v>
      </c>
      <c r="O165" s="208">
        <v>46139</v>
      </c>
      <c r="P165" s="208">
        <v>46139</v>
      </c>
      <c r="Q165" s="208">
        <v>46139</v>
      </c>
      <c r="R165" s="211" t="s">
        <v>1241</v>
      </c>
      <c r="S165" s="208">
        <v>46140</v>
      </c>
      <c r="T165" s="211" t="s">
        <v>1241</v>
      </c>
      <c r="U165" s="211"/>
      <c r="V165" s="211" t="s">
        <v>1650</v>
      </c>
      <c r="W165" s="208" t="s">
        <v>1651</v>
      </c>
      <c r="X165" s="211" t="s">
        <v>1133</v>
      </c>
      <c r="Y165" s="211" t="s">
        <v>1133</v>
      </c>
      <c r="Z165" s="213">
        <v>46059</v>
      </c>
      <c r="AA165" s="214">
        <v>46079</v>
      </c>
      <c r="AB165" s="213">
        <v>46080</v>
      </c>
      <c r="AC165" s="211" t="s">
        <v>1133</v>
      </c>
      <c r="AD165" s="211" t="s">
        <v>1133</v>
      </c>
      <c r="AE165" s="211" t="s">
        <v>1597</v>
      </c>
      <c r="AF165" s="211" t="s">
        <v>1228</v>
      </c>
      <c r="AG165" s="211" t="s">
        <v>1597</v>
      </c>
      <c r="AH165" s="211" t="s">
        <v>1133</v>
      </c>
      <c r="AI165" s="211" t="s">
        <v>1228</v>
      </c>
      <c r="AJ165" s="211" t="s">
        <v>1133</v>
      </c>
      <c r="AK165" s="211" t="s">
        <v>1598</v>
      </c>
      <c r="AL165" s="211"/>
      <c r="AM165" s="211" t="s">
        <v>1296</v>
      </c>
      <c r="AN165" s="212"/>
      <c r="AO165" s="215">
        <v>0.61</v>
      </c>
      <c r="AP165" s="216">
        <f t="shared" si="22"/>
        <v>1229.76</v>
      </c>
      <c r="AQ165" s="216">
        <f t="shared" si="23"/>
        <v>9530.64</v>
      </c>
      <c r="AR165" s="217">
        <v>61105</v>
      </c>
      <c r="AS165" s="208">
        <v>46146</v>
      </c>
      <c r="AT165" s="208" t="s">
        <v>1220</v>
      </c>
      <c r="AU165" s="221"/>
      <c r="AV165" s="222"/>
      <c r="AW165" s="208"/>
      <c r="AX165" s="208"/>
      <c r="AY165" s="208"/>
      <c r="AZ165" s="208"/>
      <c r="BA165" s="208"/>
      <c r="BB165" s="208" t="str">
        <f t="shared" si="18"/>
        <v>Jazwares, LLC</v>
      </c>
      <c r="BC165" s="208" t="str">
        <f t="shared" si="19"/>
        <v>美国</v>
      </c>
    </row>
    <row r="166" s="194" customFormat="1" customHeight="1" spans="1:55">
      <c r="A166" s="208">
        <v>46037</v>
      </c>
      <c r="B166" s="40" t="str">
        <f ca="1" t="shared" si="20"/>
        <v/>
      </c>
      <c r="C166" s="209" t="str">
        <f>VLOOKUP(H166,名称!A:E,4,0)</f>
        <v>三代</v>
      </c>
      <c r="D166" s="210" t="s">
        <v>1429</v>
      </c>
      <c r="E166" s="210" t="s">
        <v>1224</v>
      </c>
      <c r="F166" s="211" t="s">
        <v>459</v>
      </c>
      <c r="G166" s="211" t="s">
        <v>460</v>
      </c>
      <c r="H166" s="211" t="s">
        <v>94</v>
      </c>
      <c r="I166" s="211"/>
      <c r="J166" s="212">
        <v>8400</v>
      </c>
      <c r="K166" s="223">
        <f>VLOOKUP(H166,名称!A:C,2,0)</f>
        <v>5</v>
      </c>
      <c r="L166" s="212">
        <f>J166*K166</f>
        <v>42000</v>
      </c>
      <c r="M166" s="211">
        <f>VLOOKUP(H166,名称!A:E,3,0)</f>
        <v>24</v>
      </c>
      <c r="N166" s="212">
        <f t="shared" si="21"/>
        <v>350</v>
      </c>
      <c r="O166" s="208">
        <v>46134</v>
      </c>
      <c r="P166" s="208">
        <v>46148</v>
      </c>
      <c r="Q166" s="208">
        <v>46136</v>
      </c>
      <c r="R166" s="208" t="s">
        <v>1241</v>
      </c>
      <c r="S166" s="225">
        <v>46142</v>
      </c>
      <c r="T166" s="208"/>
      <c r="U166" s="211"/>
      <c r="V166" s="211" t="s">
        <v>1648</v>
      </c>
      <c r="W166" s="208"/>
      <c r="X166" s="211" t="s">
        <v>1133</v>
      </c>
      <c r="Y166" s="211" t="s">
        <v>1133</v>
      </c>
      <c r="Z166" s="213">
        <v>46059</v>
      </c>
      <c r="AA166" s="214">
        <v>46079</v>
      </c>
      <c r="AB166" s="213">
        <v>46080</v>
      </c>
      <c r="AC166" s="211" t="s">
        <v>1133</v>
      </c>
      <c r="AD166" s="211" t="s">
        <v>1133</v>
      </c>
      <c r="AE166" s="211" t="s">
        <v>1597</v>
      </c>
      <c r="AF166" s="211" t="s">
        <v>1228</v>
      </c>
      <c r="AG166" s="211" t="s">
        <v>1597</v>
      </c>
      <c r="AH166" s="211" t="s">
        <v>1133</v>
      </c>
      <c r="AI166" s="211" t="s">
        <v>1228</v>
      </c>
      <c r="AJ166" s="211" t="s">
        <v>1133</v>
      </c>
      <c r="AK166" s="211" t="s">
        <v>1597</v>
      </c>
      <c r="AL166" s="211"/>
      <c r="AM166" s="211" t="s">
        <v>1649</v>
      </c>
      <c r="AN166" s="212"/>
      <c r="AO166" s="215">
        <v>0.61</v>
      </c>
      <c r="AP166" s="216">
        <f t="shared" si="22"/>
        <v>5124</v>
      </c>
      <c r="AQ166" s="216">
        <f t="shared" si="23"/>
        <v>39711</v>
      </c>
      <c r="AR166" s="217">
        <v>61106</v>
      </c>
      <c r="AS166" s="208">
        <v>46146</v>
      </c>
      <c r="AT166" s="208" t="s">
        <v>1220</v>
      </c>
      <c r="AU166" s="221">
        <v>8400</v>
      </c>
      <c r="AV166" s="222">
        <f>AU166-J166</f>
        <v>0</v>
      </c>
      <c r="AW166" s="208" t="s">
        <v>1280</v>
      </c>
      <c r="AX166" s="208"/>
      <c r="AY166" s="208"/>
      <c r="AZ166" s="208"/>
      <c r="BA166" s="226"/>
      <c r="BB166" s="208" t="str">
        <f t="shared" si="18"/>
        <v>JAZWARES - MEIJER INC. DOM</v>
      </c>
      <c r="BC166" s="208" t="str">
        <f t="shared" si="19"/>
        <v>美国</v>
      </c>
    </row>
    <row r="167" s="194" customFormat="1" customHeight="1" spans="1:55">
      <c r="A167" s="208">
        <v>46035</v>
      </c>
      <c r="B167" s="40" t="str">
        <f ca="1" t="shared" si="20"/>
        <v/>
      </c>
      <c r="C167" s="209" t="str">
        <f>VLOOKUP(H167,名称!A:E,4,0)</f>
        <v>三代</v>
      </c>
      <c r="D167" s="210" t="s">
        <v>1240</v>
      </c>
      <c r="E167" s="210" t="s">
        <v>1224</v>
      </c>
      <c r="F167" s="211" t="s">
        <v>435</v>
      </c>
      <c r="G167" s="211" t="s">
        <v>436</v>
      </c>
      <c r="H167" s="211" t="s">
        <v>94</v>
      </c>
      <c r="I167" s="211"/>
      <c r="J167" s="212">
        <v>40008</v>
      </c>
      <c r="K167" s="223">
        <f>VLOOKUP(H167,名称!A:C,2,0)</f>
        <v>5</v>
      </c>
      <c r="L167" s="212">
        <f>J167*K167</f>
        <v>200040</v>
      </c>
      <c r="M167" s="211">
        <f>VLOOKUP(H167,名称!A:E,3,0)</f>
        <v>24</v>
      </c>
      <c r="N167" s="212">
        <f t="shared" si="21"/>
        <v>1667</v>
      </c>
      <c r="O167" s="208">
        <v>46135</v>
      </c>
      <c r="P167" s="208">
        <v>46142</v>
      </c>
      <c r="Q167" s="208">
        <v>46142</v>
      </c>
      <c r="R167" s="208"/>
      <c r="S167" s="225">
        <v>46142</v>
      </c>
      <c r="T167" s="208"/>
      <c r="U167" s="211"/>
      <c r="V167" s="211" t="s">
        <v>1648</v>
      </c>
      <c r="W167" s="208"/>
      <c r="X167" s="211" t="s">
        <v>1133</v>
      </c>
      <c r="Y167" s="211" t="s">
        <v>1133</v>
      </c>
      <c r="Z167" s="213">
        <v>46059</v>
      </c>
      <c r="AA167" s="214">
        <v>46079</v>
      </c>
      <c r="AB167" s="213">
        <v>46080</v>
      </c>
      <c r="AC167" s="211" t="s">
        <v>1133</v>
      </c>
      <c r="AD167" s="211" t="s">
        <v>1133</v>
      </c>
      <c r="AE167" s="211" t="s">
        <v>1597</v>
      </c>
      <c r="AF167" s="211" t="s">
        <v>1228</v>
      </c>
      <c r="AG167" s="211" t="s">
        <v>1597</v>
      </c>
      <c r="AH167" s="211" t="s">
        <v>1133</v>
      </c>
      <c r="AI167" s="211" t="s">
        <v>1228</v>
      </c>
      <c r="AJ167" s="211" t="s">
        <v>1133</v>
      </c>
      <c r="AK167" s="211" t="s">
        <v>1597</v>
      </c>
      <c r="AL167" s="211"/>
      <c r="AM167" s="211" t="s">
        <v>1649</v>
      </c>
      <c r="AN167" s="212"/>
      <c r="AO167" s="215">
        <v>0.61</v>
      </c>
      <c r="AP167" s="216">
        <f t="shared" si="22"/>
        <v>24404.88</v>
      </c>
      <c r="AQ167" s="216">
        <f t="shared" si="23"/>
        <v>189137.82</v>
      </c>
      <c r="AR167" s="217">
        <v>61107</v>
      </c>
      <c r="AS167" s="208">
        <v>46146</v>
      </c>
      <c r="AT167" s="208" t="s">
        <v>1220</v>
      </c>
      <c r="AU167" s="221">
        <v>40008</v>
      </c>
      <c r="AV167" s="222">
        <f>AU167-J167</f>
        <v>0</v>
      </c>
      <c r="AW167" s="208" t="s">
        <v>1280</v>
      </c>
      <c r="AX167" s="208"/>
      <c r="AY167" s="208"/>
      <c r="AZ167" s="208"/>
      <c r="BA167" s="226"/>
      <c r="BB167" s="208" t="str">
        <f t="shared" si="18"/>
        <v>JAZWARES - TARGET US DOM</v>
      </c>
      <c r="BC167" s="208" t="str">
        <f t="shared" si="19"/>
        <v>美国</v>
      </c>
    </row>
    <row r="168" s="194" customFormat="1" customHeight="1" spans="1:55">
      <c r="A168" s="208">
        <v>46052</v>
      </c>
      <c r="B168" s="40" t="str">
        <f ca="1" t="shared" si="20"/>
        <v/>
      </c>
      <c r="C168" s="209" t="str">
        <f>VLOOKUP(H168,名称!A:E,4,0)</f>
        <v>二代</v>
      </c>
      <c r="D168" s="210" t="s">
        <v>1652</v>
      </c>
      <c r="E168" s="210" t="s">
        <v>1653</v>
      </c>
      <c r="F168" s="211"/>
      <c r="G168" s="211" t="s">
        <v>485</v>
      </c>
      <c r="H168" s="211" t="s">
        <v>25</v>
      </c>
      <c r="I168" s="211"/>
      <c r="J168" s="212">
        <v>2048</v>
      </c>
      <c r="K168" s="223">
        <f>VLOOKUP(H168,名称!A:C,2,0)</f>
        <v>7</v>
      </c>
      <c r="L168" s="223">
        <f>K168*J168</f>
        <v>14336</v>
      </c>
      <c r="M168" s="211">
        <f>VLOOKUP(H168,名称!A:E,3,0)</f>
        <v>16</v>
      </c>
      <c r="N168" s="212">
        <f t="shared" si="21"/>
        <v>128</v>
      </c>
      <c r="O168" s="208">
        <v>46121</v>
      </c>
      <c r="P168" s="208">
        <v>46121</v>
      </c>
      <c r="Q168" s="208">
        <v>46121</v>
      </c>
      <c r="R168" s="211" t="s">
        <v>1558</v>
      </c>
      <c r="S168" s="208" t="s">
        <v>1133</v>
      </c>
      <c r="T168" s="211" t="s">
        <v>1133</v>
      </c>
      <c r="U168" s="211"/>
      <c r="V168" s="211"/>
      <c r="W168" s="208" t="s">
        <v>1651</v>
      </c>
      <c r="X168" s="211" t="s">
        <v>1248</v>
      </c>
      <c r="Y168" s="211" t="s">
        <v>1228</v>
      </c>
      <c r="Z168" s="211" t="s">
        <v>1249</v>
      </c>
      <c r="AA168" s="214">
        <v>46057</v>
      </c>
      <c r="AB168" s="213">
        <v>46090</v>
      </c>
      <c r="AC168" s="211" t="s">
        <v>1560</v>
      </c>
      <c r="AD168" s="211" t="s">
        <v>1228</v>
      </c>
      <c r="AE168" s="211" t="s">
        <v>327</v>
      </c>
      <c r="AF168" s="211" t="s">
        <v>1228</v>
      </c>
      <c r="AG168" s="211" t="s">
        <v>327</v>
      </c>
      <c r="AH168" s="211" t="s">
        <v>1562</v>
      </c>
      <c r="AI168" s="211" t="s">
        <v>1228</v>
      </c>
      <c r="AJ168" s="211" t="s">
        <v>1133</v>
      </c>
      <c r="AK168" s="211" t="s">
        <v>1133</v>
      </c>
      <c r="AL168" s="211"/>
      <c r="AM168" s="211" t="s">
        <v>1639</v>
      </c>
      <c r="AN168" s="212" t="s">
        <v>1251</v>
      </c>
      <c r="AO168" s="215">
        <v>0.91</v>
      </c>
      <c r="AP168" s="216">
        <f t="shared" si="22"/>
        <v>1863.68</v>
      </c>
      <c r="AQ168" s="216">
        <f t="shared" si="23"/>
        <v>14443.52</v>
      </c>
      <c r="AR168" s="217">
        <v>61108</v>
      </c>
      <c r="AS168" s="208">
        <v>46147</v>
      </c>
      <c r="AT168" s="208" t="s">
        <v>1220</v>
      </c>
      <c r="AU168" s="221"/>
      <c r="AV168" s="222"/>
      <c r="AW168" s="208"/>
      <c r="AX168" s="208"/>
      <c r="AY168" s="208"/>
      <c r="AZ168" s="208"/>
      <c r="BA168" s="208"/>
      <c r="BB168" s="208" t="str">
        <f t="shared" si="18"/>
        <v>Litt Tak SDN. BHD.</v>
      </c>
      <c r="BC168" s="208" t="str">
        <f t="shared" si="19"/>
        <v>马来西亚</v>
      </c>
    </row>
    <row r="169" s="194" customFormat="1" customHeight="1" spans="1:55">
      <c r="A169" s="208">
        <v>46052</v>
      </c>
      <c r="B169" s="40" t="str">
        <f ca="1" t="shared" si="20"/>
        <v/>
      </c>
      <c r="C169" s="209" t="str">
        <f>VLOOKUP(H169,名称!A:E,4,0)</f>
        <v>二代</v>
      </c>
      <c r="D169" s="210" t="s">
        <v>1652</v>
      </c>
      <c r="E169" s="210" t="s">
        <v>1653</v>
      </c>
      <c r="F169" s="211"/>
      <c r="G169" s="211" t="s">
        <v>485</v>
      </c>
      <c r="H169" s="211" t="s">
        <v>37</v>
      </c>
      <c r="I169" s="211"/>
      <c r="J169" s="212">
        <v>900</v>
      </c>
      <c r="K169" s="223">
        <f>VLOOKUP(H169,名称!A:C,2,0)</f>
        <v>12</v>
      </c>
      <c r="L169" s="223">
        <f>K169*J169</f>
        <v>10800</v>
      </c>
      <c r="M169" s="211">
        <f>VLOOKUP(H169,名称!A:E,3,0)</f>
        <v>6</v>
      </c>
      <c r="N169" s="212">
        <f t="shared" si="21"/>
        <v>150</v>
      </c>
      <c r="O169" s="208">
        <v>46121</v>
      </c>
      <c r="P169" s="208">
        <v>46121</v>
      </c>
      <c r="Q169" s="208">
        <v>46121</v>
      </c>
      <c r="R169" s="211" t="s">
        <v>1241</v>
      </c>
      <c r="S169" s="208" t="s">
        <v>1133</v>
      </c>
      <c r="T169" s="211" t="s">
        <v>1133</v>
      </c>
      <c r="U169" s="211"/>
      <c r="V169" s="211"/>
      <c r="W169" s="208" t="s">
        <v>1651</v>
      </c>
      <c r="X169" s="211" t="s">
        <v>1248</v>
      </c>
      <c r="Y169" s="211" t="s">
        <v>1228</v>
      </c>
      <c r="Z169" s="211" t="s">
        <v>1249</v>
      </c>
      <c r="AA169" s="214">
        <v>46057</v>
      </c>
      <c r="AB169" s="213">
        <v>46090</v>
      </c>
      <c r="AC169" s="211" t="s">
        <v>1244</v>
      </c>
      <c r="AD169" s="211" t="s">
        <v>1228</v>
      </c>
      <c r="AE169" s="211" t="s">
        <v>327</v>
      </c>
      <c r="AF169" s="211" t="s">
        <v>1228</v>
      </c>
      <c r="AG169" s="211" t="s">
        <v>327</v>
      </c>
      <c r="AH169" s="211" t="s">
        <v>1562</v>
      </c>
      <c r="AI169" s="211" t="s">
        <v>1228</v>
      </c>
      <c r="AJ169" s="211" t="s">
        <v>1572</v>
      </c>
      <c r="AK169" s="211" t="s">
        <v>1133</v>
      </c>
      <c r="AL169" s="211"/>
      <c r="AM169" s="211" t="s">
        <v>1639</v>
      </c>
      <c r="AN169" s="212" t="s">
        <v>1251</v>
      </c>
      <c r="AO169" s="215">
        <v>2.09</v>
      </c>
      <c r="AP169" s="216">
        <f t="shared" si="22"/>
        <v>1881</v>
      </c>
      <c r="AQ169" s="216">
        <f t="shared" si="23"/>
        <v>14577.75</v>
      </c>
      <c r="AR169" s="217">
        <v>61108</v>
      </c>
      <c r="AS169" s="208">
        <v>46147</v>
      </c>
      <c r="AT169" s="208" t="s">
        <v>1220</v>
      </c>
      <c r="AU169" s="221"/>
      <c r="AV169" s="222"/>
      <c r="AW169" s="208"/>
      <c r="AX169" s="208"/>
      <c r="AY169" s="208"/>
      <c r="AZ169" s="208"/>
      <c r="BA169" s="208"/>
      <c r="BB169" s="208" t="str">
        <f t="shared" si="18"/>
        <v>Litt Tak SDN. BHD.</v>
      </c>
      <c r="BC169" s="208" t="str">
        <f t="shared" si="19"/>
        <v>马来西亚</v>
      </c>
    </row>
    <row r="170" s="194" customFormat="1" customHeight="1" spans="1:55">
      <c r="A170" s="208">
        <v>46052</v>
      </c>
      <c r="B170" s="40" t="str">
        <f ca="1" t="shared" si="20"/>
        <v/>
      </c>
      <c r="C170" s="209" t="str">
        <f>VLOOKUP(H170,名称!A:E,4,0)</f>
        <v>二代</v>
      </c>
      <c r="D170" s="210" t="s">
        <v>1652</v>
      </c>
      <c r="E170" s="210" t="s">
        <v>1653</v>
      </c>
      <c r="F170" s="211"/>
      <c r="G170" s="211" t="s">
        <v>485</v>
      </c>
      <c r="H170" s="211" t="s">
        <v>41</v>
      </c>
      <c r="I170" s="211"/>
      <c r="J170" s="212">
        <v>1500</v>
      </c>
      <c r="K170" s="223">
        <f>VLOOKUP(H170,名称!A:C,2,0)</f>
        <v>12</v>
      </c>
      <c r="L170" s="223">
        <f>K170*J170</f>
        <v>18000</v>
      </c>
      <c r="M170" s="211">
        <f>VLOOKUP(H170,名称!A:E,3,0)</f>
        <v>6</v>
      </c>
      <c r="N170" s="212">
        <f t="shared" si="21"/>
        <v>250</v>
      </c>
      <c r="O170" s="208">
        <v>46121</v>
      </c>
      <c r="P170" s="208">
        <v>46121</v>
      </c>
      <c r="Q170" s="208">
        <v>46121</v>
      </c>
      <c r="R170" s="211" t="s">
        <v>1241</v>
      </c>
      <c r="S170" s="208" t="s">
        <v>1133</v>
      </c>
      <c r="T170" s="211" t="s">
        <v>1133</v>
      </c>
      <c r="U170" s="211"/>
      <c r="V170" s="211"/>
      <c r="W170" s="208" t="s">
        <v>1651</v>
      </c>
      <c r="X170" s="211" t="s">
        <v>1248</v>
      </c>
      <c r="Y170" s="211" t="s">
        <v>1228</v>
      </c>
      <c r="Z170" s="211" t="s">
        <v>1249</v>
      </c>
      <c r="AA170" s="214">
        <v>46057</v>
      </c>
      <c r="AB170" s="213">
        <v>46090</v>
      </c>
      <c r="AC170" s="211" t="s">
        <v>1560</v>
      </c>
      <c r="AD170" s="211" t="s">
        <v>1228</v>
      </c>
      <c r="AE170" s="211" t="s">
        <v>327</v>
      </c>
      <c r="AF170" s="211" t="s">
        <v>1228</v>
      </c>
      <c r="AG170" s="211" t="s">
        <v>327</v>
      </c>
      <c r="AH170" s="211" t="s">
        <v>1562</v>
      </c>
      <c r="AI170" s="211" t="s">
        <v>1228</v>
      </c>
      <c r="AJ170" s="211" t="s">
        <v>1133</v>
      </c>
      <c r="AK170" s="211" t="s">
        <v>1133</v>
      </c>
      <c r="AL170" s="211"/>
      <c r="AM170" s="211" t="s">
        <v>1639</v>
      </c>
      <c r="AN170" s="212" t="s">
        <v>1251</v>
      </c>
      <c r="AO170" s="215">
        <v>1.52</v>
      </c>
      <c r="AP170" s="216">
        <f t="shared" si="22"/>
        <v>2280</v>
      </c>
      <c r="AQ170" s="216">
        <f t="shared" si="23"/>
        <v>17670</v>
      </c>
      <c r="AR170" s="217">
        <v>61108</v>
      </c>
      <c r="AS170" s="208">
        <v>46147</v>
      </c>
      <c r="AT170" s="208" t="s">
        <v>1220</v>
      </c>
      <c r="AU170" s="221"/>
      <c r="AV170" s="222"/>
      <c r="AW170" s="208"/>
      <c r="AX170" s="208"/>
      <c r="AY170" s="208"/>
      <c r="AZ170" s="208"/>
      <c r="BA170" s="208"/>
      <c r="BB170" s="208" t="str">
        <f t="shared" si="18"/>
        <v>Litt Tak SDN. BHD.</v>
      </c>
      <c r="BC170" s="208" t="str">
        <f t="shared" si="19"/>
        <v>马来西亚</v>
      </c>
    </row>
    <row r="171" s="194" customFormat="1" customHeight="1" spans="1:55">
      <c r="A171" s="208">
        <v>46085</v>
      </c>
      <c r="B171" s="40" t="str">
        <f ca="1" t="shared" si="20"/>
        <v/>
      </c>
      <c r="C171" s="209" t="str">
        <f>VLOOKUP(H171,名称!A:E,4,0)</f>
        <v>蛋糕</v>
      </c>
      <c r="D171" s="210" t="s">
        <v>1502</v>
      </c>
      <c r="E171" s="210" t="s">
        <v>1224</v>
      </c>
      <c r="F171" s="211" t="s">
        <v>536</v>
      </c>
      <c r="G171" s="211" t="s">
        <v>537</v>
      </c>
      <c r="H171" s="211" t="s">
        <v>50</v>
      </c>
      <c r="I171" s="211">
        <f>VLOOKUP(H171,名称!A:E,5,0)</f>
        <v>0</v>
      </c>
      <c r="J171" s="212">
        <v>13572</v>
      </c>
      <c r="K171" s="211">
        <v>0</v>
      </c>
      <c r="L171" s="211">
        <f t="shared" ref="L171:L188" si="27">J171*K171</f>
        <v>0</v>
      </c>
      <c r="M171" s="211">
        <f>VLOOKUP(H171,名称!A:E,3,0)</f>
        <v>18</v>
      </c>
      <c r="N171" s="212">
        <f t="shared" si="21"/>
        <v>754</v>
      </c>
      <c r="O171" s="208">
        <v>46133</v>
      </c>
      <c r="P171" s="208">
        <v>46139</v>
      </c>
      <c r="Q171" s="208">
        <v>46139</v>
      </c>
      <c r="R171" s="211"/>
      <c r="S171" s="208">
        <v>46139</v>
      </c>
      <c r="T171" s="211"/>
      <c r="U171" s="211"/>
      <c r="V171" s="211"/>
      <c r="W171" s="208"/>
      <c r="X171" s="211" t="s">
        <v>1133</v>
      </c>
      <c r="Y171" s="211" t="s">
        <v>1133</v>
      </c>
      <c r="Z171" s="211" t="s">
        <v>1654</v>
      </c>
      <c r="AA171" s="213">
        <v>46108</v>
      </c>
      <c r="AB171" s="213">
        <v>46108</v>
      </c>
      <c r="AC171" s="211" t="s">
        <v>1133</v>
      </c>
      <c r="AD171" s="211" t="s">
        <v>1133</v>
      </c>
      <c r="AE171" s="211" t="s">
        <v>510</v>
      </c>
      <c r="AF171" s="211" t="s">
        <v>1228</v>
      </c>
      <c r="AG171" s="211" t="s">
        <v>510</v>
      </c>
      <c r="AH171" s="211" t="s">
        <v>1133</v>
      </c>
      <c r="AI171" s="211" t="s">
        <v>1228</v>
      </c>
      <c r="AJ171" s="211" t="s">
        <v>1133</v>
      </c>
      <c r="AK171" s="211" t="s">
        <v>1228</v>
      </c>
      <c r="AL171" s="211"/>
      <c r="AM171" s="211" t="s">
        <v>1296</v>
      </c>
      <c r="AN171" s="212"/>
      <c r="AO171" s="215">
        <v>1.11</v>
      </c>
      <c r="AP171" s="216">
        <f t="shared" si="22"/>
        <v>15064.92</v>
      </c>
      <c r="AQ171" s="216">
        <f t="shared" si="23"/>
        <v>116753.13</v>
      </c>
      <c r="AR171" s="217">
        <v>61109</v>
      </c>
      <c r="AS171" s="208">
        <v>46149</v>
      </c>
      <c r="AT171" s="208" t="s">
        <v>1220</v>
      </c>
      <c r="AU171" s="208"/>
      <c r="AV171" s="208"/>
      <c r="AW171" s="208"/>
      <c r="AX171" s="208"/>
      <c r="AY171" s="208"/>
      <c r="AZ171" s="208"/>
      <c r="BA171" s="208"/>
      <c r="BB171" s="208" t="str">
        <f t="shared" si="18"/>
        <v>Target Corporation</v>
      </c>
      <c r="BC171" s="208" t="str">
        <f t="shared" si="19"/>
        <v>美国</v>
      </c>
    </row>
    <row r="172" s="194" customFormat="1" customHeight="1" spans="1:55">
      <c r="A172" s="208">
        <v>46077</v>
      </c>
      <c r="B172" s="40" t="str">
        <f ca="1" t="shared" si="20"/>
        <v/>
      </c>
      <c r="C172" s="209" t="str">
        <f>VLOOKUP(H172,名称!A:E,4,0)</f>
        <v>三代</v>
      </c>
      <c r="D172" s="210" t="s">
        <v>1420</v>
      </c>
      <c r="E172" s="210" t="s">
        <v>1421</v>
      </c>
      <c r="F172" s="211">
        <v>21011643</v>
      </c>
      <c r="G172" s="211" t="s">
        <v>511</v>
      </c>
      <c r="H172" s="211" t="s">
        <v>99</v>
      </c>
      <c r="I172" s="211"/>
      <c r="J172" s="212">
        <v>7080</v>
      </c>
      <c r="K172" s="223">
        <f>VLOOKUP(H172,名称!A:C,2,0)</f>
        <v>7</v>
      </c>
      <c r="L172" s="212">
        <f t="shared" si="27"/>
        <v>49560</v>
      </c>
      <c r="M172" s="211">
        <f>VLOOKUP(H172,名称!A:E,3,0)</f>
        <v>24</v>
      </c>
      <c r="N172" s="212">
        <f t="shared" si="21"/>
        <v>295</v>
      </c>
      <c r="O172" s="208">
        <v>46153</v>
      </c>
      <c r="P172" s="208">
        <v>46153</v>
      </c>
      <c r="Q172" s="208">
        <v>46153</v>
      </c>
      <c r="R172" s="211"/>
      <c r="S172" s="208" t="s">
        <v>1133</v>
      </c>
      <c r="T172" s="211"/>
      <c r="U172" s="211"/>
      <c r="V172" s="211"/>
      <c r="W172" s="208"/>
      <c r="X172" s="211" t="s">
        <v>1505</v>
      </c>
      <c r="Y172" s="211" t="s">
        <v>1228</v>
      </c>
      <c r="Z172" s="213">
        <v>46086</v>
      </c>
      <c r="AA172" s="214">
        <v>46088</v>
      </c>
      <c r="AB172" s="213">
        <v>46093</v>
      </c>
      <c r="AC172" s="211" t="s">
        <v>1284</v>
      </c>
      <c r="AD172" s="211" t="s">
        <v>1228</v>
      </c>
      <c r="AE172" s="211" t="s">
        <v>510</v>
      </c>
      <c r="AF172" s="211" t="s">
        <v>1228</v>
      </c>
      <c r="AG172" s="211" t="s">
        <v>510</v>
      </c>
      <c r="AH172" s="211" t="s">
        <v>1307</v>
      </c>
      <c r="AI172" s="211" t="s">
        <v>1228</v>
      </c>
      <c r="AJ172" s="211" t="s">
        <v>1133</v>
      </c>
      <c r="AK172" s="211" t="s">
        <v>1133</v>
      </c>
      <c r="AL172" s="211"/>
      <c r="AM172" s="211" t="s">
        <v>1655</v>
      </c>
      <c r="AN172" s="212" t="s">
        <v>1251</v>
      </c>
      <c r="AO172" s="215">
        <v>0.92</v>
      </c>
      <c r="AP172" s="216">
        <f t="shared" si="22"/>
        <v>6513.6</v>
      </c>
      <c r="AQ172" s="216">
        <f t="shared" si="23"/>
        <v>50480.4</v>
      </c>
      <c r="AR172" s="217">
        <v>61110</v>
      </c>
      <c r="AS172" s="208">
        <v>46149</v>
      </c>
      <c r="AT172" s="208" t="s">
        <v>1310</v>
      </c>
      <c r="AU172" s="221">
        <f>7080</f>
        <v>7080</v>
      </c>
      <c r="AV172" s="222">
        <f t="shared" ref="AV172:AV179" si="28">AU172-J172</f>
        <v>0</v>
      </c>
      <c r="AW172" s="222"/>
      <c r="AX172" s="208"/>
      <c r="AY172" s="208"/>
      <c r="AZ172" s="208"/>
      <c r="BA172" s="208"/>
      <c r="BB172" s="208" t="str">
        <f t="shared" si="18"/>
        <v>Banter Toys</v>
      </c>
      <c r="BC172" s="208" t="str">
        <f t="shared" si="19"/>
        <v>澳大利亚</v>
      </c>
    </row>
    <row r="173" s="195" customFormat="1" customHeight="1" spans="1:55">
      <c r="A173" s="227">
        <v>46093</v>
      </c>
      <c r="B173" s="40" t="str">
        <f ca="1" t="shared" si="20"/>
        <v/>
      </c>
      <c r="C173" s="209" t="str">
        <f>VLOOKUP(H173,名称!A:E,4,0)</f>
        <v>三代</v>
      </c>
      <c r="D173" s="228" t="s">
        <v>1444</v>
      </c>
      <c r="E173" s="228" t="s">
        <v>1224</v>
      </c>
      <c r="F173" s="209" t="s">
        <v>547</v>
      </c>
      <c r="G173" s="209" t="s">
        <v>548</v>
      </c>
      <c r="H173" s="209" t="s">
        <v>99</v>
      </c>
      <c r="I173" s="209"/>
      <c r="J173" s="229">
        <v>384</v>
      </c>
      <c r="K173" s="230">
        <f>VLOOKUP(H173,名称!A:C,2,0)</f>
        <v>7</v>
      </c>
      <c r="L173" s="229">
        <f t="shared" si="27"/>
        <v>2688</v>
      </c>
      <c r="M173" s="209">
        <f>VLOOKUP(H173,名称!A:E,3,0)</f>
        <v>24</v>
      </c>
      <c r="N173" s="229">
        <f t="shared" si="21"/>
        <v>16</v>
      </c>
      <c r="O173" s="227">
        <v>46147</v>
      </c>
      <c r="P173" s="227">
        <v>46147</v>
      </c>
      <c r="Q173" s="227">
        <v>46147</v>
      </c>
      <c r="R173" s="231" t="s">
        <v>1241</v>
      </c>
      <c r="S173" s="227"/>
      <c r="T173" s="209" t="s">
        <v>1133</v>
      </c>
      <c r="U173" s="209"/>
      <c r="V173" s="209"/>
      <c r="W173" s="227"/>
      <c r="X173" s="209" t="s">
        <v>1133</v>
      </c>
      <c r="Y173" s="209" t="s">
        <v>1133</v>
      </c>
      <c r="Z173" s="232">
        <v>46105</v>
      </c>
      <c r="AA173" s="233">
        <v>46109</v>
      </c>
      <c r="AB173" s="232">
        <v>46129</v>
      </c>
      <c r="AC173" s="209" t="s">
        <v>1284</v>
      </c>
      <c r="AD173" s="209" t="s">
        <v>1228</v>
      </c>
      <c r="AE173" s="209" t="s">
        <v>510</v>
      </c>
      <c r="AF173" s="209" t="s">
        <v>1228</v>
      </c>
      <c r="AG173" s="209" t="s">
        <v>510</v>
      </c>
      <c r="AH173" s="209" t="s">
        <v>1307</v>
      </c>
      <c r="AI173" s="209" t="s">
        <v>1228</v>
      </c>
      <c r="AJ173" s="209" t="s">
        <v>1133</v>
      </c>
      <c r="AK173" s="209" t="s">
        <v>1133</v>
      </c>
      <c r="AL173" s="209"/>
      <c r="AM173" s="209"/>
      <c r="AN173" s="229" t="s">
        <v>1656</v>
      </c>
      <c r="AO173" s="234">
        <v>0.92</v>
      </c>
      <c r="AP173" s="235">
        <f t="shared" si="22"/>
        <v>353.28</v>
      </c>
      <c r="AQ173" s="235">
        <f t="shared" si="23"/>
        <v>2737.92</v>
      </c>
      <c r="AR173" s="217">
        <v>61111</v>
      </c>
      <c r="AS173" s="208">
        <v>46150</v>
      </c>
      <c r="AT173" s="227" t="s">
        <v>1310</v>
      </c>
      <c r="AU173" s="221"/>
      <c r="AV173" s="236">
        <f t="shared" si="28"/>
        <v>-384</v>
      </c>
      <c r="AW173" s="236"/>
      <c r="AX173" s="227"/>
      <c r="AY173" s="227"/>
      <c r="AZ173" s="227"/>
      <c r="BA173" s="227"/>
      <c r="BB173" s="208" t="str">
        <f t="shared" si="18"/>
        <v>Toysmith</v>
      </c>
      <c r="BC173" s="208" t="str">
        <f t="shared" si="19"/>
        <v>美国</v>
      </c>
    </row>
    <row r="174" s="195" customFormat="1" customHeight="1" spans="1:55">
      <c r="A174" s="227">
        <v>46093</v>
      </c>
      <c r="B174" s="40" t="str">
        <f ca="1" t="shared" si="20"/>
        <v/>
      </c>
      <c r="C174" s="209" t="str">
        <f>VLOOKUP(H174,名称!A:E,4,0)</f>
        <v>三代</v>
      </c>
      <c r="D174" s="228" t="s">
        <v>1444</v>
      </c>
      <c r="E174" s="228" t="s">
        <v>1224</v>
      </c>
      <c r="F174" s="209" t="s">
        <v>547</v>
      </c>
      <c r="G174" s="209" t="s">
        <v>548</v>
      </c>
      <c r="H174" s="209" t="s">
        <v>66</v>
      </c>
      <c r="I174" s="209"/>
      <c r="J174" s="229">
        <v>78</v>
      </c>
      <c r="K174" s="230">
        <f>VLOOKUP(H174,名称!A:C,2,0)</f>
        <v>12</v>
      </c>
      <c r="L174" s="229">
        <f t="shared" si="27"/>
        <v>936</v>
      </c>
      <c r="M174" s="209">
        <f>VLOOKUP(H174,名称!A:E,3,0)</f>
        <v>6</v>
      </c>
      <c r="N174" s="229">
        <f t="shared" si="21"/>
        <v>13</v>
      </c>
      <c r="O174" s="227">
        <v>46147</v>
      </c>
      <c r="P174" s="227">
        <v>46147</v>
      </c>
      <c r="Q174" s="227">
        <v>46147</v>
      </c>
      <c r="R174" s="231" t="s">
        <v>1425</v>
      </c>
      <c r="S174" s="227"/>
      <c r="T174" s="209" t="s">
        <v>1133</v>
      </c>
      <c r="U174" s="209"/>
      <c r="V174" s="209"/>
      <c r="W174" s="227"/>
      <c r="X174" s="209" t="s">
        <v>1133</v>
      </c>
      <c r="Y174" s="209" t="s">
        <v>1133</v>
      </c>
      <c r="Z174" s="232">
        <v>46105</v>
      </c>
      <c r="AA174" s="233">
        <v>46109</v>
      </c>
      <c r="AB174" s="232">
        <v>46129</v>
      </c>
      <c r="AC174" s="209" t="s">
        <v>1318</v>
      </c>
      <c r="AD174" s="209" t="s">
        <v>1228</v>
      </c>
      <c r="AE174" s="209" t="s">
        <v>510</v>
      </c>
      <c r="AF174" s="209" t="s">
        <v>1228</v>
      </c>
      <c r="AG174" s="209" t="s">
        <v>510</v>
      </c>
      <c r="AH174" s="209" t="s">
        <v>1307</v>
      </c>
      <c r="AI174" s="209" t="s">
        <v>1228</v>
      </c>
      <c r="AJ174" s="209" t="s">
        <v>510</v>
      </c>
      <c r="AK174" s="209" t="s">
        <v>1133</v>
      </c>
      <c r="AL174" s="209"/>
      <c r="AM174" s="209"/>
      <c r="AN174" s="229" t="s">
        <v>1656</v>
      </c>
      <c r="AO174" s="234">
        <v>2.09</v>
      </c>
      <c r="AP174" s="235">
        <f t="shared" si="22"/>
        <v>163.02</v>
      </c>
      <c r="AQ174" s="235">
        <f t="shared" si="23"/>
        <v>1263.41</v>
      </c>
      <c r="AR174" s="217">
        <v>61111</v>
      </c>
      <c r="AS174" s="208">
        <v>46150</v>
      </c>
      <c r="AT174" s="227" t="s">
        <v>1220</v>
      </c>
      <c r="AU174" s="221">
        <v>78</v>
      </c>
      <c r="AV174" s="236">
        <f t="shared" si="28"/>
        <v>0</v>
      </c>
      <c r="AW174" s="236"/>
      <c r="AX174" s="227" t="s">
        <v>1280</v>
      </c>
      <c r="AY174" s="227"/>
      <c r="AZ174" s="227"/>
      <c r="BA174" s="227"/>
      <c r="BB174" s="208" t="str">
        <f t="shared" si="18"/>
        <v>Toysmith</v>
      </c>
      <c r="BC174" s="208" t="str">
        <f t="shared" si="19"/>
        <v>美国</v>
      </c>
    </row>
    <row r="175" s="195" customFormat="1" customHeight="1" spans="1:55">
      <c r="A175" s="227">
        <v>46093</v>
      </c>
      <c r="B175" s="40" t="str">
        <f ca="1" t="shared" si="20"/>
        <v/>
      </c>
      <c r="C175" s="209" t="str">
        <f>VLOOKUP(H175,名称!A:E,4,0)</f>
        <v>三代</v>
      </c>
      <c r="D175" s="228" t="s">
        <v>1444</v>
      </c>
      <c r="E175" s="228" t="s">
        <v>1224</v>
      </c>
      <c r="F175" s="209" t="s">
        <v>547</v>
      </c>
      <c r="G175" s="209" t="s">
        <v>548</v>
      </c>
      <c r="H175" s="209" t="s">
        <v>68</v>
      </c>
      <c r="I175" s="209"/>
      <c r="J175" s="229">
        <v>76</v>
      </c>
      <c r="K175" s="230">
        <f>VLOOKUP(H175,名称!A:C,2,0)</f>
        <v>32</v>
      </c>
      <c r="L175" s="229">
        <f t="shared" si="27"/>
        <v>2432</v>
      </c>
      <c r="M175" s="209">
        <f>VLOOKUP(H175,名称!A:E,3,0)</f>
        <v>4</v>
      </c>
      <c r="N175" s="229">
        <f t="shared" si="21"/>
        <v>19</v>
      </c>
      <c r="O175" s="227">
        <v>46147</v>
      </c>
      <c r="P175" s="227">
        <v>46147</v>
      </c>
      <c r="Q175" s="227">
        <v>46147</v>
      </c>
      <c r="R175" s="231" t="s">
        <v>1425</v>
      </c>
      <c r="S175" s="227"/>
      <c r="T175" s="209" t="s">
        <v>1133</v>
      </c>
      <c r="U175" s="209"/>
      <c r="V175" s="209"/>
      <c r="W175" s="227"/>
      <c r="X175" s="209" t="s">
        <v>1133</v>
      </c>
      <c r="Y175" s="209" t="s">
        <v>1133</v>
      </c>
      <c r="Z175" s="232">
        <v>46105</v>
      </c>
      <c r="AA175" s="233">
        <v>46109</v>
      </c>
      <c r="AB175" s="232">
        <v>46129</v>
      </c>
      <c r="AC175" s="209" t="s">
        <v>1133</v>
      </c>
      <c r="AD175" s="209" t="s">
        <v>1133</v>
      </c>
      <c r="AE175" s="209" t="s">
        <v>510</v>
      </c>
      <c r="AF175" s="209" t="s">
        <v>1228</v>
      </c>
      <c r="AG175" s="209" t="s">
        <v>510</v>
      </c>
      <c r="AH175" s="209" t="s">
        <v>1307</v>
      </c>
      <c r="AI175" s="209" t="s">
        <v>1228</v>
      </c>
      <c r="AJ175" s="209" t="s">
        <v>1133</v>
      </c>
      <c r="AK175" s="209" t="s">
        <v>1133</v>
      </c>
      <c r="AL175" s="209"/>
      <c r="AM175" s="209"/>
      <c r="AN175" s="229" t="s">
        <v>1656</v>
      </c>
      <c r="AO175" s="234">
        <v>3.23</v>
      </c>
      <c r="AP175" s="235">
        <f t="shared" si="22"/>
        <v>245.48</v>
      </c>
      <c r="AQ175" s="235">
        <f t="shared" si="23"/>
        <v>1902.47</v>
      </c>
      <c r="AR175" s="224" t="s">
        <v>1657</v>
      </c>
      <c r="AS175" s="208">
        <v>46150</v>
      </c>
      <c r="AT175" s="227" t="s">
        <v>1310</v>
      </c>
      <c r="AU175" s="221">
        <v>76</v>
      </c>
      <c r="AV175" s="236">
        <f t="shared" si="28"/>
        <v>0</v>
      </c>
      <c r="AW175" s="236"/>
      <c r="AX175" s="227"/>
      <c r="AY175" s="227"/>
      <c r="AZ175" s="227"/>
      <c r="BA175" s="227"/>
      <c r="BB175" s="208" t="str">
        <f t="shared" si="18"/>
        <v>Toysmith</v>
      </c>
      <c r="BC175" s="208" t="str">
        <f t="shared" si="19"/>
        <v>美国</v>
      </c>
    </row>
    <row r="176" s="195" customFormat="1" customHeight="1" spans="1:55">
      <c r="A176" s="227">
        <v>46093</v>
      </c>
      <c r="B176" s="40" t="str">
        <f ca="1" t="shared" si="20"/>
        <v/>
      </c>
      <c r="C176" s="209" t="str">
        <f>VLOOKUP(H176,名称!A:E,4,0)</f>
        <v>三代</v>
      </c>
      <c r="D176" s="228" t="s">
        <v>1444</v>
      </c>
      <c r="E176" s="228" t="s">
        <v>1224</v>
      </c>
      <c r="F176" s="209" t="s">
        <v>547</v>
      </c>
      <c r="G176" s="209" t="s">
        <v>548</v>
      </c>
      <c r="H176" s="209" t="s">
        <v>112</v>
      </c>
      <c r="I176" s="209"/>
      <c r="J176" s="229">
        <v>76</v>
      </c>
      <c r="K176" s="230">
        <f>VLOOKUP(H176,名称!A:C,2,0)</f>
        <v>50</v>
      </c>
      <c r="L176" s="229">
        <f t="shared" si="27"/>
        <v>3800</v>
      </c>
      <c r="M176" s="209">
        <f>VLOOKUP(H176,名称!A:E,3,0)</f>
        <v>2</v>
      </c>
      <c r="N176" s="229">
        <f t="shared" si="21"/>
        <v>38</v>
      </c>
      <c r="O176" s="227">
        <v>46147</v>
      </c>
      <c r="P176" s="227">
        <v>46147</v>
      </c>
      <c r="Q176" s="227">
        <v>46147</v>
      </c>
      <c r="R176" s="231" t="s">
        <v>1241</v>
      </c>
      <c r="S176" s="227"/>
      <c r="T176" s="209" t="s">
        <v>1133</v>
      </c>
      <c r="U176" s="209"/>
      <c r="V176" s="209"/>
      <c r="W176" s="227"/>
      <c r="X176" s="209" t="s">
        <v>1133</v>
      </c>
      <c r="Y176" s="209" t="s">
        <v>1133</v>
      </c>
      <c r="Z176" s="232">
        <v>46105</v>
      </c>
      <c r="AA176" s="233">
        <v>46109</v>
      </c>
      <c r="AB176" s="232">
        <v>46129</v>
      </c>
      <c r="AC176" s="209" t="s">
        <v>1133</v>
      </c>
      <c r="AD176" s="209" t="s">
        <v>1133</v>
      </c>
      <c r="AE176" s="209" t="s">
        <v>510</v>
      </c>
      <c r="AF176" s="209" t="s">
        <v>1228</v>
      </c>
      <c r="AG176" s="209" t="s">
        <v>510</v>
      </c>
      <c r="AH176" s="209" t="s">
        <v>1133</v>
      </c>
      <c r="AI176" s="209" t="s">
        <v>1228</v>
      </c>
      <c r="AJ176" s="209" t="s">
        <v>1133</v>
      </c>
      <c r="AK176" s="209" t="s">
        <v>1356</v>
      </c>
      <c r="AL176" s="209"/>
      <c r="AM176" s="209"/>
      <c r="AN176" s="229" t="s">
        <v>1656</v>
      </c>
      <c r="AO176" s="234">
        <v>9.95</v>
      </c>
      <c r="AP176" s="235">
        <f t="shared" si="22"/>
        <v>756.2</v>
      </c>
      <c r="AQ176" s="235">
        <f t="shared" si="23"/>
        <v>5860.55</v>
      </c>
      <c r="AR176" s="217">
        <v>61111</v>
      </c>
      <c r="AS176" s="208">
        <v>46150</v>
      </c>
      <c r="AT176" s="227" t="s">
        <v>1310</v>
      </c>
      <c r="AU176" s="221"/>
      <c r="AV176" s="236">
        <f t="shared" si="28"/>
        <v>-76</v>
      </c>
      <c r="AW176" s="236"/>
      <c r="AX176" s="227"/>
      <c r="AY176" s="227"/>
      <c r="AZ176" s="227"/>
      <c r="BA176" s="227"/>
      <c r="BB176" s="208" t="str">
        <f t="shared" si="18"/>
        <v>Toysmith</v>
      </c>
      <c r="BC176" s="208" t="str">
        <f t="shared" si="19"/>
        <v>美国</v>
      </c>
    </row>
    <row r="177" s="195" customFormat="1" customHeight="1" spans="1:55">
      <c r="A177" s="227">
        <v>46093</v>
      </c>
      <c r="B177" s="40" t="str">
        <f ca="1" t="shared" si="20"/>
        <v/>
      </c>
      <c r="C177" s="209" t="str">
        <f>VLOOKUP(H177,名称!A:E,4,0)</f>
        <v>三代</v>
      </c>
      <c r="D177" s="228" t="s">
        <v>1444</v>
      </c>
      <c r="E177" s="228" t="s">
        <v>1224</v>
      </c>
      <c r="F177" s="209" t="s">
        <v>547</v>
      </c>
      <c r="G177" s="209" t="s">
        <v>548</v>
      </c>
      <c r="H177" s="209" t="s">
        <v>72</v>
      </c>
      <c r="I177" s="209"/>
      <c r="J177" s="229">
        <v>216</v>
      </c>
      <c r="K177" s="230">
        <f>VLOOKUP(H177,名称!A:C,2,0)</f>
        <v>12</v>
      </c>
      <c r="L177" s="229">
        <f t="shared" si="27"/>
        <v>2592</v>
      </c>
      <c r="M177" s="209">
        <f>VLOOKUP(H177,名称!A:E,3,0)</f>
        <v>12</v>
      </c>
      <c r="N177" s="229">
        <f t="shared" si="21"/>
        <v>18</v>
      </c>
      <c r="O177" s="227">
        <v>46147</v>
      </c>
      <c r="P177" s="227">
        <v>46147</v>
      </c>
      <c r="Q177" s="227">
        <v>46147</v>
      </c>
      <c r="R177" s="231" t="s">
        <v>1241</v>
      </c>
      <c r="S177" s="227"/>
      <c r="T177" s="209" t="s">
        <v>1133</v>
      </c>
      <c r="U177" s="209"/>
      <c r="V177" s="209"/>
      <c r="W177" s="227"/>
      <c r="X177" s="209" t="s">
        <v>1133</v>
      </c>
      <c r="Y177" s="209" t="s">
        <v>1133</v>
      </c>
      <c r="Z177" s="232">
        <v>46105</v>
      </c>
      <c r="AA177" s="233">
        <v>46109</v>
      </c>
      <c r="AB177" s="232">
        <v>46129</v>
      </c>
      <c r="AC177" s="209" t="s">
        <v>1302</v>
      </c>
      <c r="AD177" s="209" t="s">
        <v>1228</v>
      </c>
      <c r="AE177" s="209" t="s">
        <v>510</v>
      </c>
      <c r="AF177" s="209" t="s">
        <v>1228</v>
      </c>
      <c r="AG177" s="209" t="s">
        <v>510</v>
      </c>
      <c r="AH177" s="209" t="s">
        <v>1307</v>
      </c>
      <c r="AI177" s="209" t="s">
        <v>1228</v>
      </c>
      <c r="AJ177" s="209" t="s">
        <v>1133</v>
      </c>
      <c r="AK177" s="209" t="s">
        <v>1133</v>
      </c>
      <c r="AL177" s="209"/>
      <c r="AM177" s="209"/>
      <c r="AN177" s="229" t="s">
        <v>1656</v>
      </c>
      <c r="AO177" s="234">
        <v>1.65</v>
      </c>
      <c r="AP177" s="235">
        <f t="shared" si="22"/>
        <v>356.4</v>
      </c>
      <c r="AQ177" s="235">
        <f t="shared" si="23"/>
        <v>2762.1</v>
      </c>
      <c r="AR177" s="217">
        <v>61111</v>
      </c>
      <c r="AS177" s="208">
        <v>46150</v>
      </c>
      <c r="AT177" s="227" t="s">
        <v>1220</v>
      </c>
      <c r="AU177" s="221"/>
      <c r="AV177" s="236">
        <f t="shared" si="28"/>
        <v>-216</v>
      </c>
      <c r="AW177" s="236"/>
      <c r="AX177" s="227" t="s">
        <v>1280</v>
      </c>
      <c r="AY177" s="227"/>
      <c r="AZ177" s="227"/>
      <c r="BA177" s="227"/>
      <c r="BB177" s="208" t="str">
        <f t="shared" si="18"/>
        <v>Toysmith</v>
      </c>
      <c r="BC177" s="208" t="str">
        <f t="shared" si="19"/>
        <v>美国</v>
      </c>
    </row>
    <row r="178" s="195" customFormat="1" customHeight="1" spans="1:55">
      <c r="A178" s="227">
        <v>46093</v>
      </c>
      <c r="B178" s="40" t="str">
        <f ca="1" t="shared" si="20"/>
        <v/>
      </c>
      <c r="C178" s="209" t="str">
        <f>VLOOKUP(H178,名称!A:E,4,0)</f>
        <v>三代</v>
      </c>
      <c r="D178" s="228" t="s">
        <v>1444</v>
      </c>
      <c r="E178" s="228" t="s">
        <v>1224</v>
      </c>
      <c r="F178" s="209" t="s">
        <v>547</v>
      </c>
      <c r="G178" s="209" t="s">
        <v>548</v>
      </c>
      <c r="H178" s="209" t="s">
        <v>85</v>
      </c>
      <c r="I178" s="209"/>
      <c r="J178" s="229">
        <v>384</v>
      </c>
      <c r="K178" s="230">
        <f>VLOOKUP(H178,名称!A:C,2,0)</f>
        <v>5</v>
      </c>
      <c r="L178" s="229">
        <f t="shared" si="27"/>
        <v>1920</v>
      </c>
      <c r="M178" s="209">
        <f>VLOOKUP(H178,名称!A:E,3,0)</f>
        <v>24</v>
      </c>
      <c r="N178" s="229">
        <f t="shared" si="21"/>
        <v>16</v>
      </c>
      <c r="O178" s="227">
        <v>46147</v>
      </c>
      <c r="P178" s="227">
        <v>46147</v>
      </c>
      <c r="Q178" s="227">
        <v>46147</v>
      </c>
      <c r="R178" s="231" t="s">
        <v>1241</v>
      </c>
      <c r="S178" s="227"/>
      <c r="T178" s="209" t="s">
        <v>1133</v>
      </c>
      <c r="U178" s="209"/>
      <c r="V178" s="209"/>
      <c r="W178" s="227"/>
      <c r="X178" s="209" t="s">
        <v>1133</v>
      </c>
      <c r="Y178" s="209" t="s">
        <v>1133</v>
      </c>
      <c r="Z178" s="232">
        <v>46105</v>
      </c>
      <c r="AA178" s="233">
        <v>46109</v>
      </c>
      <c r="AB178" s="232">
        <v>46129</v>
      </c>
      <c r="AC178" s="209" t="s">
        <v>1133</v>
      </c>
      <c r="AD178" s="209" t="s">
        <v>1133</v>
      </c>
      <c r="AE178" s="209" t="s">
        <v>510</v>
      </c>
      <c r="AF178" s="209" t="s">
        <v>1228</v>
      </c>
      <c r="AG178" s="209" t="s">
        <v>510</v>
      </c>
      <c r="AH178" s="209" t="s">
        <v>1133</v>
      </c>
      <c r="AI178" s="209" t="s">
        <v>1228</v>
      </c>
      <c r="AJ178" s="209" t="s">
        <v>1133</v>
      </c>
      <c r="AK178" s="209" t="s">
        <v>510</v>
      </c>
      <c r="AL178" s="209"/>
      <c r="AM178" s="209"/>
      <c r="AN178" s="229" t="s">
        <v>1656</v>
      </c>
      <c r="AO178" s="234">
        <v>0.91</v>
      </c>
      <c r="AP178" s="235">
        <f t="shared" si="22"/>
        <v>349.44</v>
      </c>
      <c r="AQ178" s="235">
        <f t="shared" si="23"/>
        <v>2708.16</v>
      </c>
      <c r="AR178" s="217">
        <v>61111</v>
      </c>
      <c r="AS178" s="208">
        <v>46150</v>
      </c>
      <c r="AT178" s="227" t="s">
        <v>1220</v>
      </c>
      <c r="AU178" s="221"/>
      <c r="AV178" s="236">
        <f t="shared" si="28"/>
        <v>-384</v>
      </c>
      <c r="AW178" s="236"/>
      <c r="AX178" s="227" t="s">
        <v>1280</v>
      </c>
      <c r="AY178" s="227"/>
      <c r="AZ178" s="227"/>
      <c r="BA178" s="227"/>
      <c r="BB178" s="208" t="str">
        <f t="shared" si="18"/>
        <v>Toysmith</v>
      </c>
      <c r="BC178" s="208" t="str">
        <f t="shared" si="19"/>
        <v>美国</v>
      </c>
    </row>
    <row r="179" s="195" customFormat="1" customHeight="1" spans="1:55">
      <c r="A179" s="227">
        <v>46093</v>
      </c>
      <c r="B179" s="40" t="str">
        <f ca="1" t="shared" si="20"/>
        <v/>
      </c>
      <c r="C179" s="209" t="str">
        <f>VLOOKUP(H179,名称!A:E,4,0)</f>
        <v>三代</v>
      </c>
      <c r="D179" s="228" t="s">
        <v>1444</v>
      </c>
      <c r="E179" s="228" t="s">
        <v>1224</v>
      </c>
      <c r="F179" s="209" t="s">
        <v>547</v>
      </c>
      <c r="G179" s="209" t="s">
        <v>548</v>
      </c>
      <c r="H179" s="209" t="s">
        <v>98</v>
      </c>
      <c r="I179" s="209"/>
      <c r="J179" s="229">
        <f>72+48</f>
        <v>120</v>
      </c>
      <c r="K179" s="230">
        <f>VLOOKUP(H179,名称!A:C,2,0)</f>
        <v>12</v>
      </c>
      <c r="L179" s="229">
        <f t="shared" si="27"/>
        <v>1440</v>
      </c>
      <c r="M179" s="209">
        <f>VLOOKUP(H179,名称!A:E,3,0)</f>
        <v>12</v>
      </c>
      <c r="N179" s="229">
        <f t="shared" si="21"/>
        <v>10</v>
      </c>
      <c r="O179" s="227">
        <v>46147</v>
      </c>
      <c r="P179" s="227">
        <v>46147</v>
      </c>
      <c r="Q179" s="227">
        <v>46147</v>
      </c>
      <c r="R179" s="231" t="s">
        <v>1241</v>
      </c>
      <c r="S179" s="227"/>
      <c r="T179" s="209" t="s">
        <v>1133</v>
      </c>
      <c r="U179" s="209"/>
      <c r="V179" s="209"/>
      <c r="W179" s="227"/>
      <c r="X179" s="209" t="s">
        <v>1133</v>
      </c>
      <c r="Y179" s="209" t="s">
        <v>1133</v>
      </c>
      <c r="Z179" s="232">
        <v>46105</v>
      </c>
      <c r="AA179" s="233">
        <v>46109</v>
      </c>
      <c r="AB179" s="232">
        <v>46129</v>
      </c>
      <c r="AC179" s="209" t="s">
        <v>1302</v>
      </c>
      <c r="AD179" s="209" t="s">
        <v>1228</v>
      </c>
      <c r="AE179" s="209" t="s">
        <v>510</v>
      </c>
      <c r="AF179" s="209" t="s">
        <v>1228</v>
      </c>
      <c r="AG179" s="209" t="s">
        <v>510</v>
      </c>
      <c r="AH179" s="209" t="s">
        <v>1307</v>
      </c>
      <c r="AI179" s="209" t="s">
        <v>1228</v>
      </c>
      <c r="AJ179" s="209" t="s">
        <v>1133</v>
      </c>
      <c r="AK179" s="209" t="s">
        <v>1133</v>
      </c>
      <c r="AL179" s="209"/>
      <c r="AM179" s="209"/>
      <c r="AN179" s="229" t="s">
        <v>1656</v>
      </c>
      <c r="AO179" s="234">
        <v>1.65</v>
      </c>
      <c r="AP179" s="235">
        <f t="shared" si="22"/>
        <v>198</v>
      </c>
      <c r="AQ179" s="235">
        <f t="shared" si="23"/>
        <v>1534.5</v>
      </c>
      <c r="AR179" s="217">
        <v>61111</v>
      </c>
      <c r="AS179" s="208">
        <v>46150</v>
      </c>
      <c r="AT179" s="227" t="s">
        <v>1220</v>
      </c>
      <c r="AU179" s="221"/>
      <c r="AV179" s="236">
        <f t="shared" si="28"/>
        <v>-120</v>
      </c>
      <c r="AW179" s="236"/>
      <c r="AX179" s="227" t="s">
        <v>1280</v>
      </c>
      <c r="AY179" s="227"/>
      <c r="AZ179" s="227"/>
      <c r="BA179" s="227"/>
      <c r="BB179" s="208" t="str">
        <f t="shared" si="18"/>
        <v>Toysmith</v>
      </c>
      <c r="BC179" s="208" t="str">
        <f t="shared" si="19"/>
        <v>美国</v>
      </c>
    </row>
    <row r="180" s="194" customFormat="1" customHeight="1" spans="1:55">
      <c r="A180" s="208">
        <v>46085</v>
      </c>
      <c r="B180" s="40" t="str">
        <f ca="1" t="shared" si="20"/>
        <v/>
      </c>
      <c r="C180" s="209" t="str">
        <f>VLOOKUP(H180,名称!A:E,4,0)</f>
        <v>蛋糕</v>
      </c>
      <c r="D180" s="210" t="s">
        <v>1502</v>
      </c>
      <c r="E180" s="210" t="s">
        <v>1224</v>
      </c>
      <c r="F180" s="211" t="s">
        <v>534</v>
      </c>
      <c r="G180" s="211" t="s">
        <v>535</v>
      </c>
      <c r="H180" s="211" t="s">
        <v>50</v>
      </c>
      <c r="I180" s="211">
        <f>VLOOKUP(H180,名称!A:E,5,0)</f>
        <v>0</v>
      </c>
      <c r="J180" s="212">
        <v>18684</v>
      </c>
      <c r="K180" s="211">
        <v>0</v>
      </c>
      <c r="L180" s="211">
        <f t="shared" si="27"/>
        <v>0</v>
      </c>
      <c r="M180" s="211">
        <f>VLOOKUP(H180,名称!A:E,3,0)</f>
        <v>18</v>
      </c>
      <c r="N180" s="212">
        <f t="shared" si="21"/>
        <v>1038</v>
      </c>
      <c r="O180" s="208">
        <v>46141</v>
      </c>
      <c r="P180" s="208">
        <v>46133</v>
      </c>
      <c r="Q180" s="208">
        <v>46140</v>
      </c>
      <c r="R180" s="211"/>
      <c r="S180" s="208">
        <v>46141</v>
      </c>
      <c r="T180" s="211"/>
      <c r="U180" s="211"/>
      <c r="V180" s="211"/>
      <c r="W180" s="208"/>
      <c r="X180" s="211" t="s">
        <v>1133</v>
      </c>
      <c r="Y180" s="211" t="s">
        <v>1133</v>
      </c>
      <c r="Z180" s="211" t="s">
        <v>1654</v>
      </c>
      <c r="AA180" s="213">
        <v>46108</v>
      </c>
      <c r="AB180" s="213">
        <v>46108</v>
      </c>
      <c r="AC180" s="211" t="s">
        <v>1133</v>
      </c>
      <c r="AD180" s="211" t="s">
        <v>1133</v>
      </c>
      <c r="AE180" s="211" t="s">
        <v>510</v>
      </c>
      <c r="AF180" s="211" t="s">
        <v>1228</v>
      </c>
      <c r="AG180" s="211" t="s">
        <v>510</v>
      </c>
      <c r="AH180" s="211" t="s">
        <v>1133</v>
      </c>
      <c r="AI180" s="211" t="s">
        <v>1228</v>
      </c>
      <c r="AJ180" s="211" t="s">
        <v>1133</v>
      </c>
      <c r="AK180" s="211" t="s">
        <v>1228</v>
      </c>
      <c r="AL180" s="211"/>
      <c r="AM180" s="211" t="s">
        <v>1296</v>
      </c>
      <c r="AN180" s="212"/>
      <c r="AO180" s="215">
        <v>1.11</v>
      </c>
      <c r="AP180" s="216">
        <f t="shared" si="22"/>
        <v>20739.24</v>
      </c>
      <c r="AQ180" s="216">
        <f t="shared" si="23"/>
        <v>160729.11</v>
      </c>
      <c r="AR180" s="217">
        <v>61112</v>
      </c>
      <c r="AS180" s="208">
        <v>46150</v>
      </c>
      <c r="AT180" s="208" t="s">
        <v>1220</v>
      </c>
      <c r="AU180" s="208"/>
      <c r="AV180" s="208"/>
      <c r="AW180" s="208"/>
      <c r="AX180" s="208"/>
      <c r="AY180" s="208"/>
      <c r="AZ180" s="208"/>
      <c r="BA180" s="208"/>
      <c r="BB180" s="208" t="str">
        <f t="shared" si="18"/>
        <v>Target Corporation</v>
      </c>
      <c r="BC180" s="208" t="str">
        <f t="shared" si="19"/>
        <v>美国</v>
      </c>
    </row>
    <row r="181" s="195" customFormat="1" customHeight="1" spans="1:55">
      <c r="A181" s="227">
        <v>46031</v>
      </c>
      <c r="B181" s="208" t="str">
        <f ca="1" t="shared" si="20"/>
        <v/>
      </c>
      <c r="C181" s="209" t="str">
        <f>VLOOKUP(H181,名称!A:E,4,0)</f>
        <v>三代</v>
      </c>
      <c r="D181" s="228" t="s">
        <v>1276</v>
      </c>
      <c r="E181" s="228" t="s">
        <v>1224</v>
      </c>
      <c r="F181" s="209" t="s">
        <v>408</v>
      </c>
      <c r="G181" s="209" t="s">
        <v>409</v>
      </c>
      <c r="H181" s="209" t="s">
        <v>61</v>
      </c>
      <c r="I181" s="209"/>
      <c r="J181" s="229">
        <v>50016</v>
      </c>
      <c r="K181" s="230">
        <f>VLOOKUP(H181,名称!A:C,2,0)</f>
        <v>5</v>
      </c>
      <c r="L181" s="229">
        <f t="shared" si="27"/>
        <v>250080</v>
      </c>
      <c r="M181" s="209">
        <f>VLOOKUP(H181,名称!A:E,3,0)</f>
        <v>24</v>
      </c>
      <c r="N181" s="229">
        <f t="shared" si="21"/>
        <v>2084</v>
      </c>
      <c r="O181" s="227">
        <v>46142</v>
      </c>
      <c r="P181" s="227">
        <v>46151</v>
      </c>
      <c r="Q181" s="227">
        <v>46153</v>
      </c>
      <c r="R181" s="209"/>
      <c r="S181" s="227">
        <v>46153</v>
      </c>
      <c r="T181" s="209"/>
      <c r="U181" s="209"/>
      <c r="V181" s="209" t="s">
        <v>1658</v>
      </c>
      <c r="W181" s="227"/>
      <c r="X181" s="209" t="s">
        <v>1133</v>
      </c>
      <c r="Y181" s="209" t="s">
        <v>1133</v>
      </c>
      <c r="Z181" s="232">
        <v>46059</v>
      </c>
      <c r="AA181" s="233">
        <v>46079</v>
      </c>
      <c r="AB181" s="232">
        <v>46080</v>
      </c>
      <c r="AC181" s="209" t="s">
        <v>1133</v>
      </c>
      <c r="AD181" s="209" t="s">
        <v>1133</v>
      </c>
      <c r="AE181" s="209" t="s">
        <v>1597</v>
      </c>
      <c r="AF181" s="209" t="s">
        <v>1228</v>
      </c>
      <c r="AG181" s="209" t="s">
        <v>1597</v>
      </c>
      <c r="AH181" s="209" t="s">
        <v>1133</v>
      </c>
      <c r="AI181" s="209" t="s">
        <v>1228</v>
      </c>
      <c r="AJ181" s="209" t="s">
        <v>1133</v>
      </c>
      <c r="AK181" s="209" t="s">
        <v>1659</v>
      </c>
      <c r="AL181" s="209"/>
      <c r="AM181" s="209" t="s">
        <v>1649</v>
      </c>
      <c r="AN181" s="229" t="s">
        <v>1660</v>
      </c>
      <c r="AO181" s="234">
        <v>0.61</v>
      </c>
      <c r="AP181" s="235">
        <f t="shared" si="22"/>
        <v>30509.76</v>
      </c>
      <c r="AQ181" s="235">
        <f t="shared" si="23"/>
        <v>236450.64</v>
      </c>
      <c r="AR181" s="217">
        <v>61113</v>
      </c>
      <c r="AS181" s="208">
        <v>46153</v>
      </c>
      <c r="AT181" s="227" t="s">
        <v>1220</v>
      </c>
      <c r="AU181" s="221">
        <f>10056</f>
        <v>10056</v>
      </c>
      <c r="AV181" s="236">
        <f t="shared" ref="AV181:AV188" si="29">AU181-J181</f>
        <v>-39960</v>
      </c>
      <c r="AW181" s="236"/>
      <c r="AX181" s="227" t="s">
        <v>1280</v>
      </c>
      <c r="AY181" s="227"/>
      <c r="AZ181" s="227"/>
      <c r="BA181" s="227"/>
      <c r="BB181" s="208" t="str">
        <f t="shared" si="18"/>
        <v>Jazwares- TARGET US DOM</v>
      </c>
      <c r="BC181" s="208" t="str">
        <f t="shared" si="19"/>
        <v>美国</v>
      </c>
    </row>
    <row r="182" s="195" customFormat="1" customHeight="1" spans="1:55">
      <c r="A182" s="227">
        <v>46059</v>
      </c>
      <c r="B182" s="208" t="str">
        <f ca="1" t="shared" si="20"/>
        <v/>
      </c>
      <c r="C182" s="209" t="str">
        <f>VLOOKUP(H182,名称!A:E,4,0)</f>
        <v>三代</v>
      </c>
      <c r="D182" s="228" t="s">
        <v>1281</v>
      </c>
      <c r="E182" s="228" t="s">
        <v>1224</v>
      </c>
      <c r="F182" s="209" t="s">
        <v>493</v>
      </c>
      <c r="G182" s="209" t="s">
        <v>494</v>
      </c>
      <c r="H182" s="209" t="s">
        <v>93</v>
      </c>
      <c r="I182" s="209"/>
      <c r="J182" s="229">
        <v>7500</v>
      </c>
      <c r="K182" s="230">
        <f>VLOOKUP(H182,名称!A:C,2,0)</f>
        <v>5</v>
      </c>
      <c r="L182" s="229">
        <f t="shared" si="27"/>
        <v>37500</v>
      </c>
      <c r="M182" s="209">
        <f>VLOOKUP(H182,名称!A:E,3,0)</f>
        <v>12</v>
      </c>
      <c r="N182" s="229">
        <f t="shared" si="21"/>
        <v>625</v>
      </c>
      <c r="O182" s="227">
        <v>46142</v>
      </c>
      <c r="P182" s="227">
        <v>46148</v>
      </c>
      <c r="Q182" s="227">
        <v>46148</v>
      </c>
      <c r="R182" s="231" t="s">
        <v>1241</v>
      </c>
      <c r="S182" s="227">
        <v>46148</v>
      </c>
      <c r="T182" s="237" t="s">
        <v>1282</v>
      </c>
      <c r="U182" s="209"/>
      <c r="V182" s="209" t="s">
        <v>1661</v>
      </c>
      <c r="W182" s="227"/>
      <c r="X182" s="209" t="s">
        <v>1133</v>
      </c>
      <c r="Y182" s="209" t="s">
        <v>1133</v>
      </c>
      <c r="Z182" s="232">
        <v>46059</v>
      </c>
      <c r="AA182" s="233">
        <v>46079</v>
      </c>
      <c r="AB182" s="232">
        <v>46080</v>
      </c>
      <c r="AC182" s="209" t="s">
        <v>1133</v>
      </c>
      <c r="AD182" s="209" t="s">
        <v>1133</v>
      </c>
      <c r="AE182" s="209" t="s">
        <v>1597</v>
      </c>
      <c r="AF182" s="209" t="s">
        <v>1228</v>
      </c>
      <c r="AG182" s="209" t="s">
        <v>1597</v>
      </c>
      <c r="AH182" s="209" t="s">
        <v>1133</v>
      </c>
      <c r="AI182" s="209" t="s">
        <v>1228</v>
      </c>
      <c r="AJ182" s="209" t="s">
        <v>1133</v>
      </c>
      <c r="AK182" s="209" t="s">
        <v>1659</v>
      </c>
      <c r="AL182" s="209"/>
      <c r="AM182" s="209" t="s">
        <v>1296</v>
      </c>
      <c r="AN182" s="229"/>
      <c r="AO182" s="234">
        <v>0.61</v>
      </c>
      <c r="AP182" s="235">
        <f t="shared" si="22"/>
        <v>4575</v>
      </c>
      <c r="AQ182" s="235">
        <f t="shared" si="23"/>
        <v>35456.25</v>
      </c>
      <c r="AR182" s="217">
        <v>61114</v>
      </c>
      <c r="AS182" s="208">
        <v>46157</v>
      </c>
      <c r="AT182" s="227" t="s">
        <v>1220</v>
      </c>
      <c r="AU182" s="221">
        <f>7488+12</f>
        <v>7500</v>
      </c>
      <c r="AV182" s="236">
        <f t="shared" si="29"/>
        <v>0</v>
      </c>
      <c r="AW182" s="236"/>
      <c r="AX182" s="227" t="s">
        <v>1280</v>
      </c>
      <c r="AY182" s="227"/>
      <c r="AZ182" s="227"/>
      <c r="BA182" s="227"/>
      <c r="BB182" s="208" t="str">
        <f t="shared" si="18"/>
        <v>Jazwares, LLC</v>
      </c>
      <c r="BC182" s="208" t="str">
        <f t="shared" si="19"/>
        <v>美国</v>
      </c>
    </row>
    <row r="183" s="195" customFormat="1" customHeight="1" spans="1:55">
      <c r="A183" s="227">
        <v>46059</v>
      </c>
      <c r="B183" s="208" t="str">
        <f ca="1" t="shared" si="20"/>
        <v/>
      </c>
      <c r="C183" s="209" t="str">
        <f>VLOOKUP(H183,名称!A:E,4,0)</f>
        <v>三代</v>
      </c>
      <c r="D183" s="228" t="s">
        <v>1281</v>
      </c>
      <c r="E183" s="228" t="s">
        <v>1224</v>
      </c>
      <c r="F183" s="209" t="s">
        <v>497</v>
      </c>
      <c r="G183" s="209" t="s">
        <v>498</v>
      </c>
      <c r="H183" s="209" t="s">
        <v>59</v>
      </c>
      <c r="I183" s="209"/>
      <c r="J183" s="229">
        <v>5016</v>
      </c>
      <c r="K183" s="230">
        <f>VLOOKUP(H183,名称!A:C,2,0)</f>
        <v>5</v>
      </c>
      <c r="L183" s="229">
        <f t="shared" si="27"/>
        <v>25080</v>
      </c>
      <c r="M183" s="209">
        <f>VLOOKUP(H183,名称!A:E,3,0)</f>
        <v>24</v>
      </c>
      <c r="N183" s="229">
        <f t="shared" si="21"/>
        <v>209</v>
      </c>
      <c r="O183" s="227">
        <v>46142</v>
      </c>
      <c r="P183" s="227">
        <v>46148</v>
      </c>
      <c r="Q183" s="227">
        <v>46148</v>
      </c>
      <c r="R183" s="231" t="s">
        <v>1241</v>
      </c>
      <c r="S183" s="227">
        <v>46148</v>
      </c>
      <c r="T183" s="237" t="s">
        <v>1282</v>
      </c>
      <c r="U183" s="209"/>
      <c r="V183" s="209" t="s">
        <v>1661</v>
      </c>
      <c r="W183" s="227"/>
      <c r="X183" s="209" t="s">
        <v>1133</v>
      </c>
      <c r="Y183" s="209" t="s">
        <v>1133</v>
      </c>
      <c r="Z183" s="232">
        <v>46059</v>
      </c>
      <c r="AA183" s="233">
        <v>46079</v>
      </c>
      <c r="AB183" s="232">
        <v>46080</v>
      </c>
      <c r="AC183" s="209" t="s">
        <v>1133</v>
      </c>
      <c r="AD183" s="209" t="s">
        <v>1133</v>
      </c>
      <c r="AE183" s="209" t="s">
        <v>1597</v>
      </c>
      <c r="AF183" s="209" t="s">
        <v>1228</v>
      </c>
      <c r="AG183" s="209" t="s">
        <v>1597</v>
      </c>
      <c r="AH183" s="209" t="s">
        <v>1133</v>
      </c>
      <c r="AI183" s="209" t="s">
        <v>1228</v>
      </c>
      <c r="AJ183" s="209" t="s">
        <v>1133</v>
      </c>
      <c r="AK183" s="209" t="s">
        <v>1659</v>
      </c>
      <c r="AL183" s="209"/>
      <c r="AM183" s="209" t="s">
        <v>1296</v>
      </c>
      <c r="AN183" s="229"/>
      <c r="AO183" s="234">
        <v>0.62</v>
      </c>
      <c r="AP183" s="235">
        <f t="shared" si="22"/>
        <v>3109.92</v>
      </c>
      <c r="AQ183" s="235">
        <f t="shared" si="23"/>
        <v>24101.88</v>
      </c>
      <c r="AR183" s="217">
        <v>61115</v>
      </c>
      <c r="AS183" s="208">
        <v>46153</v>
      </c>
      <c r="AT183" s="227" t="s">
        <v>1220</v>
      </c>
      <c r="AU183" s="221">
        <f>4992+24</f>
        <v>5016</v>
      </c>
      <c r="AV183" s="236">
        <f t="shared" si="29"/>
        <v>0</v>
      </c>
      <c r="AW183" s="236"/>
      <c r="AX183" s="227" t="s">
        <v>1280</v>
      </c>
      <c r="AY183" s="227"/>
      <c r="AZ183" s="227"/>
      <c r="BA183" s="227"/>
      <c r="BB183" s="208" t="str">
        <f t="shared" si="18"/>
        <v>Jazwares, LLC</v>
      </c>
      <c r="BC183" s="208" t="str">
        <f t="shared" si="19"/>
        <v>美国</v>
      </c>
    </row>
    <row r="184" s="195" customFormat="1" customHeight="1" spans="1:55">
      <c r="A184" s="227">
        <v>46059</v>
      </c>
      <c r="B184" s="208" t="str">
        <f ca="1" t="shared" si="20"/>
        <v/>
      </c>
      <c r="C184" s="209" t="str">
        <f>VLOOKUP(H184,名称!A:E,4,0)</f>
        <v>三代</v>
      </c>
      <c r="D184" s="228" t="s">
        <v>1281</v>
      </c>
      <c r="E184" s="228" t="s">
        <v>1224</v>
      </c>
      <c r="F184" s="209" t="s">
        <v>503</v>
      </c>
      <c r="G184" s="209" t="s">
        <v>504</v>
      </c>
      <c r="H184" s="209" t="s">
        <v>60</v>
      </c>
      <c r="I184" s="209"/>
      <c r="J184" s="229">
        <v>5004</v>
      </c>
      <c r="K184" s="230">
        <f>VLOOKUP(H184,名称!A:C,2,0)</f>
        <v>5</v>
      </c>
      <c r="L184" s="229">
        <f t="shared" si="27"/>
        <v>25020</v>
      </c>
      <c r="M184" s="209">
        <f>VLOOKUP(H184,名称!A:E,3,0)</f>
        <v>12</v>
      </c>
      <c r="N184" s="229">
        <f t="shared" si="21"/>
        <v>417</v>
      </c>
      <c r="O184" s="227">
        <v>46142</v>
      </c>
      <c r="P184" s="227">
        <v>46148</v>
      </c>
      <c r="Q184" s="227">
        <v>46148</v>
      </c>
      <c r="R184" s="231" t="s">
        <v>1241</v>
      </c>
      <c r="S184" s="227">
        <v>46148</v>
      </c>
      <c r="T184" s="237" t="s">
        <v>1282</v>
      </c>
      <c r="U184" s="209"/>
      <c r="V184" s="209" t="s">
        <v>1661</v>
      </c>
      <c r="W184" s="227"/>
      <c r="X184" s="209" t="s">
        <v>1133</v>
      </c>
      <c r="Y184" s="209" t="s">
        <v>1133</v>
      </c>
      <c r="Z184" s="232">
        <v>46059</v>
      </c>
      <c r="AA184" s="233">
        <v>46079</v>
      </c>
      <c r="AB184" s="232">
        <v>46080</v>
      </c>
      <c r="AC184" s="209" t="s">
        <v>1133</v>
      </c>
      <c r="AD184" s="209" t="s">
        <v>1133</v>
      </c>
      <c r="AE184" s="209" t="s">
        <v>1597</v>
      </c>
      <c r="AF184" s="209" t="s">
        <v>1228</v>
      </c>
      <c r="AG184" s="209" t="s">
        <v>1597</v>
      </c>
      <c r="AH184" s="209" t="s">
        <v>1133</v>
      </c>
      <c r="AI184" s="209" t="s">
        <v>1228</v>
      </c>
      <c r="AJ184" s="209" t="s">
        <v>1133</v>
      </c>
      <c r="AK184" s="209" t="s">
        <v>1659</v>
      </c>
      <c r="AL184" s="209"/>
      <c r="AM184" s="209" t="s">
        <v>1296</v>
      </c>
      <c r="AN184" s="229"/>
      <c r="AO184" s="234">
        <v>0.6</v>
      </c>
      <c r="AP184" s="235">
        <f t="shared" si="22"/>
        <v>3002.4</v>
      </c>
      <c r="AQ184" s="235">
        <f t="shared" si="23"/>
        <v>23268.6</v>
      </c>
      <c r="AR184" s="217">
        <v>61116</v>
      </c>
      <c r="AS184" s="208">
        <v>46153</v>
      </c>
      <c r="AT184" s="227" t="s">
        <v>1220</v>
      </c>
      <c r="AU184" s="221">
        <f>4992+12</f>
        <v>5004</v>
      </c>
      <c r="AV184" s="236">
        <f t="shared" si="29"/>
        <v>0</v>
      </c>
      <c r="AW184" s="236"/>
      <c r="AX184" s="227" t="s">
        <v>1280</v>
      </c>
      <c r="AY184" s="227"/>
      <c r="AZ184" s="227"/>
      <c r="BA184" s="227"/>
      <c r="BB184" s="208" t="str">
        <f t="shared" si="18"/>
        <v>Jazwares, LLC</v>
      </c>
      <c r="BC184" s="208" t="str">
        <f t="shared" si="19"/>
        <v>美国</v>
      </c>
    </row>
    <row r="185" s="195" customFormat="1" customHeight="1" spans="1:55">
      <c r="A185" s="227">
        <v>46035</v>
      </c>
      <c r="B185" s="208" t="str">
        <f ca="1" t="shared" si="20"/>
        <v/>
      </c>
      <c r="C185" s="209" t="str">
        <f>VLOOKUP(H185,名称!A:E,4,0)</f>
        <v>三代</v>
      </c>
      <c r="D185" s="228" t="s">
        <v>1240</v>
      </c>
      <c r="E185" s="228" t="s">
        <v>1224</v>
      </c>
      <c r="F185" s="209" t="s">
        <v>437</v>
      </c>
      <c r="G185" s="209" t="s">
        <v>438</v>
      </c>
      <c r="H185" s="209" t="s">
        <v>94</v>
      </c>
      <c r="I185" s="209"/>
      <c r="J185" s="229">
        <v>16008</v>
      </c>
      <c r="K185" s="230">
        <f>VLOOKUP(H185,名称!A:C,2,0)</f>
        <v>5</v>
      </c>
      <c r="L185" s="229">
        <f t="shared" si="27"/>
        <v>80040</v>
      </c>
      <c r="M185" s="209">
        <f>VLOOKUP(H185,名称!A:E,3,0)</f>
        <v>24</v>
      </c>
      <c r="N185" s="229">
        <f t="shared" si="21"/>
        <v>667</v>
      </c>
      <c r="O185" s="227">
        <v>46142</v>
      </c>
      <c r="P185" s="227">
        <v>46148</v>
      </c>
      <c r="Q185" s="227">
        <v>46150</v>
      </c>
      <c r="R185" s="227"/>
      <c r="S185" s="227">
        <v>46150</v>
      </c>
      <c r="T185" s="227" t="s">
        <v>1282</v>
      </c>
      <c r="U185" s="209"/>
      <c r="V185" s="209" t="s">
        <v>1658</v>
      </c>
      <c r="W185" s="227"/>
      <c r="X185" s="209" t="s">
        <v>1133</v>
      </c>
      <c r="Y185" s="209" t="s">
        <v>1133</v>
      </c>
      <c r="Z185" s="232">
        <v>46059</v>
      </c>
      <c r="AA185" s="233">
        <v>46079</v>
      </c>
      <c r="AB185" s="232">
        <v>46080</v>
      </c>
      <c r="AC185" s="209" t="s">
        <v>1133</v>
      </c>
      <c r="AD185" s="209" t="s">
        <v>1133</v>
      </c>
      <c r="AE185" s="209" t="s">
        <v>1597</v>
      </c>
      <c r="AF185" s="209" t="s">
        <v>1228</v>
      </c>
      <c r="AG185" s="209" t="s">
        <v>1597</v>
      </c>
      <c r="AH185" s="209" t="s">
        <v>1133</v>
      </c>
      <c r="AI185" s="209" t="s">
        <v>1228</v>
      </c>
      <c r="AJ185" s="209" t="s">
        <v>1133</v>
      </c>
      <c r="AK185" s="209" t="s">
        <v>1659</v>
      </c>
      <c r="AL185" s="209"/>
      <c r="AM185" s="209" t="s">
        <v>1296</v>
      </c>
      <c r="AN185" s="229" t="s">
        <v>1662</v>
      </c>
      <c r="AO185" s="234">
        <v>0.61</v>
      </c>
      <c r="AP185" s="235">
        <f t="shared" si="22"/>
        <v>9764.88</v>
      </c>
      <c r="AQ185" s="235">
        <f t="shared" si="23"/>
        <v>75677.82</v>
      </c>
      <c r="AR185" s="217">
        <v>61117</v>
      </c>
      <c r="AS185" s="208">
        <v>46153</v>
      </c>
      <c r="AT185" s="227" t="s">
        <v>1220</v>
      </c>
      <c r="AU185" s="221">
        <f>9312+6696</f>
        <v>16008</v>
      </c>
      <c r="AV185" s="236">
        <f t="shared" si="29"/>
        <v>0</v>
      </c>
      <c r="AW185" s="236"/>
      <c r="AX185" s="227" t="s">
        <v>1280</v>
      </c>
      <c r="AY185" s="227"/>
      <c r="AZ185" s="227"/>
      <c r="BA185" s="227"/>
      <c r="BB185" s="208" t="str">
        <f t="shared" si="18"/>
        <v>JAZWARES - TARGET US DOM</v>
      </c>
      <c r="BC185" s="208" t="str">
        <f t="shared" si="19"/>
        <v>美国</v>
      </c>
    </row>
    <row r="186" s="195" customFormat="1" customHeight="1" spans="1:55">
      <c r="A186" s="227">
        <v>46031</v>
      </c>
      <c r="B186" s="208" t="str">
        <f ca="1" t="shared" si="20"/>
        <v/>
      </c>
      <c r="C186" s="209" t="str">
        <f>VLOOKUP(H186,名称!A:E,4,0)</f>
        <v>三代</v>
      </c>
      <c r="D186" s="228" t="s">
        <v>1276</v>
      </c>
      <c r="E186" s="228" t="s">
        <v>1224</v>
      </c>
      <c r="F186" s="209" t="s">
        <v>402</v>
      </c>
      <c r="G186" s="209" t="s">
        <v>403</v>
      </c>
      <c r="H186" s="209" t="s">
        <v>61</v>
      </c>
      <c r="I186" s="209"/>
      <c r="J186" s="229">
        <v>12504</v>
      </c>
      <c r="K186" s="230">
        <f>VLOOKUP(H186,名称!A:C,2,0)</f>
        <v>5</v>
      </c>
      <c r="L186" s="229">
        <f t="shared" si="27"/>
        <v>62520</v>
      </c>
      <c r="M186" s="209">
        <f>VLOOKUP(H186,名称!A:E,3,0)</f>
        <v>24</v>
      </c>
      <c r="N186" s="229">
        <f t="shared" si="21"/>
        <v>521</v>
      </c>
      <c r="O186" s="227">
        <v>46142</v>
      </c>
      <c r="P186" s="227">
        <v>46156</v>
      </c>
      <c r="Q186" s="227">
        <v>46150</v>
      </c>
      <c r="R186" s="231" t="s">
        <v>1241</v>
      </c>
      <c r="S186" s="227">
        <v>46150</v>
      </c>
      <c r="T186" s="237" t="s">
        <v>1282</v>
      </c>
      <c r="U186" s="209"/>
      <c r="V186" s="209" t="s">
        <v>1658</v>
      </c>
      <c r="W186" s="227"/>
      <c r="X186" s="209" t="s">
        <v>1133</v>
      </c>
      <c r="Y186" s="209" t="s">
        <v>1133</v>
      </c>
      <c r="Z186" s="232">
        <v>46059</v>
      </c>
      <c r="AA186" s="233">
        <v>46079</v>
      </c>
      <c r="AB186" s="232">
        <v>46080</v>
      </c>
      <c r="AC186" s="209" t="s">
        <v>1133</v>
      </c>
      <c r="AD186" s="209" t="s">
        <v>1133</v>
      </c>
      <c r="AE186" s="209" t="s">
        <v>1597</v>
      </c>
      <c r="AF186" s="209" t="s">
        <v>1228</v>
      </c>
      <c r="AG186" s="209" t="s">
        <v>1597</v>
      </c>
      <c r="AH186" s="209" t="s">
        <v>1133</v>
      </c>
      <c r="AI186" s="209" t="s">
        <v>1228</v>
      </c>
      <c r="AJ186" s="209" t="s">
        <v>1133</v>
      </c>
      <c r="AK186" s="209" t="s">
        <v>1659</v>
      </c>
      <c r="AL186" s="209"/>
      <c r="AM186" s="209" t="s">
        <v>1649</v>
      </c>
      <c r="AN186" s="229"/>
      <c r="AO186" s="234">
        <v>0.61</v>
      </c>
      <c r="AP186" s="235">
        <f t="shared" si="22"/>
        <v>7627.44</v>
      </c>
      <c r="AQ186" s="235">
        <f t="shared" si="23"/>
        <v>59112.66</v>
      </c>
      <c r="AR186" s="217">
        <v>61118</v>
      </c>
      <c r="AS186" s="208">
        <v>46153</v>
      </c>
      <c r="AT186" s="227" t="s">
        <v>1220</v>
      </c>
      <c r="AU186" s="221">
        <f>12480+24</f>
        <v>12504</v>
      </c>
      <c r="AV186" s="236">
        <f t="shared" si="29"/>
        <v>0</v>
      </c>
      <c r="AW186" s="236"/>
      <c r="AX186" s="227" t="s">
        <v>1280</v>
      </c>
      <c r="AY186" s="227"/>
      <c r="AZ186" s="227"/>
      <c r="BA186" s="227"/>
      <c r="BB186" s="208" t="str">
        <f t="shared" si="18"/>
        <v>Jazwares- TARGET US DOM</v>
      </c>
      <c r="BC186" s="208" t="str">
        <f t="shared" si="19"/>
        <v>美国</v>
      </c>
    </row>
    <row r="187" s="195" customFormat="1" customHeight="1" spans="1:55">
      <c r="A187" s="227">
        <v>46029</v>
      </c>
      <c r="B187" s="208" t="str">
        <f ca="1" t="shared" si="20"/>
        <v/>
      </c>
      <c r="C187" s="209" t="str">
        <f>VLOOKUP(H187,名称!A:E,4,0)</f>
        <v>三代</v>
      </c>
      <c r="D187" s="228" t="s">
        <v>1276</v>
      </c>
      <c r="E187" s="228" t="s">
        <v>1224</v>
      </c>
      <c r="F187" s="209" t="s">
        <v>384</v>
      </c>
      <c r="G187" s="209" t="s">
        <v>385</v>
      </c>
      <c r="H187" s="209" t="s">
        <v>85</v>
      </c>
      <c r="I187" s="209"/>
      <c r="J187" s="229">
        <v>50016</v>
      </c>
      <c r="K187" s="230">
        <f>VLOOKUP(H187,名称!A:C,2,0)</f>
        <v>5</v>
      </c>
      <c r="L187" s="229">
        <f t="shared" si="27"/>
        <v>250080</v>
      </c>
      <c r="M187" s="209">
        <f>VLOOKUP(H187,名称!A:E,3,0)</f>
        <v>24</v>
      </c>
      <c r="N187" s="229">
        <f t="shared" si="21"/>
        <v>2084</v>
      </c>
      <c r="O187" s="227">
        <v>46141</v>
      </c>
      <c r="P187" s="227">
        <v>46151</v>
      </c>
      <c r="Q187" s="227">
        <v>46153</v>
      </c>
      <c r="R187" s="209"/>
      <c r="S187" s="227">
        <v>46153</v>
      </c>
      <c r="T187" s="209"/>
      <c r="U187" s="209"/>
      <c r="V187" s="209" t="s">
        <v>1658</v>
      </c>
      <c r="W187" s="227"/>
      <c r="X187" s="209" t="s">
        <v>1133</v>
      </c>
      <c r="Y187" s="209" t="s">
        <v>1133</v>
      </c>
      <c r="Z187" s="232">
        <v>46059</v>
      </c>
      <c r="AA187" s="233">
        <v>46079</v>
      </c>
      <c r="AB187" s="232">
        <v>46094</v>
      </c>
      <c r="AC187" s="209" t="s">
        <v>1133</v>
      </c>
      <c r="AD187" s="209" t="s">
        <v>1133</v>
      </c>
      <c r="AE187" s="209" t="s">
        <v>1597</v>
      </c>
      <c r="AF187" s="209" t="s">
        <v>1228</v>
      </c>
      <c r="AG187" s="209" t="s">
        <v>1597</v>
      </c>
      <c r="AH187" s="209" t="s">
        <v>1133</v>
      </c>
      <c r="AI187" s="209" t="s">
        <v>1228</v>
      </c>
      <c r="AJ187" s="209" t="s">
        <v>1133</v>
      </c>
      <c r="AK187" s="209" t="s">
        <v>1659</v>
      </c>
      <c r="AL187" s="209"/>
      <c r="AM187" s="209" t="s">
        <v>1296</v>
      </c>
      <c r="AN187" s="229"/>
      <c r="AO187" s="234">
        <v>0.88</v>
      </c>
      <c r="AP187" s="235">
        <f t="shared" si="22"/>
        <v>44014.08</v>
      </c>
      <c r="AQ187" s="235">
        <f t="shared" si="23"/>
        <v>341109.12</v>
      </c>
      <c r="AR187" s="217">
        <v>61119</v>
      </c>
      <c r="AS187" s="208">
        <v>46153</v>
      </c>
      <c r="AT187" s="227" t="s">
        <v>1220</v>
      </c>
      <c r="AU187" s="221"/>
      <c r="AV187" s="236">
        <f t="shared" si="29"/>
        <v>-50016</v>
      </c>
      <c r="AW187" s="236"/>
      <c r="AX187" s="227" t="s">
        <v>1280</v>
      </c>
      <c r="AY187" s="227"/>
      <c r="AZ187" s="227"/>
      <c r="BA187" s="227"/>
      <c r="BB187" s="208" t="str">
        <f t="shared" si="18"/>
        <v>Jazwares- TARGET US DOM</v>
      </c>
      <c r="BC187" s="208" t="str">
        <f t="shared" si="19"/>
        <v>美国</v>
      </c>
    </row>
    <row r="188" s="195" customFormat="1" customHeight="1" spans="1:55">
      <c r="A188" s="227">
        <v>46031</v>
      </c>
      <c r="B188" s="208" t="str">
        <f ca="1" t="shared" si="20"/>
        <v/>
      </c>
      <c r="C188" s="209" t="str">
        <f>VLOOKUP(H188,名称!A:E,4,0)</f>
        <v>三代</v>
      </c>
      <c r="D188" s="228" t="s">
        <v>1276</v>
      </c>
      <c r="E188" s="228" t="s">
        <v>1224</v>
      </c>
      <c r="F188" s="209" t="s">
        <v>398</v>
      </c>
      <c r="G188" s="209" t="s">
        <v>399</v>
      </c>
      <c r="H188" s="209" t="s">
        <v>59</v>
      </c>
      <c r="I188" s="209"/>
      <c r="J188" s="229">
        <v>14400</v>
      </c>
      <c r="K188" s="230">
        <f>VLOOKUP(H188,名称!A:C,2,0)</f>
        <v>5</v>
      </c>
      <c r="L188" s="229">
        <f t="shared" si="27"/>
        <v>72000</v>
      </c>
      <c r="M188" s="209">
        <f>VLOOKUP(H188,名称!A:E,3,0)</f>
        <v>24</v>
      </c>
      <c r="N188" s="229">
        <f t="shared" si="21"/>
        <v>600</v>
      </c>
      <c r="O188" s="227">
        <v>46142</v>
      </c>
      <c r="P188" s="227">
        <v>46142</v>
      </c>
      <c r="Q188" s="227">
        <v>46150</v>
      </c>
      <c r="R188" s="237" t="s">
        <v>1241</v>
      </c>
      <c r="S188" s="227">
        <v>46150</v>
      </c>
      <c r="T188" s="237" t="s">
        <v>1282</v>
      </c>
      <c r="U188" s="209"/>
      <c r="V188" s="209" t="s">
        <v>1658</v>
      </c>
      <c r="W188" s="227"/>
      <c r="X188" s="209" t="s">
        <v>1133</v>
      </c>
      <c r="Y188" s="209" t="s">
        <v>1133</v>
      </c>
      <c r="Z188" s="232">
        <v>46059</v>
      </c>
      <c r="AA188" s="233">
        <v>46079</v>
      </c>
      <c r="AB188" s="232">
        <v>46094</v>
      </c>
      <c r="AC188" s="209" t="s">
        <v>1133</v>
      </c>
      <c r="AD188" s="209" t="s">
        <v>1133</v>
      </c>
      <c r="AE188" s="209" t="s">
        <v>1597</v>
      </c>
      <c r="AF188" s="209" t="s">
        <v>1228</v>
      </c>
      <c r="AG188" s="209" t="s">
        <v>1597</v>
      </c>
      <c r="AH188" s="209" t="s">
        <v>1133</v>
      </c>
      <c r="AI188" s="209" t="s">
        <v>1228</v>
      </c>
      <c r="AJ188" s="209" t="s">
        <v>1133</v>
      </c>
      <c r="AK188" s="209" t="s">
        <v>1659</v>
      </c>
      <c r="AL188" s="209"/>
      <c r="AM188" s="209" t="s">
        <v>1649</v>
      </c>
      <c r="AN188" s="229"/>
      <c r="AO188" s="234">
        <v>0.62</v>
      </c>
      <c r="AP188" s="235">
        <f t="shared" si="22"/>
        <v>8928</v>
      </c>
      <c r="AQ188" s="235">
        <f t="shared" si="23"/>
        <v>69192</v>
      </c>
      <c r="AR188" s="217">
        <v>61120</v>
      </c>
      <c r="AS188" s="208">
        <v>46153</v>
      </c>
      <c r="AT188" s="227" t="s">
        <v>1220</v>
      </c>
      <c r="AU188" s="221">
        <v>14400</v>
      </c>
      <c r="AV188" s="236">
        <f t="shared" si="29"/>
        <v>0</v>
      </c>
      <c r="AW188" s="236"/>
      <c r="AX188" s="227" t="s">
        <v>1280</v>
      </c>
      <c r="AY188" s="227"/>
      <c r="AZ188" s="227"/>
      <c r="BA188" s="227"/>
      <c r="BB188" s="208" t="str">
        <f t="shared" si="18"/>
        <v>Jazwares- TARGET US DOM</v>
      </c>
      <c r="BC188" s="208" t="str">
        <f t="shared" si="19"/>
        <v>美国</v>
      </c>
    </row>
    <row r="189" s="194" customFormat="1" customHeight="1" spans="1:55">
      <c r="A189" s="208">
        <v>46049</v>
      </c>
      <c r="B189" s="208" t="str">
        <f ca="1" t="shared" si="20"/>
        <v/>
      </c>
      <c r="C189" s="211" t="str">
        <f>VLOOKUP(H189,名称!A:E,4,0)</f>
        <v>二代</v>
      </c>
      <c r="D189" s="210" t="s">
        <v>1663</v>
      </c>
      <c r="E189" s="210" t="s">
        <v>1224</v>
      </c>
      <c r="F189" s="211" t="s">
        <v>467</v>
      </c>
      <c r="G189" s="211" t="s">
        <v>468</v>
      </c>
      <c r="H189" s="211" t="s">
        <v>48</v>
      </c>
      <c r="I189" s="211"/>
      <c r="J189" s="212">
        <v>1200</v>
      </c>
      <c r="K189" s="223">
        <f>VLOOKUP(H189,名称!A:C,2,0)</f>
        <v>5</v>
      </c>
      <c r="L189" s="223">
        <f>K189*J189</f>
        <v>6000</v>
      </c>
      <c r="M189" s="211">
        <f>VLOOKUP(H189,名称!A:E,3,0)</f>
        <v>12</v>
      </c>
      <c r="N189" s="212">
        <f t="shared" si="21"/>
        <v>100</v>
      </c>
      <c r="O189" s="208">
        <v>46139</v>
      </c>
      <c r="P189" s="208" t="s">
        <v>1225</v>
      </c>
      <c r="Q189" s="208" t="s">
        <v>1225</v>
      </c>
      <c r="R189" s="211" t="s">
        <v>1282</v>
      </c>
      <c r="S189" s="208" t="s">
        <v>1225</v>
      </c>
      <c r="T189" s="211" t="s">
        <v>1241</v>
      </c>
      <c r="U189" s="211"/>
      <c r="V189" s="211" t="s">
        <v>1664</v>
      </c>
      <c r="W189" s="208" t="s">
        <v>1651</v>
      </c>
      <c r="X189" s="211" t="s">
        <v>1133</v>
      </c>
      <c r="Y189" s="211" t="s">
        <v>1133</v>
      </c>
      <c r="Z189" s="213">
        <v>46049</v>
      </c>
      <c r="AA189" s="214">
        <v>46052</v>
      </c>
      <c r="AB189" s="213">
        <v>46052</v>
      </c>
      <c r="AC189" s="211" t="s">
        <v>1133</v>
      </c>
      <c r="AD189" s="211" t="s">
        <v>1133</v>
      </c>
      <c r="AE189" s="211" t="s">
        <v>253</v>
      </c>
      <c r="AF189" s="211" t="s">
        <v>1228</v>
      </c>
      <c r="AG189" s="211" t="s">
        <v>1604</v>
      </c>
      <c r="AH189" s="211" t="s">
        <v>1133</v>
      </c>
      <c r="AI189" s="211" t="s">
        <v>1228</v>
      </c>
      <c r="AJ189" s="211"/>
      <c r="AK189" s="211" t="s">
        <v>1605</v>
      </c>
      <c r="AL189" s="211" t="s">
        <v>1228</v>
      </c>
      <c r="AM189" s="211" t="s">
        <v>1230</v>
      </c>
      <c r="AN189" s="212" t="s">
        <v>1234</v>
      </c>
      <c r="AO189" s="215">
        <v>0.63</v>
      </c>
      <c r="AP189" s="216">
        <f t="shared" si="22"/>
        <v>756</v>
      </c>
      <c r="AQ189" s="216">
        <f t="shared" si="23"/>
        <v>5859</v>
      </c>
      <c r="AR189" s="217">
        <v>61121</v>
      </c>
      <c r="AS189" s="208">
        <v>46157</v>
      </c>
      <c r="AT189" s="208" t="s">
        <v>1254</v>
      </c>
      <c r="AU189" s="221"/>
      <c r="AV189" s="222"/>
      <c r="AW189" s="208"/>
      <c r="AX189" s="208"/>
      <c r="AY189" s="208" t="s">
        <v>1232</v>
      </c>
      <c r="AZ189" s="208" t="s">
        <v>1222</v>
      </c>
      <c r="BA189" s="208"/>
      <c r="BB189" s="208" t="str">
        <f t="shared" si="18"/>
        <v>WALMART CANADA (IMPORT)</v>
      </c>
      <c r="BC189" s="208" t="str">
        <f t="shared" si="19"/>
        <v>美国</v>
      </c>
    </row>
    <row r="190" s="195" customFormat="1" customHeight="1" spans="1:55">
      <c r="A190" s="227">
        <v>46084</v>
      </c>
      <c r="B190" s="208" t="str">
        <f ca="1" t="shared" si="20"/>
        <v/>
      </c>
      <c r="C190" s="209" t="str">
        <f>VLOOKUP(H190,名称!A:E,4,0)</f>
        <v>三代</v>
      </c>
      <c r="D190" s="228" t="s">
        <v>1387</v>
      </c>
      <c r="E190" s="228" t="s">
        <v>1388</v>
      </c>
      <c r="F190" s="209"/>
      <c r="G190" s="209" t="s">
        <v>526</v>
      </c>
      <c r="H190" s="209" t="s">
        <v>92</v>
      </c>
      <c r="I190" s="209"/>
      <c r="J190" s="229">
        <v>2400</v>
      </c>
      <c r="K190" s="230">
        <f>VLOOKUP(H190,名称!A:C,2,0)</f>
        <v>7</v>
      </c>
      <c r="L190" s="229">
        <f t="shared" ref="L190:L209" si="30">J190*K190</f>
        <v>16800</v>
      </c>
      <c r="M190" s="209">
        <f>VLOOKUP(H190,名称!A:E,3,0)</f>
        <v>16</v>
      </c>
      <c r="N190" s="229">
        <f t="shared" si="21"/>
        <v>150</v>
      </c>
      <c r="O190" s="227">
        <v>46142</v>
      </c>
      <c r="P190" s="227">
        <v>46150</v>
      </c>
      <c r="Q190" s="227">
        <v>46150</v>
      </c>
      <c r="R190" s="209" t="s">
        <v>1241</v>
      </c>
      <c r="S190" s="227" t="s">
        <v>1133</v>
      </c>
      <c r="T190" s="209"/>
      <c r="U190" s="209"/>
      <c r="V190" s="209"/>
      <c r="W190" s="227"/>
      <c r="X190" s="209" t="s">
        <v>1133</v>
      </c>
      <c r="Y190" s="209" t="s">
        <v>1133</v>
      </c>
      <c r="Z190" s="232">
        <v>46106</v>
      </c>
      <c r="AA190" s="233">
        <v>46109</v>
      </c>
      <c r="AB190" s="232">
        <v>46122</v>
      </c>
      <c r="AC190" s="209" t="s">
        <v>1284</v>
      </c>
      <c r="AD190" s="209" t="s">
        <v>1228</v>
      </c>
      <c r="AE190" s="209" t="s">
        <v>510</v>
      </c>
      <c r="AF190" s="209" t="s">
        <v>1228</v>
      </c>
      <c r="AG190" s="209" t="s">
        <v>510</v>
      </c>
      <c r="AH190" s="209" t="s">
        <v>1307</v>
      </c>
      <c r="AI190" s="209" t="s">
        <v>1228</v>
      </c>
      <c r="AJ190" s="209" t="s">
        <v>1133</v>
      </c>
      <c r="AK190" s="209" t="s">
        <v>1133</v>
      </c>
      <c r="AL190" s="209"/>
      <c r="AM190" s="209" t="s">
        <v>1296</v>
      </c>
      <c r="AN190" s="229"/>
      <c r="AO190" s="234">
        <v>0.88</v>
      </c>
      <c r="AP190" s="235">
        <f t="shared" si="22"/>
        <v>2112</v>
      </c>
      <c r="AQ190" s="235">
        <f t="shared" si="23"/>
        <v>16368</v>
      </c>
      <c r="AR190" s="217">
        <v>61122</v>
      </c>
      <c r="AS190" s="208">
        <v>46157</v>
      </c>
      <c r="AT190" s="227" t="s">
        <v>1220</v>
      </c>
      <c r="AU190" s="221"/>
      <c r="AV190" s="236">
        <f t="shared" ref="AV190:AV209" si="31">AU190-J190</f>
        <v>-2400</v>
      </c>
      <c r="AW190" s="236"/>
      <c r="AX190" s="227" t="s">
        <v>1280</v>
      </c>
      <c r="AY190" s="227"/>
      <c r="AZ190" s="227"/>
      <c r="BA190" s="227"/>
      <c r="BB190" s="208" t="str">
        <f t="shared" si="18"/>
        <v>Sheng Tai_Camtec</v>
      </c>
      <c r="BC190" s="208" t="str">
        <f t="shared" si="19"/>
        <v>新加坡</v>
      </c>
    </row>
    <row r="191" s="195" customFormat="1" customHeight="1" spans="1:55">
      <c r="A191" s="227">
        <v>46084</v>
      </c>
      <c r="B191" s="208" t="str">
        <f ca="1" t="shared" si="20"/>
        <v/>
      </c>
      <c r="C191" s="209" t="str">
        <f>VLOOKUP(H191,名称!A:E,4,0)</f>
        <v>三代</v>
      </c>
      <c r="D191" s="228" t="s">
        <v>1387</v>
      </c>
      <c r="E191" s="228" t="s">
        <v>1388</v>
      </c>
      <c r="F191" s="209"/>
      <c r="G191" s="209" t="s">
        <v>526</v>
      </c>
      <c r="H191" s="209" t="s">
        <v>94</v>
      </c>
      <c r="I191" s="209"/>
      <c r="J191" s="229">
        <v>6000</v>
      </c>
      <c r="K191" s="230">
        <f>VLOOKUP(H191,名称!A:C,2,0)</f>
        <v>5</v>
      </c>
      <c r="L191" s="229">
        <f t="shared" si="30"/>
        <v>30000</v>
      </c>
      <c r="M191" s="209">
        <f>VLOOKUP(H191,名称!A:E,3,0)</f>
        <v>24</v>
      </c>
      <c r="N191" s="229">
        <f t="shared" si="21"/>
        <v>250</v>
      </c>
      <c r="O191" s="227">
        <v>46142</v>
      </c>
      <c r="P191" s="227">
        <v>46150</v>
      </c>
      <c r="Q191" s="227">
        <v>46150</v>
      </c>
      <c r="R191" s="209" t="s">
        <v>1241</v>
      </c>
      <c r="S191" s="227" t="s">
        <v>1133</v>
      </c>
      <c r="T191" s="209"/>
      <c r="U191" s="209"/>
      <c r="V191" s="209"/>
      <c r="W191" s="227"/>
      <c r="X191" s="209" t="s">
        <v>1133</v>
      </c>
      <c r="Y191" s="209" t="s">
        <v>1133</v>
      </c>
      <c r="Z191" s="232">
        <v>46106</v>
      </c>
      <c r="AA191" s="233">
        <v>46109</v>
      </c>
      <c r="AB191" s="232">
        <v>46122</v>
      </c>
      <c r="AC191" s="209" t="s">
        <v>1133</v>
      </c>
      <c r="AD191" s="209" t="s">
        <v>1133</v>
      </c>
      <c r="AE191" s="209" t="s">
        <v>510</v>
      </c>
      <c r="AF191" s="209" t="s">
        <v>1228</v>
      </c>
      <c r="AG191" s="209" t="s">
        <v>510</v>
      </c>
      <c r="AH191" s="209" t="s">
        <v>1133</v>
      </c>
      <c r="AI191" s="209" t="s">
        <v>1228</v>
      </c>
      <c r="AJ191" s="209" t="s">
        <v>1133</v>
      </c>
      <c r="AK191" s="209" t="s">
        <v>510</v>
      </c>
      <c r="AL191" s="209"/>
      <c r="AM191" s="209" t="s">
        <v>1296</v>
      </c>
      <c r="AN191" s="229"/>
      <c r="AO191" s="234">
        <v>0.63</v>
      </c>
      <c r="AP191" s="235">
        <f t="shared" si="22"/>
        <v>3780</v>
      </c>
      <c r="AQ191" s="235">
        <f t="shared" si="23"/>
        <v>29295</v>
      </c>
      <c r="AR191" s="217">
        <v>61122</v>
      </c>
      <c r="AS191" s="208">
        <v>46157</v>
      </c>
      <c r="AT191" s="227" t="s">
        <v>1220</v>
      </c>
      <c r="AU191" s="221">
        <v>6000</v>
      </c>
      <c r="AV191" s="236">
        <f t="shared" si="31"/>
        <v>0</v>
      </c>
      <c r="AW191" s="236"/>
      <c r="AX191" s="227" t="s">
        <v>1280</v>
      </c>
      <c r="AY191" s="227"/>
      <c r="AZ191" s="227"/>
      <c r="BA191" s="227"/>
      <c r="BB191" s="208" t="str">
        <f t="shared" si="18"/>
        <v>Sheng Tai_Camtec</v>
      </c>
      <c r="BC191" s="208" t="str">
        <f t="shared" si="19"/>
        <v>新加坡</v>
      </c>
    </row>
    <row r="192" s="195" customFormat="1" customHeight="1" spans="1:55">
      <c r="A192" s="227">
        <v>46084</v>
      </c>
      <c r="B192" s="208" t="str">
        <f ca="1" t="shared" si="20"/>
        <v/>
      </c>
      <c r="C192" s="209" t="str">
        <f>VLOOKUP(H192,名称!A:E,4,0)</f>
        <v>三代</v>
      </c>
      <c r="D192" s="228" t="s">
        <v>1387</v>
      </c>
      <c r="E192" s="228" t="s">
        <v>1388</v>
      </c>
      <c r="F192" s="209"/>
      <c r="G192" s="209" t="s">
        <v>526</v>
      </c>
      <c r="H192" s="209" t="s">
        <v>95</v>
      </c>
      <c r="I192" s="209"/>
      <c r="J192" s="229">
        <v>600</v>
      </c>
      <c r="K192" s="230">
        <f>VLOOKUP(H192,名称!A:C,2,0)</f>
        <v>32</v>
      </c>
      <c r="L192" s="229">
        <f t="shared" si="30"/>
        <v>19200</v>
      </c>
      <c r="M192" s="209">
        <f>VLOOKUP(H192,名称!A:E,3,0)</f>
        <v>4</v>
      </c>
      <c r="N192" s="229">
        <f t="shared" si="21"/>
        <v>150</v>
      </c>
      <c r="O192" s="227">
        <v>46142</v>
      </c>
      <c r="P192" s="227">
        <v>46150</v>
      </c>
      <c r="Q192" s="227">
        <v>46150</v>
      </c>
      <c r="R192" s="209" t="s">
        <v>1241</v>
      </c>
      <c r="S192" s="227" t="s">
        <v>1133</v>
      </c>
      <c r="T192" s="209"/>
      <c r="U192" s="209"/>
      <c r="V192" s="209"/>
      <c r="W192" s="227"/>
      <c r="X192" s="209" t="s">
        <v>1133</v>
      </c>
      <c r="Y192" s="209" t="s">
        <v>1133</v>
      </c>
      <c r="Z192" s="232">
        <v>46106</v>
      </c>
      <c r="AA192" s="233">
        <v>46109</v>
      </c>
      <c r="AB192" s="232">
        <v>46122</v>
      </c>
      <c r="AC192" s="209" t="s">
        <v>1133</v>
      </c>
      <c r="AD192" s="209" t="s">
        <v>1133</v>
      </c>
      <c r="AE192" s="209" t="s">
        <v>510</v>
      </c>
      <c r="AF192" s="209" t="s">
        <v>1228</v>
      </c>
      <c r="AG192" s="209" t="s">
        <v>510</v>
      </c>
      <c r="AH192" s="209" t="s">
        <v>1307</v>
      </c>
      <c r="AI192" s="209" t="s">
        <v>1228</v>
      </c>
      <c r="AJ192" s="209" t="s">
        <v>1133</v>
      </c>
      <c r="AK192" s="209" t="s">
        <v>1133</v>
      </c>
      <c r="AL192" s="209"/>
      <c r="AM192" s="209" t="s">
        <v>1296</v>
      </c>
      <c r="AN192" s="229"/>
      <c r="AO192" s="234">
        <v>3.12</v>
      </c>
      <c r="AP192" s="235">
        <f t="shared" si="22"/>
        <v>1872</v>
      </c>
      <c r="AQ192" s="235">
        <f t="shared" si="23"/>
        <v>14508</v>
      </c>
      <c r="AR192" s="217">
        <v>61122</v>
      </c>
      <c r="AS192" s="208">
        <v>46157</v>
      </c>
      <c r="AT192" s="227" t="s">
        <v>1220</v>
      </c>
      <c r="AU192" s="221">
        <v>600</v>
      </c>
      <c r="AV192" s="236">
        <f t="shared" si="31"/>
        <v>0</v>
      </c>
      <c r="AW192" s="236"/>
      <c r="AX192" s="227" t="s">
        <v>1280</v>
      </c>
      <c r="AY192" s="227"/>
      <c r="AZ192" s="227"/>
      <c r="BA192" s="227"/>
      <c r="BB192" s="208" t="str">
        <f t="shared" si="18"/>
        <v>Sheng Tai_Camtec</v>
      </c>
      <c r="BC192" s="208" t="str">
        <f t="shared" si="19"/>
        <v>新加坡</v>
      </c>
    </row>
    <row r="193" s="195" customFormat="1" customHeight="1" spans="1:55">
      <c r="A193" s="227">
        <v>46084</v>
      </c>
      <c r="B193" s="208" t="str">
        <f ca="1" t="shared" si="20"/>
        <v/>
      </c>
      <c r="C193" s="209" t="str">
        <f>VLOOKUP(H193,名称!A:E,4,0)</f>
        <v>三代</v>
      </c>
      <c r="D193" s="228" t="s">
        <v>1387</v>
      </c>
      <c r="E193" s="228" t="s">
        <v>1388</v>
      </c>
      <c r="F193" s="209"/>
      <c r="G193" s="209" t="s">
        <v>527</v>
      </c>
      <c r="H193" s="209" t="s">
        <v>99</v>
      </c>
      <c r="I193" s="209"/>
      <c r="J193" s="229">
        <v>2400</v>
      </c>
      <c r="K193" s="230">
        <f>VLOOKUP(H193,名称!A:C,2,0)</f>
        <v>7</v>
      </c>
      <c r="L193" s="229">
        <f t="shared" si="30"/>
        <v>16800</v>
      </c>
      <c r="M193" s="209">
        <f>VLOOKUP(H193,名称!A:E,3,0)</f>
        <v>24</v>
      </c>
      <c r="N193" s="229">
        <f t="shared" si="21"/>
        <v>100</v>
      </c>
      <c r="O193" s="227">
        <v>46142</v>
      </c>
      <c r="P193" s="227">
        <v>46150</v>
      </c>
      <c r="Q193" s="227">
        <v>46150</v>
      </c>
      <c r="R193" s="209" t="s">
        <v>1241</v>
      </c>
      <c r="S193" s="227" t="s">
        <v>1133</v>
      </c>
      <c r="T193" s="209"/>
      <c r="U193" s="209"/>
      <c r="V193" s="209"/>
      <c r="W193" s="227"/>
      <c r="X193" s="209" t="s">
        <v>1133</v>
      </c>
      <c r="Y193" s="209" t="s">
        <v>1133</v>
      </c>
      <c r="Z193" s="232">
        <v>46106</v>
      </c>
      <c r="AA193" s="233">
        <v>46109</v>
      </c>
      <c r="AB193" s="232">
        <v>46122</v>
      </c>
      <c r="AC193" s="209" t="s">
        <v>1284</v>
      </c>
      <c r="AD193" s="209" t="s">
        <v>1228</v>
      </c>
      <c r="AE193" s="209" t="s">
        <v>510</v>
      </c>
      <c r="AF193" s="209" t="s">
        <v>1228</v>
      </c>
      <c r="AG193" s="209" t="s">
        <v>510</v>
      </c>
      <c r="AH193" s="209" t="s">
        <v>1307</v>
      </c>
      <c r="AI193" s="209" t="s">
        <v>1228</v>
      </c>
      <c r="AJ193" s="209" t="s">
        <v>1133</v>
      </c>
      <c r="AK193" s="209" t="s">
        <v>1133</v>
      </c>
      <c r="AL193" s="209" t="s">
        <v>1228</v>
      </c>
      <c r="AM193" s="209" t="s">
        <v>1296</v>
      </c>
      <c r="AN193" s="229"/>
      <c r="AO193" s="234">
        <v>0.89</v>
      </c>
      <c r="AP193" s="235">
        <f t="shared" si="22"/>
        <v>2136</v>
      </c>
      <c r="AQ193" s="235">
        <f t="shared" si="23"/>
        <v>16554</v>
      </c>
      <c r="AR193" s="217">
        <v>61123</v>
      </c>
      <c r="AS193" s="208">
        <v>46157</v>
      </c>
      <c r="AT193" s="227" t="s">
        <v>1310</v>
      </c>
      <c r="AU193" s="221"/>
      <c r="AV193" s="236">
        <f t="shared" si="31"/>
        <v>-2400</v>
      </c>
      <c r="AW193" s="236"/>
      <c r="AX193" s="227"/>
      <c r="AY193" s="227"/>
      <c r="AZ193" s="227"/>
      <c r="BA193" s="227"/>
      <c r="BB193" s="208" t="str">
        <f t="shared" ref="BB193:BB256" si="32">D193</f>
        <v>Sheng Tai_Camtec</v>
      </c>
      <c r="BC193" s="208" t="str">
        <f t="shared" ref="BC193:BC256" si="33">E193</f>
        <v>新加坡</v>
      </c>
    </row>
    <row r="194" s="195" customFormat="1" customHeight="1" spans="1:55">
      <c r="A194" s="227">
        <v>46084</v>
      </c>
      <c r="B194" s="208" t="str">
        <f ca="1" t="shared" si="20"/>
        <v/>
      </c>
      <c r="C194" s="209" t="str">
        <f>VLOOKUP(H194,名称!A:E,4,0)</f>
        <v>三代</v>
      </c>
      <c r="D194" s="228" t="s">
        <v>1387</v>
      </c>
      <c r="E194" s="228" t="s">
        <v>1388</v>
      </c>
      <c r="F194" s="209"/>
      <c r="G194" s="209" t="s">
        <v>527</v>
      </c>
      <c r="H194" s="209" t="s">
        <v>59</v>
      </c>
      <c r="I194" s="209"/>
      <c r="J194" s="229">
        <v>3000</v>
      </c>
      <c r="K194" s="230">
        <f>VLOOKUP(H194,名称!A:C,2,0)</f>
        <v>5</v>
      </c>
      <c r="L194" s="229">
        <f t="shared" si="30"/>
        <v>15000</v>
      </c>
      <c r="M194" s="209">
        <f>VLOOKUP(H194,名称!A:E,3,0)</f>
        <v>24</v>
      </c>
      <c r="N194" s="229">
        <f t="shared" si="21"/>
        <v>125</v>
      </c>
      <c r="O194" s="227">
        <v>46142</v>
      </c>
      <c r="P194" s="227">
        <v>46150</v>
      </c>
      <c r="Q194" s="227">
        <v>46150</v>
      </c>
      <c r="R194" s="209" t="s">
        <v>1241</v>
      </c>
      <c r="S194" s="227" t="s">
        <v>1133</v>
      </c>
      <c r="T194" s="209"/>
      <c r="U194" s="209"/>
      <c r="V194" s="209"/>
      <c r="W194" s="227"/>
      <c r="X194" s="209" t="s">
        <v>1133</v>
      </c>
      <c r="Y194" s="209" t="s">
        <v>1133</v>
      </c>
      <c r="Z194" s="232">
        <v>46106</v>
      </c>
      <c r="AA194" s="233">
        <v>46109</v>
      </c>
      <c r="AB194" s="232">
        <v>46122</v>
      </c>
      <c r="AC194" s="209" t="s">
        <v>1133</v>
      </c>
      <c r="AD194" s="209" t="s">
        <v>1133</v>
      </c>
      <c r="AE194" s="209" t="s">
        <v>510</v>
      </c>
      <c r="AF194" s="209" t="s">
        <v>1228</v>
      </c>
      <c r="AG194" s="209" t="s">
        <v>510</v>
      </c>
      <c r="AH194" s="209" t="s">
        <v>1133</v>
      </c>
      <c r="AI194" s="209" t="s">
        <v>1228</v>
      </c>
      <c r="AJ194" s="209" t="s">
        <v>1133</v>
      </c>
      <c r="AK194" s="209" t="s">
        <v>510</v>
      </c>
      <c r="AL194" s="209"/>
      <c r="AM194" s="209" t="s">
        <v>1296</v>
      </c>
      <c r="AN194" s="229"/>
      <c r="AO194" s="234">
        <v>0.64</v>
      </c>
      <c r="AP194" s="235">
        <f t="shared" si="22"/>
        <v>1920</v>
      </c>
      <c r="AQ194" s="235">
        <f t="shared" si="23"/>
        <v>14880</v>
      </c>
      <c r="AR194" s="217">
        <v>61123</v>
      </c>
      <c r="AS194" s="208">
        <v>46157</v>
      </c>
      <c r="AT194" s="227" t="s">
        <v>1310</v>
      </c>
      <c r="AU194" s="221">
        <f>2976</f>
        <v>2976</v>
      </c>
      <c r="AV194" s="236">
        <f t="shared" si="31"/>
        <v>-24</v>
      </c>
      <c r="AW194" s="236"/>
      <c r="AX194" s="227"/>
      <c r="AY194" s="227"/>
      <c r="AZ194" s="227"/>
      <c r="BA194" s="227"/>
      <c r="BB194" s="208" t="str">
        <f t="shared" si="32"/>
        <v>Sheng Tai_Camtec</v>
      </c>
      <c r="BC194" s="208" t="str">
        <f t="shared" si="33"/>
        <v>新加坡</v>
      </c>
    </row>
    <row r="195" s="195" customFormat="1" customHeight="1" spans="1:55">
      <c r="A195" s="227">
        <v>46084</v>
      </c>
      <c r="B195" s="208" t="str">
        <f ca="1" t="shared" ref="B195:B209" si="34">IF(TODAY()-5&gt;=A195,IF(AB195="","异常",""),"")</f>
        <v/>
      </c>
      <c r="C195" s="209" t="str">
        <f>VLOOKUP(H195,名称!A:E,4,0)</f>
        <v>三代</v>
      </c>
      <c r="D195" s="228" t="s">
        <v>1387</v>
      </c>
      <c r="E195" s="228" t="s">
        <v>1388</v>
      </c>
      <c r="F195" s="209"/>
      <c r="G195" s="209" t="s">
        <v>527</v>
      </c>
      <c r="H195" s="209" t="s">
        <v>66</v>
      </c>
      <c r="I195" s="209"/>
      <c r="J195" s="229">
        <v>2400</v>
      </c>
      <c r="K195" s="230">
        <f>VLOOKUP(H195,名称!A:C,2,0)</f>
        <v>12</v>
      </c>
      <c r="L195" s="229">
        <f t="shared" si="30"/>
        <v>28800</v>
      </c>
      <c r="M195" s="209">
        <f>VLOOKUP(H195,名称!A:E,3,0)</f>
        <v>6</v>
      </c>
      <c r="N195" s="229">
        <f t="shared" ref="N195:N218" si="35">J195/M195</f>
        <v>400</v>
      </c>
      <c r="O195" s="227">
        <v>46142</v>
      </c>
      <c r="P195" s="227">
        <v>46150</v>
      </c>
      <c r="Q195" s="227">
        <v>46150</v>
      </c>
      <c r="R195" s="209" t="s">
        <v>1241</v>
      </c>
      <c r="S195" s="227" t="s">
        <v>1133</v>
      </c>
      <c r="T195" s="209"/>
      <c r="U195" s="209"/>
      <c r="V195" s="209"/>
      <c r="W195" s="227"/>
      <c r="X195" s="209" t="s">
        <v>1133</v>
      </c>
      <c r="Y195" s="209" t="s">
        <v>1133</v>
      </c>
      <c r="Z195" s="232">
        <v>46106</v>
      </c>
      <c r="AA195" s="233">
        <v>46109</v>
      </c>
      <c r="AB195" s="232">
        <v>46122</v>
      </c>
      <c r="AC195" s="209" t="s">
        <v>1318</v>
      </c>
      <c r="AD195" s="209" t="s">
        <v>1228</v>
      </c>
      <c r="AE195" s="209" t="s">
        <v>510</v>
      </c>
      <c r="AF195" s="209" t="s">
        <v>1228</v>
      </c>
      <c r="AG195" s="209" t="s">
        <v>510</v>
      </c>
      <c r="AH195" s="209" t="s">
        <v>1307</v>
      </c>
      <c r="AI195" s="209" t="s">
        <v>1228</v>
      </c>
      <c r="AJ195" s="209" t="s">
        <v>510</v>
      </c>
      <c r="AK195" s="209" t="s">
        <v>1133</v>
      </c>
      <c r="AL195" s="209"/>
      <c r="AM195" s="209" t="s">
        <v>1296</v>
      </c>
      <c r="AN195" s="229"/>
      <c r="AO195" s="234">
        <v>2.04</v>
      </c>
      <c r="AP195" s="235">
        <f t="shared" ref="AP195:AP258" si="36">J195*AO195</f>
        <v>4896</v>
      </c>
      <c r="AQ195" s="235">
        <f t="shared" ref="AQ195:AQ258" si="37">AP195*7.75</f>
        <v>37944</v>
      </c>
      <c r="AR195" s="217">
        <v>61123</v>
      </c>
      <c r="AS195" s="208">
        <v>46157</v>
      </c>
      <c r="AT195" s="227" t="s">
        <v>1220</v>
      </c>
      <c r="AU195" s="221">
        <v>2400</v>
      </c>
      <c r="AV195" s="236">
        <f t="shared" si="31"/>
        <v>0</v>
      </c>
      <c r="AW195" s="236"/>
      <c r="AX195" s="227" t="s">
        <v>1280</v>
      </c>
      <c r="AY195" s="227"/>
      <c r="AZ195" s="227"/>
      <c r="BA195" s="227"/>
      <c r="BB195" s="208" t="str">
        <f t="shared" si="32"/>
        <v>Sheng Tai_Camtec</v>
      </c>
      <c r="BC195" s="208" t="str">
        <f t="shared" si="33"/>
        <v>新加坡</v>
      </c>
    </row>
    <row r="196" s="195" customFormat="1" customHeight="1" spans="1:55">
      <c r="A196" s="227">
        <v>46084</v>
      </c>
      <c r="B196" s="208" t="str">
        <f ca="1" t="shared" si="34"/>
        <v/>
      </c>
      <c r="C196" s="209" t="str">
        <f>VLOOKUP(H196,名称!A:E,4,0)</f>
        <v>三代</v>
      </c>
      <c r="D196" s="228" t="s">
        <v>1387</v>
      </c>
      <c r="E196" s="228" t="s">
        <v>1388</v>
      </c>
      <c r="F196" s="209"/>
      <c r="G196" s="209" t="s">
        <v>527</v>
      </c>
      <c r="H196" s="209" t="s">
        <v>68</v>
      </c>
      <c r="I196" s="209"/>
      <c r="J196" s="229">
        <v>600</v>
      </c>
      <c r="K196" s="230">
        <f>VLOOKUP(H196,名称!A:C,2,0)</f>
        <v>32</v>
      </c>
      <c r="L196" s="229">
        <f t="shared" si="30"/>
        <v>19200</v>
      </c>
      <c r="M196" s="209">
        <f>VLOOKUP(H196,名称!A:E,3,0)</f>
        <v>4</v>
      </c>
      <c r="N196" s="229">
        <f t="shared" si="35"/>
        <v>150</v>
      </c>
      <c r="O196" s="227">
        <v>46142</v>
      </c>
      <c r="P196" s="227">
        <v>46150</v>
      </c>
      <c r="Q196" s="227">
        <v>46150</v>
      </c>
      <c r="R196" s="209" t="s">
        <v>1241</v>
      </c>
      <c r="S196" s="227" t="s">
        <v>1133</v>
      </c>
      <c r="T196" s="209"/>
      <c r="U196" s="209"/>
      <c r="V196" s="209"/>
      <c r="W196" s="227"/>
      <c r="X196" s="209" t="s">
        <v>1133</v>
      </c>
      <c r="Y196" s="209" t="s">
        <v>1133</v>
      </c>
      <c r="Z196" s="232">
        <v>46106</v>
      </c>
      <c r="AA196" s="233">
        <v>46109</v>
      </c>
      <c r="AB196" s="232">
        <v>46122</v>
      </c>
      <c r="AC196" s="209" t="s">
        <v>1133</v>
      </c>
      <c r="AD196" s="209" t="s">
        <v>1133</v>
      </c>
      <c r="AE196" s="209" t="s">
        <v>510</v>
      </c>
      <c r="AF196" s="209" t="s">
        <v>1228</v>
      </c>
      <c r="AG196" s="209" t="s">
        <v>510</v>
      </c>
      <c r="AH196" s="209" t="s">
        <v>1307</v>
      </c>
      <c r="AI196" s="209" t="s">
        <v>1228</v>
      </c>
      <c r="AJ196" s="209" t="s">
        <v>1133</v>
      </c>
      <c r="AK196" s="209" t="s">
        <v>1133</v>
      </c>
      <c r="AL196" s="209"/>
      <c r="AM196" s="209" t="s">
        <v>1296</v>
      </c>
      <c r="AN196" s="229"/>
      <c r="AO196" s="234">
        <v>3.12</v>
      </c>
      <c r="AP196" s="235">
        <f t="shared" si="36"/>
        <v>1872</v>
      </c>
      <c r="AQ196" s="235">
        <f t="shared" si="37"/>
        <v>14508</v>
      </c>
      <c r="AR196" s="224" t="s">
        <v>1665</v>
      </c>
      <c r="AS196" s="208">
        <v>46157</v>
      </c>
      <c r="AT196" s="227" t="s">
        <v>1310</v>
      </c>
      <c r="AU196" s="221"/>
      <c r="AV196" s="236">
        <f t="shared" si="31"/>
        <v>-600</v>
      </c>
      <c r="AW196" s="236"/>
      <c r="AX196" s="227"/>
      <c r="AY196" s="227"/>
      <c r="AZ196" s="227"/>
      <c r="BA196" s="227"/>
      <c r="BB196" s="208" t="str">
        <f t="shared" si="32"/>
        <v>Sheng Tai_Camtec</v>
      </c>
      <c r="BC196" s="208" t="str">
        <f t="shared" si="33"/>
        <v>新加坡</v>
      </c>
    </row>
    <row r="197" s="195" customFormat="1" customHeight="1" spans="1:55">
      <c r="A197" s="227">
        <v>46084</v>
      </c>
      <c r="B197" s="208" t="str">
        <f ca="1" t="shared" si="34"/>
        <v/>
      </c>
      <c r="C197" s="209" t="str">
        <f>VLOOKUP(H197,名称!A:E,4,0)</f>
        <v>三代</v>
      </c>
      <c r="D197" s="228" t="s">
        <v>1387</v>
      </c>
      <c r="E197" s="228" t="s">
        <v>1388</v>
      </c>
      <c r="F197" s="209"/>
      <c r="G197" s="209" t="s">
        <v>527</v>
      </c>
      <c r="H197" s="209" t="s">
        <v>72</v>
      </c>
      <c r="I197" s="209"/>
      <c r="J197" s="229">
        <v>1500</v>
      </c>
      <c r="K197" s="230">
        <f>VLOOKUP(H197,名称!A:C,2,0)</f>
        <v>12</v>
      </c>
      <c r="L197" s="229">
        <f t="shared" si="30"/>
        <v>18000</v>
      </c>
      <c r="M197" s="209">
        <f>VLOOKUP(H197,名称!A:E,3,0)</f>
        <v>12</v>
      </c>
      <c r="N197" s="229">
        <f t="shared" si="35"/>
        <v>125</v>
      </c>
      <c r="O197" s="227">
        <v>46142</v>
      </c>
      <c r="P197" s="227">
        <v>46150</v>
      </c>
      <c r="Q197" s="227">
        <v>46150</v>
      </c>
      <c r="R197" s="209" t="s">
        <v>1241</v>
      </c>
      <c r="S197" s="227" t="s">
        <v>1133</v>
      </c>
      <c r="T197" s="209"/>
      <c r="U197" s="209"/>
      <c r="V197" s="209"/>
      <c r="W197" s="227"/>
      <c r="X197" s="209" t="s">
        <v>1133</v>
      </c>
      <c r="Y197" s="209" t="s">
        <v>1133</v>
      </c>
      <c r="Z197" s="232">
        <v>46106</v>
      </c>
      <c r="AA197" s="233">
        <v>46109</v>
      </c>
      <c r="AB197" s="232">
        <v>46122</v>
      </c>
      <c r="AC197" s="209" t="s">
        <v>1302</v>
      </c>
      <c r="AD197" s="209" t="s">
        <v>1228</v>
      </c>
      <c r="AE197" s="209" t="s">
        <v>510</v>
      </c>
      <c r="AF197" s="209" t="s">
        <v>1228</v>
      </c>
      <c r="AG197" s="209" t="s">
        <v>510</v>
      </c>
      <c r="AH197" s="209" t="s">
        <v>1307</v>
      </c>
      <c r="AI197" s="209" t="s">
        <v>1228</v>
      </c>
      <c r="AJ197" s="209" t="s">
        <v>1133</v>
      </c>
      <c r="AK197" s="209" t="s">
        <v>1133</v>
      </c>
      <c r="AL197" s="209"/>
      <c r="AM197" s="209" t="s">
        <v>1296</v>
      </c>
      <c r="AN197" s="229"/>
      <c r="AO197" s="234">
        <v>1.6</v>
      </c>
      <c r="AP197" s="235">
        <f t="shared" si="36"/>
        <v>2400</v>
      </c>
      <c r="AQ197" s="235">
        <f t="shared" si="37"/>
        <v>18600</v>
      </c>
      <c r="AR197" s="217">
        <v>61123</v>
      </c>
      <c r="AS197" s="208">
        <v>46157</v>
      </c>
      <c r="AT197" s="227" t="s">
        <v>1220</v>
      </c>
      <c r="AU197" s="221">
        <v>1488</v>
      </c>
      <c r="AV197" s="236">
        <f t="shared" si="31"/>
        <v>-12</v>
      </c>
      <c r="AW197" s="236"/>
      <c r="AX197" s="227" t="s">
        <v>1280</v>
      </c>
      <c r="AY197" s="227"/>
      <c r="AZ197" s="227"/>
      <c r="BA197" s="227"/>
      <c r="BB197" s="208" t="str">
        <f t="shared" si="32"/>
        <v>Sheng Tai_Camtec</v>
      </c>
      <c r="BC197" s="208" t="str">
        <f t="shared" si="33"/>
        <v>新加坡</v>
      </c>
    </row>
    <row r="198" s="195" customFormat="1" customHeight="1" spans="1:55">
      <c r="A198" s="227">
        <v>46093</v>
      </c>
      <c r="B198" s="208" t="str">
        <f ca="1" t="shared" si="34"/>
        <v/>
      </c>
      <c r="C198" s="209" t="str">
        <f>VLOOKUP(H198,名称!A:E,4,0)</f>
        <v>三代</v>
      </c>
      <c r="D198" s="228" t="s">
        <v>1444</v>
      </c>
      <c r="E198" s="228" t="s">
        <v>1224</v>
      </c>
      <c r="F198" s="209" t="s">
        <v>547</v>
      </c>
      <c r="G198" s="209" t="s">
        <v>548</v>
      </c>
      <c r="H198" s="209" t="s">
        <v>99</v>
      </c>
      <c r="I198" s="209"/>
      <c r="J198" s="229">
        <v>9000</v>
      </c>
      <c r="K198" s="230">
        <f>VLOOKUP(H198,名称!A:C,2,0)</f>
        <v>7</v>
      </c>
      <c r="L198" s="229">
        <f t="shared" si="30"/>
        <v>63000</v>
      </c>
      <c r="M198" s="209">
        <f>VLOOKUP(H198,名称!A:E,3,0)</f>
        <v>24</v>
      </c>
      <c r="N198" s="229">
        <f t="shared" si="35"/>
        <v>375</v>
      </c>
      <c r="O198" s="227">
        <v>46147</v>
      </c>
      <c r="P198" s="227">
        <v>46147</v>
      </c>
      <c r="Q198" s="227">
        <v>46147</v>
      </c>
      <c r="R198" s="209"/>
      <c r="S198" s="227"/>
      <c r="T198" s="209"/>
      <c r="U198" s="209"/>
      <c r="V198" s="209"/>
      <c r="W198" s="227"/>
      <c r="X198" s="209" t="s">
        <v>1248</v>
      </c>
      <c r="Y198" s="209" t="s">
        <v>1228</v>
      </c>
      <c r="Z198" s="232">
        <v>46105</v>
      </c>
      <c r="AA198" s="233">
        <v>46109</v>
      </c>
      <c r="AB198" s="232">
        <v>46123</v>
      </c>
      <c r="AC198" s="209" t="s">
        <v>1284</v>
      </c>
      <c r="AD198" s="209" t="s">
        <v>1228</v>
      </c>
      <c r="AE198" s="209" t="s">
        <v>510</v>
      </c>
      <c r="AF198" s="209" t="s">
        <v>1228</v>
      </c>
      <c r="AG198" s="209" t="s">
        <v>510</v>
      </c>
      <c r="AH198" s="209" t="s">
        <v>1307</v>
      </c>
      <c r="AI198" s="209" t="s">
        <v>1228</v>
      </c>
      <c r="AJ198" s="209" t="s">
        <v>1133</v>
      </c>
      <c r="AK198" s="209" t="s">
        <v>1133</v>
      </c>
      <c r="AL198" s="209" t="s">
        <v>1228</v>
      </c>
      <c r="AM198" s="209"/>
      <c r="AN198" s="229" t="s">
        <v>1251</v>
      </c>
      <c r="AO198" s="234">
        <v>0.87</v>
      </c>
      <c r="AP198" s="235">
        <f t="shared" si="36"/>
        <v>7830</v>
      </c>
      <c r="AQ198" s="235">
        <f t="shared" si="37"/>
        <v>60682.5</v>
      </c>
      <c r="AR198" s="217">
        <v>61124</v>
      </c>
      <c r="AS198" s="208">
        <v>46157</v>
      </c>
      <c r="AT198" s="227" t="s">
        <v>1220</v>
      </c>
      <c r="AU198" s="221">
        <v>9000</v>
      </c>
      <c r="AV198" s="236">
        <f t="shared" si="31"/>
        <v>0</v>
      </c>
      <c r="AW198" s="236"/>
      <c r="AX198" s="227"/>
      <c r="AY198" s="227"/>
      <c r="AZ198" s="227"/>
      <c r="BA198" s="227"/>
      <c r="BB198" s="208" t="str">
        <f t="shared" si="32"/>
        <v>Toysmith</v>
      </c>
      <c r="BC198" s="208" t="str">
        <f t="shared" si="33"/>
        <v>美国</v>
      </c>
    </row>
    <row r="199" s="195" customFormat="1" customHeight="1" spans="1:55">
      <c r="A199" s="227">
        <v>46093</v>
      </c>
      <c r="B199" s="208" t="str">
        <f ca="1" t="shared" si="34"/>
        <v/>
      </c>
      <c r="C199" s="209" t="str">
        <f>VLOOKUP(H199,名称!A:E,4,0)</f>
        <v>三代</v>
      </c>
      <c r="D199" s="228" t="s">
        <v>1444</v>
      </c>
      <c r="E199" s="228" t="s">
        <v>1224</v>
      </c>
      <c r="F199" s="209" t="s">
        <v>547</v>
      </c>
      <c r="G199" s="209" t="s">
        <v>548</v>
      </c>
      <c r="H199" s="209" t="s">
        <v>66</v>
      </c>
      <c r="I199" s="209"/>
      <c r="J199" s="229">
        <v>4998</v>
      </c>
      <c r="K199" s="230">
        <f>VLOOKUP(H199,名称!A:C,2,0)</f>
        <v>12</v>
      </c>
      <c r="L199" s="229">
        <f t="shared" si="30"/>
        <v>59976</v>
      </c>
      <c r="M199" s="209">
        <f>VLOOKUP(H199,名称!A:E,3,0)</f>
        <v>6</v>
      </c>
      <c r="N199" s="229">
        <f t="shared" si="35"/>
        <v>833</v>
      </c>
      <c r="O199" s="227">
        <v>46147</v>
      </c>
      <c r="P199" s="227">
        <v>46147</v>
      </c>
      <c r="Q199" s="227">
        <v>46147</v>
      </c>
      <c r="R199" s="231" t="s">
        <v>1425</v>
      </c>
      <c r="S199" s="227"/>
      <c r="T199" s="209" t="s">
        <v>1133</v>
      </c>
      <c r="U199" s="209"/>
      <c r="V199" s="209"/>
      <c r="W199" s="227"/>
      <c r="X199" s="209" t="s">
        <v>1248</v>
      </c>
      <c r="Y199" s="209" t="s">
        <v>1228</v>
      </c>
      <c r="Z199" s="232">
        <v>46105</v>
      </c>
      <c r="AA199" s="233">
        <v>46109</v>
      </c>
      <c r="AB199" s="232">
        <v>46123</v>
      </c>
      <c r="AC199" s="209" t="s">
        <v>1318</v>
      </c>
      <c r="AD199" s="209" t="s">
        <v>1228</v>
      </c>
      <c r="AE199" s="209" t="s">
        <v>510</v>
      </c>
      <c r="AF199" s="209" t="s">
        <v>1228</v>
      </c>
      <c r="AG199" s="209" t="s">
        <v>510</v>
      </c>
      <c r="AH199" s="209" t="s">
        <v>1307</v>
      </c>
      <c r="AI199" s="209" t="s">
        <v>1228</v>
      </c>
      <c r="AJ199" s="209" t="s">
        <v>510</v>
      </c>
      <c r="AK199" s="209" t="s">
        <v>1133</v>
      </c>
      <c r="AL199" s="209"/>
      <c r="AM199" s="209"/>
      <c r="AN199" s="229" t="s">
        <v>1251</v>
      </c>
      <c r="AO199" s="234">
        <v>2.02</v>
      </c>
      <c r="AP199" s="235">
        <f t="shared" si="36"/>
        <v>10095.96</v>
      </c>
      <c r="AQ199" s="235">
        <f t="shared" si="37"/>
        <v>78243.69</v>
      </c>
      <c r="AR199" s="217">
        <v>61124</v>
      </c>
      <c r="AS199" s="208">
        <v>46157</v>
      </c>
      <c r="AT199" s="227" t="s">
        <v>1220</v>
      </c>
      <c r="AU199" s="221">
        <f>3624+1374</f>
        <v>4998</v>
      </c>
      <c r="AV199" s="236">
        <f t="shared" si="31"/>
        <v>0</v>
      </c>
      <c r="AW199" s="236"/>
      <c r="AX199" s="227" t="s">
        <v>1280</v>
      </c>
      <c r="AY199" s="227"/>
      <c r="AZ199" s="227"/>
      <c r="BA199" s="227"/>
      <c r="BB199" s="208" t="str">
        <f t="shared" si="32"/>
        <v>Toysmith</v>
      </c>
      <c r="BC199" s="208" t="str">
        <f t="shared" si="33"/>
        <v>美国</v>
      </c>
    </row>
    <row r="200" s="195" customFormat="1" customHeight="1" spans="1:55">
      <c r="A200" s="227">
        <v>46093</v>
      </c>
      <c r="B200" s="208" t="str">
        <f ca="1" t="shared" si="34"/>
        <v/>
      </c>
      <c r="C200" s="209" t="str">
        <f>VLOOKUP(H200,名称!A:E,4,0)</f>
        <v>三代</v>
      </c>
      <c r="D200" s="228" t="s">
        <v>1444</v>
      </c>
      <c r="E200" s="228" t="s">
        <v>1224</v>
      </c>
      <c r="F200" s="209" t="s">
        <v>547</v>
      </c>
      <c r="G200" s="209" t="s">
        <v>548</v>
      </c>
      <c r="H200" s="209" t="s">
        <v>68</v>
      </c>
      <c r="I200" s="209"/>
      <c r="J200" s="229">
        <v>2000</v>
      </c>
      <c r="K200" s="230">
        <f>VLOOKUP(H200,名称!A:C,2,0)</f>
        <v>32</v>
      </c>
      <c r="L200" s="229">
        <f t="shared" si="30"/>
        <v>64000</v>
      </c>
      <c r="M200" s="209">
        <f>VLOOKUP(H200,名称!A:E,3,0)</f>
        <v>4</v>
      </c>
      <c r="N200" s="229">
        <f t="shared" si="35"/>
        <v>500</v>
      </c>
      <c r="O200" s="227">
        <v>46147</v>
      </c>
      <c r="P200" s="227">
        <v>46147</v>
      </c>
      <c r="Q200" s="227">
        <v>46147</v>
      </c>
      <c r="R200" s="231" t="s">
        <v>1241</v>
      </c>
      <c r="S200" s="227"/>
      <c r="T200" s="237" t="s">
        <v>1133</v>
      </c>
      <c r="U200" s="237"/>
      <c r="V200" s="209"/>
      <c r="W200" s="227"/>
      <c r="X200" s="209" t="s">
        <v>1248</v>
      </c>
      <c r="Y200" s="209" t="s">
        <v>1228</v>
      </c>
      <c r="Z200" s="232">
        <v>46105</v>
      </c>
      <c r="AA200" s="233">
        <v>46109</v>
      </c>
      <c r="AB200" s="232">
        <v>46123</v>
      </c>
      <c r="AC200" s="209" t="s">
        <v>1133</v>
      </c>
      <c r="AD200" s="209" t="s">
        <v>1133</v>
      </c>
      <c r="AE200" s="209" t="s">
        <v>510</v>
      </c>
      <c r="AF200" s="209" t="s">
        <v>1228</v>
      </c>
      <c r="AG200" s="209" t="s">
        <v>510</v>
      </c>
      <c r="AH200" s="209" t="s">
        <v>1307</v>
      </c>
      <c r="AI200" s="209" t="s">
        <v>1228</v>
      </c>
      <c r="AJ200" s="209" t="s">
        <v>1133</v>
      </c>
      <c r="AK200" s="209" t="s">
        <v>1133</v>
      </c>
      <c r="AL200" s="209"/>
      <c r="AM200" s="209"/>
      <c r="AN200" s="229" t="s">
        <v>1251</v>
      </c>
      <c r="AO200" s="215">
        <v>3.09</v>
      </c>
      <c r="AP200" s="235">
        <f t="shared" si="36"/>
        <v>6180</v>
      </c>
      <c r="AQ200" s="235">
        <f t="shared" si="37"/>
        <v>47895</v>
      </c>
      <c r="AR200" s="224" t="s">
        <v>1666</v>
      </c>
      <c r="AS200" s="208">
        <v>46157</v>
      </c>
      <c r="AT200" s="227" t="s">
        <v>1220</v>
      </c>
      <c r="AU200" s="221">
        <v>2000</v>
      </c>
      <c r="AV200" s="236">
        <f t="shared" si="31"/>
        <v>0</v>
      </c>
      <c r="AW200" s="236"/>
      <c r="AX200" s="227"/>
      <c r="AY200" s="227"/>
      <c r="AZ200" s="227"/>
      <c r="BA200" s="227"/>
      <c r="BB200" s="208" t="str">
        <f t="shared" si="32"/>
        <v>Toysmith</v>
      </c>
      <c r="BC200" s="208" t="str">
        <f t="shared" si="33"/>
        <v>美国</v>
      </c>
    </row>
    <row r="201" s="195" customFormat="1" customHeight="1" spans="1:55">
      <c r="A201" s="227">
        <v>46093</v>
      </c>
      <c r="B201" s="208" t="str">
        <f ca="1" t="shared" si="34"/>
        <v/>
      </c>
      <c r="C201" s="209" t="str">
        <f>VLOOKUP(H201,名称!A:E,4,0)</f>
        <v>三代</v>
      </c>
      <c r="D201" s="228" t="s">
        <v>1444</v>
      </c>
      <c r="E201" s="228" t="s">
        <v>1224</v>
      </c>
      <c r="F201" s="209" t="s">
        <v>547</v>
      </c>
      <c r="G201" s="209" t="s">
        <v>548</v>
      </c>
      <c r="H201" s="209" t="s">
        <v>72</v>
      </c>
      <c r="I201" s="209"/>
      <c r="J201" s="229">
        <v>3000</v>
      </c>
      <c r="K201" s="230">
        <f>VLOOKUP(H201,名称!A:C,2,0)</f>
        <v>12</v>
      </c>
      <c r="L201" s="229">
        <f t="shared" si="30"/>
        <v>36000</v>
      </c>
      <c r="M201" s="209">
        <f>VLOOKUP(H201,名称!A:E,3,0)</f>
        <v>12</v>
      </c>
      <c r="N201" s="229">
        <f t="shared" si="35"/>
        <v>250</v>
      </c>
      <c r="O201" s="227">
        <v>46147</v>
      </c>
      <c r="P201" s="227">
        <v>46147</v>
      </c>
      <c r="Q201" s="227">
        <v>46147</v>
      </c>
      <c r="R201" s="209"/>
      <c r="S201" s="227"/>
      <c r="T201" s="209"/>
      <c r="U201" s="209"/>
      <c r="V201" s="209"/>
      <c r="W201" s="227"/>
      <c r="X201" s="209" t="s">
        <v>1248</v>
      </c>
      <c r="Y201" s="209" t="s">
        <v>1228</v>
      </c>
      <c r="Z201" s="232">
        <v>46105</v>
      </c>
      <c r="AA201" s="233">
        <v>46109</v>
      </c>
      <c r="AB201" s="232">
        <v>46123</v>
      </c>
      <c r="AC201" s="209" t="s">
        <v>1302</v>
      </c>
      <c r="AD201" s="209" t="s">
        <v>1228</v>
      </c>
      <c r="AE201" s="209" t="s">
        <v>510</v>
      </c>
      <c r="AF201" s="209" t="s">
        <v>1228</v>
      </c>
      <c r="AG201" s="209" t="s">
        <v>510</v>
      </c>
      <c r="AH201" s="209" t="s">
        <v>1307</v>
      </c>
      <c r="AI201" s="209" t="s">
        <v>1228</v>
      </c>
      <c r="AJ201" s="209" t="s">
        <v>1133</v>
      </c>
      <c r="AK201" s="209" t="s">
        <v>1133</v>
      </c>
      <c r="AL201" s="209"/>
      <c r="AM201" s="209"/>
      <c r="AN201" s="229" t="s">
        <v>1251</v>
      </c>
      <c r="AO201" s="234">
        <v>1.58</v>
      </c>
      <c r="AP201" s="235">
        <f t="shared" si="36"/>
        <v>4740</v>
      </c>
      <c r="AQ201" s="235">
        <f t="shared" si="37"/>
        <v>36735</v>
      </c>
      <c r="AR201" s="217">
        <v>61124</v>
      </c>
      <c r="AS201" s="208">
        <v>46157</v>
      </c>
      <c r="AT201" s="227" t="s">
        <v>1220</v>
      </c>
      <c r="AU201" s="221">
        <f>2988+12</f>
        <v>3000</v>
      </c>
      <c r="AV201" s="236">
        <f t="shared" si="31"/>
        <v>0</v>
      </c>
      <c r="AW201" s="236"/>
      <c r="AX201" s="227" t="s">
        <v>1280</v>
      </c>
      <c r="AY201" s="227"/>
      <c r="AZ201" s="227"/>
      <c r="BA201" s="227"/>
      <c r="BB201" s="208" t="str">
        <f t="shared" si="32"/>
        <v>Toysmith</v>
      </c>
      <c r="BC201" s="208" t="str">
        <f t="shared" si="33"/>
        <v>美国</v>
      </c>
    </row>
    <row r="202" s="195" customFormat="1" customHeight="1" spans="1:55">
      <c r="A202" s="227">
        <v>46093</v>
      </c>
      <c r="B202" s="208" t="str">
        <f ca="1" t="shared" si="34"/>
        <v/>
      </c>
      <c r="C202" s="209" t="str">
        <f>VLOOKUP(H202,名称!A:E,4,0)</f>
        <v>三代</v>
      </c>
      <c r="D202" s="228" t="s">
        <v>1444</v>
      </c>
      <c r="E202" s="228" t="s">
        <v>1224</v>
      </c>
      <c r="F202" s="209" t="s">
        <v>547</v>
      </c>
      <c r="G202" s="209" t="s">
        <v>548</v>
      </c>
      <c r="H202" s="209" t="s">
        <v>98</v>
      </c>
      <c r="I202" s="209"/>
      <c r="J202" s="229">
        <v>3000</v>
      </c>
      <c r="K202" s="230">
        <f>VLOOKUP(H202,名称!A:C,2,0)</f>
        <v>12</v>
      </c>
      <c r="L202" s="229">
        <f t="shared" si="30"/>
        <v>36000</v>
      </c>
      <c r="M202" s="209">
        <f>VLOOKUP(H202,名称!A:E,3,0)</f>
        <v>12</v>
      </c>
      <c r="N202" s="229">
        <f t="shared" si="35"/>
        <v>250</v>
      </c>
      <c r="O202" s="227">
        <v>46147</v>
      </c>
      <c r="P202" s="227">
        <v>46147</v>
      </c>
      <c r="Q202" s="227">
        <v>46147</v>
      </c>
      <c r="R202" s="209"/>
      <c r="S202" s="227"/>
      <c r="T202" s="209"/>
      <c r="U202" s="209"/>
      <c r="V202" s="209"/>
      <c r="W202" s="227"/>
      <c r="X202" s="209" t="s">
        <v>1248</v>
      </c>
      <c r="Y202" s="209" t="s">
        <v>1228</v>
      </c>
      <c r="Z202" s="232">
        <v>46105</v>
      </c>
      <c r="AA202" s="233">
        <v>46109</v>
      </c>
      <c r="AB202" s="232">
        <v>46123</v>
      </c>
      <c r="AC202" s="209" t="s">
        <v>1302</v>
      </c>
      <c r="AD202" s="209" t="s">
        <v>1228</v>
      </c>
      <c r="AE202" s="209" t="s">
        <v>510</v>
      </c>
      <c r="AF202" s="209" t="s">
        <v>1228</v>
      </c>
      <c r="AG202" s="209" t="s">
        <v>510</v>
      </c>
      <c r="AH202" s="209" t="s">
        <v>1307</v>
      </c>
      <c r="AI202" s="209" t="s">
        <v>1228</v>
      </c>
      <c r="AJ202" s="209" t="s">
        <v>1133</v>
      </c>
      <c r="AK202" s="209" t="s">
        <v>1133</v>
      </c>
      <c r="AL202" s="209"/>
      <c r="AM202" s="209"/>
      <c r="AN202" s="229" t="s">
        <v>1251</v>
      </c>
      <c r="AO202" s="234">
        <v>1.58</v>
      </c>
      <c r="AP202" s="235">
        <f t="shared" si="36"/>
        <v>4740</v>
      </c>
      <c r="AQ202" s="235">
        <f t="shared" si="37"/>
        <v>36735</v>
      </c>
      <c r="AR202" s="217">
        <v>61124</v>
      </c>
      <c r="AS202" s="208">
        <v>46157</v>
      </c>
      <c r="AT202" s="227" t="s">
        <v>1220</v>
      </c>
      <c r="AU202" s="221">
        <v>3000</v>
      </c>
      <c r="AV202" s="236">
        <f t="shared" si="31"/>
        <v>0</v>
      </c>
      <c r="AW202" s="236"/>
      <c r="AX202" s="227" t="s">
        <v>1280</v>
      </c>
      <c r="AY202" s="227"/>
      <c r="AZ202" s="227"/>
      <c r="BA202" s="227"/>
      <c r="BB202" s="208" t="str">
        <f t="shared" si="32"/>
        <v>Toysmith</v>
      </c>
      <c r="BC202" s="208" t="str">
        <f t="shared" si="33"/>
        <v>美国</v>
      </c>
    </row>
    <row r="203" s="195" customFormat="1" customHeight="1" spans="1:55">
      <c r="A203" s="227">
        <v>46093</v>
      </c>
      <c r="B203" s="208" t="str">
        <f ca="1" t="shared" si="34"/>
        <v/>
      </c>
      <c r="C203" s="209" t="str">
        <f>VLOOKUP(H203,名称!A:E,4,0)</f>
        <v>三代</v>
      </c>
      <c r="D203" s="228" t="s">
        <v>1444</v>
      </c>
      <c r="E203" s="228" t="s">
        <v>1224</v>
      </c>
      <c r="F203" s="209" t="s">
        <v>547</v>
      </c>
      <c r="G203" s="209" t="s">
        <v>548</v>
      </c>
      <c r="H203" s="209" t="s">
        <v>112</v>
      </c>
      <c r="I203" s="209"/>
      <c r="J203" s="229">
        <v>600</v>
      </c>
      <c r="K203" s="230">
        <f>VLOOKUP(H203,名称!A:C,2,0)</f>
        <v>50</v>
      </c>
      <c r="L203" s="229">
        <f t="shared" si="30"/>
        <v>30000</v>
      </c>
      <c r="M203" s="209">
        <f>VLOOKUP(H203,名称!A:E,3,0)</f>
        <v>2</v>
      </c>
      <c r="N203" s="229">
        <f t="shared" si="35"/>
        <v>300</v>
      </c>
      <c r="O203" s="227">
        <v>46147</v>
      </c>
      <c r="P203" s="227">
        <v>46158</v>
      </c>
      <c r="Q203" s="227">
        <v>46153</v>
      </c>
      <c r="R203" s="209"/>
      <c r="S203" s="227" t="s">
        <v>1133</v>
      </c>
      <c r="T203" s="237" t="s">
        <v>1133</v>
      </c>
      <c r="U203" s="238"/>
      <c r="V203" s="209"/>
      <c r="W203" s="227"/>
      <c r="X203" s="209" t="s">
        <v>1248</v>
      </c>
      <c r="Y203" s="209" t="s">
        <v>1228</v>
      </c>
      <c r="Z203" s="232">
        <v>46105</v>
      </c>
      <c r="AA203" s="233">
        <v>46109</v>
      </c>
      <c r="AB203" s="232">
        <v>46123</v>
      </c>
      <c r="AC203" s="209" t="s">
        <v>1133</v>
      </c>
      <c r="AD203" s="209" t="s">
        <v>1133</v>
      </c>
      <c r="AE203" s="209" t="s">
        <v>510</v>
      </c>
      <c r="AF203" s="209" t="s">
        <v>1228</v>
      </c>
      <c r="AG203" s="209" t="s">
        <v>510</v>
      </c>
      <c r="AH203" s="209" t="s">
        <v>1133</v>
      </c>
      <c r="AI203" s="209" t="s">
        <v>1228</v>
      </c>
      <c r="AJ203" s="209" t="s">
        <v>1133</v>
      </c>
      <c r="AK203" s="209" t="s">
        <v>1356</v>
      </c>
      <c r="AL203" s="209"/>
      <c r="AM203" s="209"/>
      <c r="AN203" s="229" t="s">
        <v>1251</v>
      </c>
      <c r="AO203" s="234">
        <v>9.12</v>
      </c>
      <c r="AP203" s="235">
        <f t="shared" si="36"/>
        <v>5472</v>
      </c>
      <c r="AQ203" s="235">
        <f t="shared" si="37"/>
        <v>42408</v>
      </c>
      <c r="AR203" s="217">
        <v>61124</v>
      </c>
      <c r="AS203" s="208">
        <v>46157</v>
      </c>
      <c r="AT203" s="227" t="s">
        <v>1220</v>
      </c>
      <c r="AU203" s="221"/>
      <c r="AV203" s="236">
        <f t="shared" si="31"/>
        <v>-600</v>
      </c>
      <c r="AW203" s="236"/>
      <c r="AX203" s="227"/>
      <c r="AY203" s="227"/>
      <c r="AZ203" s="227"/>
      <c r="BA203" s="227"/>
      <c r="BB203" s="208" t="str">
        <f t="shared" si="32"/>
        <v>Toysmith</v>
      </c>
      <c r="BC203" s="208" t="str">
        <f t="shared" si="33"/>
        <v>美国</v>
      </c>
    </row>
    <row r="204" s="195" customFormat="1" customHeight="1" spans="1:55">
      <c r="A204" s="227">
        <v>46093</v>
      </c>
      <c r="B204" s="208" t="str">
        <f ca="1" t="shared" si="34"/>
        <v/>
      </c>
      <c r="C204" s="209" t="str">
        <f>VLOOKUP(H204,名称!A:E,4,0)</f>
        <v>三代</v>
      </c>
      <c r="D204" s="228" t="s">
        <v>1444</v>
      </c>
      <c r="E204" s="228" t="s">
        <v>1224</v>
      </c>
      <c r="F204" s="209" t="s">
        <v>547</v>
      </c>
      <c r="G204" s="209" t="s">
        <v>548</v>
      </c>
      <c r="H204" s="209" t="s">
        <v>85</v>
      </c>
      <c r="I204" s="209"/>
      <c r="J204" s="229">
        <v>9000</v>
      </c>
      <c r="K204" s="230">
        <f>VLOOKUP(H204,名称!A:C,2,0)</f>
        <v>5</v>
      </c>
      <c r="L204" s="229">
        <f t="shared" si="30"/>
        <v>45000</v>
      </c>
      <c r="M204" s="209">
        <f>VLOOKUP(H204,名称!A:E,3,0)</f>
        <v>24</v>
      </c>
      <c r="N204" s="229">
        <f t="shared" si="35"/>
        <v>375</v>
      </c>
      <c r="O204" s="227">
        <v>46147</v>
      </c>
      <c r="P204" s="227">
        <v>46158</v>
      </c>
      <c r="Q204" s="227">
        <v>46154</v>
      </c>
      <c r="R204" s="209"/>
      <c r="S204" s="227" t="s">
        <v>1133</v>
      </c>
      <c r="T204" s="237" t="s">
        <v>1133</v>
      </c>
      <c r="U204" s="209"/>
      <c r="V204" s="209"/>
      <c r="W204" s="227"/>
      <c r="X204" s="209" t="s">
        <v>1248</v>
      </c>
      <c r="Y204" s="209" t="s">
        <v>1228</v>
      </c>
      <c r="Z204" s="232">
        <v>46105</v>
      </c>
      <c r="AA204" s="233">
        <v>46109</v>
      </c>
      <c r="AB204" s="232">
        <v>46123</v>
      </c>
      <c r="AC204" s="209" t="s">
        <v>1133</v>
      </c>
      <c r="AD204" s="209" t="s">
        <v>1133</v>
      </c>
      <c r="AE204" s="209" t="s">
        <v>510</v>
      </c>
      <c r="AF204" s="209" t="s">
        <v>1228</v>
      </c>
      <c r="AG204" s="209" t="s">
        <v>510</v>
      </c>
      <c r="AH204" s="209" t="s">
        <v>1133</v>
      </c>
      <c r="AI204" s="209" t="s">
        <v>1228</v>
      </c>
      <c r="AJ204" s="209" t="s">
        <v>1133</v>
      </c>
      <c r="AK204" s="209" t="s">
        <v>510</v>
      </c>
      <c r="AL204" s="209"/>
      <c r="AM204" s="209"/>
      <c r="AN204" s="229" t="s">
        <v>1251</v>
      </c>
      <c r="AO204" s="234">
        <v>0.88</v>
      </c>
      <c r="AP204" s="235">
        <f t="shared" si="36"/>
        <v>7920</v>
      </c>
      <c r="AQ204" s="235">
        <f t="shared" si="37"/>
        <v>61380</v>
      </c>
      <c r="AR204" s="217">
        <v>61124</v>
      </c>
      <c r="AS204" s="208">
        <v>46157</v>
      </c>
      <c r="AT204" s="227" t="s">
        <v>1220</v>
      </c>
      <c r="AU204" s="221"/>
      <c r="AV204" s="236">
        <f t="shared" si="31"/>
        <v>-9000</v>
      </c>
      <c r="AW204" s="236"/>
      <c r="AX204" s="227" t="s">
        <v>1280</v>
      </c>
      <c r="AY204" s="227"/>
      <c r="AZ204" s="227"/>
      <c r="BA204" s="227"/>
      <c r="BB204" s="208" t="str">
        <f t="shared" si="32"/>
        <v>Toysmith</v>
      </c>
      <c r="BC204" s="208" t="str">
        <f t="shared" si="33"/>
        <v>美国</v>
      </c>
    </row>
    <row r="205" s="194" customFormat="1" customHeight="1" spans="1:55">
      <c r="A205" s="208">
        <v>46038</v>
      </c>
      <c r="B205" s="208" t="str">
        <f ca="1" t="shared" si="34"/>
        <v/>
      </c>
      <c r="C205" s="209" t="str">
        <f>VLOOKUP(H205,名称!A:E,4,0)</f>
        <v>蛋糕</v>
      </c>
      <c r="D205" s="210" t="s">
        <v>1257</v>
      </c>
      <c r="E205" s="210" t="s">
        <v>1258</v>
      </c>
      <c r="F205" s="211" t="s">
        <v>463</v>
      </c>
      <c r="G205" s="211" t="s">
        <v>464</v>
      </c>
      <c r="H205" s="211" t="s">
        <v>52</v>
      </c>
      <c r="I205" s="211"/>
      <c r="J205" s="212">
        <v>12000</v>
      </c>
      <c r="K205" s="230">
        <f>VLOOKUP(H205,名称!A:C,2,0)</f>
        <v>0</v>
      </c>
      <c r="L205" s="229">
        <f t="shared" si="30"/>
        <v>0</v>
      </c>
      <c r="M205" s="211">
        <f>VLOOKUP(H205,名称!A:E,3,0)</f>
        <v>4</v>
      </c>
      <c r="N205" s="212">
        <f t="shared" si="35"/>
        <v>3000</v>
      </c>
      <c r="O205" s="208">
        <v>46127</v>
      </c>
      <c r="P205" s="208">
        <v>46153</v>
      </c>
      <c r="Q205" s="208">
        <v>46153</v>
      </c>
      <c r="R205" s="211" t="s">
        <v>1241</v>
      </c>
      <c r="S205" s="208">
        <v>46153</v>
      </c>
      <c r="T205" s="211" t="s">
        <v>1241</v>
      </c>
      <c r="U205" s="211"/>
      <c r="V205" s="211" t="s">
        <v>1667</v>
      </c>
      <c r="W205" s="208"/>
      <c r="X205" s="211" t="s">
        <v>1133</v>
      </c>
      <c r="Y205" s="211" t="s">
        <v>1133</v>
      </c>
      <c r="Z205" s="213">
        <v>46099</v>
      </c>
      <c r="AA205" s="214">
        <v>46100</v>
      </c>
      <c r="AB205" s="213">
        <v>46108</v>
      </c>
      <c r="AC205" s="211" t="s">
        <v>1133</v>
      </c>
      <c r="AD205" s="211" t="s">
        <v>1133</v>
      </c>
      <c r="AE205" s="211" t="s">
        <v>334</v>
      </c>
      <c r="AF205" s="211" t="s">
        <v>1228</v>
      </c>
      <c r="AG205" s="211" t="s">
        <v>334</v>
      </c>
      <c r="AH205" s="211" t="s">
        <v>1133</v>
      </c>
      <c r="AI205" s="211" t="s">
        <v>1228</v>
      </c>
      <c r="AJ205" s="211" t="s">
        <v>1133</v>
      </c>
      <c r="AK205" s="211" t="s">
        <v>1228</v>
      </c>
      <c r="AL205" s="211"/>
      <c r="AM205" s="211" t="s">
        <v>1520</v>
      </c>
      <c r="AN205" s="212" t="s">
        <v>1668</v>
      </c>
      <c r="AO205" s="215">
        <v>2.76</v>
      </c>
      <c r="AP205" s="216">
        <f t="shared" si="36"/>
        <v>33120</v>
      </c>
      <c r="AQ205" s="216">
        <f t="shared" si="37"/>
        <v>256680</v>
      </c>
      <c r="AR205" s="217">
        <v>61125</v>
      </c>
      <c r="AS205" s="208">
        <v>46157</v>
      </c>
      <c r="AT205" s="208" t="s">
        <v>1220</v>
      </c>
      <c r="AU205" s="208"/>
      <c r="AV205" s="222">
        <f t="shared" si="31"/>
        <v>-12000</v>
      </c>
      <c r="AW205" s="208"/>
      <c r="AX205" s="208"/>
      <c r="AY205" s="208"/>
      <c r="AZ205" s="208"/>
      <c r="BA205" s="208"/>
      <c r="BB205" s="208" t="str">
        <f t="shared" si="32"/>
        <v>Character Options</v>
      </c>
      <c r="BC205" s="208" t="str">
        <f t="shared" si="33"/>
        <v>英国</v>
      </c>
    </row>
    <row r="206" s="195" customFormat="1" customHeight="1" spans="1:55">
      <c r="A206" s="227">
        <v>46077</v>
      </c>
      <c r="B206" s="208" t="str">
        <f ca="1" t="shared" si="34"/>
        <v/>
      </c>
      <c r="C206" s="209" t="str">
        <f>VLOOKUP(H206,名称!A:E,4,0)</f>
        <v>三代</v>
      </c>
      <c r="D206" s="228" t="s">
        <v>1257</v>
      </c>
      <c r="E206" s="228" t="s">
        <v>1258</v>
      </c>
      <c r="F206" s="209"/>
      <c r="G206" s="209" t="s">
        <v>517</v>
      </c>
      <c r="H206" s="209" t="s">
        <v>99</v>
      </c>
      <c r="I206" s="209"/>
      <c r="J206" s="229">
        <v>24000</v>
      </c>
      <c r="K206" s="230">
        <f>VLOOKUP(H206,名称!A:C,2,0)</f>
        <v>7</v>
      </c>
      <c r="L206" s="229">
        <f t="shared" si="30"/>
        <v>168000</v>
      </c>
      <c r="M206" s="209">
        <f>VLOOKUP(H206,名称!A:E,3,0)</f>
        <v>24</v>
      </c>
      <c r="N206" s="229">
        <f t="shared" si="35"/>
        <v>1000</v>
      </c>
      <c r="O206" s="227">
        <v>46139</v>
      </c>
      <c r="P206" s="227">
        <v>46139</v>
      </c>
      <c r="Q206" s="227">
        <v>46140</v>
      </c>
      <c r="R206" s="209" t="s">
        <v>1241</v>
      </c>
      <c r="S206" s="227" t="s">
        <v>1669</v>
      </c>
      <c r="T206" s="231" t="s">
        <v>1241</v>
      </c>
      <c r="U206" s="231"/>
      <c r="V206" s="209"/>
      <c r="W206" s="227"/>
      <c r="X206" s="209" t="s">
        <v>1133</v>
      </c>
      <c r="Y206" s="209" t="s">
        <v>1133</v>
      </c>
      <c r="Z206" s="232">
        <v>46097</v>
      </c>
      <c r="AA206" s="232">
        <v>46097</v>
      </c>
      <c r="AB206" s="232">
        <v>46112</v>
      </c>
      <c r="AC206" s="209" t="s">
        <v>1318</v>
      </c>
      <c r="AD206" s="209" t="s">
        <v>1228</v>
      </c>
      <c r="AE206" s="209" t="s">
        <v>334</v>
      </c>
      <c r="AF206" s="209" t="s">
        <v>1228</v>
      </c>
      <c r="AG206" s="209" t="s">
        <v>812</v>
      </c>
      <c r="AH206" s="209" t="s">
        <v>1361</v>
      </c>
      <c r="AI206" s="209" t="s">
        <v>1228</v>
      </c>
      <c r="AJ206" s="209" t="s">
        <v>1133</v>
      </c>
      <c r="AK206" s="209" t="s">
        <v>1133</v>
      </c>
      <c r="AL206" s="209" t="s">
        <v>1228</v>
      </c>
      <c r="AM206" s="209" t="s">
        <v>1670</v>
      </c>
      <c r="AN206" s="229" t="s">
        <v>1671</v>
      </c>
      <c r="AO206" s="234">
        <v>0.87</v>
      </c>
      <c r="AP206" s="235">
        <f t="shared" si="36"/>
        <v>20880</v>
      </c>
      <c r="AQ206" s="235">
        <f t="shared" si="37"/>
        <v>161820</v>
      </c>
      <c r="AR206" s="217">
        <v>61126</v>
      </c>
      <c r="AS206" s="208">
        <v>46157</v>
      </c>
      <c r="AT206" s="227" t="s">
        <v>1220</v>
      </c>
      <c r="AU206" s="221">
        <v>24000</v>
      </c>
      <c r="AV206" s="236">
        <f t="shared" si="31"/>
        <v>0</v>
      </c>
      <c r="AW206" s="236"/>
      <c r="AX206" s="227" t="s">
        <v>1280</v>
      </c>
      <c r="AY206" s="227"/>
      <c r="AZ206" s="227"/>
      <c r="BA206" s="227"/>
      <c r="BB206" s="208" t="str">
        <f t="shared" si="32"/>
        <v>Character Options</v>
      </c>
      <c r="BC206" s="208" t="str">
        <f t="shared" si="33"/>
        <v>英国</v>
      </c>
    </row>
    <row r="207" s="195" customFormat="1" customHeight="1" spans="1:55">
      <c r="A207" s="227">
        <v>46077</v>
      </c>
      <c r="B207" s="208" t="str">
        <f ca="1" t="shared" si="34"/>
        <v/>
      </c>
      <c r="C207" s="209" t="str">
        <f>VLOOKUP(H207,名称!A:E,4,0)</f>
        <v>三代</v>
      </c>
      <c r="D207" s="228" t="s">
        <v>1257</v>
      </c>
      <c r="E207" s="228" t="s">
        <v>1258</v>
      </c>
      <c r="F207" s="209"/>
      <c r="G207" s="209" t="s">
        <v>517</v>
      </c>
      <c r="H207" s="209" t="s">
        <v>103</v>
      </c>
      <c r="I207" s="209"/>
      <c r="J207" s="229">
        <v>30006</v>
      </c>
      <c r="K207" s="230">
        <f>VLOOKUP(H207,名称!A:C,2,0)</f>
        <v>7</v>
      </c>
      <c r="L207" s="229">
        <f t="shared" si="30"/>
        <v>210042</v>
      </c>
      <c r="M207" s="209">
        <f>VLOOKUP(H207,名称!A:E,3,0)</f>
        <v>9</v>
      </c>
      <c r="N207" s="229">
        <f t="shared" si="35"/>
        <v>3334</v>
      </c>
      <c r="O207" s="227">
        <v>46139</v>
      </c>
      <c r="P207" s="227">
        <v>46139</v>
      </c>
      <c r="Q207" s="227">
        <v>46140</v>
      </c>
      <c r="R207" s="209" t="s">
        <v>1241</v>
      </c>
      <c r="S207" s="227" t="s">
        <v>1669</v>
      </c>
      <c r="T207" s="231" t="s">
        <v>1241</v>
      </c>
      <c r="U207" s="231"/>
      <c r="V207" s="209"/>
      <c r="W207" s="227"/>
      <c r="X207" s="209" t="s">
        <v>1133</v>
      </c>
      <c r="Y207" s="209" t="s">
        <v>1133</v>
      </c>
      <c r="Z207" s="232">
        <v>46097</v>
      </c>
      <c r="AA207" s="232">
        <v>46097</v>
      </c>
      <c r="AB207" s="232">
        <v>46112</v>
      </c>
      <c r="AC207" s="209" t="s">
        <v>1318</v>
      </c>
      <c r="AD207" s="209" t="s">
        <v>1228</v>
      </c>
      <c r="AE207" s="209" t="s">
        <v>334</v>
      </c>
      <c r="AF207" s="209" t="s">
        <v>1228</v>
      </c>
      <c r="AG207" s="209" t="s">
        <v>334</v>
      </c>
      <c r="AH207" s="209" t="s">
        <v>1361</v>
      </c>
      <c r="AI207" s="209" t="s">
        <v>1228</v>
      </c>
      <c r="AJ207" s="209" t="s">
        <v>1133</v>
      </c>
      <c r="AK207" s="209" t="s">
        <v>1133</v>
      </c>
      <c r="AL207" s="209" t="s">
        <v>1228</v>
      </c>
      <c r="AM207" s="209" t="s">
        <v>1670</v>
      </c>
      <c r="AN207" s="229" t="s">
        <v>1671</v>
      </c>
      <c r="AO207" s="234">
        <v>0.85</v>
      </c>
      <c r="AP207" s="235">
        <f t="shared" si="36"/>
        <v>25505.1</v>
      </c>
      <c r="AQ207" s="235">
        <f t="shared" si="37"/>
        <v>197664.53</v>
      </c>
      <c r="AR207" s="217">
        <v>61126</v>
      </c>
      <c r="AS207" s="208">
        <v>46157</v>
      </c>
      <c r="AT207" s="227" t="s">
        <v>1220</v>
      </c>
      <c r="AU207" s="221">
        <v>30006</v>
      </c>
      <c r="AV207" s="236">
        <f t="shared" si="31"/>
        <v>0</v>
      </c>
      <c r="AW207" s="236"/>
      <c r="AX207" s="227" t="s">
        <v>1280</v>
      </c>
      <c r="AY207" s="227"/>
      <c r="AZ207" s="227"/>
      <c r="BA207" s="227"/>
      <c r="BB207" s="208" t="str">
        <f t="shared" si="32"/>
        <v>Character Options</v>
      </c>
      <c r="BC207" s="208" t="str">
        <f t="shared" si="33"/>
        <v>英国</v>
      </c>
    </row>
    <row r="208" s="195" customFormat="1" customHeight="1" spans="1:55">
      <c r="A208" s="227">
        <v>46077</v>
      </c>
      <c r="B208" s="208" t="str">
        <f ca="1" t="shared" si="34"/>
        <v/>
      </c>
      <c r="C208" s="209" t="str">
        <f>VLOOKUP(H208,名称!A:E,4,0)</f>
        <v>三代</v>
      </c>
      <c r="D208" s="228" t="s">
        <v>1257</v>
      </c>
      <c r="E208" s="228" t="s">
        <v>1258</v>
      </c>
      <c r="F208" s="209"/>
      <c r="G208" s="209" t="s">
        <v>517</v>
      </c>
      <c r="H208" s="209" t="s">
        <v>66</v>
      </c>
      <c r="I208" s="209"/>
      <c r="J208" s="229">
        <v>24000</v>
      </c>
      <c r="K208" s="230">
        <f>VLOOKUP(H208,名称!A:C,2,0)</f>
        <v>12</v>
      </c>
      <c r="L208" s="229">
        <f t="shared" si="30"/>
        <v>288000</v>
      </c>
      <c r="M208" s="209">
        <f>VLOOKUP(H208,名称!A:E,3,0)</f>
        <v>6</v>
      </c>
      <c r="N208" s="229">
        <f t="shared" si="35"/>
        <v>4000</v>
      </c>
      <c r="O208" s="227">
        <v>46139</v>
      </c>
      <c r="P208" s="227">
        <v>46139</v>
      </c>
      <c r="Q208" s="227">
        <v>46140</v>
      </c>
      <c r="R208" s="209" t="s">
        <v>1241</v>
      </c>
      <c r="S208" s="227" t="s">
        <v>1669</v>
      </c>
      <c r="T208" s="231" t="s">
        <v>1241</v>
      </c>
      <c r="U208" s="231"/>
      <c r="V208" s="209"/>
      <c r="W208" s="227"/>
      <c r="X208" s="209" t="s">
        <v>1133</v>
      </c>
      <c r="Y208" s="209" t="s">
        <v>1133</v>
      </c>
      <c r="Z208" s="232">
        <v>46097</v>
      </c>
      <c r="AA208" s="232">
        <v>46097</v>
      </c>
      <c r="AB208" s="232">
        <v>46112</v>
      </c>
      <c r="AC208" s="209" t="s">
        <v>1318</v>
      </c>
      <c r="AD208" s="209" t="s">
        <v>1228</v>
      </c>
      <c r="AE208" s="209" t="s">
        <v>334</v>
      </c>
      <c r="AF208" s="209" t="s">
        <v>1228</v>
      </c>
      <c r="AG208" s="209" t="s">
        <v>334</v>
      </c>
      <c r="AH208" s="209" t="s">
        <v>1361</v>
      </c>
      <c r="AI208" s="209" t="s">
        <v>1228</v>
      </c>
      <c r="AJ208" s="209" t="s">
        <v>1422</v>
      </c>
      <c r="AK208" s="209" t="s">
        <v>1133</v>
      </c>
      <c r="AL208" s="209"/>
      <c r="AM208" s="209" t="s">
        <v>1672</v>
      </c>
      <c r="AN208" s="229" t="s">
        <v>1671</v>
      </c>
      <c r="AO208" s="234">
        <v>2.02</v>
      </c>
      <c r="AP208" s="235">
        <f t="shared" si="36"/>
        <v>48480</v>
      </c>
      <c r="AQ208" s="235">
        <f t="shared" si="37"/>
        <v>375720</v>
      </c>
      <c r="AR208" s="217">
        <v>61126</v>
      </c>
      <c r="AS208" s="208">
        <v>46157</v>
      </c>
      <c r="AT208" s="227" t="s">
        <v>1220</v>
      </c>
      <c r="AU208" s="221">
        <f>5760+17400+840</f>
        <v>24000</v>
      </c>
      <c r="AV208" s="236">
        <f t="shared" si="31"/>
        <v>0</v>
      </c>
      <c r="AW208" s="236"/>
      <c r="AX208" s="227" t="s">
        <v>1280</v>
      </c>
      <c r="AY208" s="227"/>
      <c r="AZ208" s="227"/>
      <c r="BA208" s="227"/>
      <c r="BB208" s="208" t="str">
        <f t="shared" si="32"/>
        <v>Character Options</v>
      </c>
      <c r="BC208" s="208" t="str">
        <f t="shared" si="33"/>
        <v>英国</v>
      </c>
    </row>
    <row r="209" s="195" customFormat="1" customHeight="1" spans="1:55">
      <c r="A209" s="227">
        <v>46077</v>
      </c>
      <c r="B209" s="208" t="str">
        <f ca="1" t="shared" si="34"/>
        <v/>
      </c>
      <c r="C209" s="209" t="str">
        <f>VLOOKUP(H209,名称!A:E,4,0)</f>
        <v>三代</v>
      </c>
      <c r="D209" s="228" t="s">
        <v>1257</v>
      </c>
      <c r="E209" s="228" t="s">
        <v>1258</v>
      </c>
      <c r="F209" s="209" t="s">
        <v>513</v>
      </c>
      <c r="G209" s="209" t="s">
        <v>514</v>
      </c>
      <c r="H209" s="209" t="s">
        <v>68</v>
      </c>
      <c r="I209" s="209"/>
      <c r="J209" s="229">
        <v>5000</v>
      </c>
      <c r="K209" s="230">
        <f>VLOOKUP(H209,名称!A:C,2,0)</f>
        <v>32</v>
      </c>
      <c r="L209" s="229">
        <f t="shared" si="30"/>
        <v>160000</v>
      </c>
      <c r="M209" s="209">
        <f>VLOOKUP(H209,名称!A:E,3,0)</f>
        <v>4</v>
      </c>
      <c r="N209" s="229">
        <f t="shared" si="35"/>
        <v>1250</v>
      </c>
      <c r="O209" s="227">
        <v>46139</v>
      </c>
      <c r="P209" s="227">
        <v>46139</v>
      </c>
      <c r="Q209" s="227">
        <v>46136</v>
      </c>
      <c r="R209" s="209" t="s">
        <v>1241</v>
      </c>
      <c r="S209" s="227">
        <v>46149</v>
      </c>
      <c r="T209" s="237" t="s">
        <v>1241</v>
      </c>
      <c r="U209" s="237"/>
      <c r="V209" s="209"/>
      <c r="W209" s="227"/>
      <c r="X209" s="209" t="s">
        <v>1133</v>
      </c>
      <c r="Y209" s="209" t="s">
        <v>1133</v>
      </c>
      <c r="Z209" s="232">
        <v>46097</v>
      </c>
      <c r="AA209" s="233">
        <v>46100</v>
      </c>
      <c r="AB209" s="232">
        <v>46107</v>
      </c>
      <c r="AC209" s="209" t="s">
        <v>1133</v>
      </c>
      <c r="AD209" s="209" t="s">
        <v>1133</v>
      </c>
      <c r="AE209" s="209" t="s">
        <v>334</v>
      </c>
      <c r="AF209" s="209" t="s">
        <v>1228</v>
      </c>
      <c r="AG209" s="209" t="s">
        <v>334</v>
      </c>
      <c r="AH209" s="209" t="s">
        <v>1361</v>
      </c>
      <c r="AI209" s="209" t="s">
        <v>1228</v>
      </c>
      <c r="AJ209" s="209" t="s">
        <v>1133</v>
      </c>
      <c r="AK209" s="209" t="s">
        <v>1133</v>
      </c>
      <c r="AL209" s="209"/>
      <c r="AM209" s="209" t="s">
        <v>1673</v>
      </c>
      <c r="AN209" s="229"/>
      <c r="AO209" s="215">
        <v>3.09</v>
      </c>
      <c r="AP209" s="235">
        <f t="shared" si="36"/>
        <v>15450</v>
      </c>
      <c r="AQ209" s="235">
        <f t="shared" si="37"/>
        <v>119737.5</v>
      </c>
      <c r="AR209" s="224" t="s">
        <v>1674</v>
      </c>
      <c r="AS209" s="208">
        <v>46157</v>
      </c>
      <c r="AT209" s="227" t="s">
        <v>1220</v>
      </c>
      <c r="AU209" s="221">
        <f>1572+3376+52</f>
        <v>5000</v>
      </c>
      <c r="AV209" s="236">
        <f t="shared" si="31"/>
        <v>0</v>
      </c>
      <c r="AW209" s="236"/>
      <c r="AX209" s="227" t="s">
        <v>1280</v>
      </c>
      <c r="AY209" s="227"/>
      <c r="AZ209" s="227"/>
      <c r="BA209" s="227"/>
      <c r="BB209" s="208" t="str">
        <f t="shared" si="32"/>
        <v>Character Options</v>
      </c>
      <c r="BC209" s="208" t="str">
        <f t="shared" si="33"/>
        <v>英国</v>
      </c>
    </row>
    <row r="210" s="194" customFormat="1" customHeight="1" spans="1:55">
      <c r="A210" s="208">
        <v>46077</v>
      </c>
      <c r="B210" s="208"/>
      <c r="C210" s="209" t="str">
        <f>VLOOKUP(H210,名称!A:E,4,0)</f>
        <v>二代</v>
      </c>
      <c r="D210" s="210" t="s">
        <v>1257</v>
      </c>
      <c r="E210" s="210" t="s">
        <v>1258</v>
      </c>
      <c r="F210" s="211" t="s">
        <v>513</v>
      </c>
      <c r="G210" s="211" t="s">
        <v>514</v>
      </c>
      <c r="H210" s="211" t="s">
        <v>82</v>
      </c>
      <c r="I210" s="211"/>
      <c r="J210" s="212">
        <v>6000</v>
      </c>
      <c r="K210" s="223">
        <f>VLOOKUP(H210,名称!A:C,2,0)</f>
        <v>16</v>
      </c>
      <c r="L210" s="223">
        <f>K210*J210</f>
        <v>96000</v>
      </c>
      <c r="M210" s="211">
        <f>VLOOKUP(H210,名称!A:E,3,0)</f>
        <v>6</v>
      </c>
      <c r="N210" s="212">
        <f t="shared" si="35"/>
        <v>1000</v>
      </c>
      <c r="O210" s="208">
        <v>46139</v>
      </c>
      <c r="P210" s="208">
        <v>46139</v>
      </c>
      <c r="Q210" s="208">
        <v>46148</v>
      </c>
      <c r="R210" s="211" t="s">
        <v>1241</v>
      </c>
      <c r="S210" s="208">
        <v>46149</v>
      </c>
      <c r="T210" s="239" t="s">
        <v>1241</v>
      </c>
      <c r="U210" s="211"/>
      <c r="V210" s="211"/>
      <c r="W210" s="208" t="s">
        <v>1651</v>
      </c>
      <c r="X210" s="211" t="s">
        <v>1133</v>
      </c>
      <c r="Y210" s="211" t="s">
        <v>1133</v>
      </c>
      <c r="Z210" s="211" t="s">
        <v>1249</v>
      </c>
      <c r="AA210" s="214">
        <v>46100</v>
      </c>
      <c r="AB210" s="213">
        <v>46107</v>
      </c>
      <c r="AC210" s="211" t="s">
        <v>1302</v>
      </c>
      <c r="AD210" s="211" t="s">
        <v>1133</v>
      </c>
      <c r="AE210" s="211" t="s">
        <v>334</v>
      </c>
      <c r="AF210" s="211" t="s">
        <v>1228</v>
      </c>
      <c r="AG210" s="211" t="s">
        <v>1586</v>
      </c>
      <c r="AH210" s="211" t="s">
        <v>1133</v>
      </c>
      <c r="AI210" s="211" t="s">
        <v>1228</v>
      </c>
      <c r="AJ210" s="211" t="s">
        <v>1133</v>
      </c>
      <c r="AK210" s="211" t="s">
        <v>1133</v>
      </c>
      <c r="AL210" s="211" t="s">
        <v>1228</v>
      </c>
      <c r="AM210" s="211" t="s">
        <v>1675</v>
      </c>
      <c r="AN210" s="212"/>
      <c r="AO210" s="215">
        <v>1.49</v>
      </c>
      <c r="AP210" s="216">
        <f t="shared" si="36"/>
        <v>8940</v>
      </c>
      <c r="AQ210" s="216">
        <f t="shared" si="37"/>
        <v>69285</v>
      </c>
      <c r="AR210" s="217">
        <v>61127</v>
      </c>
      <c r="AS210" s="208">
        <v>46157</v>
      </c>
      <c r="AT210" s="208" t="s">
        <v>1220</v>
      </c>
      <c r="AU210" s="221"/>
      <c r="AV210" s="222"/>
      <c r="AW210" s="208"/>
      <c r="AX210" s="208"/>
      <c r="AY210" s="208"/>
      <c r="AZ210" s="208"/>
      <c r="BA210" s="208"/>
      <c r="BB210" s="208" t="str">
        <f t="shared" si="32"/>
        <v>Character Options</v>
      </c>
      <c r="BC210" s="208" t="str">
        <f t="shared" si="33"/>
        <v>英国</v>
      </c>
    </row>
    <row r="211" s="195" customFormat="1" customHeight="1" spans="1:55">
      <c r="A211" s="227">
        <v>46092</v>
      </c>
      <c r="B211" s="208" t="str">
        <f ca="1" t="shared" ref="B211:B274" si="38">IF(TODAY()-5&gt;=A211,IF(AB211="","异常",""),"")</f>
        <v/>
      </c>
      <c r="C211" s="209" t="str">
        <f>VLOOKUP(H211,名称!A:E,4,0)</f>
        <v>三代</v>
      </c>
      <c r="D211" s="228" t="s">
        <v>1257</v>
      </c>
      <c r="E211" s="228" t="s">
        <v>1258</v>
      </c>
      <c r="F211" s="209" t="s">
        <v>1676</v>
      </c>
      <c r="G211" s="209" t="s">
        <v>545</v>
      </c>
      <c r="H211" s="209" t="s">
        <v>99</v>
      </c>
      <c r="I211" s="209"/>
      <c r="J211" s="229">
        <v>12000</v>
      </c>
      <c r="K211" s="230">
        <f>VLOOKUP(H211,名称!A:C,2,0)</f>
        <v>7</v>
      </c>
      <c r="L211" s="229">
        <f>J211*K211</f>
        <v>84000</v>
      </c>
      <c r="M211" s="209">
        <f>VLOOKUP(H211,名称!A:E,3,0)</f>
        <v>24</v>
      </c>
      <c r="N211" s="229">
        <f t="shared" si="35"/>
        <v>500</v>
      </c>
      <c r="O211" s="227">
        <v>46150</v>
      </c>
      <c r="P211" s="227">
        <v>46150</v>
      </c>
      <c r="Q211" s="227">
        <v>46150</v>
      </c>
      <c r="R211" s="209"/>
      <c r="S211" s="227">
        <v>46153</v>
      </c>
      <c r="T211" s="209"/>
      <c r="U211" s="209"/>
      <c r="V211" s="209"/>
      <c r="W211" s="227"/>
      <c r="X211" s="209" t="s">
        <v>1133</v>
      </c>
      <c r="Y211" s="209" t="s">
        <v>1133</v>
      </c>
      <c r="Z211" s="232">
        <v>46092</v>
      </c>
      <c r="AA211" s="233">
        <v>46105</v>
      </c>
      <c r="AB211" s="232">
        <v>46114</v>
      </c>
      <c r="AC211" s="209" t="s">
        <v>1318</v>
      </c>
      <c r="AD211" s="209" t="s">
        <v>1228</v>
      </c>
      <c r="AE211" s="209" t="s">
        <v>334</v>
      </c>
      <c r="AF211" s="209" t="s">
        <v>1228</v>
      </c>
      <c r="AG211" s="209" t="s">
        <v>812</v>
      </c>
      <c r="AH211" s="209" t="s">
        <v>1361</v>
      </c>
      <c r="AI211" s="209" t="s">
        <v>1228</v>
      </c>
      <c r="AJ211" s="209" t="s">
        <v>1133</v>
      </c>
      <c r="AK211" s="209" t="s">
        <v>1133</v>
      </c>
      <c r="AL211" s="209" t="s">
        <v>1228</v>
      </c>
      <c r="AM211" s="209" t="s">
        <v>1677</v>
      </c>
      <c r="AN211" s="229"/>
      <c r="AO211" s="234">
        <v>0.87</v>
      </c>
      <c r="AP211" s="235">
        <f t="shared" si="36"/>
        <v>10440</v>
      </c>
      <c r="AQ211" s="235">
        <f t="shared" si="37"/>
        <v>80910</v>
      </c>
      <c r="AR211" s="217">
        <v>61128</v>
      </c>
      <c r="AS211" s="208">
        <v>46157</v>
      </c>
      <c r="AT211" s="227" t="s">
        <v>1220</v>
      </c>
      <c r="AU211" s="221">
        <v>12000</v>
      </c>
      <c r="AV211" s="236">
        <f>AU211-J211</f>
        <v>0</v>
      </c>
      <c r="AW211" s="236"/>
      <c r="AX211" s="227" t="s">
        <v>1280</v>
      </c>
      <c r="AY211" s="227"/>
      <c r="AZ211" s="227"/>
      <c r="BA211" s="227"/>
      <c r="BB211" s="208" t="str">
        <f t="shared" si="32"/>
        <v>Character Options</v>
      </c>
      <c r="BC211" s="208" t="str">
        <f t="shared" si="33"/>
        <v>英国</v>
      </c>
    </row>
    <row r="212" s="195" customFormat="1" customHeight="1" spans="1:55">
      <c r="A212" s="227">
        <v>46092</v>
      </c>
      <c r="B212" s="208" t="str">
        <f ca="1" t="shared" si="38"/>
        <v/>
      </c>
      <c r="C212" s="209" t="str">
        <f>VLOOKUP(H212,名称!A:E,4,0)</f>
        <v>三代</v>
      </c>
      <c r="D212" s="228" t="s">
        <v>1257</v>
      </c>
      <c r="E212" s="228" t="s">
        <v>1258</v>
      </c>
      <c r="F212" s="209" t="s">
        <v>1676</v>
      </c>
      <c r="G212" s="209" t="s">
        <v>545</v>
      </c>
      <c r="H212" s="209" t="s">
        <v>103</v>
      </c>
      <c r="I212" s="209"/>
      <c r="J212" s="229">
        <v>12006</v>
      </c>
      <c r="K212" s="230">
        <f>VLOOKUP(H212,名称!A:C,2,0)</f>
        <v>7</v>
      </c>
      <c r="L212" s="229">
        <f>J212*K212</f>
        <v>84042</v>
      </c>
      <c r="M212" s="209">
        <f>VLOOKUP(H212,名称!A:E,3,0)</f>
        <v>9</v>
      </c>
      <c r="N212" s="229">
        <f t="shared" si="35"/>
        <v>1334</v>
      </c>
      <c r="O212" s="227">
        <v>46150</v>
      </c>
      <c r="P212" s="227">
        <v>46150</v>
      </c>
      <c r="Q212" s="227">
        <v>46150</v>
      </c>
      <c r="R212" s="209"/>
      <c r="S212" s="227">
        <v>46153</v>
      </c>
      <c r="T212" s="209"/>
      <c r="U212" s="209"/>
      <c r="V212" s="209"/>
      <c r="W212" s="227"/>
      <c r="X212" s="209" t="s">
        <v>1133</v>
      </c>
      <c r="Y212" s="209" t="s">
        <v>1133</v>
      </c>
      <c r="Z212" s="232">
        <v>46092</v>
      </c>
      <c r="AA212" s="233">
        <v>46105</v>
      </c>
      <c r="AB212" s="232">
        <v>46114</v>
      </c>
      <c r="AC212" s="209" t="s">
        <v>1318</v>
      </c>
      <c r="AD212" s="209" t="s">
        <v>1228</v>
      </c>
      <c r="AE212" s="209" t="s">
        <v>334</v>
      </c>
      <c r="AF212" s="209" t="s">
        <v>1228</v>
      </c>
      <c r="AG212" s="209" t="s">
        <v>334</v>
      </c>
      <c r="AH212" s="209" t="s">
        <v>1361</v>
      </c>
      <c r="AI212" s="209" t="s">
        <v>1228</v>
      </c>
      <c r="AJ212" s="209" t="s">
        <v>1133</v>
      </c>
      <c r="AK212" s="209" t="s">
        <v>1133</v>
      </c>
      <c r="AL212" s="209" t="s">
        <v>1228</v>
      </c>
      <c r="AM212" s="209" t="s">
        <v>1677</v>
      </c>
      <c r="AN212" s="229" t="s">
        <v>1678</v>
      </c>
      <c r="AO212" s="234">
        <v>0.85</v>
      </c>
      <c r="AP212" s="235">
        <f t="shared" si="36"/>
        <v>10205.1</v>
      </c>
      <c r="AQ212" s="235">
        <f t="shared" si="37"/>
        <v>79089.53</v>
      </c>
      <c r="AR212" s="217">
        <v>61128</v>
      </c>
      <c r="AS212" s="208">
        <v>46157</v>
      </c>
      <c r="AT212" s="227" t="s">
        <v>1220</v>
      </c>
      <c r="AU212" s="221">
        <f>11061+945</f>
        <v>12006</v>
      </c>
      <c r="AV212" s="236">
        <f>AU212-J212</f>
        <v>0</v>
      </c>
      <c r="AW212" s="236"/>
      <c r="AX212" s="227" t="s">
        <v>1280</v>
      </c>
      <c r="AY212" s="227"/>
      <c r="AZ212" s="227"/>
      <c r="BA212" s="227"/>
      <c r="BB212" s="208" t="str">
        <f t="shared" si="32"/>
        <v>Character Options</v>
      </c>
      <c r="BC212" s="208" t="str">
        <f t="shared" si="33"/>
        <v>英国</v>
      </c>
    </row>
    <row r="213" s="195" customFormat="1" customHeight="1" spans="1:55">
      <c r="A213" s="227">
        <v>46092</v>
      </c>
      <c r="B213" s="208" t="str">
        <f ca="1" t="shared" si="38"/>
        <v/>
      </c>
      <c r="C213" s="209" t="str">
        <f>VLOOKUP(H213,名称!A:E,4,0)</f>
        <v>三代</v>
      </c>
      <c r="D213" s="228" t="s">
        <v>1257</v>
      </c>
      <c r="E213" s="228" t="s">
        <v>1258</v>
      </c>
      <c r="F213" s="209" t="s">
        <v>1676</v>
      </c>
      <c r="G213" s="209" t="s">
        <v>545</v>
      </c>
      <c r="H213" s="209" t="s">
        <v>66</v>
      </c>
      <c r="I213" s="209"/>
      <c r="J213" s="229">
        <v>11100</v>
      </c>
      <c r="K213" s="230">
        <f>VLOOKUP(H213,名称!A:C,2,0)</f>
        <v>12</v>
      </c>
      <c r="L213" s="229">
        <f>J213*K213</f>
        <v>133200</v>
      </c>
      <c r="M213" s="209">
        <f>VLOOKUP(H213,名称!A:E,3,0)</f>
        <v>6</v>
      </c>
      <c r="N213" s="229">
        <f t="shared" si="35"/>
        <v>1850</v>
      </c>
      <c r="O213" s="227">
        <v>46150</v>
      </c>
      <c r="P213" s="227">
        <v>46150</v>
      </c>
      <c r="Q213" s="227">
        <v>46150</v>
      </c>
      <c r="R213" s="209" t="s">
        <v>1425</v>
      </c>
      <c r="S213" s="227">
        <v>46153</v>
      </c>
      <c r="T213" s="209"/>
      <c r="U213" s="209"/>
      <c r="V213" s="209"/>
      <c r="W213" s="227"/>
      <c r="X213" s="209" t="s">
        <v>1133</v>
      </c>
      <c r="Y213" s="209" t="s">
        <v>1133</v>
      </c>
      <c r="Z213" s="232">
        <v>46092</v>
      </c>
      <c r="AA213" s="233">
        <v>46105</v>
      </c>
      <c r="AB213" s="232">
        <v>46114</v>
      </c>
      <c r="AC213" s="209" t="s">
        <v>1318</v>
      </c>
      <c r="AD213" s="209" t="s">
        <v>1228</v>
      </c>
      <c r="AE213" s="209" t="s">
        <v>334</v>
      </c>
      <c r="AF213" s="209" t="s">
        <v>1228</v>
      </c>
      <c r="AG213" s="209" t="s">
        <v>334</v>
      </c>
      <c r="AH213" s="209" t="s">
        <v>1361</v>
      </c>
      <c r="AI213" s="209" t="s">
        <v>1228</v>
      </c>
      <c r="AJ213" s="209" t="s">
        <v>1422</v>
      </c>
      <c r="AK213" s="209" t="s">
        <v>1133</v>
      </c>
      <c r="AL213" s="209"/>
      <c r="AM213" s="209" t="s">
        <v>1679</v>
      </c>
      <c r="AN213" s="229" t="s">
        <v>1680</v>
      </c>
      <c r="AO213" s="234">
        <v>2.02</v>
      </c>
      <c r="AP213" s="235">
        <f t="shared" si="36"/>
        <v>22422</v>
      </c>
      <c r="AQ213" s="235">
        <f t="shared" si="37"/>
        <v>173770.5</v>
      </c>
      <c r="AR213" s="217">
        <v>61128</v>
      </c>
      <c r="AS213" s="208">
        <v>46157</v>
      </c>
      <c r="AT213" s="227" t="s">
        <v>1220</v>
      </c>
      <c r="AU213" s="221">
        <f>5250+6444+288+18</f>
        <v>12000</v>
      </c>
      <c r="AV213" s="236">
        <f>AU213-J213</f>
        <v>900</v>
      </c>
      <c r="AW213" s="236"/>
      <c r="AX213" s="227" t="s">
        <v>1280</v>
      </c>
      <c r="AY213" s="227"/>
      <c r="AZ213" s="227"/>
      <c r="BA213" s="227"/>
      <c r="BB213" s="208" t="str">
        <f t="shared" si="32"/>
        <v>Character Options</v>
      </c>
      <c r="BC213" s="208" t="str">
        <f t="shared" si="33"/>
        <v>英国</v>
      </c>
    </row>
    <row r="214" s="195" customFormat="1" customHeight="1" spans="1:55">
      <c r="A214" s="227">
        <v>46092</v>
      </c>
      <c r="B214" s="208" t="str">
        <f ca="1" t="shared" si="38"/>
        <v/>
      </c>
      <c r="C214" s="209" t="str">
        <f>VLOOKUP(H214,名称!A:E,4,0)</f>
        <v>三代</v>
      </c>
      <c r="D214" s="228" t="s">
        <v>1257</v>
      </c>
      <c r="E214" s="228" t="s">
        <v>1258</v>
      </c>
      <c r="F214" s="209" t="s">
        <v>1676</v>
      </c>
      <c r="G214" s="209" t="s">
        <v>545</v>
      </c>
      <c r="H214" s="209" t="s">
        <v>68</v>
      </c>
      <c r="I214" s="209"/>
      <c r="J214" s="229">
        <v>10000</v>
      </c>
      <c r="K214" s="230">
        <f>VLOOKUP(H214,名称!A:C,2,0)</f>
        <v>32</v>
      </c>
      <c r="L214" s="229">
        <f>J214*K214</f>
        <v>320000</v>
      </c>
      <c r="M214" s="209">
        <f>VLOOKUP(H214,名称!A:E,3,0)</f>
        <v>4</v>
      </c>
      <c r="N214" s="229">
        <f t="shared" si="35"/>
        <v>2500</v>
      </c>
      <c r="O214" s="227">
        <v>46150</v>
      </c>
      <c r="P214" s="227">
        <v>46150</v>
      </c>
      <c r="Q214" s="227">
        <v>46150</v>
      </c>
      <c r="R214" s="209" t="s">
        <v>1241</v>
      </c>
      <c r="S214" s="227">
        <v>46153</v>
      </c>
      <c r="T214" s="209"/>
      <c r="U214" s="209"/>
      <c r="V214" s="209"/>
      <c r="W214" s="227"/>
      <c r="X214" s="209" t="s">
        <v>1133</v>
      </c>
      <c r="Y214" s="209" t="s">
        <v>1133</v>
      </c>
      <c r="Z214" s="232">
        <v>46092</v>
      </c>
      <c r="AA214" s="233">
        <v>46105</v>
      </c>
      <c r="AB214" s="232">
        <v>46114</v>
      </c>
      <c r="AC214" s="209" t="s">
        <v>1133</v>
      </c>
      <c r="AD214" s="209" t="s">
        <v>1133</v>
      </c>
      <c r="AE214" s="209" t="s">
        <v>334</v>
      </c>
      <c r="AF214" s="209" t="s">
        <v>1228</v>
      </c>
      <c r="AG214" s="209" t="s">
        <v>334</v>
      </c>
      <c r="AH214" s="209" t="s">
        <v>1361</v>
      </c>
      <c r="AI214" s="209" t="s">
        <v>1228</v>
      </c>
      <c r="AJ214" s="209" t="s">
        <v>1133</v>
      </c>
      <c r="AK214" s="209" t="s">
        <v>1133</v>
      </c>
      <c r="AL214" s="209"/>
      <c r="AM214" s="209" t="s">
        <v>1681</v>
      </c>
      <c r="AN214" s="229"/>
      <c r="AO214" s="215">
        <v>3.09</v>
      </c>
      <c r="AP214" s="235">
        <f t="shared" si="36"/>
        <v>30900</v>
      </c>
      <c r="AQ214" s="235">
        <f t="shared" si="37"/>
        <v>239475</v>
      </c>
      <c r="AR214" s="224" t="s">
        <v>1682</v>
      </c>
      <c r="AS214" s="208">
        <v>46157</v>
      </c>
      <c r="AT214" s="227" t="s">
        <v>1220</v>
      </c>
      <c r="AU214" s="221">
        <v>10000</v>
      </c>
      <c r="AV214" s="236">
        <f>AU214-J214</f>
        <v>0</v>
      </c>
      <c r="AW214" s="236"/>
      <c r="AX214" s="227" t="s">
        <v>1280</v>
      </c>
      <c r="AY214" s="227"/>
      <c r="AZ214" s="227"/>
      <c r="BA214" s="227"/>
      <c r="BB214" s="208" t="str">
        <f t="shared" si="32"/>
        <v>Character Options</v>
      </c>
      <c r="BC214" s="208" t="str">
        <f t="shared" si="33"/>
        <v>英国</v>
      </c>
    </row>
    <row r="215" s="194" customFormat="1" customHeight="1" spans="1:55">
      <c r="A215" s="208">
        <v>46092</v>
      </c>
      <c r="B215" s="208" t="str">
        <f ca="1" t="shared" si="38"/>
        <v/>
      </c>
      <c r="C215" s="209" t="str">
        <f>VLOOKUP(H215,名称!A:E,4,0)</f>
        <v>二代</v>
      </c>
      <c r="D215" s="210" t="s">
        <v>1257</v>
      </c>
      <c r="E215" s="210" t="s">
        <v>1258</v>
      </c>
      <c r="F215" s="211"/>
      <c r="G215" s="211" t="s">
        <v>545</v>
      </c>
      <c r="H215" s="211" t="s">
        <v>82</v>
      </c>
      <c r="I215" s="211"/>
      <c r="J215" s="212">
        <v>9000</v>
      </c>
      <c r="K215" s="223">
        <f>VLOOKUP(H215,名称!A:C,2,0)</f>
        <v>16</v>
      </c>
      <c r="L215" s="223">
        <f>K215*J215</f>
        <v>144000</v>
      </c>
      <c r="M215" s="211">
        <f>VLOOKUP(H215,名称!A:E,3,0)</f>
        <v>6</v>
      </c>
      <c r="N215" s="212">
        <f t="shared" si="35"/>
        <v>1500</v>
      </c>
      <c r="O215" s="208">
        <v>46150</v>
      </c>
      <c r="P215" s="208">
        <v>46150</v>
      </c>
      <c r="Q215" s="208">
        <v>46153</v>
      </c>
      <c r="R215" s="211"/>
      <c r="S215" s="208">
        <v>46153</v>
      </c>
      <c r="T215" s="211"/>
      <c r="U215" s="211"/>
      <c r="V215" s="211"/>
      <c r="W215" s="208" t="s">
        <v>1651</v>
      </c>
      <c r="X215" s="211" t="s">
        <v>1133</v>
      </c>
      <c r="Y215" s="211" t="s">
        <v>1133</v>
      </c>
      <c r="Z215" s="211" t="s">
        <v>1249</v>
      </c>
      <c r="AA215" s="214">
        <v>46105</v>
      </c>
      <c r="AB215" s="213">
        <v>46114</v>
      </c>
      <c r="AC215" s="211" t="s">
        <v>1302</v>
      </c>
      <c r="AD215" s="211" t="s">
        <v>1133</v>
      </c>
      <c r="AE215" s="211" t="s">
        <v>334</v>
      </c>
      <c r="AF215" s="211" t="s">
        <v>1228</v>
      </c>
      <c r="AG215" s="211" t="s">
        <v>1586</v>
      </c>
      <c r="AH215" s="211" t="s">
        <v>1133</v>
      </c>
      <c r="AI215" s="211" t="s">
        <v>1228</v>
      </c>
      <c r="AJ215" s="211" t="s">
        <v>1133</v>
      </c>
      <c r="AK215" s="211" t="s">
        <v>1133</v>
      </c>
      <c r="AL215" s="211" t="s">
        <v>1228</v>
      </c>
      <c r="AM215" s="211" t="s">
        <v>1683</v>
      </c>
      <c r="AN215" s="212"/>
      <c r="AO215" s="215">
        <v>1.49</v>
      </c>
      <c r="AP215" s="216">
        <f t="shared" si="36"/>
        <v>13410</v>
      </c>
      <c r="AQ215" s="216">
        <f t="shared" si="37"/>
        <v>103927.5</v>
      </c>
      <c r="AR215" s="217">
        <v>61128</v>
      </c>
      <c r="AS215" s="208">
        <v>46157</v>
      </c>
      <c r="AT215" s="208" t="s">
        <v>1220</v>
      </c>
      <c r="AU215" s="221"/>
      <c r="AV215" s="222"/>
      <c r="AW215" s="208"/>
      <c r="AX215" s="208"/>
      <c r="AY215" s="208"/>
      <c r="AZ215" s="208"/>
      <c r="BA215" s="208"/>
      <c r="BB215" s="208" t="str">
        <f t="shared" si="32"/>
        <v>Character Options</v>
      </c>
      <c r="BC215" s="208" t="str">
        <f t="shared" si="33"/>
        <v>英国</v>
      </c>
    </row>
    <row r="216" s="195" customFormat="1" customHeight="1" spans="1:55">
      <c r="A216" s="227">
        <v>46092</v>
      </c>
      <c r="B216" s="208" t="str">
        <f ca="1" t="shared" si="38"/>
        <v/>
      </c>
      <c r="C216" s="209" t="str">
        <f>VLOOKUP(H216,名称!A:E,4,0)</f>
        <v>三代</v>
      </c>
      <c r="D216" s="228" t="s">
        <v>1257</v>
      </c>
      <c r="E216" s="228" t="s">
        <v>1258</v>
      </c>
      <c r="F216" s="209" t="s">
        <v>1676</v>
      </c>
      <c r="G216" s="209" t="s">
        <v>545</v>
      </c>
      <c r="H216" s="209" t="s">
        <v>115</v>
      </c>
      <c r="I216" s="209"/>
      <c r="J216" s="229">
        <v>6003</v>
      </c>
      <c r="K216" s="230">
        <f>VLOOKUP(H216,名称!A:C,2,0)</f>
        <v>7</v>
      </c>
      <c r="L216" s="229">
        <f>J216*K216</f>
        <v>42021</v>
      </c>
      <c r="M216" s="209">
        <f>VLOOKUP(H216,名称!A:E,3,0)</f>
        <v>9</v>
      </c>
      <c r="N216" s="229">
        <f t="shared" si="35"/>
        <v>667</v>
      </c>
      <c r="O216" s="227">
        <v>46150</v>
      </c>
      <c r="P216" s="227">
        <v>46150</v>
      </c>
      <c r="Q216" s="227">
        <v>46150</v>
      </c>
      <c r="R216" s="209" t="s">
        <v>1291</v>
      </c>
      <c r="S216" s="227">
        <v>46153</v>
      </c>
      <c r="T216" s="209" t="s">
        <v>1241</v>
      </c>
      <c r="U216" s="209"/>
      <c r="V216" s="209"/>
      <c r="W216" s="227"/>
      <c r="X216" s="209" t="s">
        <v>1133</v>
      </c>
      <c r="Y216" s="209" t="s">
        <v>1133</v>
      </c>
      <c r="Z216" s="232">
        <v>46092</v>
      </c>
      <c r="AA216" s="233">
        <v>46105</v>
      </c>
      <c r="AB216" s="232">
        <v>46114</v>
      </c>
      <c r="AC216" s="209" t="s">
        <v>1318</v>
      </c>
      <c r="AD216" s="209" t="s">
        <v>1228</v>
      </c>
      <c r="AE216" s="209" t="s">
        <v>334</v>
      </c>
      <c r="AF216" s="209" t="s">
        <v>1228</v>
      </c>
      <c r="AG216" s="209" t="s">
        <v>334</v>
      </c>
      <c r="AH216" s="209" t="s">
        <v>1361</v>
      </c>
      <c r="AI216" s="209" t="s">
        <v>1228</v>
      </c>
      <c r="AJ216" s="209" t="s">
        <v>1133</v>
      </c>
      <c r="AK216" s="209" t="s">
        <v>1133</v>
      </c>
      <c r="AL216" s="209"/>
      <c r="AM216" s="209" t="s">
        <v>1363</v>
      </c>
      <c r="AN216" s="229"/>
      <c r="AO216" s="215">
        <v>0.9</v>
      </c>
      <c r="AP216" s="235">
        <f t="shared" si="36"/>
        <v>5402.7</v>
      </c>
      <c r="AQ216" s="235">
        <f t="shared" si="37"/>
        <v>41870.93</v>
      </c>
      <c r="AR216" s="217">
        <v>61130</v>
      </c>
      <c r="AS216" s="208">
        <v>46163</v>
      </c>
      <c r="AT216" s="227" t="s">
        <v>1220</v>
      </c>
      <c r="AU216" s="240">
        <v>6003</v>
      </c>
      <c r="AV216" s="236">
        <f>AU216-J216</f>
        <v>0</v>
      </c>
      <c r="AW216" s="236"/>
      <c r="AX216" s="227" t="s">
        <v>1280</v>
      </c>
      <c r="AY216" s="227"/>
      <c r="AZ216" s="227"/>
      <c r="BA216" s="227"/>
      <c r="BB216" s="208" t="str">
        <f t="shared" si="32"/>
        <v>Character Options</v>
      </c>
      <c r="BC216" s="208" t="str">
        <f t="shared" si="33"/>
        <v>英国</v>
      </c>
    </row>
    <row r="217" s="195" customFormat="1" customHeight="1" spans="1:55">
      <c r="A217" s="227">
        <v>46092</v>
      </c>
      <c r="B217" s="208" t="str">
        <f ca="1" t="shared" si="38"/>
        <v/>
      </c>
      <c r="C217" s="209" t="str">
        <f>VLOOKUP(H217,名称!A:E,4,0)</f>
        <v>三代</v>
      </c>
      <c r="D217" s="228" t="s">
        <v>1257</v>
      </c>
      <c r="E217" s="228" t="s">
        <v>1258</v>
      </c>
      <c r="F217" s="209" t="s">
        <v>1676</v>
      </c>
      <c r="G217" s="209" t="s">
        <v>545</v>
      </c>
      <c r="H217" s="209" t="s">
        <v>94</v>
      </c>
      <c r="I217" s="209"/>
      <c r="J217" s="229">
        <v>24000</v>
      </c>
      <c r="K217" s="230">
        <f>VLOOKUP(H217,名称!A:C,2,0)</f>
        <v>5</v>
      </c>
      <c r="L217" s="229">
        <f>J217*K217</f>
        <v>120000</v>
      </c>
      <c r="M217" s="209">
        <f>VLOOKUP(H217,名称!A:E,3,0)</f>
        <v>24</v>
      </c>
      <c r="N217" s="229">
        <f t="shared" si="35"/>
        <v>1000</v>
      </c>
      <c r="O217" s="227">
        <v>46150</v>
      </c>
      <c r="P217" s="227">
        <v>46160</v>
      </c>
      <c r="Q217" s="227">
        <v>46160</v>
      </c>
      <c r="R217" s="209"/>
      <c r="S217" s="227">
        <v>46160</v>
      </c>
      <c r="T217" s="209"/>
      <c r="U217" s="232">
        <v>46157</v>
      </c>
      <c r="V217" s="209"/>
      <c r="W217" s="227"/>
      <c r="X217" s="209" t="s">
        <v>1133</v>
      </c>
      <c r="Y217" s="209" t="s">
        <v>1133</v>
      </c>
      <c r="Z217" s="232">
        <v>46092</v>
      </c>
      <c r="AA217" s="233">
        <v>46105</v>
      </c>
      <c r="AB217" s="232">
        <v>46114</v>
      </c>
      <c r="AC217" s="209" t="s">
        <v>1133</v>
      </c>
      <c r="AD217" s="209" t="s">
        <v>1133</v>
      </c>
      <c r="AE217" s="209" t="s">
        <v>334</v>
      </c>
      <c r="AF217" s="209" t="s">
        <v>1228</v>
      </c>
      <c r="AG217" s="209" t="s">
        <v>334</v>
      </c>
      <c r="AH217" s="209" t="s">
        <v>1133</v>
      </c>
      <c r="AI217" s="209" t="s">
        <v>1228</v>
      </c>
      <c r="AJ217" s="209" t="s">
        <v>1133</v>
      </c>
      <c r="AK217" s="209" t="s">
        <v>334</v>
      </c>
      <c r="AL217" s="209"/>
      <c r="AM217" s="209" t="s">
        <v>1364</v>
      </c>
      <c r="AN217" s="229" t="s">
        <v>1684</v>
      </c>
      <c r="AO217" s="215">
        <v>0.62</v>
      </c>
      <c r="AP217" s="235">
        <f t="shared" si="36"/>
        <v>14880</v>
      </c>
      <c r="AQ217" s="235">
        <f t="shared" si="37"/>
        <v>115320</v>
      </c>
      <c r="AR217" s="217">
        <v>61130</v>
      </c>
      <c r="AS217" s="208">
        <v>46163</v>
      </c>
      <c r="AT217" s="227" t="s">
        <v>1220</v>
      </c>
      <c r="AU217" s="240">
        <f>23976+24</f>
        <v>24000</v>
      </c>
      <c r="AV217" s="236">
        <f>AU217-J217</f>
        <v>0</v>
      </c>
      <c r="AW217" s="236"/>
      <c r="AX217" s="227" t="s">
        <v>1280</v>
      </c>
      <c r="AY217" s="227"/>
      <c r="AZ217" s="227"/>
      <c r="BA217" s="227"/>
      <c r="BB217" s="208" t="str">
        <f t="shared" si="32"/>
        <v>Character Options</v>
      </c>
      <c r="BC217" s="208" t="str">
        <f t="shared" si="33"/>
        <v>英国</v>
      </c>
    </row>
    <row r="218" s="195" customFormat="1" customHeight="1" spans="1:55">
      <c r="A218" s="227">
        <v>46092</v>
      </c>
      <c r="B218" s="208" t="str">
        <f ca="1" t="shared" si="38"/>
        <v/>
      </c>
      <c r="C218" s="209" t="str">
        <f>VLOOKUP(H218,名称!A:E,4,0)</f>
        <v>三代</v>
      </c>
      <c r="D218" s="228" t="s">
        <v>1257</v>
      </c>
      <c r="E218" s="228" t="s">
        <v>1258</v>
      </c>
      <c r="F218" s="209" t="s">
        <v>1676</v>
      </c>
      <c r="G218" s="209" t="s">
        <v>545</v>
      </c>
      <c r="H218" s="209" t="s">
        <v>95</v>
      </c>
      <c r="I218" s="209"/>
      <c r="J218" s="229">
        <v>6000</v>
      </c>
      <c r="K218" s="230">
        <f>VLOOKUP(H218,名称!A:C,2,0)</f>
        <v>32</v>
      </c>
      <c r="L218" s="229">
        <f>J218*K218</f>
        <v>192000</v>
      </c>
      <c r="M218" s="209">
        <f>VLOOKUP(H218,名称!A:E,3,0)</f>
        <v>4</v>
      </c>
      <c r="N218" s="229">
        <f t="shared" si="35"/>
        <v>1500</v>
      </c>
      <c r="O218" s="227">
        <v>46150</v>
      </c>
      <c r="P218" s="227">
        <v>46153</v>
      </c>
      <c r="Q218" s="227">
        <v>46153</v>
      </c>
      <c r="R218" s="209" t="s">
        <v>1241</v>
      </c>
      <c r="S218" s="227">
        <v>46153</v>
      </c>
      <c r="T218" s="209" t="s">
        <v>1241</v>
      </c>
      <c r="U218" s="209"/>
      <c r="V218" s="209"/>
      <c r="W218" s="227"/>
      <c r="X218" s="209" t="s">
        <v>1133</v>
      </c>
      <c r="Y218" s="209" t="s">
        <v>1133</v>
      </c>
      <c r="Z218" s="232">
        <v>46092</v>
      </c>
      <c r="AA218" s="233">
        <v>46105</v>
      </c>
      <c r="AB218" s="232">
        <v>46114</v>
      </c>
      <c r="AC218" s="209" t="s">
        <v>1133</v>
      </c>
      <c r="AD218" s="209" t="s">
        <v>1133</v>
      </c>
      <c r="AE218" s="209" t="s">
        <v>334</v>
      </c>
      <c r="AF218" s="209" t="s">
        <v>1228</v>
      </c>
      <c r="AG218" s="209" t="s">
        <v>334</v>
      </c>
      <c r="AH218" s="209" t="s">
        <v>1361</v>
      </c>
      <c r="AI218" s="209" t="s">
        <v>1228</v>
      </c>
      <c r="AJ218" s="209" t="s">
        <v>1133</v>
      </c>
      <c r="AK218" s="209" t="s">
        <v>1133</v>
      </c>
      <c r="AL218" s="209"/>
      <c r="AM218" s="209" t="s">
        <v>1365</v>
      </c>
      <c r="AN218" s="229"/>
      <c r="AO218" s="215">
        <v>3.23</v>
      </c>
      <c r="AP218" s="235">
        <f t="shared" si="36"/>
        <v>19380</v>
      </c>
      <c r="AQ218" s="235">
        <f t="shared" si="37"/>
        <v>150195</v>
      </c>
      <c r="AR218" s="217">
        <v>61130</v>
      </c>
      <c r="AS218" s="208">
        <v>46163</v>
      </c>
      <c r="AT218" s="227" t="s">
        <v>1220</v>
      </c>
      <c r="AU218" s="240">
        <f>1656+1016+3312+16</f>
        <v>6000</v>
      </c>
      <c r="AV218" s="236">
        <f>AU218-J218</f>
        <v>0</v>
      </c>
      <c r="AW218" s="236"/>
      <c r="AX218" s="227" t="s">
        <v>1280</v>
      </c>
      <c r="AY218" s="227"/>
      <c r="AZ218" s="227"/>
      <c r="BA218" s="227"/>
      <c r="BB218" s="208" t="str">
        <f t="shared" si="32"/>
        <v>Character Options</v>
      </c>
      <c r="BC218" s="208" t="str">
        <f t="shared" si="33"/>
        <v>英国</v>
      </c>
    </row>
    <row r="219" s="195" customFormat="1" customHeight="1" spans="1:55">
      <c r="A219" s="227">
        <v>46132</v>
      </c>
      <c r="B219" s="208" t="str">
        <f ca="1" t="shared" si="38"/>
        <v/>
      </c>
      <c r="C219" s="241" t="s">
        <v>56</v>
      </c>
      <c r="D219" s="242" t="s">
        <v>1352</v>
      </c>
      <c r="E219" s="242" t="s">
        <v>1224</v>
      </c>
      <c r="F219" s="242" t="s">
        <v>752</v>
      </c>
      <c r="G219" s="242" t="s">
        <v>753</v>
      </c>
      <c r="H219" s="242" t="s">
        <v>242</v>
      </c>
      <c r="I219" s="209"/>
      <c r="J219" s="243">
        <f>390*13</f>
        <v>5070</v>
      </c>
      <c r="K219" s="230"/>
      <c r="L219" s="229"/>
      <c r="M219" s="209"/>
      <c r="N219" s="229"/>
      <c r="O219" s="244">
        <v>46157</v>
      </c>
      <c r="P219" s="244">
        <v>46157</v>
      </c>
      <c r="Q219" s="244">
        <v>46159</v>
      </c>
      <c r="R219" s="209" t="s">
        <v>1241</v>
      </c>
      <c r="S219" s="227" t="s">
        <v>1133</v>
      </c>
      <c r="T219" s="209" t="s">
        <v>1133</v>
      </c>
      <c r="U219" s="232"/>
      <c r="V219" s="209"/>
      <c r="W219" s="227"/>
      <c r="X219" s="242" t="s">
        <v>1133</v>
      </c>
      <c r="Y219" s="209" t="s">
        <v>1133</v>
      </c>
      <c r="Z219" s="232" t="s">
        <v>1685</v>
      </c>
      <c r="AA219" s="233"/>
      <c r="AB219" s="209" t="s">
        <v>1228</v>
      </c>
      <c r="AC219" s="209" t="s">
        <v>1133</v>
      </c>
      <c r="AD219" s="209" t="s">
        <v>1133</v>
      </c>
      <c r="AE219" s="242" t="s">
        <v>510</v>
      </c>
      <c r="AF219" s="209" t="s">
        <v>1228</v>
      </c>
      <c r="AG219" s="242" t="s">
        <v>1686</v>
      </c>
      <c r="AH219" s="209" t="s">
        <v>1133</v>
      </c>
      <c r="AI219" s="209" t="s">
        <v>1228</v>
      </c>
      <c r="AJ219" s="209" t="s">
        <v>1133</v>
      </c>
      <c r="AK219" s="209" t="s">
        <v>1133</v>
      </c>
      <c r="AL219" s="209"/>
      <c r="AM219" s="209"/>
      <c r="AN219" s="242" t="s">
        <v>1687</v>
      </c>
      <c r="AO219" s="215">
        <v>0.55</v>
      </c>
      <c r="AP219" s="235">
        <f t="shared" si="36"/>
        <v>2788.5</v>
      </c>
      <c r="AQ219" s="235">
        <f t="shared" si="37"/>
        <v>21610.88</v>
      </c>
      <c r="AR219" s="217">
        <v>61131</v>
      </c>
      <c r="AS219" s="208">
        <v>46164</v>
      </c>
      <c r="AT219" s="227" t="s">
        <v>1133</v>
      </c>
      <c r="AU219" s="240"/>
      <c r="AV219" s="236">
        <f>AU219-J219</f>
        <v>-5070</v>
      </c>
      <c r="AW219" s="236"/>
      <c r="AX219" s="227"/>
      <c r="AY219" s="227"/>
      <c r="AZ219" s="227"/>
      <c r="BA219" s="227"/>
      <c r="BB219" s="208" t="str">
        <f t="shared" si="32"/>
        <v>Sky Castle Toys, LLC</v>
      </c>
      <c r="BC219" s="208" t="str">
        <f t="shared" si="33"/>
        <v>美国</v>
      </c>
    </row>
    <row r="220" s="195" customFormat="1" customHeight="1" spans="1:55">
      <c r="A220" s="227">
        <v>46141</v>
      </c>
      <c r="B220" s="208" t="str">
        <f ca="1" t="shared" si="38"/>
        <v/>
      </c>
      <c r="C220" s="209" t="str">
        <f>VLOOKUP(H220,名称!A:E,4,0)</f>
        <v>三代</v>
      </c>
      <c r="D220" s="242" t="s">
        <v>1352</v>
      </c>
      <c r="E220" s="242" t="s">
        <v>1224</v>
      </c>
      <c r="F220" s="242" t="s">
        <v>752</v>
      </c>
      <c r="G220" s="242" t="s">
        <v>753</v>
      </c>
      <c r="H220" s="242" t="s">
        <v>89</v>
      </c>
      <c r="I220" s="209"/>
      <c r="J220" s="243">
        <v>50</v>
      </c>
      <c r="K220" s="230">
        <f>VLOOKUP(H220,名称!A:C,2,0)</f>
        <v>12</v>
      </c>
      <c r="L220" s="229">
        <f t="shared" ref="L220:L230" si="39">J220*K220</f>
        <v>600</v>
      </c>
      <c r="M220" s="209">
        <f>VLOOKUP(H220,名称!A:E,3,0)</f>
        <v>6</v>
      </c>
      <c r="N220" s="229">
        <f t="shared" ref="N220:N249" si="40">J220/M220</f>
        <v>8.33333333333333</v>
      </c>
      <c r="O220" s="244">
        <v>46157</v>
      </c>
      <c r="P220" s="227">
        <v>46157</v>
      </c>
      <c r="Q220" s="227">
        <f>P220</f>
        <v>46157</v>
      </c>
      <c r="R220" s="209" t="s">
        <v>1241</v>
      </c>
      <c r="S220" s="227" t="s">
        <v>1133</v>
      </c>
      <c r="T220" s="209" t="s">
        <v>1133</v>
      </c>
      <c r="U220" s="209"/>
      <c r="V220" s="209"/>
      <c r="W220" s="227"/>
      <c r="X220" s="242" t="s">
        <v>1133</v>
      </c>
      <c r="Y220" s="209" t="s">
        <v>1133</v>
      </c>
      <c r="Z220" s="209" t="s">
        <v>1685</v>
      </c>
      <c r="AA220" s="233"/>
      <c r="AB220" s="209" t="s">
        <v>1228</v>
      </c>
      <c r="AC220" s="209" t="s">
        <v>1318</v>
      </c>
      <c r="AD220" s="209" t="s">
        <v>1228</v>
      </c>
      <c r="AE220" s="242" t="s">
        <v>510</v>
      </c>
      <c r="AF220" s="209" t="s">
        <v>1228</v>
      </c>
      <c r="AG220" s="242" t="s">
        <v>510</v>
      </c>
      <c r="AH220" s="209" t="s">
        <v>1307</v>
      </c>
      <c r="AI220" s="209" t="s">
        <v>1228</v>
      </c>
      <c r="AJ220" s="209" t="s">
        <v>510</v>
      </c>
      <c r="AK220" s="209" t="s">
        <v>1133</v>
      </c>
      <c r="AL220" s="209"/>
      <c r="AM220" s="209"/>
      <c r="AN220" s="242"/>
      <c r="AO220" s="215">
        <v>1.84</v>
      </c>
      <c r="AP220" s="235">
        <f t="shared" si="36"/>
        <v>92</v>
      </c>
      <c r="AQ220" s="235">
        <f t="shared" si="37"/>
        <v>713</v>
      </c>
      <c r="AR220" s="217">
        <v>61131</v>
      </c>
      <c r="AS220" s="208">
        <v>46164</v>
      </c>
      <c r="AT220" s="227" t="s">
        <v>1310</v>
      </c>
      <c r="AU220" s="245"/>
      <c r="AV220" s="227"/>
      <c r="AW220" s="227"/>
      <c r="AX220" s="227"/>
      <c r="AY220" s="227"/>
      <c r="AZ220" s="227"/>
      <c r="BA220" s="227"/>
      <c r="BB220" s="208" t="str">
        <f t="shared" si="32"/>
        <v>Sky Castle Toys, LLC</v>
      </c>
      <c r="BC220" s="208" t="str">
        <f t="shared" si="33"/>
        <v>美国</v>
      </c>
    </row>
    <row r="221" s="195" customFormat="1" customHeight="1" spans="1:55">
      <c r="A221" s="227">
        <v>46029</v>
      </c>
      <c r="B221" s="208" t="str">
        <f ca="1" t="shared" si="38"/>
        <v/>
      </c>
      <c r="C221" s="209" t="str">
        <f>VLOOKUP(H221,名称!A:E,4,0)</f>
        <v>三代</v>
      </c>
      <c r="D221" s="228" t="s">
        <v>1276</v>
      </c>
      <c r="E221" s="228" t="s">
        <v>1224</v>
      </c>
      <c r="F221" s="209" t="s">
        <v>386</v>
      </c>
      <c r="G221" s="209" t="s">
        <v>387</v>
      </c>
      <c r="H221" s="209" t="s">
        <v>85</v>
      </c>
      <c r="I221" s="209"/>
      <c r="J221" s="229">
        <v>50016</v>
      </c>
      <c r="K221" s="230">
        <f>VLOOKUP(H221,名称!A:C,2,0)</f>
        <v>5</v>
      </c>
      <c r="L221" s="229">
        <f t="shared" si="39"/>
        <v>250080</v>
      </c>
      <c r="M221" s="209">
        <f>VLOOKUP(H221,名称!A:E,3,0)</f>
        <v>24</v>
      </c>
      <c r="N221" s="229">
        <f t="shared" si="40"/>
        <v>2084</v>
      </c>
      <c r="O221" s="227">
        <v>46148</v>
      </c>
      <c r="P221" s="227">
        <v>46165</v>
      </c>
      <c r="Q221" s="227">
        <v>46165</v>
      </c>
      <c r="R221" s="209"/>
      <c r="S221" s="227">
        <v>46165</v>
      </c>
      <c r="T221" s="209"/>
      <c r="U221" s="232">
        <v>46167</v>
      </c>
      <c r="V221" s="209" t="s">
        <v>1688</v>
      </c>
      <c r="W221" s="227"/>
      <c r="X221" s="209" t="s">
        <v>1133</v>
      </c>
      <c r="Y221" s="209" t="s">
        <v>1133</v>
      </c>
      <c r="Z221" s="232">
        <v>46059</v>
      </c>
      <c r="AA221" s="233">
        <v>46079</v>
      </c>
      <c r="AB221" s="232">
        <v>46094</v>
      </c>
      <c r="AC221" s="209" t="s">
        <v>1133</v>
      </c>
      <c r="AD221" s="209" t="s">
        <v>1133</v>
      </c>
      <c r="AE221" s="209" t="s">
        <v>270</v>
      </c>
      <c r="AF221" s="209" t="s">
        <v>1228</v>
      </c>
      <c r="AG221" s="209" t="s">
        <v>270</v>
      </c>
      <c r="AH221" s="209" t="s">
        <v>1133</v>
      </c>
      <c r="AI221" s="209" t="s">
        <v>1228</v>
      </c>
      <c r="AJ221" s="209" t="s">
        <v>1133</v>
      </c>
      <c r="AK221" s="209" t="s">
        <v>1659</v>
      </c>
      <c r="AL221" s="209"/>
      <c r="AM221" s="209" t="s">
        <v>1296</v>
      </c>
      <c r="AN221" s="229"/>
      <c r="AO221" s="215">
        <v>0.88</v>
      </c>
      <c r="AP221" s="235">
        <f t="shared" si="36"/>
        <v>44014.08</v>
      </c>
      <c r="AQ221" s="235">
        <f t="shared" si="37"/>
        <v>341109.12</v>
      </c>
      <c r="AR221" s="217">
        <v>61132</v>
      </c>
      <c r="AS221" s="208">
        <v>46167</v>
      </c>
      <c r="AT221" s="227" t="s">
        <v>1220</v>
      </c>
      <c r="AU221" s="240">
        <f>42144</f>
        <v>42144</v>
      </c>
      <c r="AV221" s="236">
        <f t="shared" ref="AV221:AV230" si="41">AU221-J221</f>
        <v>-7872</v>
      </c>
      <c r="AW221" s="236"/>
      <c r="AX221" s="227" t="s">
        <v>1280</v>
      </c>
      <c r="AY221" s="227"/>
      <c r="AZ221" s="227"/>
      <c r="BA221" s="227"/>
      <c r="BB221" s="208" t="str">
        <f t="shared" si="32"/>
        <v>Jazwares- TARGET US DOM</v>
      </c>
      <c r="BC221" s="208" t="str">
        <f t="shared" si="33"/>
        <v>美国</v>
      </c>
    </row>
    <row r="222" s="195" customFormat="1" customHeight="1" spans="1:55">
      <c r="A222" s="227">
        <v>46035</v>
      </c>
      <c r="B222" s="208" t="str">
        <f ca="1" t="shared" si="38"/>
        <v/>
      </c>
      <c r="C222" s="209" t="str">
        <f>VLOOKUP(H222,名称!A:E,4,0)</f>
        <v>三代</v>
      </c>
      <c r="D222" s="228" t="s">
        <v>1240</v>
      </c>
      <c r="E222" s="228" t="s">
        <v>1224</v>
      </c>
      <c r="F222" s="209" t="s">
        <v>453</v>
      </c>
      <c r="G222" s="209" t="s">
        <v>454</v>
      </c>
      <c r="H222" s="209" t="s">
        <v>59</v>
      </c>
      <c r="I222" s="209"/>
      <c r="J222" s="229">
        <v>14400</v>
      </c>
      <c r="K222" s="230">
        <f>VLOOKUP(H222,名称!A:C,2,0)</f>
        <v>5</v>
      </c>
      <c r="L222" s="229">
        <f t="shared" si="39"/>
        <v>72000</v>
      </c>
      <c r="M222" s="209">
        <f>VLOOKUP(H222,名称!A:E,3,0)</f>
        <v>24</v>
      </c>
      <c r="N222" s="229">
        <f t="shared" si="40"/>
        <v>600</v>
      </c>
      <c r="O222" s="227">
        <v>46157</v>
      </c>
      <c r="P222" s="227">
        <v>46162</v>
      </c>
      <c r="Q222" s="227">
        <v>46162</v>
      </c>
      <c r="R222" s="227"/>
      <c r="S222" s="227">
        <v>46164</v>
      </c>
      <c r="T222" s="227"/>
      <c r="U222" s="232">
        <v>46159</v>
      </c>
      <c r="V222" s="209" t="s">
        <v>1688</v>
      </c>
      <c r="W222" s="227"/>
      <c r="X222" s="209" t="s">
        <v>1133</v>
      </c>
      <c r="Y222" s="209" t="s">
        <v>1133</v>
      </c>
      <c r="Z222" s="232">
        <v>46059</v>
      </c>
      <c r="AA222" s="233">
        <v>46079</v>
      </c>
      <c r="AB222" s="232">
        <v>46094</v>
      </c>
      <c r="AC222" s="209" t="s">
        <v>1133</v>
      </c>
      <c r="AD222" s="209" t="s">
        <v>1133</v>
      </c>
      <c r="AE222" s="209" t="s">
        <v>270</v>
      </c>
      <c r="AF222" s="209" t="s">
        <v>1228</v>
      </c>
      <c r="AG222" s="209" t="s">
        <v>270</v>
      </c>
      <c r="AH222" s="209" t="s">
        <v>1133</v>
      </c>
      <c r="AI222" s="209" t="s">
        <v>1228</v>
      </c>
      <c r="AJ222" s="209" t="s">
        <v>1133</v>
      </c>
      <c r="AK222" s="209" t="s">
        <v>1659</v>
      </c>
      <c r="AL222" s="209"/>
      <c r="AM222" s="209" t="s">
        <v>1296</v>
      </c>
      <c r="AN222" s="229"/>
      <c r="AO222" s="215">
        <v>0.62</v>
      </c>
      <c r="AP222" s="235">
        <f t="shared" si="36"/>
        <v>8928</v>
      </c>
      <c r="AQ222" s="235">
        <f t="shared" si="37"/>
        <v>69192</v>
      </c>
      <c r="AR222" s="217">
        <v>61133</v>
      </c>
      <c r="AS222" s="208">
        <v>46167</v>
      </c>
      <c r="AT222" s="227" t="s">
        <v>1220</v>
      </c>
      <c r="AU222" s="240">
        <v>14400</v>
      </c>
      <c r="AV222" s="236">
        <f t="shared" si="41"/>
        <v>0</v>
      </c>
      <c r="AW222" s="236"/>
      <c r="AX222" s="227" t="s">
        <v>1280</v>
      </c>
      <c r="AY222" s="227"/>
      <c r="AZ222" s="227"/>
      <c r="BA222" s="227"/>
      <c r="BB222" s="208" t="str">
        <f t="shared" si="32"/>
        <v>JAZWARES - TARGET US DOM</v>
      </c>
      <c r="BC222" s="208" t="str">
        <f t="shared" si="33"/>
        <v>美国</v>
      </c>
    </row>
    <row r="223" s="195" customFormat="1" customHeight="1" spans="1:55">
      <c r="A223" s="227">
        <v>46043</v>
      </c>
      <c r="B223" s="208" t="str">
        <f ca="1" t="shared" si="38"/>
        <v/>
      </c>
      <c r="C223" s="209" t="str">
        <f>VLOOKUP(H223,名称!A:E,4,0)</f>
        <v>三代</v>
      </c>
      <c r="D223" s="228" t="s">
        <v>1257</v>
      </c>
      <c r="E223" s="228" t="s">
        <v>1258</v>
      </c>
      <c r="F223" s="209"/>
      <c r="G223" s="209" t="s">
        <v>466</v>
      </c>
      <c r="H223" s="209" t="s">
        <v>71</v>
      </c>
      <c r="I223" s="209"/>
      <c r="J223" s="229">
        <v>2500</v>
      </c>
      <c r="K223" s="230">
        <f>VLOOKUP(H223,名称!A:C,2,0)</f>
        <v>50</v>
      </c>
      <c r="L223" s="229">
        <f t="shared" si="39"/>
        <v>125000</v>
      </c>
      <c r="M223" s="209">
        <f>VLOOKUP(H223,名称!A:E,3,0)</f>
        <v>4</v>
      </c>
      <c r="N223" s="229">
        <f t="shared" si="40"/>
        <v>625</v>
      </c>
      <c r="O223" s="227">
        <v>46140</v>
      </c>
      <c r="P223" s="227">
        <v>46165</v>
      </c>
      <c r="Q223" s="227">
        <v>46165</v>
      </c>
      <c r="R223" s="209"/>
      <c r="S223" s="227">
        <v>46165</v>
      </c>
      <c r="T223" s="209"/>
      <c r="U223" s="209"/>
      <c r="V223" s="209" t="s">
        <v>1689</v>
      </c>
      <c r="W223" s="227"/>
      <c r="X223" s="209" t="s">
        <v>1248</v>
      </c>
      <c r="Y223" s="209" t="s">
        <v>1228</v>
      </c>
      <c r="Z223" s="209" t="s">
        <v>1249</v>
      </c>
      <c r="AA223" s="233">
        <v>46137</v>
      </c>
      <c r="AB223" s="232">
        <v>46155</v>
      </c>
      <c r="AC223" s="209" t="s">
        <v>1308</v>
      </c>
      <c r="AD223" s="209" t="s">
        <v>1690</v>
      </c>
      <c r="AE223" s="209" t="s">
        <v>1691</v>
      </c>
      <c r="AF223" s="232">
        <v>46139</v>
      </c>
      <c r="AG223" s="209" t="s">
        <v>334</v>
      </c>
      <c r="AH223" s="209" t="s">
        <v>1692</v>
      </c>
      <c r="AI223" s="209" t="s">
        <v>1228</v>
      </c>
      <c r="AJ223" s="209" t="s">
        <v>1422</v>
      </c>
      <c r="AK223" s="209" t="s">
        <v>1133</v>
      </c>
      <c r="AL223" s="209"/>
      <c r="AM223" s="209" t="s">
        <v>1693</v>
      </c>
      <c r="AN223" s="229" t="s">
        <v>1694</v>
      </c>
      <c r="AO223" s="215">
        <v>7.34</v>
      </c>
      <c r="AP223" s="235">
        <f t="shared" si="36"/>
        <v>18350</v>
      </c>
      <c r="AQ223" s="235">
        <f t="shared" si="37"/>
        <v>142212.5</v>
      </c>
      <c r="AR223" s="224" t="s">
        <v>1695</v>
      </c>
      <c r="AS223" s="208">
        <v>46167</v>
      </c>
      <c r="AT223" s="227" t="s">
        <v>1220</v>
      </c>
      <c r="AU223" s="240"/>
      <c r="AV223" s="236">
        <f t="shared" si="41"/>
        <v>-2500</v>
      </c>
      <c r="AW223" s="236"/>
      <c r="AX223" s="227"/>
      <c r="AY223" s="227"/>
      <c r="AZ223" s="227"/>
      <c r="BA223" s="227"/>
      <c r="BB223" s="208" t="str">
        <f t="shared" si="32"/>
        <v>Character Options</v>
      </c>
      <c r="BC223" s="208" t="str">
        <f t="shared" si="33"/>
        <v>英国</v>
      </c>
    </row>
    <row r="224" s="195" customFormat="1" customHeight="1" spans="1:55">
      <c r="A224" s="227">
        <v>46077</v>
      </c>
      <c r="B224" s="208" t="str">
        <f ca="1" t="shared" si="38"/>
        <v/>
      </c>
      <c r="C224" s="209" t="str">
        <f>VLOOKUP(H224,名称!A:E,4,0)</f>
        <v>三代</v>
      </c>
      <c r="D224" s="228" t="s">
        <v>1420</v>
      </c>
      <c r="E224" s="228" t="s">
        <v>1421</v>
      </c>
      <c r="F224" s="209">
        <v>21011643</v>
      </c>
      <c r="G224" s="209" t="s">
        <v>511</v>
      </c>
      <c r="H224" s="209" t="s">
        <v>66</v>
      </c>
      <c r="I224" s="209"/>
      <c r="J224" s="229">
        <v>9522</v>
      </c>
      <c r="K224" s="230">
        <f>VLOOKUP(H224,名称!A:C,2,0)</f>
        <v>12</v>
      </c>
      <c r="L224" s="229">
        <f t="shared" si="39"/>
        <v>114264</v>
      </c>
      <c r="M224" s="209">
        <v>6</v>
      </c>
      <c r="N224" s="229">
        <f t="shared" si="40"/>
        <v>1587</v>
      </c>
      <c r="O224" s="227">
        <v>46153</v>
      </c>
      <c r="P224" s="227">
        <v>46153</v>
      </c>
      <c r="Q224" s="227">
        <v>46153</v>
      </c>
      <c r="R224" s="209" t="s">
        <v>1241</v>
      </c>
      <c r="S224" s="227" t="s">
        <v>1133</v>
      </c>
      <c r="T224" s="209" t="s">
        <v>1133</v>
      </c>
      <c r="U224" s="209"/>
      <c r="V224" s="209"/>
      <c r="W224" s="227"/>
      <c r="X224" s="209" t="s">
        <v>1505</v>
      </c>
      <c r="Y224" s="209" t="s">
        <v>1228</v>
      </c>
      <c r="Z224" s="232">
        <v>46086</v>
      </c>
      <c r="AA224" s="233">
        <v>46088</v>
      </c>
      <c r="AB224" s="232">
        <v>46093</v>
      </c>
      <c r="AC224" s="209" t="s">
        <v>1318</v>
      </c>
      <c r="AD224" s="209" t="s">
        <v>1228</v>
      </c>
      <c r="AE224" s="209" t="s">
        <v>510</v>
      </c>
      <c r="AF224" s="209" t="s">
        <v>1228</v>
      </c>
      <c r="AG224" s="209" t="s">
        <v>510</v>
      </c>
      <c r="AH224" s="209" t="s">
        <v>1307</v>
      </c>
      <c r="AI224" s="209" t="s">
        <v>1228</v>
      </c>
      <c r="AJ224" s="209" t="s">
        <v>510</v>
      </c>
      <c r="AK224" s="209" t="s">
        <v>1133</v>
      </c>
      <c r="AL224" s="209" t="s">
        <v>1696</v>
      </c>
      <c r="AM224" s="209" t="s">
        <v>1655</v>
      </c>
      <c r="AN224" s="229" t="s">
        <v>1251</v>
      </c>
      <c r="AO224" s="215">
        <v>2.02</v>
      </c>
      <c r="AP224" s="235">
        <f t="shared" si="36"/>
        <v>19234.44</v>
      </c>
      <c r="AQ224" s="235">
        <f t="shared" si="37"/>
        <v>149066.91</v>
      </c>
      <c r="AR224" s="217">
        <v>61136</v>
      </c>
      <c r="AS224" s="208">
        <v>46172</v>
      </c>
      <c r="AT224" s="227" t="s">
        <v>1220</v>
      </c>
      <c r="AU224" s="240">
        <f>4320+5202</f>
        <v>9522</v>
      </c>
      <c r="AV224" s="236">
        <f t="shared" si="41"/>
        <v>0</v>
      </c>
      <c r="AW224" s="236"/>
      <c r="AX224" s="227" t="s">
        <v>1280</v>
      </c>
      <c r="AY224" s="227"/>
      <c r="AZ224" s="227"/>
      <c r="BA224" s="227"/>
      <c r="BB224" s="208" t="str">
        <f t="shared" si="32"/>
        <v>Banter Toys</v>
      </c>
      <c r="BC224" s="208" t="str">
        <f t="shared" si="33"/>
        <v>澳大利亚</v>
      </c>
    </row>
    <row r="225" s="195" customFormat="1" customHeight="1" spans="1:55">
      <c r="A225" s="227">
        <v>46077</v>
      </c>
      <c r="B225" s="208" t="str">
        <f ca="1" t="shared" si="38"/>
        <v/>
      </c>
      <c r="C225" s="209" t="str">
        <f>VLOOKUP(H225,名称!A:E,4,0)</f>
        <v>三代</v>
      </c>
      <c r="D225" s="228" t="s">
        <v>1420</v>
      </c>
      <c r="E225" s="228" t="s">
        <v>1421</v>
      </c>
      <c r="F225" s="209">
        <v>21011643</v>
      </c>
      <c r="G225" s="209" t="s">
        <v>511</v>
      </c>
      <c r="H225" s="209" t="s">
        <v>68</v>
      </c>
      <c r="I225" s="209"/>
      <c r="J225" s="229">
        <v>3584</v>
      </c>
      <c r="K225" s="230">
        <f>VLOOKUP(H225,名称!A:C,2,0)</f>
        <v>32</v>
      </c>
      <c r="L225" s="229">
        <f t="shared" si="39"/>
        <v>114688</v>
      </c>
      <c r="M225" s="209">
        <f>VLOOKUP(H225,名称!A:E,3,0)</f>
        <v>4</v>
      </c>
      <c r="N225" s="229">
        <f t="shared" si="40"/>
        <v>896</v>
      </c>
      <c r="O225" s="227">
        <v>46153</v>
      </c>
      <c r="P225" s="227">
        <v>46153</v>
      </c>
      <c r="Q225" s="227">
        <v>46153</v>
      </c>
      <c r="R225" s="209" t="s">
        <v>1241</v>
      </c>
      <c r="S225" s="227" t="s">
        <v>1133</v>
      </c>
      <c r="T225" s="209" t="s">
        <v>1133</v>
      </c>
      <c r="U225" s="209"/>
      <c r="V225" s="209"/>
      <c r="W225" s="227"/>
      <c r="X225" s="209" t="s">
        <v>1505</v>
      </c>
      <c r="Y225" s="209" t="s">
        <v>1228</v>
      </c>
      <c r="Z225" s="232">
        <v>46086</v>
      </c>
      <c r="AA225" s="233">
        <v>46088</v>
      </c>
      <c r="AB225" s="232">
        <v>46093</v>
      </c>
      <c r="AC225" s="209" t="s">
        <v>1133</v>
      </c>
      <c r="AD225" s="209" t="s">
        <v>1133</v>
      </c>
      <c r="AE225" s="209" t="s">
        <v>510</v>
      </c>
      <c r="AF225" s="209" t="s">
        <v>1228</v>
      </c>
      <c r="AG225" s="209" t="s">
        <v>510</v>
      </c>
      <c r="AH225" s="209" t="s">
        <v>1307</v>
      </c>
      <c r="AI225" s="209" t="s">
        <v>1228</v>
      </c>
      <c r="AJ225" s="209" t="s">
        <v>1133</v>
      </c>
      <c r="AK225" s="209" t="s">
        <v>1133</v>
      </c>
      <c r="AL225" s="209"/>
      <c r="AM225" s="209" t="s">
        <v>1655</v>
      </c>
      <c r="AN225" s="229" t="s">
        <v>1251</v>
      </c>
      <c r="AO225" s="215">
        <v>3.09</v>
      </c>
      <c r="AP225" s="235">
        <f t="shared" si="36"/>
        <v>11074.56</v>
      </c>
      <c r="AQ225" s="235">
        <f t="shared" si="37"/>
        <v>85827.84</v>
      </c>
      <c r="AR225" s="224" t="s">
        <v>1697</v>
      </c>
      <c r="AS225" s="208">
        <v>46172</v>
      </c>
      <c r="AT225" s="227" t="s">
        <v>1220</v>
      </c>
      <c r="AU225" s="240">
        <v>3584</v>
      </c>
      <c r="AV225" s="236">
        <f t="shared" si="41"/>
        <v>0</v>
      </c>
      <c r="AW225" s="236"/>
      <c r="AX225" s="227" t="s">
        <v>1280</v>
      </c>
      <c r="AY225" s="227"/>
      <c r="AZ225" s="227"/>
      <c r="BA225" s="227"/>
      <c r="BB225" s="208" t="str">
        <f t="shared" si="32"/>
        <v>Banter Toys</v>
      </c>
      <c r="BC225" s="208" t="str">
        <f t="shared" si="33"/>
        <v>澳大利亚</v>
      </c>
    </row>
    <row r="226" s="195" customFormat="1" customHeight="1" spans="1:55">
      <c r="A226" s="227">
        <v>46077</v>
      </c>
      <c r="B226" s="208" t="str">
        <f ca="1" t="shared" si="38"/>
        <v/>
      </c>
      <c r="C226" s="209" t="str">
        <f>VLOOKUP(H226,名称!A:E,4,0)</f>
        <v>三代</v>
      </c>
      <c r="D226" s="228" t="s">
        <v>1420</v>
      </c>
      <c r="E226" s="228" t="s">
        <v>1421</v>
      </c>
      <c r="F226" s="209">
        <v>21011643</v>
      </c>
      <c r="G226" s="209" t="s">
        <v>511</v>
      </c>
      <c r="H226" s="209" t="s">
        <v>99</v>
      </c>
      <c r="I226" s="209"/>
      <c r="J226" s="229">
        <f>19080-7080</f>
        <v>12000</v>
      </c>
      <c r="K226" s="230">
        <f>VLOOKUP(H226,名称!A:C,2,0)</f>
        <v>7</v>
      </c>
      <c r="L226" s="229">
        <f t="shared" si="39"/>
        <v>84000</v>
      </c>
      <c r="M226" s="209">
        <f>VLOOKUP(H226,名称!A:E,3,0)</f>
        <v>24</v>
      </c>
      <c r="N226" s="229">
        <f t="shared" si="40"/>
        <v>500</v>
      </c>
      <c r="O226" s="227">
        <v>46153</v>
      </c>
      <c r="P226" s="227">
        <v>46160</v>
      </c>
      <c r="Q226" s="227">
        <v>46160</v>
      </c>
      <c r="R226" s="209" t="s">
        <v>1241</v>
      </c>
      <c r="S226" s="227" t="s">
        <v>1133</v>
      </c>
      <c r="T226" s="237" t="s">
        <v>1133</v>
      </c>
      <c r="U226" s="246">
        <v>46155</v>
      </c>
      <c r="V226" s="209"/>
      <c r="W226" s="227"/>
      <c r="X226" s="209" t="s">
        <v>1505</v>
      </c>
      <c r="Y226" s="209" t="s">
        <v>1228</v>
      </c>
      <c r="Z226" s="232">
        <v>46086</v>
      </c>
      <c r="AA226" s="233">
        <v>46088</v>
      </c>
      <c r="AB226" s="232">
        <v>46093</v>
      </c>
      <c r="AC226" s="209" t="s">
        <v>1284</v>
      </c>
      <c r="AD226" s="209" t="s">
        <v>1228</v>
      </c>
      <c r="AE226" s="209" t="s">
        <v>510</v>
      </c>
      <c r="AF226" s="209" t="s">
        <v>1228</v>
      </c>
      <c r="AG226" s="209" t="s">
        <v>510</v>
      </c>
      <c r="AH226" s="209" t="s">
        <v>1307</v>
      </c>
      <c r="AI226" s="209" t="s">
        <v>1228</v>
      </c>
      <c r="AJ226" s="209" t="s">
        <v>1133</v>
      </c>
      <c r="AK226" s="209" t="s">
        <v>1133</v>
      </c>
      <c r="AL226" s="209" t="s">
        <v>1228</v>
      </c>
      <c r="AM226" s="209" t="s">
        <v>1655</v>
      </c>
      <c r="AN226" s="229" t="s">
        <v>1251</v>
      </c>
      <c r="AO226" s="215">
        <v>0.87</v>
      </c>
      <c r="AP226" s="235">
        <f t="shared" si="36"/>
        <v>10440</v>
      </c>
      <c r="AQ226" s="235">
        <f t="shared" si="37"/>
        <v>80910</v>
      </c>
      <c r="AR226" s="217">
        <v>61136</v>
      </c>
      <c r="AS226" s="208">
        <v>46172</v>
      </c>
      <c r="AT226" s="227" t="s">
        <v>1220</v>
      </c>
      <c r="AU226" s="240">
        <v>12000</v>
      </c>
      <c r="AV226" s="236">
        <f t="shared" si="41"/>
        <v>0</v>
      </c>
      <c r="AW226" s="236"/>
      <c r="AX226" s="227" t="s">
        <v>1280</v>
      </c>
      <c r="AY226" s="227"/>
      <c r="AZ226" s="227"/>
      <c r="BA226" s="227"/>
      <c r="BB226" s="208" t="str">
        <f t="shared" si="32"/>
        <v>Banter Toys</v>
      </c>
      <c r="BC226" s="208" t="str">
        <f t="shared" si="33"/>
        <v>澳大利亚</v>
      </c>
    </row>
    <row r="227" s="195" customFormat="1" customHeight="1" spans="1:55">
      <c r="A227" s="227">
        <v>46077</v>
      </c>
      <c r="B227" s="208" t="str">
        <f ca="1" t="shared" si="38"/>
        <v/>
      </c>
      <c r="C227" s="209" t="str">
        <f>VLOOKUP(H227,名称!A:E,4,0)</f>
        <v>三代</v>
      </c>
      <c r="D227" s="228" t="s">
        <v>1420</v>
      </c>
      <c r="E227" s="228" t="s">
        <v>1421</v>
      </c>
      <c r="F227" s="209">
        <v>21011644</v>
      </c>
      <c r="G227" s="209" t="s">
        <v>512</v>
      </c>
      <c r="H227" s="209" t="s">
        <v>85</v>
      </c>
      <c r="I227" s="209"/>
      <c r="J227" s="212">
        <v>17640</v>
      </c>
      <c r="K227" s="230">
        <f>VLOOKUP(H227,名称!A:C,2,0)</f>
        <v>5</v>
      </c>
      <c r="L227" s="229">
        <f t="shared" si="39"/>
        <v>88200</v>
      </c>
      <c r="M227" s="209">
        <f>VLOOKUP(H227,名称!A:E,3,0)</f>
        <v>24</v>
      </c>
      <c r="N227" s="229">
        <f t="shared" si="40"/>
        <v>735</v>
      </c>
      <c r="O227" s="227">
        <v>46142</v>
      </c>
      <c r="P227" s="227">
        <v>46168</v>
      </c>
      <c r="Q227" s="227">
        <v>46168</v>
      </c>
      <c r="R227" s="209"/>
      <c r="S227" s="227" t="s">
        <v>1133</v>
      </c>
      <c r="T227" s="209"/>
      <c r="U227" s="232">
        <v>46164</v>
      </c>
      <c r="V227" s="232"/>
      <c r="W227" s="227"/>
      <c r="X227" s="209" t="s">
        <v>1505</v>
      </c>
      <c r="Y227" s="209" t="s">
        <v>1228</v>
      </c>
      <c r="Z227" s="232">
        <v>46086</v>
      </c>
      <c r="AA227" s="233">
        <v>46088</v>
      </c>
      <c r="AB227" s="232">
        <v>46093</v>
      </c>
      <c r="AC227" s="209" t="s">
        <v>1133</v>
      </c>
      <c r="AD227" s="209" t="s">
        <v>1133</v>
      </c>
      <c r="AE227" s="209" t="s">
        <v>510</v>
      </c>
      <c r="AF227" s="209" t="s">
        <v>1228</v>
      </c>
      <c r="AG227" s="209" t="s">
        <v>510</v>
      </c>
      <c r="AH227" s="209" t="s">
        <v>1133</v>
      </c>
      <c r="AI227" s="209" t="s">
        <v>1228</v>
      </c>
      <c r="AJ227" s="209" t="s">
        <v>1133</v>
      </c>
      <c r="AK227" s="209" t="s">
        <v>510</v>
      </c>
      <c r="AL227" s="209"/>
      <c r="AM227" s="209" t="s">
        <v>1296</v>
      </c>
      <c r="AN227" s="229" t="s">
        <v>1251</v>
      </c>
      <c r="AO227" s="215">
        <v>0.88</v>
      </c>
      <c r="AP227" s="235">
        <f t="shared" si="36"/>
        <v>15523.2</v>
      </c>
      <c r="AQ227" s="235">
        <f t="shared" si="37"/>
        <v>120304.8</v>
      </c>
      <c r="AR227" s="217">
        <v>61137</v>
      </c>
      <c r="AS227" s="208">
        <v>46172</v>
      </c>
      <c r="AT227" s="227" t="s">
        <v>1220</v>
      </c>
      <c r="AU227" s="240"/>
      <c r="AV227" s="236">
        <f t="shared" si="41"/>
        <v>-17640</v>
      </c>
      <c r="AW227" s="236"/>
      <c r="AX227" s="227" t="s">
        <v>1280</v>
      </c>
      <c r="AY227" s="227"/>
      <c r="AZ227" s="227"/>
      <c r="BA227" s="227"/>
      <c r="BB227" s="208" t="str">
        <f t="shared" si="32"/>
        <v>Banter Toys</v>
      </c>
      <c r="BC227" s="208" t="str">
        <f t="shared" si="33"/>
        <v>澳大利亚</v>
      </c>
    </row>
    <row r="228" s="195" customFormat="1" customHeight="1" spans="1:55">
      <c r="A228" s="227">
        <v>46035</v>
      </c>
      <c r="B228" s="208" t="str">
        <f ca="1" t="shared" si="38"/>
        <v/>
      </c>
      <c r="C228" s="209" t="str">
        <f>VLOOKUP(H228,名称!A:E,4,0)</f>
        <v>三代</v>
      </c>
      <c r="D228" s="228" t="s">
        <v>1257</v>
      </c>
      <c r="E228" s="228" t="s">
        <v>1258</v>
      </c>
      <c r="F228" s="209" t="s">
        <v>457</v>
      </c>
      <c r="G228" s="209" t="s">
        <v>458</v>
      </c>
      <c r="H228" s="209" t="s">
        <v>89</v>
      </c>
      <c r="I228" s="209"/>
      <c r="J228" s="229">
        <v>12096</v>
      </c>
      <c r="K228" s="230">
        <f>VLOOKUP(H228,名称!A:C,2,0)</f>
        <v>12</v>
      </c>
      <c r="L228" s="229">
        <f t="shared" si="39"/>
        <v>145152</v>
      </c>
      <c r="M228" s="209">
        <f>VLOOKUP(H228,名称!A:E,3,0)</f>
        <v>6</v>
      </c>
      <c r="N228" s="229">
        <f t="shared" si="40"/>
        <v>2016</v>
      </c>
      <c r="O228" s="227">
        <v>46188</v>
      </c>
      <c r="P228" s="227">
        <v>46164</v>
      </c>
      <c r="Q228" s="227" t="s">
        <v>1698</v>
      </c>
      <c r="R228" s="227"/>
      <c r="S228" s="227" t="s">
        <v>1698</v>
      </c>
      <c r="T228" s="227"/>
      <c r="U228" s="227"/>
      <c r="V228" s="209" t="s">
        <v>1699</v>
      </c>
      <c r="W228" s="227"/>
      <c r="X228" s="209" t="s">
        <v>1133</v>
      </c>
      <c r="Y228" s="209" t="s">
        <v>1133</v>
      </c>
      <c r="Z228" s="232">
        <v>46099</v>
      </c>
      <c r="AA228" s="233">
        <v>46100</v>
      </c>
      <c r="AB228" s="232">
        <v>46107</v>
      </c>
      <c r="AC228" s="209" t="s">
        <v>1318</v>
      </c>
      <c r="AD228" s="209" t="s">
        <v>1233</v>
      </c>
      <c r="AE228" s="209" t="s">
        <v>334</v>
      </c>
      <c r="AF228" s="209" t="s">
        <v>1228</v>
      </c>
      <c r="AG228" s="209" t="s">
        <v>334</v>
      </c>
      <c r="AH228" s="209" t="s">
        <v>1361</v>
      </c>
      <c r="AI228" s="209" t="s">
        <v>1228</v>
      </c>
      <c r="AJ228" s="209" t="s">
        <v>510</v>
      </c>
      <c r="AK228" s="209" t="s">
        <v>1133</v>
      </c>
      <c r="AL228" s="209"/>
      <c r="AM228" s="209" t="s">
        <v>1700</v>
      </c>
      <c r="AN228" s="229"/>
      <c r="AO228" s="215">
        <v>1.83</v>
      </c>
      <c r="AP228" s="235">
        <f t="shared" si="36"/>
        <v>22135.68</v>
      </c>
      <c r="AQ228" s="235">
        <f t="shared" si="37"/>
        <v>171551.52</v>
      </c>
      <c r="AR228" s="224" t="s">
        <v>1701</v>
      </c>
      <c r="AS228" s="208">
        <v>46172</v>
      </c>
      <c r="AT228" s="227" t="s">
        <v>1310</v>
      </c>
      <c r="AU228" s="240"/>
      <c r="AV228" s="236">
        <f t="shared" si="41"/>
        <v>-12096</v>
      </c>
      <c r="AW228" s="236"/>
      <c r="AX228" s="227"/>
      <c r="AY228" s="227"/>
      <c r="AZ228" s="227"/>
      <c r="BA228" s="227"/>
      <c r="BB228" s="208" t="str">
        <f t="shared" si="32"/>
        <v>Character Options</v>
      </c>
      <c r="BC228" s="208" t="str">
        <f t="shared" si="33"/>
        <v>英国</v>
      </c>
    </row>
    <row r="229" s="195" customFormat="1" customHeight="1" spans="1:55">
      <c r="A229" s="227">
        <v>46035</v>
      </c>
      <c r="B229" s="208" t="str">
        <f ca="1" t="shared" si="38"/>
        <v/>
      </c>
      <c r="C229" s="209" t="str">
        <f>VLOOKUP(H229,名称!A:E,4,0)</f>
        <v>三代</v>
      </c>
      <c r="D229" s="228" t="s">
        <v>1257</v>
      </c>
      <c r="E229" s="228" t="s">
        <v>1258</v>
      </c>
      <c r="F229" s="209" t="s">
        <v>457</v>
      </c>
      <c r="G229" s="209" t="s">
        <v>458</v>
      </c>
      <c r="H229" s="209" t="s">
        <v>88</v>
      </c>
      <c r="I229" s="209"/>
      <c r="J229" s="229">
        <v>37896</v>
      </c>
      <c r="K229" s="230">
        <f>VLOOKUP(H229,名称!A:C,2,0)</f>
        <v>5</v>
      </c>
      <c r="L229" s="229">
        <f t="shared" si="39"/>
        <v>189480</v>
      </c>
      <c r="M229" s="209">
        <f>VLOOKUP(H229,名称!A:E,3,0)</f>
        <v>24</v>
      </c>
      <c r="N229" s="229">
        <f t="shared" si="40"/>
        <v>1579</v>
      </c>
      <c r="O229" s="227">
        <v>46188</v>
      </c>
      <c r="P229" s="227">
        <v>46164</v>
      </c>
      <c r="Q229" s="227" t="s">
        <v>1702</v>
      </c>
      <c r="R229" s="227"/>
      <c r="S229" s="227" t="s">
        <v>1702</v>
      </c>
      <c r="T229" s="227"/>
      <c r="U229" s="227"/>
      <c r="V229" s="209" t="s">
        <v>1703</v>
      </c>
      <c r="W229" s="227"/>
      <c r="X229" s="209" t="s">
        <v>1133</v>
      </c>
      <c r="Y229" s="209" t="s">
        <v>1133</v>
      </c>
      <c r="Z229" s="232">
        <v>46099</v>
      </c>
      <c r="AA229" s="233">
        <v>46100</v>
      </c>
      <c r="AB229" s="232">
        <v>46107</v>
      </c>
      <c r="AC229" s="209" t="s">
        <v>1133</v>
      </c>
      <c r="AD229" s="209" t="s">
        <v>1133</v>
      </c>
      <c r="AE229" s="209" t="s">
        <v>334</v>
      </c>
      <c r="AF229" s="209" t="s">
        <v>1228</v>
      </c>
      <c r="AG229" s="209" t="s">
        <v>334</v>
      </c>
      <c r="AH229" s="209" t="s">
        <v>1133</v>
      </c>
      <c r="AI229" s="209" t="s">
        <v>1228</v>
      </c>
      <c r="AJ229" s="209" t="s">
        <v>1133</v>
      </c>
      <c r="AK229" s="209" t="s">
        <v>334</v>
      </c>
      <c r="AL229" s="209"/>
      <c r="AM229" s="209" t="s">
        <v>1704</v>
      </c>
      <c r="AN229" s="229"/>
      <c r="AO229" s="215">
        <v>0.8</v>
      </c>
      <c r="AP229" s="235">
        <f t="shared" si="36"/>
        <v>30316.8</v>
      </c>
      <c r="AQ229" s="235">
        <f t="shared" si="37"/>
        <v>234955.2</v>
      </c>
      <c r="AR229" s="217">
        <v>61138</v>
      </c>
      <c r="AS229" s="208">
        <v>46172</v>
      </c>
      <c r="AT229" s="227" t="s">
        <v>1310</v>
      </c>
      <c r="AU229" s="240"/>
      <c r="AV229" s="236">
        <f t="shared" si="41"/>
        <v>-37896</v>
      </c>
      <c r="AW229" s="236"/>
      <c r="AX229" s="227"/>
      <c r="AY229" s="227"/>
      <c r="AZ229" s="227"/>
      <c r="BA229" s="227"/>
      <c r="BB229" s="208" t="str">
        <f t="shared" si="32"/>
        <v>Character Options</v>
      </c>
      <c r="BC229" s="208" t="str">
        <f t="shared" si="33"/>
        <v>英国</v>
      </c>
    </row>
    <row r="230" s="195" customFormat="1" customHeight="1" spans="1:55">
      <c r="A230" s="227">
        <v>46035</v>
      </c>
      <c r="B230" s="208" t="str">
        <f ca="1" t="shared" si="38"/>
        <v/>
      </c>
      <c r="C230" s="209" t="str">
        <f>VLOOKUP(H230,名称!A:E,4,0)</f>
        <v>三代</v>
      </c>
      <c r="D230" s="228" t="s">
        <v>1257</v>
      </c>
      <c r="E230" s="228" t="s">
        <v>1258</v>
      </c>
      <c r="F230" s="209" t="s">
        <v>457</v>
      </c>
      <c r="G230" s="209" t="s">
        <v>458</v>
      </c>
      <c r="H230" s="209" t="s">
        <v>90</v>
      </c>
      <c r="I230" s="209"/>
      <c r="J230" s="229">
        <v>3042</v>
      </c>
      <c r="K230" s="230">
        <f>VLOOKUP(H230,名称!A:C,2,0)</f>
        <v>12</v>
      </c>
      <c r="L230" s="229">
        <f t="shared" si="39"/>
        <v>36504</v>
      </c>
      <c r="M230" s="209">
        <f>VLOOKUP(H230,名称!A:E,3,0)</f>
        <v>6</v>
      </c>
      <c r="N230" s="229">
        <f t="shared" si="40"/>
        <v>507</v>
      </c>
      <c r="O230" s="227">
        <v>46188</v>
      </c>
      <c r="P230" s="227">
        <v>46164</v>
      </c>
      <c r="Q230" s="227" t="s">
        <v>1705</v>
      </c>
      <c r="R230" s="227"/>
      <c r="S230" s="227" t="s">
        <v>1706</v>
      </c>
      <c r="T230" s="227"/>
      <c r="U230" s="227"/>
      <c r="V230" s="209" t="s">
        <v>1707</v>
      </c>
      <c r="W230" s="227"/>
      <c r="X230" s="209" t="s">
        <v>1133</v>
      </c>
      <c r="Y230" s="209" t="s">
        <v>1133</v>
      </c>
      <c r="Z230" s="232">
        <v>46099</v>
      </c>
      <c r="AA230" s="233">
        <v>46100</v>
      </c>
      <c r="AB230" s="232">
        <v>46107</v>
      </c>
      <c r="AC230" s="209" t="s">
        <v>1302</v>
      </c>
      <c r="AD230" s="209" t="s">
        <v>1228</v>
      </c>
      <c r="AE230" s="209" t="s">
        <v>334</v>
      </c>
      <c r="AF230" s="209" t="s">
        <v>1228</v>
      </c>
      <c r="AG230" s="209" t="s">
        <v>334</v>
      </c>
      <c r="AH230" s="209" t="s">
        <v>1361</v>
      </c>
      <c r="AI230" s="209" t="s">
        <v>1228</v>
      </c>
      <c r="AJ230" s="209" t="s">
        <v>1133</v>
      </c>
      <c r="AK230" s="209" t="s">
        <v>1133</v>
      </c>
      <c r="AL230" s="209"/>
      <c r="AM230" s="209" t="s">
        <v>1708</v>
      </c>
      <c r="AN230" s="229"/>
      <c r="AO230" s="215">
        <v>1.56</v>
      </c>
      <c r="AP230" s="235">
        <f t="shared" si="36"/>
        <v>4745.52</v>
      </c>
      <c r="AQ230" s="235">
        <f t="shared" si="37"/>
        <v>36777.78</v>
      </c>
      <c r="AR230" s="217">
        <v>61138</v>
      </c>
      <c r="AS230" s="208">
        <v>46172</v>
      </c>
      <c r="AT230" s="227" t="s">
        <v>1220</v>
      </c>
      <c r="AU230" s="240"/>
      <c r="AV230" s="236">
        <f t="shared" si="41"/>
        <v>-3042</v>
      </c>
      <c r="AW230" s="236"/>
      <c r="AX230" s="227"/>
      <c r="AY230" s="227"/>
      <c r="AZ230" s="227"/>
      <c r="BA230" s="227"/>
      <c r="BB230" s="208" t="str">
        <f t="shared" si="32"/>
        <v>Character Options</v>
      </c>
      <c r="BC230" s="208" t="str">
        <f t="shared" si="33"/>
        <v>英国</v>
      </c>
    </row>
    <row r="231" s="194" customFormat="1" customHeight="1" spans="1:55">
      <c r="A231" s="208">
        <v>46121</v>
      </c>
      <c r="B231" s="208" t="str">
        <f ca="1" t="shared" si="38"/>
        <v/>
      </c>
      <c r="C231" s="209" t="str">
        <f>VLOOKUP(H231,名称!A:E,4,0)</f>
        <v>二代</v>
      </c>
      <c r="D231" s="210" t="s">
        <v>1257</v>
      </c>
      <c r="E231" s="210" t="s">
        <v>1258</v>
      </c>
      <c r="F231" s="211" t="s">
        <v>699</v>
      </c>
      <c r="G231" s="211" t="s">
        <v>700</v>
      </c>
      <c r="H231" s="211" t="s">
        <v>65</v>
      </c>
      <c r="I231" s="211"/>
      <c r="J231" s="212">
        <v>12000</v>
      </c>
      <c r="K231" s="223">
        <f>VLOOKUP(H231,名称!A:C,2,0)</f>
        <v>5</v>
      </c>
      <c r="L231" s="223">
        <f>K231*J231</f>
        <v>60000</v>
      </c>
      <c r="M231" s="211">
        <f>VLOOKUP(H231,名称!A:E,3,0)</f>
        <v>24</v>
      </c>
      <c r="N231" s="212">
        <f t="shared" si="40"/>
        <v>500</v>
      </c>
      <c r="O231" s="208">
        <v>46157</v>
      </c>
      <c r="P231" s="208">
        <v>46157</v>
      </c>
      <c r="Q231" s="208">
        <v>46167</v>
      </c>
      <c r="R231" s="211" t="s">
        <v>1291</v>
      </c>
      <c r="S231" s="208">
        <v>46167</v>
      </c>
      <c r="T231" s="208" t="s">
        <v>1241</v>
      </c>
      <c r="U231" s="211"/>
      <c r="V231" s="211"/>
      <c r="W231" s="208" t="s">
        <v>1651</v>
      </c>
      <c r="X231" s="211" t="s">
        <v>1133</v>
      </c>
      <c r="Y231" s="214" t="s">
        <v>1133</v>
      </c>
      <c r="Z231" s="213">
        <v>46125</v>
      </c>
      <c r="AA231" s="213">
        <v>46129</v>
      </c>
      <c r="AB231" s="213">
        <v>46140</v>
      </c>
      <c r="AC231" s="211" t="s">
        <v>1133</v>
      </c>
      <c r="AD231" s="211" t="s">
        <v>1133</v>
      </c>
      <c r="AE231" s="211" t="s">
        <v>334</v>
      </c>
      <c r="AF231" s="211" t="s">
        <v>1228</v>
      </c>
      <c r="AG231" s="211" t="s">
        <v>334</v>
      </c>
      <c r="AH231" s="211" t="s">
        <v>1133</v>
      </c>
      <c r="AI231" s="211" t="s">
        <v>1133</v>
      </c>
      <c r="AJ231" s="211" t="s">
        <v>1133</v>
      </c>
      <c r="AK231" s="211" t="s">
        <v>334</v>
      </c>
      <c r="AL231" s="212" t="s">
        <v>1228</v>
      </c>
      <c r="AM231" s="247" t="s">
        <v>1709</v>
      </c>
      <c r="AN231" s="216"/>
      <c r="AO231" s="215">
        <v>0.6</v>
      </c>
      <c r="AP231" s="216">
        <f t="shared" si="36"/>
        <v>7200</v>
      </c>
      <c r="AQ231" s="216">
        <f t="shared" si="37"/>
        <v>55800</v>
      </c>
      <c r="AR231" s="217">
        <v>61139</v>
      </c>
      <c r="AS231" s="208">
        <v>46172</v>
      </c>
      <c r="AT231" s="208" t="s">
        <v>1220</v>
      </c>
      <c r="AU231" s="221"/>
      <c r="AV231" s="222"/>
      <c r="AW231" s="208"/>
      <c r="AX231" s="208"/>
      <c r="AY231" s="208"/>
      <c r="AZ231" s="208"/>
      <c r="BA231" s="208"/>
      <c r="BB231" s="208" t="str">
        <f t="shared" si="32"/>
        <v>Character Options</v>
      </c>
      <c r="BC231" s="208" t="str">
        <f t="shared" si="33"/>
        <v>英国</v>
      </c>
    </row>
    <row r="232" s="195" customFormat="1" customHeight="1" spans="1:55">
      <c r="A232" s="227">
        <v>46092</v>
      </c>
      <c r="B232" s="208" t="str">
        <f ca="1" t="shared" si="38"/>
        <v/>
      </c>
      <c r="C232" s="209" t="str">
        <f>VLOOKUP(H232,名称!A:E,4,0)</f>
        <v>三代</v>
      </c>
      <c r="D232" s="228" t="s">
        <v>1257</v>
      </c>
      <c r="E232" s="228" t="s">
        <v>1258</v>
      </c>
      <c r="F232" s="209" t="s">
        <v>1676</v>
      </c>
      <c r="G232" s="209" t="s">
        <v>545</v>
      </c>
      <c r="H232" s="209" t="s">
        <v>66</v>
      </c>
      <c r="I232" s="209"/>
      <c r="J232" s="229">
        <f>12000-11100</f>
        <v>900</v>
      </c>
      <c r="K232" s="230">
        <f>VLOOKUP(H232,名称!A:C,2,0)</f>
        <v>12</v>
      </c>
      <c r="L232" s="229">
        <f t="shared" ref="L232:L249" si="42">J232*K232</f>
        <v>10800</v>
      </c>
      <c r="M232" s="209">
        <f>VLOOKUP(H232,名称!A:E,3,0)</f>
        <v>6</v>
      </c>
      <c r="N232" s="229">
        <f t="shared" si="40"/>
        <v>150</v>
      </c>
      <c r="O232" s="227">
        <v>46150</v>
      </c>
      <c r="P232" s="227">
        <v>46150</v>
      </c>
      <c r="Q232" s="227">
        <v>46150</v>
      </c>
      <c r="R232" s="209" t="s">
        <v>1425</v>
      </c>
      <c r="S232" s="227">
        <v>46153</v>
      </c>
      <c r="T232" s="209" t="s">
        <v>1291</v>
      </c>
      <c r="U232" s="209"/>
      <c r="V232" s="209"/>
      <c r="W232" s="227"/>
      <c r="X232" s="209" t="s">
        <v>1133</v>
      </c>
      <c r="Y232" s="209" t="s">
        <v>1133</v>
      </c>
      <c r="Z232" s="232">
        <v>46092</v>
      </c>
      <c r="AA232" s="233">
        <v>46105</v>
      </c>
      <c r="AB232" s="232">
        <v>46114</v>
      </c>
      <c r="AC232" s="209" t="s">
        <v>1318</v>
      </c>
      <c r="AD232" s="209" t="s">
        <v>1228</v>
      </c>
      <c r="AE232" s="209" t="s">
        <v>334</v>
      </c>
      <c r="AF232" s="209" t="s">
        <v>1228</v>
      </c>
      <c r="AG232" s="209" t="s">
        <v>334</v>
      </c>
      <c r="AH232" s="209" t="s">
        <v>1361</v>
      </c>
      <c r="AI232" s="209" t="s">
        <v>1228</v>
      </c>
      <c r="AJ232" s="209" t="s">
        <v>1422</v>
      </c>
      <c r="AK232" s="209" t="s">
        <v>1133</v>
      </c>
      <c r="AL232" s="209"/>
      <c r="AM232" s="209" t="s">
        <v>1679</v>
      </c>
      <c r="AN232" s="229" t="s">
        <v>1680</v>
      </c>
      <c r="AO232" s="215">
        <v>1.99</v>
      </c>
      <c r="AP232" s="235">
        <f t="shared" si="36"/>
        <v>1791</v>
      </c>
      <c r="AQ232" s="235">
        <f t="shared" si="37"/>
        <v>13880.25</v>
      </c>
      <c r="AR232" s="217">
        <v>61140</v>
      </c>
      <c r="AS232" s="208">
        <v>46172</v>
      </c>
      <c r="AT232" s="227" t="s">
        <v>1220</v>
      </c>
      <c r="AU232" s="240">
        <f>5250+6444+288+18</f>
        <v>12000</v>
      </c>
      <c r="AV232" s="236">
        <f>AU232-J232</f>
        <v>11100</v>
      </c>
      <c r="AW232" s="236"/>
      <c r="AX232" s="227" t="s">
        <v>1280</v>
      </c>
      <c r="AY232" s="227"/>
      <c r="AZ232" s="227"/>
      <c r="BA232" s="227"/>
      <c r="BB232" s="208" t="str">
        <f t="shared" si="32"/>
        <v>Character Options</v>
      </c>
      <c r="BC232" s="208" t="str">
        <f t="shared" si="33"/>
        <v>英国</v>
      </c>
    </row>
    <row r="233" s="195" customFormat="1" customHeight="1" spans="1:55">
      <c r="A233" s="227">
        <v>46092</v>
      </c>
      <c r="B233" s="208" t="str">
        <f ca="1" t="shared" si="38"/>
        <v/>
      </c>
      <c r="C233" s="209" t="str">
        <f>VLOOKUP(H233,名称!A:E,4,0)</f>
        <v>三代</v>
      </c>
      <c r="D233" s="228" t="s">
        <v>1257</v>
      </c>
      <c r="E233" s="228" t="s">
        <v>1258</v>
      </c>
      <c r="F233" s="209"/>
      <c r="G233" s="209" t="s">
        <v>545</v>
      </c>
      <c r="H233" s="209" t="s">
        <v>84</v>
      </c>
      <c r="I233" s="209"/>
      <c r="J233" s="229">
        <v>24012</v>
      </c>
      <c r="K233" s="230">
        <f>VLOOKUP(H233,名称!A:C,2,0)</f>
        <v>5</v>
      </c>
      <c r="L233" s="229">
        <f t="shared" si="42"/>
        <v>120060</v>
      </c>
      <c r="M233" s="209">
        <f>VLOOKUP(H233,名称!A:E,3,0)</f>
        <v>18</v>
      </c>
      <c r="N233" s="229">
        <f t="shared" si="40"/>
        <v>1334</v>
      </c>
      <c r="O233" s="227">
        <v>46150</v>
      </c>
      <c r="P233" s="227">
        <v>46170</v>
      </c>
      <c r="Q233" s="227">
        <v>46168</v>
      </c>
      <c r="R233" s="209"/>
      <c r="S233" s="227">
        <v>46168</v>
      </c>
      <c r="T233" s="209"/>
      <c r="U233" s="209"/>
      <c r="V233" s="209"/>
      <c r="W233" s="227"/>
      <c r="X233" s="209" t="s">
        <v>1133</v>
      </c>
      <c r="Y233" s="209" t="s">
        <v>1133</v>
      </c>
      <c r="Z233" s="232">
        <v>46092</v>
      </c>
      <c r="AA233" s="233">
        <v>46105</v>
      </c>
      <c r="AB233" s="232">
        <v>46114</v>
      </c>
      <c r="AC233" s="209" t="s">
        <v>1133</v>
      </c>
      <c r="AD233" s="209" t="s">
        <v>1133</v>
      </c>
      <c r="AE233" s="209" t="s">
        <v>334</v>
      </c>
      <c r="AF233" s="209" t="s">
        <v>1228</v>
      </c>
      <c r="AG233" s="209" t="s">
        <v>334</v>
      </c>
      <c r="AH233" s="209" t="s">
        <v>1133</v>
      </c>
      <c r="AI233" s="209" t="s">
        <v>1228</v>
      </c>
      <c r="AJ233" s="209" t="s">
        <v>1133</v>
      </c>
      <c r="AK233" s="209" t="s">
        <v>334</v>
      </c>
      <c r="AL233" s="209"/>
      <c r="AM233" s="209" t="s">
        <v>1710</v>
      </c>
      <c r="AN233" s="229"/>
      <c r="AO233" s="215">
        <v>0.86</v>
      </c>
      <c r="AP233" s="235">
        <f t="shared" si="36"/>
        <v>20650.32</v>
      </c>
      <c r="AQ233" s="235">
        <f t="shared" si="37"/>
        <v>160039.98</v>
      </c>
      <c r="AR233" s="217">
        <v>61140</v>
      </c>
      <c r="AS233" s="208">
        <v>46172</v>
      </c>
      <c r="AT233" s="227" t="s">
        <v>1310</v>
      </c>
      <c r="AU233" s="240"/>
      <c r="AV233" s="236">
        <f>AU233-J233</f>
        <v>-24012</v>
      </c>
      <c r="AW233" s="236"/>
      <c r="AX233" s="227"/>
      <c r="AY233" s="227"/>
      <c r="AZ233" s="227"/>
      <c r="BA233" s="227"/>
      <c r="BB233" s="208" t="str">
        <f t="shared" si="32"/>
        <v>Character Options</v>
      </c>
      <c r="BC233" s="208" t="str">
        <f t="shared" si="33"/>
        <v>英国</v>
      </c>
    </row>
    <row r="234" s="195" customFormat="1" customHeight="1" spans="1:55">
      <c r="A234" s="227">
        <v>46155</v>
      </c>
      <c r="B234" s="208" t="str">
        <f ca="1" t="shared" si="38"/>
        <v/>
      </c>
      <c r="C234" s="209" t="str">
        <f>VLOOKUP(H234,名称!A:E,4,0)</f>
        <v>二代</v>
      </c>
      <c r="D234" s="242" t="s">
        <v>1711</v>
      </c>
      <c r="E234" s="242" t="s">
        <v>1325</v>
      </c>
      <c r="F234" s="242" t="s">
        <v>846</v>
      </c>
      <c r="G234" s="242" t="s">
        <v>847</v>
      </c>
      <c r="H234" s="242" t="s">
        <v>44</v>
      </c>
      <c r="I234" s="209"/>
      <c r="J234" s="243">
        <f>1200+1176</f>
        <v>2376</v>
      </c>
      <c r="K234" s="230">
        <f>VLOOKUP(H234,名称!A:C,2,0)</f>
        <v>5</v>
      </c>
      <c r="L234" s="229">
        <f t="shared" si="42"/>
        <v>11880</v>
      </c>
      <c r="M234" s="211">
        <f>VLOOKUP(H234,名称!A:E,3,0)</f>
        <v>24</v>
      </c>
      <c r="N234" s="212">
        <f t="shared" si="40"/>
        <v>99</v>
      </c>
      <c r="O234" s="244">
        <v>46155</v>
      </c>
      <c r="P234" s="248">
        <f>O234</f>
        <v>46155</v>
      </c>
      <c r="Q234" s="227">
        <v>46162</v>
      </c>
      <c r="R234" s="209" t="s">
        <v>1241</v>
      </c>
      <c r="S234" s="227">
        <v>46164</v>
      </c>
      <c r="T234" s="209"/>
      <c r="U234" s="209"/>
      <c r="V234" s="209"/>
      <c r="W234" s="211" t="s">
        <v>1628</v>
      </c>
      <c r="X234" s="211" t="s">
        <v>1133</v>
      </c>
      <c r="Y234" s="211" t="s">
        <v>1133</v>
      </c>
      <c r="Z234" s="213">
        <v>46106</v>
      </c>
      <c r="AA234" s="214">
        <v>46109</v>
      </c>
      <c r="AB234" s="213">
        <v>46111</v>
      </c>
      <c r="AC234" s="209" t="s">
        <v>1133</v>
      </c>
      <c r="AD234" s="209" t="s">
        <v>1133</v>
      </c>
      <c r="AE234" s="242" t="s">
        <v>253</v>
      </c>
      <c r="AF234" s="209" t="s">
        <v>1228</v>
      </c>
      <c r="AG234" s="242" t="s">
        <v>253</v>
      </c>
      <c r="AH234" s="211" t="s">
        <v>1133</v>
      </c>
      <c r="AI234" s="211" t="s">
        <v>1228</v>
      </c>
      <c r="AJ234" s="211" t="s">
        <v>1133</v>
      </c>
      <c r="AK234" s="211" t="s">
        <v>253</v>
      </c>
      <c r="AL234" s="211" t="s">
        <v>1228</v>
      </c>
      <c r="AM234" s="211" t="s">
        <v>1230</v>
      </c>
      <c r="AN234" s="212" t="s">
        <v>1234</v>
      </c>
      <c r="AO234" s="215">
        <v>0.63</v>
      </c>
      <c r="AP234" s="235">
        <f t="shared" si="36"/>
        <v>1496.88</v>
      </c>
      <c r="AQ234" s="235">
        <f t="shared" si="37"/>
        <v>11600.82</v>
      </c>
      <c r="AR234" s="217">
        <v>61141</v>
      </c>
      <c r="AS234" s="208">
        <v>46172</v>
      </c>
      <c r="AT234" s="227" t="s">
        <v>1254</v>
      </c>
      <c r="AU234" s="227"/>
      <c r="AV234" s="227"/>
      <c r="AW234" s="227"/>
      <c r="AX234" s="227"/>
      <c r="AY234" s="208" t="s">
        <v>1232</v>
      </c>
      <c r="AZ234" s="208" t="s">
        <v>1222</v>
      </c>
      <c r="BA234" s="227"/>
      <c r="BB234" s="208" t="str">
        <f t="shared" si="32"/>
        <v>JAZWARES - INTL (LOBLAWS DOM)</v>
      </c>
      <c r="BC234" s="208" t="str">
        <f t="shared" si="33"/>
        <v>加拿大</v>
      </c>
    </row>
    <row r="235" s="195" customFormat="1" customHeight="1" spans="1:55">
      <c r="A235" s="227">
        <v>46155</v>
      </c>
      <c r="B235" s="208" t="str">
        <f ca="1" t="shared" si="38"/>
        <v/>
      </c>
      <c r="C235" s="209" t="str">
        <f>VLOOKUP(H235,名称!A:E,4,0)</f>
        <v>二代</v>
      </c>
      <c r="D235" s="242" t="s">
        <v>1711</v>
      </c>
      <c r="E235" s="242" t="s">
        <v>1325</v>
      </c>
      <c r="F235" s="242" t="s">
        <v>848</v>
      </c>
      <c r="G235" s="242" t="s">
        <v>849</v>
      </c>
      <c r="H235" s="242" t="s">
        <v>44</v>
      </c>
      <c r="I235" s="209"/>
      <c r="J235" s="243">
        <v>1800</v>
      </c>
      <c r="K235" s="230">
        <f>VLOOKUP(H235,名称!A:C,2,0)</f>
        <v>5</v>
      </c>
      <c r="L235" s="229">
        <f t="shared" si="42"/>
        <v>9000</v>
      </c>
      <c r="M235" s="211">
        <f>VLOOKUP(H235,名称!A:E,3,0)</f>
        <v>24</v>
      </c>
      <c r="N235" s="212">
        <f t="shared" si="40"/>
        <v>75</v>
      </c>
      <c r="O235" s="244">
        <v>46194</v>
      </c>
      <c r="P235" s="248">
        <v>46195</v>
      </c>
      <c r="Q235" s="227">
        <v>46162</v>
      </c>
      <c r="R235" s="209" t="s">
        <v>1241</v>
      </c>
      <c r="S235" s="227">
        <v>46164</v>
      </c>
      <c r="T235" s="209"/>
      <c r="U235" s="209"/>
      <c r="V235" s="209"/>
      <c r="W235" s="211" t="s">
        <v>1628</v>
      </c>
      <c r="X235" s="211" t="s">
        <v>1133</v>
      </c>
      <c r="Y235" s="211" t="s">
        <v>1133</v>
      </c>
      <c r="Z235" s="213">
        <v>46106</v>
      </c>
      <c r="AA235" s="214">
        <v>46109</v>
      </c>
      <c r="AB235" s="213">
        <v>46111</v>
      </c>
      <c r="AC235" s="209" t="s">
        <v>1133</v>
      </c>
      <c r="AD235" s="209" t="s">
        <v>1133</v>
      </c>
      <c r="AE235" s="242" t="s">
        <v>253</v>
      </c>
      <c r="AF235" s="209" t="s">
        <v>1228</v>
      </c>
      <c r="AG235" s="242" t="s">
        <v>253</v>
      </c>
      <c r="AH235" s="211" t="s">
        <v>1133</v>
      </c>
      <c r="AI235" s="211" t="s">
        <v>1228</v>
      </c>
      <c r="AJ235" s="211" t="s">
        <v>1133</v>
      </c>
      <c r="AK235" s="211" t="s">
        <v>253</v>
      </c>
      <c r="AL235" s="211" t="s">
        <v>1228</v>
      </c>
      <c r="AM235" s="211" t="s">
        <v>1230</v>
      </c>
      <c r="AN235" s="212" t="s">
        <v>1234</v>
      </c>
      <c r="AO235" s="215">
        <v>0.63</v>
      </c>
      <c r="AP235" s="235">
        <f t="shared" si="36"/>
        <v>1134</v>
      </c>
      <c r="AQ235" s="235">
        <f t="shared" si="37"/>
        <v>8788.5</v>
      </c>
      <c r="AR235" s="217">
        <v>61142</v>
      </c>
      <c r="AS235" s="208">
        <v>46172</v>
      </c>
      <c r="AT235" s="227" t="s">
        <v>1254</v>
      </c>
      <c r="AU235" s="227"/>
      <c r="AV235" s="227"/>
      <c r="AW235" s="227"/>
      <c r="AX235" s="227"/>
      <c r="AY235" s="208" t="s">
        <v>1232</v>
      </c>
      <c r="AZ235" s="208" t="s">
        <v>1222</v>
      </c>
      <c r="BA235" s="227"/>
      <c r="BB235" s="208" t="str">
        <f t="shared" si="32"/>
        <v>JAZWARES - INTL (LOBLAWS DOM)</v>
      </c>
      <c r="BC235" s="208" t="str">
        <f t="shared" si="33"/>
        <v>加拿大</v>
      </c>
    </row>
    <row r="236" s="195" customFormat="1" customHeight="1" spans="1:55">
      <c r="A236" s="227">
        <v>46100</v>
      </c>
      <c r="B236" s="208" t="str">
        <f ca="1" t="shared" si="38"/>
        <v/>
      </c>
      <c r="C236" s="209" t="str">
        <f>VLOOKUP(H236,名称!A:E,4,0)</f>
        <v>三代</v>
      </c>
      <c r="D236" s="228" t="s">
        <v>1420</v>
      </c>
      <c r="E236" s="228" t="s">
        <v>1421</v>
      </c>
      <c r="F236" s="209"/>
      <c r="G236" s="209" t="s">
        <v>575</v>
      </c>
      <c r="H236" s="209" t="s">
        <v>112</v>
      </c>
      <c r="I236" s="209"/>
      <c r="J236" s="229">
        <v>1000</v>
      </c>
      <c r="K236" s="230">
        <f>VLOOKUP(H236,名称!A:C,2,0)</f>
        <v>50</v>
      </c>
      <c r="L236" s="229">
        <f t="shared" si="42"/>
        <v>50000</v>
      </c>
      <c r="M236" s="209">
        <f>VLOOKUP(H236,名称!A:E,3,0)</f>
        <v>2</v>
      </c>
      <c r="N236" s="229">
        <f t="shared" si="40"/>
        <v>500</v>
      </c>
      <c r="O236" s="227">
        <v>46153</v>
      </c>
      <c r="P236" s="227">
        <v>46171</v>
      </c>
      <c r="Q236" s="227">
        <v>46171</v>
      </c>
      <c r="R236" s="209"/>
      <c r="S236" s="227" t="s">
        <v>1133</v>
      </c>
      <c r="T236" s="209"/>
      <c r="U236" s="209"/>
      <c r="V236" s="209"/>
      <c r="W236" s="227"/>
      <c r="X236" s="209" t="s">
        <v>1248</v>
      </c>
      <c r="Y236" s="209" t="s">
        <v>1228</v>
      </c>
      <c r="Z236" s="232" t="s">
        <v>1249</v>
      </c>
      <c r="AA236" s="233">
        <v>46113</v>
      </c>
      <c r="AB236" s="232">
        <v>46116</v>
      </c>
      <c r="AC236" s="209" t="s">
        <v>1133</v>
      </c>
      <c r="AD236" s="209" t="s">
        <v>1133</v>
      </c>
      <c r="AE236" s="209" t="s">
        <v>510</v>
      </c>
      <c r="AF236" s="209" t="s">
        <v>1228</v>
      </c>
      <c r="AG236" s="209" t="s">
        <v>510</v>
      </c>
      <c r="AH236" s="209" t="s">
        <v>1133</v>
      </c>
      <c r="AI236" s="209" t="s">
        <v>1228</v>
      </c>
      <c r="AJ236" s="209" t="s">
        <v>1133</v>
      </c>
      <c r="AK236" s="209" t="s">
        <v>1356</v>
      </c>
      <c r="AL236" s="209"/>
      <c r="AM236" s="209" t="s">
        <v>1289</v>
      </c>
      <c r="AN236" s="229" t="s">
        <v>1251</v>
      </c>
      <c r="AO236" s="215">
        <v>9.39</v>
      </c>
      <c r="AP236" s="235">
        <f t="shared" si="36"/>
        <v>9390</v>
      </c>
      <c r="AQ236" s="235">
        <f t="shared" si="37"/>
        <v>72772.5</v>
      </c>
      <c r="AR236" s="217">
        <v>61143</v>
      </c>
      <c r="AS236" s="208">
        <v>46172</v>
      </c>
      <c r="AT236" s="227" t="s">
        <v>1220</v>
      </c>
      <c r="AU236" s="245"/>
      <c r="AV236" s="236">
        <f t="shared" ref="AV236:AV246" si="43">AU236-J236</f>
        <v>-1000</v>
      </c>
      <c r="AW236" s="236"/>
      <c r="AX236" s="227"/>
      <c r="AY236" s="227"/>
      <c r="AZ236" s="227"/>
      <c r="BA236" s="227"/>
      <c r="BB236" s="208" t="str">
        <f t="shared" si="32"/>
        <v>Banter Toys</v>
      </c>
      <c r="BC236" s="208" t="str">
        <f t="shared" si="33"/>
        <v>澳大利亚</v>
      </c>
    </row>
    <row r="237" s="195" customFormat="1" customHeight="1" spans="1:55">
      <c r="A237" s="227">
        <v>46093</v>
      </c>
      <c r="B237" s="208" t="str">
        <f ca="1" t="shared" si="38"/>
        <v/>
      </c>
      <c r="C237" s="209" t="str">
        <f>VLOOKUP(H237,名称!A:E,4,0)</f>
        <v>三代</v>
      </c>
      <c r="D237" s="228" t="s">
        <v>1420</v>
      </c>
      <c r="E237" s="228" t="s">
        <v>1421</v>
      </c>
      <c r="F237" s="209"/>
      <c r="G237" s="209" t="s">
        <v>546</v>
      </c>
      <c r="H237" s="209" t="s">
        <v>109</v>
      </c>
      <c r="I237" s="209"/>
      <c r="J237" s="229">
        <v>18000</v>
      </c>
      <c r="K237" s="230">
        <f>VLOOKUP(H237,名称!A:C,2,0)</f>
        <v>0</v>
      </c>
      <c r="L237" s="229">
        <f t="shared" si="42"/>
        <v>0</v>
      </c>
      <c r="M237" s="209">
        <f>VLOOKUP(H237,名称!A:E,3,0)</f>
        <v>24</v>
      </c>
      <c r="N237" s="229">
        <f t="shared" si="40"/>
        <v>750</v>
      </c>
      <c r="O237" s="227">
        <v>46147</v>
      </c>
      <c r="P237" s="227">
        <v>46170</v>
      </c>
      <c r="Q237" s="227">
        <v>46170</v>
      </c>
      <c r="R237" s="209"/>
      <c r="S237" s="227" t="s">
        <v>1133</v>
      </c>
      <c r="T237" s="209"/>
      <c r="U237" s="209"/>
      <c r="V237" s="209"/>
      <c r="W237" s="227"/>
      <c r="X237" s="209" t="s">
        <v>1248</v>
      </c>
      <c r="Y237" s="209" t="s">
        <v>1228</v>
      </c>
      <c r="Z237" s="232">
        <v>46093</v>
      </c>
      <c r="AA237" s="233">
        <v>46109</v>
      </c>
      <c r="AB237" s="232">
        <v>46113</v>
      </c>
      <c r="AC237" s="209" t="s">
        <v>1133</v>
      </c>
      <c r="AD237" s="209" t="s">
        <v>1133</v>
      </c>
      <c r="AE237" s="209" t="s">
        <v>510</v>
      </c>
      <c r="AF237" s="209" t="s">
        <v>1228</v>
      </c>
      <c r="AG237" s="209" t="s">
        <v>510</v>
      </c>
      <c r="AH237" s="209" t="s">
        <v>1133</v>
      </c>
      <c r="AI237" s="209" t="s">
        <v>1228</v>
      </c>
      <c r="AJ237" s="209" t="s">
        <v>1133</v>
      </c>
      <c r="AK237" s="209" t="s">
        <v>510</v>
      </c>
      <c r="AL237" s="209"/>
      <c r="AM237" s="209" t="s">
        <v>1712</v>
      </c>
      <c r="AN237" s="229" t="s">
        <v>1251</v>
      </c>
      <c r="AO237" s="215">
        <v>0.61</v>
      </c>
      <c r="AP237" s="235">
        <f t="shared" si="36"/>
        <v>10980</v>
      </c>
      <c r="AQ237" s="235">
        <f t="shared" si="37"/>
        <v>85095</v>
      </c>
      <c r="AR237" s="217">
        <v>61144</v>
      </c>
      <c r="AS237" s="208">
        <v>46172</v>
      </c>
      <c r="AT237" s="227" t="s">
        <v>1220</v>
      </c>
      <c r="AU237" s="240"/>
      <c r="AV237" s="236">
        <f t="shared" si="43"/>
        <v>-18000</v>
      </c>
      <c r="AW237" s="236"/>
      <c r="AX237" s="227"/>
      <c r="AY237" s="227"/>
      <c r="AZ237" s="227"/>
      <c r="BA237" s="227"/>
      <c r="BB237" s="208" t="str">
        <f t="shared" si="32"/>
        <v>Banter Toys</v>
      </c>
      <c r="BC237" s="208" t="str">
        <f t="shared" si="33"/>
        <v>澳大利亚</v>
      </c>
    </row>
    <row r="238" s="195" customFormat="1" customHeight="1" spans="1:55">
      <c r="A238" s="227">
        <v>46077</v>
      </c>
      <c r="B238" s="208" t="str">
        <f ca="1" t="shared" si="38"/>
        <v/>
      </c>
      <c r="C238" s="209" t="str">
        <f>VLOOKUP(H238,名称!A:E,4,0)</f>
        <v>三代</v>
      </c>
      <c r="D238" s="228" t="s">
        <v>1420</v>
      </c>
      <c r="E238" s="228" t="s">
        <v>1421</v>
      </c>
      <c r="F238" s="209">
        <v>21011644</v>
      </c>
      <c r="G238" s="209" t="s">
        <v>512</v>
      </c>
      <c r="H238" s="209" t="s">
        <v>85</v>
      </c>
      <c r="I238" s="209"/>
      <c r="J238" s="212">
        <f>18000-17640</f>
        <v>360</v>
      </c>
      <c r="K238" s="230">
        <f>VLOOKUP(H238,名称!A:C,2,0)</f>
        <v>5</v>
      </c>
      <c r="L238" s="229">
        <f t="shared" si="42"/>
        <v>1800</v>
      </c>
      <c r="M238" s="209">
        <f>VLOOKUP(H238,名称!A:E,3,0)</f>
        <v>24</v>
      </c>
      <c r="N238" s="229">
        <f t="shared" si="40"/>
        <v>15</v>
      </c>
      <c r="O238" s="227">
        <v>46142</v>
      </c>
      <c r="P238" s="227">
        <v>46168</v>
      </c>
      <c r="Q238" s="227">
        <v>46168</v>
      </c>
      <c r="R238" s="209"/>
      <c r="S238" s="227" t="s">
        <v>1133</v>
      </c>
      <c r="T238" s="209"/>
      <c r="U238" s="232">
        <v>46164</v>
      </c>
      <c r="V238" s="232"/>
      <c r="W238" s="227"/>
      <c r="X238" s="209" t="s">
        <v>1505</v>
      </c>
      <c r="Y238" s="209" t="s">
        <v>1228</v>
      </c>
      <c r="Z238" s="232">
        <v>46086</v>
      </c>
      <c r="AA238" s="233">
        <v>46088</v>
      </c>
      <c r="AB238" s="232">
        <v>46093</v>
      </c>
      <c r="AC238" s="209" t="s">
        <v>1133</v>
      </c>
      <c r="AD238" s="209" t="s">
        <v>1133</v>
      </c>
      <c r="AE238" s="209" t="s">
        <v>510</v>
      </c>
      <c r="AF238" s="209" t="s">
        <v>1228</v>
      </c>
      <c r="AG238" s="209" t="s">
        <v>510</v>
      </c>
      <c r="AH238" s="209" t="s">
        <v>1133</v>
      </c>
      <c r="AI238" s="209" t="s">
        <v>1228</v>
      </c>
      <c r="AJ238" s="209" t="s">
        <v>1133</v>
      </c>
      <c r="AK238" s="209" t="s">
        <v>510</v>
      </c>
      <c r="AL238" s="209"/>
      <c r="AM238" s="209" t="s">
        <v>1296</v>
      </c>
      <c r="AN238" s="229" t="s">
        <v>1251</v>
      </c>
      <c r="AO238" s="215">
        <v>0.89</v>
      </c>
      <c r="AP238" s="235">
        <f t="shared" si="36"/>
        <v>320.4</v>
      </c>
      <c r="AQ238" s="235">
        <f t="shared" si="37"/>
        <v>2483.1</v>
      </c>
      <c r="AR238" s="217">
        <v>61145</v>
      </c>
      <c r="AS238" s="208">
        <v>46172</v>
      </c>
      <c r="AT238" s="227" t="s">
        <v>1220</v>
      </c>
      <c r="AU238" s="240"/>
      <c r="AV238" s="236">
        <f t="shared" si="43"/>
        <v>-360</v>
      </c>
      <c r="AW238" s="236"/>
      <c r="AX238" s="227" t="s">
        <v>1280</v>
      </c>
      <c r="AY238" s="227"/>
      <c r="AZ238" s="227"/>
      <c r="BA238" s="227"/>
      <c r="BB238" s="208" t="str">
        <f t="shared" si="32"/>
        <v>Banter Toys</v>
      </c>
      <c r="BC238" s="208" t="str">
        <f t="shared" si="33"/>
        <v>澳大利亚</v>
      </c>
    </row>
    <row r="239" s="195" customFormat="1" customHeight="1" spans="1:55">
      <c r="A239" s="227">
        <v>46031</v>
      </c>
      <c r="B239" s="208" t="str">
        <f ca="1" t="shared" si="38"/>
        <v/>
      </c>
      <c r="C239" s="209" t="str">
        <f>VLOOKUP(H239,名称!A:E,4,0)</f>
        <v>三代</v>
      </c>
      <c r="D239" s="228" t="s">
        <v>1276</v>
      </c>
      <c r="E239" s="228" t="s">
        <v>1224</v>
      </c>
      <c r="F239" s="209" t="s">
        <v>410</v>
      </c>
      <c r="G239" s="209" t="s">
        <v>411</v>
      </c>
      <c r="H239" s="209" t="s">
        <v>59</v>
      </c>
      <c r="I239" s="209"/>
      <c r="J239" s="229">
        <v>14400</v>
      </c>
      <c r="K239" s="230">
        <f>VLOOKUP(H239,名称!A:C,2,0)</f>
        <v>5</v>
      </c>
      <c r="L239" s="229">
        <f t="shared" si="42"/>
        <v>72000</v>
      </c>
      <c r="M239" s="209">
        <f>VLOOKUP(H239,名称!A:E,3,0)</f>
        <v>24</v>
      </c>
      <c r="N239" s="229">
        <f t="shared" si="40"/>
        <v>600</v>
      </c>
      <c r="O239" s="227">
        <v>46150</v>
      </c>
      <c r="P239" s="227">
        <v>46157</v>
      </c>
      <c r="Q239" s="227">
        <v>46157</v>
      </c>
      <c r="R239" s="209" t="s">
        <v>1241</v>
      </c>
      <c r="S239" s="227">
        <v>46157</v>
      </c>
      <c r="T239" s="209" t="s">
        <v>1241</v>
      </c>
      <c r="U239" s="209"/>
      <c r="V239" s="209" t="s">
        <v>1713</v>
      </c>
      <c r="W239" s="227"/>
      <c r="X239" s="209" t="s">
        <v>1133</v>
      </c>
      <c r="Y239" s="209" t="s">
        <v>1133</v>
      </c>
      <c r="Z239" s="232">
        <v>46059</v>
      </c>
      <c r="AA239" s="233">
        <v>46079</v>
      </c>
      <c r="AB239" s="232">
        <v>46094</v>
      </c>
      <c r="AC239" s="209" t="s">
        <v>1133</v>
      </c>
      <c r="AD239" s="209" t="s">
        <v>1133</v>
      </c>
      <c r="AE239" s="209" t="s">
        <v>270</v>
      </c>
      <c r="AF239" s="209" t="s">
        <v>1228</v>
      </c>
      <c r="AG239" s="209" t="s">
        <v>270</v>
      </c>
      <c r="AH239" s="209" t="s">
        <v>1133</v>
      </c>
      <c r="AI239" s="209" t="s">
        <v>1228</v>
      </c>
      <c r="AJ239" s="209" t="s">
        <v>1133</v>
      </c>
      <c r="AK239" s="209" t="s">
        <v>1659</v>
      </c>
      <c r="AL239" s="209"/>
      <c r="AM239" s="209" t="s">
        <v>1296</v>
      </c>
      <c r="AN239" s="229"/>
      <c r="AO239" s="215">
        <v>0.64</v>
      </c>
      <c r="AP239" s="235">
        <f t="shared" si="36"/>
        <v>9216</v>
      </c>
      <c r="AQ239" s="235">
        <f t="shared" si="37"/>
        <v>71424</v>
      </c>
      <c r="AR239" s="217">
        <v>61146</v>
      </c>
      <c r="AS239" s="208">
        <v>46174</v>
      </c>
      <c r="AT239" s="227" t="s">
        <v>1220</v>
      </c>
      <c r="AU239" s="240">
        <f>14376+24</f>
        <v>14400</v>
      </c>
      <c r="AV239" s="236">
        <f t="shared" si="43"/>
        <v>0</v>
      </c>
      <c r="AW239" s="236"/>
      <c r="AX239" s="227" t="s">
        <v>1280</v>
      </c>
      <c r="AY239" s="227"/>
      <c r="AZ239" s="227"/>
      <c r="BA239" s="227"/>
      <c r="BB239" s="208" t="str">
        <f t="shared" si="32"/>
        <v>Jazwares- TARGET US DOM</v>
      </c>
      <c r="BC239" s="208" t="str">
        <f t="shared" si="33"/>
        <v>美国</v>
      </c>
    </row>
    <row r="240" s="195" customFormat="1" customHeight="1" spans="1:55">
      <c r="A240" s="227">
        <v>46059</v>
      </c>
      <c r="B240" s="208" t="str">
        <f ca="1" t="shared" si="38"/>
        <v/>
      </c>
      <c r="C240" s="209" t="str">
        <f>VLOOKUP(H240,名称!A:E,4,0)</f>
        <v>三代</v>
      </c>
      <c r="D240" s="228" t="s">
        <v>1281</v>
      </c>
      <c r="E240" s="228" t="s">
        <v>1224</v>
      </c>
      <c r="F240" s="209" t="s">
        <v>491</v>
      </c>
      <c r="G240" s="209" t="s">
        <v>492</v>
      </c>
      <c r="H240" s="209" t="s">
        <v>107</v>
      </c>
      <c r="I240" s="209"/>
      <c r="J240" s="229">
        <v>4500</v>
      </c>
      <c r="K240" s="230">
        <f>VLOOKUP(H240,名称!A:C,2,0)</f>
        <v>12</v>
      </c>
      <c r="L240" s="229">
        <f t="shared" si="42"/>
        <v>54000</v>
      </c>
      <c r="M240" s="209">
        <v>5</v>
      </c>
      <c r="N240" s="229">
        <f t="shared" si="40"/>
        <v>900</v>
      </c>
      <c r="O240" s="227">
        <v>46158</v>
      </c>
      <c r="P240" s="227">
        <v>46164</v>
      </c>
      <c r="Q240" s="227">
        <v>46164</v>
      </c>
      <c r="R240" s="209" t="s">
        <v>1241</v>
      </c>
      <c r="S240" s="227">
        <v>46167</v>
      </c>
      <c r="T240" s="209" t="s">
        <v>1241</v>
      </c>
      <c r="U240" s="232">
        <v>46157</v>
      </c>
      <c r="V240" s="209" t="s">
        <v>1714</v>
      </c>
      <c r="W240" s="227"/>
      <c r="X240" s="209" t="s">
        <v>1133</v>
      </c>
      <c r="Y240" s="209" t="s">
        <v>1133</v>
      </c>
      <c r="Z240" s="232">
        <v>46059</v>
      </c>
      <c r="AA240" s="233">
        <v>46079</v>
      </c>
      <c r="AB240" s="232">
        <v>46080</v>
      </c>
      <c r="AC240" s="209" t="s">
        <v>1302</v>
      </c>
      <c r="AD240" s="209" t="s">
        <v>1228</v>
      </c>
      <c r="AE240" s="209" t="s">
        <v>270</v>
      </c>
      <c r="AF240" s="209" t="s">
        <v>1228</v>
      </c>
      <c r="AG240" s="209" t="s">
        <v>270</v>
      </c>
      <c r="AH240" s="209" t="s">
        <v>1285</v>
      </c>
      <c r="AI240" s="209" t="s">
        <v>1228</v>
      </c>
      <c r="AJ240" s="209" t="s">
        <v>510</v>
      </c>
      <c r="AK240" s="209" t="s">
        <v>1133</v>
      </c>
      <c r="AL240" s="209"/>
      <c r="AM240" s="209" t="s">
        <v>1296</v>
      </c>
      <c r="AN240" s="229"/>
      <c r="AO240" s="215">
        <v>2.14</v>
      </c>
      <c r="AP240" s="235">
        <f t="shared" si="36"/>
        <v>9630</v>
      </c>
      <c r="AQ240" s="235">
        <f t="shared" si="37"/>
        <v>74632.5</v>
      </c>
      <c r="AR240" s="217">
        <v>61147</v>
      </c>
      <c r="AS240" s="208">
        <v>46174</v>
      </c>
      <c r="AT240" s="227" t="s">
        <v>1220</v>
      </c>
      <c r="AU240" s="240">
        <f>4040+460</f>
        <v>4500</v>
      </c>
      <c r="AV240" s="236">
        <f t="shared" si="43"/>
        <v>0</v>
      </c>
      <c r="AW240" s="236"/>
      <c r="AX240" s="227"/>
      <c r="AY240" s="227"/>
      <c r="AZ240" s="227"/>
      <c r="BA240" s="227"/>
      <c r="BB240" s="208" t="str">
        <f t="shared" si="32"/>
        <v>Jazwares, LLC</v>
      </c>
      <c r="BC240" s="208" t="str">
        <f t="shared" si="33"/>
        <v>美国</v>
      </c>
    </row>
    <row r="241" s="195" customFormat="1" customHeight="1" spans="1:55">
      <c r="A241" s="227">
        <v>46035</v>
      </c>
      <c r="B241" s="208" t="str">
        <f ca="1" t="shared" si="38"/>
        <v/>
      </c>
      <c r="C241" s="209" t="str">
        <f>VLOOKUP(H241,名称!A:E,4,0)</f>
        <v>三代</v>
      </c>
      <c r="D241" s="228" t="s">
        <v>1240</v>
      </c>
      <c r="E241" s="228" t="s">
        <v>1224</v>
      </c>
      <c r="F241" s="209" t="s">
        <v>439</v>
      </c>
      <c r="G241" s="209" t="s">
        <v>440</v>
      </c>
      <c r="H241" s="209" t="s">
        <v>94</v>
      </c>
      <c r="I241" s="209"/>
      <c r="J241" s="229">
        <v>16008</v>
      </c>
      <c r="K241" s="230">
        <f>VLOOKUP(H241,名称!A:C,2,0)</f>
        <v>5</v>
      </c>
      <c r="L241" s="229">
        <f t="shared" si="42"/>
        <v>80040</v>
      </c>
      <c r="M241" s="209">
        <f>VLOOKUP(H241,名称!A:E,3,0)</f>
        <v>24</v>
      </c>
      <c r="N241" s="229">
        <f t="shared" si="40"/>
        <v>667</v>
      </c>
      <c r="O241" s="227">
        <v>46150</v>
      </c>
      <c r="P241" s="227">
        <v>46160</v>
      </c>
      <c r="Q241" s="227">
        <v>46160</v>
      </c>
      <c r="R241" s="209" t="s">
        <v>1241</v>
      </c>
      <c r="S241" s="227">
        <v>46160</v>
      </c>
      <c r="T241" s="209" t="s">
        <v>1282</v>
      </c>
      <c r="U241" s="232">
        <v>46157</v>
      </c>
      <c r="V241" s="209" t="s">
        <v>1713</v>
      </c>
      <c r="W241" s="227"/>
      <c r="X241" s="209" t="s">
        <v>1133</v>
      </c>
      <c r="Y241" s="209" t="s">
        <v>1133</v>
      </c>
      <c r="Z241" s="232">
        <v>46059</v>
      </c>
      <c r="AA241" s="233">
        <v>46079</v>
      </c>
      <c r="AB241" s="232">
        <v>46080</v>
      </c>
      <c r="AC241" s="209" t="s">
        <v>1133</v>
      </c>
      <c r="AD241" s="209" t="s">
        <v>1133</v>
      </c>
      <c r="AE241" s="209" t="s">
        <v>270</v>
      </c>
      <c r="AF241" s="209" t="s">
        <v>1228</v>
      </c>
      <c r="AG241" s="209" t="s">
        <v>270</v>
      </c>
      <c r="AH241" s="209" t="s">
        <v>1133</v>
      </c>
      <c r="AI241" s="209" t="s">
        <v>1228</v>
      </c>
      <c r="AJ241" s="209" t="s">
        <v>1133</v>
      </c>
      <c r="AK241" s="209" t="s">
        <v>1659</v>
      </c>
      <c r="AL241" s="209"/>
      <c r="AM241" s="209" t="s">
        <v>1296</v>
      </c>
      <c r="AN241" s="229"/>
      <c r="AO241" s="215">
        <v>0.62</v>
      </c>
      <c r="AP241" s="235">
        <f t="shared" si="36"/>
        <v>9924.96</v>
      </c>
      <c r="AQ241" s="235">
        <f t="shared" si="37"/>
        <v>76918.44</v>
      </c>
      <c r="AR241" s="217">
        <v>61148</v>
      </c>
      <c r="AS241" s="208">
        <v>46174</v>
      </c>
      <c r="AT241" s="227" t="s">
        <v>1220</v>
      </c>
      <c r="AU241" s="240">
        <v>16008</v>
      </c>
      <c r="AV241" s="236">
        <f t="shared" si="43"/>
        <v>0</v>
      </c>
      <c r="AW241" s="236"/>
      <c r="AX241" s="227" t="s">
        <v>1280</v>
      </c>
      <c r="AY241" s="227"/>
      <c r="AZ241" s="227"/>
      <c r="BA241" s="227"/>
      <c r="BB241" s="208" t="str">
        <f t="shared" si="32"/>
        <v>JAZWARES - TARGET US DOM</v>
      </c>
      <c r="BC241" s="208" t="str">
        <f t="shared" si="33"/>
        <v>美国</v>
      </c>
    </row>
    <row r="242" s="195" customFormat="1" customHeight="1" spans="1:55">
      <c r="A242" s="227">
        <v>46083</v>
      </c>
      <c r="B242" s="208" t="str">
        <f ca="1" t="shared" si="38"/>
        <v/>
      </c>
      <c r="C242" s="209" t="str">
        <f>VLOOKUP(H242,名称!A:E,4,0)</f>
        <v>三代</v>
      </c>
      <c r="D242" s="228" t="s">
        <v>1407</v>
      </c>
      <c r="E242" s="228" t="s">
        <v>1224</v>
      </c>
      <c r="F242" s="209" t="s">
        <v>1715</v>
      </c>
      <c r="G242" s="209" t="s">
        <v>524</v>
      </c>
      <c r="H242" s="209" t="s">
        <v>93</v>
      </c>
      <c r="I242" s="209"/>
      <c r="J242" s="229">
        <v>4200</v>
      </c>
      <c r="K242" s="230">
        <f>VLOOKUP(H242,名称!A:C,2,0)</f>
        <v>5</v>
      </c>
      <c r="L242" s="229">
        <f t="shared" si="42"/>
        <v>21000</v>
      </c>
      <c r="M242" s="209">
        <f>VLOOKUP(H242,名称!A:E,3,0)</f>
        <v>12</v>
      </c>
      <c r="N242" s="229">
        <f t="shared" si="40"/>
        <v>350</v>
      </c>
      <c r="O242" s="227">
        <v>46146</v>
      </c>
      <c r="P242" s="227">
        <v>46157</v>
      </c>
      <c r="Q242" s="227">
        <v>46157</v>
      </c>
      <c r="R242" s="209" t="s">
        <v>1241</v>
      </c>
      <c r="S242" s="227">
        <v>46157</v>
      </c>
      <c r="T242" s="209" t="s">
        <v>1241</v>
      </c>
      <c r="U242" s="209"/>
      <c r="V242" s="209" t="s">
        <v>1713</v>
      </c>
      <c r="W242" s="227"/>
      <c r="X242" s="209" t="s">
        <v>1133</v>
      </c>
      <c r="Y242" s="209" t="s">
        <v>1133</v>
      </c>
      <c r="Z242" s="232">
        <v>46089</v>
      </c>
      <c r="AA242" s="232">
        <v>46089</v>
      </c>
      <c r="AB242" s="232">
        <v>46089</v>
      </c>
      <c r="AC242" s="209" t="s">
        <v>1133</v>
      </c>
      <c r="AD242" s="209" t="s">
        <v>1133</v>
      </c>
      <c r="AE242" s="209" t="s">
        <v>270</v>
      </c>
      <c r="AF242" s="209" t="s">
        <v>1228</v>
      </c>
      <c r="AG242" s="209" t="s">
        <v>270</v>
      </c>
      <c r="AH242" s="209" t="s">
        <v>1133</v>
      </c>
      <c r="AI242" s="209" t="s">
        <v>1228</v>
      </c>
      <c r="AJ242" s="209" t="s">
        <v>1133</v>
      </c>
      <c r="AK242" s="209" t="s">
        <v>1659</v>
      </c>
      <c r="AL242" s="209"/>
      <c r="AM242" s="209" t="s">
        <v>1296</v>
      </c>
      <c r="AN242" s="229"/>
      <c r="AO242" s="215">
        <v>0.61</v>
      </c>
      <c r="AP242" s="235">
        <f t="shared" si="36"/>
        <v>2562</v>
      </c>
      <c r="AQ242" s="235">
        <f t="shared" si="37"/>
        <v>19855.5</v>
      </c>
      <c r="AR242" s="217">
        <v>61149</v>
      </c>
      <c r="AS242" s="208">
        <v>46174</v>
      </c>
      <c r="AT242" s="227" t="s">
        <v>1220</v>
      </c>
      <c r="AU242" s="240">
        <f>4188+12</f>
        <v>4200</v>
      </c>
      <c r="AV242" s="236">
        <f t="shared" si="43"/>
        <v>0</v>
      </c>
      <c r="AW242" s="236"/>
      <c r="AX242" s="227" t="s">
        <v>1280</v>
      </c>
      <c r="AY242" s="227"/>
      <c r="AZ242" s="227"/>
      <c r="BA242" s="227"/>
      <c r="BB242" s="208" t="str">
        <f t="shared" si="32"/>
        <v>JAZWARES - FRED MEYER INC DOM</v>
      </c>
      <c r="BC242" s="208" t="str">
        <f t="shared" si="33"/>
        <v>美国</v>
      </c>
    </row>
    <row r="243" s="195" customFormat="1" customHeight="1" spans="1:55">
      <c r="A243" s="227">
        <v>46035</v>
      </c>
      <c r="B243" s="208" t="str">
        <f ca="1" t="shared" si="38"/>
        <v/>
      </c>
      <c r="C243" s="209" t="str">
        <f>VLOOKUP(H243,名称!A:E,4,0)</f>
        <v>三代</v>
      </c>
      <c r="D243" s="228" t="s">
        <v>1240</v>
      </c>
      <c r="E243" s="228" t="s">
        <v>1224</v>
      </c>
      <c r="F243" s="209" t="s">
        <v>431</v>
      </c>
      <c r="G243" s="209" t="s">
        <v>432</v>
      </c>
      <c r="H243" s="209" t="s">
        <v>94</v>
      </c>
      <c r="I243" s="209"/>
      <c r="J243" s="229">
        <v>16008</v>
      </c>
      <c r="K243" s="230">
        <f>VLOOKUP(H243,名称!A:C,2,0)</f>
        <v>5</v>
      </c>
      <c r="L243" s="229">
        <f t="shared" si="42"/>
        <v>80040</v>
      </c>
      <c r="M243" s="209">
        <f>VLOOKUP(H243,名称!A:E,3,0)</f>
        <v>24</v>
      </c>
      <c r="N243" s="229">
        <f t="shared" si="40"/>
        <v>667</v>
      </c>
      <c r="O243" s="227">
        <v>46157</v>
      </c>
      <c r="P243" s="227">
        <v>46164</v>
      </c>
      <c r="Q243" s="227">
        <v>46164</v>
      </c>
      <c r="R243" s="227" t="s">
        <v>1425</v>
      </c>
      <c r="S243" s="227">
        <v>46167</v>
      </c>
      <c r="T243" s="227" t="s">
        <v>1241</v>
      </c>
      <c r="U243" s="227"/>
      <c r="V243" s="209" t="s">
        <v>1713</v>
      </c>
      <c r="W243" s="227"/>
      <c r="X243" s="209" t="s">
        <v>1133</v>
      </c>
      <c r="Y243" s="209" t="s">
        <v>1133</v>
      </c>
      <c r="Z243" s="232">
        <v>46059</v>
      </c>
      <c r="AA243" s="233">
        <v>46079</v>
      </c>
      <c r="AB243" s="232">
        <v>46080</v>
      </c>
      <c r="AC243" s="209" t="s">
        <v>1133</v>
      </c>
      <c r="AD243" s="209" t="s">
        <v>1133</v>
      </c>
      <c r="AE243" s="209" t="s">
        <v>270</v>
      </c>
      <c r="AF243" s="209" t="s">
        <v>1228</v>
      </c>
      <c r="AG243" s="209" t="s">
        <v>270</v>
      </c>
      <c r="AH243" s="209" t="s">
        <v>1133</v>
      </c>
      <c r="AI243" s="209" t="s">
        <v>1228</v>
      </c>
      <c r="AJ243" s="209" t="s">
        <v>1133</v>
      </c>
      <c r="AK243" s="209" t="s">
        <v>1659</v>
      </c>
      <c r="AL243" s="209"/>
      <c r="AM243" s="209" t="s">
        <v>1296</v>
      </c>
      <c r="AN243" s="229"/>
      <c r="AO243" s="215">
        <v>0.62</v>
      </c>
      <c r="AP243" s="235">
        <f t="shared" si="36"/>
        <v>9924.96</v>
      </c>
      <c r="AQ243" s="235">
        <f t="shared" si="37"/>
        <v>76918.44</v>
      </c>
      <c r="AR243" s="217">
        <v>61150</v>
      </c>
      <c r="AS243" s="208">
        <v>46174</v>
      </c>
      <c r="AT243" s="227" t="s">
        <v>1220</v>
      </c>
      <c r="AU243" s="240">
        <f>15984+24</f>
        <v>16008</v>
      </c>
      <c r="AV243" s="236">
        <f t="shared" si="43"/>
        <v>0</v>
      </c>
      <c r="AW243" s="236"/>
      <c r="AX243" s="227" t="s">
        <v>1280</v>
      </c>
      <c r="AY243" s="227"/>
      <c r="AZ243" s="227"/>
      <c r="BA243" s="227"/>
      <c r="BB243" s="208" t="str">
        <f t="shared" si="32"/>
        <v>JAZWARES - TARGET US DOM</v>
      </c>
      <c r="BC243" s="208" t="str">
        <f t="shared" si="33"/>
        <v>美国</v>
      </c>
    </row>
    <row r="244" s="195" customFormat="1" customHeight="1" spans="1:55">
      <c r="A244" s="227">
        <v>46029</v>
      </c>
      <c r="B244" s="208" t="str">
        <f ca="1" t="shared" si="38"/>
        <v/>
      </c>
      <c r="C244" s="209" t="str">
        <f>VLOOKUP(H244,名称!A:E,4,0)</f>
        <v>三代</v>
      </c>
      <c r="D244" s="228" t="s">
        <v>1276</v>
      </c>
      <c r="E244" s="228" t="s">
        <v>1224</v>
      </c>
      <c r="F244" s="209" t="s">
        <v>388</v>
      </c>
      <c r="G244" s="209" t="s">
        <v>389</v>
      </c>
      <c r="H244" s="209" t="s">
        <v>85</v>
      </c>
      <c r="I244" s="209"/>
      <c r="J244" s="229">
        <v>21000</v>
      </c>
      <c r="K244" s="230">
        <f>VLOOKUP(H244,名称!A:C,2,0)</f>
        <v>5</v>
      </c>
      <c r="L244" s="229">
        <f t="shared" si="42"/>
        <v>105000</v>
      </c>
      <c r="M244" s="209">
        <f>VLOOKUP(H244,名称!A:E,3,0)</f>
        <v>24</v>
      </c>
      <c r="N244" s="229">
        <f t="shared" si="40"/>
        <v>875</v>
      </c>
      <c r="O244" s="227">
        <v>46162</v>
      </c>
      <c r="P244" s="227">
        <v>46170</v>
      </c>
      <c r="Q244" s="227">
        <v>46174</v>
      </c>
      <c r="R244" s="209"/>
      <c r="S244" s="227">
        <v>46174</v>
      </c>
      <c r="T244" s="209"/>
      <c r="U244" s="209"/>
      <c r="V244" s="209" t="s">
        <v>1713</v>
      </c>
      <c r="W244" s="227"/>
      <c r="X244" s="209" t="s">
        <v>1133</v>
      </c>
      <c r="Y244" s="209" t="s">
        <v>1133</v>
      </c>
      <c r="Z244" s="232">
        <v>46059</v>
      </c>
      <c r="AA244" s="233">
        <v>46079</v>
      </c>
      <c r="AB244" s="232">
        <v>46094</v>
      </c>
      <c r="AC244" s="209" t="s">
        <v>1133</v>
      </c>
      <c r="AD244" s="209" t="s">
        <v>1133</v>
      </c>
      <c r="AE244" s="209" t="s">
        <v>270</v>
      </c>
      <c r="AF244" s="209" t="s">
        <v>1228</v>
      </c>
      <c r="AG244" s="209" t="s">
        <v>270</v>
      </c>
      <c r="AH244" s="209" t="s">
        <v>1133</v>
      </c>
      <c r="AI244" s="209" t="s">
        <v>1228</v>
      </c>
      <c r="AJ244" s="209" t="s">
        <v>1133</v>
      </c>
      <c r="AK244" s="209" t="s">
        <v>1659</v>
      </c>
      <c r="AL244" s="209"/>
      <c r="AM244" s="209" t="s">
        <v>1279</v>
      </c>
      <c r="AN244" s="229"/>
      <c r="AO244" s="215">
        <v>0.88</v>
      </c>
      <c r="AP244" s="235">
        <f t="shared" si="36"/>
        <v>18480</v>
      </c>
      <c r="AQ244" s="235">
        <f t="shared" si="37"/>
        <v>143220</v>
      </c>
      <c r="AR244" s="217">
        <v>61151</v>
      </c>
      <c r="AS244" s="208">
        <v>46174</v>
      </c>
      <c r="AT244" s="227" t="s">
        <v>1220</v>
      </c>
      <c r="AU244" s="240">
        <v>21000</v>
      </c>
      <c r="AV244" s="236">
        <f t="shared" si="43"/>
        <v>0</v>
      </c>
      <c r="AW244" s="236"/>
      <c r="AX244" s="227" t="s">
        <v>1280</v>
      </c>
      <c r="AY244" s="227"/>
      <c r="AZ244" s="227"/>
      <c r="BA244" s="227"/>
      <c r="BB244" s="208" t="str">
        <f t="shared" si="32"/>
        <v>Jazwares- TARGET US DOM</v>
      </c>
      <c r="BC244" s="208" t="str">
        <f t="shared" si="33"/>
        <v>美国</v>
      </c>
    </row>
    <row r="245" s="195" customFormat="1" customHeight="1" spans="1:55">
      <c r="A245" s="227">
        <v>46035</v>
      </c>
      <c r="B245" s="208" t="str">
        <f ca="1" t="shared" si="38"/>
        <v/>
      </c>
      <c r="C245" s="209" t="str">
        <f>VLOOKUP(H245,名称!A:E,4,0)</f>
        <v>三代</v>
      </c>
      <c r="D245" s="228" t="s">
        <v>1240</v>
      </c>
      <c r="E245" s="228" t="s">
        <v>1224</v>
      </c>
      <c r="F245" s="209" t="s">
        <v>433</v>
      </c>
      <c r="G245" s="209" t="s">
        <v>434</v>
      </c>
      <c r="H245" s="209" t="s">
        <v>94</v>
      </c>
      <c r="I245" s="209"/>
      <c r="J245" s="229">
        <v>8016</v>
      </c>
      <c r="K245" s="230">
        <f>VLOOKUP(H245,名称!A:C,2,0)</f>
        <v>5</v>
      </c>
      <c r="L245" s="229">
        <f t="shared" si="42"/>
        <v>40080</v>
      </c>
      <c r="M245" s="209">
        <f>VLOOKUP(H245,名称!A:E,3,0)</f>
        <v>24</v>
      </c>
      <c r="N245" s="229">
        <f t="shared" si="40"/>
        <v>334</v>
      </c>
      <c r="O245" s="227">
        <v>46164</v>
      </c>
      <c r="P245" s="227">
        <v>46168</v>
      </c>
      <c r="Q245" s="227">
        <v>46168</v>
      </c>
      <c r="R245" s="227" t="s">
        <v>1241</v>
      </c>
      <c r="S245" s="227">
        <v>46169</v>
      </c>
      <c r="T245" s="227" t="s">
        <v>1241</v>
      </c>
      <c r="U245" s="227"/>
      <c r="V245" s="209" t="s">
        <v>1713</v>
      </c>
      <c r="W245" s="227"/>
      <c r="X245" s="209" t="s">
        <v>1133</v>
      </c>
      <c r="Y245" s="209" t="s">
        <v>1133</v>
      </c>
      <c r="Z245" s="232">
        <v>46059</v>
      </c>
      <c r="AA245" s="233">
        <v>46079</v>
      </c>
      <c r="AB245" s="232">
        <v>46080</v>
      </c>
      <c r="AC245" s="209" t="s">
        <v>1133</v>
      </c>
      <c r="AD245" s="209" t="s">
        <v>1133</v>
      </c>
      <c r="AE245" s="209" t="s">
        <v>270</v>
      </c>
      <c r="AF245" s="209" t="s">
        <v>1228</v>
      </c>
      <c r="AG245" s="209" t="s">
        <v>270</v>
      </c>
      <c r="AH245" s="209" t="s">
        <v>1133</v>
      </c>
      <c r="AI245" s="209" t="s">
        <v>1228</v>
      </c>
      <c r="AJ245" s="209" t="s">
        <v>1133</v>
      </c>
      <c r="AK245" s="209" t="s">
        <v>1659</v>
      </c>
      <c r="AL245" s="209"/>
      <c r="AM245" s="209" t="s">
        <v>1279</v>
      </c>
      <c r="AN245" s="229"/>
      <c r="AO245" s="215">
        <v>0.62</v>
      </c>
      <c r="AP245" s="235">
        <f t="shared" si="36"/>
        <v>4969.92</v>
      </c>
      <c r="AQ245" s="235">
        <f t="shared" si="37"/>
        <v>38516.88</v>
      </c>
      <c r="AR245" s="217">
        <v>61152</v>
      </c>
      <c r="AS245" s="208">
        <v>46174</v>
      </c>
      <c r="AT245" s="227" t="s">
        <v>1220</v>
      </c>
      <c r="AU245" s="240">
        <f>7992+24</f>
        <v>8016</v>
      </c>
      <c r="AV245" s="236">
        <f t="shared" si="43"/>
        <v>0</v>
      </c>
      <c r="AW245" s="236"/>
      <c r="AX245" s="227" t="s">
        <v>1280</v>
      </c>
      <c r="AY245" s="227"/>
      <c r="AZ245" s="227"/>
      <c r="BA245" s="227"/>
      <c r="BB245" s="208" t="str">
        <f t="shared" si="32"/>
        <v>JAZWARES - TARGET US DOM</v>
      </c>
      <c r="BC245" s="208" t="str">
        <f t="shared" si="33"/>
        <v>美国</v>
      </c>
    </row>
    <row r="246" s="195" customFormat="1" customHeight="1" spans="1:55">
      <c r="A246" s="227">
        <v>46035</v>
      </c>
      <c r="B246" s="208" t="str">
        <f ca="1" t="shared" si="38"/>
        <v/>
      </c>
      <c r="C246" s="209" t="str">
        <f>VLOOKUP(H246,名称!A:E,4,0)</f>
        <v>三代</v>
      </c>
      <c r="D246" s="228" t="s">
        <v>1240</v>
      </c>
      <c r="E246" s="228" t="s">
        <v>1224</v>
      </c>
      <c r="F246" s="209" t="s">
        <v>451</v>
      </c>
      <c r="G246" s="209" t="s">
        <v>452</v>
      </c>
      <c r="H246" s="209" t="s">
        <v>59</v>
      </c>
      <c r="I246" s="209"/>
      <c r="J246" s="229">
        <v>7200</v>
      </c>
      <c r="K246" s="230">
        <f>VLOOKUP(H246,名称!A:C,2,0)</f>
        <v>5</v>
      </c>
      <c r="L246" s="229">
        <f t="shared" si="42"/>
        <v>36000</v>
      </c>
      <c r="M246" s="209">
        <f>VLOOKUP(H246,名称!A:E,3,0)</f>
        <v>24</v>
      </c>
      <c r="N246" s="229">
        <f t="shared" si="40"/>
        <v>300</v>
      </c>
      <c r="O246" s="227">
        <v>46164</v>
      </c>
      <c r="P246" s="227">
        <v>46168</v>
      </c>
      <c r="Q246" s="227">
        <v>46168</v>
      </c>
      <c r="R246" s="227" t="s">
        <v>1241</v>
      </c>
      <c r="S246" s="227">
        <v>46169</v>
      </c>
      <c r="T246" s="227" t="s">
        <v>1241</v>
      </c>
      <c r="U246" s="227"/>
      <c r="V246" s="209" t="s">
        <v>1713</v>
      </c>
      <c r="W246" s="227"/>
      <c r="X246" s="209" t="s">
        <v>1133</v>
      </c>
      <c r="Y246" s="209" t="s">
        <v>1133</v>
      </c>
      <c r="Z246" s="232">
        <v>46059</v>
      </c>
      <c r="AA246" s="233">
        <v>46079</v>
      </c>
      <c r="AB246" s="232">
        <v>46094</v>
      </c>
      <c r="AC246" s="209" t="s">
        <v>1133</v>
      </c>
      <c r="AD246" s="209" t="s">
        <v>1133</v>
      </c>
      <c r="AE246" s="209" t="s">
        <v>270</v>
      </c>
      <c r="AF246" s="209" t="s">
        <v>1228</v>
      </c>
      <c r="AG246" s="209" t="s">
        <v>270</v>
      </c>
      <c r="AH246" s="209" t="s">
        <v>1133</v>
      </c>
      <c r="AI246" s="209" t="s">
        <v>1228</v>
      </c>
      <c r="AJ246" s="209" t="s">
        <v>1133</v>
      </c>
      <c r="AK246" s="209" t="s">
        <v>1659</v>
      </c>
      <c r="AL246" s="209"/>
      <c r="AM246" s="209" t="s">
        <v>1279</v>
      </c>
      <c r="AN246" s="229"/>
      <c r="AO246" s="215">
        <v>0.62</v>
      </c>
      <c r="AP246" s="235">
        <f t="shared" si="36"/>
        <v>4464</v>
      </c>
      <c r="AQ246" s="235">
        <f t="shared" si="37"/>
        <v>34596</v>
      </c>
      <c r="AR246" s="217">
        <v>61153</v>
      </c>
      <c r="AS246" s="208">
        <v>46174</v>
      </c>
      <c r="AT246" s="227" t="s">
        <v>1220</v>
      </c>
      <c r="AU246" s="240">
        <v>7200</v>
      </c>
      <c r="AV246" s="236">
        <f t="shared" si="43"/>
        <v>0</v>
      </c>
      <c r="AW246" s="236"/>
      <c r="AX246" s="227" t="s">
        <v>1280</v>
      </c>
      <c r="AY246" s="227"/>
      <c r="AZ246" s="227"/>
      <c r="BA246" s="227"/>
      <c r="BB246" s="208" t="str">
        <f t="shared" si="32"/>
        <v>JAZWARES - TARGET US DOM</v>
      </c>
      <c r="BC246" s="208" t="str">
        <f t="shared" si="33"/>
        <v>美国</v>
      </c>
    </row>
    <row r="247" s="194" customFormat="1" customHeight="1" spans="1:55">
      <c r="A247" s="208">
        <v>46107</v>
      </c>
      <c r="B247" s="208" t="str">
        <f ca="1" t="shared" si="38"/>
        <v/>
      </c>
      <c r="C247" s="209" t="str">
        <f>VLOOKUP(H247,名称!A:E,4,0)</f>
        <v>蛋糕</v>
      </c>
      <c r="D247" s="210" t="s">
        <v>1716</v>
      </c>
      <c r="E247" s="210" t="s">
        <v>1717</v>
      </c>
      <c r="F247" s="211"/>
      <c r="G247" s="211" t="s">
        <v>580</v>
      </c>
      <c r="H247" s="211" t="s">
        <v>50</v>
      </c>
      <c r="I247" s="211"/>
      <c r="J247" s="212">
        <v>6498</v>
      </c>
      <c r="K247" s="230">
        <f>VLOOKUP(H247,名称!A:C,2,0)</f>
        <v>0</v>
      </c>
      <c r="L247" s="229">
        <f t="shared" si="42"/>
        <v>0</v>
      </c>
      <c r="M247" s="211">
        <f>VLOOKUP(H247,名称!A:E,3,0)</f>
        <v>18</v>
      </c>
      <c r="N247" s="212">
        <f t="shared" si="40"/>
        <v>361</v>
      </c>
      <c r="O247" s="208">
        <v>46157</v>
      </c>
      <c r="P247" s="208">
        <v>46157</v>
      </c>
      <c r="Q247" s="208">
        <v>46171</v>
      </c>
      <c r="R247" s="211" t="s">
        <v>1425</v>
      </c>
      <c r="S247" s="208" t="s">
        <v>1133</v>
      </c>
      <c r="T247" s="211"/>
      <c r="U247" s="211"/>
      <c r="V247" s="211"/>
      <c r="W247" s="208"/>
      <c r="X247" s="211" t="s">
        <v>1718</v>
      </c>
      <c r="Y247" s="211" t="s">
        <v>1228</v>
      </c>
      <c r="Z247" s="211" t="s">
        <v>1249</v>
      </c>
      <c r="AA247" s="214">
        <v>46153</v>
      </c>
      <c r="AB247" s="213">
        <v>46155</v>
      </c>
      <c r="AC247" s="211" t="s">
        <v>1133</v>
      </c>
      <c r="AD247" s="211" t="s">
        <v>1133</v>
      </c>
      <c r="AE247" s="211" t="s">
        <v>510</v>
      </c>
      <c r="AF247" s="211" t="s">
        <v>1228</v>
      </c>
      <c r="AG247" s="211" t="s">
        <v>510</v>
      </c>
      <c r="AH247" s="211" t="s">
        <v>1133</v>
      </c>
      <c r="AI247" s="211" t="s">
        <v>1228</v>
      </c>
      <c r="AJ247" s="211" t="s">
        <v>1133</v>
      </c>
      <c r="AK247" s="211" t="s">
        <v>1228</v>
      </c>
      <c r="AL247" s="211"/>
      <c r="AM247" s="211" t="s">
        <v>1719</v>
      </c>
      <c r="AN247" s="212" t="s">
        <v>1507</v>
      </c>
      <c r="AO247" s="215">
        <v>1.1</v>
      </c>
      <c r="AP247" s="216">
        <f t="shared" si="36"/>
        <v>7147.8</v>
      </c>
      <c r="AQ247" s="216">
        <f t="shared" si="37"/>
        <v>55395.45</v>
      </c>
      <c r="AR247" s="217">
        <v>61154</v>
      </c>
      <c r="AS247" s="208">
        <v>46178</v>
      </c>
      <c r="AT247" s="208" t="s">
        <v>1220</v>
      </c>
      <c r="AU247" s="208"/>
      <c r="AV247" s="208"/>
      <c r="AW247" s="208"/>
      <c r="AX247" s="208"/>
      <c r="AY247" s="208"/>
      <c r="AZ247" s="208"/>
      <c r="BA247" s="208"/>
      <c r="BB247" s="208" t="str">
        <f t="shared" si="32"/>
        <v>Basel</v>
      </c>
      <c r="BC247" s="208" t="str">
        <f t="shared" si="33"/>
        <v>土耳其</v>
      </c>
    </row>
    <row r="248" s="194" customFormat="1" customHeight="1" spans="1:55">
      <c r="A248" s="208">
        <v>46107</v>
      </c>
      <c r="B248" s="208" t="str">
        <f ca="1" t="shared" si="38"/>
        <v/>
      </c>
      <c r="C248" s="209" t="str">
        <f>VLOOKUP(H248,名称!A:E,4,0)</f>
        <v>蛋糕</v>
      </c>
      <c r="D248" s="210" t="s">
        <v>1716</v>
      </c>
      <c r="E248" s="210" t="s">
        <v>1717</v>
      </c>
      <c r="F248" s="211"/>
      <c r="G248" s="211" t="s">
        <v>580</v>
      </c>
      <c r="H248" s="211" t="s">
        <v>52</v>
      </c>
      <c r="I248" s="211"/>
      <c r="J248" s="212">
        <v>2200</v>
      </c>
      <c r="K248" s="230">
        <f>VLOOKUP(H248,名称!A:C,2,0)</f>
        <v>0</v>
      </c>
      <c r="L248" s="229">
        <f t="shared" si="42"/>
        <v>0</v>
      </c>
      <c r="M248" s="211">
        <f>VLOOKUP(H248,名称!A:E,3,0)</f>
        <v>4</v>
      </c>
      <c r="N248" s="212">
        <f t="shared" si="40"/>
        <v>550</v>
      </c>
      <c r="O248" s="208">
        <v>46157</v>
      </c>
      <c r="P248" s="208">
        <v>46157</v>
      </c>
      <c r="Q248" s="208">
        <v>46171</v>
      </c>
      <c r="R248" s="211" t="s">
        <v>1241</v>
      </c>
      <c r="S248" s="208" t="s">
        <v>1133</v>
      </c>
      <c r="T248" s="211"/>
      <c r="U248" s="211"/>
      <c r="V248" s="211"/>
      <c r="W248" s="208"/>
      <c r="X248" s="211" t="s">
        <v>1718</v>
      </c>
      <c r="Y248" s="211" t="s">
        <v>1228</v>
      </c>
      <c r="Z248" s="211" t="s">
        <v>1249</v>
      </c>
      <c r="AA248" s="214">
        <v>46153</v>
      </c>
      <c r="AB248" s="213">
        <v>46155</v>
      </c>
      <c r="AC248" s="211" t="s">
        <v>1133</v>
      </c>
      <c r="AD248" s="211" t="s">
        <v>1133</v>
      </c>
      <c r="AE248" s="211" t="s">
        <v>510</v>
      </c>
      <c r="AF248" s="211" t="s">
        <v>1228</v>
      </c>
      <c r="AG248" s="211" t="s">
        <v>510</v>
      </c>
      <c r="AH248" s="211" t="s">
        <v>1133</v>
      </c>
      <c r="AI248" s="211" t="s">
        <v>1228</v>
      </c>
      <c r="AJ248" s="211" t="s">
        <v>1133</v>
      </c>
      <c r="AK248" s="211" t="s">
        <v>1228</v>
      </c>
      <c r="AL248" s="211"/>
      <c r="AM248" s="211" t="s">
        <v>1719</v>
      </c>
      <c r="AN248" s="212" t="s">
        <v>1507</v>
      </c>
      <c r="AO248" s="215">
        <v>2.82</v>
      </c>
      <c r="AP248" s="216">
        <f t="shared" si="36"/>
        <v>6204</v>
      </c>
      <c r="AQ248" s="216">
        <f t="shared" si="37"/>
        <v>48081</v>
      </c>
      <c r="AR248" s="217">
        <v>61154</v>
      </c>
      <c r="AS248" s="208">
        <v>46178</v>
      </c>
      <c r="AT248" s="208" t="s">
        <v>1220</v>
      </c>
      <c r="AU248" s="208"/>
      <c r="AV248" s="208"/>
      <c r="AW248" s="208"/>
      <c r="AX248" s="208"/>
      <c r="AY248" s="208"/>
      <c r="AZ248" s="208"/>
      <c r="BA248" s="208"/>
      <c r="BB248" s="208" t="str">
        <f t="shared" si="32"/>
        <v>Basel</v>
      </c>
      <c r="BC248" s="208" t="str">
        <f t="shared" si="33"/>
        <v>土耳其</v>
      </c>
    </row>
    <row r="249" s="194" customFormat="1" customHeight="1" spans="1:55">
      <c r="A249" s="244">
        <v>46128</v>
      </c>
      <c r="B249" s="208" t="str">
        <f ca="1" t="shared" si="38"/>
        <v/>
      </c>
      <c r="C249" s="209" t="str">
        <f>VLOOKUP(H249,名称!A:E,4,0)</f>
        <v>三代</v>
      </c>
      <c r="D249" s="228" t="s">
        <v>1320</v>
      </c>
      <c r="E249" s="228" t="s">
        <v>1224</v>
      </c>
      <c r="F249" s="209">
        <v>247400000</v>
      </c>
      <c r="G249" s="209" t="s">
        <v>741</v>
      </c>
      <c r="H249" s="209" t="s">
        <v>88</v>
      </c>
      <c r="I249" s="209"/>
      <c r="J249" s="229">
        <v>53088</v>
      </c>
      <c r="K249" s="230">
        <f>VLOOKUP(H249,名称!A:C,2,0)</f>
        <v>5</v>
      </c>
      <c r="L249" s="229">
        <f t="shared" si="42"/>
        <v>265440</v>
      </c>
      <c r="M249" s="209">
        <f>VLOOKUP(H249,名称!A:E,3,0)</f>
        <v>24</v>
      </c>
      <c r="N249" s="229">
        <f t="shared" si="40"/>
        <v>2212</v>
      </c>
      <c r="O249" s="227">
        <v>46157</v>
      </c>
      <c r="P249" s="227">
        <v>46171</v>
      </c>
      <c r="Q249" s="227">
        <v>46175</v>
      </c>
      <c r="R249" s="209"/>
      <c r="S249" s="227" t="s">
        <v>1133</v>
      </c>
      <c r="T249" s="209"/>
      <c r="U249" s="209"/>
      <c r="V249" s="211"/>
      <c r="W249" s="227"/>
      <c r="X249" s="209" t="s">
        <v>1321</v>
      </c>
      <c r="Y249" s="209" t="s">
        <v>1228</v>
      </c>
      <c r="Z249" s="232">
        <v>46150</v>
      </c>
      <c r="AA249" s="233">
        <v>46155</v>
      </c>
      <c r="AB249" s="233">
        <v>46155</v>
      </c>
      <c r="AC249" s="209" t="s">
        <v>1133</v>
      </c>
      <c r="AD249" s="209" t="s">
        <v>1133</v>
      </c>
      <c r="AE249" s="209" t="s">
        <v>510</v>
      </c>
      <c r="AF249" s="209" t="s">
        <v>1228</v>
      </c>
      <c r="AG249" s="209" t="s">
        <v>510</v>
      </c>
      <c r="AH249" s="209" t="s">
        <v>1133</v>
      </c>
      <c r="AI249" s="209" t="s">
        <v>1228</v>
      </c>
      <c r="AJ249" s="209" t="s">
        <v>1133</v>
      </c>
      <c r="AK249" s="209" t="s">
        <v>510</v>
      </c>
      <c r="AL249" s="209"/>
      <c r="AM249" s="209" t="s">
        <v>1303</v>
      </c>
      <c r="AN249" s="229" t="s">
        <v>1251</v>
      </c>
      <c r="AO249" s="215">
        <v>0.8</v>
      </c>
      <c r="AP249" s="235">
        <f t="shared" si="36"/>
        <v>42470.4</v>
      </c>
      <c r="AQ249" s="235">
        <f t="shared" si="37"/>
        <v>329145.6</v>
      </c>
      <c r="AR249" s="249">
        <v>61155</v>
      </c>
      <c r="AS249" s="208">
        <v>46178</v>
      </c>
      <c r="AT249" s="227" t="s">
        <v>1310</v>
      </c>
      <c r="AU249" s="245"/>
      <c r="AV249" s="236">
        <f>AU249-J249</f>
        <v>-53088</v>
      </c>
      <c r="AW249" s="236"/>
      <c r="AX249" s="227"/>
      <c r="AY249" s="227"/>
      <c r="AZ249" s="227"/>
      <c r="BA249" s="227"/>
      <c r="BB249" s="208" t="str">
        <f t="shared" si="32"/>
        <v>PHAT MOJO</v>
      </c>
      <c r="BC249" s="208" t="str">
        <f t="shared" si="33"/>
        <v>美国</v>
      </c>
    </row>
    <row r="250" s="195" customFormat="1" customHeight="1" spans="1:55">
      <c r="A250" s="227">
        <v>46095</v>
      </c>
      <c r="B250" s="208" t="str">
        <f ca="1" t="shared" si="38"/>
        <v/>
      </c>
      <c r="C250" s="209" t="str">
        <f>VLOOKUP(H250,名称!A:E,4,0)</f>
        <v>三代</v>
      </c>
      <c r="D250" s="228" t="s">
        <v>1246</v>
      </c>
      <c r="E250" s="228" t="s">
        <v>1224</v>
      </c>
      <c r="F250" s="209"/>
      <c r="G250" s="209" t="s">
        <v>572</v>
      </c>
      <c r="H250" s="209" t="s">
        <v>55</v>
      </c>
      <c r="I250" s="209"/>
      <c r="J250" s="250">
        <f>3936-16</f>
        <v>3920</v>
      </c>
      <c r="K250" s="230">
        <f>VLOOKUP(H250,名称!A:C,2,0)</f>
        <v>7</v>
      </c>
      <c r="L250" s="229">
        <f t="shared" ref="L250:L270" si="44">J250*K250</f>
        <v>27440</v>
      </c>
      <c r="M250" s="209">
        <f>VLOOKUP(H250,名称!A:E,3,0)</f>
        <v>16</v>
      </c>
      <c r="N250" s="229">
        <f t="shared" ref="N250:N283" si="45">J250/M250</f>
        <v>245</v>
      </c>
      <c r="O250" s="227">
        <v>46153</v>
      </c>
      <c r="P250" s="227">
        <v>46171</v>
      </c>
      <c r="Q250" s="227">
        <v>46171</v>
      </c>
      <c r="R250" s="209" t="s">
        <v>1241</v>
      </c>
      <c r="S250" s="227" t="s">
        <v>1133</v>
      </c>
      <c r="T250" s="209"/>
      <c r="U250" s="209"/>
      <c r="V250" s="209"/>
      <c r="W250" s="227"/>
      <c r="X250" s="209" t="s">
        <v>1248</v>
      </c>
      <c r="Y250" s="209" t="s">
        <v>1228</v>
      </c>
      <c r="Z250" s="209" t="s">
        <v>1249</v>
      </c>
      <c r="AA250" s="233">
        <v>46109</v>
      </c>
      <c r="AB250" s="232">
        <v>46142</v>
      </c>
      <c r="AC250" s="209" t="s">
        <v>1284</v>
      </c>
      <c r="AD250" s="209" t="s">
        <v>1228</v>
      </c>
      <c r="AE250" s="209" t="s">
        <v>510</v>
      </c>
      <c r="AF250" s="209" t="s">
        <v>1228</v>
      </c>
      <c r="AG250" s="209" t="s">
        <v>510</v>
      </c>
      <c r="AH250" s="209" t="s">
        <v>1307</v>
      </c>
      <c r="AI250" s="209" t="s">
        <v>1228</v>
      </c>
      <c r="AJ250" s="209" t="s">
        <v>1133</v>
      </c>
      <c r="AK250" s="209" t="s">
        <v>1133</v>
      </c>
      <c r="AL250" s="209" t="s">
        <v>1228</v>
      </c>
      <c r="AM250" s="209" t="s">
        <v>1655</v>
      </c>
      <c r="AN250" s="229" t="s">
        <v>1251</v>
      </c>
      <c r="AO250" s="215">
        <v>0.9</v>
      </c>
      <c r="AP250" s="235">
        <f t="shared" si="36"/>
        <v>3528</v>
      </c>
      <c r="AQ250" s="235">
        <f t="shared" si="37"/>
        <v>27342</v>
      </c>
      <c r="AR250" s="217">
        <v>61156</v>
      </c>
      <c r="AS250" s="208">
        <v>46178</v>
      </c>
      <c r="AT250" s="227" t="s">
        <v>1220</v>
      </c>
      <c r="AU250" s="245">
        <v>3936</v>
      </c>
      <c r="AV250" s="236">
        <f t="shared" ref="AV250:AV270" si="46">AU250-J250</f>
        <v>16</v>
      </c>
      <c r="AW250" s="236"/>
      <c r="AX250" s="227" t="s">
        <v>1280</v>
      </c>
      <c r="AY250" s="227"/>
      <c r="AZ250" s="227"/>
      <c r="BA250" s="227"/>
      <c r="BB250" s="208" t="str">
        <f t="shared" si="32"/>
        <v>Nichi World Co., Ltd</v>
      </c>
      <c r="BC250" s="208" t="str">
        <f t="shared" si="33"/>
        <v>美国</v>
      </c>
    </row>
    <row r="251" s="195" customFormat="1" customHeight="1" spans="1:55">
      <c r="A251" s="227">
        <v>46095</v>
      </c>
      <c r="B251" s="208" t="str">
        <f ca="1" t="shared" si="38"/>
        <v/>
      </c>
      <c r="C251" s="209" t="str">
        <f>VLOOKUP(H251,名称!A:E,4,0)</f>
        <v>三代</v>
      </c>
      <c r="D251" s="228" t="s">
        <v>1246</v>
      </c>
      <c r="E251" s="228" t="s">
        <v>1224</v>
      </c>
      <c r="F251" s="209"/>
      <c r="G251" s="209" t="s">
        <v>572</v>
      </c>
      <c r="H251" s="209" t="s">
        <v>59</v>
      </c>
      <c r="I251" s="209"/>
      <c r="J251" s="229">
        <v>3480</v>
      </c>
      <c r="K251" s="230">
        <f>VLOOKUP(H251,名称!A:C,2,0)</f>
        <v>5</v>
      </c>
      <c r="L251" s="229">
        <f t="shared" si="44"/>
        <v>17400</v>
      </c>
      <c r="M251" s="209">
        <f>VLOOKUP(H251,名称!A:E,3,0)</f>
        <v>24</v>
      </c>
      <c r="N251" s="229">
        <f t="shared" si="45"/>
        <v>145</v>
      </c>
      <c r="O251" s="227">
        <v>46153</v>
      </c>
      <c r="P251" s="227">
        <v>46171</v>
      </c>
      <c r="Q251" s="227">
        <v>46171</v>
      </c>
      <c r="R251" s="209"/>
      <c r="S251" s="227" t="s">
        <v>1133</v>
      </c>
      <c r="T251" s="209"/>
      <c r="U251" s="209"/>
      <c r="V251" s="209"/>
      <c r="W251" s="227"/>
      <c r="X251" s="209" t="s">
        <v>1248</v>
      </c>
      <c r="Y251" s="209" t="s">
        <v>1228</v>
      </c>
      <c r="Z251" s="209" t="s">
        <v>1249</v>
      </c>
      <c r="AA251" s="233">
        <v>46109</v>
      </c>
      <c r="AB251" s="232">
        <v>46142</v>
      </c>
      <c r="AC251" s="209" t="s">
        <v>1133</v>
      </c>
      <c r="AD251" s="209" t="s">
        <v>1133</v>
      </c>
      <c r="AE251" s="209" t="s">
        <v>510</v>
      </c>
      <c r="AF251" s="209" t="s">
        <v>1228</v>
      </c>
      <c r="AG251" s="209" t="s">
        <v>510</v>
      </c>
      <c r="AH251" s="209" t="s">
        <v>1133</v>
      </c>
      <c r="AI251" s="209" t="s">
        <v>1228</v>
      </c>
      <c r="AJ251" s="209" t="s">
        <v>1133</v>
      </c>
      <c r="AK251" s="209" t="s">
        <v>510</v>
      </c>
      <c r="AL251" s="209"/>
      <c r="AM251" s="209" t="s">
        <v>1655</v>
      </c>
      <c r="AN251" s="229" t="s">
        <v>1251</v>
      </c>
      <c r="AO251" s="215">
        <v>0.64</v>
      </c>
      <c r="AP251" s="235">
        <f t="shared" si="36"/>
        <v>2227.2</v>
      </c>
      <c r="AQ251" s="235">
        <f t="shared" si="37"/>
        <v>17260.8</v>
      </c>
      <c r="AR251" s="217">
        <v>61156</v>
      </c>
      <c r="AS251" s="208">
        <v>46178</v>
      </c>
      <c r="AT251" s="227" t="s">
        <v>1220</v>
      </c>
      <c r="AU251" s="240">
        <v>3480</v>
      </c>
      <c r="AV251" s="236">
        <f t="shared" si="46"/>
        <v>0</v>
      </c>
      <c r="AW251" s="236"/>
      <c r="AX251" s="227" t="s">
        <v>1280</v>
      </c>
      <c r="AY251" s="227"/>
      <c r="AZ251" s="227"/>
      <c r="BA251" s="227"/>
      <c r="BB251" s="208" t="str">
        <f t="shared" si="32"/>
        <v>Nichi World Co., Ltd</v>
      </c>
      <c r="BC251" s="208" t="str">
        <f t="shared" si="33"/>
        <v>美国</v>
      </c>
    </row>
    <row r="252" s="195" customFormat="1" customHeight="1" spans="1:55">
      <c r="A252" s="227">
        <v>46095</v>
      </c>
      <c r="B252" s="208" t="str">
        <f ca="1" t="shared" si="38"/>
        <v/>
      </c>
      <c r="C252" s="209" t="str">
        <f>VLOOKUP(H252,名称!A:E,4,0)</f>
        <v>三代</v>
      </c>
      <c r="D252" s="228" t="s">
        <v>1246</v>
      </c>
      <c r="E252" s="228" t="s">
        <v>1224</v>
      </c>
      <c r="F252" s="209"/>
      <c r="G252" s="209" t="s">
        <v>572</v>
      </c>
      <c r="H252" s="209" t="s">
        <v>66</v>
      </c>
      <c r="I252" s="209"/>
      <c r="J252" s="229">
        <v>1890</v>
      </c>
      <c r="K252" s="230">
        <f>VLOOKUP(H252,名称!A:C,2,0)</f>
        <v>12</v>
      </c>
      <c r="L252" s="229">
        <f t="shared" si="44"/>
        <v>22680</v>
      </c>
      <c r="M252" s="209">
        <f>VLOOKUP(H252,名称!A:E,3,0)</f>
        <v>6</v>
      </c>
      <c r="N252" s="229">
        <f t="shared" si="45"/>
        <v>315</v>
      </c>
      <c r="O252" s="227">
        <v>46153</v>
      </c>
      <c r="P252" s="227">
        <v>46171</v>
      </c>
      <c r="Q252" s="227">
        <v>46171</v>
      </c>
      <c r="R252" s="209" t="s">
        <v>1241</v>
      </c>
      <c r="S252" s="227" t="s">
        <v>1133</v>
      </c>
      <c r="T252" s="209"/>
      <c r="U252" s="209"/>
      <c r="V252" s="209"/>
      <c r="W252" s="227"/>
      <c r="X252" s="209" t="s">
        <v>1248</v>
      </c>
      <c r="Y252" s="209" t="s">
        <v>1228</v>
      </c>
      <c r="Z252" s="209" t="s">
        <v>1249</v>
      </c>
      <c r="AA252" s="233">
        <v>46109</v>
      </c>
      <c r="AB252" s="232">
        <v>46142</v>
      </c>
      <c r="AC252" s="209" t="s">
        <v>1318</v>
      </c>
      <c r="AD252" s="209" t="s">
        <v>1228</v>
      </c>
      <c r="AE252" s="209" t="s">
        <v>510</v>
      </c>
      <c r="AF252" s="209" t="s">
        <v>1228</v>
      </c>
      <c r="AG252" s="209" t="s">
        <v>510</v>
      </c>
      <c r="AH252" s="209" t="s">
        <v>1307</v>
      </c>
      <c r="AI252" s="209" t="s">
        <v>1228</v>
      </c>
      <c r="AJ252" s="209" t="s">
        <v>510</v>
      </c>
      <c r="AK252" s="209" t="s">
        <v>1133</v>
      </c>
      <c r="AL252" s="209"/>
      <c r="AM252" s="209" t="s">
        <v>1655</v>
      </c>
      <c r="AN252" s="229" t="s">
        <v>1251</v>
      </c>
      <c r="AO252" s="215">
        <v>2.04</v>
      </c>
      <c r="AP252" s="235">
        <f t="shared" si="36"/>
        <v>3855.6</v>
      </c>
      <c r="AQ252" s="235">
        <f t="shared" si="37"/>
        <v>29880.9</v>
      </c>
      <c r="AR252" s="217">
        <v>61156</v>
      </c>
      <c r="AS252" s="208">
        <v>46178</v>
      </c>
      <c r="AT252" s="227" t="s">
        <v>1220</v>
      </c>
      <c r="AU252" s="245">
        <f>1872</f>
        <v>1872</v>
      </c>
      <c r="AV252" s="236">
        <f t="shared" si="46"/>
        <v>-18</v>
      </c>
      <c r="AW252" s="236"/>
      <c r="AX252" s="227" t="s">
        <v>1280</v>
      </c>
      <c r="AY252" s="227"/>
      <c r="AZ252" s="227"/>
      <c r="BA252" s="227"/>
      <c r="BB252" s="208" t="str">
        <f t="shared" si="32"/>
        <v>Nichi World Co., Ltd</v>
      </c>
      <c r="BC252" s="208" t="str">
        <f t="shared" si="33"/>
        <v>美国</v>
      </c>
    </row>
    <row r="253" s="195" customFormat="1" customHeight="1" spans="1:55">
      <c r="A253" s="227">
        <v>46095</v>
      </c>
      <c r="B253" s="208" t="str">
        <f ca="1" t="shared" si="38"/>
        <v/>
      </c>
      <c r="C253" s="209" t="str">
        <f>VLOOKUP(H253,名称!A:E,4,0)</f>
        <v>三代</v>
      </c>
      <c r="D253" s="228" t="s">
        <v>1246</v>
      </c>
      <c r="E253" s="228" t="s">
        <v>1224</v>
      </c>
      <c r="F253" s="209"/>
      <c r="G253" s="209" t="s">
        <v>572</v>
      </c>
      <c r="H253" s="209" t="s">
        <v>68</v>
      </c>
      <c r="I253" s="209"/>
      <c r="J253" s="229">
        <v>1060</v>
      </c>
      <c r="K253" s="230">
        <f>VLOOKUP(H253,名称!A:C,2,0)</f>
        <v>32</v>
      </c>
      <c r="L253" s="229">
        <f t="shared" si="44"/>
        <v>33920</v>
      </c>
      <c r="M253" s="209">
        <f>VLOOKUP(H253,名称!A:E,3,0)</f>
        <v>4</v>
      </c>
      <c r="N253" s="229">
        <f t="shared" si="45"/>
        <v>265</v>
      </c>
      <c r="O253" s="227">
        <v>46153</v>
      </c>
      <c r="P253" s="227">
        <v>46171</v>
      </c>
      <c r="Q253" s="227">
        <v>46171</v>
      </c>
      <c r="R253" s="209" t="s">
        <v>1241</v>
      </c>
      <c r="S253" s="227" t="s">
        <v>1133</v>
      </c>
      <c r="T253" s="209"/>
      <c r="U253" s="209"/>
      <c r="V253" s="209"/>
      <c r="W253" s="227"/>
      <c r="X253" s="209" t="s">
        <v>1248</v>
      </c>
      <c r="Y253" s="209" t="s">
        <v>1228</v>
      </c>
      <c r="Z253" s="209" t="s">
        <v>1249</v>
      </c>
      <c r="AA253" s="233">
        <v>46109</v>
      </c>
      <c r="AB253" s="232">
        <v>46142</v>
      </c>
      <c r="AC253" s="209" t="s">
        <v>1133</v>
      </c>
      <c r="AD253" s="209" t="s">
        <v>1133</v>
      </c>
      <c r="AE253" s="209" t="s">
        <v>510</v>
      </c>
      <c r="AF253" s="209" t="s">
        <v>1228</v>
      </c>
      <c r="AG253" s="209" t="s">
        <v>510</v>
      </c>
      <c r="AH253" s="209" t="s">
        <v>1307</v>
      </c>
      <c r="AI253" s="209" t="s">
        <v>1228</v>
      </c>
      <c r="AJ253" s="209" t="s">
        <v>1133</v>
      </c>
      <c r="AK253" s="209" t="s">
        <v>1133</v>
      </c>
      <c r="AL253" s="209"/>
      <c r="AM253" s="209" t="s">
        <v>1655</v>
      </c>
      <c r="AN253" s="229" t="s">
        <v>1251</v>
      </c>
      <c r="AO253" s="215">
        <v>3.12</v>
      </c>
      <c r="AP253" s="235">
        <f t="shared" si="36"/>
        <v>3307.2</v>
      </c>
      <c r="AQ253" s="235">
        <f t="shared" si="37"/>
        <v>25630.8</v>
      </c>
      <c r="AR253" s="224" t="s">
        <v>1720</v>
      </c>
      <c r="AS253" s="208">
        <v>46178</v>
      </c>
      <c r="AT253" s="227" t="s">
        <v>1220</v>
      </c>
      <c r="AU253" s="245">
        <v>1052</v>
      </c>
      <c r="AV253" s="236">
        <f t="shared" si="46"/>
        <v>-8</v>
      </c>
      <c r="AW253" s="236"/>
      <c r="AX253" s="227" t="s">
        <v>1280</v>
      </c>
      <c r="AY253" s="227"/>
      <c r="AZ253" s="227"/>
      <c r="BA253" s="227"/>
      <c r="BB253" s="208" t="str">
        <f t="shared" si="32"/>
        <v>Nichi World Co., Ltd</v>
      </c>
      <c r="BC253" s="208" t="str">
        <f t="shared" si="33"/>
        <v>美国</v>
      </c>
    </row>
    <row r="254" s="195" customFormat="1" customHeight="1" spans="1:55">
      <c r="A254" s="227">
        <v>46095</v>
      </c>
      <c r="B254" s="208" t="str">
        <f ca="1" t="shared" si="38"/>
        <v/>
      </c>
      <c r="C254" s="209" t="str">
        <f>VLOOKUP(H254,名称!A:E,4,0)</f>
        <v>三代</v>
      </c>
      <c r="D254" s="228" t="s">
        <v>1246</v>
      </c>
      <c r="E254" s="228" t="s">
        <v>1224</v>
      </c>
      <c r="F254" s="209"/>
      <c r="G254" s="209" t="s">
        <v>572</v>
      </c>
      <c r="H254" s="209" t="s">
        <v>112</v>
      </c>
      <c r="I254" s="209"/>
      <c r="J254" s="229">
        <v>150</v>
      </c>
      <c r="K254" s="230">
        <f>VLOOKUP(H254,名称!A:C,2,0)</f>
        <v>50</v>
      </c>
      <c r="L254" s="229">
        <f t="shared" si="44"/>
        <v>7500</v>
      </c>
      <c r="M254" s="209">
        <f>VLOOKUP(H254,名称!A:E,3,0)</f>
        <v>2</v>
      </c>
      <c r="N254" s="229">
        <f t="shared" si="45"/>
        <v>75</v>
      </c>
      <c r="O254" s="227">
        <v>46153</v>
      </c>
      <c r="P254" s="227">
        <v>46174</v>
      </c>
      <c r="Q254" s="227">
        <v>46174</v>
      </c>
      <c r="R254" s="209"/>
      <c r="S254" s="227" t="s">
        <v>1133</v>
      </c>
      <c r="T254" s="209"/>
      <c r="U254" s="209"/>
      <c r="V254" s="209"/>
      <c r="W254" s="227"/>
      <c r="X254" s="209" t="s">
        <v>1248</v>
      </c>
      <c r="Y254" s="209" t="s">
        <v>1228</v>
      </c>
      <c r="Z254" s="209" t="s">
        <v>1249</v>
      </c>
      <c r="AA254" s="233">
        <v>46109</v>
      </c>
      <c r="AB254" s="232">
        <v>46142</v>
      </c>
      <c r="AC254" s="209" t="s">
        <v>1133</v>
      </c>
      <c r="AD254" s="209" t="s">
        <v>1133</v>
      </c>
      <c r="AE254" s="209" t="s">
        <v>510</v>
      </c>
      <c r="AF254" s="209" t="s">
        <v>1228</v>
      </c>
      <c r="AG254" s="209" t="s">
        <v>510</v>
      </c>
      <c r="AH254" s="209" t="s">
        <v>1133</v>
      </c>
      <c r="AI254" s="209" t="s">
        <v>1228</v>
      </c>
      <c r="AJ254" s="209" t="s">
        <v>1133</v>
      </c>
      <c r="AK254" s="209" t="s">
        <v>1356</v>
      </c>
      <c r="AL254" s="209"/>
      <c r="AM254" s="209" t="s">
        <v>1655</v>
      </c>
      <c r="AN254" s="229" t="s">
        <v>1251</v>
      </c>
      <c r="AO254" s="215">
        <v>9.39</v>
      </c>
      <c r="AP254" s="235">
        <f t="shared" si="36"/>
        <v>1408.5</v>
      </c>
      <c r="AQ254" s="235">
        <f t="shared" si="37"/>
        <v>10915.88</v>
      </c>
      <c r="AR254" s="217">
        <v>61156</v>
      </c>
      <c r="AS254" s="208">
        <v>46178</v>
      </c>
      <c r="AT254" s="227" t="s">
        <v>1220</v>
      </c>
      <c r="AU254" s="245"/>
      <c r="AV254" s="236">
        <f t="shared" si="46"/>
        <v>-150</v>
      </c>
      <c r="AW254" s="236"/>
      <c r="AX254" s="227"/>
      <c r="AY254" s="227"/>
      <c r="AZ254" s="227"/>
      <c r="BA254" s="227"/>
      <c r="BB254" s="208" t="str">
        <f t="shared" si="32"/>
        <v>Nichi World Co., Ltd</v>
      </c>
      <c r="BC254" s="208" t="str">
        <f t="shared" si="33"/>
        <v>美国</v>
      </c>
    </row>
    <row r="255" s="195" customFormat="1" customHeight="1" spans="1:55">
      <c r="A255" s="227">
        <v>46095</v>
      </c>
      <c r="B255" s="208" t="str">
        <f ca="1" t="shared" si="38"/>
        <v/>
      </c>
      <c r="C255" s="209" t="str">
        <f>VLOOKUP(H255,名称!A:E,4,0)</f>
        <v>三代</v>
      </c>
      <c r="D255" s="228" t="s">
        <v>1246</v>
      </c>
      <c r="E255" s="228" t="s">
        <v>1224</v>
      </c>
      <c r="F255" s="209"/>
      <c r="G255" s="209" t="s">
        <v>572</v>
      </c>
      <c r="H255" s="209" t="s">
        <v>72</v>
      </c>
      <c r="I255" s="209"/>
      <c r="J255" s="229">
        <v>1620</v>
      </c>
      <c r="K255" s="230">
        <f>VLOOKUP(H255,名称!A:C,2,0)</f>
        <v>12</v>
      </c>
      <c r="L255" s="229">
        <f t="shared" si="44"/>
        <v>19440</v>
      </c>
      <c r="M255" s="209">
        <f>VLOOKUP(H255,名称!A:E,3,0)</f>
        <v>12</v>
      </c>
      <c r="N255" s="229">
        <f t="shared" si="45"/>
        <v>135</v>
      </c>
      <c r="O255" s="227">
        <v>46153</v>
      </c>
      <c r="P255" s="227">
        <v>46171</v>
      </c>
      <c r="Q255" s="227">
        <v>46171</v>
      </c>
      <c r="R255" s="209" t="s">
        <v>1241</v>
      </c>
      <c r="S255" s="227" t="s">
        <v>1133</v>
      </c>
      <c r="T255" s="209"/>
      <c r="U255" s="209"/>
      <c r="V255" s="209"/>
      <c r="W255" s="227"/>
      <c r="X255" s="209" t="s">
        <v>1248</v>
      </c>
      <c r="Y255" s="209" t="s">
        <v>1228</v>
      </c>
      <c r="Z255" s="209" t="s">
        <v>1249</v>
      </c>
      <c r="AA255" s="233">
        <v>46109</v>
      </c>
      <c r="AB255" s="232">
        <v>46142</v>
      </c>
      <c r="AC255" s="209" t="s">
        <v>1302</v>
      </c>
      <c r="AD255" s="209" t="s">
        <v>1228</v>
      </c>
      <c r="AE255" s="209" t="s">
        <v>510</v>
      </c>
      <c r="AF255" s="209" t="s">
        <v>1228</v>
      </c>
      <c r="AG255" s="209" t="s">
        <v>510</v>
      </c>
      <c r="AH255" s="209" t="s">
        <v>1307</v>
      </c>
      <c r="AI255" s="209" t="s">
        <v>1228</v>
      </c>
      <c r="AJ255" s="209" t="s">
        <v>1133</v>
      </c>
      <c r="AK255" s="209" t="s">
        <v>1133</v>
      </c>
      <c r="AL255" s="209"/>
      <c r="AM255" s="209" t="s">
        <v>1655</v>
      </c>
      <c r="AN255" s="229" t="s">
        <v>1251</v>
      </c>
      <c r="AO255" s="215">
        <v>1.6</v>
      </c>
      <c r="AP255" s="235">
        <f t="shared" si="36"/>
        <v>2592</v>
      </c>
      <c r="AQ255" s="235">
        <f t="shared" si="37"/>
        <v>20088</v>
      </c>
      <c r="AR255" s="217">
        <v>61156</v>
      </c>
      <c r="AS255" s="208">
        <v>46178</v>
      </c>
      <c r="AT255" s="227" t="s">
        <v>1220</v>
      </c>
      <c r="AU255" s="245">
        <v>1620</v>
      </c>
      <c r="AV255" s="236">
        <f t="shared" si="46"/>
        <v>0</v>
      </c>
      <c r="AW255" s="236"/>
      <c r="AX255" s="227" t="s">
        <v>1280</v>
      </c>
      <c r="AY255" s="227"/>
      <c r="AZ255" s="227"/>
      <c r="BA255" s="227"/>
      <c r="BB255" s="208" t="str">
        <f t="shared" si="32"/>
        <v>Nichi World Co., Ltd</v>
      </c>
      <c r="BC255" s="208" t="str">
        <f t="shared" si="33"/>
        <v>美国</v>
      </c>
    </row>
    <row r="256" s="195" customFormat="1" customHeight="1" spans="1:55">
      <c r="A256" s="227">
        <v>46095</v>
      </c>
      <c r="B256" s="208" t="str">
        <f ca="1" t="shared" si="38"/>
        <v/>
      </c>
      <c r="C256" s="209" t="str">
        <f>VLOOKUP(H256,名称!A:E,4,0)</f>
        <v>三代</v>
      </c>
      <c r="D256" s="228" t="s">
        <v>1246</v>
      </c>
      <c r="E256" s="228" t="s">
        <v>1224</v>
      </c>
      <c r="F256" s="209"/>
      <c r="G256" s="209" t="s">
        <v>572</v>
      </c>
      <c r="H256" s="209" t="s">
        <v>85</v>
      </c>
      <c r="I256" s="209"/>
      <c r="J256" s="250">
        <f>4800-24-72</f>
        <v>4704</v>
      </c>
      <c r="K256" s="230">
        <f>VLOOKUP(H256,名称!A:C,2,0)</f>
        <v>5</v>
      </c>
      <c r="L256" s="229">
        <f t="shared" si="44"/>
        <v>23520</v>
      </c>
      <c r="M256" s="209">
        <f>VLOOKUP(H256,名称!A:E,3,0)</f>
        <v>24</v>
      </c>
      <c r="N256" s="229">
        <f t="shared" si="45"/>
        <v>196</v>
      </c>
      <c r="O256" s="227">
        <v>46153</v>
      </c>
      <c r="P256" s="227">
        <v>46174</v>
      </c>
      <c r="Q256" s="227">
        <v>46174</v>
      </c>
      <c r="R256" s="209"/>
      <c r="S256" s="227">
        <v>46175</v>
      </c>
      <c r="T256" s="209"/>
      <c r="U256" s="209"/>
      <c r="V256" s="209"/>
      <c r="W256" s="227"/>
      <c r="X256" s="209" t="s">
        <v>1248</v>
      </c>
      <c r="Y256" s="209" t="s">
        <v>1228</v>
      </c>
      <c r="Z256" s="209" t="s">
        <v>1249</v>
      </c>
      <c r="AA256" s="233">
        <v>46109</v>
      </c>
      <c r="AB256" s="232">
        <v>46142</v>
      </c>
      <c r="AC256" s="209" t="s">
        <v>1133</v>
      </c>
      <c r="AD256" s="209" t="s">
        <v>1133</v>
      </c>
      <c r="AE256" s="209" t="s">
        <v>510</v>
      </c>
      <c r="AF256" s="209" t="s">
        <v>1228</v>
      </c>
      <c r="AG256" s="209" t="s">
        <v>510</v>
      </c>
      <c r="AH256" s="209" t="s">
        <v>1133</v>
      </c>
      <c r="AI256" s="209" t="s">
        <v>1228</v>
      </c>
      <c r="AJ256" s="209" t="s">
        <v>1133</v>
      </c>
      <c r="AK256" s="209" t="s">
        <v>510</v>
      </c>
      <c r="AL256" s="209"/>
      <c r="AM256" s="209" t="s">
        <v>1655</v>
      </c>
      <c r="AN256" s="229" t="s">
        <v>1251</v>
      </c>
      <c r="AO256" s="215">
        <v>0.89</v>
      </c>
      <c r="AP256" s="235">
        <f t="shared" si="36"/>
        <v>4186.56</v>
      </c>
      <c r="AQ256" s="235">
        <f t="shared" si="37"/>
        <v>32445.84</v>
      </c>
      <c r="AR256" s="217">
        <v>61156</v>
      </c>
      <c r="AS256" s="208">
        <v>46178</v>
      </c>
      <c r="AT256" s="227" t="s">
        <v>1220</v>
      </c>
      <c r="AU256" s="245">
        <v>4800</v>
      </c>
      <c r="AV256" s="236">
        <f t="shared" si="46"/>
        <v>96</v>
      </c>
      <c r="AW256" s="236"/>
      <c r="AX256" s="227" t="s">
        <v>1280</v>
      </c>
      <c r="AY256" s="227"/>
      <c r="AZ256" s="227"/>
      <c r="BA256" s="227"/>
      <c r="BB256" s="208" t="str">
        <f t="shared" si="32"/>
        <v>Nichi World Co., Ltd</v>
      </c>
      <c r="BC256" s="208" t="str">
        <f t="shared" si="33"/>
        <v>美国</v>
      </c>
    </row>
    <row r="257" s="195" customFormat="1" customHeight="1" spans="1:55">
      <c r="A257" s="227">
        <v>46084</v>
      </c>
      <c r="B257" s="208" t="str">
        <f ca="1" t="shared" si="38"/>
        <v/>
      </c>
      <c r="C257" s="209" t="str">
        <f>VLOOKUP(H257,名称!A:E,4,0)</f>
        <v>三代</v>
      </c>
      <c r="D257" s="228" t="s">
        <v>1387</v>
      </c>
      <c r="E257" s="228" t="s">
        <v>1388</v>
      </c>
      <c r="F257" s="209"/>
      <c r="G257" s="209" t="s">
        <v>526</v>
      </c>
      <c r="H257" s="209" t="s">
        <v>112</v>
      </c>
      <c r="I257" s="209"/>
      <c r="J257" s="229">
        <v>600</v>
      </c>
      <c r="K257" s="230">
        <f>VLOOKUP(H257,名称!A:C,2,0)</f>
        <v>50</v>
      </c>
      <c r="L257" s="229">
        <f t="shared" si="44"/>
        <v>30000</v>
      </c>
      <c r="M257" s="209">
        <f>VLOOKUP(H257,名称!A:E,3,0)</f>
        <v>2</v>
      </c>
      <c r="N257" s="229">
        <f t="shared" si="45"/>
        <v>300</v>
      </c>
      <c r="O257" s="227">
        <v>46142</v>
      </c>
      <c r="P257" s="227">
        <v>46174</v>
      </c>
      <c r="Q257" s="227">
        <v>46174</v>
      </c>
      <c r="R257" s="209"/>
      <c r="S257" s="227" t="s">
        <v>1133</v>
      </c>
      <c r="T257" s="209"/>
      <c r="U257" s="209"/>
      <c r="V257" s="209"/>
      <c r="W257" s="227"/>
      <c r="X257" s="209" t="s">
        <v>1133</v>
      </c>
      <c r="Y257" s="209" t="s">
        <v>1133</v>
      </c>
      <c r="Z257" s="232">
        <v>46106</v>
      </c>
      <c r="AA257" s="233">
        <v>46109</v>
      </c>
      <c r="AB257" s="232">
        <v>46122</v>
      </c>
      <c r="AC257" s="209" t="s">
        <v>1133</v>
      </c>
      <c r="AD257" s="209" t="s">
        <v>1133</v>
      </c>
      <c r="AE257" s="209" t="s">
        <v>510</v>
      </c>
      <c r="AF257" s="209" t="s">
        <v>1228</v>
      </c>
      <c r="AG257" s="209" t="s">
        <v>510</v>
      </c>
      <c r="AH257" s="209" t="s">
        <v>1133</v>
      </c>
      <c r="AI257" s="209" t="s">
        <v>1228</v>
      </c>
      <c r="AJ257" s="209" t="s">
        <v>1133</v>
      </c>
      <c r="AK257" s="209" t="s">
        <v>1356</v>
      </c>
      <c r="AL257" s="209"/>
      <c r="AM257" s="209" t="s">
        <v>1296</v>
      </c>
      <c r="AN257" s="229"/>
      <c r="AO257" s="215">
        <v>9.39</v>
      </c>
      <c r="AP257" s="235">
        <f t="shared" si="36"/>
        <v>5634</v>
      </c>
      <c r="AQ257" s="235">
        <f t="shared" si="37"/>
        <v>43663.5</v>
      </c>
      <c r="AR257" s="217">
        <v>61157</v>
      </c>
      <c r="AS257" s="208">
        <v>46178</v>
      </c>
      <c r="AT257" s="227" t="s">
        <v>1220</v>
      </c>
      <c r="AU257" s="240"/>
      <c r="AV257" s="236">
        <f t="shared" si="46"/>
        <v>-600</v>
      </c>
      <c r="AW257" s="236"/>
      <c r="AX257" s="227"/>
      <c r="AY257" s="227"/>
      <c r="AZ257" s="227"/>
      <c r="BA257" s="227"/>
      <c r="BB257" s="208" t="str">
        <f t="shared" ref="BB257:BB320" si="47">D257</f>
        <v>Sheng Tai_Camtec</v>
      </c>
      <c r="BC257" s="208" t="str">
        <f t="shared" ref="BC257:BC320" si="48">E257</f>
        <v>新加坡</v>
      </c>
    </row>
    <row r="258" s="195" customFormat="1" customHeight="1" spans="1:55">
      <c r="A258" s="227">
        <v>46084</v>
      </c>
      <c r="B258" s="208" t="str">
        <f ca="1" t="shared" si="38"/>
        <v/>
      </c>
      <c r="C258" s="209" t="str">
        <f>VLOOKUP(H258,名称!A:E,4,0)</f>
        <v>三代</v>
      </c>
      <c r="D258" s="228" t="s">
        <v>1387</v>
      </c>
      <c r="E258" s="228" t="s">
        <v>1388</v>
      </c>
      <c r="F258" s="209"/>
      <c r="G258" s="209" t="s">
        <v>527</v>
      </c>
      <c r="H258" s="209" t="s">
        <v>85</v>
      </c>
      <c r="I258" s="209"/>
      <c r="J258" s="229">
        <v>12000</v>
      </c>
      <c r="K258" s="230">
        <f>VLOOKUP(H258,名称!A:C,2,0)</f>
        <v>5</v>
      </c>
      <c r="L258" s="229">
        <f t="shared" si="44"/>
        <v>60000</v>
      </c>
      <c r="M258" s="209">
        <f>VLOOKUP(H258,名称!A:E,3,0)</f>
        <v>24</v>
      </c>
      <c r="N258" s="229">
        <f t="shared" si="45"/>
        <v>500</v>
      </c>
      <c r="O258" s="227">
        <v>46142</v>
      </c>
      <c r="P258" s="227">
        <v>46178</v>
      </c>
      <c r="Q258" s="227">
        <v>46174</v>
      </c>
      <c r="R258" s="209"/>
      <c r="S258" s="227" t="s">
        <v>1133</v>
      </c>
      <c r="T258" s="209"/>
      <c r="U258" s="232">
        <v>46166</v>
      </c>
      <c r="V258" s="209"/>
      <c r="W258" s="227"/>
      <c r="X258" s="209" t="s">
        <v>1133</v>
      </c>
      <c r="Y258" s="209" t="s">
        <v>1133</v>
      </c>
      <c r="Z258" s="232">
        <v>46106</v>
      </c>
      <c r="AA258" s="233">
        <v>46109</v>
      </c>
      <c r="AB258" s="232">
        <v>46122</v>
      </c>
      <c r="AC258" s="209" t="s">
        <v>1133</v>
      </c>
      <c r="AD258" s="209" t="s">
        <v>1133</v>
      </c>
      <c r="AE258" s="209" t="s">
        <v>510</v>
      </c>
      <c r="AF258" s="209" t="s">
        <v>1228</v>
      </c>
      <c r="AG258" s="209" t="s">
        <v>510</v>
      </c>
      <c r="AH258" s="209" t="s">
        <v>1133</v>
      </c>
      <c r="AI258" s="209" t="s">
        <v>1228</v>
      </c>
      <c r="AJ258" s="209" t="s">
        <v>1133</v>
      </c>
      <c r="AK258" s="209" t="s">
        <v>510</v>
      </c>
      <c r="AL258" s="209"/>
      <c r="AM258" s="209" t="s">
        <v>1296</v>
      </c>
      <c r="AN258" s="229"/>
      <c r="AO258" s="215">
        <v>0.89</v>
      </c>
      <c r="AP258" s="235">
        <f t="shared" si="36"/>
        <v>10680</v>
      </c>
      <c r="AQ258" s="235">
        <f t="shared" si="37"/>
        <v>82770</v>
      </c>
      <c r="AR258" s="217">
        <v>61158</v>
      </c>
      <c r="AS258" s="208">
        <v>46178</v>
      </c>
      <c r="AT258" s="227" t="s">
        <v>1220</v>
      </c>
      <c r="AU258" s="240">
        <v>12000</v>
      </c>
      <c r="AV258" s="236">
        <f t="shared" si="46"/>
        <v>0</v>
      </c>
      <c r="AW258" s="236"/>
      <c r="AX258" s="227" t="s">
        <v>1280</v>
      </c>
      <c r="AY258" s="227"/>
      <c r="AZ258" s="227"/>
      <c r="BA258" s="227"/>
      <c r="BB258" s="208" t="str">
        <f t="shared" si="47"/>
        <v>Sheng Tai_Camtec</v>
      </c>
      <c r="BC258" s="208" t="str">
        <f t="shared" si="48"/>
        <v>新加坡</v>
      </c>
    </row>
    <row r="259" s="195" customFormat="1" customHeight="1" spans="1:55">
      <c r="A259" s="227">
        <v>46077</v>
      </c>
      <c r="B259" s="208" t="str">
        <f ca="1" t="shared" si="38"/>
        <v/>
      </c>
      <c r="C259" s="209" t="str">
        <f>VLOOKUP(H259,名称!A:E,4,0)</f>
        <v>三代</v>
      </c>
      <c r="D259" s="228" t="s">
        <v>1257</v>
      </c>
      <c r="E259" s="228" t="s">
        <v>1258</v>
      </c>
      <c r="F259" s="209" t="s">
        <v>513</v>
      </c>
      <c r="G259" s="209" t="s">
        <v>514</v>
      </c>
      <c r="H259" s="209" t="s">
        <v>112</v>
      </c>
      <c r="I259" s="209"/>
      <c r="J259" s="229">
        <v>5568</v>
      </c>
      <c r="K259" s="230">
        <f>VLOOKUP(H259,名称!A:C,2,0)</f>
        <v>50</v>
      </c>
      <c r="L259" s="229">
        <f t="shared" si="44"/>
        <v>278400</v>
      </c>
      <c r="M259" s="209">
        <f>VLOOKUP(H259,名称!A:E,3,0)</f>
        <v>2</v>
      </c>
      <c r="N259" s="229">
        <f t="shared" si="45"/>
        <v>2784</v>
      </c>
      <c r="O259" s="227">
        <v>46139</v>
      </c>
      <c r="P259" s="227">
        <v>46169</v>
      </c>
      <c r="Q259" s="227">
        <v>46169</v>
      </c>
      <c r="R259" s="209" t="s">
        <v>1241</v>
      </c>
      <c r="S259" s="227" t="s">
        <v>1721</v>
      </c>
      <c r="T259" s="209" t="s">
        <v>1558</v>
      </c>
      <c r="U259" s="209"/>
      <c r="V259" s="209"/>
      <c r="W259" s="227"/>
      <c r="X259" s="209" t="s">
        <v>1133</v>
      </c>
      <c r="Y259" s="209" t="s">
        <v>1133</v>
      </c>
      <c r="Z259" s="232">
        <v>46097</v>
      </c>
      <c r="AA259" s="233">
        <v>46100</v>
      </c>
      <c r="AB259" s="232">
        <v>46107</v>
      </c>
      <c r="AC259" s="209" t="s">
        <v>1133</v>
      </c>
      <c r="AD259" s="209" t="s">
        <v>1133</v>
      </c>
      <c r="AE259" s="209" t="s">
        <v>334</v>
      </c>
      <c r="AF259" s="209" t="s">
        <v>1228</v>
      </c>
      <c r="AG259" s="209" t="s">
        <v>334</v>
      </c>
      <c r="AH259" s="209" t="s">
        <v>1133</v>
      </c>
      <c r="AI259" s="209" t="s">
        <v>1228</v>
      </c>
      <c r="AJ259" s="209" t="s">
        <v>1133</v>
      </c>
      <c r="AK259" s="209" t="s">
        <v>1356</v>
      </c>
      <c r="AL259" s="209"/>
      <c r="AM259" s="209" t="s">
        <v>1357</v>
      </c>
      <c r="AN259" s="229" t="s">
        <v>1261</v>
      </c>
      <c r="AO259" s="215">
        <v>9.12</v>
      </c>
      <c r="AP259" s="235">
        <f t="shared" ref="AP259:AP322" si="49">J259*AO259</f>
        <v>50780.16</v>
      </c>
      <c r="AQ259" s="235">
        <f t="shared" ref="AQ259:AQ322" si="50">AP259*7.75</f>
        <v>393546.24</v>
      </c>
      <c r="AR259" s="217">
        <v>61159</v>
      </c>
      <c r="AS259" s="208">
        <v>46178</v>
      </c>
      <c r="AT259" s="227" t="s">
        <v>1313</v>
      </c>
      <c r="AU259" s="240"/>
      <c r="AV259" s="236">
        <f t="shared" si="46"/>
        <v>-5568</v>
      </c>
      <c r="AW259" s="236"/>
      <c r="AX259" s="227"/>
      <c r="AY259" s="227"/>
      <c r="AZ259" s="227"/>
      <c r="BA259" s="227"/>
      <c r="BB259" s="208" t="str">
        <f t="shared" si="47"/>
        <v>Character Options</v>
      </c>
      <c r="BC259" s="208" t="str">
        <f t="shared" si="48"/>
        <v>英国</v>
      </c>
    </row>
    <row r="260" s="195" customFormat="1" customHeight="1" spans="1:55">
      <c r="A260" s="227">
        <v>46043</v>
      </c>
      <c r="B260" s="208" t="str">
        <f ca="1" t="shared" si="38"/>
        <v/>
      </c>
      <c r="C260" s="209" t="str">
        <f>VLOOKUP(H260,名称!A:E,4,0)</f>
        <v>三代</v>
      </c>
      <c r="D260" s="228" t="s">
        <v>1257</v>
      </c>
      <c r="E260" s="228" t="s">
        <v>1258</v>
      </c>
      <c r="F260" s="209"/>
      <c r="G260" s="209" t="s">
        <v>466</v>
      </c>
      <c r="H260" s="209" t="s">
        <v>71</v>
      </c>
      <c r="I260" s="209"/>
      <c r="J260" s="229">
        <v>2500</v>
      </c>
      <c r="K260" s="230">
        <f>VLOOKUP(H260,名称!A:C,2,0)</f>
        <v>50</v>
      </c>
      <c r="L260" s="229">
        <f t="shared" si="44"/>
        <v>125000</v>
      </c>
      <c r="M260" s="209">
        <f>VLOOKUP(H260,名称!A:E,3,0)</f>
        <v>4</v>
      </c>
      <c r="N260" s="229">
        <f t="shared" si="45"/>
        <v>625</v>
      </c>
      <c r="O260" s="227">
        <v>46140</v>
      </c>
      <c r="P260" s="227">
        <v>46175</v>
      </c>
      <c r="Q260" s="227">
        <v>46175</v>
      </c>
      <c r="R260" s="209" t="s">
        <v>1241</v>
      </c>
      <c r="S260" s="227">
        <v>46175</v>
      </c>
      <c r="T260" s="209" t="s">
        <v>1241</v>
      </c>
      <c r="U260" s="209"/>
      <c r="V260" s="209" t="s">
        <v>1722</v>
      </c>
      <c r="W260" s="227"/>
      <c r="X260" s="209" t="s">
        <v>1248</v>
      </c>
      <c r="Y260" s="209" t="s">
        <v>1228</v>
      </c>
      <c r="Z260" s="209" t="s">
        <v>1249</v>
      </c>
      <c r="AA260" s="233">
        <v>46137</v>
      </c>
      <c r="AB260" s="232">
        <v>46155</v>
      </c>
      <c r="AC260" s="209" t="s">
        <v>1308</v>
      </c>
      <c r="AD260" s="209" t="s">
        <v>1690</v>
      </c>
      <c r="AE260" s="209" t="s">
        <v>1691</v>
      </c>
      <c r="AF260" s="232">
        <v>46139</v>
      </c>
      <c r="AG260" s="209" t="s">
        <v>334</v>
      </c>
      <c r="AH260" s="209" t="s">
        <v>1692</v>
      </c>
      <c r="AI260" s="209" t="s">
        <v>1228</v>
      </c>
      <c r="AJ260" s="209" t="s">
        <v>1422</v>
      </c>
      <c r="AK260" s="209" t="s">
        <v>1133</v>
      </c>
      <c r="AL260" s="209"/>
      <c r="AM260" s="209" t="s">
        <v>1723</v>
      </c>
      <c r="AN260" s="229" t="s">
        <v>1694</v>
      </c>
      <c r="AO260" s="215">
        <v>7.34</v>
      </c>
      <c r="AP260" s="235">
        <f t="shared" si="49"/>
        <v>18350</v>
      </c>
      <c r="AQ260" s="235">
        <f t="shared" si="50"/>
        <v>142212.5</v>
      </c>
      <c r="AR260" s="224" t="s">
        <v>1724</v>
      </c>
      <c r="AS260" s="208">
        <v>46178</v>
      </c>
      <c r="AT260" s="227" t="s">
        <v>1220</v>
      </c>
      <c r="AU260" s="240"/>
      <c r="AV260" s="236">
        <f t="shared" si="46"/>
        <v>-2500</v>
      </c>
      <c r="AW260" s="236"/>
      <c r="AX260" s="227"/>
      <c r="AY260" s="227"/>
      <c r="AZ260" s="227"/>
      <c r="BA260" s="227"/>
      <c r="BB260" s="208" t="str">
        <f t="shared" si="47"/>
        <v>Character Options</v>
      </c>
      <c r="BC260" s="208" t="str">
        <f t="shared" si="48"/>
        <v>英国</v>
      </c>
    </row>
    <row r="261" s="195" customFormat="1" customHeight="1" spans="1:55">
      <c r="A261" s="227">
        <v>46121</v>
      </c>
      <c r="B261" s="208" t="str">
        <f ca="1" t="shared" si="38"/>
        <v/>
      </c>
      <c r="C261" s="209" t="str">
        <f>VLOOKUP(H261,名称!A:E,4,0)</f>
        <v>三代</v>
      </c>
      <c r="D261" s="228" t="s">
        <v>1257</v>
      </c>
      <c r="E261" s="228" t="s">
        <v>1258</v>
      </c>
      <c r="F261" s="209" t="s">
        <v>699</v>
      </c>
      <c r="G261" s="209" t="s">
        <v>700</v>
      </c>
      <c r="H261" s="209" t="s">
        <v>103</v>
      </c>
      <c r="I261" s="209"/>
      <c r="J261" s="229">
        <v>14103</v>
      </c>
      <c r="K261" s="230">
        <f>VLOOKUP(H261,名称!A:C,2,0)</f>
        <v>7</v>
      </c>
      <c r="L261" s="229">
        <f t="shared" si="44"/>
        <v>98721</v>
      </c>
      <c r="M261" s="209">
        <f>VLOOKUP(H261,名称!A:E,3,0)</f>
        <v>9</v>
      </c>
      <c r="N261" s="229">
        <f t="shared" si="45"/>
        <v>1567</v>
      </c>
      <c r="O261" s="227">
        <v>46157</v>
      </c>
      <c r="P261" s="227">
        <v>46168</v>
      </c>
      <c r="Q261" s="227">
        <v>46168</v>
      </c>
      <c r="R261" s="209"/>
      <c r="S261" s="227">
        <v>46170</v>
      </c>
      <c r="T261" s="209" t="s">
        <v>1241</v>
      </c>
      <c r="U261" s="209"/>
      <c r="V261" s="209"/>
      <c r="W261" s="227"/>
      <c r="X261" s="209" t="s">
        <v>1133</v>
      </c>
      <c r="Y261" s="209" t="s">
        <v>1133</v>
      </c>
      <c r="Z261" s="232">
        <v>46125</v>
      </c>
      <c r="AA261" s="233">
        <v>46129</v>
      </c>
      <c r="AB261" s="232">
        <v>46140</v>
      </c>
      <c r="AC261" s="209" t="s">
        <v>1318</v>
      </c>
      <c r="AD261" s="209" t="s">
        <v>1228</v>
      </c>
      <c r="AE261" s="209" t="s">
        <v>334</v>
      </c>
      <c r="AF261" s="209" t="s">
        <v>1228</v>
      </c>
      <c r="AG261" s="209" t="s">
        <v>334</v>
      </c>
      <c r="AH261" s="209" t="s">
        <v>1361</v>
      </c>
      <c r="AI261" s="209" t="s">
        <v>1228</v>
      </c>
      <c r="AJ261" s="209" t="s">
        <v>1133</v>
      </c>
      <c r="AK261" s="209" t="s">
        <v>1133</v>
      </c>
      <c r="AL261" s="209" t="s">
        <v>1228</v>
      </c>
      <c r="AM261" s="209" t="s">
        <v>1725</v>
      </c>
      <c r="AN261" s="229"/>
      <c r="AO261" s="215">
        <v>0.9</v>
      </c>
      <c r="AP261" s="235">
        <f t="shared" si="49"/>
        <v>12692.7</v>
      </c>
      <c r="AQ261" s="235">
        <f t="shared" si="50"/>
        <v>98368.43</v>
      </c>
      <c r="AR261" s="217">
        <v>61161</v>
      </c>
      <c r="AS261" s="208">
        <v>46178</v>
      </c>
      <c r="AT261" s="227" t="s">
        <v>1220</v>
      </c>
      <c r="AU261" s="245">
        <f>19431+4491+81</f>
        <v>24003</v>
      </c>
      <c r="AV261" s="236">
        <f t="shared" si="46"/>
        <v>9900</v>
      </c>
      <c r="AW261" s="236"/>
      <c r="AX261" s="227" t="s">
        <v>1280</v>
      </c>
      <c r="AY261" s="227"/>
      <c r="AZ261" s="227"/>
      <c r="BA261" s="227"/>
      <c r="BB261" s="208" t="str">
        <f t="shared" si="47"/>
        <v>Character Options</v>
      </c>
      <c r="BC261" s="208" t="str">
        <f t="shared" si="48"/>
        <v>英国</v>
      </c>
    </row>
    <row r="262" s="195" customFormat="1" customHeight="1" spans="1:55">
      <c r="A262" s="227">
        <v>46130</v>
      </c>
      <c r="B262" s="208" t="str">
        <f ca="1" t="shared" si="38"/>
        <v/>
      </c>
      <c r="C262" s="209" t="str">
        <f>VLOOKUP(H262,名称!A:E,4,0)</f>
        <v>三代</v>
      </c>
      <c r="D262" s="242" t="s">
        <v>1496</v>
      </c>
      <c r="E262" s="242" t="s">
        <v>1726</v>
      </c>
      <c r="F262" s="242" t="s">
        <v>750</v>
      </c>
      <c r="G262" s="242" t="s">
        <v>751</v>
      </c>
      <c r="H262" s="242" t="s">
        <v>112</v>
      </c>
      <c r="I262" s="209"/>
      <c r="J262" s="243">
        <v>480</v>
      </c>
      <c r="K262" s="230">
        <f>VLOOKUP(H262,名称!A:C,2,0)</f>
        <v>50</v>
      </c>
      <c r="L262" s="229">
        <f t="shared" si="44"/>
        <v>24000</v>
      </c>
      <c r="M262" s="209">
        <f>VLOOKUP(H262,名称!A:E,3,0)</f>
        <v>2</v>
      </c>
      <c r="N262" s="229">
        <f t="shared" si="45"/>
        <v>240</v>
      </c>
      <c r="O262" s="244">
        <v>46183</v>
      </c>
      <c r="P262" s="227">
        <v>46171</v>
      </c>
      <c r="Q262" s="227">
        <v>46171</v>
      </c>
      <c r="R262" s="209"/>
      <c r="S262" s="227" t="s">
        <v>1133</v>
      </c>
      <c r="T262" s="209"/>
      <c r="U262" s="209"/>
      <c r="V262" s="209"/>
      <c r="W262" s="227"/>
      <c r="X262" s="242" t="s">
        <v>1248</v>
      </c>
      <c r="Y262" s="209" t="s">
        <v>1228</v>
      </c>
      <c r="Z262" s="232">
        <v>46139</v>
      </c>
      <c r="AA262" s="233">
        <v>46141</v>
      </c>
      <c r="AB262" s="232">
        <v>46148</v>
      </c>
      <c r="AC262" s="209" t="s">
        <v>1133</v>
      </c>
      <c r="AD262" s="209" t="s">
        <v>1133</v>
      </c>
      <c r="AE262" s="242" t="s">
        <v>510</v>
      </c>
      <c r="AF262" s="209" t="s">
        <v>1228</v>
      </c>
      <c r="AG262" s="242" t="s">
        <v>510</v>
      </c>
      <c r="AH262" s="209" t="s">
        <v>1133</v>
      </c>
      <c r="AI262" s="209" t="s">
        <v>1228</v>
      </c>
      <c r="AJ262" s="209" t="s">
        <v>1133</v>
      </c>
      <c r="AK262" s="209" t="s">
        <v>1356</v>
      </c>
      <c r="AL262" s="209"/>
      <c r="AM262" s="209" t="s">
        <v>1727</v>
      </c>
      <c r="AN262" s="242" t="s">
        <v>1251</v>
      </c>
      <c r="AO262" s="215">
        <v>9.95</v>
      </c>
      <c r="AP262" s="235">
        <f t="shared" si="49"/>
        <v>4776</v>
      </c>
      <c r="AQ262" s="235">
        <f t="shared" si="50"/>
        <v>37014</v>
      </c>
      <c r="AR262" s="217">
        <v>61162</v>
      </c>
      <c r="AS262" s="208">
        <v>46178</v>
      </c>
      <c r="AT262" s="227" t="s">
        <v>1220</v>
      </c>
      <c r="AU262" s="245"/>
      <c r="AV262" s="236">
        <f t="shared" si="46"/>
        <v>-480</v>
      </c>
      <c r="AW262" s="236"/>
      <c r="AX262" s="227"/>
      <c r="AY262" s="227"/>
      <c r="AZ262" s="227"/>
      <c r="BA262" s="227"/>
      <c r="BB262" s="208" t="str">
        <f t="shared" si="47"/>
        <v>Kade Ltd.</v>
      </c>
      <c r="BC262" s="208" t="str">
        <f t="shared" si="48"/>
        <v>中国</v>
      </c>
    </row>
    <row r="263" s="194" customFormat="1" customHeight="1" spans="1:55">
      <c r="A263" s="208">
        <v>46077</v>
      </c>
      <c r="B263" s="208" t="str">
        <f ca="1" t="shared" si="38"/>
        <v/>
      </c>
      <c r="C263" s="211" t="str">
        <f>VLOOKUP(H263,名称!A:E,4,0)</f>
        <v>三代</v>
      </c>
      <c r="D263" s="210" t="s">
        <v>1257</v>
      </c>
      <c r="E263" s="210" t="s">
        <v>1258</v>
      </c>
      <c r="F263" s="211" t="s">
        <v>513</v>
      </c>
      <c r="G263" s="211" t="s">
        <v>514</v>
      </c>
      <c r="H263" s="211" t="s">
        <v>100</v>
      </c>
      <c r="I263" s="211"/>
      <c r="J263" s="212">
        <v>6000</v>
      </c>
      <c r="K263" s="223">
        <f>VLOOKUP(H263,名称!A:C,2,0)</f>
        <v>0</v>
      </c>
      <c r="L263" s="212">
        <f t="shared" si="44"/>
        <v>0</v>
      </c>
      <c r="M263" s="211">
        <f>VLOOKUP(H263,名称!A:E,3,0)</f>
        <v>12</v>
      </c>
      <c r="N263" s="212">
        <f t="shared" si="45"/>
        <v>500</v>
      </c>
      <c r="O263" s="208">
        <v>46139</v>
      </c>
      <c r="P263" s="208">
        <v>46174</v>
      </c>
      <c r="Q263" s="208">
        <v>46174</v>
      </c>
      <c r="R263" s="211" t="s">
        <v>1277</v>
      </c>
      <c r="S263" s="208">
        <v>46174</v>
      </c>
      <c r="T263" s="211" t="s">
        <v>1277</v>
      </c>
      <c r="U263" s="211"/>
      <c r="V263" s="211"/>
      <c r="W263" s="208"/>
      <c r="X263" s="211" t="s">
        <v>1133</v>
      </c>
      <c r="Y263" s="211" t="s">
        <v>1133</v>
      </c>
      <c r="Z263" s="213">
        <v>46097</v>
      </c>
      <c r="AA263" s="214">
        <v>46100</v>
      </c>
      <c r="AB263" s="213">
        <v>46107</v>
      </c>
      <c r="AC263" s="211" t="s">
        <v>1133</v>
      </c>
      <c r="AD263" s="211" t="s">
        <v>1133</v>
      </c>
      <c r="AE263" s="211" t="s">
        <v>334</v>
      </c>
      <c r="AF263" s="211" t="s">
        <v>1228</v>
      </c>
      <c r="AG263" s="211" t="s">
        <v>1728</v>
      </c>
      <c r="AH263" s="211" t="s">
        <v>1133</v>
      </c>
      <c r="AI263" s="211" t="s">
        <v>1228</v>
      </c>
      <c r="AJ263" s="211" t="s">
        <v>1133</v>
      </c>
      <c r="AK263" s="211" t="s">
        <v>1133</v>
      </c>
      <c r="AL263" s="211"/>
      <c r="AM263" s="211" t="s">
        <v>1355</v>
      </c>
      <c r="AN263" s="212"/>
      <c r="AO263" s="215">
        <v>1.24</v>
      </c>
      <c r="AP263" s="216">
        <f t="shared" si="49"/>
        <v>7440</v>
      </c>
      <c r="AQ263" s="216">
        <f t="shared" si="50"/>
        <v>57660</v>
      </c>
      <c r="AR263" s="217">
        <v>61163</v>
      </c>
      <c r="AS263" s="208">
        <v>46183</v>
      </c>
      <c r="AT263" s="208" t="s">
        <v>1220</v>
      </c>
      <c r="AU263" s="251"/>
      <c r="AV263" s="252">
        <f t="shared" si="46"/>
        <v>-6000</v>
      </c>
      <c r="AW263" s="252"/>
      <c r="AX263" s="208"/>
      <c r="AY263" s="208"/>
      <c r="AZ263" s="208"/>
      <c r="BA263" s="208"/>
      <c r="BB263" s="208" t="str">
        <f t="shared" si="47"/>
        <v>Character Options</v>
      </c>
      <c r="BC263" s="208" t="str">
        <f t="shared" si="48"/>
        <v>英国</v>
      </c>
    </row>
    <row r="264" s="194" customFormat="1" customHeight="1" spans="1:55">
      <c r="A264" s="208">
        <v>46077</v>
      </c>
      <c r="B264" s="208" t="str">
        <f ca="1" t="shared" si="38"/>
        <v/>
      </c>
      <c r="C264" s="211" t="str">
        <f>VLOOKUP(H264,名称!A:E,4,0)</f>
        <v>三代</v>
      </c>
      <c r="D264" s="210" t="s">
        <v>1257</v>
      </c>
      <c r="E264" s="210" t="s">
        <v>1258</v>
      </c>
      <c r="F264" s="211" t="s">
        <v>513</v>
      </c>
      <c r="G264" s="211" t="s">
        <v>514</v>
      </c>
      <c r="H264" s="211" t="s">
        <v>112</v>
      </c>
      <c r="I264" s="211"/>
      <c r="J264" s="212">
        <v>6000</v>
      </c>
      <c r="K264" s="223">
        <f>VLOOKUP(H264,名称!A:C,2,0)</f>
        <v>50</v>
      </c>
      <c r="L264" s="212">
        <f t="shared" si="44"/>
        <v>300000</v>
      </c>
      <c r="M264" s="211">
        <f>VLOOKUP(H264,名称!A:E,3,0)</f>
        <v>2</v>
      </c>
      <c r="N264" s="212">
        <f t="shared" si="45"/>
        <v>3000</v>
      </c>
      <c r="O264" s="208">
        <v>46139</v>
      </c>
      <c r="P264" s="208">
        <v>46174</v>
      </c>
      <c r="Q264" s="208">
        <v>46174</v>
      </c>
      <c r="R264" s="211" t="s">
        <v>1241</v>
      </c>
      <c r="S264" s="208">
        <v>46175</v>
      </c>
      <c r="T264" s="211" t="s">
        <v>1241</v>
      </c>
      <c r="U264" s="211"/>
      <c r="V264" s="211"/>
      <c r="W264" s="208"/>
      <c r="X264" s="211" t="s">
        <v>1133</v>
      </c>
      <c r="Y264" s="211" t="s">
        <v>1133</v>
      </c>
      <c r="Z264" s="213">
        <v>46097</v>
      </c>
      <c r="AA264" s="214">
        <v>46100</v>
      </c>
      <c r="AB264" s="213">
        <v>46107</v>
      </c>
      <c r="AC264" s="211" t="s">
        <v>1133</v>
      </c>
      <c r="AD264" s="211" t="s">
        <v>1133</v>
      </c>
      <c r="AE264" s="211" t="s">
        <v>334</v>
      </c>
      <c r="AF264" s="211" t="s">
        <v>1228</v>
      </c>
      <c r="AG264" s="211" t="s">
        <v>334</v>
      </c>
      <c r="AH264" s="211" t="s">
        <v>1133</v>
      </c>
      <c r="AI264" s="211" t="s">
        <v>1228</v>
      </c>
      <c r="AJ264" s="211" t="s">
        <v>1133</v>
      </c>
      <c r="AK264" s="211" t="s">
        <v>1356</v>
      </c>
      <c r="AL264" s="211"/>
      <c r="AM264" s="211" t="s">
        <v>1357</v>
      </c>
      <c r="AN264" s="212" t="s">
        <v>1261</v>
      </c>
      <c r="AO264" s="215">
        <v>9.12</v>
      </c>
      <c r="AP264" s="216">
        <f t="shared" si="49"/>
        <v>54720</v>
      </c>
      <c r="AQ264" s="216">
        <f t="shared" si="50"/>
        <v>424080</v>
      </c>
      <c r="AR264" s="217">
        <v>61163</v>
      </c>
      <c r="AS264" s="208">
        <v>46183</v>
      </c>
      <c r="AT264" s="208" t="s">
        <v>1220</v>
      </c>
      <c r="AU264" s="251"/>
      <c r="AV264" s="252">
        <f t="shared" si="46"/>
        <v>-6000</v>
      </c>
      <c r="AW264" s="252"/>
      <c r="AX264" s="208"/>
      <c r="AY264" s="208"/>
      <c r="AZ264" s="208"/>
      <c r="BA264" s="208"/>
      <c r="BB264" s="208" t="str">
        <f t="shared" si="47"/>
        <v>Character Options</v>
      </c>
      <c r="BC264" s="208" t="str">
        <f t="shared" si="48"/>
        <v>英国</v>
      </c>
    </row>
    <row r="265" s="194" customFormat="1" customHeight="1" spans="1:55">
      <c r="A265" s="208">
        <v>46092</v>
      </c>
      <c r="B265" s="208" t="str">
        <f ca="1" t="shared" si="38"/>
        <v/>
      </c>
      <c r="C265" s="211" t="str">
        <f>VLOOKUP(H265,名称!A:E,4,0)</f>
        <v>三代</v>
      </c>
      <c r="D265" s="210" t="s">
        <v>1257</v>
      </c>
      <c r="E265" s="210" t="s">
        <v>1258</v>
      </c>
      <c r="F265" s="211" t="s">
        <v>1729</v>
      </c>
      <c r="G265" s="211" t="s">
        <v>545</v>
      </c>
      <c r="H265" s="211" t="s">
        <v>113</v>
      </c>
      <c r="I265" s="211"/>
      <c r="J265" s="212">
        <v>6000</v>
      </c>
      <c r="K265" s="223">
        <f>VLOOKUP(H265,名称!A:C,2,0)</f>
        <v>12</v>
      </c>
      <c r="L265" s="212">
        <f t="shared" si="44"/>
        <v>72000</v>
      </c>
      <c r="M265" s="211">
        <f>VLOOKUP(H265,名称!A:E,3,0)</f>
        <v>6</v>
      </c>
      <c r="N265" s="212">
        <f t="shared" si="45"/>
        <v>1000</v>
      </c>
      <c r="O265" s="208">
        <v>46150</v>
      </c>
      <c r="P265" s="208">
        <v>46170</v>
      </c>
      <c r="Q265" s="208">
        <v>46170</v>
      </c>
      <c r="R265" s="211" t="s">
        <v>1425</v>
      </c>
      <c r="S265" s="208">
        <v>46170</v>
      </c>
      <c r="T265" s="211" t="s">
        <v>1558</v>
      </c>
      <c r="U265" s="211"/>
      <c r="V265" s="211"/>
      <c r="W265" s="208"/>
      <c r="X265" s="211" t="s">
        <v>1133</v>
      </c>
      <c r="Y265" s="211" t="s">
        <v>1133</v>
      </c>
      <c r="Z265" s="213">
        <v>46092</v>
      </c>
      <c r="AA265" s="214">
        <v>46105</v>
      </c>
      <c r="AB265" s="213">
        <v>46114</v>
      </c>
      <c r="AC265" s="211" t="s">
        <v>1302</v>
      </c>
      <c r="AD265" s="211" t="s">
        <v>1228</v>
      </c>
      <c r="AE265" s="211" t="s">
        <v>334</v>
      </c>
      <c r="AF265" s="211" t="s">
        <v>1228</v>
      </c>
      <c r="AG265" s="211" t="s">
        <v>334</v>
      </c>
      <c r="AH265" s="211" t="s">
        <v>1361</v>
      </c>
      <c r="AI265" s="211" t="s">
        <v>1228</v>
      </c>
      <c r="AJ265" s="211" t="s">
        <v>1133</v>
      </c>
      <c r="AK265" s="211" t="s">
        <v>1133</v>
      </c>
      <c r="AL265" s="211"/>
      <c r="AM265" s="211" t="s">
        <v>1730</v>
      </c>
      <c r="AN265" s="212"/>
      <c r="AO265" s="215">
        <v>1.52</v>
      </c>
      <c r="AP265" s="216">
        <f t="shared" si="49"/>
        <v>9120</v>
      </c>
      <c r="AQ265" s="216">
        <f t="shared" si="50"/>
        <v>70680</v>
      </c>
      <c r="AR265" s="217">
        <v>61164</v>
      </c>
      <c r="AS265" s="208">
        <v>46183</v>
      </c>
      <c r="AT265" s="208" t="s">
        <v>1220</v>
      </c>
      <c r="AU265" s="251">
        <v>6000</v>
      </c>
      <c r="AV265" s="252">
        <f t="shared" si="46"/>
        <v>0</v>
      </c>
      <c r="AW265" s="252"/>
      <c r="AX265" s="208"/>
      <c r="AY265" s="208"/>
      <c r="AZ265" s="208"/>
      <c r="BA265" s="208"/>
      <c r="BB265" s="208" t="str">
        <f t="shared" si="47"/>
        <v>Character Options</v>
      </c>
      <c r="BC265" s="208" t="str">
        <f t="shared" si="48"/>
        <v>英国</v>
      </c>
    </row>
    <row r="266" s="194" customFormat="1" customHeight="1" spans="1:55">
      <c r="A266" s="208">
        <v>46121</v>
      </c>
      <c r="B266" s="208" t="str">
        <f ca="1" t="shared" si="38"/>
        <v/>
      </c>
      <c r="C266" s="211" t="str">
        <f>VLOOKUP(H266,名称!A:E,4,0)</f>
        <v>三代</v>
      </c>
      <c r="D266" s="210" t="s">
        <v>1257</v>
      </c>
      <c r="E266" s="210" t="s">
        <v>1258</v>
      </c>
      <c r="F266" s="211" t="s">
        <v>699</v>
      </c>
      <c r="G266" s="211" t="s">
        <v>700</v>
      </c>
      <c r="H266" s="211" t="s">
        <v>99</v>
      </c>
      <c r="I266" s="211"/>
      <c r="J266" s="212">
        <v>12000</v>
      </c>
      <c r="K266" s="223">
        <f>VLOOKUP(H266,名称!A:C,2,0)</f>
        <v>7</v>
      </c>
      <c r="L266" s="212">
        <f t="shared" si="44"/>
        <v>84000</v>
      </c>
      <c r="M266" s="211">
        <f>VLOOKUP(H266,名称!A:E,3,0)</f>
        <v>24</v>
      </c>
      <c r="N266" s="212">
        <f t="shared" si="45"/>
        <v>500</v>
      </c>
      <c r="O266" s="208">
        <v>46157</v>
      </c>
      <c r="P266" s="208">
        <v>46168</v>
      </c>
      <c r="Q266" s="208">
        <v>46168</v>
      </c>
      <c r="R266" s="211" t="s">
        <v>1241</v>
      </c>
      <c r="S266" s="208">
        <v>46170</v>
      </c>
      <c r="T266" s="211" t="s">
        <v>1241</v>
      </c>
      <c r="U266" s="211"/>
      <c r="V266" s="211"/>
      <c r="W266" s="208"/>
      <c r="X266" s="211" t="s">
        <v>1133</v>
      </c>
      <c r="Y266" s="211" t="s">
        <v>1133</v>
      </c>
      <c r="Z266" s="213">
        <v>46125</v>
      </c>
      <c r="AA266" s="214">
        <v>46129</v>
      </c>
      <c r="AB266" s="213">
        <v>46140</v>
      </c>
      <c r="AC266" s="211" t="s">
        <v>1318</v>
      </c>
      <c r="AD266" s="211" t="s">
        <v>1228</v>
      </c>
      <c r="AE266" s="211" t="s">
        <v>334</v>
      </c>
      <c r="AF266" s="211" t="s">
        <v>1228</v>
      </c>
      <c r="AG266" s="211" t="s">
        <v>812</v>
      </c>
      <c r="AH266" s="211" t="s">
        <v>1361</v>
      </c>
      <c r="AI266" s="211" t="s">
        <v>1228</v>
      </c>
      <c r="AJ266" s="211" t="s">
        <v>1133</v>
      </c>
      <c r="AK266" s="211" t="s">
        <v>1133</v>
      </c>
      <c r="AL266" s="211" t="s">
        <v>1228</v>
      </c>
      <c r="AM266" s="211" t="s">
        <v>1731</v>
      </c>
      <c r="AN266" s="212"/>
      <c r="AO266" s="215">
        <v>0.87</v>
      </c>
      <c r="AP266" s="216">
        <f t="shared" si="49"/>
        <v>10440</v>
      </c>
      <c r="AQ266" s="216">
        <f t="shared" si="50"/>
        <v>80910</v>
      </c>
      <c r="AR266" s="224" t="s">
        <v>1732</v>
      </c>
      <c r="AS266" s="208">
        <v>46183</v>
      </c>
      <c r="AT266" s="208" t="s">
        <v>1220</v>
      </c>
      <c r="AU266" s="253">
        <f>10800+1200</f>
        <v>12000</v>
      </c>
      <c r="AV266" s="252">
        <f t="shared" si="46"/>
        <v>0</v>
      </c>
      <c r="AW266" s="252"/>
      <c r="AX266" s="208" t="s">
        <v>1280</v>
      </c>
      <c r="AY266" s="208"/>
      <c r="AZ266" s="208"/>
      <c r="BA266" s="208"/>
      <c r="BB266" s="208" t="str">
        <f t="shared" si="47"/>
        <v>Character Options</v>
      </c>
      <c r="BC266" s="208" t="str">
        <f t="shared" si="48"/>
        <v>英国</v>
      </c>
    </row>
    <row r="267" s="194" customFormat="1" customHeight="1" spans="1:55">
      <c r="A267" s="208">
        <v>46121</v>
      </c>
      <c r="B267" s="208" t="str">
        <f ca="1" t="shared" si="38"/>
        <v/>
      </c>
      <c r="C267" s="211" t="str">
        <f>VLOOKUP(H267,名称!A:E,4,0)</f>
        <v>三代</v>
      </c>
      <c r="D267" s="210" t="s">
        <v>1257</v>
      </c>
      <c r="E267" s="210" t="s">
        <v>1258</v>
      </c>
      <c r="F267" s="211" t="s">
        <v>699</v>
      </c>
      <c r="G267" s="211" t="s">
        <v>700</v>
      </c>
      <c r="H267" s="211" t="s">
        <v>68</v>
      </c>
      <c r="I267" s="211"/>
      <c r="J267" s="212">
        <v>5000</v>
      </c>
      <c r="K267" s="223">
        <f>VLOOKUP(H267,名称!A:C,2,0)</f>
        <v>32</v>
      </c>
      <c r="L267" s="212">
        <f t="shared" si="44"/>
        <v>160000</v>
      </c>
      <c r="M267" s="211">
        <f>VLOOKUP(H267,名称!A:E,3,0)</f>
        <v>4</v>
      </c>
      <c r="N267" s="212">
        <f t="shared" si="45"/>
        <v>1250</v>
      </c>
      <c r="O267" s="208">
        <v>46157</v>
      </c>
      <c r="P267" s="208">
        <v>46169</v>
      </c>
      <c r="Q267" s="208">
        <v>46169</v>
      </c>
      <c r="R267" s="211" t="s">
        <v>1241</v>
      </c>
      <c r="S267" s="208">
        <v>46170</v>
      </c>
      <c r="T267" s="211" t="s">
        <v>1241</v>
      </c>
      <c r="U267" s="211"/>
      <c r="V267" s="211"/>
      <c r="W267" s="208"/>
      <c r="X267" s="211" t="s">
        <v>1133</v>
      </c>
      <c r="Y267" s="211" t="s">
        <v>1133</v>
      </c>
      <c r="Z267" s="213">
        <v>46125</v>
      </c>
      <c r="AA267" s="214">
        <v>46129</v>
      </c>
      <c r="AB267" s="213">
        <v>46140</v>
      </c>
      <c r="AC267" s="211" t="s">
        <v>1302</v>
      </c>
      <c r="AD267" s="211" t="s">
        <v>1228</v>
      </c>
      <c r="AE267" s="211" t="s">
        <v>334</v>
      </c>
      <c r="AF267" s="211" t="s">
        <v>1228</v>
      </c>
      <c r="AG267" s="211" t="s">
        <v>334</v>
      </c>
      <c r="AH267" s="211" t="s">
        <v>1361</v>
      </c>
      <c r="AI267" s="211" t="s">
        <v>1228</v>
      </c>
      <c r="AJ267" s="211" t="s">
        <v>1133</v>
      </c>
      <c r="AK267" s="211" t="s">
        <v>1133</v>
      </c>
      <c r="AL267" s="211"/>
      <c r="AM267" s="211" t="s">
        <v>1733</v>
      </c>
      <c r="AN267" s="212"/>
      <c r="AO267" s="215">
        <v>3.09</v>
      </c>
      <c r="AP267" s="216">
        <f t="shared" si="49"/>
        <v>15450</v>
      </c>
      <c r="AQ267" s="216">
        <f t="shared" si="50"/>
        <v>119737.5</v>
      </c>
      <c r="AR267" s="224" t="s">
        <v>1732</v>
      </c>
      <c r="AS267" s="208">
        <v>46183</v>
      </c>
      <c r="AT267" s="208" t="s">
        <v>1220</v>
      </c>
      <c r="AU267" s="253">
        <f>1104+584+3312</f>
        <v>5000</v>
      </c>
      <c r="AV267" s="252">
        <f t="shared" si="46"/>
        <v>0</v>
      </c>
      <c r="AW267" s="252"/>
      <c r="AX267" s="208" t="s">
        <v>1280</v>
      </c>
      <c r="AY267" s="208"/>
      <c r="AZ267" s="208"/>
      <c r="BA267" s="208"/>
      <c r="BB267" s="208" t="str">
        <f t="shared" si="47"/>
        <v>Character Options</v>
      </c>
      <c r="BC267" s="208" t="str">
        <f t="shared" si="48"/>
        <v>英国</v>
      </c>
    </row>
    <row r="268" s="194" customFormat="1" customHeight="1" spans="1:55">
      <c r="A268" s="208">
        <v>46121</v>
      </c>
      <c r="B268" s="208" t="str">
        <f ca="1" t="shared" si="38"/>
        <v/>
      </c>
      <c r="C268" s="211" t="str">
        <f>VLOOKUP(H268,名称!A:E,4,0)</f>
        <v>三代</v>
      </c>
      <c r="D268" s="210" t="s">
        <v>1257</v>
      </c>
      <c r="E268" s="210" t="s">
        <v>1258</v>
      </c>
      <c r="F268" s="211" t="s">
        <v>699</v>
      </c>
      <c r="G268" s="211" t="s">
        <v>700</v>
      </c>
      <c r="H268" s="211" t="s">
        <v>114</v>
      </c>
      <c r="I268" s="211"/>
      <c r="J268" s="212">
        <v>12006</v>
      </c>
      <c r="K268" s="223">
        <f>VLOOKUP(H268,名称!A:C,2,0)</f>
        <v>0</v>
      </c>
      <c r="L268" s="212">
        <f t="shared" si="44"/>
        <v>0</v>
      </c>
      <c r="M268" s="211">
        <f>VLOOKUP(H268,名称!A:E,3,0)</f>
        <v>9</v>
      </c>
      <c r="N268" s="212">
        <f t="shared" si="45"/>
        <v>1334</v>
      </c>
      <c r="O268" s="208">
        <v>46157</v>
      </c>
      <c r="P268" s="208">
        <v>46171</v>
      </c>
      <c r="Q268" s="208">
        <v>46171</v>
      </c>
      <c r="R268" s="211" t="s">
        <v>1241</v>
      </c>
      <c r="S268" s="208">
        <v>46171</v>
      </c>
      <c r="T268" s="211" t="s">
        <v>1241</v>
      </c>
      <c r="U268" s="211"/>
      <c r="V268" s="211"/>
      <c r="W268" s="208"/>
      <c r="X268" s="211" t="s">
        <v>1133</v>
      </c>
      <c r="Y268" s="211" t="s">
        <v>1133</v>
      </c>
      <c r="Z268" s="213">
        <v>46125</v>
      </c>
      <c r="AA268" s="214">
        <v>46129</v>
      </c>
      <c r="AB268" s="213">
        <v>46140</v>
      </c>
      <c r="AC268" s="211" t="s">
        <v>1133</v>
      </c>
      <c r="AD268" s="211" t="s">
        <v>1133</v>
      </c>
      <c r="AE268" s="211" t="s">
        <v>334</v>
      </c>
      <c r="AF268" s="211" t="s">
        <v>1228</v>
      </c>
      <c r="AG268" s="211" t="s">
        <v>334</v>
      </c>
      <c r="AH268" s="211" t="s">
        <v>1133</v>
      </c>
      <c r="AI268" s="211" t="s">
        <v>1228</v>
      </c>
      <c r="AJ268" s="211" t="s">
        <v>1133</v>
      </c>
      <c r="AK268" s="211" t="s">
        <v>334</v>
      </c>
      <c r="AL268" s="211" t="s">
        <v>1233</v>
      </c>
      <c r="AM268" s="211" t="s">
        <v>1353</v>
      </c>
      <c r="AN268" s="212"/>
      <c r="AO268" s="215">
        <v>0.59</v>
      </c>
      <c r="AP268" s="216">
        <f t="shared" si="49"/>
        <v>7083.54</v>
      </c>
      <c r="AQ268" s="216">
        <f t="shared" si="50"/>
        <v>54897.44</v>
      </c>
      <c r="AR268" s="224" t="s">
        <v>1732</v>
      </c>
      <c r="AS268" s="208">
        <v>46183</v>
      </c>
      <c r="AT268" s="208" t="s">
        <v>1220</v>
      </c>
      <c r="AU268" s="253"/>
      <c r="AV268" s="252">
        <f t="shared" si="46"/>
        <v>-12006</v>
      </c>
      <c r="AW268" s="252"/>
      <c r="AX268" s="208"/>
      <c r="AY268" s="208"/>
      <c r="AZ268" s="208"/>
      <c r="BA268" s="208"/>
      <c r="BB268" s="208" t="str">
        <f t="shared" si="47"/>
        <v>Character Options</v>
      </c>
      <c r="BC268" s="208" t="str">
        <f t="shared" si="48"/>
        <v>英国</v>
      </c>
    </row>
    <row r="269" s="194" customFormat="1" customHeight="1" spans="1:55">
      <c r="A269" s="208">
        <v>46121</v>
      </c>
      <c r="B269" s="208" t="str">
        <f ca="1" t="shared" si="38"/>
        <v/>
      </c>
      <c r="C269" s="211" t="str">
        <f>VLOOKUP(H269,名称!A:E,4,0)</f>
        <v>三代</v>
      </c>
      <c r="D269" s="210" t="s">
        <v>1257</v>
      </c>
      <c r="E269" s="210" t="s">
        <v>1258</v>
      </c>
      <c r="F269" s="211" t="s">
        <v>699</v>
      </c>
      <c r="G269" s="211" t="s">
        <v>700</v>
      </c>
      <c r="H269" s="211" t="s">
        <v>115</v>
      </c>
      <c r="I269" s="211"/>
      <c r="J269" s="212">
        <v>6003</v>
      </c>
      <c r="K269" s="223">
        <f>VLOOKUP(H269,名称!A:C,2,0)</f>
        <v>7</v>
      </c>
      <c r="L269" s="212">
        <f t="shared" si="44"/>
        <v>42021</v>
      </c>
      <c r="M269" s="211">
        <f>VLOOKUP(H269,名称!A:E,3,0)</f>
        <v>9</v>
      </c>
      <c r="N269" s="212">
        <f t="shared" si="45"/>
        <v>667</v>
      </c>
      <c r="O269" s="208">
        <v>46157</v>
      </c>
      <c r="P269" s="208">
        <v>46168</v>
      </c>
      <c r="Q269" s="208">
        <v>46168</v>
      </c>
      <c r="R269" s="211" t="s">
        <v>1241</v>
      </c>
      <c r="S269" s="208">
        <v>46170</v>
      </c>
      <c r="T269" s="211" t="s">
        <v>1241</v>
      </c>
      <c r="U269" s="211"/>
      <c r="V269" s="211"/>
      <c r="W269" s="208"/>
      <c r="X269" s="211" t="s">
        <v>1133</v>
      </c>
      <c r="Y269" s="211" t="s">
        <v>1133</v>
      </c>
      <c r="Z269" s="213">
        <v>46125</v>
      </c>
      <c r="AA269" s="214">
        <v>46129</v>
      </c>
      <c r="AB269" s="213">
        <v>46140</v>
      </c>
      <c r="AC269" s="211" t="s">
        <v>1318</v>
      </c>
      <c r="AD269" s="211" t="s">
        <v>1228</v>
      </c>
      <c r="AE269" s="211" t="s">
        <v>334</v>
      </c>
      <c r="AF269" s="211" t="s">
        <v>1228</v>
      </c>
      <c r="AG269" s="211" t="s">
        <v>334</v>
      </c>
      <c r="AH269" s="211" t="s">
        <v>1361</v>
      </c>
      <c r="AI269" s="211" t="s">
        <v>1228</v>
      </c>
      <c r="AJ269" s="211" t="s">
        <v>1133</v>
      </c>
      <c r="AK269" s="211" t="s">
        <v>1133</v>
      </c>
      <c r="AL269" s="211"/>
      <c r="AM269" s="211" t="s">
        <v>1734</v>
      </c>
      <c r="AN269" s="212"/>
      <c r="AO269" s="215">
        <v>0.85</v>
      </c>
      <c r="AP269" s="216">
        <f t="shared" si="49"/>
        <v>5102.55</v>
      </c>
      <c r="AQ269" s="216">
        <f t="shared" si="50"/>
        <v>39544.76</v>
      </c>
      <c r="AR269" s="224" t="s">
        <v>1732</v>
      </c>
      <c r="AS269" s="208">
        <v>46183</v>
      </c>
      <c r="AT269" s="208" t="s">
        <v>1220</v>
      </c>
      <c r="AU269" s="253">
        <f>5130+837+36</f>
        <v>6003</v>
      </c>
      <c r="AV269" s="252">
        <f t="shared" si="46"/>
        <v>0</v>
      </c>
      <c r="AW269" s="252"/>
      <c r="AX269" s="208" t="s">
        <v>1280</v>
      </c>
      <c r="AY269" s="208"/>
      <c r="AZ269" s="208"/>
      <c r="BA269" s="208"/>
      <c r="BB269" s="208" t="str">
        <f t="shared" si="47"/>
        <v>Character Options</v>
      </c>
      <c r="BC269" s="208" t="str">
        <f t="shared" si="48"/>
        <v>英国</v>
      </c>
    </row>
    <row r="270" s="194" customFormat="1" customHeight="1" spans="1:55">
      <c r="A270" s="208">
        <v>46121</v>
      </c>
      <c r="B270" s="208" t="str">
        <f ca="1" t="shared" si="38"/>
        <v/>
      </c>
      <c r="C270" s="211" t="str">
        <f>VLOOKUP(H270,名称!A:E,4,0)</f>
        <v>三代</v>
      </c>
      <c r="D270" s="210" t="s">
        <v>1257</v>
      </c>
      <c r="E270" s="210" t="s">
        <v>1258</v>
      </c>
      <c r="F270" s="211" t="s">
        <v>699</v>
      </c>
      <c r="G270" s="211" t="s">
        <v>700</v>
      </c>
      <c r="H270" s="211" t="s">
        <v>66</v>
      </c>
      <c r="I270" s="211"/>
      <c r="J270" s="212">
        <v>12000</v>
      </c>
      <c r="K270" s="223">
        <f>VLOOKUP(H270,名称!A:C,2,0)</f>
        <v>12</v>
      </c>
      <c r="L270" s="212">
        <f t="shared" si="44"/>
        <v>144000</v>
      </c>
      <c r="M270" s="211">
        <f>VLOOKUP(H270,名称!A:E,3,0)</f>
        <v>6</v>
      </c>
      <c r="N270" s="212">
        <f t="shared" si="45"/>
        <v>2000</v>
      </c>
      <c r="O270" s="208">
        <v>46157</v>
      </c>
      <c r="P270" s="208">
        <v>46168</v>
      </c>
      <c r="Q270" s="208">
        <v>46168</v>
      </c>
      <c r="R270" s="211" t="s">
        <v>1241</v>
      </c>
      <c r="S270" s="208">
        <v>46170</v>
      </c>
      <c r="T270" s="211" t="s">
        <v>1241</v>
      </c>
      <c r="U270" s="211"/>
      <c r="V270" s="211"/>
      <c r="W270" s="208"/>
      <c r="X270" s="211" t="s">
        <v>1133</v>
      </c>
      <c r="Y270" s="211" t="s">
        <v>1133</v>
      </c>
      <c r="Z270" s="213">
        <v>46125</v>
      </c>
      <c r="AA270" s="214">
        <v>46129</v>
      </c>
      <c r="AB270" s="213">
        <v>46140</v>
      </c>
      <c r="AC270" s="211" t="s">
        <v>1318</v>
      </c>
      <c r="AD270" s="211" t="s">
        <v>1228</v>
      </c>
      <c r="AE270" s="211" t="s">
        <v>334</v>
      </c>
      <c r="AF270" s="211" t="s">
        <v>1228</v>
      </c>
      <c r="AG270" s="211" t="s">
        <v>334</v>
      </c>
      <c r="AH270" s="211" t="s">
        <v>1361</v>
      </c>
      <c r="AI270" s="211" t="s">
        <v>1228</v>
      </c>
      <c r="AJ270" s="211" t="s">
        <v>1422</v>
      </c>
      <c r="AK270" s="211" t="s">
        <v>1133</v>
      </c>
      <c r="AL270" s="211"/>
      <c r="AM270" s="211" t="s">
        <v>1735</v>
      </c>
      <c r="AN270" s="212"/>
      <c r="AO270" s="215">
        <v>2.02</v>
      </c>
      <c r="AP270" s="216">
        <f t="shared" si="49"/>
        <v>24240</v>
      </c>
      <c r="AQ270" s="216">
        <f t="shared" si="50"/>
        <v>187860</v>
      </c>
      <c r="AR270" s="224" t="s">
        <v>1732</v>
      </c>
      <c r="AS270" s="208">
        <v>46183</v>
      </c>
      <c r="AT270" s="208" t="s">
        <v>1220</v>
      </c>
      <c r="AU270" s="253">
        <f>9504+2184+312</f>
        <v>12000</v>
      </c>
      <c r="AV270" s="252">
        <f t="shared" si="46"/>
        <v>0</v>
      </c>
      <c r="AW270" s="252"/>
      <c r="AX270" s="208" t="s">
        <v>1280</v>
      </c>
      <c r="AY270" s="208"/>
      <c r="AZ270" s="208"/>
      <c r="BA270" s="208"/>
      <c r="BB270" s="208" t="str">
        <f t="shared" si="47"/>
        <v>Character Options</v>
      </c>
      <c r="BC270" s="208" t="str">
        <f t="shared" si="48"/>
        <v>英国</v>
      </c>
    </row>
    <row r="271" s="194" customFormat="1" customHeight="1" spans="1:55">
      <c r="A271" s="208">
        <v>46121</v>
      </c>
      <c r="B271" s="208" t="str">
        <f ca="1" t="shared" si="38"/>
        <v/>
      </c>
      <c r="C271" s="209" t="str">
        <f>VLOOKUP(H271,名称!A:E,4,0)</f>
        <v>二代</v>
      </c>
      <c r="D271" s="210" t="s">
        <v>1257</v>
      </c>
      <c r="E271" s="210" t="s">
        <v>1258</v>
      </c>
      <c r="F271" s="211" t="s">
        <v>699</v>
      </c>
      <c r="G271" s="211" t="s">
        <v>700</v>
      </c>
      <c r="H271" s="211" t="s">
        <v>82</v>
      </c>
      <c r="I271" s="211"/>
      <c r="J271" s="212">
        <v>9000</v>
      </c>
      <c r="K271" s="223">
        <f>VLOOKUP(H271,名称!A:C,2,0)</f>
        <v>16</v>
      </c>
      <c r="L271" s="223">
        <f>K271*J271</f>
        <v>144000</v>
      </c>
      <c r="M271" s="211">
        <f>VLOOKUP(H271,名称!A:E,3,0)</f>
        <v>6</v>
      </c>
      <c r="N271" s="212">
        <f t="shared" si="45"/>
        <v>1500</v>
      </c>
      <c r="O271" s="208">
        <v>46170</v>
      </c>
      <c r="P271" s="208">
        <v>46170</v>
      </c>
      <c r="Q271" s="208">
        <v>46169</v>
      </c>
      <c r="R271" s="211" t="s">
        <v>1241</v>
      </c>
      <c r="S271" s="208">
        <v>46170</v>
      </c>
      <c r="T271" s="208" t="s">
        <v>1241</v>
      </c>
      <c r="U271" s="211"/>
      <c r="V271" s="211"/>
      <c r="W271" s="208" t="s">
        <v>1651</v>
      </c>
      <c r="X271" s="211" t="s">
        <v>1133</v>
      </c>
      <c r="Y271" s="214" t="s">
        <v>1133</v>
      </c>
      <c r="Z271" s="213">
        <v>46125</v>
      </c>
      <c r="AA271" s="213">
        <v>46129</v>
      </c>
      <c r="AB271" s="213">
        <v>46140</v>
      </c>
      <c r="AC271" s="211" t="s">
        <v>1302</v>
      </c>
      <c r="AD271" s="211" t="s">
        <v>1133</v>
      </c>
      <c r="AE271" s="211" t="s">
        <v>334</v>
      </c>
      <c r="AF271" s="211" t="s">
        <v>1228</v>
      </c>
      <c r="AG271" s="211" t="s">
        <v>334</v>
      </c>
      <c r="AH271" s="211" t="s">
        <v>1361</v>
      </c>
      <c r="AI271" s="211" t="s">
        <v>1228</v>
      </c>
      <c r="AJ271" s="211" t="s">
        <v>1133</v>
      </c>
      <c r="AK271" s="211" t="s">
        <v>1133</v>
      </c>
      <c r="AL271" s="212" t="s">
        <v>1228</v>
      </c>
      <c r="AM271" s="247" t="s">
        <v>1736</v>
      </c>
      <c r="AN271" s="216"/>
      <c r="AO271" s="215">
        <v>1.49</v>
      </c>
      <c r="AP271" s="216">
        <f t="shared" si="49"/>
        <v>13410</v>
      </c>
      <c r="AQ271" s="216">
        <f t="shared" si="50"/>
        <v>103927.5</v>
      </c>
      <c r="AR271" s="224" t="s">
        <v>1732</v>
      </c>
      <c r="AS271" s="208">
        <v>46183</v>
      </c>
      <c r="AT271" s="208" t="s">
        <v>1220</v>
      </c>
      <c r="AU271" s="221"/>
      <c r="AV271" s="222"/>
      <c r="AW271" s="208"/>
      <c r="AX271" s="208"/>
      <c r="AY271" s="208"/>
      <c r="AZ271" s="208"/>
      <c r="BA271" s="208"/>
      <c r="BB271" s="208" t="str">
        <f t="shared" si="47"/>
        <v>Character Options</v>
      </c>
      <c r="BC271" s="208" t="str">
        <f t="shared" si="48"/>
        <v>英国</v>
      </c>
    </row>
    <row r="272" s="194" customFormat="1" customHeight="1" spans="1:55">
      <c r="A272" s="208">
        <v>46121</v>
      </c>
      <c r="B272" s="208" t="str">
        <f ca="1" t="shared" si="38"/>
        <v/>
      </c>
      <c r="C272" s="211" t="str">
        <f>VLOOKUP(H272,名称!A:E,4,0)</f>
        <v>三代</v>
      </c>
      <c r="D272" s="210" t="s">
        <v>1257</v>
      </c>
      <c r="E272" s="210" t="s">
        <v>1258</v>
      </c>
      <c r="F272" s="211" t="s">
        <v>699</v>
      </c>
      <c r="G272" s="211" t="s">
        <v>700</v>
      </c>
      <c r="H272" s="211" t="s">
        <v>99</v>
      </c>
      <c r="I272" s="211"/>
      <c r="J272" s="212">
        <v>12000</v>
      </c>
      <c r="K272" s="223">
        <f>VLOOKUP(H272,名称!A:C,2,0)</f>
        <v>7</v>
      </c>
      <c r="L272" s="212">
        <f t="shared" ref="L272:L293" si="51">J272*K272</f>
        <v>84000</v>
      </c>
      <c r="M272" s="211">
        <f>VLOOKUP(H272,名称!A:E,3,0)</f>
        <v>24</v>
      </c>
      <c r="N272" s="212">
        <f t="shared" si="45"/>
        <v>500</v>
      </c>
      <c r="O272" s="208">
        <v>46157</v>
      </c>
      <c r="P272" s="208">
        <v>46168</v>
      </c>
      <c r="Q272" s="208">
        <v>46168</v>
      </c>
      <c r="R272" s="211" t="s">
        <v>1241</v>
      </c>
      <c r="S272" s="208">
        <v>46170</v>
      </c>
      <c r="T272" s="211" t="s">
        <v>1241</v>
      </c>
      <c r="U272" s="211"/>
      <c r="V272" s="211"/>
      <c r="W272" s="208"/>
      <c r="X272" s="211" t="s">
        <v>1133</v>
      </c>
      <c r="Y272" s="211" t="s">
        <v>1133</v>
      </c>
      <c r="Z272" s="213">
        <v>46125</v>
      </c>
      <c r="AA272" s="214">
        <v>46129</v>
      </c>
      <c r="AB272" s="213">
        <v>46140</v>
      </c>
      <c r="AC272" s="211" t="s">
        <v>1318</v>
      </c>
      <c r="AD272" s="211" t="s">
        <v>1228</v>
      </c>
      <c r="AE272" s="211" t="s">
        <v>334</v>
      </c>
      <c r="AF272" s="211" t="s">
        <v>1228</v>
      </c>
      <c r="AG272" s="211" t="s">
        <v>812</v>
      </c>
      <c r="AH272" s="211" t="s">
        <v>1361</v>
      </c>
      <c r="AI272" s="211" t="s">
        <v>1228</v>
      </c>
      <c r="AJ272" s="211" t="s">
        <v>1133</v>
      </c>
      <c r="AK272" s="211" t="s">
        <v>1133</v>
      </c>
      <c r="AL272" s="211" t="s">
        <v>1228</v>
      </c>
      <c r="AM272" s="211" t="s">
        <v>1725</v>
      </c>
      <c r="AN272" s="212"/>
      <c r="AO272" s="215">
        <v>0.87</v>
      </c>
      <c r="AP272" s="216">
        <f t="shared" si="49"/>
        <v>10440</v>
      </c>
      <c r="AQ272" s="216">
        <f t="shared" si="50"/>
        <v>80910</v>
      </c>
      <c r="AR272" s="224" t="s">
        <v>1732</v>
      </c>
      <c r="AS272" s="208">
        <v>46183</v>
      </c>
      <c r="AT272" s="208" t="s">
        <v>1220</v>
      </c>
      <c r="AU272" s="253">
        <v>12000</v>
      </c>
      <c r="AV272" s="252">
        <f>AU272-J272</f>
        <v>0</v>
      </c>
      <c r="AW272" s="252"/>
      <c r="AX272" s="208" t="s">
        <v>1280</v>
      </c>
      <c r="AY272" s="208"/>
      <c r="AZ272" s="208"/>
      <c r="BA272" s="208"/>
      <c r="BB272" s="208" t="str">
        <f t="shared" si="47"/>
        <v>Character Options</v>
      </c>
      <c r="BC272" s="208" t="str">
        <f t="shared" si="48"/>
        <v>英国</v>
      </c>
    </row>
    <row r="273" s="194" customFormat="1" customHeight="1" spans="1:55">
      <c r="A273" s="208">
        <v>46121</v>
      </c>
      <c r="B273" s="208" t="str">
        <f ca="1" t="shared" si="38"/>
        <v/>
      </c>
      <c r="C273" s="211" t="str">
        <f>VLOOKUP(H273,名称!A:E,4,0)</f>
        <v>三代</v>
      </c>
      <c r="D273" s="210" t="s">
        <v>1257</v>
      </c>
      <c r="E273" s="210" t="s">
        <v>1258</v>
      </c>
      <c r="F273" s="211" t="s">
        <v>699</v>
      </c>
      <c r="G273" s="211" t="s">
        <v>700</v>
      </c>
      <c r="H273" s="211" t="s">
        <v>84</v>
      </c>
      <c r="I273" s="211"/>
      <c r="J273" s="212">
        <v>18000</v>
      </c>
      <c r="K273" s="223">
        <f>VLOOKUP(H273,名称!A:C,2,0)</f>
        <v>5</v>
      </c>
      <c r="L273" s="212">
        <f t="shared" si="51"/>
        <v>90000</v>
      </c>
      <c r="M273" s="211">
        <f>VLOOKUP(H273,名称!A:E,3,0)</f>
        <v>18</v>
      </c>
      <c r="N273" s="212">
        <f t="shared" si="45"/>
        <v>1000</v>
      </c>
      <c r="O273" s="208">
        <v>46157</v>
      </c>
      <c r="P273" s="208">
        <v>46174</v>
      </c>
      <c r="Q273" s="208">
        <v>46174</v>
      </c>
      <c r="R273" s="211" t="s">
        <v>1425</v>
      </c>
      <c r="S273" s="208">
        <v>46174</v>
      </c>
      <c r="T273" s="211" t="s">
        <v>1241</v>
      </c>
      <c r="U273" s="211"/>
      <c r="V273" s="211"/>
      <c r="W273" s="208"/>
      <c r="X273" s="211" t="s">
        <v>1133</v>
      </c>
      <c r="Y273" s="211" t="s">
        <v>1133</v>
      </c>
      <c r="Z273" s="213">
        <v>46139</v>
      </c>
      <c r="AA273" s="213">
        <v>46139</v>
      </c>
      <c r="AB273" s="213">
        <v>46140</v>
      </c>
      <c r="AC273" s="211" t="s">
        <v>1133</v>
      </c>
      <c r="AD273" s="211" t="s">
        <v>1133</v>
      </c>
      <c r="AE273" s="211" t="s">
        <v>334</v>
      </c>
      <c r="AF273" s="211" t="s">
        <v>1228</v>
      </c>
      <c r="AG273" s="211" t="s">
        <v>334</v>
      </c>
      <c r="AH273" s="211" t="s">
        <v>1133</v>
      </c>
      <c r="AI273" s="211" t="s">
        <v>1228</v>
      </c>
      <c r="AJ273" s="211" t="s">
        <v>1133</v>
      </c>
      <c r="AK273" s="211" t="s">
        <v>334</v>
      </c>
      <c r="AL273" s="211"/>
      <c r="AM273" s="211" t="s">
        <v>1737</v>
      </c>
      <c r="AN273" s="212"/>
      <c r="AO273" s="215">
        <v>0.88</v>
      </c>
      <c r="AP273" s="216">
        <f t="shared" si="49"/>
        <v>15840</v>
      </c>
      <c r="AQ273" s="216">
        <f t="shared" si="50"/>
        <v>122760</v>
      </c>
      <c r="AR273" s="224" t="s">
        <v>1732</v>
      </c>
      <c r="AS273" s="208">
        <v>46183</v>
      </c>
      <c r="AT273" s="208" t="s">
        <v>1310</v>
      </c>
      <c r="AU273" s="253"/>
      <c r="AV273" s="252">
        <f>AU273-J273</f>
        <v>-18000</v>
      </c>
      <c r="AW273" s="252"/>
      <c r="AX273" s="208"/>
      <c r="AY273" s="208"/>
      <c r="AZ273" s="208"/>
      <c r="BA273" s="208"/>
      <c r="BB273" s="208" t="str">
        <f t="shared" si="47"/>
        <v>Character Options</v>
      </c>
      <c r="BC273" s="208" t="str">
        <f t="shared" si="48"/>
        <v>英国</v>
      </c>
    </row>
    <row r="274" s="194" customFormat="1" customHeight="1" spans="1:55">
      <c r="A274" s="208">
        <v>46121</v>
      </c>
      <c r="B274" s="208" t="str">
        <f ca="1" t="shared" si="38"/>
        <v/>
      </c>
      <c r="C274" s="211" t="str">
        <f>VLOOKUP(H274,名称!A:E,4,0)</f>
        <v>三代</v>
      </c>
      <c r="D274" s="210" t="s">
        <v>1257</v>
      </c>
      <c r="E274" s="210" t="s">
        <v>1258</v>
      </c>
      <c r="F274" s="211" t="s">
        <v>699</v>
      </c>
      <c r="G274" s="211" t="s">
        <v>700</v>
      </c>
      <c r="H274" s="211" t="s">
        <v>66</v>
      </c>
      <c r="I274" s="211"/>
      <c r="J274" s="212">
        <v>24000</v>
      </c>
      <c r="K274" s="223">
        <f>VLOOKUP(H274,名称!A:C,2,0)</f>
        <v>12</v>
      </c>
      <c r="L274" s="212">
        <f t="shared" si="51"/>
        <v>288000</v>
      </c>
      <c r="M274" s="211">
        <f>VLOOKUP(H274,名称!A:E,3,0)</f>
        <v>6</v>
      </c>
      <c r="N274" s="212">
        <f t="shared" si="45"/>
        <v>4000</v>
      </c>
      <c r="O274" s="208">
        <v>46157</v>
      </c>
      <c r="P274" s="208">
        <v>46168</v>
      </c>
      <c r="Q274" s="208">
        <v>46168</v>
      </c>
      <c r="R274" s="211" t="s">
        <v>1241</v>
      </c>
      <c r="S274" s="208">
        <v>46170</v>
      </c>
      <c r="T274" s="211" t="s">
        <v>1241</v>
      </c>
      <c r="U274" s="211"/>
      <c r="V274" s="211"/>
      <c r="W274" s="208"/>
      <c r="X274" s="211" t="s">
        <v>1133</v>
      </c>
      <c r="Y274" s="211" t="s">
        <v>1133</v>
      </c>
      <c r="Z274" s="213">
        <v>46125</v>
      </c>
      <c r="AA274" s="214">
        <v>46129</v>
      </c>
      <c r="AB274" s="213">
        <v>46140</v>
      </c>
      <c r="AC274" s="211" t="s">
        <v>1318</v>
      </c>
      <c r="AD274" s="211" t="s">
        <v>1228</v>
      </c>
      <c r="AE274" s="211" t="s">
        <v>334</v>
      </c>
      <c r="AF274" s="211" t="s">
        <v>1228</v>
      </c>
      <c r="AG274" s="211" t="s">
        <v>334</v>
      </c>
      <c r="AH274" s="211" t="s">
        <v>1361</v>
      </c>
      <c r="AI274" s="211" t="s">
        <v>1228</v>
      </c>
      <c r="AJ274" s="211" t="s">
        <v>1422</v>
      </c>
      <c r="AK274" s="211" t="s">
        <v>1133</v>
      </c>
      <c r="AL274" s="211"/>
      <c r="AM274" s="211" t="s">
        <v>1738</v>
      </c>
      <c r="AN274" s="212"/>
      <c r="AO274" s="215">
        <v>2.02</v>
      </c>
      <c r="AP274" s="216">
        <f t="shared" si="49"/>
        <v>48480</v>
      </c>
      <c r="AQ274" s="216">
        <f t="shared" si="50"/>
        <v>375720</v>
      </c>
      <c r="AR274" s="224" t="s">
        <v>1732</v>
      </c>
      <c r="AS274" s="208">
        <v>46183</v>
      </c>
      <c r="AT274" s="208" t="s">
        <v>1220</v>
      </c>
      <c r="AU274" s="253">
        <f>6480+3600+6048+7872</f>
        <v>24000</v>
      </c>
      <c r="AV274" s="252">
        <f>AU274-J274</f>
        <v>0</v>
      </c>
      <c r="AW274" s="252"/>
      <c r="AX274" s="208" t="s">
        <v>1280</v>
      </c>
      <c r="AY274" s="208"/>
      <c r="AZ274" s="208"/>
      <c r="BA274" s="208"/>
      <c r="BB274" s="208" t="str">
        <f t="shared" si="47"/>
        <v>Character Options</v>
      </c>
      <c r="BC274" s="208" t="str">
        <f t="shared" si="48"/>
        <v>英国</v>
      </c>
    </row>
    <row r="275" s="194" customFormat="1" customHeight="1" spans="1:55">
      <c r="A275" s="208">
        <v>46121</v>
      </c>
      <c r="B275" s="208" t="str">
        <f ca="1" t="shared" ref="B275:B338" si="52">IF(TODAY()-5&gt;=A275,IF(AB275="","异常",""),"")</f>
        <v/>
      </c>
      <c r="C275" s="211" t="str">
        <f>VLOOKUP(H275,名称!A:E,4,0)</f>
        <v>三代</v>
      </c>
      <c r="D275" s="210" t="s">
        <v>1257</v>
      </c>
      <c r="E275" s="210" t="s">
        <v>1258</v>
      </c>
      <c r="F275" s="211" t="s">
        <v>699</v>
      </c>
      <c r="G275" s="211" t="s">
        <v>700</v>
      </c>
      <c r="H275" s="211" t="s">
        <v>103</v>
      </c>
      <c r="I275" s="211"/>
      <c r="J275" s="212">
        <f>24003-14103</f>
        <v>9900</v>
      </c>
      <c r="K275" s="223">
        <f>VLOOKUP(H275,名称!A:C,2,0)</f>
        <v>7</v>
      </c>
      <c r="L275" s="212">
        <f t="shared" si="51"/>
        <v>69300</v>
      </c>
      <c r="M275" s="211">
        <f>VLOOKUP(H275,名称!A:E,3,0)</f>
        <v>9</v>
      </c>
      <c r="N275" s="212">
        <f t="shared" si="45"/>
        <v>1100</v>
      </c>
      <c r="O275" s="208">
        <v>46157</v>
      </c>
      <c r="P275" s="208">
        <v>46168</v>
      </c>
      <c r="Q275" s="208">
        <v>46168</v>
      </c>
      <c r="R275" s="211"/>
      <c r="S275" s="208">
        <v>46170</v>
      </c>
      <c r="T275" s="211" t="s">
        <v>1241</v>
      </c>
      <c r="U275" s="211"/>
      <c r="V275" s="211"/>
      <c r="W275" s="208"/>
      <c r="X275" s="211" t="s">
        <v>1133</v>
      </c>
      <c r="Y275" s="211" t="s">
        <v>1133</v>
      </c>
      <c r="Z275" s="213">
        <v>46125</v>
      </c>
      <c r="AA275" s="214">
        <v>46129</v>
      </c>
      <c r="AB275" s="213">
        <v>46140</v>
      </c>
      <c r="AC275" s="211" t="s">
        <v>1318</v>
      </c>
      <c r="AD275" s="211" t="s">
        <v>1228</v>
      </c>
      <c r="AE275" s="211" t="s">
        <v>334</v>
      </c>
      <c r="AF275" s="211" t="s">
        <v>1228</v>
      </c>
      <c r="AG275" s="211" t="s">
        <v>334</v>
      </c>
      <c r="AH275" s="211" t="s">
        <v>1361</v>
      </c>
      <c r="AI275" s="211" t="s">
        <v>1228</v>
      </c>
      <c r="AJ275" s="211" t="s">
        <v>1133</v>
      </c>
      <c r="AK275" s="211" t="s">
        <v>1133</v>
      </c>
      <c r="AL275" s="211" t="s">
        <v>1228</v>
      </c>
      <c r="AM275" s="211" t="s">
        <v>1725</v>
      </c>
      <c r="AN275" s="212"/>
      <c r="AO275" s="215">
        <v>0.85</v>
      </c>
      <c r="AP275" s="216">
        <f t="shared" si="49"/>
        <v>8415</v>
      </c>
      <c r="AQ275" s="216">
        <f t="shared" si="50"/>
        <v>65216.25</v>
      </c>
      <c r="AR275" s="224" t="s">
        <v>1732</v>
      </c>
      <c r="AS275" s="208">
        <v>46183</v>
      </c>
      <c r="AT275" s="208" t="s">
        <v>1220</v>
      </c>
      <c r="AU275" s="253">
        <f>19431+4491+81</f>
        <v>24003</v>
      </c>
      <c r="AV275" s="252">
        <f>AU275-J275</f>
        <v>14103</v>
      </c>
      <c r="AW275" s="252"/>
      <c r="AX275" s="208" t="s">
        <v>1280</v>
      </c>
      <c r="AY275" s="208"/>
      <c r="AZ275" s="208"/>
      <c r="BA275" s="208"/>
      <c r="BB275" s="208" t="str">
        <f t="shared" si="47"/>
        <v>Character Options</v>
      </c>
      <c r="BC275" s="208" t="str">
        <f t="shared" si="48"/>
        <v>英国</v>
      </c>
    </row>
    <row r="276" s="194" customFormat="1" customHeight="1" spans="1:55">
      <c r="A276" s="208">
        <v>46113</v>
      </c>
      <c r="B276" s="208" t="str">
        <f ca="1" t="shared" si="52"/>
        <v/>
      </c>
      <c r="C276" s="211" t="str">
        <f>VLOOKUP(H276,名称!A:E,4,0)</f>
        <v>蛋糕</v>
      </c>
      <c r="D276" s="210" t="s">
        <v>1257</v>
      </c>
      <c r="E276" s="210" t="s">
        <v>1258</v>
      </c>
      <c r="F276" s="211" t="s">
        <v>611</v>
      </c>
      <c r="G276" s="211" t="s">
        <v>612</v>
      </c>
      <c r="H276" s="211" t="s">
        <v>50</v>
      </c>
      <c r="I276" s="211"/>
      <c r="J276" s="212">
        <v>42012</v>
      </c>
      <c r="K276" s="223">
        <f>VLOOKUP(H276,名称!A:C,2,0)</f>
        <v>0</v>
      </c>
      <c r="L276" s="212">
        <f t="shared" si="51"/>
        <v>0</v>
      </c>
      <c r="M276" s="211">
        <f>VLOOKUP(H276,名称!A:E,3,0)</f>
        <v>18</v>
      </c>
      <c r="N276" s="212">
        <f t="shared" si="45"/>
        <v>2334</v>
      </c>
      <c r="O276" s="208">
        <v>46168</v>
      </c>
      <c r="P276" s="208">
        <v>46168</v>
      </c>
      <c r="Q276" s="208">
        <v>46169</v>
      </c>
      <c r="R276" s="211" t="s">
        <v>1241</v>
      </c>
      <c r="S276" s="208">
        <v>46169</v>
      </c>
      <c r="T276" s="211" t="s">
        <v>1241</v>
      </c>
      <c r="U276" s="211"/>
      <c r="V276" s="211"/>
      <c r="W276" s="208"/>
      <c r="X276" s="211" t="s">
        <v>1133</v>
      </c>
      <c r="Y276" s="211" t="s">
        <v>1133</v>
      </c>
      <c r="Z276" s="211" t="s">
        <v>1249</v>
      </c>
      <c r="AA276" s="214">
        <v>46154</v>
      </c>
      <c r="AB276" s="213">
        <v>46154</v>
      </c>
      <c r="AC276" s="211" t="s">
        <v>1133</v>
      </c>
      <c r="AD276" s="211" t="s">
        <v>1133</v>
      </c>
      <c r="AE276" s="211" t="s">
        <v>334</v>
      </c>
      <c r="AF276" s="211" t="s">
        <v>1228</v>
      </c>
      <c r="AG276" s="211" t="s">
        <v>334</v>
      </c>
      <c r="AH276" s="211" t="s">
        <v>1133</v>
      </c>
      <c r="AI276" s="211" t="s">
        <v>1228</v>
      </c>
      <c r="AJ276" s="211" t="s">
        <v>1133</v>
      </c>
      <c r="AK276" s="211" t="s">
        <v>1228</v>
      </c>
      <c r="AL276" s="211"/>
      <c r="AM276" s="211" t="s">
        <v>1739</v>
      </c>
      <c r="AN276" s="212" t="s">
        <v>1668</v>
      </c>
      <c r="AO276" s="215">
        <v>1.03</v>
      </c>
      <c r="AP276" s="216">
        <f t="shared" si="49"/>
        <v>43272.36</v>
      </c>
      <c r="AQ276" s="216">
        <f t="shared" si="50"/>
        <v>335360.79</v>
      </c>
      <c r="AR276" s="224" t="s">
        <v>1740</v>
      </c>
      <c r="AS276" s="208">
        <v>46183</v>
      </c>
      <c r="AT276" s="208" t="s">
        <v>1220</v>
      </c>
      <c r="AU276" s="208"/>
      <c r="AV276" s="208"/>
      <c r="AW276" s="208"/>
      <c r="AX276" s="208"/>
      <c r="AY276" s="208"/>
      <c r="AZ276" s="208"/>
      <c r="BA276" s="208"/>
      <c r="BB276" s="208" t="str">
        <f t="shared" si="47"/>
        <v>Character Options</v>
      </c>
      <c r="BC276" s="208" t="str">
        <f t="shared" si="48"/>
        <v>英国</v>
      </c>
    </row>
    <row r="277" s="194" customFormat="1" customHeight="1" spans="1:55">
      <c r="A277" s="208">
        <v>46093</v>
      </c>
      <c r="B277" s="208" t="str">
        <f ca="1" t="shared" si="52"/>
        <v/>
      </c>
      <c r="C277" s="211" t="str">
        <f>VLOOKUP(H277,名称!A:E,4,0)</f>
        <v>三代</v>
      </c>
      <c r="D277" s="210" t="s">
        <v>1300</v>
      </c>
      <c r="E277" s="210" t="s">
        <v>1224</v>
      </c>
      <c r="F277" s="211" t="s">
        <v>549</v>
      </c>
      <c r="G277" s="211" t="s">
        <v>550</v>
      </c>
      <c r="H277" s="211" t="s">
        <v>107</v>
      </c>
      <c r="I277" s="211"/>
      <c r="J277" s="212">
        <f>4060+15</f>
        <v>4075</v>
      </c>
      <c r="K277" s="223">
        <f>VLOOKUP(H277,名称!A:C,2,0)</f>
        <v>12</v>
      </c>
      <c r="L277" s="212">
        <f t="shared" si="51"/>
        <v>48900</v>
      </c>
      <c r="M277" s="211">
        <f>VLOOKUP(H277,名称!A:E,3,0)</f>
        <v>5</v>
      </c>
      <c r="N277" s="212">
        <f t="shared" si="45"/>
        <v>815</v>
      </c>
      <c r="O277" s="208">
        <v>46150</v>
      </c>
      <c r="P277" s="208">
        <v>46156</v>
      </c>
      <c r="Q277" s="208">
        <v>46156</v>
      </c>
      <c r="R277" s="211" t="s">
        <v>1241</v>
      </c>
      <c r="S277" s="208" t="s">
        <v>1741</v>
      </c>
      <c r="T277" s="208" t="s">
        <v>1291</v>
      </c>
      <c r="U277" s="213">
        <v>46156</v>
      </c>
      <c r="V277" s="211"/>
      <c r="W277" s="208"/>
      <c r="X277" s="211" t="s">
        <v>1133</v>
      </c>
      <c r="Y277" s="211" t="s">
        <v>1133</v>
      </c>
      <c r="Z277" s="213">
        <v>46113</v>
      </c>
      <c r="AA277" s="214">
        <v>46120</v>
      </c>
      <c r="AB277" s="214">
        <v>46121</v>
      </c>
      <c r="AC277" s="211" t="s">
        <v>1302</v>
      </c>
      <c r="AD277" s="211" t="s">
        <v>1228</v>
      </c>
      <c r="AE277" s="211" t="s">
        <v>253</v>
      </c>
      <c r="AF277" s="211" t="s">
        <v>1228</v>
      </c>
      <c r="AG277" s="211" t="s">
        <v>253</v>
      </c>
      <c r="AH277" s="211" t="s">
        <v>253</v>
      </c>
      <c r="AI277" s="211" t="s">
        <v>1228</v>
      </c>
      <c r="AJ277" s="211" t="s">
        <v>253</v>
      </c>
      <c r="AK277" s="211" t="s">
        <v>1133</v>
      </c>
      <c r="AL277" s="211" t="s">
        <v>1742</v>
      </c>
      <c r="AM277" s="211" t="s">
        <v>1359</v>
      </c>
      <c r="AN277" s="212" t="s">
        <v>1231</v>
      </c>
      <c r="AO277" s="215">
        <v>2.12</v>
      </c>
      <c r="AP277" s="216">
        <f t="shared" si="49"/>
        <v>8639</v>
      </c>
      <c r="AQ277" s="216">
        <f t="shared" si="50"/>
        <v>66952.25</v>
      </c>
      <c r="AR277" s="217">
        <v>61167</v>
      </c>
      <c r="AS277" s="208">
        <v>46183</v>
      </c>
      <c r="AT277" s="208" t="s">
        <v>1220</v>
      </c>
      <c r="AU277" s="251">
        <f>500+3575</f>
        <v>4075</v>
      </c>
      <c r="AV277" s="252">
        <f t="shared" ref="AV277:AV293" si="53">AU277-J277</f>
        <v>0</v>
      </c>
      <c r="AW277" s="252"/>
      <c r="AX277" s="208" t="s">
        <v>1280</v>
      </c>
      <c r="AY277" s="208"/>
      <c r="AZ277" s="208"/>
      <c r="BA277" s="208"/>
      <c r="BB277" s="208" t="str">
        <f t="shared" si="47"/>
        <v>JAZWARES - WALMART CANADA (IMPORT)</v>
      </c>
      <c r="BC277" s="208" t="str">
        <f t="shared" si="48"/>
        <v>美国</v>
      </c>
    </row>
    <row r="278" s="194" customFormat="1" customHeight="1" spans="1:55">
      <c r="A278" s="208">
        <v>46120</v>
      </c>
      <c r="B278" s="208" t="str">
        <f ca="1" t="shared" si="52"/>
        <v/>
      </c>
      <c r="C278" s="211" t="str">
        <f>VLOOKUP(H278,名称!A:E,4,0)</f>
        <v>三代</v>
      </c>
      <c r="D278" s="210" t="s">
        <v>1311</v>
      </c>
      <c r="E278" s="210" t="s">
        <v>1224</v>
      </c>
      <c r="F278" s="211" t="s">
        <v>675</v>
      </c>
      <c r="G278" s="211" t="s">
        <v>676</v>
      </c>
      <c r="H278" s="211" t="s">
        <v>102</v>
      </c>
      <c r="I278" s="211"/>
      <c r="J278" s="212">
        <v>4908</v>
      </c>
      <c r="K278" s="223">
        <f>VLOOKUP(H278,名称!A:C,2,0)</f>
        <v>5</v>
      </c>
      <c r="L278" s="212">
        <f t="shared" si="51"/>
        <v>24540</v>
      </c>
      <c r="M278" s="211">
        <f>VLOOKUP(H278,名称!A:E,3,0)</f>
        <v>12</v>
      </c>
      <c r="N278" s="212">
        <f t="shared" si="45"/>
        <v>409</v>
      </c>
      <c r="O278" s="208">
        <v>46150</v>
      </c>
      <c r="P278" s="208">
        <v>46156</v>
      </c>
      <c r="Q278" s="208">
        <v>46156</v>
      </c>
      <c r="R278" s="211" t="s">
        <v>1241</v>
      </c>
      <c r="S278" s="208" t="s">
        <v>1741</v>
      </c>
      <c r="T278" s="211" t="s">
        <v>1241</v>
      </c>
      <c r="U278" s="211"/>
      <c r="V278" s="211"/>
      <c r="W278" s="208"/>
      <c r="X278" s="211" t="s">
        <v>1133</v>
      </c>
      <c r="Y278" s="211" t="s">
        <v>1133</v>
      </c>
      <c r="Z278" s="213">
        <v>46119</v>
      </c>
      <c r="AA278" s="214">
        <v>46120</v>
      </c>
      <c r="AB278" s="213">
        <v>46121</v>
      </c>
      <c r="AC278" s="211" t="s">
        <v>1133</v>
      </c>
      <c r="AD278" s="211" t="s">
        <v>1133</v>
      </c>
      <c r="AE278" s="211" t="s">
        <v>253</v>
      </c>
      <c r="AF278" s="211" t="s">
        <v>1228</v>
      </c>
      <c r="AG278" s="211" t="s">
        <v>253</v>
      </c>
      <c r="AH278" s="211" t="s">
        <v>1133</v>
      </c>
      <c r="AI278" s="211" t="s">
        <v>1228</v>
      </c>
      <c r="AJ278" s="211" t="s">
        <v>1133</v>
      </c>
      <c r="AK278" s="211" t="s">
        <v>253</v>
      </c>
      <c r="AL278" s="211"/>
      <c r="AM278" s="211" t="s">
        <v>1359</v>
      </c>
      <c r="AN278" s="212" t="s">
        <v>1234</v>
      </c>
      <c r="AO278" s="215">
        <v>0.61</v>
      </c>
      <c r="AP278" s="216">
        <f t="shared" si="49"/>
        <v>2993.88</v>
      </c>
      <c r="AQ278" s="216">
        <f t="shared" si="50"/>
        <v>23202.57</v>
      </c>
      <c r="AR278" s="217">
        <v>61168</v>
      </c>
      <c r="AS278" s="208">
        <v>46183</v>
      </c>
      <c r="AT278" s="208" t="s">
        <v>1220</v>
      </c>
      <c r="AU278" s="251">
        <f>660+4248</f>
        <v>4908</v>
      </c>
      <c r="AV278" s="252">
        <f t="shared" si="53"/>
        <v>0</v>
      </c>
      <c r="AW278" s="252"/>
      <c r="AX278" s="208" t="s">
        <v>1280</v>
      </c>
      <c r="AY278" s="208"/>
      <c r="AZ278" s="208"/>
      <c r="BA278" s="208"/>
      <c r="BB278" s="208" t="str">
        <f t="shared" si="47"/>
        <v>JAZWARES - WALMART CA</v>
      </c>
      <c r="BC278" s="208" t="str">
        <f t="shared" si="48"/>
        <v>美国</v>
      </c>
    </row>
    <row r="279" s="194" customFormat="1" customHeight="1" spans="1:55">
      <c r="A279" s="208">
        <v>46115</v>
      </c>
      <c r="B279" s="208" t="str">
        <f ca="1" t="shared" si="52"/>
        <v/>
      </c>
      <c r="C279" s="211" t="str">
        <f>VLOOKUP(H279,名称!A:E,4,0)</f>
        <v>三代</v>
      </c>
      <c r="D279" s="210" t="s">
        <v>1311</v>
      </c>
      <c r="E279" s="210" t="s">
        <v>1224</v>
      </c>
      <c r="F279" s="211" t="s">
        <v>626</v>
      </c>
      <c r="G279" s="211" t="s">
        <v>627</v>
      </c>
      <c r="H279" s="211" t="s">
        <v>83</v>
      </c>
      <c r="I279" s="211"/>
      <c r="J279" s="212">
        <v>3552</v>
      </c>
      <c r="K279" s="223">
        <f>VLOOKUP(H279,名称!A:C,2,0)</f>
        <v>5</v>
      </c>
      <c r="L279" s="212">
        <f t="shared" si="51"/>
        <v>17760</v>
      </c>
      <c r="M279" s="211">
        <f>VLOOKUP(H279,名称!A:E,3,0)</f>
        <v>12</v>
      </c>
      <c r="N279" s="212">
        <f t="shared" si="45"/>
        <v>296</v>
      </c>
      <c r="O279" s="208">
        <v>46153</v>
      </c>
      <c r="P279" s="208">
        <v>46160</v>
      </c>
      <c r="Q279" s="208">
        <v>46160</v>
      </c>
      <c r="R279" s="211" t="s">
        <v>1425</v>
      </c>
      <c r="S279" s="208" t="s">
        <v>1743</v>
      </c>
      <c r="T279" s="211" t="s">
        <v>1241</v>
      </c>
      <c r="U279" s="213">
        <v>46157</v>
      </c>
      <c r="V279" s="211"/>
      <c r="W279" s="208"/>
      <c r="X279" s="211" t="s">
        <v>1133</v>
      </c>
      <c r="Y279" s="211" t="s">
        <v>1133</v>
      </c>
      <c r="Z279" s="213">
        <v>46119</v>
      </c>
      <c r="AA279" s="214">
        <v>46120</v>
      </c>
      <c r="AB279" s="213">
        <v>46123</v>
      </c>
      <c r="AC279" s="211" t="s">
        <v>1133</v>
      </c>
      <c r="AD279" s="211" t="s">
        <v>1133</v>
      </c>
      <c r="AE279" s="211" t="s">
        <v>253</v>
      </c>
      <c r="AF279" s="211" t="s">
        <v>1228</v>
      </c>
      <c r="AG279" s="211" t="s">
        <v>253</v>
      </c>
      <c r="AH279" s="211" t="s">
        <v>1133</v>
      </c>
      <c r="AI279" s="211" t="s">
        <v>1228</v>
      </c>
      <c r="AJ279" s="211" t="s">
        <v>1133</v>
      </c>
      <c r="AK279" s="211" t="s">
        <v>253</v>
      </c>
      <c r="AL279" s="211"/>
      <c r="AM279" s="211" t="s">
        <v>1359</v>
      </c>
      <c r="AN279" s="212" t="s">
        <v>1475</v>
      </c>
      <c r="AO279" s="215">
        <v>0.91</v>
      </c>
      <c r="AP279" s="216">
        <f t="shared" si="49"/>
        <v>3232.32</v>
      </c>
      <c r="AQ279" s="216">
        <f t="shared" si="50"/>
        <v>25050.48</v>
      </c>
      <c r="AR279" s="217">
        <v>61169</v>
      </c>
      <c r="AS279" s="208">
        <v>46183</v>
      </c>
      <c r="AT279" s="208" t="s">
        <v>1310</v>
      </c>
      <c r="AU279" s="251">
        <v>3552</v>
      </c>
      <c r="AV279" s="252">
        <f t="shared" si="53"/>
        <v>0</v>
      </c>
      <c r="AW279" s="252"/>
      <c r="AX279" s="208"/>
      <c r="AY279" s="208"/>
      <c r="AZ279" s="208"/>
      <c r="BA279" s="208"/>
      <c r="BB279" s="208" t="str">
        <f t="shared" si="47"/>
        <v>JAZWARES - WALMART CA</v>
      </c>
      <c r="BC279" s="208" t="str">
        <f t="shared" si="48"/>
        <v>美国</v>
      </c>
    </row>
    <row r="280" s="194" customFormat="1" customHeight="1" spans="1:55">
      <c r="A280" s="208">
        <v>46115</v>
      </c>
      <c r="B280" s="208" t="str">
        <f ca="1" t="shared" si="52"/>
        <v/>
      </c>
      <c r="C280" s="211" t="str">
        <f>VLOOKUP(H280,名称!A:E,4,0)</f>
        <v>三代</v>
      </c>
      <c r="D280" s="210" t="s">
        <v>1300</v>
      </c>
      <c r="E280" s="210" t="s">
        <v>1224</v>
      </c>
      <c r="F280" s="211" t="s">
        <v>644</v>
      </c>
      <c r="G280" s="211" t="s">
        <v>645</v>
      </c>
      <c r="H280" s="211" t="s">
        <v>60</v>
      </c>
      <c r="I280" s="211"/>
      <c r="J280" s="212">
        <v>4236</v>
      </c>
      <c r="K280" s="223">
        <f>VLOOKUP(H280,名称!A:C,2,0)</f>
        <v>5</v>
      </c>
      <c r="L280" s="212">
        <f t="shared" si="51"/>
        <v>21180</v>
      </c>
      <c r="M280" s="211">
        <f>VLOOKUP(H280,名称!A:E,3,0)</f>
        <v>12</v>
      </c>
      <c r="N280" s="212">
        <f t="shared" si="45"/>
        <v>353</v>
      </c>
      <c r="O280" s="208">
        <v>46149</v>
      </c>
      <c r="P280" s="208">
        <v>46156</v>
      </c>
      <c r="Q280" s="208">
        <v>46156</v>
      </c>
      <c r="R280" s="211" t="s">
        <v>1241</v>
      </c>
      <c r="S280" s="208" t="s">
        <v>1741</v>
      </c>
      <c r="T280" s="211" t="s">
        <v>1241</v>
      </c>
      <c r="U280" s="213">
        <v>46160</v>
      </c>
      <c r="V280" s="211"/>
      <c r="W280" s="208"/>
      <c r="X280" s="211" t="s">
        <v>1133</v>
      </c>
      <c r="Y280" s="211" t="s">
        <v>1133</v>
      </c>
      <c r="Z280" s="213">
        <v>46119</v>
      </c>
      <c r="AA280" s="214">
        <v>46120</v>
      </c>
      <c r="AB280" s="213">
        <v>46121</v>
      </c>
      <c r="AC280" s="211" t="s">
        <v>1133</v>
      </c>
      <c r="AD280" s="211" t="s">
        <v>1133</v>
      </c>
      <c r="AE280" s="211" t="s">
        <v>253</v>
      </c>
      <c r="AF280" s="211" t="s">
        <v>1228</v>
      </c>
      <c r="AG280" s="211" t="s">
        <v>253</v>
      </c>
      <c r="AH280" s="211" t="s">
        <v>1133</v>
      </c>
      <c r="AI280" s="211" t="s">
        <v>1228</v>
      </c>
      <c r="AJ280" s="211" t="s">
        <v>1133</v>
      </c>
      <c r="AK280" s="211" t="s">
        <v>253</v>
      </c>
      <c r="AL280" s="211"/>
      <c r="AM280" s="211" t="s">
        <v>1359</v>
      </c>
      <c r="AN280" s="212" t="s">
        <v>1234</v>
      </c>
      <c r="AO280" s="215">
        <v>0.6</v>
      </c>
      <c r="AP280" s="216">
        <f t="shared" si="49"/>
        <v>2541.6</v>
      </c>
      <c r="AQ280" s="216">
        <f t="shared" si="50"/>
        <v>19697.4</v>
      </c>
      <c r="AR280" s="217">
        <v>61170</v>
      </c>
      <c r="AS280" s="208">
        <v>46183</v>
      </c>
      <c r="AT280" s="208" t="s">
        <v>1220</v>
      </c>
      <c r="AU280" s="251">
        <v>4236</v>
      </c>
      <c r="AV280" s="252">
        <f t="shared" si="53"/>
        <v>0</v>
      </c>
      <c r="AW280" s="252"/>
      <c r="AX280" s="208" t="s">
        <v>1280</v>
      </c>
      <c r="AY280" s="208"/>
      <c r="AZ280" s="208"/>
      <c r="BA280" s="208"/>
      <c r="BB280" s="208" t="str">
        <f t="shared" si="47"/>
        <v>JAZWARES - WALMART CANADA (IMPORT)</v>
      </c>
      <c r="BC280" s="208" t="str">
        <f t="shared" si="48"/>
        <v>美国</v>
      </c>
    </row>
    <row r="281" s="194" customFormat="1" customHeight="1" spans="1:55">
      <c r="A281" s="208">
        <v>46062</v>
      </c>
      <c r="B281" s="208" t="str">
        <f ca="1" t="shared" si="52"/>
        <v/>
      </c>
      <c r="C281" s="211" t="str">
        <f>VLOOKUP(H281,名称!A:E,4,0)</f>
        <v>三代</v>
      </c>
      <c r="D281" s="210" t="s">
        <v>1652</v>
      </c>
      <c r="E281" s="210" t="s">
        <v>1653</v>
      </c>
      <c r="F281" s="211"/>
      <c r="G281" s="211" t="s">
        <v>509</v>
      </c>
      <c r="H281" s="211" t="s">
        <v>55</v>
      </c>
      <c r="I281" s="211"/>
      <c r="J281" s="212">
        <v>2880</v>
      </c>
      <c r="K281" s="223">
        <f>VLOOKUP(H281,名称!A:C,2,0)</f>
        <v>7</v>
      </c>
      <c r="L281" s="212">
        <f t="shared" si="51"/>
        <v>20160</v>
      </c>
      <c r="M281" s="211">
        <f>VLOOKUP(H281,名称!A:E,3,0)</f>
        <v>16</v>
      </c>
      <c r="N281" s="212">
        <f t="shared" si="45"/>
        <v>180</v>
      </c>
      <c r="O281" s="208">
        <v>46157</v>
      </c>
      <c r="P281" s="208">
        <v>46157</v>
      </c>
      <c r="Q281" s="208">
        <v>46157</v>
      </c>
      <c r="R281" s="211" t="s">
        <v>1241</v>
      </c>
      <c r="S281" s="208" t="s">
        <v>1133</v>
      </c>
      <c r="T281" s="211" t="s">
        <v>1133</v>
      </c>
      <c r="U281" s="213"/>
      <c r="V281" s="211"/>
      <c r="W281" s="208"/>
      <c r="X281" s="211" t="s">
        <v>1505</v>
      </c>
      <c r="Y281" s="213">
        <v>46133</v>
      </c>
      <c r="Z281" s="213">
        <v>46106</v>
      </c>
      <c r="AA281" s="214">
        <v>46109</v>
      </c>
      <c r="AB281" s="213">
        <v>46126</v>
      </c>
      <c r="AC281" s="211" t="s">
        <v>1284</v>
      </c>
      <c r="AD281" s="211" t="s">
        <v>1228</v>
      </c>
      <c r="AE281" s="211" t="s">
        <v>510</v>
      </c>
      <c r="AF281" s="211" t="s">
        <v>1228</v>
      </c>
      <c r="AG281" s="211" t="s">
        <v>510</v>
      </c>
      <c r="AH281" s="194" t="s">
        <v>1307</v>
      </c>
      <c r="AI281" s="211" t="s">
        <v>1228</v>
      </c>
      <c r="AJ281" s="211" t="s">
        <v>1133</v>
      </c>
      <c r="AK281" s="211" t="s">
        <v>1133</v>
      </c>
      <c r="AL281" s="211" t="s">
        <v>1228</v>
      </c>
      <c r="AM281" s="211"/>
      <c r="AN281" s="212" t="s">
        <v>1251</v>
      </c>
      <c r="AO281" s="215">
        <v>0.9</v>
      </c>
      <c r="AP281" s="216">
        <f t="shared" si="49"/>
        <v>2592</v>
      </c>
      <c r="AQ281" s="216">
        <f t="shared" si="50"/>
        <v>20088</v>
      </c>
      <c r="AR281" s="217">
        <v>61171</v>
      </c>
      <c r="AS281" s="208">
        <v>46183</v>
      </c>
      <c r="AT281" s="208" t="s">
        <v>1220</v>
      </c>
      <c r="AU281" s="251">
        <v>2880</v>
      </c>
      <c r="AV281" s="252">
        <f t="shared" si="53"/>
        <v>0</v>
      </c>
      <c r="AW281" s="252"/>
      <c r="AX281" s="208" t="s">
        <v>1280</v>
      </c>
      <c r="AY281" s="208"/>
      <c r="AZ281" s="208"/>
      <c r="BA281" s="208"/>
      <c r="BB281" s="208" t="str">
        <f t="shared" si="47"/>
        <v>Litt Tak SDN. BHD.</v>
      </c>
      <c r="BC281" s="208" t="str">
        <f t="shared" si="48"/>
        <v>马来西亚</v>
      </c>
    </row>
    <row r="282" s="194" customFormat="1" customHeight="1" spans="1:55">
      <c r="A282" s="208">
        <v>46062</v>
      </c>
      <c r="B282" s="208" t="str">
        <f ca="1" t="shared" si="52"/>
        <v/>
      </c>
      <c r="C282" s="211" t="str">
        <f>VLOOKUP(H282,名称!A:E,4,0)</f>
        <v>三代</v>
      </c>
      <c r="D282" s="210" t="s">
        <v>1652</v>
      </c>
      <c r="E282" s="210" t="s">
        <v>1653</v>
      </c>
      <c r="F282" s="211"/>
      <c r="G282" s="211" t="s">
        <v>509</v>
      </c>
      <c r="H282" s="211" t="s">
        <v>59</v>
      </c>
      <c r="I282" s="211"/>
      <c r="J282" s="212">
        <v>4560</v>
      </c>
      <c r="K282" s="223">
        <f>VLOOKUP(H282,名称!A:C,2,0)</f>
        <v>5</v>
      </c>
      <c r="L282" s="212">
        <f t="shared" si="51"/>
        <v>22800</v>
      </c>
      <c r="M282" s="211">
        <f>VLOOKUP(H282,名称!A:E,3,0)</f>
        <v>24</v>
      </c>
      <c r="N282" s="212">
        <f t="shared" si="45"/>
        <v>190</v>
      </c>
      <c r="O282" s="208">
        <v>46157</v>
      </c>
      <c r="P282" s="208">
        <v>46160</v>
      </c>
      <c r="Q282" s="208">
        <v>46160</v>
      </c>
      <c r="R282" s="211" t="s">
        <v>1241</v>
      </c>
      <c r="S282" s="208" t="s">
        <v>1133</v>
      </c>
      <c r="T282" s="211" t="s">
        <v>1133</v>
      </c>
      <c r="U282" s="213">
        <v>46160</v>
      </c>
      <c r="V282" s="211"/>
      <c r="W282" s="208"/>
      <c r="X282" s="211" t="s">
        <v>1505</v>
      </c>
      <c r="Y282" s="213">
        <v>46133</v>
      </c>
      <c r="Z282" s="213">
        <v>46106</v>
      </c>
      <c r="AA282" s="214">
        <v>46109</v>
      </c>
      <c r="AB282" s="213">
        <v>46126</v>
      </c>
      <c r="AC282" s="211" t="s">
        <v>1133</v>
      </c>
      <c r="AD282" s="211" t="s">
        <v>1133</v>
      </c>
      <c r="AE282" s="211" t="s">
        <v>510</v>
      </c>
      <c r="AF282" s="211" t="s">
        <v>1228</v>
      </c>
      <c r="AG282" s="211" t="s">
        <v>510</v>
      </c>
      <c r="AH282" s="211" t="s">
        <v>1133</v>
      </c>
      <c r="AI282" s="211" t="s">
        <v>1228</v>
      </c>
      <c r="AJ282" s="211" t="s">
        <v>1133</v>
      </c>
      <c r="AK282" s="211" t="s">
        <v>510</v>
      </c>
      <c r="AL282" s="211"/>
      <c r="AM282" s="211" t="s">
        <v>1296</v>
      </c>
      <c r="AN282" s="212" t="s">
        <v>1251</v>
      </c>
      <c r="AO282" s="215">
        <v>0.64</v>
      </c>
      <c r="AP282" s="216">
        <f t="shared" si="49"/>
        <v>2918.4</v>
      </c>
      <c r="AQ282" s="216">
        <f t="shared" si="50"/>
        <v>22617.6</v>
      </c>
      <c r="AR282" s="217">
        <v>61171</v>
      </c>
      <c r="AS282" s="208">
        <v>46183</v>
      </c>
      <c r="AT282" s="208" t="s">
        <v>1220</v>
      </c>
      <c r="AU282" s="251">
        <v>4560</v>
      </c>
      <c r="AV282" s="252">
        <f t="shared" si="53"/>
        <v>0</v>
      </c>
      <c r="AW282" s="252"/>
      <c r="AX282" s="208" t="s">
        <v>1280</v>
      </c>
      <c r="AY282" s="208"/>
      <c r="AZ282" s="208"/>
      <c r="BA282" s="208"/>
      <c r="BB282" s="208" t="str">
        <f t="shared" si="47"/>
        <v>Litt Tak SDN. BHD.</v>
      </c>
      <c r="BC282" s="208" t="str">
        <f t="shared" si="48"/>
        <v>马来西亚</v>
      </c>
    </row>
    <row r="283" s="194" customFormat="1" customHeight="1" spans="1:55">
      <c r="A283" s="208">
        <v>46062</v>
      </c>
      <c r="B283" s="208" t="str">
        <f ca="1" t="shared" si="52"/>
        <v/>
      </c>
      <c r="C283" s="211" t="str">
        <f>VLOOKUP(H283,名称!A:E,4,0)</f>
        <v>三代</v>
      </c>
      <c r="D283" s="210" t="s">
        <v>1652</v>
      </c>
      <c r="E283" s="210" t="s">
        <v>1653</v>
      </c>
      <c r="F283" s="211"/>
      <c r="G283" s="211" t="s">
        <v>509</v>
      </c>
      <c r="H283" s="211" t="s">
        <v>66</v>
      </c>
      <c r="I283" s="211"/>
      <c r="J283" s="212">
        <v>1980</v>
      </c>
      <c r="K283" s="223">
        <f>VLOOKUP(H283,名称!A:C,2,0)</f>
        <v>12</v>
      </c>
      <c r="L283" s="212">
        <f t="shared" si="51"/>
        <v>23760</v>
      </c>
      <c r="M283" s="211">
        <v>6</v>
      </c>
      <c r="N283" s="212">
        <f t="shared" si="45"/>
        <v>330</v>
      </c>
      <c r="O283" s="208">
        <v>46157</v>
      </c>
      <c r="P283" s="208">
        <v>46157</v>
      </c>
      <c r="Q283" s="208">
        <v>46157</v>
      </c>
      <c r="R283" s="211" t="s">
        <v>1241</v>
      </c>
      <c r="S283" s="208" t="s">
        <v>1133</v>
      </c>
      <c r="T283" s="211" t="s">
        <v>1133</v>
      </c>
      <c r="U283" s="213">
        <v>46156</v>
      </c>
      <c r="V283" s="211"/>
      <c r="W283" s="208"/>
      <c r="X283" s="211" t="s">
        <v>1505</v>
      </c>
      <c r="Y283" s="213">
        <v>46133</v>
      </c>
      <c r="Z283" s="213">
        <v>46106</v>
      </c>
      <c r="AA283" s="214">
        <v>46109</v>
      </c>
      <c r="AB283" s="213">
        <v>46126</v>
      </c>
      <c r="AC283" s="211" t="s">
        <v>1318</v>
      </c>
      <c r="AD283" s="211" t="s">
        <v>1228</v>
      </c>
      <c r="AE283" s="211" t="s">
        <v>510</v>
      </c>
      <c r="AF283" s="211" t="s">
        <v>1228</v>
      </c>
      <c r="AG283" s="211" t="s">
        <v>510</v>
      </c>
      <c r="AH283" s="211" t="s">
        <v>1307</v>
      </c>
      <c r="AI283" s="211" t="s">
        <v>1228</v>
      </c>
      <c r="AJ283" s="211" t="s">
        <v>510</v>
      </c>
      <c r="AK283" s="211" t="s">
        <v>1133</v>
      </c>
      <c r="AL283" s="211"/>
      <c r="AM283" s="211"/>
      <c r="AN283" s="212" t="s">
        <v>1251</v>
      </c>
      <c r="AO283" s="215">
        <v>2.04</v>
      </c>
      <c r="AP283" s="216">
        <f t="shared" si="49"/>
        <v>4039.2</v>
      </c>
      <c r="AQ283" s="216">
        <f t="shared" si="50"/>
        <v>31303.8</v>
      </c>
      <c r="AR283" s="217">
        <v>61171</v>
      </c>
      <c r="AS283" s="208">
        <v>46183</v>
      </c>
      <c r="AT283" s="208" t="s">
        <v>1220</v>
      </c>
      <c r="AU283" s="251">
        <v>1980</v>
      </c>
      <c r="AV283" s="252">
        <f t="shared" si="53"/>
        <v>0</v>
      </c>
      <c r="AW283" s="252"/>
      <c r="AX283" s="208" t="s">
        <v>1280</v>
      </c>
      <c r="AY283" s="208"/>
      <c r="AZ283" s="208"/>
      <c r="BA283" s="208"/>
      <c r="BB283" s="208" t="str">
        <f t="shared" si="47"/>
        <v>Litt Tak SDN. BHD.</v>
      </c>
      <c r="BC283" s="208" t="str">
        <f t="shared" si="48"/>
        <v>马来西亚</v>
      </c>
    </row>
    <row r="284" s="194" customFormat="1" customHeight="1" spans="1:55">
      <c r="A284" s="208">
        <v>46062</v>
      </c>
      <c r="B284" s="208" t="str">
        <f ca="1" t="shared" si="52"/>
        <v/>
      </c>
      <c r="C284" s="211" t="str">
        <f>VLOOKUP(H284,名称!A:E,4,0)</f>
        <v>三代</v>
      </c>
      <c r="D284" s="210" t="s">
        <v>1652</v>
      </c>
      <c r="E284" s="210" t="s">
        <v>1653</v>
      </c>
      <c r="F284" s="211"/>
      <c r="G284" s="211" t="s">
        <v>509</v>
      </c>
      <c r="H284" s="211" t="s">
        <v>68</v>
      </c>
      <c r="I284" s="211"/>
      <c r="J284" s="212">
        <v>760</v>
      </c>
      <c r="K284" s="223">
        <f>VLOOKUP(H284,名称!A:C,2,0)</f>
        <v>32</v>
      </c>
      <c r="L284" s="212">
        <f t="shared" si="51"/>
        <v>24320</v>
      </c>
      <c r="M284" s="211">
        <f>VLOOKUP(H284,名称!A:E,3,0)</f>
        <v>4</v>
      </c>
      <c r="N284" s="212">
        <f t="shared" ref="N284:N347" si="54">J284/M284</f>
        <v>190</v>
      </c>
      <c r="O284" s="208">
        <v>46157</v>
      </c>
      <c r="P284" s="208">
        <v>46158</v>
      </c>
      <c r="Q284" s="208">
        <v>46160</v>
      </c>
      <c r="R284" s="211" t="s">
        <v>1241</v>
      </c>
      <c r="S284" s="208" t="s">
        <v>1133</v>
      </c>
      <c r="T284" s="211" t="s">
        <v>1133</v>
      </c>
      <c r="U284" s="213">
        <v>46156</v>
      </c>
      <c r="V284" s="211"/>
      <c r="W284" s="208"/>
      <c r="X284" s="211" t="s">
        <v>1505</v>
      </c>
      <c r="Y284" s="213">
        <v>46133</v>
      </c>
      <c r="Z284" s="213">
        <v>46106</v>
      </c>
      <c r="AA284" s="214">
        <v>46109</v>
      </c>
      <c r="AB284" s="213">
        <v>46126</v>
      </c>
      <c r="AC284" s="211" t="s">
        <v>1133</v>
      </c>
      <c r="AD284" s="211" t="s">
        <v>1133</v>
      </c>
      <c r="AE284" s="211" t="s">
        <v>510</v>
      </c>
      <c r="AF284" s="211" t="s">
        <v>1228</v>
      </c>
      <c r="AG284" s="211" t="s">
        <v>510</v>
      </c>
      <c r="AH284" s="211" t="s">
        <v>1307</v>
      </c>
      <c r="AI284" s="211" t="s">
        <v>1228</v>
      </c>
      <c r="AJ284" s="211" t="s">
        <v>1133</v>
      </c>
      <c r="AK284" s="211" t="s">
        <v>1133</v>
      </c>
      <c r="AL284" s="211"/>
      <c r="AM284" s="211" t="s">
        <v>1296</v>
      </c>
      <c r="AN284" s="212" t="s">
        <v>1251</v>
      </c>
      <c r="AO284" s="215">
        <v>3.12</v>
      </c>
      <c r="AP284" s="216">
        <f t="shared" si="49"/>
        <v>2371.2</v>
      </c>
      <c r="AQ284" s="216">
        <f t="shared" si="50"/>
        <v>18376.8</v>
      </c>
      <c r="AR284" s="224" t="s">
        <v>1744</v>
      </c>
      <c r="AS284" s="208">
        <v>46183</v>
      </c>
      <c r="AT284" s="208" t="s">
        <v>1220</v>
      </c>
      <c r="AU284" s="251">
        <v>760</v>
      </c>
      <c r="AV284" s="252">
        <f t="shared" si="53"/>
        <v>0</v>
      </c>
      <c r="AW284" s="252"/>
      <c r="AX284" s="208" t="s">
        <v>1280</v>
      </c>
      <c r="AY284" s="208"/>
      <c r="AZ284" s="208"/>
      <c r="BA284" s="208"/>
      <c r="BB284" s="208" t="str">
        <f t="shared" si="47"/>
        <v>Litt Tak SDN. BHD.</v>
      </c>
      <c r="BC284" s="208" t="str">
        <f t="shared" si="48"/>
        <v>马来西亚</v>
      </c>
    </row>
    <row r="285" s="194" customFormat="1" customHeight="1" spans="1:55">
      <c r="A285" s="208">
        <v>46062</v>
      </c>
      <c r="B285" s="208" t="str">
        <f ca="1" t="shared" si="52"/>
        <v/>
      </c>
      <c r="C285" s="211" t="str">
        <f>VLOOKUP(H285,名称!A:E,4,0)</f>
        <v>三代</v>
      </c>
      <c r="D285" s="210" t="s">
        <v>1652</v>
      </c>
      <c r="E285" s="210" t="s">
        <v>1653</v>
      </c>
      <c r="F285" s="211"/>
      <c r="G285" s="211" t="s">
        <v>509</v>
      </c>
      <c r="H285" s="211" t="s">
        <v>72</v>
      </c>
      <c r="I285" s="211"/>
      <c r="J285" s="212">
        <v>2280</v>
      </c>
      <c r="K285" s="223">
        <f>VLOOKUP(H285,名称!A:C,2,0)</f>
        <v>12</v>
      </c>
      <c r="L285" s="212">
        <f t="shared" si="51"/>
        <v>27360</v>
      </c>
      <c r="M285" s="211">
        <f>VLOOKUP(H285,名称!A:E,3,0)</f>
        <v>12</v>
      </c>
      <c r="N285" s="212">
        <f t="shared" si="54"/>
        <v>190</v>
      </c>
      <c r="O285" s="208">
        <v>46157</v>
      </c>
      <c r="P285" s="208">
        <v>46157</v>
      </c>
      <c r="Q285" s="208">
        <v>46160</v>
      </c>
      <c r="R285" s="211" t="s">
        <v>1241</v>
      </c>
      <c r="S285" s="208" t="s">
        <v>1133</v>
      </c>
      <c r="T285" s="211" t="s">
        <v>1133</v>
      </c>
      <c r="U285" s="213">
        <v>46156</v>
      </c>
      <c r="V285" s="211"/>
      <c r="W285" s="208"/>
      <c r="X285" s="211" t="s">
        <v>1505</v>
      </c>
      <c r="Y285" s="213">
        <v>46133</v>
      </c>
      <c r="Z285" s="213">
        <v>46106</v>
      </c>
      <c r="AA285" s="214">
        <v>46109</v>
      </c>
      <c r="AB285" s="213">
        <v>46126</v>
      </c>
      <c r="AC285" s="211" t="s">
        <v>1302</v>
      </c>
      <c r="AD285" s="211" t="s">
        <v>1228</v>
      </c>
      <c r="AE285" s="211" t="s">
        <v>510</v>
      </c>
      <c r="AF285" s="211" t="s">
        <v>1228</v>
      </c>
      <c r="AG285" s="211" t="s">
        <v>510</v>
      </c>
      <c r="AH285" s="211" t="s">
        <v>1307</v>
      </c>
      <c r="AI285" s="211" t="s">
        <v>1228</v>
      </c>
      <c r="AJ285" s="211" t="s">
        <v>1133</v>
      </c>
      <c r="AK285" s="211" t="s">
        <v>1133</v>
      </c>
      <c r="AL285" s="211"/>
      <c r="AM285" s="211" t="s">
        <v>1296</v>
      </c>
      <c r="AN285" s="212" t="s">
        <v>1251</v>
      </c>
      <c r="AO285" s="215">
        <v>1.6</v>
      </c>
      <c r="AP285" s="216">
        <f t="shared" si="49"/>
        <v>3648</v>
      </c>
      <c r="AQ285" s="216">
        <f t="shared" si="50"/>
        <v>28272</v>
      </c>
      <c r="AR285" s="217">
        <v>61171</v>
      </c>
      <c r="AS285" s="208">
        <v>46183</v>
      </c>
      <c r="AT285" s="208" t="s">
        <v>1220</v>
      </c>
      <c r="AU285" s="251">
        <v>2280</v>
      </c>
      <c r="AV285" s="252">
        <f t="shared" si="53"/>
        <v>0</v>
      </c>
      <c r="AW285" s="252"/>
      <c r="AX285" s="208" t="s">
        <v>1280</v>
      </c>
      <c r="AY285" s="208"/>
      <c r="AZ285" s="208"/>
      <c r="BA285" s="208"/>
      <c r="BB285" s="208" t="str">
        <f t="shared" si="47"/>
        <v>Litt Tak SDN. BHD.</v>
      </c>
      <c r="BC285" s="208" t="str">
        <f t="shared" si="48"/>
        <v>马来西亚</v>
      </c>
    </row>
    <row r="286" s="194" customFormat="1" customHeight="1" spans="1:55">
      <c r="A286" s="208">
        <v>46062</v>
      </c>
      <c r="B286" s="208" t="str">
        <f ca="1" t="shared" si="52"/>
        <v/>
      </c>
      <c r="C286" s="211" t="str">
        <f>VLOOKUP(H286,名称!A:E,4,0)</f>
        <v>三代</v>
      </c>
      <c r="D286" s="210" t="s">
        <v>1652</v>
      </c>
      <c r="E286" s="210" t="s">
        <v>1653</v>
      </c>
      <c r="F286" s="211"/>
      <c r="G286" s="211" t="s">
        <v>509</v>
      </c>
      <c r="H286" s="211" t="s">
        <v>85</v>
      </c>
      <c r="I286" s="211"/>
      <c r="J286" s="212">
        <v>4800</v>
      </c>
      <c r="K286" s="223">
        <f>VLOOKUP(H286,名称!A:C,2,0)</f>
        <v>5</v>
      </c>
      <c r="L286" s="212">
        <f t="shared" si="51"/>
        <v>24000</v>
      </c>
      <c r="M286" s="211">
        <f>VLOOKUP(H286,名称!A:E,3,0)</f>
        <v>24</v>
      </c>
      <c r="N286" s="212">
        <f t="shared" si="54"/>
        <v>200</v>
      </c>
      <c r="O286" s="208">
        <v>46157</v>
      </c>
      <c r="P286" s="208">
        <v>46169</v>
      </c>
      <c r="Q286" s="208">
        <v>46174</v>
      </c>
      <c r="R286" s="211" t="s">
        <v>1277</v>
      </c>
      <c r="S286" s="208" t="s">
        <v>1133</v>
      </c>
      <c r="T286" s="211" t="s">
        <v>1133</v>
      </c>
      <c r="U286" s="211"/>
      <c r="V286" s="211"/>
      <c r="W286" s="208"/>
      <c r="X286" s="211" t="s">
        <v>1505</v>
      </c>
      <c r="Y286" s="211" t="s">
        <v>1228</v>
      </c>
      <c r="Z286" s="213">
        <v>46106</v>
      </c>
      <c r="AA286" s="214">
        <v>46109</v>
      </c>
      <c r="AB286" s="213">
        <v>46126</v>
      </c>
      <c r="AC286" s="211" t="s">
        <v>1133</v>
      </c>
      <c r="AD286" s="211" t="s">
        <v>1133</v>
      </c>
      <c r="AE286" s="211" t="s">
        <v>510</v>
      </c>
      <c r="AF286" s="211" t="s">
        <v>1228</v>
      </c>
      <c r="AG286" s="211" t="s">
        <v>510</v>
      </c>
      <c r="AH286" s="211" t="s">
        <v>1133</v>
      </c>
      <c r="AI286" s="211" t="s">
        <v>1228</v>
      </c>
      <c r="AJ286" s="211" t="s">
        <v>1133</v>
      </c>
      <c r="AK286" s="211" t="s">
        <v>510</v>
      </c>
      <c r="AL286" s="211"/>
      <c r="AM286" s="211" t="s">
        <v>1296</v>
      </c>
      <c r="AN286" s="212" t="s">
        <v>1251</v>
      </c>
      <c r="AO286" s="215">
        <v>0.89</v>
      </c>
      <c r="AP286" s="216">
        <f t="shared" si="49"/>
        <v>4272</v>
      </c>
      <c r="AQ286" s="216">
        <f t="shared" si="50"/>
        <v>33108</v>
      </c>
      <c r="AR286" s="217">
        <v>61171</v>
      </c>
      <c r="AS286" s="208">
        <v>46183</v>
      </c>
      <c r="AT286" s="208" t="s">
        <v>1220</v>
      </c>
      <c r="AU286" s="251">
        <v>4800</v>
      </c>
      <c r="AV286" s="252">
        <f t="shared" si="53"/>
        <v>0</v>
      </c>
      <c r="AW286" s="252"/>
      <c r="AX286" s="208" t="s">
        <v>1280</v>
      </c>
      <c r="AY286" s="208"/>
      <c r="AZ286" s="208"/>
      <c r="BA286" s="208"/>
      <c r="BB286" s="208" t="str">
        <f t="shared" si="47"/>
        <v>Litt Tak SDN. BHD.</v>
      </c>
      <c r="BC286" s="208" t="str">
        <f t="shared" si="48"/>
        <v>马来西亚</v>
      </c>
    </row>
    <row r="287" s="194" customFormat="1" customHeight="1" spans="1:55">
      <c r="A287" s="208">
        <v>46077</v>
      </c>
      <c r="B287" s="208" t="str">
        <f ca="1" t="shared" si="52"/>
        <v/>
      </c>
      <c r="C287" s="211" t="str">
        <f>VLOOKUP(H287,名称!A:E,4,0)</f>
        <v>三代</v>
      </c>
      <c r="D287" s="210" t="s">
        <v>1257</v>
      </c>
      <c r="E287" s="210" t="s">
        <v>1258</v>
      </c>
      <c r="F287" s="211" t="s">
        <v>513</v>
      </c>
      <c r="G287" s="211" t="s">
        <v>514</v>
      </c>
      <c r="H287" s="211" t="s">
        <v>112</v>
      </c>
      <c r="I287" s="211"/>
      <c r="J287" s="212">
        <f>6000-5568</f>
        <v>432</v>
      </c>
      <c r="K287" s="223">
        <f>VLOOKUP(H287,名称!A:C,2,0)</f>
        <v>50</v>
      </c>
      <c r="L287" s="212">
        <f t="shared" si="51"/>
        <v>21600</v>
      </c>
      <c r="M287" s="211">
        <f>VLOOKUP(H287,名称!A:E,3,0)</f>
        <v>2</v>
      </c>
      <c r="N287" s="212">
        <f t="shared" si="54"/>
        <v>216</v>
      </c>
      <c r="O287" s="208">
        <v>46139</v>
      </c>
      <c r="P287" s="208">
        <v>46169</v>
      </c>
      <c r="Q287" s="208">
        <v>46169</v>
      </c>
      <c r="R287" s="211" t="s">
        <v>1241</v>
      </c>
      <c r="S287" s="208" t="s">
        <v>1721</v>
      </c>
      <c r="T287" s="211" t="s">
        <v>1558</v>
      </c>
      <c r="U287" s="211"/>
      <c r="V287" s="211"/>
      <c r="W287" s="208"/>
      <c r="X287" s="211" t="s">
        <v>1133</v>
      </c>
      <c r="Y287" s="211" t="s">
        <v>1133</v>
      </c>
      <c r="Z287" s="213">
        <v>46097</v>
      </c>
      <c r="AA287" s="214">
        <v>46100</v>
      </c>
      <c r="AB287" s="213">
        <v>46107</v>
      </c>
      <c r="AC287" s="211" t="s">
        <v>1133</v>
      </c>
      <c r="AD287" s="211" t="s">
        <v>1133</v>
      </c>
      <c r="AE287" s="211" t="s">
        <v>334</v>
      </c>
      <c r="AF287" s="211" t="s">
        <v>1228</v>
      </c>
      <c r="AG287" s="211" t="s">
        <v>334</v>
      </c>
      <c r="AH287" s="211" t="s">
        <v>1133</v>
      </c>
      <c r="AI287" s="211" t="s">
        <v>1228</v>
      </c>
      <c r="AJ287" s="211" t="s">
        <v>1133</v>
      </c>
      <c r="AK287" s="211" t="s">
        <v>1356</v>
      </c>
      <c r="AL287" s="211"/>
      <c r="AM287" s="211" t="s">
        <v>1357</v>
      </c>
      <c r="AN287" s="212" t="s">
        <v>1261</v>
      </c>
      <c r="AO287" s="215">
        <v>9.95</v>
      </c>
      <c r="AP287" s="216">
        <f t="shared" si="49"/>
        <v>4298.4</v>
      </c>
      <c r="AQ287" s="216">
        <f t="shared" si="50"/>
        <v>33312.6</v>
      </c>
      <c r="AR287" s="217">
        <v>61172</v>
      </c>
      <c r="AS287" s="208">
        <v>46183</v>
      </c>
      <c r="AT287" s="208" t="s">
        <v>1220</v>
      </c>
      <c r="AU287" s="251"/>
      <c r="AV287" s="252">
        <f t="shared" si="53"/>
        <v>-432</v>
      </c>
      <c r="AW287" s="252"/>
      <c r="AX287" s="208"/>
      <c r="AY287" s="208"/>
      <c r="AZ287" s="208"/>
      <c r="BA287" s="208"/>
      <c r="BB287" s="208" t="str">
        <f t="shared" si="47"/>
        <v>Character Options</v>
      </c>
      <c r="BC287" s="208" t="str">
        <f t="shared" si="48"/>
        <v>英国</v>
      </c>
    </row>
    <row r="288" s="194" customFormat="1" customHeight="1" spans="1:55">
      <c r="A288" s="208">
        <v>46092</v>
      </c>
      <c r="B288" s="208" t="str">
        <f ca="1" t="shared" si="52"/>
        <v/>
      </c>
      <c r="C288" s="211" t="str">
        <f>VLOOKUP(H288,名称!A:E,4,0)</f>
        <v>三代</v>
      </c>
      <c r="D288" s="210" t="s">
        <v>1257</v>
      </c>
      <c r="E288" s="210" t="s">
        <v>1258</v>
      </c>
      <c r="F288" s="211" t="s">
        <v>1745</v>
      </c>
      <c r="G288" s="211" t="s">
        <v>545</v>
      </c>
      <c r="H288" s="211" t="s">
        <v>114</v>
      </c>
      <c r="I288" s="211"/>
      <c r="J288" s="212">
        <v>10008</v>
      </c>
      <c r="K288" s="223">
        <f>VLOOKUP(H288,名称!A:C,2,0)</f>
        <v>0</v>
      </c>
      <c r="L288" s="212">
        <f t="shared" si="51"/>
        <v>0</v>
      </c>
      <c r="M288" s="211">
        <f>VLOOKUP(H288,名称!A:E,3,0)</f>
        <v>9</v>
      </c>
      <c r="N288" s="212">
        <f t="shared" si="54"/>
        <v>1112</v>
      </c>
      <c r="O288" s="208">
        <v>46150</v>
      </c>
      <c r="P288" s="208">
        <v>46174</v>
      </c>
      <c r="Q288" s="208">
        <v>46174</v>
      </c>
      <c r="R288" s="211" t="s">
        <v>1241</v>
      </c>
      <c r="S288" s="208">
        <v>46175</v>
      </c>
      <c r="T288" s="211" t="s">
        <v>1241</v>
      </c>
      <c r="U288" s="211"/>
      <c r="V288" s="211"/>
      <c r="W288" s="208"/>
      <c r="X288" s="211" t="s">
        <v>1133</v>
      </c>
      <c r="Y288" s="211" t="s">
        <v>1133</v>
      </c>
      <c r="Z288" s="213">
        <v>46092</v>
      </c>
      <c r="AA288" s="214">
        <v>46105</v>
      </c>
      <c r="AB288" s="213">
        <v>46114</v>
      </c>
      <c r="AC288" s="211" t="s">
        <v>1133</v>
      </c>
      <c r="AD288" s="211" t="s">
        <v>1133</v>
      </c>
      <c r="AE288" s="211" t="s">
        <v>334</v>
      </c>
      <c r="AF288" s="211" t="s">
        <v>1228</v>
      </c>
      <c r="AG288" s="211" t="s">
        <v>334</v>
      </c>
      <c r="AH288" s="211" t="s">
        <v>1133</v>
      </c>
      <c r="AI288" s="211" t="s">
        <v>1228</v>
      </c>
      <c r="AJ288" s="211" t="s">
        <v>1133</v>
      </c>
      <c r="AK288" s="211" t="s">
        <v>334</v>
      </c>
      <c r="AL288" s="211" t="s">
        <v>1233</v>
      </c>
      <c r="AM288" s="211" t="s">
        <v>1746</v>
      </c>
      <c r="AN288" s="212"/>
      <c r="AO288" s="215">
        <v>0.64</v>
      </c>
      <c r="AP288" s="216">
        <f t="shared" si="49"/>
        <v>6405.12</v>
      </c>
      <c r="AQ288" s="216">
        <f t="shared" si="50"/>
        <v>49639.68</v>
      </c>
      <c r="AR288" s="217">
        <v>61173</v>
      </c>
      <c r="AS288" s="208">
        <v>46183</v>
      </c>
      <c r="AT288" s="208" t="s">
        <v>1220</v>
      </c>
      <c r="AU288" s="251"/>
      <c r="AV288" s="252">
        <f t="shared" si="53"/>
        <v>-10008</v>
      </c>
      <c r="AW288" s="252"/>
      <c r="AX288" s="208"/>
      <c r="AY288" s="208"/>
      <c r="AZ288" s="208"/>
      <c r="BA288" s="208"/>
      <c r="BB288" s="208" t="str">
        <f t="shared" si="47"/>
        <v>Character Options</v>
      </c>
      <c r="BC288" s="208" t="str">
        <f t="shared" si="48"/>
        <v>英国</v>
      </c>
    </row>
    <row r="289" s="194" customFormat="1" customHeight="1" spans="1:55">
      <c r="A289" s="208">
        <v>46092</v>
      </c>
      <c r="B289" s="208" t="str">
        <f ca="1" t="shared" si="52"/>
        <v/>
      </c>
      <c r="C289" s="211" t="str">
        <f>VLOOKUP(H289,名称!A:E,4,0)</f>
        <v>三代</v>
      </c>
      <c r="D289" s="210" t="s">
        <v>1257</v>
      </c>
      <c r="E289" s="210" t="s">
        <v>1258</v>
      </c>
      <c r="F289" s="211" t="s">
        <v>1747</v>
      </c>
      <c r="G289" s="211" t="s">
        <v>545</v>
      </c>
      <c r="H289" s="211" t="s">
        <v>119</v>
      </c>
      <c r="I289" s="211"/>
      <c r="J289" s="212">
        <v>24000</v>
      </c>
      <c r="K289" s="223">
        <f>VLOOKUP(H289,名称!A:C,2,0)</f>
        <v>5</v>
      </c>
      <c r="L289" s="212">
        <f t="shared" si="51"/>
        <v>120000</v>
      </c>
      <c r="M289" s="211">
        <f>VLOOKUP(H289,名称!A:E,3,0)</f>
        <v>24</v>
      </c>
      <c r="N289" s="212">
        <f t="shared" si="54"/>
        <v>1000</v>
      </c>
      <c r="O289" s="208">
        <v>46150</v>
      </c>
      <c r="P289" s="208">
        <v>46178</v>
      </c>
      <c r="Q289" s="208">
        <v>46182</v>
      </c>
      <c r="R289" s="211"/>
      <c r="S289" s="208">
        <v>46178</v>
      </c>
      <c r="T289" s="211"/>
      <c r="U289" s="211"/>
      <c r="V289" s="211"/>
      <c r="W289" s="208"/>
      <c r="X289" s="211" t="s">
        <v>1133</v>
      </c>
      <c r="Y289" s="211" t="s">
        <v>1133</v>
      </c>
      <c r="Z289" s="213">
        <v>46092</v>
      </c>
      <c r="AA289" s="214">
        <v>46105</v>
      </c>
      <c r="AB289" s="213">
        <v>46114</v>
      </c>
      <c r="AC289" s="211" t="s">
        <v>1133</v>
      </c>
      <c r="AD289" s="211" t="s">
        <v>1133</v>
      </c>
      <c r="AE289" s="211" t="s">
        <v>334</v>
      </c>
      <c r="AF289" s="211" t="s">
        <v>1228</v>
      </c>
      <c r="AG289" s="211" t="s">
        <v>334</v>
      </c>
      <c r="AH289" s="211" t="s">
        <v>1133</v>
      </c>
      <c r="AI289" s="211" t="s">
        <v>1228</v>
      </c>
      <c r="AJ289" s="211" t="s">
        <v>1133</v>
      </c>
      <c r="AK289" s="211" t="s">
        <v>334</v>
      </c>
      <c r="AL289" s="211"/>
      <c r="AM289" s="211" t="s">
        <v>1360</v>
      </c>
      <c r="AN289" s="212" t="s">
        <v>1684</v>
      </c>
      <c r="AO289" s="215">
        <v>0.65</v>
      </c>
      <c r="AP289" s="216">
        <f t="shared" si="49"/>
        <v>15600</v>
      </c>
      <c r="AQ289" s="216">
        <f t="shared" si="50"/>
        <v>120900</v>
      </c>
      <c r="AR289" s="217">
        <v>61173</v>
      </c>
      <c r="AS289" s="208">
        <v>46183</v>
      </c>
      <c r="AT289" s="208" t="s">
        <v>1220</v>
      </c>
      <c r="AU289" s="251">
        <v>24000</v>
      </c>
      <c r="AV289" s="252">
        <f t="shared" si="53"/>
        <v>0</v>
      </c>
      <c r="AW289" s="252"/>
      <c r="AX289" s="208" t="s">
        <v>1280</v>
      </c>
      <c r="AY289" s="208"/>
      <c r="AZ289" s="208"/>
      <c r="BA289" s="208"/>
      <c r="BB289" s="208" t="str">
        <f t="shared" si="47"/>
        <v>Character Options</v>
      </c>
      <c r="BC289" s="208" t="str">
        <f t="shared" si="48"/>
        <v>英国</v>
      </c>
    </row>
    <row r="290" s="194" customFormat="1" customHeight="1" spans="1:55">
      <c r="A290" s="208">
        <v>46121</v>
      </c>
      <c r="B290" s="208" t="str">
        <f ca="1" t="shared" si="52"/>
        <v/>
      </c>
      <c r="C290" s="211" t="str">
        <f>VLOOKUP(H290,名称!A:E,4,0)</f>
        <v>三代</v>
      </c>
      <c r="D290" s="210" t="s">
        <v>1257</v>
      </c>
      <c r="E290" s="210" t="s">
        <v>1258</v>
      </c>
      <c r="F290" s="211" t="s">
        <v>699</v>
      </c>
      <c r="G290" s="211" t="s">
        <v>700</v>
      </c>
      <c r="H290" s="211" t="s">
        <v>119</v>
      </c>
      <c r="I290" s="211"/>
      <c r="J290" s="212">
        <v>12000</v>
      </c>
      <c r="K290" s="223">
        <f>VLOOKUP(H290,名称!A:C,2,0)</f>
        <v>5</v>
      </c>
      <c r="L290" s="212">
        <f t="shared" si="51"/>
        <v>60000</v>
      </c>
      <c r="M290" s="211">
        <f>VLOOKUP(H290,名称!A:E,3,0)</f>
        <v>24</v>
      </c>
      <c r="N290" s="212">
        <f t="shared" si="54"/>
        <v>500</v>
      </c>
      <c r="O290" s="208">
        <v>46157</v>
      </c>
      <c r="P290" s="208">
        <v>46178</v>
      </c>
      <c r="Q290" s="208">
        <v>46182</v>
      </c>
      <c r="R290" s="211"/>
      <c r="S290" s="208">
        <v>46181</v>
      </c>
      <c r="T290" s="211"/>
      <c r="U290" s="211"/>
      <c r="V290" s="213"/>
      <c r="W290" s="208"/>
      <c r="X290" s="211" t="s">
        <v>1133</v>
      </c>
      <c r="Y290" s="211" t="s">
        <v>1133</v>
      </c>
      <c r="Z290" s="213">
        <v>46125</v>
      </c>
      <c r="AA290" s="214">
        <v>46129</v>
      </c>
      <c r="AB290" s="213">
        <v>46140</v>
      </c>
      <c r="AC290" s="211" t="s">
        <v>1133</v>
      </c>
      <c r="AD290" s="211" t="s">
        <v>1133</v>
      </c>
      <c r="AE290" s="211" t="s">
        <v>334</v>
      </c>
      <c r="AF290" s="211" t="s">
        <v>1228</v>
      </c>
      <c r="AG290" s="211" t="s">
        <v>334</v>
      </c>
      <c r="AH290" s="211" t="s">
        <v>1133</v>
      </c>
      <c r="AI290" s="211" t="s">
        <v>1228</v>
      </c>
      <c r="AJ290" s="211" t="s">
        <v>1133</v>
      </c>
      <c r="AK290" s="211" t="s">
        <v>334</v>
      </c>
      <c r="AL290" s="211"/>
      <c r="AM290" s="211" t="s">
        <v>1748</v>
      </c>
      <c r="AN290" s="212" t="s">
        <v>1684</v>
      </c>
      <c r="AO290" s="215">
        <v>0.62</v>
      </c>
      <c r="AP290" s="216">
        <f t="shared" si="49"/>
        <v>7440</v>
      </c>
      <c r="AQ290" s="216">
        <f t="shared" si="50"/>
        <v>57660</v>
      </c>
      <c r="AR290" s="224" t="s">
        <v>1749</v>
      </c>
      <c r="AS290" s="208">
        <v>46183</v>
      </c>
      <c r="AT290" s="208" t="s">
        <v>1220</v>
      </c>
      <c r="AU290" s="251">
        <v>12000</v>
      </c>
      <c r="AV290" s="252">
        <f t="shared" si="53"/>
        <v>0</v>
      </c>
      <c r="AW290" s="252"/>
      <c r="AX290" s="208" t="s">
        <v>1280</v>
      </c>
      <c r="AY290" s="208"/>
      <c r="AZ290" s="208"/>
      <c r="BA290" s="208"/>
      <c r="BB290" s="208" t="str">
        <f t="shared" si="47"/>
        <v>Character Options</v>
      </c>
      <c r="BC290" s="208" t="str">
        <f t="shared" si="48"/>
        <v>英国</v>
      </c>
    </row>
    <row r="291" s="194" customFormat="1" customHeight="1" spans="1:55">
      <c r="A291" s="208">
        <v>46115</v>
      </c>
      <c r="B291" s="208" t="str">
        <f ca="1" t="shared" si="52"/>
        <v/>
      </c>
      <c r="C291" s="211" t="str">
        <f>VLOOKUP(H291,名称!A:E,4,0)</f>
        <v>三代</v>
      </c>
      <c r="D291" s="210" t="s">
        <v>1750</v>
      </c>
      <c r="E291" s="210" t="s">
        <v>1751</v>
      </c>
      <c r="F291" s="211"/>
      <c r="G291" s="211" t="s">
        <v>621</v>
      </c>
      <c r="H291" s="211" t="s">
        <v>55</v>
      </c>
      <c r="I291" s="211"/>
      <c r="J291" s="212">
        <v>6000</v>
      </c>
      <c r="K291" s="223">
        <f>VLOOKUP(H291,名称!A:C,2,0)</f>
        <v>7</v>
      </c>
      <c r="L291" s="212">
        <f t="shared" si="51"/>
        <v>42000</v>
      </c>
      <c r="M291" s="211">
        <f>VLOOKUP(H291,名称!A:E,3,0)</f>
        <v>16</v>
      </c>
      <c r="N291" s="212">
        <f t="shared" si="54"/>
        <v>375</v>
      </c>
      <c r="O291" s="208">
        <v>46167</v>
      </c>
      <c r="P291" s="208">
        <v>46174</v>
      </c>
      <c r="Q291" s="208">
        <v>46174</v>
      </c>
      <c r="R291" s="211" t="s">
        <v>1241</v>
      </c>
      <c r="S291" s="208" t="s">
        <v>1133</v>
      </c>
      <c r="T291" s="211"/>
      <c r="U291" s="211"/>
      <c r="V291" s="211"/>
      <c r="W291" s="208"/>
      <c r="X291" s="211" t="s">
        <v>1248</v>
      </c>
      <c r="Y291" s="213">
        <v>46156</v>
      </c>
      <c r="Z291" s="211" t="s">
        <v>1249</v>
      </c>
      <c r="AA291" s="214">
        <v>46129</v>
      </c>
      <c r="AB291" s="213">
        <v>46156</v>
      </c>
      <c r="AC291" s="211" t="s">
        <v>1284</v>
      </c>
      <c r="AD291" s="211" t="s">
        <v>1228</v>
      </c>
      <c r="AE291" s="211" t="s">
        <v>510</v>
      </c>
      <c r="AF291" s="211" t="s">
        <v>1228</v>
      </c>
      <c r="AG291" s="211" t="s">
        <v>510</v>
      </c>
      <c r="AH291" s="211" t="s">
        <v>1307</v>
      </c>
      <c r="AI291" s="211" t="s">
        <v>1228</v>
      </c>
      <c r="AJ291" s="211" t="s">
        <v>1133</v>
      </c>
      <c r="AK291" s="211" t="s">
        <v>1133</v>
      </c>
      <c r="AL291" s="211" t="s">
        <v>1228</v>
      </c>
      <c r="AM291" s="211" t="s">
        <v>1752</v>
      </c>
      <c r="AN291" s="212" t="s">
        <v>1251</v>
      </c>
      <c r="AO291" s="215">
        <v>0.93</v>
      </c>
      <c r="AP291" s="216">
        <f t="shared" si="49"/>
        <v>5580</v>
      </c>
      <c r="AQ291" s="216">
        <f t="shared" si="50"/>
        <v>43245</v>
      </c>
      <c r="AR291" s="217">
        <v>61175</v>
      </c>
      <c r="AS291" s="208">
        <v>46183</v>
      </c>
      <c r="AT291" s="208" t="s">
        <v>1220</v>
      </c>
      <c r="AU291" s="253">
        <f>5952+48</f>
        <v>6000</v>
      </c>
      <c r="AV291" s="252">
        <f t="shared" si="53"/>
        <v>0</v>
      </c>
      <c r="AW291" s="252"/>
      <c r="AX291" s="208" t="s">
        <v>1280</v>
      </c>
      <c r="AY291" s="208"/>
      <c r="AZ291" s="208"/>
      <c r="BA291" s="208"/>
      <c r="BB291" s="208" t="str">
        <f t="shared" si="47"/>
        <v>Peak Toys Distribution SRL</v>
      </c>
      <c r="BC291" s="208" t="str">
        <f t="shared" si="48"/>
        <v>罗马尼亚</v>
      </c>
    </row>
    <row r="292" s="194" customFormat="1" customHeight="1" spans="1:55">
      <c r="A292" s="208">
        <v>46115</v>
      </c>
      <c r="B292" s="208" t="str">
        <f ca="1" t="shared" si="52"/>
        <v/>
      </c>
      <c r="C292" s="211" t="str">
        <f>VLOOKUP(H292,名称!A:E,4,0)</f>
        <v>三代</v>
      </c>
      <c r="D292" s="210" t="s">
        <v>1750</v>
      </c>
      <c r="E292" s="210" t="s">
        <v>1751</v>
      </c>
      <c r="F292" s="211"/>
      <c r="G292" s="211" t="s">
        <v>621</v>
      </c>
      <c r="H292" s="211" t="s">
        <v>59</v>
      </c>
      <c r="I292" s="211"/>
      <c r="J292" s="212">
        <v>3600</v>
      </c>
      <c r="K292" s="223">
        <f>VLOOKUP(H292,名称!A:C,2,0)</f>
        <v>5</v>
      </c>
      <c r="L292" s="212">
        <f t="shared" si="51"/>
        <v>18000</v>
      </c>
      <c r="M292" s="211">
        <f>VLOOKUP(H292,名称!A:E,3,0)</f>
        <v>24</v>
      </c>
      <c r="N292" s="212">
        <f t="shared" si="54"/>
        <v>150</v>
      </c>
      <c r="O292" s="208">
        <v>46167</v>
      </c>
      <c r="P292" s="208">
        <v>46174</v>
      </c>
      <c r="Q292" s="208">
        <v>46174</v>
      </c>
      <c r="R292" s="211" t="s">
        <v>1241</v>
      </c>
      <c r="S292" s="208" t="s">
        <v>1133</v>
      </c>
      <c r="T292" s="211"/>
      <c r="U292" s="211"/>
      <c r="V292" s="211"/>
      <c r="W292" s="208"/>
      <c r="X292" s="211" t="s">
        <v>1248</v>
      </c>
      <c r="Y292" s="213">
        <v>46156</v>
      </c>
      <c r="Z292" s="211" t="s">
        <v>1249</v>
      </c>
      <c r="AA292" s="214">
        <v>46129</v>
      </c>
      <c r="AB292" s="213">
        <v>46156</v>
      </c>
      <c r="AC292" s="211" t="s">
        <v>1133</v>
      </c>
      <c r="AD292" s="211" t="s">
        <v>1133</v>
      </c>
      <c r="AE292" s="211" t="s">
        <v>510</v>
      </c>
      <c r="AF292" s="211" t="s">
        <v>1228</v>
      </c>
      <c r="AG292" s="211" t="s">
        <v>510</v>
      </c>
      <c r="AH292" s="211" t="s">
        <v>1133</v>
      </c>
      <c r="AI292" s="211" t="s">
        <v>1228</v>
      </c>
      <c r="AJ292" s="211" t="s">
        <v>1133</v>
      </c>
      <c r="AK292" s="211" t="s">
        <v>510</v>
      </c>
      <c r="AL292" s="211"/>
      <c r="AM292" s="211" t="s">
        <v>1752</v>
      </c>
      <c r="AN292" s="212" t="s">
        <v>1251</v>
      </c>
      <c r="AO292" s="215">
        <v>0.66</v>
      </c>
      <c r="AP292" s="216">
        <f t="shared" si="49"/>
        <v>2376</v>
      </c>
      <c r="AQ292" s="216">
        <f t="shared" si="50"/>
        <v>18414</v>
      </c>
      <c r="AR292" s="217">
        <v>61175</v>
      </c>
      <c r="AS292" s="208">
        <v>46183</v>
      </c>
      <c r="AT292" s="208" t="s">
        <v>1220</v>
      </c>
      <c r="AU292" s="253">
        <v>3600</v>
      </c>
      <c r="AV292" s="252">
        <f t="shared" si="53"/>
        <v>0</v>
      </c>
      <c r="AW292" s="252"/>
      <c r="AX292" s="208" t="s">
        <v>1280</v>
      </c>
      <c r="AY292" s="208"/>
      <c r="AZ292" s="208"/>
      <c r="BA292" s="208"/>
      <c r="BB292" s="208" t="str">
        <f t="shared" si="47"/>
        <v>Peak Toys Distribution SRL</v>
      </c>
      <c r="BC292" s="208" t="str">
        <f t="shared" si="48"/>
        <v>罗马尼亚</v>
      </c>
    </row>
    <row r="293" s="194" customFormat="1" customHeight="1" spans="1:55">
      <c r="A293" s="208">
        <v>46115</v>
      </c>
      <c r="B293" s="208" t="str">
        <f ca="1" t="shared" si="52"/>
        <v/>
      </c>
      <c r="C293" s="211" t="str">
        <f>VLOOKUP(H293,名称!A:E,4,0)</f>
        <v>三代</v>
      </c>
      <c r="D293" s="210" t="s">
        <v>1750</v>
      </c>
      <c r="E293" s="210" t="s">
        <v>1751</v>
      </c>
      <c r="F293" s="211"/>
      <c r="G293" s="211" t="s">
        <v>621</v>
      </c>
      <c r="H293" s="211" t="s">
        <v>61</v>
      </c>
      <c r="I293" s="211"/>
      <c r="J293" s="212">
        <v>3600</v>
      </c>
      <c r="K293" s="223">
        <f>VLOOKUP(H293,名称!A:C,2,0)</f>
        <v>5</v>
      </c>
      <c r="L293" s="212">
        <f t="shared" si="51"/>
        <v>18000</v>
      </c>
      <c r="M293" s="211">
        <f>VLOOKUP(H293,名称!A:E,3,0)</f>
        <v>24</v>
      </c>
      <c r="N293" s="212">
        <f t="shared" si="54"/>
        <v>150</v>
      </c>
      <c r="O293" s="208">
        <v>46167</v>
      </c>
      <c r="P293" s="208">
        <v>46174</v>
      </c>
      <c r="Q293" s="208">
        <v>46175</v>
      </c>
      <c r="R293" s="211" t="s">
        <v>1241</v>
      </c>
      <c r="S293" s="208" t="s">
        <v>1133</v>
      </c>
      <c r="T293" s="211"/>
      <c r="U293" s="211"/>
      <c r="V293" s="211"/>
      <c r="W293" s="208"/>
      <c r="X293" s="211" t="s">
        <v>1248</v>
      </c>
      <c r="Y293" s="213">
        <v>46156</v>
      </c>
      <c r="Z293" s="211" t="s">
        <v>1249</v>
      </c>
      <c r="AA293" s="214">
        <v>46129</v>
      </c>
      <c r="AB293" s="213">
        <v>46156</v>
      </c>
      <c r="AC293" s="211" t="s">
        <v>1133</v>
      </c>
      <c r="AD293" s="211" t="s">
        <v>1133</v>
      </c>
      <c r="AE293" s="211" t="s">
        <v>510</v>
      </c>
      <c r="AF293" s="211" t="s">
        <v>1228</v>
      </c>
      <c r="AG293" s="211" t="s">
        <v>510</v>
      </c>
      <c r="AH293" s="211" t="s">
        <v>1133</v>
      </c>
      <c r="AI293" s="211" t="s">
        <v>1228</v>
      </c>
      <c r="AJ293" s="211" t="s">
        <v>1133</v>
      </c>
      <c r="AK293" s="211" t="s">
        <v>510</v>
      </c>
      <c r="AL293" s="211"/>
      <c r="AM293" s="211" t="s">
        <v>1752</v>
      </c>
      <c r="AN293" s="212" t="s">
        <v>1251</v>
      </c>
      <c r="AO293" s="215">
        <v>0.65</v>
      </c>
      <c r="AP293" s="216">
        <f t="shared" si="49"/>
        <v>2340</v>
      </c>
      <c r="AQ293" s="216">
        <f t="shared" si="50"/>
        <v>18135</v>
      </c>
      <c r="AR293" s="217">
        <v>61175</v>
      </c>
      <c r="AS293" s="208">
        <v>46183</v>
      </c>
      <c r="AT293" s="208" t="s">
        <v>1220</v>
      </c>
      <c r="AU293" s="253">
        <f>3408+192</f>
        <v>3600</v>
      </c>
      <c r="AV293" s="252">
        <f t="shared" si="53"/>
        <v>0</v>
      </c>
      <c r="AW293" s="252"/>
      <c r="AX293" s="208" t="s">
        <v>1280</v>
      </c>
      <c r="AY293" s="208"/>
      <c r="AZ293" s="208"/>
      <c r="BA293" s="208"/>
      <c r="BB293" s="208" t="str">
        <f t="shared" si="47"/>
        <v>Peak Toys Distribution SRL</v>
      </c>
      <c r="BC293" s="208" t="str">
        <f t="shared" si="48"/>
        <v>罗马尼亚</v>
      </c>
    </row>
    <row r="294" s="194" customFormat="1" customHeight="1" spans="1:55">
      <c r="A294" s="208">
        <v>46094</v>
      </c>
      <c r="B294" s="208" t="str">
        <f ca="1" t="shared" si="52"/>
        <v/>
      </c>
      <c r="C294" s="209" t="str">
        <f>VLOOKUP(H294,名称!A:E,4,0)</f>
        <v>二代</v>
      </c>
      <c r="D294" s="210" t="s">
        <v>1264</v>
      </c>
      <c r="E294" s="210" t="s">
        <v>1476</v>
      </c>
      <c r="F294" s="211"/>
      <c r="G294" s="211" t="s">
        <v>570</v>
      </c>
      <c r="H294" s="211" t="s">
        <v>18</v>
      </c>
      <c r="I294" s="211"/>
      <c r="J294" s="212">
        <f>504+246</f>
        <v>750</v>
      </c>
      <c r="K294" s="223">
        <f>VLOOKUP(H294,名称!A:C,2,0)</f>
        <v>16</v>
      </c>
      <c r="L294" s="223">
        <f>K294*J294</f>
        <v>12000</v>
      </c>
      <c r="M294" s="211">
        <f>VLOOKUP(H294,名称!A:E,3,0)</f>
        <v>6</v>
      </c>
      <c r="N294" s="212">
        <f t="shared" si="54"/>
        <v>125</v>
      </c>
      <c r="O294" s="208">
        <v>46164</v>
      </c>
      <c r="P294" s="208">
        <v>46164</v>
      </c>
      <c r="Q294" s="208">
        <v>46164</v>
      </c>
      <c r="R294" s="211" t="s">
        <v>1241</v>
      </c>
      <c r="S294" s="208" t="s">
        <v>1133</v>
      </c>
      <c r="T294" s="211" t="s">
        <v>1133</v>
      </c>
      <c r="U294" s="211"/>
      <c r="V294" s="211"/>
      <c r="W294" s="208" t="s">
        <v>1651</v>
      </c>
      <c r="X294" s="211" t="s">
        <v>1248</v>
      </c>
      <c r="Y294" s="211" t="s">
        <v>1228</v>
      </c>
      <c r="Z294" s="211" t="s">
        <v>1249</v>
      </c>
      <c r="AA294" s="214">
        <v>46109</v>
      </c>
      <c r="AB294" s="213">
        <v>46111</v>
      </c>
      <c r="AC294" s="211" t="s">
        <v>1560</v>
      </c>
      <c r="AD294" s="211" t="s">
        <v>1228</v>
      </c>
      <c r="AE294" s="211" t="s">
        <v>327</v>
      </c>
      <c r="AF294" s="211" t="s">
        <v>1228</v>
      </c>
      <c r="AG294" s="211" t="s">
        <v>327</v>
      </c>
      <c r="AH294" s="211" t="s">
        <v>1133</v>
      </c>
      <c r="AI294" s="211" t="s">
        <v>1228</v>
      </c>
      <c r="AJ294" s="211" t="s">
        <v>1133</v>
      </c>
      <c r="AK294" s="211" t="s">
        <v>1133</v>
      </c>
      <c r="AL294" s="211" t="s">
        <v>1228</v>
      </c>
      <c r="AM294" s="211" t="s">
        <v>1279</v>
      </c>
      <c r="AN294" s="212" t="s">
        <v>1251</v>
      </c>
      <c r="AO294" s="215">
        <v>1.47</v>
      </c>
      <c r="AP294" s="216">
        <f t="shared" si="49"/>
        <v>1102.5</v>
      </c>
      <c r="AQ294" s="216">
        <f t="shared" si="50"/>
        <v>8544.38</v>
      </c>
      <c r="AR294" s="217">
        <v>61176</v>
      </c>
      <c r="AS294" s="208">
        <v>46183</v>
      </c>
      <c r="AT294" s="208" t="s">
        <v>1220</v>
      </c>
      <c r="AU294" s="221"/>
      <c r="AV294" s="222"/>
      <c r="AW294" s="208"/>
      <c r="AX294" s="208"/>
      <c r="AY294" s="208"/>
      <c r="AZ294" s="208"/>
      <c r="BA294" s="208"/>
      <c r="BB294" s="208" t="str">
        <f t="shared" si="47"/>
        <v>PT MAP</v>
      </c>
      <c r="BC294" s="208" t="str">
        <f t="shared" si="48"/>
        <v>印尼</v>
      </c>
    </row>
    <row r="295" s="194" customFormat="1" customHeight="1" spans="1:55">
      <c r="A295" s="208">
        <v>46094</v>
      </c>
      <c r="B295" s="208" t="str">
        <f ca="1" t="shared" si="52"/>
        <v/>
      </c>
      <c r="C295" s="211" t="str">
        <f>VLOOKUP(H295,名称!A:E,4,0)</f>
        <v>三代</v>
      </c>
      <c r="D295" s="210" t="s">
        <v>1264</v>
      </c>
      <c r="E295" s="210" t="s">
        <v>1476</v>
      </c>
      <c r="F295" s="211"/>
      <c r="G295" s="211" t="s">
        <v>570</v>
      </c>
      <c r="H295" s="211" t="s">
        <v>99</v>
      </c>
      <c r="I295" s="211"/>
      <c r="J295" s="212">
        <f>1008+96</f>
        <v>1104</v>
      </c>
      <c r="K295" s="223">
        <f>VLOOKUP(H295,名称!A:C,2,0)</f>
        <v>7</v>
      </c>
      <c r="L295" s="212">
        <f t="shared" ref="L295:L338" si="55">J295*K295</f>
        <v>7728</v>
      </c>
      <c r="M295" s="211">
        <f>VLOOKUP(H295,名称!A:E,3,0)</f>
        <v>24</v>
      </c>
      <c r="N295" s="212">
        <f t="shared" si="54"/>
        <v>46</v>
      </c>
      <c r="O295" s="208">
        <v>46164</v>
      </c>
      <c r="P295" s="208">
        <v>46164</v>
      </c>
      <c r="Q295" s="208">
        <v>46164</v>
      </c>
      <c r="R295" s="211" t="s">
        <v>1241</v>
      </c>
      <c r="S295" s="208" t="s">
        <v>1133</v>
      </c>
      <c r="T295" s="211" t="s">
        <v>1133</v>
      </c>
      <c r="U295" s="211"/>
      <c r="V295" s="211"/>
      <c r="W295" s="208"/>
      <c r="X295" s="211" t="s">
        <v>1248</v>
      </c>
      <c r="Y295" s="211" t="s">
        <v>1228</v>
      </c>
      <c r="Z295" s="213">
        <v>46099</v>
      </c>
      <c r="AA295" s="214">
        <v>46109</v>
      </c>
      <c r="AB295" s="213">
        <v>46111</v>
      </c>
      <c r="AC295" s="211" t="s">
        <v>1284</v>
      </c>
      <c r="AD295" s="211" t="s">
        <v>1228</v>
      </c>
      <c r="AE295" s="211" t="s">
        <v>510</v>
      </c>
      <c r="AF295" s="211" t="s">
        <v>1228</v>
      </c>
      <c r="AG295" s="211" t="s">
        <v>510</v>
      </c>
      <c r="AH295" s="211" t="s">
        <v>1307</v>
      </c>
      <c r="AI295" s="211" t="s">
        <v>1228</v>
      </c>
      <c r="AJ295" s="211" t="s">
        <v>1133</v>
      </c>
      <c r="AK295" s="211" t="s">
        <v>1133</v>
      </c>
      <c r="AL295" s="211" t="s">
        <v>1228</v>
      </c>
      <c r="AM295" s="211" t="s">
        <v>1279</v>
      </c>
      <c r="AN295" s="212" t="s">
        <v>1251</v>
      </c>
      <c r="AO295" s="215">
        <v>0.92</v>
      </c>
      <c r="AP295" s="216">
        <f t="shared" si="49"/>
        <v>1015.68</v>
      </c>
      <c r="AQ295" s="216">
        <f t="shared" si="50"/>
        <v>7871.52</v>
      </c>
      <c r="AR295" s="217">
        <v>61176</v>
      </c>
      <c r="AS295" s="208">
        <v>46183</v>
      </c>
      <c r="AT295" s="208" t="s">
        <v>1220</v>
      </c>
      <c r="AU295" s="253">
        <v>1104</v>
      </c>
      <c r="AV295" s="252">
        <f t="shared" ref="AV295:AV338" si="56">AU295-J295</f>
        <v>0</v>
      </c>
      <c r="AW295" s="252"/>
      <c r="AX295" s="208" t="s">
        <v>1280</v>
      </c>
      <c r="AY295" s="208"/>
      <c r="AZ295" s="208"/>
      <c r="BA295" s="208"/>
      <c r="BB295" s="208" t="str">
        <f t="shared" si="47"/>
        <v>PT MAP</v>
      </c>
      <c r="BC295" s="208" t="str">
        <f t="shared" si="48"/>
        <v>印尼</v>
      </c>
    </row>
    <row r="296" s="194" customFormat="1" customHeight="1" spans="1:55">
      <c r="A296" s="208">
        <v>46094</v>
      </c>
      <c r="B296" s="208" t="str">
        <f ca="1" t="shared" si="52"/>
        <v/>
      </c>
      <c r="C296" s="211" t="str">
        <f>VLOOKUP(H296,名称!A:E,4,0)</f>
        <v>三代</v>
      </c>
      <c r="D296" s="210" t="s">
        <v>1264</v>
      </c>
      <c r="E296" s="210" t="s">
        <v>1476</v>
      </c>
      <c r="F296" s="211"/>
      <c r="G296" s="211" t="s">
        <v>570</v>
      </c>
      <c r="H296" s="211" t="s">
        <v>66</v>
      </c>
      <c r="I296" s="211"/>
      <c r="J296" s="212">
        <f>504+936</f>
        <v>1440</v>
      </c>
      <c r="K296" s="223">
        <f>VLOOKUP(H296,名称!A:C,2,0)</f>
        <v>12</v>
      </c>
      <c r="L296" s="212">
        <f t="shared" si="55"/>
        <v>17280</v>
      </c>
      <c r="M296" s="211">
        <f>VLOOKUP(H296,名称!A:E,3,0)</f>
        <v>6</v>
      </c>
      <c r="N296" s="212">
        <f t="shared" si="54"/>
        <v>240</v>
      </c>
      <c r="O296" s="208">
        <v>46164</v>
      </c>
      <c r="P296" s="208">
        <v>46164</v>
      </c>
      <c r="Q296" s="208">
        <v>46164</v>
      </c>
      <c r="R296" s="211" t="s">
        <v>1241</v>
      </c>
      <c r="S296" s="208" t="s">
        <v>1133</v>
      </c>
      <c r="T296" s="211" t="s">
        <v>1133</v>
      </c>
      <c r="U296" s="211"/>
      <c r="V296" s="211"/>
      <c r="W296" s="208"/>
      <c r="X296" s="211" t="s">
        <v>1248</v>
      </c>
      <c r="Y296" s="211" t="s">
        <v>1228</v>
      </c>
      <c r="Z296" s="213">
        <v>46099</v>
      </c>
      <c r="AA296" s="214">
        <v>46109</v>
      </c>
      <c r="AB296" s="213">
        <v>46111</v>
      </c>
      <c r="AC296" s="211" t="s">
        <v>1318</v>
      </c>
      <c r="AD296" s="211" t="s">
        <v>1228</v>
      </c>
      <c r="AE296" s="211" t="s">
        <v>510</v>
      </c>
      <c r="AF296" s="211" t="s">
        <v>1228</v>
      </c>
      <c r="AG296" s="211" t="s">
        <v>510</v>
      </c>
      <c r="AH296" s="211" t="s">
        <v>1307</v>
      </c>
      <c r="AI296" s="211" t="s">
        <v>1228</v>
      </c>
      <c r="AJ296" s="211" t="s">
        <v>510</v>
      </c>
      <c r="AK296" s="211" t="s">
        <v>1133</v>
      </c>
      <c r="AL296" s="211"/>
      <c r="AM296" s="211" t="s">
        <v>1279</v>
      </c>
      <c r="AN296" s="212" t="s">
        <v>1251</v>
      </c>
      <c r="AO296" s="215">
        <v>2.09</v>
      </c>
      <c r="AP296" s="216">
        <f t="shared" si="49"/>
        <v>3009.6</v>
      </c>
      <c r="AQ296" s="216">
        <f t="shared" si="50"/>
        <v>23324.4</v>
      </c>
      <c r="AR296" s="217">
        <v>61176</v>
      </c>
      <c r="AS296" s="208">
        <v>46183</v>
      </c>
      <c r="AT296" s="208" t="s">
        <v>1220</v>
      </c>
      <c r="AU296" s="253">
        <v>1440</v>
      </c>
      <c r="AV296" s="252">
        <f t="shared" si="56"/>
        <v>0</v>
      </c>
      <c r="AW296" s="252"/>
      <c r="AX296" s="208" t="s">
        <v>1280</v>
      </c>
      <c r="AY296" s="208"/>
      <c r="AZ296" s="208"/>
      <c r="BA296" s="208"/>
      <c r="BB296" s="208" t="str">
        <f t="shared" si="47"/>
        <v>PT MAP</v>
      </c>
      <c r="BC296" s="208" t="str">
        <f t="shared" si="48"/>
        <v>印尼</v>
      </c>
    </row>
    <row r="297" s="194" customFormat="1" customHeight="1" spans="1:55">
      <c r="A297" s="208">
        <v>46094</v>
      </c>
      <c r="B297" s="208" t="str">
        <f ca="1" t="shared" si="52"/>
        <v/>
      </c>
      <c r="C297" s="211" t="str">
        <f>VLOOKUP(H297,名称!A:E,4,0)</f>
        <v>三代</v>
      </c>
      <c r="D297" s="210" t="s">
        <v>1264</v>
      </c>
      <c r="E297" s="210" t="s">
        <v>1476</v>
      </c>
      <c r="F297" s="211"/>
      <c r="G297" s="211" t="s">
        <v>570</v>
      </c>
      <c r="H297" s="211" t="s">
        <v>92</v>
      </c>
      <c r="I297" s="211"/>
      <c r="J297" s="212">
        <f>672+432</f>
        <v>1104</v>
      </c>
      <c r="K297" s="223">
        <f>VLOOKUP(H297,名称!A:C,2,0)</f>
        <v>7</v>
      </c>
      <c r="L297" s="212">
        <f t="shared" si="55"/>
        <v>7728</v>
      </c>
      <c r="M297" s="211">
        <f>VLOOKUP(H297,名称!A:E,3,0)</f>
        <v>16</v>
      </c>
      <c r="N297" s="212">
        <f t="shared" si="54"/>
        <v>69</v>
      </c>
      <c r="O297" s="208">
        <v>46164</v>
      </c>
      <c r="P297" s="208">
        <v>46164</v>
      </c>
      <c r="Q297" s="208">
        <v>46164</v>
      </c>
      <c r="R297" s="211" t="s">
        <v>1241</v>
      </c>
      <c r="S297" s="208" t="s">
        <v>1753</v>
      </c>
      <c r="T297" s="211" t="s">
        <v>1133</v>
      </c>
      <c r="U297" s="211"/>
      <c r="V297" s="211"/>
      <c r="W297" s="208"/>
      <c r="X297" s="211" t="s">
        <v>1248</v>
      </c>
      <c r="Y297" s="211" t="s">
        <v>1228</v>
      </c>
      <c r="Z297" s="213">
        <v>46099</v>
      </c>
      <c r="AA297" s="214">
        <v>46109</v>
      </c>
      <c r="AB297" s="213">
        <v>46111</v>
      </c>
      <c r="AC297" s="211" t="s">
        <v>1284</v>
      </c>
      <c r="AD297" s="211" t="s">
        <v>1228</v>
      </c>
      <c r="AE297" s="211" t="s">
        <v>510</v>
      </c>
      <c r="AF297" s="211" t="s">
        <v>1228</v>
      </c>
      <c r="AG297" s="211" t="s">
        <v>510</v>
      </c>
      <c r="AH297" s="211" t="s">
        <v>1307</v>
      </c>
      <c r="AI297" s="211" t="s">
        <v>1228</v>
      </c>
      <c r="AJ297" s="211" t="s">
        <v>1133</v>
      </c>
      <c r="AK297" s="211" t="s">
        <v>1133</v>
      </c>
      <c r="AL297" s="211"/>
      <c r="AM297" s="211" t="s">
        <v>1279</v>
      </c>
      <c r="AN297" s="212" t="s">
        <v>1251</v>
      </c>
      <c r="AO297" s="215">
        <v>0.91</v>
      </c>
      <c r="AP297" s="216">
        <f t="shared" si="49"/>
        <v>1004.64</v>
      </c>
      <c r="AQ297" s="216">
        <f t="shared" si="50"/>
        <v>7785.96</v>
      </c>
      <c r="AR297" s="217">
        <v>61176</v>
      </c>
      <c r="AS297" s="208">
        <v>46183</v>
      </c>
      <c r="AT297" s="208" t="s">
        <v>1220</v>
      </c>
      <c r="AU297" s="253">
        <v>1104</v>
      </c>
      <c r="AV297" s="252">
        <f t="shared" si="56"/>
        <v>0</v>
      </c>
      <c r="AW297" s="252"/>
      <c r="AX297" s="208" t="s">
        <v>1280</v>
      </c>
      <c r="AY297" s="208"/>
      <c r="AZ297" s="208"/>
      <c r="BA297" s="208"/>
      <c r="BB297" s="208" t="str">
        <f t="shared" si="47"/>
        <v>PT MAP</v>
      </c>
      <c r="BC297" s="208" t="str">
        <f t="shared" si="48"/>
        <v>印尼</v>
      </c>
    </row>
    <row r="298" s="194" customFormat="1" customHeight="1" spans="1:55">
      <c r="A298" s="208">
        <v>46083</v>
      </c>
      <c r="B298" s="208" t="str">
        <f ca="1" t="shared" si="52"/>
        <v/>
      </c>
      <c r="C298" s="211" t="str">
        <f>VLOOKUP(H298,名称!A:E,4,0)</f>
        <v>三代</v>
      </c>
      <c r="D298" s="210" t="s">
        <v>1754</v>
      </c>
      <c r="E298" s="210" t="s">
        <v>1755</v>
      </c>
      <c r="F298" s="211"/>
      <c r="G298" s="211" t="s">
        <v>525</v>
      </c>
      <c r="H298" s="211" t="s">
        <v>55</v>
      </c>
      <c r="I298" s="211"/>
      <c r="J298" s="212">
        <v>3600</v>
      </c>
      <c r="K298" s="223">
        <f>VLOOKUP(H298,名称!A:C,2,0)</f>
        <v>7</v>
      </c>
      <c r="L298" s="212">
        <f t="shared" si="55"/>
        <v>25200</v>
      </c>
      <c r="M298" s="211">
        <f>VLOOKUP(H298,名称!A:E,3,0)</f>
        <v>16</v>
      </c>
      <c r="N298" s="212">
        <f t="shared" si="54"/>
        <v>225</v>
      </c>
      <c r="O298" s="208">
        <v>46170</v>
      </c>
      <c r="P298" s="208">
        <v>46170</v>
      </c>
      <c r="Q298" s="208">
        <v>46170</v>
      </c>
      <c r="R298" s="211" t="s">
        <v>1425</v>
      </c>
      <c r="S298" s="208" t="s">
        <v>1133</v>
      </c>
      <c r="T298" s="211"/>
      <c r="U298" s="211"/>
      <c r="V298" s="211"/>
      <c r="W298" s="208"/>
      <c r="X298" s="211" t="s">
        <v>1505</v>
      </c>
      <c r="Y298" s="211" t="s">
        <v>1228</v>
      </c>
      <c r="Z298" s="211" t="s">
        <v>1249</v>
      </c>
      <c r="AA298" s="214">
        <v>46109</v>
      </c>
      <c r="AB298" s="213">
        <v>46133</v>
      </c>
      <c r="AC298" s="211" t="s">
        <v>1284</v>
      </c>
      <c r="AD298" s="211" t="s">
        <v>1228</v>
      </c>
      <c r="AE298" s="211" t="s">
        <v>510</v>
      </c>
      <c r="AF298" s="211" t="s">
        <v>1228</v>
      </c>
      <c r="AG298" s="211" t="s">
        <v>510</v>
      </c>
      <c r="AH298" s="211" t="s">
        <v>1307</v>
      </c>
      <c r="AI298" s="211" t="s">
        <v>1228</v>
      </c>
      <c r="AJ298" s="211" t="s">
        <v>1133</v>
      </c>
      <c r="AK298" s="211" t="s">
        <v>1133</v>
      </c>
      <c r="AL298" s="211" t="s">
        <v>1228</v>
      </c>
      <c r="AM298" s="211" t="s">
        <v>1289</v>
      </c>
      <c r="AN298" s="212" t="s">
        <v>1251</v>
      </c>
      <c r="AO298" s="215">
        <v>0.93</v>
      </c>
      <c r="AP298" s="216">
        <f t="shared" si="49"/>
        <v>3348</v>
      </c>
      <c r="AQ298" s="216">
        <f t="shared" si="50"/>
        <v>25947</v>
      </c>
      <c r="AR298" s="217">
        <v>61177</v>
      </c>
      <c r="AS298" s="208">
        <v>46183</v>
      </c>
      <c r="AT298" s="208" t="s">
        <v>1220</v>
      </c>
      <c r="AU298" s="251">
        <v>3600</v>
      </c>
      <c r="AV298" s="252">
        <f t="shared" si="56"/>
        <v>0</v>
      </c>
      <c r="AW298" s="252"/>
      <c r="AX298" s="208" t="s">
        <v>1280</v>
      </c>
      <c r="AY298" s="208"/>
      <c r="AZ298" s="208"/>
      <c r="BA298" s="208"/>
      <c r="BB298" s="208" t="str">
        <f t="shared" si="47"/>
        <v>Anvol</v>
      </c>
      <c r="BC298" s="208" t="str">
        <f t="shared" si="48"/>
        <v>爱沙尼亚</v>
      </c>
    </row>
    <row r="299" s="194" customFormat="1" customHeight="1" spans="1:55">
      <c r="A299" s="208">
        <v>46083</v>
      </c>
      <c r="B299" s="208" t="str">
        <f ca="1" t="shared" si="52"/>
        <v/>
      </c>
      <c r="C299" s="211" t="str">
        <f>VLOOKUP(H299,名称!A:E,4,0)</f>
        <v>三代</v>
      </c>
      <c r="D299" s="210" t="s">
        <v>1754</v>
      </c>
      <c r="E299" s="210" t="s">
        <v>1755</v>
      </c>
      <c r="F299" s="211"/>
      <c r="G299" s="211" t="s">
        <v>525</v>
      </c>
      <c r="H299" s="211" t="s">
        <v>59</v>
      </c>
      <c r="I299" s="211"/>
      <c r="J299" s="212">
        <v>3600</v>
      </c>
      <c r="K299" s="223">
        <f>VLOOKUP(H299,名称!A:C,2,0)</f>
        <v>5</v>
      </c>
      <c r="L299" s="212">
        <f t="shared" si="55"/>
        <v>18000</v>
      </c>
      <c r="M299" s="211">
        <f>VLOOKUP(H299,名称!A:E,3,0)</f>
        <v>24</v>
      </c>
      <c r="N299" s="212">
        <f t="shared" si="54"/>
        <v>150</v>
      </c>
      <c r="O299" s="208">
        <v>46170</v>
      </c>
      <c r="P299" s="208">
        <v>46170</v>
      </c>
      <c r="Q299" s="208">
        <v>46170</v>
      </c>
      <c r="R299" s="211" t="s">
        <v>1241</v>
      </c>
      <c r="S299" s="208" t="s">
        <v>1133</v>
      </c>
      <c r="T299" s="211"/>
      <c r="U299" s="211"/>
      <c r="V299" s="211"/>
      <c r="W299" s="208"/>
      <c r="X299" s="211" t="s">
        <v>1505</v>
      </c>
      <c r="Y299" s="211" t="s">
        <v>1228</v>
      </c>
      <c r="Z299" s="211" t="s">
        <v>1249</v>
      </c>
      <c r="AA299" s="214">
        <v>46109</v>
      </c>
      <c r="AB299" s="213">
        <v>46133</v>
      </c>
      <c r="AC299" s="211" t="s">
        <v>1133</v>
      </c>
      <c r="AD299" s="211" t="s">
        <v>1133</v>
      </c>
      <c r="AE299" s="211" t="s">
        <v>510</v>
      </c>
      <c r="AF299" s="211" t="s">
        <v>1228</v>
      </c>
      <c r="AG299" s="211" t="s">
        <v>510</v>
      </c>
      <c r="AH299" s="211" t="s">
        <v>1133</v>
      </c>
      <c r="AI299" s="211" t="s">
        <v>1228</v>
      </c>
      <c r="AJ299" s="211" t="s">
        <v>1133</v>
      </c>
      <c r="AK299" s="211" t="s">
        <v>510</v>
      </c>
      <c r="AL299" s="211"/>
      <c r="AM299" s="211" t="s">
        <v>1289</v>
      </c>
      <c r="AN299" s="212" t="s">
        <v>1251</v>
      </c>
      <c r="AO299" s="215">
        <v>0.66</v>
      </c>
      <c r="AP299" s="216">
        <f t="shared" si="49"/>
        <v>2376</v>
      </c>
      <c r="AQ299" s="216">
        <f t="shared" si="50"/>
        <v>18414</v>
      </c>
      <c r="AR299" s="217">
        <v>61177</v>
      </c>
      <c r="AS299" s="208">
        <v>46183</v>
      </c>
      <c r="AT299" s="208" t="s">
        <v>1220</v>
      </c>
      <c r="AU299" s="251">
        <v>3600</v>
      </c>
      <c r="AV299" s="252">
        <f t="shared" si="56"/>
        <v>0</v>
      </c>
      <c r="AW299" s="252"/>
      <c r="AX299" s="208" t="s">
        <v>1280</v>
      </c>
      <c r="AY299" s="208"/>
      <c r="AZ299" s="208"/>
      <c r="BA299" s="208"/>
      <c r="BB299" s="208" t="str">
        <f t="shared" si="47"/>
        <v>Anvol</v>
      </c>
      <c r="BC299" s="208" t="str">
        <f t="shared" si="48"/>
        <v>爱沙尼亚</v>
      </c>
    </row>
    <row r="300" s="194" customFormat="1" customHeight="1" spans="1:55">
      <c r="A300" s="208">
        <v>46083</v>
      </c>
      <c r="B300" s="208" t="str">
        <f ca="1" t="shared" si="52"/>
        <v/>
      </c>
      <c r="C300" s="211" t="str">
        <f>VLOOKUP(H300,名称!A:E,4,0)</f>
        <v>三代</v>
      </c>
      <c r="D300" s="210" t="s">
        <v>1754</v>
      </c>
      <c r="E300" s="210" t="s">
        <v>1755</v>
      </c>
      <c r="F300" s="211"/>
      <c r="G300" s="211" t="s">
        <v>525</v>
      </c>
      <c r="H300" s="211" t="s">
        <v>66</v>
      </c>
      <c r="I300" s="211"/>
      <c r="J300" s="212">
        <v>840</v>
      </c>
      <c r="K300" s="223">
        <f>VLOOKUP(H300,名称!A:C,2,0)</f>
        <v>12</v>
      </c>
      <c r="L300" s="212">
        <f t="shared" si="55"/>
        <v>10080</v>
      </c>
      <c r="M300" s="211">
        <f>VLOOKUP(H300,名称!A:E,3,0)</f>
        <v>6</v>
      </c>
      <c r="N300" s="212">
        <f t="shared" si="54"/>
        <v>140</v>
      </c>
      <c r="O300" s="208">
        <v>46170</v>
      </c>
      <c r="P300" s="208">
        <v>46170</v>
      </c>
      <c r="Q300" s="208">
        <v>46170</v>
      </c>
      <c r="R300" s="211" t="s">
        <v>1241</v>
      </c>
      <c r="S300" s="208" t="s">
        <v>1133</v>
      </c>
      <c r="T300" s="211"/>
      <c r="U300" s="211"/>
      <c r="V300" s="211"/>
      <c r="W300" s="208"/>
      <c r="X300" s="211" t="s">
        <v>1505</v>
      </c>
      <c r="Y300" s="211" t="s">
        <v>1228</v>
      </c>
      <c r="Z300" s="211" t="s">
        <v>1249</v>
      </c>
      <c r="AA300" s="214">
        <v>46109</v>
      </c>
      <c r="AB300" s="213">
        <v>46133</v>
      </c>
      <c r="AC300" s="211" t="s">
        <v>1318</v>
      </c>
      <c r="AD300" s="211" t="s">
        <v>1228</v>
      </c>
      <c r="AE300" s="211" t="s">
        <v>510</v>
      </c>
      <c r="AF300" s="211" t="s">
        <v>1228</v>
      </c>
      <c r="AG300" s="211" t="s">
        <v>510</v>
      </c>
      <c r="AH300" s="211" t="s">
        <v>1307</v>
      </c>
      <c r="AI300" s="211" t="s">
        <v>1228</v>
      </c>
      <c r="AJ300" s="211" t="s">
        <v>510</v>
      </c>
      <c r="AK300" s="211" t="s">
        <v>1133</v>
      </c>
      <c r="AL300" s="211"/>
      <c r="AM300" s="211" t="s">
        <v>1289</v>
      </c>
      <c r="AN300" s="212" t="s">
        <v>1251</v>
      </c>
      <c r="AO300" s="215">
        <v>2.09</v>
      </c>
      <c r="AP300" s="216">
        <f t="shared" si="49"/>
        <v>1755.6</v>
      </c>
      <c r="AQ300" s="216">
        <f t="shared" si="50"/>
        <v>13605.9</v>
      </c>
      <c r="AR300" s="217">
        <v>61177</v>
      </c>
      <c r="AS300" s="208">
        <v>46183</v>
      </c>
      <c r="AT300" s="208" t="s">
        <v>1220</v>
      </c>
      <c r="AU300" s="251">
        <v>840</v>
      </c>
      <c r="AV300" s="252">
        <f t="shared" si="56"/>
        <v>0</v>
      </c>
      <c r="AW300" s="252"/>
      <c r="AX300" s="208" t="s">
        <v>1280</v>
      </c>
      <c r="AY300" s="208"/>
      <c r="AZ300" s="208"/>
      <c r="BA300" s="208"/>
      <c r="BB300" s="208" t="str">
        <f t="shared" si="47"/>
        <v>Anvol</v>
      </c>
      <c r="BC300" s="208" t="str">
        <f t="shared" si="48"/>
        <v>爱沙尼亚</v>
      </c>
    </row>
    <row r="301" s="194" customFormat="1" customHeight="1" spans="1:55">
      <c r="A301" s="208">
        <v>46083</v>
      </c>
      <c r="B301" s="208" t="str">
        <f ca="1" t="shared" si="52"/>
        <v/>
      </c>
      <c r="C301" s="211" t="str">
        <f>VLOOKUP(H301,名称!A:E,4,0)</f>
        <v>三代</v>
      </c>
      <c r="D301" s="210" t="s">
        <v>1754</v>
      </c>
      <c r="E301" s="210" t="s">
        <v>1755</v>
      </c>
      <c r="F301" s="211"/>
      <c r="G301" s="211" t="s">
        <v>525</v>
      </c>
      <c r="H301" s="211" t="s">
        <v>88</v>
      </c>
      <c r="I301" s="211"/>
      <c r="J301" s="212">
        <v>1800</v>
      </c>
      <c r="K301" s="223">
        <f>VLOOKUP(H301,名称!A:C,2,0)</f>
        <v>5</v>
      </c>
      <c r="L301" s="212">
        <f t="shared" si="55"/>
        <v>9000</v>
      </c>
      <c r="M301" s="211">
        <f>VLOOKUP(H301,名称!A:E,3,0)</f>
        <v>24</v>
      </c>
      <c r="N301" s="212">
        <f t="shared" si="54"/>
        <v>75</v>
      </c>
      <c r="O301" s="208">
        <v>46170</v>
      </c>
      <c r="P301" s="208">
        <v>46170</v>
      </c>
      <c r="Q301" s="208">
        <v>46181</v>
      </c>
      <c r="R301" s="211"/>
      <c r="S301" s="208" t="s">
        <v>1133</v>
      </c>
      <c r="T301" s="211"/>
      <c r="U301" s="211"/>
      <c r="V301" s="211"/>
      <c r="W301" s="208"/>
      <c r="X301" s="211" t="s">
        <v>1505</v>
      </c>
      <c r="Y301" s="211" t="s">
        <v>1228</v>
      </c>
      <c r="Z301" s="211" t="s">
        <v>1249</v>
      </c>
      <c r="AA301" s="214">
        <v>46109</v>
      </c>
      <c r="AB301" s="213">
        <v>46133</v>
      </c>
      <c r="AC301" s="211" t="s">
        <v>1133</v>
      </c>
      <c r="AD301" s="211" t="s">
        <v>1133</v>
      </c>
      <c r="AE301" s="211" t="s">
        <v>510</v>
      </c>
      <c r="AF301" s="211" t="s">
        <v>1228</v>
      </c>
      <c r="AG301" s="211" t="s">
        <v>510</v>
      </c>
      <c r="AH301" s="211" t="s">
        <v>1133</v>
      </c>
      <c r="AI301" s="211" t="s">
        <v>1228</v>
      </c>
      <c r="AJ301" s="211" t="s">
        <v>1133</v>
      </c>
      <c r="AK301" s="211" t="s">
        <v>510</v>
      </c>
      <c r="AL301" s="211"/>
      <c r="AM301" s="211" t="s">
        <v>1289</v>
      </c>
      <c r="AN301" s="212" t="s">
        <v>1251</v>
      </c>
      <c r="AO301" s="215">
        <v>0.83</v>
      </c>
      <c r="AP301" s="216">
        <f t="shared" si="49"/>
        <v>1494</v>
      </c>
      <c r="AQ301" s="216">
        <f t="shared" si="50"/>
        <v>11578.5</v>
      </c>
      <c r="AR301" s="217">
        <v>61177</v>
      </c>
      <c r="AS301" s="208">
        <v>46183</v>
      </c>
      <c r="AT301" s="208" t="s">
        <v>1310</v>
      </c>
      <c r="AU301" s="251"/>
      <c r="AV301" s="252">
        <f t="shared" si="56"/>
        <v>-1800</v>
      </c>
      <c r="AW301" s="252"/>
      <c r="AX301" s="208"/>
      <c r="AY301" s="208"/>
      <c r="AZ301" s="208"/>
      <c r="BA301" s="208"/>
      <c r="BB301" s="208" t="str">
        <f t="shared" si="47"/>
        <v>Anvol</v>
      </c>
      <c r="BC301" s="208" t="str">
        <f t="shared" si="48"/>
        <v>爱沙尼亚</v>
      </c>
    </row>
    <row r="302" s="194" customFormat="1" customHeight="1" spans="1:55">
      <c r="A302" s="208">
        <v>46083</v>
      </c>
      <c r="B302" s="208" t="str">
        <f ca="1" t="shared" si="52"/>
        <v/>
      </c>
      <c r="C302" s="211" t="str">
        <f>VLOOKUP(H302,名称!A:E,4,0)</f>
        <v>三代</v>
      </c>
      <c r="D302" s="210" t="s">
        <v>1754</v>
      </c>
      <c r="E302" s="210" t="s">
        <v>1755</v>
      </c>
      <c r="F302" s="211"/>
      <c r="G302" s="211" t="s">
        <v>525</v>
      </c>
      <c r="H302" s="211" t="s">
        <v>89</v>
      </c>
      <c r="I302" s="211"/>
      <c r="J302" s="212">
        <v>720</v>
      </c>
      <c r="K302" s="223">
        <f>VLOOKUP(H302,名称!A:C,2,0)</f>
        <v>12</v>
      </c>
      <c r="L302" s="212">
        <f t="shared" si="55"/>
        <v>8640</v>
      </c>
      <c r="M302" s="211">
        <f>VLOOKUP(H302,名称!A:E,3,0)</f>
        <v>6</v>
      </c>
      <c r="N302" s="212">
        <f t="shared" si="54"/>
        <v>120</v>
      </c>
      <c r="O302" s="208">
        <v>46170</v>
      </c>
      <c r="P302" s="208">
        <v>46170</v>
      </c>
      <c r="Q302" s="208">
        <v>46170</v>
      </c>
      <c r="R302" s="211" t="s">
        <v>1241</v>
      </c>
      <c r="S302" s="208" t="s">
        <v>1133</v>
      </c>
      <c r="T302" s="211"/>
      <c r="U302" s="211"/>
      <c r="V302" s="211"/>
      <c r="W302" s="208"/>
      <c r="X302" s="211" t="s">
        <v>1505</v>
      </c>
      <c r="Y302" s="211" t="s">
        <v>1228</v>
      </c>
      <c r="Z302" s="211" t="s">
        <v>1249</v>
      </c>
      <c r="AA302" s="214">
        <v>46109</v>
      </c>
      <c r="AB302" s="213">
        <v>46133</v>
      </c>
      <c r="AC302" s="211" t="s">
        <v>1318</v>
      </c>
      <c r="AD302" s="211" t="s">
        <v>1228</v>
      </c>
      <c r="AE302" s="211" t="s">
        <v>510</v>
      </c>
      <c r="AF302" s="211" t="s">
        <v>1228</v>
      </c>
      <c r="AG302" s="211" t="s">
        <v>510</v>
      </c>
      <c r="AH302" s="211" t="s">
        <v>1307</v>
      </c>
      <c r="AI302" s="211" t="s">
        <v>1228</v>
      </c>
      <c r="AJ302" s="211" t="s">
        <v>510</v>
      </c>
      <c r="AK302" s="211" t="s">
        <v>1133</v>
      </c>
      <c r="AL302" s="211"/>
      <c r="AM302" s="211" t="s">
        <v>1289</v>
      </c>
      <c r="AN302" s="212" t="s">
        <v>1251</v>
      </c>
      <c r="AO302" s="215">
        <v>1.9</v>
      </c>
      <c r="AP302" s="216">
        <f t="shared" si="49"/>
        <v>1368</v>
      </c>
      <c r="AQ302" s="216">
        <f t="shared" si="50"/>
        <v>10602</v>
      </c>
      <c r="AR302" s="224" t="s">
        <v>1756</v>
      </c>
      <c r="AS302" s="208">
        <v>46183</v>
      </c>
      <c r="AT302" s="208" t="s">
        <v>1310</v>
      </c>
      <c r="AU302" s="251"/>
      <c r="AV302" s="252">
        <f t="shared" si="56"/>
        <v>-720</v>
      </c>
      <c r="AW302" s="252"/>
      <c r="AX302" s="208"/>
      <c r="AY302" s="208"/>
      <c r="AZ302" s="208"/>
      <c r="BA302" s="208"/>
      <c r="BB302" s="208" t="str">
        <f t="shared" si="47"/>
        <v>Anvol</v>
      </c>
      <c r="BC302" s="208" t="str">
        <f t="shared" si="48"/>
        <v>爱沙尼亚</v>
      </c>
    </row>
    <row r="303" s="194" customFormat="1" customHeight="1" spans="1:55">
      <c r="A303" s="208">
        <v>46083</v>
      </c>
      <c r="B303" s="208" t="str">
        <f ca="1" t="shared" si="52"/>
        <v/>
      </c>
      <c r="C303" s="211" t="str">
        <f>VLOOKUP(H303,名称!A:E,4,0)</f>
        <v>三代</v>
      </c>
      <c r="D303" s="210" t="s">
        <v>1754</v>
      </c>
      <c r="E303" s="210" t="s">
        <v>1755</v>
      </c>
      <c r="F303" s="211"/>
      <c r="G303" s="211" t="s">
        <v>525</v>
      </c>
      <c r="H303" s="211" t="s">
        <v>97</v>
      </c>
      <c r="I303" s="211"/>
      <c r="J303" s="212">
        <v>1800</v>
      </c>
      <c r="K303" s="223">
        <f>VLOOKUP(H303,名称!A:C,2,0)</f>
        <v>5</v>
      </c>
      <c r="L303" s="212">
        <f t="shared" si="55"/>
        <v>9000</v>
      </c>
      <c r="M303" s="211">
        <f>VLOOKUP(H303,名称!A:E,3,0)</f>
        <v>24</v>
      </c>
      <c r="N303" s="212">
        <f t="shared" si="54"/>
        <v>75</v>
      </c>
      <c r="O303" s="208">
        <v>46170</v>
      </c>
      <c r="P303" s="208">
        <v>46170</v>
      </c>
      <c r="Q303" s="208">
        <v>46170</v>
      </c>
      <c r="R303" s="211" t="s">
        <v>1241</v>
      </c>
      <c r="S303" s="208" t="s">
        <v>1133</v>
      </c>
      <c r="T303" s="211"/>
      <c r="U303" s="211"/>
      <c r="V303" s="211"/>
      <c r="W303" s="208"/>
      <c r="X303" s="211" t="s">
        <v>1505</v>
      </c>
      <c r="Y303" s="211" t="s">
        <v>1228</v>
      </c>
      <c r="Z303" s="211" t="s">
        <v>1249</v>
      </c>
      <c r="AA303" s="214">
        <v>46109</v>
      </c>
      <c r="AB303" s="213">
        <v>46133</v>
      </c>
      <c r="AC303" s="211" t="s">
        <v>1133</v>
      </c>
      <c r="AD303" s="211" t="s">
        <v>1133</v>
      </c>
      <c r="AE303" s="211" t="s">
        <v>510</v>
      </c>
      <c r="AF303" s="211" t="s">
        <v>1228</v>
      </c>
      <c r="AG303" s="211" t="s">
        <v>510</v>
      </c>
      <c r="AH303" s="211" t="s">
        <v>1133</v>
      </c>
      <c r="AI303" s="211" t="s">
        <v>1228</v>
      </c>
      <c r="AJ303" s="211" t="s">
        <v>1133</v>
      </c>
      <c r="AK303" s="211" t="s">
        <v>510</v>
      </c>
      <c r="AL303" s="211"/>
      <c r="AM303" s="211" t="s">
        <v>1289</v>
      </c>
      <c r="AN303" s="212" t="s">
        <v>1251</v>
      </c>
      <c r="AO303" s="215">
        <v>0.66</v>
      </c>
      <c r="AP303" s="216">
        <f t="shared" si="49"/>
        <v>1188</v>
      </c>
      <c r="AQ303" s="216">
        <f t="shared" si="50"/>
        <v>9207</v>
      </c>
      <c r="AR303" s="217">
        <v>61177</v>
      </c>
      <c r="AS303" s="208">
        <v>46183</v>
      </c>
      <c r="AT303" s="208" t="s">
        <v>1220</v>
      </c>
      <c r="AU303" s="251">
        <v>1800</v>
      </c>
      <c r="AV303" s="252">
        <f t="shared" si="56"/>
        <v>0</v>
      </c>
      <c r="AW303" s="252"/>
      <c r="AX303" s="208" t="s">
        <v>1280</v>
      </c>
      <c r="AY303" s="208"/>
      <c r="AZ303" s="208"/>
      <c r="BA303" s="208"/>
      <c r="BB303" s="208" t="str">
        <f t="shared" si="47"/>
        <v>Anvol</v>
      </c>
      <c r="BC303" s="208" t="str">
        <f t="shared" si="48"/>
        <v>爱沙尼亚</v>
      </c>
    </row>
    <row r="304" s="194" customFormat="1" customHeight="1" spans="1:55">
      <c r="A304" s="208">
        <v>46083</v>
      </c>
      <c r="B304" s="208" t="str">
        <f ca="1" t="shared" si="52"/>
        <v/>
      </c>
      <c r="C304" s="211" t="str">
        <f>VLOOKUP(H304,名称!A:E,4,0)</f>
        <v>三代</v>
      </c>
      <c r="D304" s="210" t="s">
        <v>1754</v>
      </c>
      <c r="E304" s="210" t="s">
        <v>1755</v>
      </c>
      <c r="F304" s="211"/>
      <c r="G304" s="211" t="s">
        <v>525</v>
      </c>
      <c r="H304" s="211" t="s">
        <v>98</v>
      </c>
      <c r="I304" s="211"/>
      <c r="J304" s="212">
        <v>600</v>
      </c>
      <c r="K304" s="223">
        <f>VLOOKUP(H304,名称!A:C,2,0)</f>
        <v>12</v>
      </c>
      <c r="L304" s="212">
        <f t="shared" si="55"/>
        <v>7200</v>
      </c>
      <c r="M304" s="211">
        <f>VLOOKUP(H304,名称!A:E,3,0)</f>
        <v>12</v>
      </c>
      <c r="N304" s="212">
        <f t="shared" si="54"/>
        <v>50</v>
      </c>
      <c r="O304" s="208">
        <v>46170</v>
      </c>
      <c r="P304" s="208">
        <v>46170</v>
      </c>
      <c r="Q304" s="208">
        <v>46170</v>
      </c>
      <c r="R304" s="211" t="s">
        <v>1241</v>
      </c>
      <c r="S304" s="208" t="s">
        <v>1133</v>
      </c>
      <c r="T304" s="211"/>
      <c r="U304" s="211"/>
      <c r="V304" s="211"/>
      <c r="W304" s="208"/>
      <c r="X304" s="211" t="s">
        <v>1505</v>
      </c>
      <c r="Y304" s="211" t="s">
        <v>1228</v>
      </c>
      <c r="Z304" s="211" t="s">
        <v>1249</v>
      </c>
      <c r="AA304" s="214">
        <v>46109</v>
      </c>
      <c r="AB304" s="213">
        <v>46133</v>
      </c>
      <c r="AC304" s="211" t="s">
        <v>1302</v>
      </c>
      <c r="AD304" s="211" t="s">
        <v>1228</v>
      </c>
      <c r="AE304" s="211" t="s">
        <v>510</v>
      </c>
      <c r="AF304" s="211" t="s">
        <v>1228</v>
      </c>
      <c r="AG304" s="211" t="s">
        <v>510</v>
      </c>
      <c r="AH304" s="211" t="s">
        <v>1307</v>
      </c>
      <c r="AI304" s="211" t="s">
        <v>1228</v>
      </c>
      <c r="AJ304" s="211" t="s">
        <v>1133</v>
      </c>
      <c r="AK304" s="211" t="s">
        <v>1133</v>
      </c>
      <c r="AL304" s="211"/>
      <c r="AM304" s="211" t="s">
        <v>1289</v>
      </c>
      <c r="AN304" s="212" t="s">
        <v>1251</v>
      </c>
      <c r="AO304" s="215">
        <v>1.65</v>
      </c>
      <c r="AP304" s="216">
        <f t="shared" si="49"/>
        <v>990</v>
      </c>
      <c r="AQ304" s="216">
        <f t="shared" si="50"/>
        <v>7672.5</v>
      </c>
      <c r="AR304" s="217">
        <v>61177</v>
      </c>
      <c r="AS304" s="208">
        <v>46183</v>
      </c>
      <c r="AT304" s="208" t="s">
        <v>1220</v>
      </c>
      <c r="AU304" s="251">
        <v>400</v>
      </c>
      <c r="AV304" s="252">
        <f t="shared" si="56"/>
        <v>-200</v>
      </c>
      <c r="AW304" s="252"/>
      <c r="AX304" s="208" t="s">
        <v>1280</v>
      </c>
      <c r="AY304" s="208"/>
      <c r="AZ304" s="208"/>
      <c r="BA304" s="208"/>
      <c r="BB304" s="208" t="str">
        <f t="shared" si="47"/>
        <v>Anvol</v>
      </c>
      <c r="BC304" s="208" t="str">
        <f t="shared" si="48"/>
        <v>爱沙尼亚</v>
      </c>
    </row>
    <row r="305" s="194" customFormat="1" customHeight="1" spans="1:55">
      <c r="A305" s="208">
        <v>46093</v>
      </c>
      <c r="B305" s="208" t="str">
        <f ca="1" t="shared" si="52"/>
        <v/>
      </c>
      <c r="C305" s="211" t="str">
        <f>VLOOKUP(H305,名称!A:E,4,0)</f>
        <v>三代</v>
      </c>
      <c r="D305" s="210" t="s">
        <v>1300</v>
      </c>
      <c r="E305" s="210" t="s">
        <v>1224</v>
      </c>
      <c r="F305" s="211" t="s">
        <v>551</v>
      </c>
      <c r="G305" s="211" t="s">
        <v>552</v>
      </c>
      <c r="H305" s="211" t="s">
        <v>107</v>
      </c>
      <c r="I305" s="211"/>
      <c r="J305" s="212">
        <f>2280+220</f>
        <v>2500</v>
      </c>
      <c r="K305" s="223">
        <f>VLOOKUP(H305,名称!A:C,2,0)</f>
        <v>12</v>
      </c>
      <c r="L305" s="212">
        <f t="shared" si="55"/>
        <v>30000</v>
      </c>
      <c r="M305" s="211">
        <f>VLOOKUP(H305,名称!A:E,3,0)</f>
        <v>5</v>
      </c>
      <c r="N305" s="212">
        <f t="shared" si="54"/>
        <v>500</v>
      </c>
      <c r="O305" s="208">
        <v>46162</v>
      </c>
      <c r="P305" s="208">
        <v>46161</v>
      </c>
      <c r="Q305" s="208">
        <v>46161</v>
      </c>
      <c r="R305" s="211" t="s">
        <v>1241</v>
      </c>
      <c r="S305" s="208">
        <v>46162</v>
      </c>
      <c r="T305" s="208" t="s">
        <v>1241</v>
      </c>
      <c r="U305" s="211"/>
      <c r="V305" s="211"/>
      <c r="W305" s="208"/>
      <c r="X305" s="211" t="s">
        <v>1133</v>
      </c>
      <c r="Y305" s="211" t="s">
        <v>1133</v>
      </c>
      <c r="Z305" s="213">
        <v>46113</v>
      </c>
      <c r="AA305" s="214">
        <v>46120</v>
      </c>
      <c r="AB305" s="214">
        <v>46121</v>
      </c>
      <c r="AC305" s="211" t="s">
        <v>1302</v>
      </c>
      <c r="AD305" s="211" t="s">
        <v>1228</v>
      </c>
      <c r="AE305" s="211" t="s">
        <v>253</v>
      </c>
      <c r="AF305" s="211" t="s">
        <v>1228</v>
      </c>
      <c r="AG305" s="211" t="s">
        <v>253</v>
      </c>
      <c r="AH305" s="211" t="s">
        <v>253</v>
      </c>
      <c r="AI305" s="211" t="s">
        <v>1228</v>
      </c>
      <c r="AJ305" s="211" t="s">
        <v>253</v>
      </c>
      <c r="AK305" s="211" t="s">
        <v>1133</v>
      </c>
      <c r="AL305" s="211"/>
      <c r="AM305" s="211"/>
      <c r="AN305" s="212" t="s">
        <v>1231</v>
      </c>
      <c r="AO305" s="215">
        <v>2.19</v>
      </c>
      <c r="AP305" s="216">
        <f t="shared" si="49"/>
        <v>5475</v>
      </c>
      <c r="AQ305" s="216">
        <f t="shared" si="50"/>
        <v>42431.25</v>
      </c>
      <c r="AR305" s="217">
        <v>61178</v>
      </c>
      <c r="AS305" s="208">
        <v>46183</v>
      </c>
      <c r="AT305" s="208" t="s">
        <v>1220</v>
      </c>
      <c r="AU305" s="251">
        <v>2500</v>
      </c>
      <c r="AV305" s="252">
        <f t="shared" si="56"/>
        <v>0</v>
      </c>
      <c r="AW305" s="252"/>
      <c r="AX305" s="208" t="s">
        <v>1280</v>
      </c>
      <c r="AY305" s="208"/>
      <c r="AZ305" s="208"/>
      <c r="BA305" s="208"/>
      <c r="BB305" s="208" t="str">
        <f t="shared" si="47"/>
        <v>JAZWARES - WALMART CANADA (IMPORT)</v>
      </c>
      <c r="BC305" s="208" t="str">
        <f t="shared" si="48"/>
        <v>美国</v>
      </c>
    </row>
    <row r="306" s="194" customFormat="1" customHeight="1" spans="1:55">
      <c r="A306" s="208">
        <v>46120</v>
      </c>
      <c r="B306" s="208" t="str">
        <f ca="1" t="shared" si="52"/>
        <v/>
      </c>
      <c r="C306" s="211" t="str">
        <f>VLOOKUP(H306,名称!A:E,4,0)</f>
        <v>三代</v>
      </c>
      <c r="D306" s="210" t="s">
        <v>1311</v>
      </c>
      <c r="E306" s="210" t="s">
        <v>1224</v>
      </c>
      <c r="F306" s="211" t="s">
        <v>677</v>
      </c>
      <c r="G306" s="211" t="s">
        <v>678</v>
      </c>
      <c r="H306" s="211" t="s">
        <v>102</v>
      </c>
      <c r="I306" s="211"/>
      <c r="J306" s="212">
        <v>4872</v>
      </c>
      <c r="K306" s="223">
        <f>VLOOKUP(H306,名称!A:C,2,0)</f>
        <v>5</v>
      </c>
      <c r="L306" s="212">
        <f t="shared" si="55"/>
        <v>24360</v>
      </c>
      <c r="M306" s="211">
        <f>VLOOKUP(H306,名称!A:E,3,0)</f>
        <v>12</v>
      </c>
      <c r="N306" s="212">
        <f t="shared" si="54"/>
        <v>406</v>
      </c>
      <c r="O306" s="208">
        <v>46162</v>
      </c>
      <c r="P306" s="208">
        <v>46162</v>
      </c>
      <c r="Q306" s="208">
        <v>46162</v>
      </c>
      <c r="R306" s="211" t="s">
        <v>1241</v>
      </c>
      <c r="S306" s="208" t="s">
        <v>1757</v>
      </c>
      <c r="T306" s="211" t="s">
        <v>1241</v>
      </c>
      <c r="U306" s="211"/>
      <c r="V306" s="211"/>
      <c r="W306" s="208"/>
      <c r="X306" s="211" t="s">
        <v>1133</v>
      </c>
      <c r="Y306" s="211" t="s">
        <v>1133</v>
      </c>
      <c r="Z306" s="213">
        <v>46119</v>
      </c>
      <c r="AA306" s="214">
        <v>46120</v>
      </c>
      <c r="AB306" s="213">
        <v>46121</v>
      </c>
      <c r="AC306" s="211" t="s">
        <v>1133</v>
      </c>
      <c r="AD306" s="211" t="s">
        <v>1133</v>
      </c>
      <c r="AE306" s="211" t="s">
        <v>253</v>
      </c>
      <c r="AF306" s="211" t="s">
        <v>1228</v>
      </c>
      <c r="AG306" s="211" t="s">
        <v>253</v>
      </c>
      <c r="AH306" s="211" t="s">
        <v>1133</v>
      </c>
      <c r="AI306" s="211" t="s">
        <v>1228</v>
      </c>
      <c r="AJ306" s="211" t="s">
        <v>1133</v>
      </c>
      <c r="AK306" s="211" t="s">
        <v>253</v>
      </c>
      <c r="AL306" s="211"/>
      <c r="AM306" s="211"/>
      <c r="AN306" s="212" t="s">
        <v>1234</v>
      </c>
      <c r="AO306" s="215">
        <v>0.64</v>
      </c>
      <c r="AP306" s="216">
        <f t="shared" si="49"/>
        <v>3118.08</v>
      </c>
      <c r="AQ306" s="216">
        <f t="shared" si="50"/>
        <v>24165.12</v>
      </c>
      <c r="AR306" s="217">
        <v>61179</v>
      </c>
      <c r="AS306" s="208">
        <v>46183</v>
      </c>
      <c r="AT306" s="208" t="s">
        <v>1220</v>
      </c>
      <c r="AU306" s="253">
        <v>4872</v>
      </c>
      <c r="AV306" s="252">
        <f t="shared" si="56"/>
        <v>0</v>
      </c>
      <c r="AW306" s="252"/>
      <c r="AX306" s="208" t="s">
        <v>1280</v>
      </c>
      <c r="AY306" s="208"/>
      <c r="AZ306" s="208"/>
      <c r="BA306" s="208"/>
      <c r="BB306" s="208" t="str">
        <f t="shared" si="47"/>
        <v>JAZWARES - WALMART CA</v>
      </c>
      <c r="BC306" s="208" t="str">
        <f t="shared" si="48"/>
        <v>美国</v>
      </c>
    </row>
    <row r="307" s="194" customFormat="1" customHeight="1" spans="1:55">
      <c r="A307" s="208">
        <v>46115</v>
      </c>
      <c r="B307" s="208" t="str">
        <f ca="1" t="shared" si="52"/>
        <v/>
      </c>
      <c r="C307" s="211" t="str">
        <f>VLOOKUP(H307,名称!A:E,4,0)</f>
        <v>三代</v>
      </c>
      <c r="D307" s="210" t="s">
        <v>1311</v>
      </c>
      <c r="E307" s="210" t="s">
        <v>1224</v>
      </c>
      <c r="F307" s="211" t="s">
        <v>628</v>
      </c>
      <c r="G307" s="211" t="s">
        <v>629</v>
      </c>
      <c r="H307" s="211" t="s">
        <v>83</v>
      </c>
      <c r="I307" s="211"/>
      <c r="J307" s="212">
        <v>3516</v>
      </c>
      <c r="K307" s="223">
        <f>VLOOKUP(H307,名称!A:C,2,0)</f>
        <v>5</v>
      </c>
      <c r="L307" s="212">
        <f t="shared" si="55"/>
        <v>17580</v>
      </c>
      <c r="M307" s="211">
        <f>VLOOKUP(H307,名称!A:E,3,0)</f>
        <v>12</v>
      </c>
      <c r="N307" s="212">
        <f t="shared" si="54"/>
        <v>293</v>
      </c>
      <c r="O307" s="208">
        <v>46162</v>
      </c>
      <c r="P307" s="208">
        <v>46178</v>
      </c>
      <c r="Q307" s="208">
        <v>46174</v>
      </c>
      <c r="R307" s="211" t="s">
        <v>1241</v>
      </c>
      <c r="S307" s="208" t="s">
        <v>1757</v>
      </c>
      <c r="T307" s="211" t="s">
        <v>1241</v>
      </c>
      <c r="U307" s="211"/>
      <c r="V307" s="211"/>
      <c r="W307" s="208"/>
      <c r="X307" s="211" t="s">
        <v>1133</v>
      </c>
      <c r="Y307" s="211" t="s">
        <v>1133</v>
      </c>
      <c r="Z307" s="213">
        <v>46119</v>
      </c>
      <c r="AA307" s="214">
        <v>46120</v>
      </c>
      <c r="AB307" s="213">
        <v>46123</v>
      </c>
      <c r="AC307" s="211" t="s">
        <v>1133</v>
      </c>
      <c r="AD307" s="211" t="s">
        <v>1133</v>
      </c>
      <c r="AE307" s="211" t="s">
        <v>253</v>
      </c>
      <c r="AF307" s="211" t="s">
        <v>1228</v>
      </c>
      <c r="AG307" s="211" t="s">
        <v>253</v>
      </c>
      <c r="AH307" s="211" t="s">
        <v>1133</v>
      </c>
      <c r="AI307" s="211" t="s">
        <v>1228</v>
      </c>
      <c r="AJ307" s="211" t="s">
        <v>1133</v>
      </c>
      <c r="AK307" s="211" t="s">
        <v>253</v>
      </c>
      <c r="AL307" s="211"/>
      <c r="AM307" s="211" t="s">
        <v>1303</v>
      </c>
      <c r="AN307" s="212" t="s">
        <v>1475</v>
      </c>
      <c r="AO307" s="215">
        <v>0.94</v>
      </c>
      <c r="AP307" s="216">
        <f t="shared" si="49"/>
        <v>3305.04</v>
      </c>
      <c r="AQ307" s="216">
        <f t="shared" si="50"/>
        <v>25614.06</v>
      </c>
      <c r="AR307" s="217">
        <v>61180</v>
      </c>
      <c r="AS307" s="208">
        <v>46183</v>
      </c>
      <c r="AT307" s="208" t="s">
        <v>1310</v>
      </c>
      <c r="AU307" s="251">
        <v>3516</v>
      </c>
      <c r="AV307" s="252">
        <f t="shared" si="56"/>
        <v>0</v>
      </c>
      <c r="AW307" s="252"/>
      <c r="AX307" s="208"/>
      <c r="AY307" s="208"/>
      <c r="AZ307" s="208"/>
      <c r="BA307" s="208"/>
      <c r="BB307" s="208" t="str">
        <f t="shared" si="47"/>
        <v>JAZWARES - WALMART CA</v>
      </c>
      <c r="BC307" s="208" t="str">
        <f t="shared" si="48"/>
        <v>美国</v>
      </c>
    </row>
    <row r="308" s="194" customFormat="1" customHeight="1" spans="1:55">
      <c r="A308" s="208">
        <v>46115</v>
      </c>
      <c r="B308" s="208" t="str">
        <f ca="1" t="shared" si="52"/>
        <v/>
      </c>
      <c r="C308" s="211" t="str">
        <f>VLOOKUP(H308,名称!A:E,4,0)</f>
        <v>三代</v>
      </c>
      <c r="D308" s="210" t="s">
        <v>1300</v>
      </c>
      <c r="E308" s="210" t="s">
        <v>1224</v>
      </c>
      <c r="F308" s="211" t="s">
        <v>646</v>
      </c>
      <c r="G308" s="211" t="s">
        <v>647</v>
      </c>
      <c r="H308" s="211" t="s">
        <v>60</v>
      </c>
      <c r="I308" s="211"/>
      <c r="J308" s="212">
        <v>4200</v>
      </c>
      <c r="K308" s="223">
        <f>VLOOKUP(H308,名称!A:C,2,0)</f>
        <v>5</v>
      </c>
      <c r="L308" s="212">
        <f t="shared" si="55"/>
        <v>21000</v>
      </c>
      <c r="M308" s="211">
        <f>VLOOKUP(H308,名称!A:E,3,0)</f>
        <v>12</v>
      </c>
      <c r="N308" s="212">
        <f t="shared" si="54"/>
        <v>350</v>
      </c>
      <c r="O308" s="208">
        <v>46162</v>
      </c>
      <c r="P308" s="208">
        <v>46168</v>
      </c>
      <c r="Q308" s="208">
        <v>46174</v>
      </c>
      <c r="R308" s="211" t="s">
        <v>1241</v>
      </c>
      <c r="S308" s="208" t="s">
        <v>1757</v>
      </c>
      <c r="T308" s="211" t="s">
        <v>1241</v>
      </c>
      <c r="U308" s="211"/>
      <c r="V308" s="211"/>
      <c r="W308" s="208"/>
      <c r="X308" s="211" t="s">
        <v>1133</v>
      </c>
      <c r="Y308" s="211" t="s">
        <v>1133</v>
      </c>
      <c r="Z308" s="213">
        <v>46119</v>
      </c>
      <c r="AA308" s="214">
        <v>46120</v>
      </c>
      <c r="AB308" s="213">
        <v>46121</v>
      </c>
      <c r="AC308" s="211" t="s">
        <v>1133</v>
      </c>
      <c r="AD308" s="211" t="s">
        <v>1133</v>
      </c>
      <c r="AE308" s="211" t="s">
        <v>253</v>
      </c>
      <c r="AF308" s="211" t="s">
        <v>1228</v>
      </c>
      <c r="AG308" s="211" t="s">
        <v>253</v>
      </c>
      <c r="AH308" s="211" t="s">
        <v>1133</v>
      </c>
      <c r="AI308" s="211" t="s">
        <v>1228</v>
      </c>
      <c r="AJ308" s="211" t="s">
        <v>1133</v>
      </c>
      <c r="AK308" s="211" t="s">
        <v>253</v>
      </c>
      <c r="AL308" s="211"/>
      <c r="AM308" s="211" t="s">
        <v>1303</v>
      </c>
      <c r="AN308" s="212" t="s">
        <v>1234</v>
      </c>
      <c r="AO308" s="215">
        <v>0.63</v>
      </c>
      <c r="AP308" s="216">
        <f t="shared" si="49"/>
        <v>2646</v>
      </c>
      <c r="AQ308" s="216">
        <f t="shared" si="50"/>
        <v>20506.5</v>
      </c>
      <c r="AR308" s="217">
        <v>61181</v>
      </c>
      <c r="AS308" s="208">
        <v>46183</v>
      </c>
      <c r="AT308" s="208" t="s">
        <v>1220</v>
      </c>
      <c r="AU308" s="253">
        <v>4200</v>
      </c>
      <c r="AV308" s="252">
        <f t="shared" si="56"/>
        <v>0</v>
      </c>
      <c r="AW308" s="252"/>
      <c r="AX308" s="208" t="s">
        <v>1280</v>
      </c>
      <c r="AY308" s="208"/>
      <c r="AZ308" s="208"/>
      <c r="BA308" s="208"/>
      <c r="BB308" s="208" t="str">
        <f t="shared" si="47"/>
        <v>JAZWARES - WALMART CANADA (IMPORT)</v>
      </c>
      <c r="BC308" s="208" t="str">
        <f t="shared" si="48"/>
        <v>美国</v>
      </c>
    </row>
    <row r="309" s="194" customFormat="1" customHeight="1" spans="1:55">
      <c r="A309" s="208">
        <v>46094</v>
      </c>
      <c r="B309" s="208" t="str">
        <f ca="1" t="shared" si="52"/>
        <v/>
      </c>
      <c r="C309" s="211" t="str">
        <f>VLOOKUP(H309,名称!A:E,4,0)</f>
        <v>三代</v>
      </c>
      <c r="D309" s="210" t="s">
        <v>1264</v>
      </c>
      <c r="E309" s="210" t="s">
        <v>1476</v>
      </c>
      <c r="F309" s="211"/>
      <c r="G309" s="211" t="s">
        <v>570</v>
      </c>
      <c r="H309" s="211" t="s">
        <v>85</v>
      </c>
      <c r="I309" s="211"/>
      <c r="J309" s="212">
        <f>2064-48</f>
        <v>2016</v>
      </c>
      <c r="K309" s="223">
        <f>VLOOKUP(H309,名称!A:C,2,0)</f>
        <v>5</v>
      </c>
      <c r="L309" s="212">
        <f t="shared" si="55"/>
        <v>10080</v>
      </c>
      <c r="M309" s="211">
        <f>VLOOKUP(H309,名称!A:E,3,0)</f>
        <v>24</v>
      </c>
      <c r="N309" s="212">
        <f t="shared" si="54"/>
        <v>84</v>
      </c>
      <c r="O309" s="208">
        <v>46164</v>
      </c>
      <c r="P309" s="208">
        <v>46178</v>
      </c>
      <c r="Q309" s="208">
        <v>46181</v>
      </c>
      <c r="R309" s="211" t="s">
        <v>1277</v>
      </c>
      <c r="S309" s="208" t="s">
        <v>1133</v>
      </c>
      <c r="T309" s="211"/>
      <c r="U309" s="211"/>
      <c r="V309" s="211"/>
      <c r="W309" s="208"/>
      <c r="X309" s="211" t="s">
        <v>1248</v>
      </c>
      <c r="Y309" s="211" t="s">
        <v>1228</v>
      </c>
      <c r="Z309" s="213">
        <v>46099</v>
      </c>
      <c r="AA309" s="214">
        <v>46109</v>
      </c>
      <c r="AB309" s="213">
        <v>46111</v>
      </c>
      <c r="AC309" s="211" t="s">
        <v>1133</v>
      </c>
      <c r="AD309" s="211" t="s">
        <v>1133</v>
      </c>
      <c r="AE309" s="211" t="s">
        <v>510</v>
      </c>
      <c r="AF309" s="211" t="s">
        <v>1228</v>
      </c>
      <c r="AG309" s="211" t="s">
        <v>510</v>
      </c>
      <c r="AH309" s="211" t="s">
        <v>1133</v>
      </c>
      <c r="AI309" s="211" t="s">
        <v>1228</v>
      </c>
      <c r="AJ309" s="211" t="s">
        <v>1133</v>
      </c>
      <c r="AK309" s="211" t="s">
        <v>510</v>
      </c>
      <c r="AL309" s="211"/>
      <c r="AM309" s="211" t="s">
        <v>1279</v>
      </c>
      <c r="AN309" s="212" t="s">
        <v>1251</v>
      </c>
      <c r="AO309" s="215">
        <v>0.91</v>
      </c>
      <c r="AP309" s="216">
        <f t="shared" si="49"/>
        <v>1834.56</v>
      </c>
      <c r="AQ309" s="216">
        <f t="shared" si="50"/>
        <v>14217.84</v>
      </c>
      <c r="AR309" s="217">
        <v>61182</v>
      </c>
      <c r="AS309" s="254">
        <v>46189</v>
      </c>
      <c r="AT309" s="208" t="s">
        <v>1220</v>
      </c>
      <c r="AU309" s="251">
        <f>288+1728</f>
        <v>2016</v>
      </c>
      <c r="AV309" s="252">
        <f t="shared" si="56"/>
        <v>0</v>
      </c>
      <c r="AW309" s="252"/>
      <c r="AX309" s="208" t="s">
        <v>1280</v>
      </c>
      <c r="AY309" s="208"/>
      <c r="AZ309" s="208"/>
      <c r="BA309" s="208"/>
      <c r="BB309" s="208" t="str">
        <f t="shared" si="47"/>
        <v>PT MAP</v>
      </c>
      <c r="BC309" s="208" t="str">
        <f t="shared" si="48"/>
        <v>印尼</v>
      </c>
    </row>
    <row r="310" s="194" customFormat="1" customHeight="1" spans="1:55">
      <c r="A310" s="208">
        <v>46127</v>
      </c>
      <c r="B310" s="208" t="str">
        <f ca="1" t="shared" si="52"/>
        <v/>
      </c>
      <c r="C310" s="211" t="str">
        <f>VLOOKUP(H310,名称!A:E,4,0)</f>
        <v>三代</v>
      </c>
      <c r="D310" s="210" t="s">
        <v>1276</v>
      </c>
      <c r="E310" s="211" t="s">
        <v>1224</v>
      </c>
      <c r="F310" s="211" t="s">
        <v>1758</v>
      </c>
      <c r="G310" s="211" t="s">
        <v>710</v>
      </c>
      <c r="H310" s="211" t="s">
        <v>66</v>
      </c>
      <c r="I310" s="211"/>
      <c r="J310" s="212">
        <v>20004</v>
      </c>
      <c r="K310" s="223">
        <f>VLOOKUP(H310,名称!A:C,2,0)</f>
        <v>12</v>
      </c>
      <c r="L310" s="212">
        <f t="shared" si="55"/>
        <v>240048</v>
      </c>
      <c r="M310" s="211">
        <f>VLOOKUP(H310,名称!A:E,3,0)</f>
        <v>6</v>
      </c>
      <c r="N310" s="212">
        <f t="shared" si="54"/>
        <v>3334</v>
      </c>
      <c r="O310" s="208">
        <v>46178</v>
      </c>
      <c r="P310" s="208">
        <f>O310</f>
        <v>46178</v>
      </c>
      <c r="Q310" s="208">
        <v>46177</v>
      </c>
      <c r="R310" s="211" t="s">
        <v>1241</v>
      </c>
      <c r="S310" s="208">
        <v>46183</v>
      </c>
      <c r="T310" s="211" t="s">
        <v>1241</v>
      </c>
      <c r="U310" s="211"/>
      <c r="V310" s="211"/>
      <c r="W310" s="208"/>
      <c r="X310" s="211" t="s">
        <v>1133</v>
      </c>
      <c r="Y310" s="211" t="s">
        <v>1133</v>
      </c>
      <c r="Z310" s="213">
        <v>46133</v>
      </c>
      <c r="AA310" s="214">
        <v>46142</v>
      </c>
      <c r="AB310" s="213">
        <v>46148</v>
      </c>
      <c r="AC310" s="211" t="s">
        <v>1318</v>
      </c>
      <c r="AD310" s="211" t="s">
        <v>1228</v>
      </c>
      <c r="AE310" s="211" t="s">
        <v>270</v>
      </c>
      <c r="AF310" s="211" t="s">
        <v>1228</v>
      </c>
      <c r="AG310" s="211" t="s">
        <v>270</v>
      </c>
      <c r="AH310" s="211" t="s">
        <v>1285</v>
      </c>
      <c r="AI310" s="211" t="s">
        <v>1228</v>
      </c>
      <c r="AJ310" s="211" t="s">
        <v>510</v>
      </c>
      <c r="AK310" s="211" t="s">
        <v>1133</v>
      </c>
      <c r="AL310" s="211"/>
      <c r="AM310" s="211" t="s">
        <v>1303</v>
      </c>
      <c r="AN310" s="212" t="s">
        <v>1759</v>
      </c>
      <c r="AO310" s="215">
        <v>2.02</v>
      </c>
      <c r="AP310" s="216">
        <f t="shared" si="49"/>
        <v>40408.08</v>
      </c>
      <c r="AQ310" s="216">
        <f t="shared" si="50"/>
        <v>313162.62</v>
      </c>
      <c r="AR310" s="217">
        <v>61183</v>
      </c>
      <c r="AS310" s="255">
        <v>46186</v>
      </c>
      <c r="AT310" s="208" t="s">
        <v>1220</v>
      </c>
      <c r="AU310" s="253">
        <f>12492+7008+504</f>
        <v>20004</v>
      </c>
      <c r="AV310" s="253">
        <f t="shared" si="56"/>
        <v>0</v>
      </c>
      <c r="AW310" s="253"/>
      <c r="AX310" s="208" t="s">
        <v>1280</v>
      </c>
      <c r="AY310" s="208"/>
      <c r="AZ310" s="208"/>
      <c r="BA310" s="208"/>
      <c r="BB310" s="208" t="str">
        <f t="shared" si="47"/>
        <v>Jazwares- TARGET US DOM</v>
      </c>
      <c r="BC310" s="208" t="str">
        <f t="shared" si="48"/>
        <v>美国</v>
      </c>
    </row>
    <row r="311" s="194" customFormat="1" customHeight="1" spans="1:55">
      <c r="A311" s="256">
        <v>46032</v>
      </c>
      <c r="B311" s="256" t="str">
        <f ca="1" t="shared" si="52"/>
        <v/>
      </c>
      <c r="C311" s="257" t="str">
        <f>VLOOKUP(H311,名称!A:E,4,0)</f>
        <v>三代</v>
      </c>
      <c r="D311" s="258" t="s">
        <v>1240</v>
      </c>
      <c r="E311" s="258" t="s">
        <v>1224</v>
      </c>
      <c r="F311" s="257" t="s">
        <v>429</v>
      </c>
      <c r="G311" s="257" t="s">
        <v>430</v>
      </c>
      <c r="H311" s="257" t="s">
        <v>63</v>
      </c>
      <c r="I311" s="257"/>
      <c r="J311" s="259">
        <v>43200</v>
      </c>
      <c r="K311" s="260">
        <f>VLOOKUP(H311,名称!A:C,2,0)</f>
        <v>5</v>
      </c>
      <c r="L311" s="259">
        <f t="shared" si="55"/>
        <v>216000</v>
      </c>
      <c r="M311" s="257">
        <f>VLOOKUP(H311,名称!A:E,3,0)</f>
        <v>24</v>
      </c>
      <c r="N311" s="259">
        <f t="shared" si="54"/>
        <v>1800</v>
      </c>
      <c r="O311" s="256">
        <v>46136</v>
      </c>
      <c r="P311" s="256">
        <v>46149</v>
      </c>
      <c r="Q311" s="256">
        <v>46149</v>
      </c>
      <c r="R311" s="261" t="s">
        <v>1241</v>
      </c>
      <c r="S311" s="256">
        <v>46150</v>
      </c>
      <c r="T311" s="261" t="s">
        <v>1241</v>
      </c>
      <c r="U311" s="262"/>
      <c r="V311" s="257"/>
      <c r="W311" s="256"/>
      <c r="X311" s="257" t="s">
        <v>1133</v>
      </c>
      <c r="Y311" s="257" t="s">
        <v>1133</v>
      </c>
      <c r="Z311" s="263">
        <v>46059</v>
      </c>
      <c r="AA311" s="264">
        <v>46079</v>
      </c>
      <c r="AB311" s="263">
        <v>46080</v>
      </c>
      <c r="AC311" s="257" t="s">
        <v>1133</v>
      </c>
      <c r="AD311" s="257" t="s">
        <v>1133</v>
      </c>
      <c r="AE311" s="257" t="s">
        <v>270</v>
      </c>
      <c r="AF311" s="257" t="s">
        <v>1228</v>
      </c>
      <c r="AG311" s="257" t="s">
        <v>270</v>
      </c>
      <c r="AH311" s="257" t="s">
        <v>1133</v>
      </c>
      <c r="AI311" s="257" t="s">
        <v>1228</v>
      </c>
      <c r="AJ311" s="257" t="s">
        <v>1133</v>
      </c>
      <c r="AK311" s="257" t="s">
        <v>1659</v>
      </c>
      <c r="AL311" s="257"/>
      <c r="AM311" s="257" t="s">
        <v>1649</v>
      </c>
      <c r="AN311" s="259" t="s">
        <v>1760</v>
      </c>
      <c r="AO311" s="215">
        <v>0.62</v>
      </c>
      <c r="AP311" s="265">
        <f t="shared" si="49"/>
        <v>26784</v>
      </c>
      <c r="AQ311" s="265">
        <f t="shared" si="50"/>
        <v>207576</v>
      </c>
      <c r="AR311" s="217">
        <v>61184</v>
      </c>
      <c r="AS311" s="254">
        <v>46188</v>
      </c>
      <c r="AT311" s="256" t="s">
        <v>1220</v>
      </c>
      <c r="AU311" s="266">
        <f>30216+12936+48</f>
        <v>43200</v>
      </c>
      <c r="AV311" s="252">
        <f t="shared" si="56"/>
        <v>0</v>
      </c>
      <c r="AW311" s="252"/>
      <c r="AX311" s="256" t="s">
        <v>1280</v>
      </c>
      <c r="AY311" s="256"/>
      <c r="AZ311" s="256"/>
      <c r="BA311" s="256"/>
      <c r="BB311" s="208" t="str">
        <f t="shared" si="47"/>
        <v>JAZWARES - TARGET US DOM</v>
      </c>
      <c r="BC311" s="208" t="str">
        <f t="shared" si="48"/>
        <v>美国</v>
      </c>
    </row>
    <row r="312" s="194" customFormat="1" customHeight="1" spans="1:55">
      <c r="A312" s="256">
        <v>46035</v>
      </c>
      <c r="B312" s="256" t="str">
        <f ca="1" t="shared" si="52"/>
        <v/>
      </c>
      <c r="C312" s="257" t="str">
        <f>VLOOKUP(H312,名称!A:E,4,0)</f>
        <v>三代</v>
      </c>
      <c r="D312" s="258" t="s">
        <v>1240</v>
      </c>
      <c r="E312" s="258" t="s">
        <v>1224</v>
      </c>
      <c r="F312" s="257" t="s">
        <v>445</v>
      </c>
      <c r="G312" s="257" t="s">
        <v>446</v>
      </c>
      <c r="H312" s="257" t="s">
        <v>85</v>
      </c>
      <c r="I312" s="257"/>
      <c r="J312" s="259">
        <v>21000</v>
      </c>
      <c r="K312" s="260">
        <f>VLOOKUP(H312,名称!A:C,2,0)</f>
        <v>5</v>
      </c>
      <c r="L312" s="259">
        <f t="shared" si="55"/>
        <v>105000</v>
      </c>
      <c r="M312" s="257">
        <f>VLOOKUP(H312,名称!A:E,3,0)</f>
        <v>24</v>
      </c>
      <c r="N312" s="259">
        <f t="shared" si="54"/>
        <v>875</v>
      </c>
      <c r="O312" s="256">
        <v>46176</v>
      </c>
      <c r="P312" s="256">
        <v>46181</v>
      </c>
      <c r="Q312" s="256">
        <v>46181</v>
      </c>
      <c r="R312" s="256" t="s">
        <v>1277</v>
      </c>
      <c r="S312" s="256">
        <v>46181</v>
      </c>
      <c r="T312" s="256" t="s">
        <v>1277</v>
      </c>
      <c r="U312" s="256"/>
      <c r="V312" s="257"/>
      <c r="W312" s="256"/>
      <c r="X312" s="257" t="s">
        <v>1133</v>
      </c>
      <c r="Y312" s="257" t="s">
        <v>1133</v>
      </c>
      <c r="Z312" s="263">
        <v>46091</v>
      </c>
      <c r="AA312" s="264">
        <v>46093</v>
      </c>
      <c r="AB312" s="263">
        <v>46094</v>
      </c>
      <c r="AC312" s="257" t="s">
        <v>1133</v>
      </c>
      <c r="AD312" s="257" t="s">
        <v>1133</v>
      </c>
      <c r="AE312" s="257" t="s">
        <v>270</v>
      </c>
      <c r="AF312" s="257" t="s">
        <v>1228</v>
      </c>
      <c r="AG312" s="257" t="s">
        <v>270</v>
      </c>
      <c r="AH312" s="257" t="s">
        <v>1133</v>
      </c>
      <c r="AI312" s="257" t="s">
        <v>1228</v>
      </c>
      <c r="AJ312" s="257" t="s">
        <v>1133</v>
      </c>
      <c r="AK312" s="257" t="s">
        <v>1659</v>
      </c>
      <c r="AL312" s="257"/>
      <c r="AM312" s="257" t="s">
        <v>1289</v>
      </c>
      <c r="AN312" s="259"/>
      <c r="AO312" s="215">
        <v>0.88</v>
      </c>
      <c r="AP312" s="265">
        <f t="shared" si="49"/>
        <v>18480</v>
      </c>
      <c r="AQ312" s="265">
        <f t="shared" si="50"/>
        <v>143220</v>
      </c>
      <c r="AR312" s="217">
        <v>61185</v>
      </c>
      <c r="AS312" s="254">
        <v>46188</v>
      </c>
      <c r="AT312" s="256" t="s">
        <v>1220</v>
      </c>
      <c r="AU312" s="252"/>
      <c r="AV312" s="252">
        <f t="shared" si="56"/>
        <v>-21000</v>
      </c>
      <c r="AW312" s="252"/>
      <c r="AX312" s="256" t="s">
        <v>1280</v>
      </c>
      <c r="AY312" s="256"/>
      <c r="AZ312" s="256"/>
      <c r="BA312" s="256"/>
      <c r="BB312" s="208" t="str">
        <f t="shared" si="47"/>
        <v>JAZWARES - TARGET US DOM</v>
      </c>
      <c r="BC312" s="208" t="str">
        <f t="shared" si="48"/>
        <v>美国</v>
      </c>
    </row>
    <row r="313" s="194" customFormat="1" customHeight="1" spans="1:55">
      <c r="A313" s="256">
        <v>46031</v>
      </c>
      <c r="B313" s="256" t="str">
        <f ca="1" t="shared" si="52"/>
        <v/>
      </c>
      <c r="C313" s="257" t="str">
        <f>VLOOKUP(H313,名称!A:E,4,0)</f>
        <v>三代</v>
      </c>
      <c r="D313" s="258" t="s">
        <v>1276</v>
      </c>
      <c r="E313" s="258" t="s">
        <v>1224</v>
      </c>
      <c r="F313" s="257" t="s">
        <v>394</v>
      </c>
      <c r="G313" s="257" t="s">
        <v>395</v>
      </c>
      <c r="H313" s="257" t="s">
        <v>61</v>
      </c>
      <c r="I313" s="257"/>
      <c r="J313" s="259">
        <v>10512</v>
      </c>
      <c r="K313" s="260">
        <f>VLOOKUP(H313,名称!A:C,2,0)</f>
        <v>5</v>
      </c>
      <c r="L313" s="259">
        <f t="shared" si="55"/>
        <v>52560</v>
      </c>
      <c r="M313" s="257">
        <f>VLOOKUP(H313,名称!A:E,3,0)</f>
        <v>24</v>
      </c>
      <c r="N313" s="259">
        <f t="shared" si="54"/>
        <v>438</v>
      </c>
      <c r="O313" s="256">
        <v>46171</v>
      </c>
      <c r="P313" s="256">
        <v>46175</v>
      </c>
      <c r="Q313" s="256">
        <v>46175</v>
      </c>
      <c r="R313" s="257" t="s">
        <v>1241</v>
      </c>
      <c r="S313" s="256">
        <v>46178</v>
      </c>
      <c r="T313" s="257" t="s">
        <v>1282</v>
      </c>
      <c r="U313" s="257"/>
      <c r="V313" s="257"/>
      <c r="W313" s="256"/>
      <c r="X313" s="257" t="s">
        <v>1133</v>
      </c>
      <c r="Y313" s="257" t="s">
        <v>1133</v>
      </c>
      <c r="Z313" s="263">
        <v>46090</v>
      </c>
      <c r="AA313" s="263">
        <v>46090</v>
      </c>
      <c r="AB313" s="263">
        <v>46090</v>
      </c>
      <c r="AC313" s="257" t="s">
        <v>1133</v>
      </c>
      <c r="AD313" s="257" t="s">
        <v>1133</v>
      </c>
      <c r="AE313" s="257" t="s">
        <v>270</v>
      </c>
      <c r="AF313" s="257" t="s">
        <v>1228</v>
      </c>
      <c r="AG313" s="257" t="s">
        <v>270</v>
      </c>
      <c r="AH313" s="257" t="s">
        <v>1133</v>
      </c>
      <c r="AI313" s="257" t="s">
        <v>1228</v>
      </c>
      <c r="AJ313" s="257" t="s">
        <v>1133</v>
      </c>
      <c r="AK313" s="257" t="s">
        <v>1659</v>
      </c>
      <c r="AL313" s="257"/>
      <c r="AM313" s="257" t="s">
        <v>1289</v>
      </c>
      <c r="AN313" s="259"/>
      <c r="AO313" s="215">
        <v>0.61</v>
      </c>
      <c r="AP313" s="265">
        <f t="shared" si="49"/>
        <v>6412.32</v>
      </c>
      <c r="AQ313" s="265">
        <f t="shared" si="50"/>
        <v>49695.48</v>
      </c>
      <c r="AR313" s="217">
        <v>61186</v>
      </c>
      <c r="AS313" s="254">
        <v>46188</v>
      </c>
      <c r="AT313" s="256" t="s">
        <v>1220</v>
      </c>
      <c r="AU313" s="252">
        <v>10512</v>
      </c>
      <c r="AV313" s="252">
        <f t="shared" si="56"/>
        <v>0</v>
      </c>
      <c r="AW313" s="252"/>
      <c r="AX313" s="256" t="s">
        <v>1280</v>
      </c>
      <c r="AY313" s="256"/>
      <c r="AZ313" s="256"/>
      <c r="BA313" s="256"/>
      <c r="BB313" s="208" t="str">
        <f t="shared" si="47"/>
        <v>Jazwares- TARGET US DOM</v>
      </c>
      <c r="BC313" s="208" t="str">
        <f t="shared" si="48"/>
        <v>美国</v>
      </c>
    </row>
    <row r="314" s="194" customFormat="1" customHeight="1" spans="1:55">
      <c r="A314" s="256">
        <v>46127</v>
      </c>
      <c r="B314" s="256" t="str">
        <f ca="1" t="shared" si="52"/>
        <v/>
      </c>
      <c r="C314" s="257" t="str">
        <f>VLOOKUP(H314,名称!A:E,4,0)</f>
        <v>三代</v>
      </c>
      <c r="D314" s="257" t="s">
        <v>1761</v>
      </c>
      <c r="E314" s="257" t="s">
        <v>1224</v>
      </c>
      <c r="F314" s="257" t="s">
        <v>735</v>
      </c>
      <c r="G314" s="257" t="s">
        <v>736</v>
      </c>
      <c r="H314" s="257" t="s">
        <v>102</v>
      </c>
      <c r="I314" s="257"/>
      <c r="J314" s="259">
        <v>9996</v>
      </c>
      <c r="K314" s="260">
        <f>VLOOKUP(H314,名称!A:C,2,0)</f>
        <v>5</v>
      </c>
      <c r="L314" s="259">
        <f t="shared" si="55"/>
        <v>49980</v>
      </c>
      <c r="M314" s="257">
        <f>VLOOKUP(H314,名称!A:E,3,0)</f>
        <v>12</v>
      </c>
      <c r="N314" s="259">
        <f t="shared" si="54"/>
        <v>833</v>
      </c>
      <c r="O314" s="256">
        <v>46178</v>
      </c>
      <c r="P314" s="256">
        <f>O314</f>
        <v>46178</v>
      </c>
      <c r="Q314" s="256">
        <v>46177</v>
      </c>
      <c r="R314" s="257" t="s">
        <v>1425</v>
      </c>
      <c r="S314" s="256">
        <v>46183</v>
      </c>
      <c r="T314" s="257" t="s">
        <v>1241</v>
      </c>
      <c r="U314" s="257"/>
      <c r="V314" s="257" t="s">
        <v>1762</v>
      </c>
      <c r="W314" s="256"/>
      <c r="X314" s="257" t="s">
        <v>1133</v>
      </c>
      <c r="Y314" s="257" t="s">
        <v>1133</v>
      </c>
      <c r="Z314" s="263">
        <v>46139</v>
      </c>
      <c r="AA314" s="264">
        <v>46140</v>
      </c>
      <c r="AB314" s="263">
        <v>46149</v>
      </c>
      <c r="AC314" s="257" t="s">
        <v>1133</v>
      </c>
      <c r="AD314" s="257" t="s">
        <v>1133</v>
      </c>
      <c r="AE314" s="257" t="s">
        <v>270</v>
      </c>
      <c r="AF314" s="257" t="s">
        <v>1228</v>
      </c>
      <c r="AG314" s="257" t="s">
        <v>270</v>
      </c>
      <c r="AH314" s="257" t="s">
        <v>1133</v>
      </c>
      <c r="AI314" s="257" t="s">
        <v>1228</v>
      </c>
      <c r="AJ314" s="257" t="s">
        <v>1133</v>
      </c>
      <c r="AK314" s="257" t="s">
        <v>1659</v>
      </c>
      <c r="AL314" s="257"/>
      <c r="AM314" s="257" t="s">
        <v>1303</v>
      </c>
      <c r="AN314" s="259"/>
      <c r="AO314" s="215">
        <v>0.61</v>
      </c>
      <c r="AP314" s="265">
        <f t="shared" si="49"/>
        <v>6097.56</v>
      </c>
      <c r="AQ314" s="265">
        <f t="shared" si="50"/>
        <v>47256.09</v>
      </c>
      <c r="AR314" s="217">
        <v>61187</v>
      </c>
      <c r="AS314" s="254">
        <v>46188</v>
      </c>
      <c r="AT314" s="256" t="s">
        <v>1220</v>
      </c>
      <c r="AU314" s="252">
        <f>4236+5760</f>
        <v>9996</v>
      </c>
      <c r="AV314" s="252">
        <f t="shared" si="56"/>
        <v>0</v>
      </c>
      <c r="AW314" s="252"/>
      <c r="AX314" s="256" t="s">
        <v>1280</v>
      </c>
      <c r="AY314" s="256"/>
      <c r="AZ314" s="256"/>
      <c r="BA314" s="256"/>
      <c r="BB314" s="208" t="str">
        <f t="shared" si="47"/>
        <v>Jazwares- CLAIRE'S DOM</v>
      </c>
      <c r="BC314" s="208" t="str">
        <f t="shared" si="48"/>
        <v>美国</v>
      </c>
    </row>
    <row r="315" s="194" customFormat="1" customHeight="1" spans="1:55">
      <c r="A315" s="256">
        <v>46127</v>
      </c>
      <c r="B315" s="256" t="str">
        <f ca="1" t="shared" si="52"/>
        <v/>
      </c>
      <c r="C315" s="257" t="str">
        <f>VLOOKUP(H315,名称!A:E,4,0)</f>
        <v>三代</v>
      </c>
      <c r="D315" s="257" t="s">
        <v>1763</v>
      </c>
      <c r="E315" s="257" t="s">
        <v>1224</v>
      </c>
      <c r="F315" s="257" t="s">
        <v>715</v>
      </c>
      <c r="G315" s="257" t="s">
        <v>716</v>
      </c>
      <c r="H315" s="257" t="s">
        <v>107</v>
      </c>
      <c r="I315" s="257"/>
      <c r="J315" s="259">
        <v>8000</v>
      </c>
      <c r="K315" s="260">
        <f>VLOOKUP(H315,名称!A:C,2,0)</f>
        <v>12</v>
      </c>
      <c r="L315" s="259">
        <f t="shared" si="55"/>
        <v>96000</v>
      </c>
      <c r="M315" s="257">
        <f>VLOOKUP(H315,名称!A:E,3,0)</f>
        <v>5</v>
      </c>
      <c r="N315" s="259">
        <f t="shared" si="54"/>
        <v>1600</v>
      </c>
      <c r="O315" s="256">
        <v>46178</v>
      </c>
      <c r="P315" s="256">
        <f>O315</f>
        <v>46178</v>
      </c>
      <c r="Q315" s="256">
        <v>46177</v>
      </c>
      <c r="R315" s="257" t="s">
        <v>1241</v>
      </c>
      <c r="S315" s="256">
        <v>46183</v>
      </c>
      <c r="T315" s="257" t="s">
        <v>1241</v>
      </c>
      <c r="U315" s="257"/>
      <c r="V315" s="257" t="s">
        <v>1762</v>
      </c>
      <c r="W315" s="256"/>
      <c r="X315" s="257" t="s">
        <v>1133</v>
      </c>
      <c r="Y315" s="257" t="s">
        <v>1133</v>
      </c>
      <c r="Z315" s="263">
        <v>46139</v>
      </c>
      <c r="AA315" s="264">
        <v>46140</v>
      </c>
      <c r="AB315" s="263">
        <v>46149</v>
      </c>
      <c r="AC315" s="257" t="s">
        <v>1302</v>
      </c>
      <c r="AD315" s="257" t="s">
        <v>1228</v>
      </c>
      <c r="AE315" s="257" t="s">
        <v>270</v>
      </c>
      <c r="AF315" s="257" t="s">
        <v>1228</v>
      </c>
      <c r="AG315" s="257" t="s">
        <v>270</v>
      </c>
      <c r="AH315" s="257" t="s">
        <v>1285</v>
      </c>
      <c r="AI315" s="257" t="s">
        <v>1228</v>
      </c>
      <c r="AJ315" s="257" t="s">
        <v>510</v>
      </c>
      <c r="AK315" s="257" t="s">
        <v>1133</v>
      </c>
      <c r="AL315" s="257"/>
      <c r="AM315" s="257" t="s">
        <v>1303</v>
      </c>
      <c r="AN315" s="259"/>
      <c r="AO315" s="215">
        <v>2.12</v>
      </c>
      <c r="AP315" s="265">
        <f t="shared" si="49"/>
        <v>16960</v>
      </c>
      <c r="AQ315" s="265">
        <f t="shared" si="50"/>
        <v>131440</v>
      </c>
      <c r="AR315" s="217">
        <v>61188</v>
      </c>
      <c r="AS315" s="254">
        <v>46188</v>
      </c>
      <c r="AT315" s="256" t="s">
        <v>1220</v>
      </c>
      <c r="AU315" s="252">
        <f>6940+635+425</f>
        <v>8000</v>
      </c>
      <c r="AV315" s="252">
        <f t="shared" si="56"/>
        <v>0</v>
      </c>
      <c r="AW315" s="252"/>
      <c r="AX315" s="256" t="s">
        <v>1280</v>
      </c>
      <c r="AY315" s="256"/>
      <c r="AZ315" s="256"/>
      <c r="BA315" s="256"/>
      <c r="BB315" s="208" t="str">
        <f t="shared" si="47"/>
        <v>JAZWARES - CLAIRE'S DOM</v>
      </c>
      <c r="BC315" s="208" t="str">
        <f t="shared" si="48"/>
        <v>美国</v>
      </c>
    </row>
    <row r="316" s="194" customFormat="1" customHeight="1" spans="1:55">
      <c r="A316" s="208">
        <v>46127</v>
      </c>
      <c r="B316" s="208" t="str">
        <f ca="1" t="shared" si="52"/>
        <v/>
      </c>
      <c r="C316" s="211" t="str">
        <f>VLOOKUP(H316,名称!A:E,4,0)</f>
        <v>三代</v>
      </c>
      <c r="D316" s="211" t="s">
        <v>1763</v>
      </c>
      <c r="E316" s="211" t="s">
        <v>1224</v>
      </c>
      <c r="F316" s="211" t="s">
        <v>717</v>
      </c>
      <c r="G316" s="211" t="s">
        <v>718</v>
      </c>
      <c r="H316" s="211" t="s">
        <v>83</v>
      </c>
      <c r="I316" s="211"/>
      <c r="J316" s="212">
        <v>3000</v>
      </c>
      <c r="K316" s="223">
        <f>VLOOKUP(H316,名称!A:C,2,0)</f>
        <v>5</v>
      </c>
      <c r="L316" s="212">
        <f t="shared" si="55"/>
        <v>15000</v>
      </c>
      <c r="M316" s="211">
        <f>VLOOKUP(H316,名称!A:E,3,0)</f>
        <v>12</v>
      </c>
      <c r="N316" s="212">
        <f t="shared" si="54"/>
        <v>250</v>
      </c>
      <c r="O316" s="208">
        <v>46178</v>
      </c>
      <c r="P316" s="208">
        <v>46182</v>
      </c>
      <c r="Q316" s="208">
        <v>46188</v>
      </c>
      <c r="R316" s="241" t="s">
        <v>1241</v>
      </c>
      <c r="S316" s="208">
        <v>46188</v>
      </c>
      <c r="T316" s="241" t="s">
        <v>1241</v>
      </c>
      <c r="U316" s="211"/>
      <c r="V316" s="211" t="s">
        <v>1762</v>
      </c>
      <c r="W316" s="208"/>
      <c r="X316" s="211" t="s">
        <v>1133</v>
      </c>
      <c r="Y316" s="211" t="s">
        <v>1133</v>
      </c>
      <c r="Z316" s="213">
        <v>46139</v>
      </c>
      <c r="AA316" s="214">
        <v>46140</v>
      </c>
      <c r="AB316" s="213">
        <v>46149</v>
      </c>
      <c r="AC316" s="211" t="s">
        <v>1133</v>
      </c>
      <c r="AD316" s="211" t="s">
        <v>1133</v>
      </c>
      <c r="AE316" s="211" t="s">
        <v>270</v>
      </c>
      <c r="AF316" s="211" t="s">
        <v>1228</v>
      </c>
      <c r="AG316" s="211" t="s">
        <v>270</v>
      </c>
      <c r="AH316" s="211" t="s">
        <v>1133</v>
      </c>
      <c r="AI316" s="211" t="s">
        <v>1228</v>
      </c>
      <c r="AJ316" s="211" t="s">
        <v>1133</v>
      </c>
      <c r="AK316" s="211" t="s">
        <v>1659</v>
      </c>
      <c r="AL316" s="211"/>
      <c r="AM316" s="211" t="s">
        <v>1303</v>
      </c>
      <c r="AN316" s="212"/>
      <c r="AO316" s="215">
        <v>0.91</v>
      </c>
      <c r="AP316" s="216">
        <f t="shared" si="49"/>
        <v>2730</v>
      </c>
      <c r="AQ316" s="216">
        <f t="shared" si="50"/>
        <v>21157.5</v>
      </c>
      <c r="AR316" s="217">
        <v>61189</v>
      </c>
      <c r="AS316" s="254">
        <v>46188</v>
      </c>
      <c r="AT316" s="208" t="s">
        <v>1220</v>
      </c>
      <c r="AU316" s="253">
        <v>3000</v>
      </c>
      <c r="AV316" s="253">
        <f t="shared" si="56"/>
        <v>0</v>
      </c>
      <c r="AW316" s="253"/>
      <c r="AX316" s="208" t="s">
        <v>1280</v>
      </c>
      <c r="AY316" s="208"/>
      <c r="AZ316" s="208"/>
      <c r="BA316" s="208"/>
      <c r="BB316" s="208" t="str">
        <f t="shared" si="47"/>
        <v>JAZWARES - CLAIRE'S DOM</v>
      </c>
      <c r="BC316" s="208" t="str">
        <f t="shared" si="48"/>
        <v>美国</v>
      </c>
    </row>
    <row r="317" s="194" customFormat="1" customHeight="1" spans="1:55">
      <c r="A317" s="256">
        <v>46127</v>
      </c>
      <c r="B317" s="256" t="str">
        <f ca="1" t="shared" si="52"/>
        <v/>
      </c>
      <c r="C317" s="257" t="str">
        <f>VLOOKUP(H317,名称!A:E,4,0)</f>
        <v>三代</v>
      </c>
      <c r="D317" s="257" t="s">
        <v>1763</v>
      </c>
      <c r="E317" s="257" t="s">
        <v>1224</v>
      </c>
      <c r="F317" s="257" t="s">
        <v>719</v>
      </c>
      <c r="G317" s="257" t="s">
        <v>720</v>
      </c>
      <c r="H317" s="257" t="s">
        <v>60</v>
      </c>
      <c r="I317" s="257"/>
      <c r="J317" s="259">
        <v>9996</v>
      </c>
      <c r="K317" s="260">
        <f>VLOOKUP(H317,名称!A:C,2,0)</f>
        <v>5</v>
      </c>
      <c r="L317" s="259">
        <f t="shared" si="55"/>
        <v>49980</v>
      </c>
      <c r="M317" s="257">
        <f>VLOOKUP(H317,名称!A:E,3,0)</f>
        <v>12</v>
      </c>
      <c r="N317" s="259">
        <f t="shared" si="54"/>
        <v>833</v>
      </c>
      <c r="O317" s="256">
        <v>46178</v>
      </c>
      <c r="P317" s="256">
        <f>O317</f>
        <v>46178</v>
      </c>
      <c r="Q317" s="256">
        <v>46177</v>
      </c>
      <c r="R317" s="257" t="s">
        <v>1241</v>
      </c>
      <c r="S317" s="256">
        <v>46183</v>
      </c>
      <c r="T317" s="257" t="s">
        <v>1241</v>
      </c>
      <c r="U317" s="257"/>
      <c r="V317" s="257"/>
      <c r="W317" s="256"/>
      <c r="X317" s="257" t="s">
        <v>1133</v>
      </c>
      <c r="Y317" s="257" t="s">
        <v>1133</v>
      </c>
      <c r="Z317" s="263">
        <v>46139</v>
      </c>
      <c r="AA317" s="264">
        <v>46140</v>
      </c>
      <c r="AB317" s="263">
        <v>46149</v>
      </c>
      <c r="AC317" s="257" t="s">
        <v>1133</v>
      </c>
      <c r="AD317" s="257" t="s">
        <v>1133</v>
      </c>
      <c r="AE317" s="257" t="s">
        <v>270</v>
      </c>
      <c r="AF317" s="257" t="s">
        <v>1228</v>
      </c>
      <c r="AG317" s="257" t="s">
        <v>270</v>
      </c>
      <c r="AH317" s="257" t="s">
        <v>1133</v>
      </c>
      <c r="AI317" s="257" t="s">
        <v>1228</v>
      </c>
      <c r="AJ317" s="257" t="s">
        <v>1133</v>
      </c>
      <c r="AK317" s="257" t="s">
        <v>1659</v>
      </c>
      <c r="AL317" s="257"/>
      <c r="AM317" s="257" t="s">
        <v>1303</v>
      </c>
      <c r="AN317" s="259"/>
      <c r="AO317" s="215">
        <v>0.6</v>
      </c>
      <c r="AP317" s="265">
        <f t="shared" si="49"/>
        <v>5997.6</v>
      </c>
      <c r="AQ317" s="265">
        <f t="shared" si="50"/>
        <v>46481.4</v>
      </c>
      <c r="AR317" s="217">
        <v>61190</v>
      </c>
      <c r="AS317" s="254">
        <v>46188</v>
      </c>
      <c r="AT317" s="256" t="s">
        <v>1220</v>
      </c>
      <c r="AU317" s="252">
        <v>9996</v>
      </c>
      <c r="AV317" s="252">
        <f t="shared" si="56"/>
        <v>0</v>
      </c>
      <c r="AW317" s="252"/>
      <c r="AX317" s="256" t="s">
        <v>1280</v>
      </c>
      <c r="AY317" s="256"/>
      <c r="AZ317" s="256"/>
      <c r="BA317" s="256"/>
      <c r="BB317" s="208" t="str">
        <f t="shared" si="47"/>
        <v>JAZWARES - CLAIRE'S DOM</v>
      </c>
      <c r="BC317" s="208" t="str">
        <f t="shared" si="48"/>
        <v>美国</v>
      </c>
    </row>
    <row r="318" s="194" customFormat="1" customHeight="1" spans="1:55">
      <c r="A318" s="256">
        <v>46127</v>
      </c>
      <c r="B318" s="256" t="str">
        <f ca="1" t="shared" si="52"/>
        <v/>
      </c>
      <c r="C318" s="257" t="str">
        <f>VLOOKUP(H318,名称!A:E,4,0)</f>
        <v>三代</v>
      </c>
      <c r="D318" s="257" t="s">
        <v>1763</v>
      </c>
      <c r="E318" s="257" t="s">
        <v>1224</v>
      </c>
      <c r="F318" s="257" t="s">
        <v>721</v>
      </c>
      <c r="G318" s="257" t="s">
        <v>722</v>
      </c>
      <c r="H318" s="257" t="s">
        <v>93</v>
      </c>
      <c r="I318" s="257"/>
      <c r="J318" s="259">
        <v>3000</v>
      </c>
      <c r="K318" s="260">
        <f>VLOOKUP(H318,名称!A:C,2,0)</f>
        <v>5</v>
      </c>
      <c r="L318" s="259">
        <f t="shared" si="55"/>
        <v>15000</v>
      </c>
      <c r="M318" s="257">
        <f>VLOOKUP(H318,名称!A:E,3,0)</f>
        <v>12</v>
      </c>
      <c r="N318" s="259">
        <f t="shared" si="54"/>
        <v>250</v>
      </c>
      <c r="O318" s="256">
        <v>46178</v>
      </c>
      <c r="P318" s="256">
        <v>46177</v>
      </c>
      <c r="Q318" s="256">
        <v>46177</v>
      </c>
      <c r="R318" s="257" t="s">
        <v>1241</v>
      </c>
      <c r="S318" s="256">
        <v>46183</v>
      </c>
      <c r="T318" s="257" t="s">
        <v>1241</v>
      </c>
      <c r="U318" s="257"/>
      <c r="V318" s="257" t="s">
        <v>1764</v>
      </c>
      <c r="W318" s="256"/>
      <c r="X318" s="257" t="s">
        <v>1133</v>
      </c>
      <c r="Y318" s="257" t="s">
        <v>1133</v>
      </c>
      <c r="Z318" s="263">
        <v>46139</v>
      </c>
      <c r="AA318" s="264">
        <v>46140</v>
      </c>
      <c r="AB318" s="263">
        <v>46149</v>
      </c>
      <c r="AC318" s="257" t="s">
        <v>1133</v>
      </c>
      <c r="AD318" s="257" t="s">
        <v>1133</v>
      </c>
      <c r="AE318" s="257" t="s">
        <v>270</v>
      </c>
      <c r="AF318" s="257" t="s">
        <v>1228</v>
      </c>
      <c r="AG318" s="257" t="s">
        <v>270</v>
      </c>
      <c r="AH318" s="257" t="s">
        <v>1133</v>
      </c>
      <c r="AI318" s="257" t="s">
        <v>1228</v>
      </c>
      <c r="AJ318" s="257" t="s">
        <v>1133</v>
      </c>
      <c r="AK318" s="257" t="s">
        <v>1659</v>
      </c>
      <c r="AL318" s="257"/>
      <c r="AM318" s="257" t="s">
        <v>1303</v>
      </c>
      <c r="AN318" s="259"/>
      <c r="AO318" s="215">
        <v>0.61</v>
      </c>
      <c r="AP318" s="265">
        <f t="shared" si="49"/>
        <v>1830</v>
      </c>
      <c r="AQ318" s="265">
        <f t="shared" si="50"/>
        <v>14182.5</v>
      </c>
      <c r="AR318" s="217">
        <v>61191</v>
      </c>
      <c r="AS318" s="254">
        <v>46188</v>
      </c>
      <c r="AT318" s="256" t="s">
        <v>1220</v>
      </c>
      <c r="AU318" s="252">
        <f>2988+12</f>
        <v>3000</v>
      </c>
      <c r="AV318" s="252">
        <f t="shared" si="56"/>
        <v>0</v>
      </c>
      <c r="AW318" s="252"/>
      <c r="AX318" s="256" t="s">
        <v>1280</v>
      </c>
      <c r="AY318" s="256"/>
      <c r="AZ318" s="256"/>
      <c r="BA318" s="256"/>
      <c r="BB318" s="208" t="str">
        <f t="shared" si="47"/>
        <v>JAZWARES - CLAIRE'S DOM</v>
      </c>
      <c r="BC318" s="208" t="str">
        <f t="shared" si="48"/>
        <v>美国</v>
      </c>
    </row>
    <row r="319" s="196" customFormat="1" customHeight="1" spans="1:55">
      <c r="A319" s="256">
        <v>46127</v>
      </c>
      <c r="B319" s="256" t="str">
        <f ca="1" t="shared" si="52"/>
        <v/>
      </c>
      <c r="C319" s="257" t="str">
        <f>VLOOKUP(H319,名称!A:E,4,0)</f>
        <v>三代</v>
      </c>
      <c r="D319" s="257" t="s">
        <v>1763</v>
      </c>
      <c r="E319" s="257" t="s">
        <v>1224</v>
      </c>
      <c r="F319" s="257" t="s">
        <v>723</v>
      </c>
      <c r="G319" s="257" t="s">
        <v>724</v>
      </c>
      <c r="H319" s="257" t="s">
        <v>96</v>
      </c>
      <c r="I319" s="257"/>
      <c r="J319" s="259">
        <v>3000</v>
      </c>
      <c r="K319" s="260">
        <f>VLOOKUP(H319,名称!A:C,2,0)</f>
        <v>5</v>
      </c>
      <c r="L319" s="259">
        <f t="shared" si="55"/>
        <v>15000</v>
      </c>
      <c r="M319" s="257">
        <f>VLOOKUP(H319,名称!A:E,3,0)</f>
        <v>12</v>
      </c>
      <c r="N319" s="259">
        <f t="shared" si="54"/>
        <v>250</v>
      </c>
      <c r="O319" s="256">
        <v>46178</v>
      </c>
      <c r="P319" s="256">
        <f>O319</f>
        <v>46178</v>
      </c>
      <c r="Q319" s="256">
        <v>46188</v>
      </c>
      <c r="R319" s="267" t="s">
        <v>1241</v>
      </c>
      <c r="S319" s="256">
        <v>46188</v>
      </c>
      <c r="T319" s="267" t="s">
        <v>1241</v>
      </c>
      <c r="U319" s="257"/>
      <c r="V319" s="257" t="s">
        <v>1764</v>
      </c>
      <c r="W319" s="256"/>
      <c r="X319" s="257" t="s">
        <v>1133</v>
      </c>
      <c r="Y319" s="257" t="s">
        <v>1133</v>
      </c>
      <c r="Z319" s="263">
        <v>46139</v>
      </c>
      <c r="AA319" s="264">
        <v>46140</v>
      </c>
      <c r="AB319" s="263">
        <v>46149</v>
      </c>
      <c r="AC319" s="257" t="s">
        <v>1133</v>
      </c>
      <c r="AD319" s="257" t="s">
        <v>1133</v>
      </c>
      <c r="AE319" s="257" t="s">
        <v>270</v>
      </c>
      <c r="AF319" s="257" t="s">
        <v>1228</v>
      </c>
      <c r="AG319" s="257" t="s">
        <v>270</v>
      </c>
      <c r="AH319" s="257" t="s">
        <v>1133</v>
      </c>
      <c r="AI319" s="257" t="s">
        <v>1228</v>
      </c>
      <c r="AJ319" s="257" t="s">
        <v>1133</v>
      </c>
      <c r="AK319" s="257" t="s">
        <v>1659</v>
      </c>
      <c r="AL319" s="257"/>
      <c r="AM319" s="257" t="s">
        <v>1303</v>
      </c>
      <c r="AN319" s="259"/>
      <c r="AO319" s="215">
        <v>0.61</v>
      </c>
      <c r="AP319" s="265">
        <f t="shared" si="49"/>
        <v>1830</v>
      </c>
      <c r="AQ319" s="265">
        <f t="shared" si="50"/>
        <v>14182.5</v>
      </c>
      <c r="AR319" s="217">
        <v>61192</v>
      </c>
      <c r="AS319" s="254">
        <v>46188</v>
      </c>
      <c r="AT319" s="256" t="s">
        <v>1220</v>
      </c>
      <c r="AU319" s="252">
        <f>552+2448</f>
        <v>3000</v>
      </c>
      <c r="AV319" s="252">
        <f t="shared" si="56"/>
        <v>0</v>
      </c>
      <c r="AW319" s="252"/>
      <c r="AX319" s="256" t="s">
        <v>1280</v>
      </c>
      <c r="AY319" s="256"/>
      <c r="AZ319" s="256"/>
      <c r="BA319" s="256"/>
      <c r="BB319" s="208" t="str">
        <f t="shared" si="47"/>
        <v>JAZWARES - CLAIRE'S DOM</v>
      </c>
      <c r="BC319" s="208" t="str">
        <f t="shared" si="48"/>
        <v>美国</v>
      </c>
    </row>
    <row r="320" s="194" customFormat="1" customHeight="1" spans="1:55">
      <c r="A320" s="256">
        <v>46127</v>
      </c>
      <c r="B320" s="256" t="str">
        <f ca="1" t="shared" si="52"/>
        <v/>
      </c>
      <c r="C320" s="257" t="str">
        <f>VLOOKUP(H320,名称!A:E,4,0)</f>
        <v>三代</v>
      </c>
      <c r="D320" s="257" t="s">
        <v>1765</v>
      </c>
      <c r="E320" s="257" t="s">
        <v>1224</v>
      </c>
      <c r="F320" s="257" t="s">
        <v>731</v>
      </c>
      <c r="G320" s="257" t="s">
        <v>732</v>
      </c>
      <c r="H320" s="257" t="s">
        <v>60</v>
      </c>
      <c r="I320" s="257"/>
      <c r="J320" s="259">
        <v>69492</v>
      </c>
      <c r="K320" s="260">
        <f>VLOOKUP(H320,名称!A:C,2,0)</f>
        <v>5</v>
      </c>
      <c r="L320" s="259">
        <f t="shared" si="55"/>
        <v>347460</v>
      </c>
      <c r="M320" s="257">
        <f>VLOOKUP(H320,名称!A:E,3,0)</f>
        <v>12</v>
      </c>
      <c r="N320" s="259">
        <f t="shared" si="54"/>
        <v>5791</v>
      </c>
      <c r="O320" s="256">
        <v>46178</v>
      </c>
      <c r="P320" s="256">
        <f>O320</f>
        <v>46178</v>
      </c>
      <c r="Q320" s="256">
        <v>46188</v>
      </c>
      <c r="R320" s="267" t="s">
        <v>1241</v>
      </c>
      <c r="S320" s="256">
        <v>46188</v>
      </c>
      <c r="T320" s="267" t="s">
        <v>1241</v>
      </c>
      <c r="U320" s="257"/>
      <c r="V320" s="257"/>
      <c r="W320" s="256"/>
      <c r="X320" s="257" t="s">
        <v>1133</v>
      </c>
      <c r="Y320" s="257" t="s">
        <v>1133</v>
      </c>
      <c r="Z320" s="263">
        <v>46135</v>
      </c>
      <c r="AA320" s="264">
        <v>46140</v>
      </c>
      <c r="AB320" s="263">
        <v>46149</v>
      </c>
      <c r="AC320" s="257" t="s">
        <v>1133</v>
      </c>
      <c r="AD320" s="257" t="s">
        <v>1133</v>
      </c>
      <c r="AE320" s="257" t="s">
        <v>270</v>
      </c>
      <c r="AF320" s="257" t="s">
        <v>1228</v>
      </c>
      <c r="AG320" s="257" t="s">
        <v>270</v>
      </c>
      <c r="AH320" s="257" t="s">
        <v>1133</v>
      </c>
      <c r="AI320" s="257" t="s">
        <v>1228</v>
      </c>
      <c r="AJ320" s="257" t="s">
        <v>1133</v>
      </c>
      <c r="AK320" s="257" t="s">
        <v>1659</v>
      </c>
      <c r="AL320" s="257"/>
      <c r="AM320" s="257" t="s">
        <v>1303</v>
      </c>
      <c r="AN320" s="259"/>
      <c r="AO320" s="215">
        <v>0.6</v>
      </c>
      <c r="AP320" s="265">
        <f t="shared" si="49"/>
        <v>41695.2</v>
      </c>
      <c r="AQ320" s="265">
        <f t="shared" si="50"/>
        <v>323137.8</v>
      </c>
      <c r="AR320" s="217">
        <v>61193</v>
      </c>
      <c r="AS320" s="254">
        <v>46188</v>
      </c>
      <c r="AT320" s="256" t="s">
        <v>1220</v>
      </c>
      <c r="AU320" s="252">
        <f>15300+19548+9480+16776+8376</f>
        <v>69480</v>
      </c>
      <c r="AV320" s="252">
        <f t="shared" si="56"/>
        <v>-12</v>
      </c>
      <c r="AW320" s="252"/>
      <c r="AX320" s="256" t="s">
        <v>1280</v>
      </c>
      <c r="AY320" s="256"/>
      <c r="AZ320" s="256"/>
      <c r="BA320" s="256"/>
      <c r="BB320" s="208" t="str">
        <f t="shared" si="47"/>
        <v>Jazwares- WALGREEN'S DOM</v>
      </c>
      <c r="BC320" s="208" t="str">
        <f t="shared" si="48"/>
        <v>美国</v>
      </c>
    </row>
    <row r="321" s="196" customFormat="1" customHeight="1" spans="1:55">
      <c r="A321" s="256">
        <v>46106</v>
      </c>
      <c r="B321" s="256" t="str">
        <f ca="1" t="shared" si="52"/>
        <v/>
      </c>
      <c r="C321" s="257" t="str">
        <f>VLOOKUP(H321,名称!A:E,4,0)</f>
        <v>三代</v>
      </c>
      <c r="D321" s="258" t="s">
        <v>1420</v>
      </c>
      <c r="E321" s="258" t="s">
        <v>1421</v>
      </c>
      <c r="F321" s="257"/>
      <c r="G321" s="257" t="s">
        <v>579</v>
      </c>
      <c r="H321" s="257" t="s">
        <v>99</v>
      </c>
      <c r="I321" s="257"/>
      <c r="J321" s="259">
        <v>15192</v>
      </c>
      <c r="K321" s="260">
        <f>VLOOKUP(H321,名称!A:C,2,0)</f>
        <v>7</v>
      </c>
      <c r="L321" s="259">
        <f t="shared" si="55"/>
        <v>106344</v>
      </c>
      <c r="M321" s="257">
        <f>VLOOKUP(H321,名称!A:E,3,0)</f>
        <v>24</v>
      </c>
      <c r="N321" s="259">
        <f t="shared" si="54"/>
        <v>633</v>
      </c>
      <c r="O321" s="256">
        <v>46167</v>
      </c>
      <c r="P321" s="256">
        <v>46167</v>
      </c>
      <c r="Q321" s="256">
        <v>46167</v>
      </c>
      <c r="R321" s="257" t="s">
        <v>1241</v>
      </c>
      <c r="S321" s="256" t="s">
        <v>1133</v>
      </c>
      <c r="T321" s="257"/>
      <c r="U321" s="257"/>
      <c r="V321" s="257"/>
      <c r="W321" s="256"/>
      <c r="X321" s="257" t="s">
        <v>1248</v>
      </c>
      <c r="Y321" s="257" t="s">
        <v>1228</v>
      </c>
      <c r="Z321" s="257" t="s">
        <v>1249</v>
      </c>
      <c r="AA321" s="264">
        <v>46113</v>
      </c>
      <c r="AB321" s="263">
        <v>46114</v>
      </c>
      <c r="AC321" s="257" t="s">
        <v>1284</v>
      </c>
      <c r="AD321" s="257" t="s">
        <v>1228</v>
      </c>
      <c r="AE321" s="257" t="s">
        <v>510</v>
      </c>
      <c r="AF321" s="257" t="s">
        <v>1228</v>
      </c>
      <c r="AG321" s="257" t="s">
        <v>510</v>
      </c>
      <c r="AH321" s="257" t="s">
        <v>1307</v>
      </c>
      <c r="AI321" s="257" t="s">
        <v>1228</v>
      </c>
      <c r="AJ321" s="257" t="s">
        <v>1133</v>
      </c>
      <c r="AK321" s="257" t="s">
        <v>1133</v>
      </c>
      <c r="AL321" s="257" t="s">
        <v>1228</v>
      </c>
      <c r="AM321" s="257" t="s">
        <v>1359</v>
      </c>
      <c r="AN321" s="259" t="s">
        <v>1251</v>
      </c>
      <c r="AO321" s="215">
        <v>0.87</v>
      </c>
      <c r="AP321" s="265">
        <f t="shared" si="49"/>
        <v>13217.04</v>
      </c>
      <c r="AQ321" s="265">
        <f t="shared" si="50"/>
        <v>102432.06</v>
      </c>
      <c r="AR321" s="217">
        <v>61194</v>
      </c>
      <c r="AS321" s="254">
        <v>46189</v>
      </c>
      <c r="AT321" s="256" t="s">
        <v>1220</v>
      </c>
      <c r="AU321" s="252">
        <f>15192</f>
        <v>15192</v>
      </c>
      <c r="AV321" s="252">
        <f t="shared" si="56"/>
        <v>0</v>
      </c>
      <c r="AW321" s="252"/>
      <c r="AX321" s="256" t="s">
        <v>1280</v>
      </c>
      <c r="AY321" s="256"/>
      <c r="AZ321" s="256"/>
      <c r="BA321" s="256"/>
      <c r="BB321" s="208" t="str">
        <f t="shared" ref="BB321:BB384" si="57">D321</f>
        <v>Banter Toys</v>
      </c>
      <c r="BC321" s="208" t="str">
        <f t="shared" ref="BC321:BC384" si="58">E321</f>
        <v>澳大利亚</v>
      </c>
    </row>
    <row r="322" s="196" customFormat="1" customHeight="1" spans="1:55">
      <c r="A322" s="256">
        <v>46106</v>
      </c>
      <c r="B322" s="256" t="str">
        <f ca="1" t="shared" si="52"/>
        <v/>
      </c>
      <c r="C322" s="257" t="str">
        <f>VLOOKUP(H322,名称!A:E,4,0)</f>
        <v>三代</v>
      </c>
      <c r="D322" s="258" t="s">
        <v>1420</v>
      </c>
      <c r="E322" s="258" t="s">
        <v>1421</v>
      </c>
      <c r="F322" s="257"/>
      <c r="G322" s="257" t="s">
        <v>579</v>
      </c>
      <c r="H322" s="257" t="s">
        <v>68</v>
      </c>
      <c r="I322" s="257"/>
      <c r="J322" s="259">
        <v>3800</v>
      </c>
      <c r="K322" s="260">
        <f>VLOOKUP(H322,名称!A:C,2,0)</f>
        <v>32</v>
      </c>
      <c r="L322" s="259">
        <f t="shared" si="55"/>
        <v>121600</v>
      </c>
      <c r="M322" s="257">
        <f>VLOOKUP(H322,名称!A:E,3,0)</f>
        <v>4</v>
      </c>
      <c r="N322" s="259">
        <f t="shared" si="54"/>
        <v>950</v>
      </c>
      <c r="O322" s="256">
        <v>46167</v>
      </c>
      <c r="P322" s="256">
        <v>46167</v>
      </c>
      <c r="Q322" s="256">
        <v>46167</v>
      </c>
      <c r="R322" s="257" t="s">
        <v>1241</v>
      </c>
      <c r="S322" s="256" t="s">
        <v>1133</v>
      </c>
      <c r="T322" s="257"/>
      <c r="U322" s="257"/>
      <c r="V322" s="257"/>
      <c r="W322" s="256"/>
      <c r="X322" s="257" t="s">
        <v>1248</v>
      </c>
      <c r="Y322" s="257" t="s">
        <v>1228</v>
      </c>
      <c r="Z322" s="257" t="s">
        <v>1249</v>
      </c>
      <c r="AA322" s="264">
        <v>46113</v>
      </c>
      <c r="AB322" s="263">
        <v>46114</v>
      </c>
      <c r="AC322" s="257" t="s">
        <v>1133</v>
      </c>
      <c r="AD322" s="257" t="s">
        <v>1133</v>
      </c>
      <c r="AE322" s="257" t="s">
        <v>510</v>
      </c>
      <c r="AF322" s="257" t="s">
        <v>1228</v>
      </c>
      <c r="AG322" s="257" t="s">
        <v>510</v>
      </c>
      <c r="AH322" s="257" t="s">
        <v>1307</v>
      </c>
      <c r="AI322" s="257" t="s">
        <v>1228</v>
      </c>
      <c r="AJ322" s="257" t="s">
        <v>1133</v>
      </c>
      <c r="AK322" s="257" t="s">
        <v>1133</v>
      </c>
      <c r="AL322" s="257"/>
      <c r="AM322" s="257" t="s">
        <v>1359</v>
      </c>
      <c r="AN322" s="259" t="s">
        <v>1251</v>
      </c>
      <c r="AO322" s="215">
        <v>3.09</v>
      </c>
      <c r="AP322" s="265">
        <f t="shared" si="49"/>
        <v>11742</v>
      </c>
      <c r="AQ322" s="265">
        <f t="shared" si="50"/>
        <v>91000.5</v>
      </c>
      <c r="AR322" s="224" t="s">
        <v>1766</v>
      </c>
      <c r="AS322" s="254">
        <v>46189</v>
      </c>
      <c r="AT322" s="256" t="s">
        <v>1220</v>
      </c>
      <c r="AU322" s="252">
        <v>3800</v>
      </c>
      <c r="AV322" s="252">
        <f t="shared" si="56"/>
        <v>0</v>
      </c>
      <c r="AW322" s="252"/>
      <c r="AX322" s="256" t="s">
        <v>1280</v>
      </c>
      <c r="AY322" s="256"/>
      <c r="AZ322" s="256"/>
      <c r="BA322" s="256"/>
      <c r="BB322" s="208" t="str">
        <f t="shared" si="57"/>
        <v>Banter Toys</v>
      </c>
      <c r="BC322" s="208" t="str">
        <f t="shared" si="58"/>
        <v>澳大利亚</v>
      </c>
    </row>
    <row r="323" s="196" customFormat="1" customHeight="1" spans="1:55">
      <c r="A323" s="256">
        <v>46106</v>
      </c>
      <c r="B323" s="256" t="str">
        <f ca="1" t="shared" si="52"/>
        <v/>
      </c>
      <c r="C323" s="257" t="str">
        <f>VLOOKUP(H323,名称!A:E,4,0)</f>
        <v>三代</v>
      </c>
      <c r="D323" s="258" t="s">
        <v>1420</v>
      </c>
      <c r="E323" s="258" t="s">
        <v>1421</v>
      </c>
      <c r="F323" s="257"/>
      <c r="G323" s="257" t="s">
        <v>579</v>
      </c>
      <c r="H323" s="257" t="s">
        <v>109</v>
      </c>
      <c r="I323" s="257"/>
      <c r="J323" s="259">
        <v>6360</v>
      </c>
      <c r="K323" s="260">
        <f>VLOOKUP(H323,名称!A:C,2,0)</f>
        <v>0</v>
      </c>
      <c r="L323" s="259">
        <f t="shared" si="55"/>
        <v>0</v>
      </c>
      <c r="M323" s="257">
        <f>VLOOKUP(H323,名称!A:E,3,0)</f>
        <v>24</v>
      </c>
      <c r="N323" s="259">
        <f t="shared" si="54"/>
        <v>265</v>
      </c>
      <c r="O323" s="256">
        <v>46167</v>
      </c>
      <c r="P323" s="256">
        <v>46171</v>
      </c>
      <c r="Q323" s="256">
        <v>46171</v>
      </c>
      <c r="R323" s="257" t="s">
        <v>1241</v>
      </c>
      <c r="S323" s="256" t="s">
        <v>1133</v>
      </c>
      <c r="T323" s="257"/>
      <c r="U323" s="257"/>
      <c r="V323" s="257"/>
      <c r="W323" s="256"/>
      <c r="X323" s="257" t="s">
        <v>1248</v>
      </c>
      <c r="Y323" s="257" t="s">
        <v>1228</v>
      </c>
      <c r="Z323" s="257" t="s">
        <v>1249</v>
      </c>
      <c r="AA323" s="264">
        <v>46113</v>
      </c>
      <c r="AB323" s="263">
        <v>46114</v>
      </c>
      <c r="AC323" s="257" t="s">
        <v>1133</v>
      </c>
      <c r="AD323" s="257" t="s">
        <v>1133</v>
      </c>
      <c r="AE323" s="257" t="s">
        <v>510</v>
      </c>
      <c r="AF323" s="257" t="s">
        <v>1228</v>
      </c>
      <c r="AG323" s="257" t="s">
        <v>510</v>
      </c>
      <c r="AH323" s="257" t="s">
        <v>1133</v>
      </c>
      <c r="AI323" s="257" t="s">
        <v>1228</v>
      </c>
      <c r="AJ323" s="257" t="s">
        <v>1133</v>
      </c>
      <c r="AK323" s="257" t="s">
        <v>510</v>
      </c>
      <c r="AL323" s="257"/>
      <c r="AM323" s="257" t="s">
        <v>1712</v>
      </c>
      <c r="AN323" s="259" t="s">
        <v>1251</v>
      </c>
      <c r="AO323" s="215">
        <v>0.59</v>
      </c>
      <c r="AP323" s="265">
        <f t="shared" ref="AP323:AP379" si="59">J323*AO323</f>
        <v>3752.4</v>
      </c>
      <c r="AQ323" s="265">
        <f t="shared" ref="AQ323:AQ379" si="60">AP323*7.75</f>
        <v>29081.1</v>
      </c>
      <c r="AR323" s="217">
        <v>61194</v>
      </c>
      <c r="AS323" s="254">
        <v>46189</v>
      </c>
      <c r="AT323" s="256" t="s">
        <v>1220</v>
      </c>
      <c r="AU323" s="252"/>
      <c r="AV323" s="252">
        <f t="shared" si="56"/>
        <v>-6360</v>
      </c>
      <c r="AW323" s="252"/>
      <c r="AX323" s="256"/>
      <c r="AY323" s="256"/>
      <c r="AZ323" s="256"/>
      <c r="BA323" s="256"/>
      <c r="BB323" s="208" t="str">
        <f t="shared" si="57"/>
        <v>Banter Toys</v>
      </c>
      <c r="BC323" s="208" t="str">
        <f t="shared" si="58"/>
        <v>澳大利亚</v>
      </c>
    </row>
    <row r="324" s="196" customFormat="1" customHeight="1" spans="1:55">
      <c r="A324" s="256">
        <v>46106</v>
      </c>
      <c r="B324" s="256" t="str">
        <f ca="1" t="shared" si="52"/>
        <v/>
      </c>
      <c r="C324" s="257" t="str">
        <f>VLOOKUP(H324,名称!A:E,4,0)</f>
        <v>三代</v>
      </c>
      <c r="D324" s="258" t="s">
        <v>1420</v>
      </c>
      <c r="E324" s="258" t="s">
        <v>1421</v>
      </c>
      <c r="F324" s="257"/>
      <c r="G324" s="257" t="s">
        <v>579</v>
      </c>
      <c r="H324" s="257" t="s">
        <v>85</v>
      </c>
      <c r="I324" s="257"/>
      <c r="J324" s="259">
        <v>15912</v>
      </c>
      <c r="K324" s="260">
        <f>VLOOKUP(H324,名称!A:C,2,0)</f>
        <v>5</v>
      </c>
      <c r="L324" s="259">
        <f t="shared" si="55"/>
        <v>79560</v>
      </c>
      <c r="M324" s="257">
        <f>VLOOKUP(H324,名称!A:E,3,0)</f>
        <v>24</v>
      </c>
      <c r="N324" s="259">
        <f t="shared" si="54"/>
        <v>663</v>
      </c>
      <c r="O324" s="256">
        <v>46167</v>
      </c>
      <c r="P324" s="256">
        <v>46181</v>
      </c>
      <c r="Q324" s="256">
        <v>46182</v>
      </c>
      <c r="R324" s="257" t="s">
        <v>1241</v>
      </c>
      <c r="S324" s="256" t="s">
        <v>1133</v>
      </c>
      <c r="T324" s="257"/>
      <c r="U324" s="257"/>
      <c r="V324" s="257"/>
      <c r="W324" s="256"/>
      <c r="X324" s="257" t="s">
        <v>1248</v>
      </c>
      <c r="Y324" s="257" t="s">
        <v>1228</v>
      </c>
      <c r="Z324" s="257" t="s">
        <v>1249</v>
      </c>
      <c r="AA324" s="264">
        <v>46113</v>
      </c>
      <c r="AB324" s="263">
        <v>46114</v>
      </c>
      <c r="AC324" s="257" t="s">
        <v>1133</v>
      </c>
      <c r="AD324" s="257" t="s">
        <v>1133</v>
      </c>
      <c r="AE324" s="257" t="s">
        <v>510</v>
      </c>
      <c r="AF324" s="257" t="s">
        <v>1228</v>
      </c>
      <c r="AG324" s="257" t="s">
        <v>510</v>
      </c>
      <c r="AH324" s="257" t="s">
        <v>1133</v>
      </c>
      <c r="AI324" s="257" t="s">
        <v>1228</v>
      </c>
      <c r="AJ324" s="257" t="s">
        <v>1133</v>
      </c>
      <c r="AK324" s="257" t="s">
        <v>510</v>
      </c>
      <c r="AL324" s="257"/>
      <c r="AM324" s="257" t="s">
        <v>1296</v>
      </c>
      <c r="AN324" s="259" t="s">
        <v>1251</v>
      </c>
      <c r="AO324" s="215">
        <v>0.88</v>
      </c>
      <c r="AP324" s="265">
        <f t="shared" si="59"/>
        <v>14002.56</v>
      </c>
      <c r="AQ324" s="265">
        <f t="shared" si="60"/>
        <v>108519.84</v>
      </c>
      <c r="AR324" s="217">
        <v>61194</v>
      </c>
      <c r="AS324" s="254">
        <v>46189</v>
      </c>
      <c r="AT324" s="256" t="s">
        <v>1220</v>
      </c>
      <c r="AU324" s="252">
        <f>12192+3360+360</f>
        <v>15912</v>
      </c>
      <c r="AV324" s="252">
        <f t="shared" si="56"/>
        <v>0</v>
      </c>
      <c r="AW324" s="252"/>
      <c r="AX324" s="256" t="s">
        <v>1280</v>
      </c>
      <c r="AY324" s="256"/>
      <c r="AZ324" s="256"/>
      <c r="BA324" s="256"/>
      <c r="BB324" s="208" t="str">
        <f t="shared" si="57"/>
        <v>Banter Toys</v>
      </c>
      <c r="BC324" s="208" t="str">
        <f t="shared" si="58"/>
        <v>澳大利亚</v>
      </c>
    </row>
    <row r="325" s="196" customFormat="1" customHeight="1" spans="1:55">
      <c r="A325" s="256">
        <v>46106</v>
      </c>
      <c r="B325" s="256" t="str">
        <f ca="1" t="shared" si="52"/>
        <v/>
      </c>
      <c r="C325" s="257" t="str">
        <f>VLOOKUP(H325,名称!A:E,4,0)</f>
        <v>三代</v>
      </c>
      <c r="D325" s="258" t="s">
        <v>1420</v>
      </c>
      <c r="E325" s="258" t="s">
        <v>1421</v>
      </c>
      <c r="F325" s="257"/>
      <c r="G325" s="257" t="s">
        <v>579</v>
      </c>
      <c r="H325" s="257" t="s">
        <v>119</v>
      </c>
      <c r="I325" s="257"/>
      <c r="J325" s="259">
        <v>18504</v>
      </c>
      <c r="K325" s="260">
        <f>VLOOKUP(H325,名称!A:C,2,0)</f>
        <v>5</v>
      </c>
      <c r="L325" s="259">
        <f t="shared" si="55"/>
        <v>92520</v>
      </c>
      <c r="M325" s="257">
        <f>VLOOKUP(H325,名称!A:E,3,0)</f>
        <v>24</v>
      </c>
      <c r="N325" s="259">
        <f t="shared" si="54"/>
        <v>771</v>
      </c>
      <c r="O325" s="256">
        <v>46167</v>
      </c>
      <c r="P325" s="256">
        <v>46181</v>
      </c>
      <c r="Q325" s="256">
        <v>46182</v>
      </c>
      <c r="R325" s="257" t="s">
        <v>1241</v>
      </c>
      <c r="S325" s="256" t="s">
        <v>1133</v>
      </c>
      <c r="T325" s="257"/>
      <c r="U325" s="257"/>
      <c r="V325" s="257"/>
      <c r="W325" s="256"/>
      <c r="X325" s="257" t="s">
        <v>1248</v>
      </c>
      <c r="Y325" s="257" t="s">
        <v>1228</v>
      </c>
      <c r="Z325" s="257" t="s">
        <v>1249</v>
      </c>
      <c r="AA325" s="264">
        <v>46113</v>
      </c>
      <c r="AB325" s="263">
        <v>46114</v>
      </c>
      <c r="AC325" s="257" t="s">
        <v>1133</v>
      </c>
      <c r="AD325" s="257" t="s">
        <v>1133</v>
      </c>
      <c r="AE325" s="257" t="s">
        <v>510</v>
      </c>
      <c r="AF325" s="257" t="s">
        <v>1228</v>
      </c>
      <c r="AG325" s="257" t="s">
        <v>510</v>
      </c>
      <c r="AH325" s="257" t="s">
        <v>1133</v>
      </c>
      <c r="AI325" s="257" t="s">
        <v>1228</v>
      </c>
      <c r="AJ325" s="257" t="s">
        <v>1133</v>
      </c>
      <c r="AK325" s="257" t="s">
        <v>510</v>
      </c>
      <c r="AL325" s="257"/>
      <c r="AM325" s="257" t="s">
        <v>1359</v>
      </c>
      <c r="AN325" s="259" t="s">
        <v>1251</v>
      </c>
      <c r="AO325" s="215">
        <v>0.61</v>
      </c>
      <c r="AP325" s="265">
        <f t="shared" si="59"/>
        <v>11287.44</v>
      </c>
      <c r="AQ325" s="265">
        <f t="shared" si="60"/>
        <v>87477.66</v>
      </c>
      <c r="AR325" s="217">
        <v>61194</v>
      </c>
      <c r="AS325" s="254">
        <v>46189</v>
      </c>
      <c r="AT325" s="256" t="s">
        <v>1220</v>
      </c>
      <c r="AU325" s="252">
        <f>20160+2112</f>
        <v>22272</v>
      </c>
      <c r="AV325" s="252">
        <f t="shared" si="56"/>
        <v>3768</v>
      </c>
      <c r="AW325" s="252"/>
      <c r="AX325" s="256" t="s">
        <v>1280</v>
      </c>
      <c r="AY325" s="256"/>
      <c r="AZ325" s="256"/>
      <c r="BA325" s="256"/>
      <c r="BB325" s="208" t="str">
        <f t="shared" si="57"/>
        <v>Banter Toys</v>
      </c>
      <c r="BC325" s="208" t="str">
        <f t="shared" si="58"/>
        <v>澳大利亚</v>
      </c>
    </row>
    <row r="326" s="196" customFormat="1" customHeight="1" spans="1:55">
      <c r="A326" s="256">
        <v>46094</v>
      </c>
      <c r="B326" s="256" t="str">
        <f ca="1" t="shared" si="52"/>
        <v/>
      </c>
      <c r="C326" s="257" t="str">
        <f>VLOOKUP(H326,名称!A:E,4,0)</f>
        <v>三代</v>
      </c>
      <c r="D326" s="258" t="s">
        <v>1716</v>
      </c>
      <c r="E326" s="258" t="s">
        <v>1717</v>
      </c>
      <c r="F326" s="257"/>
      <c r="G326" s="257" t="s">
        <v>569</v>
      </c>
      <c r="H326" s="257" t="s">
        <v>109</v>
      </c>
      <c r="I326" s="257"/>
      <c r="J326" s="259">
        <v>2400</v>
      </c>
      <c r="K326" s="260">
        <f>VLOOKUP(H326,名称!A:C,2,0)</f>
        <v>0</v>
      </c>
      <c r="L326" s="259">
        <f t="shared" si="55"/>
        <v>0</v>
      </c>
      <c r="M326" s="257">
        <f>VLOOKUP(H326,名称!A:E,3,0)</f>
        <v>24</v>
      </c>
      <c r="N326" s="259">
        <f t="shared" si="54"/>
        <v>100</v>
      </c>
      <c r="O326" s="256">
        <v>46157</v>
      </c>
      <c r="P326" s="256">
        <v>46171</v>
      </c>
      <c r="Q326" s="256">
        <v>46183</v>
      </c>
      <c r="R326" s="257" t="s">
        <v>1241</v>
      </c>
      <c r="S326" s="256" t="s">
        <v>1133</v>
      </c>
      <c r="T326" s="257"/>
      <c r="U326" s="257"/>
      <c r="V326" s="257"/>
      <c r="W326" s="256"/>
      <c r="X326" s="257" t="s">
        <v>1248</v>
      </c>
      <c r="Y326" s="257" t="s">
        <v>1228</v>
      </c>
      <c r="Z326" s="257" t="s">
        <v>1249</v>
      </c>
      <c r="AA326" s="264">
        <v>46111</v>
      </c>
      <c r="AB326" s="263">
        <v>46120</v>
      </c>
      <c r="AC326" s="257" t="s">
        <v>1133</v>
      </c>
      <c r="AD326" s="257" t="s">
        <v>1133</v>
      </c>
      <c r="AE326" s="257" t="s">
        <v>510</v>
      </c>
      <c r="AF326" s="257" t="s">
        <v>1228</v>
      </c>
      <c r="AG326" s="257" t="s">
        <v>510</v>
      </c>
      <c r="AH326" s="257" t="s">
        <v>1133</v>
      </c>
      <c r="AI326" s="257" t="s">
        <v>1228</v>
      </c>
      <c r="AJ326" s="257" t="s">
        <v>1133</v>
      </c>
      <c r="AK326" s="257" t="s">
        <v>510</v>
      </c>
      <c r="AL326" s="257"/>
      <c r="AM326" s="257" t="s">
        <v>1712</v>
      </c>
      <c r="AN326" s="259" t="s">
        <v>1251</v>
      </c>
      <c r="AO326" s="215">
        <v>0.61</v>
      </c>
      <c r="AP326" s="265">
        <f t="shared" si="59"/>
        <v>1464</v>
      </c>
      <c r="AQ326" s="265">
        <f t="shared" si="60"/>
        <v>11346</v>
      </c>
      <c r="AR326" s="217">
        <v>61195</v>
      </c>
      <c r="AS326" s="254">
        <v>46189</v>
      </c>
      <c r="AT326" s="256" t="s">
        <v>1220</v>
      </c>
      <c r="AU326" s="266"/>
      <c r="AV326" s="252">
        <f t="shared" si="56"/>
        <v>-2400</v>
      </c>
      <c r="AW326" s="252"/>
      <c r="AX326" s="256"/>
      <c r="AY326" s="256"/>
      <c r="AZ326" s="256"/>
      <c r="BA326" s="256"/>
      <c r="BB326" s="208" t="str">
        <f t="shared" si="57"/>
        <v>Basel</v>
      </c>
      <c r="BC326" s="208" t="str">
        <f t="shared" si="58"/>
        <v>土耳其</v>
      </c>
    </row>
    <row r="327" s="196" customFormat="1" customHeight="1" spans="1:55">
      <c r="A327" s="256">
        <v>46094</v>
      </c>
      <c r="B327" s="256" t="str">
        <f ca="1" t="shared" si="52"/>
        <v/>
      </c>
      <c r="C327" s="257" t="str">
        <f>VLOOKUP(H327,名称!A:E,4,0)</f>
        <v>三代</v>
      </c>
      <c r="D327" s="258" t="s">
        <v>1716</v>
      </c>
      <c r="E327" s="258" t="s">
        <v>1717</v>
      </c>
      <c r="F327" s="257"/>
      <c r="G327" s="257" t="s">
        <v>569</v>
      </c>
      <c r="H327" s="257" t="s">
        <v>59</v>
      </c>
      <c r="I327" s="257"/>
      <c r="J327" s="259">
        <v>2400</v>
      </c>
      <c r="K327" s="260">
        <f>VLOOKUP(H327,名称!A:C,2,0)</f>
        <v>5</v>
      </c>
      <c r="L327" s="259">
        <f t="shared" si="55"/>
        <v>12000</v>
      </c>
      <c r="M327" s="257">
        <f>VLOOKUP(H327,名称!A:E,3,0)</f>
        <v>24</v>
      </c>
      <c r="N327" s="259">
        <f t="shared" si="54"/>
        <v>100</v>
      </c>
      <c r="O327" s="256">
        <v>46157</v>
      </c>
      <c r="P327" s="256">
        <v>46163</v>
      </c>
      <c r="Q327" s="256">
        <v>46183</v>
      </c>
      <c r="R327" s="257" t="s">
        <v>1241</v>
      </c>
      <c r="S327" s="256" t="s">
        <v>1133</v>
      </c>
      <c r="T327" s="257"/>
      <c r="U327" s="263">
        <v>46162</v>
      </c>
      <c r="V327" s="257"/>
      <c r="W327" s="256"/>
      <c r="X327" s="257" t="s">
        <v>1248</v>
      </c>
      <c r="Y327" s="263">
        <v>46150</v>
      </c>
      <c r="Z327" s="257" t="s">
        <v>1249</v>
      </c>
      <c r="AA327" s="264">
        <v>46111</v>
      </c>
      <c r="AB327" s="263">
        <v>46120</v>
      </c>
      <c r="AC327" s="257" t="s">
        <v>1133</v>
      </c>
      <c r="AD327" s="257" t="s">
        <v>1133</v>
      </c>
      <c r="AE327" s="257" t="s">
        <v>510</v>
      </c>
      <c r="AF327" s="257" t="s">
        <v>1228</v>
      </c>
      <c r="AG327" s="257" t="s">
        <v>510</v>
      </c>
      <c r="AH327" s="257" t="s">
        <v>1133</v>
      </c>
      <c r="AI327" s="257" t="s">
        <v>1228</v>
      </c>
      <c r="AJ327" s="257" t="s">
        <v>1133</v>
      </c>
      <c r="AK327" s="257" t="s">
        <v>510</v>
      </c>
      <c r="AL327" s="257"/>
      <c r="AM327" s="257" t="s">
        <v>1279</v>
      </c>
      <c r="AN327" s="259" t="s">
        <v>1251</v>
      </c>
      <c r="AO327" s="215">
        <v>0.64</v>
      </c>
      <c r="AP327" s="265">
        <f t="shared" si="59"/>
        <v>1536</v>
      </c>
      <c r="AQ327" s="265">
        <f t="shared" si="60"/>
        <v>11904</v>
      </c>
      <c r="AR327" s="217">
        <v>61195</v>
      </c>
      <c r="AS327" s="254">
        <v>46189</v>
      </c>
      <c r="AT327" s="256" t="s">
        <v>1220</v>
      </c>
      <c r="AU327" s="266">
        <f>2232+168</f>
        <v>2400</v>
      </c>
      <c r="AV327" s="252">
        <f t="shared" si="56"/>
        <v>0</v>
      </c>
      <c r="AW327" s="252"/>
      <c r="AX327" s="256" t="s">
        <v>1280</v>
      </c>
      <c r="AY327" s="256"/>
      <c r="AZ327" s="256"/>
      <c r="BA327" s="256"/>
      <c r="BB327" s="208" t="str">
        <f t="shared" si="57"/>
        <v>Basel</v>
      </c>
      <c r="BC327" s="208" t="str">
        <f t="shared" si="58"/>
        <v>土耳其</v>
      </c>
    </row>
    <row r="328" s="196" customFormat="1" customHeight="1" spans="1:55">
      <c r="A328" s="256">
        <v>46094</v>
      </c>
      <c r="B328" s="256" t="str">
        <f ca="1" t="shared" si="52"/>
        <v/>
      </c>
      <c r="C328" s="257" t="str">
        <f>VLOOKUP(H328,名称!A:E,4,0)</f>
        <v>三代</v>
      </c>
      <c r="D328" s="258" t="s">
        <v>1716</v>
      </c>
      <c r="E328" s="258" t="s">
        <v>1717</v>
      </c>
      <c r="F328" s="257"/>
      <c r="G328" s="257" t="s">
        <v>569</v>
      </c>
      <c r="H328" s="257" t="s">
        <v>66</v>
      </c>
      <c r="I328" s="257"/>
      <c r="J328" s="259">
        <v>1200</v>
      </c>
      <c r="K328" s="260">
        <f>VLOOKUP(H328,名称!A:C,2,0)</f>
        <v>12</v>
      </c>
      <c r="L328" s="259">
        <f t="shared" si="55"/>
        <v>14400</v>
      </c>
      <c r="M328" s="257">
        <f>VLOOKUP(H328,名称!A:E,3,0)</f>
        <v>6</v>
      </c>
      <c r="N328" s="259">
        <f t="shared" si="54"/>
        <v>200</v>
      </c>
      <c r="O328" s="256">
        <v>46157</v>
      </c>
      <c r="P328" s="256">
        <v>46163</v>
      </c>
      <c r="Q328" s="256">
        <v>46183</v>
      </c>
      <c r="R328" s="257" t="s">
        <v>1241</v>
      </c>
      <c r="S328" s="256" t="s">
        <v>1133</v>
      </c>
      <c r="T328" s="257"/>
      <c r="U328" s="263">
        <v>46162</v>
      </c>
      <c r="V328" s="257"/>
      <c r="W328" s="256"/>
      <c r="X328" s="257" t="s">
        <v>1248</v>
      </c>
      <c r="Y328" s="263">
        <v>46150</v>
      </c>
      <c r="Z328" s="257" t="s">
        <v>1249</v>
      </c>
      <c r="AA328" s="264">
        <v>46111</v>
      </c>
      <c r="AB328" s="263">
        <v>46120</v>
      </c>
      <c r="AC328" s="257" t="s">
        <v>1318</v>
      </c>
      <c r="AD328" s="257" t="s">
        <v>1228</v>
      </c>
      <c r="AE328" s="257" t="s">
        <v>510</v>
      </c>
      <c r="AF328" s="257" t="s">
        <v>1228</v>
      </c>
      <c r="AG328" s="257" t="s">
        <v>510</v>
      </c>
      <c r="AH328" s="257" t="s">
        <v>1307</v>
      </c>
      <c r="AI328" s="257" t="s">
        <v>1228</v>
      </c>
      <c r="AJ328" s="257" t="s">
        <v>510</v>
      </c>
      <c r="AK328" s="257" t="s">
        <v>1133</v>
      </c>
      <c r="AL328" s="257"/>
      <c r="AM328" s="257" t="s">
        <v>1279</v>
      </c>
      <c r="AN328" s="259" t="s">
        <v>1251</v>
      </c>
      <c r="AO328" s="215">
        <v>2.04</v>
      </c>
      <c r="AP328" s="265">
        <f t="shared" si="59"/>
        <v>2448</v>
      </c>
      <c r="AQ328" s="265">
        <f t="shared" si="60"/>
        <v>18972</v>
      </c>
      <c r="AR328" s="217">
        <v>61195</v>
      </c>
      <c r="AS328" s="254">
        <v>46189</v>
      </c>
      <c r="AT328" s="256" t="s">
        <v>1220</v>
      </c>
      <c r="AU328" s="252">
        <f>1194+6</f>
        <v>1200</v>
      </c>
      <c r="AV328" s="252">
        <f t="shared" si="56"/>
        <v>0</v>
      </c>
      <c r="AW328" s="252"/>
      <c r="AX328" s="256" t="s">
        <v>1280</v>
      </c>
      <c r="AY328" s="256"/>
      <c r="AZ328" s="256"/>
      <c r="BA328" s="256"/>
      <c r="BB328" s="208" t="str">
        <f t="shared" si="57"/>
        <v>Basel</v>
      </c>
      <c r="BC328" s="208" t="str">
        <f t="shared" si="58"/>
        <v>土耳其</v>
      </c>
    </row>
    <row r="329" s="196" customFormat="1" customHeight="1" spans="1:55">
      <c r="A329" s="256">
        <v>46094</v>
      </c>
      <c r="B329" s="256" t="str">
        <f ca="1" t="shared" si="52"/>
        <v/>
      </c>
      <c r="C329" s="257" t="str">
        <f>VLOOKUP(H329,名称!A:E,4,0)</f>
        <v>三代</v>
      </c>
      <c r="D329" s="258" t="s">
        <v>1716</v>
      </c>
      <c r="E329" s="258" t="s">
        <v>1717</v>
      </c>
      <c r="F329" s="257"/>
      <c r="G329" s="257" t="s">
        <v>569</v>
      </c>
      <c r="H329" s="257" t="s">
        <v>68</v>
      </c>
      <c r="I329" s="257"/>
      <c r="J329" s="259">
        <v>400</v>
      </c>
      <c r="K329" s="260">
        <f>VLOOKUP(H329,名称!A:C,2,0)</f>
        <v>32</v>
      </c>
      <c r="L329" s="259">
        <f t="shared" si="55"/>
        <v>12800</v>
      </c>
      <c r="M329" s="257">
        <f>VLOOKUP(H329,名称!A:E,3,0)</f>
        <v>4</v>
      </c>
      <c r="N329" s="259">
        <f t="shared" si="54"/>
        <v>100</v>
      </c>
      <c r="O329" s="256">
        <v>46157</v>
      </c>
      <c r="P329" s="256">
        <v>46163</v>
      </c>
      <c r="Q329" s="256">
        <v>46183</v>
      </c>
      <c r="R329" s="257" t="s">
        <v>1241</v>
      </c>
      <c r="S329" s="256" t="s">
        <v>1133</v>
      </c>
      <c r="T329" s="257"/>
      <c r="U329" s="263">
        <v>46162</v>
      </c>
      <c r="V329" s="257"/>
      <c r="W329" s="256"/>
      <c r="X329" s="257" t="s">
        <v>1248</v>
      </c>
      <c r="Y329" s="263">
        <v>46150</v>
      </c>
      <c r="Z329" s="257" t="s">
        <v>1249</v>
      </c>
      <c r="AA329" s="264">
        <v>46111</v>
      </c>
      <c r="AB329" s="263">
        <v>46120</v>
      </c>
      <c r="AC329" s="257" t="s">
        <v>1133</v>
      </c>
      <c r="AD329" s="257" t="s">
        <v>1133</v>
      </c>
      <c r="AE329" s="257" t="s">
        <v>510</v>
      </c>
      <c r="AF329" s="257" t="s">
        <v>1228</v>
      </c>
      <c r="AG329" s="257" t="s">
        <v>510</v>
      </c>
      <c r="AH329" s="257" t="s">
        <v>1307</v>
      </c>
      <c r="AI329" s="257" t="s">
        <v>1228</v>
      </c>
      <c r="AJ329" s="257" t="s">
        <v>1133</v>
      </c>
      <c r="AK329" s="257" t="s">
        <v>1133</v>
      </c>
      <c r="AL329" s="257"/>
      <c r="AM329" s="257" t="s">
        <v>1279</v>
      </c>
      <c r="AN329" s="259" t="s">
        <v>1251</v>
      </c>
      <c r="AO329" s="215">
        <v>3.12</v>
      </c>
      <c r="AP329" s="265">
        <f t="shared" si="59"/>
        <v>1248</v>
      </c>
      <c r="AQ329" s="265">
        <f t="shared" si="60"/>
        <v>9672</v>
      </c>
      <c r="AR329" s="224" t="s">
        <v>1767</v>
      </c>
      <c r="AS329" s="254">
        <v>46189</v>
      </c>
      <c r="AT329" s="256" t="s">
        <v>1220</v>
      </c>
      <c r="AU329" s="266">
        <v>400</v>
      </c>
      <c r="AV329" s="252">
        <f t="shared" si="56"/>
        <v>0</v>
      </c>
      <c r="AW329" s="252"/>
      <c r="AX329" s="256" t="s">
        <v>1280</v>
      </c>
      <c r="AY329" s="256"/>
      <c r="AZ329" s="256"/>
      <c r="BA329" s="256"/>
      <c r="BB329" s="208" t="str">
        <f t="shared" si="57"/>
        <v>Basel</v>
      </c>
      <c r="BC329" s="208" t="str">
        <f t="shared" si="58"/>
        <v>土耳其</v>
      </c>
    </row>
    <row r="330" s="196" customFormat="1" customHeight="1" spans="1:55">
      <c r="A330" s="256">
        <v>46094</v>
      </c>
      <c r="B330" s="256" t="str">
        <f ca="1" t="shared" si="52"/>
        <v/>
      </c>
      <c r="C330" s="257" t="str">
        <f>VLOOKUP(H330,名称!A:E,4,0)</f>
        <v>三代</v>
      </c>
      <c r="D330" s="258" t="s">
        <v>1716</v>
      </c>
      <c r="E330" s="258" t="s">
        <v>1717</v>
      </c>
      <c r="F330" s="257"/>
      <c r="G330" s="257" t="s">
        <v>569</v>
      </c>
      <c r="H330" s="257" t="s">
        <v>112</v>
      </c>
      <c r="I330" s="257"/>
      <c r="J330" s="259">
        <v>300</v>
      </c>
      <c r="K330" s="260">
        <f>VLOOKUP(H330,名称!A:C,2,0)</f>
        <v>50</v>
      </c>
      <c r="L330" s="259">
        <f t="shared" si="55"/>
        <v>15000</v>
      </c>
      <c r="M330" s="257">
        <f>VLOOKUP(H330,名称!A:E,3,0)</f>
        <v>2</v>
      </c>
      <c r="N330" s="259">
        <f t="shared" si="54"/>
        <v>150</v>
      </c>
      <c r="O330" s="256">
        <v>46157</v>
      </c>
      <c r="P330" s="256">
        <v>46179</v>
      </c>
      <c r="Q330" s="256">
        <v>46183</v>
      </c>
      <c r="R330" s="257" t="s">
        <v>1241</v>
      </c>
      <c r="S330" s="256" t="s">
        <v>1133</v>
      </c>
      <c r="T330" s="257"/>
      <c r="U330" s="257"/>
      <c r="V330" s="257"/>
      <c r="W330" s="256"/>
      <c r="X330" s="257" t="s">
        <v>1248</v>
      </c>
      <c r="Y330" s="257" t="s">
        <v>1228</v>
      </c>
      <c r="Z330" s="257" t="s">
        <v>1249</v>
      </c>
      <c r="AA330" s="264">
        <v>46111</v>
      </c>
      <c r="AB330" s="263">
        <v>46120</v>
      </c>
      <c r="AC330" s="257" t="s">
        <v>1133</v>
      </c>
      <c r="AD330" s="257" t="s">
        <v>1133</v>
      </c>
      <c r="AE330" s="257" t="s">
        <v>510</v>
      </c>
      <c r="AF330" s="257" t="s">
        <v>1228</v>
      </c>
      <c r="AG330" s="257" t="s">
        <v>510</v>
      </c>
      <c r="AH330" s="257" t="s">
        <v>1133</v>
      </c>
      <c r="AI330" s="257" t="s">
        <v>1228</v>
      </c>
      <c r="AJ330" s="257" t="s">
        <v>1133</v>
      </c>
      <c r="AK330" s="257" t="s">
        <v>1356</v>
      </c>
      <c r="AL330" s="257"/>
      <c r="AM330" s="257" t="s">
        <v>1279</v>
      </c>
      <c r="AN330" s="259" t="s">
        <v>1251</v>
      </c>
      <c r="AO330" s="215">
        <v>9.39</v>
      </c>
      <c r="AP330" s="265">
        <f t="shared" si="59"/>
        <v>2817</v>
      </c>
      <c r="AQ330" s="265">
        <f t="shared" si="60"/>
        <v>21831.75</v>
      </c>
      <c r="AR330" s="217">
        <v>61195</v>
      </c>
      <c r="AS330" s="254">
        <v>46189</v>
      </c>
      <c r="AT330" s="256" t="s">
        <v>1220</v>
      </c>
      <c r="AU330" s="252"/>
      <c r="AV330" s="252">
        <f t="shared" si="56"/>
        <v>-300</v>
      </c>
      <c r="AW330" s="252"/>
      <c r="AX330" s="256"/>
      <c r="AY330" s="256"/>
      <c r="AZ330" s="256"/>
      <c r="BA330" s="256"/>
      <c r="BB330" s="208" t="str">
        <f t="shared" si="57"/>
        <v>Basel</v>
      </c>
      <c r="BC330" s="208" t="str">
        <f t="shared" si="58"/>
        <v>土耳其</v>
      </c>
    </row>
    <row r="331" s="196" customFormat="1" customHeight="1" spans="1:55">
      <c r="A331" s="256">
        <v>46094</v>
      </c>
      <c r="B331" s="256" t="str">
        <f ca="1" t="shared" si="52"/>
        <v/>
      </c>
      <c r="C331" s="257" t="str">
        <f>VLOOKUP(H331,名称!A:E,4,0)</f>
        <v>三代</v>
      </c>
      <c r="D331" s="258" t="s">
        <v>1716</v>
      </c>
      <c r="E331" s="258" t="s">
        <v>1717</v>
      </c>
      <c r="F331" s="257"/>
      <c r="G331" s="257" t="s">
        <v>569</v>
      </c>
      <c r="H331" s="257" t="s">
        <v>116</v>
      </c>
      <c r="I331" s="257"/>
      <c r="J331" s="259">
        <v>1200</v>
      </c>
      <c r="K331" s="260">
        <f>VLOOKUP(H331,名称!A:C,2,0)</f>
        <v>12</v>
      </c>
      <c r="L331" s="259">
        <f t="shared" si="55"/>
        <v>14400</v>
      </c>
      <c r="M331" s="257">
        <f>VLOOKUP(H331,名称!A:E,3,0)</f>
        <v>12</v>
      </c>
      <c r="N331" s="259">
        <f t="shared" si="54"/>
        <v>100</v>
      </c>
      <c r="O331" s="256">
        <v>46157</v>
      </c>
      <c r="P331" s="256">
        <v>46163</v>
      </c>
      <c r="Q331" s="256">
        <v>46183</v>
      </c>
      <c r="R331" s="257" t="s">
        <v>1241</v>
      </c>
      <c r="S331" s="256" t="s">
        <v>1133</v>
      </c>
      <c r="T331" s="257"/>
      <c r="U331" s="263">
        <v>46170</v>
      </c>
      <c r="V331" s="257"/>
      <c r="W331" s="256"/>
      <c r="X331" s="257" t="s">
        <v>1248</v>
      </c>
      <c r="Y331" s="263">
        <v>46150</v>
      </c>
      <c r="Z331" s="257" t="s">
        <v>1249</v>
      </c>
      <c r="AA331" s="264">
        <v>46111</v>
      </c>
      <c r="AB331" s="263">
        <v>46120</v>
      </c>
      <c r="AC331" s="257" t="s">
        <v>1302</v>
      </c>
      <c r="AD331" s="257" t="s">
        <v>1228</v>
      </c>
      <c r="AE331" s="257" t="s">
        <v>510</v>
      </c>
      <c r="AF331" s="257" t="s">
        <v>1228</v>
      </c>
      <c r="AG331" s="257" t="s">
        <v>510</v>
      </c>
      <c r="AH331" s="257" t="s">
        <v>1307</v>
      </c>
      <c r="AI331" s="257" t="s">
        <v>1228</v>
      </c>
      <c r="AJ331" s="257" t="s">
        <v>1133</v>
      </c>
      <c r="AK331" s="257" t="s">
        <v>1133</v>
      </c>
      <c r="AL331" s="257"/>
      <c r="AM331" s="257" t="s">
        <v>1279</v>
      </c>
      <c r="AN331" s="259" t="s">
        <v>1251</v>
      </c>
      <c r="AO331" s="215">
        <v>1.58</v>
      </c>
      <c r="AP331" s="265">
        <f t="shared" si="59"/>
        <v>1896</v>
      </c>
      <c r="AQ331" s="265">
        <f t="shared" si="60"/>
        <v>14694</v>
      </c>
      <c r="AR331" s="217">
        <v>61195</v>
      </c>
      <c r="AS331" s="254">
        <v>46189</v>
      </c>
      <c r="AT331" s="256" t="s">
        <v>1220</v>
      </c>
      <c r="AU331" s="252">
        <f>12+1188</f>
        <v>1200</v>
      </c>
      <c r="AV331" s="252">
        <f t="shared" si="56"/>
        <v>0</v>
      </c>
      <c r="AW331" s="252"/>
      <c r="AX331" s="256"/>
      <c r="AY331" s="256"/>
      <c r="AZ331" s="256"/>
      <c r="BA331" s="256"/>
      <c r="BB331" s="208" t="str">
        <f t="shared" si="57"/>
        <v>Basel</v>
      </c>
      <c r="BC331" s="208" t="str">
        <f t="shared" si="58"/>
        <v>土耳其</v>
      </c>
    </row>
    <row r="332" s="196" customFormat="1" customHeight="1" spans="1:55">
      <c r="A332" s="256">
        <v>46094</v>
      </c>
      <c r="B332" s="256" t="str">
        <f ca="1" t="shared" si="52"/>
        <v/>
      </c>
      <c r="C332" s="257" t="str">
        <f>VLOOKUP(H332,名称!A:E,4,0)</f>
        <v>三代</v>
      </c>
      <c r="D332" s="258" t="s">
        <v>1716</v>
      </c>
      <c r="E332" s="258" t="s">
        <v>1717</v>
      </c>
      <c r="F332" s="257"/>
      <c r="G332" s="257" t="s">
        <v>569</v>
      </c>
      <c r="H332" s="257" t="s">
        <v>85</v>
      </c>
      <c r="I332" s="257"/>
      <c r="J332" s="259">
        <v>2400</v>
      </c>
      <c r="K332" s="260">
        <f>VLOOKUP(H332,名称!A:C,2,0)</f>
        <v>5</v>
      </c>
      <c r="L332" s="259">
        <f t="shared" si="55"/>
        <v>12000</v>
      </c>
      <c r="M332" s="257">
        <f>VLOOKUP(H332,名称!A:E,3,0)</f>
        <v>24</v>
      </c>
      <c r="N332" s="259">
        <f t="shared" si="54"/>
        <v>100</v>
      </c>
      <c r="O332" s="256">
        <v>46157</v>
      </c>
      <c r="P332" s="256">
        <v>46181</v>
      </c>
      <c r="Q332" s="256">
        <v>46183</v>
      </c>
      <c r="R332" s="257" t="s">
        <v>1241</v>
      </c>
      <c r="S332" s="256" t="s">
        <v>1133</v>
      </c>
      <c r="T332" s="257"/>
      <c r="U332" s="257"/>
      <c r="V332" s="257"/>
      <c r="W332" s="256"/>
      <c r="X332" s="257" t="s">
        <v>1248</v>
      </c>
      <c r="Y332" s="257" t="s">
        <v>1228</v>
      </c>
      <c r="Z332" s="257" t="s">
        <v>1249</v>
      </c>
      <c r="AA332" s="264">
        <v>46111</v>
      </c>
      <c r="AB332" s="263">
        <v>46120</v>
      </c>
      <c r="AC332" s="257" t="s">
        <v>1133</v>
      </c>
      <c r="AD332" s="257" t="s">
        <v>1133</v>
      </c>
      <c r="AE332" s="257" t="s">
        <v>510</v>
      </c>
      <c r="AF332" s="257" t="s">
        <v>1228</v>
      </c>
      <c r="AG332" s="257" t="s">
        <v>510</v>
      </c>
      <c r="AH332" s="257" t="s">
        <v>1133</v>
      </c>
      <c r="AI332" s="257" t="s">
        <v>1228</v>
      </c>
      <c r="AJ332" s="257" t="s">
        <v>1133</v>
      </c>
      <c r="AK332" s="257" t="s">
        <v>510</v>
      </c>
      <c r="AL332" s="257"/>
      <c r="AM332" s="257" t="s">
        <v>1279</v>
      </c>
      <c r="AN332" s="259" t="s">
        <v>1251</v>
      </c>
      <c r="AO332" s="215">
        <v>0.89</v>
      </c>
      <c r="AP332" s="265">
        <f t="shared" si="59"/>
        <v>2136</v>
      </c>
      <c r="AQ332" s="265">
        <f t="shared" si="60"/>
        <v>16554</v>
      </c>
      <c r="AR332" s="217">
        <v>61195</v>
      </c>
      <c r="AS332" s="254">
        <v>46189</v>
      </c>
      <c r="AT332" s="256" t="s">
        <v>1220</v>
      </c>
      <c r="AU332" s="266"/>
      <c r="AV332" s="252">
        <f t="shared" si="56"/>
        <v>-2400</v>
      </c>
      <c r="AW332" s="252"/>
      <c r="AX332" s="256" t="s">
        <v>1280</v>
      </c>
      <c r="AY332" s="256"/>
      <c r="AZ332" s="256"/>
      <c r="BA332" s="256"/>
      <c r="BB332" s="208" t="str">
        <f t="shared" si="57"/>
        <v>Basel</v>
      </c>
      <c r="BC332" s="208" t="str">
        <f t="shared" si="58"/>
        <v>土耳其</v>
      </c>
    </row>
    <row r="333" s="196" customFormat="1" customHeight="1" spans="1:55">
      <c r="A333" s="256">
        <v>46094</v>
      </c>
      <c r="B333" s="256" t="str">
        <f ca="1" t="shared" si="52"/>
        <v/>
      </c>
      <c r="C333" s="257" t="str">
        <f>VLOOKUP(H333,名称!A:E,4,0)</f>
        <v>三代</v>
      </c>
      <c r="D333" s="258" t="s">
        <v>1716</v>
      </c>
      <c r="E333" s="258" t="s">
        <v>1717</v>
      </c>
      <c r="F333" s="257"/>
      <c r="G333" s="257" t="s">
        <v>569</v>
      </c>
      <c r="H333" s="257" t="s">
        <v>88</v>
      </c>
      <c r="I333" s="257"/>
      <c r="J333" s="259">
        <v>2400</v>
      </c>
      <c r="K333" s="260">
        <f>VLOOKUP(H333,名称!A:C,2,0)</f>
        <v>5</v>
      </c>
      <c r="L333" s="259">
        <f t="shared" si="55"/>
        <v>12000</v>
      </c>
      <c r="M333" s="257">
        <f>VLOOKUP(H333,名称!A:E,3,0)</f>
        <v>24</v>
      </c>
      <c r="N333" s="259">
        <f t="shared" si="54"/>
        <v>100</v>
      </c>
      <c r="O333" s="256">
        <v>46157</v>
      </c>
      <c r="P333" s="256">
        <v>46182</v>
      </c>
      <c r="Q333" s="256">
        <v>46183</v>
      </c>
      <c r="R333" s="257" t="s">
        <v>1241</v>
      </c>
      <c r="S333" s="256" t="s">
        <v>1133</v>
      </c>
      <c r="T333" s="257"/>
      <c r="U333" s="257"/>
      <c r="V333" s="257"/>
      <c r="W333" s="256"/>
      <c r="X333" s="257" t="s">
        <v>1248</v>
      </c>
      <c r="Y333" s="257" t="s">
        <v>1228</v>
      </c>
      <c r="Z333" s="257" t="s">
        <v>1249</v>
      </c>
      <c r="AA333" s="264">
        <v>46111</v>
      </c>
      <c r="AB333" s="263">
        <v>46120</v>
      </c>
      <c r="AC333" s="257" t="s">
        <v>1133</v>
      </c>
      <c r="AD333" s="257" t="s">
        <v>1133</v>
      </c>
      <c r="AE333" s="257" t="s">
        <v>510</v>
      </c>
      <c r="AF333" s="257" t="s">
        <v>1228</v>
      </c>
      <c r="AG333" s="257" t="s">
        <v>510</v>
      </c>
      <c r="AH333" s="257" t="s">
        <v>1133</v>
      </c>
      <c r="AI333" s="257" t="s">
        <v>1228</v>
      </c>
      <c r="AJ333" s="257" t="s">
        <v>1133</v>
      </c>
      <c r="AK333" s="257" t="s">
        <v>510</v>
      </c>
      <c r="AL333" s="257"/>
      <c r="AM333" s="257" t="s">
        <v>1279</v>
      </c>
      <c r="AN333" s="259" t="s">
        <v>1251</v>
      </c>
      <c r="AO333" s="215">
        <v>0.81</v>
      </c>
      <c r="AP333" s="265">
        <f t="shared" si="59"/>
        <v>1944</v>
      </c>
      <c r="AQ333" s="265">
        <f t="shared" si="60"/>
        <v>15066</v>
      </c>
      <c r="AR333" s="217">
        <v>61195</v>
      </c>
      <c r="AS333" s="254">
        <v>46189</v>
      </c>
      <c r="AT333" s="256" t="s">
        <v>1310</v>
      </c>
      <c r="AU333" s="252"/>
      <c r="AV333" s="252">
        <f t="shared" si="56"/>
        <v>-2400</v>
      </c>
      <c r="AW333" s="252"/>
      <c r="AX333" s="256"/>
      <c r="AY333" s="256"/>
      <c r="AZ333" s="256"/>
      <c r="BA333" s="256"/>
      <c r="BB333" s="208" t="str">
        <f t="shared" si="57"/>
        <v>Basel</v>
      </c>
      <c r="BC333" s="208" t="str">
        <f t="shared" si="58"/>
        <v>土耳其</v>
      </c>
    </row>
    <row r="334" s="196" customFormat="1" customHeight="1" spans="1:55">
      <c r="A334" s="256">
        <v>46094</v>
      </c>
      <c r="B334" s="256" t="str">
        <f ca="1" t="shared" si="52"/>
        <v/>
      </c>
      <c r="C334" s="257" t="str">
        <f>VLOOKUP(H334,名称!A:E,4,0)</f>
        <v>三代</v>
      </c>
      <c r="D334" s="258" t="s">
        <v>1716</v>
      </c>
      <c r="E334" s="258" t="s">
        <v>1717</v>
      </c>
      <c r="F334" s="257"/>
      <c r="G334" s="257" t="s">
        <v>569</v>
      </c>
      <c r="H334" s="257" t="s">
        <v>89</v>
      </c>
      <c r="I334" s="257"/>
      <c r="J334" s="259">
        <v>600</v>
      </c>
      <c r="K334" s="260">
        <f>VLOOKUP(H334,名称!A:C,2,0)</f>
        <v>12</v>
      </c>
      <c r="L334" s="259">
        <f t="shared" si="55"/>
        <v>7200</v>
      </c>
      <c r="M334" s="257">
        <f>VLOOKUP(H334,名称!A:E,3,0)</f>
        <v>6</v>
      </c>
      <c r="N334" s="259">
        <f t="shared" si="54"/>
        <v>100</v>
      </c>
      <c r="O334" s="256">
        <v>46157</v>
      </c>
      <c r="P334" s="256">
        <v>46181</v>
      </c>
      <c r="Q334" s="256">
        <v>46183</v>
      </c>
      <c r="R334" s="257" t="s">
        <v>1241</v>
      </c>
      <c r="S334" s="256" t="s">
        <v>1133</v>
      </c>
      <c r="T334" s="257"/>
      <c r="U334" s="257"/>
      <c r="V334" s="257"/>
      <c r="W334" s="256"/>
      <c r="X334" s="257" t="s">
        <v>1248</v>
      </c>
      <c r="Y334" s="257" t="s">
        <v>1228</v>
      </c>
      <c r="Z334" s="257" t="s">
        <v>1249</v>
      </c>
      <c r="AA334" s="264">
        <v>46111</v>
      </c>
      <c r="AB334" s="263">
        <v>46120</v>
      </c>
      <c r="AC334" s="257" t="s">
        <v>1318</v>
      </c>
      <c r="AD334" s="257" t="s">
        <v>1228</v>
      </c>
      <c r="AE334" s="257" t="s">
        <v>510</v>
      </c>
      <c r="AF334" s="257" t="s">
        <v>1228</v>
      </c>
      <c r="AG334" s="257" t="s">
        <v>510</v>
      </c>
      <c r="AH334" s="257" t="s">
        <v>1307</v>
      </c>
      <c r="AI334" s="257" t="s">
        <v>1228</v>
      </c>
      <c r="AJ334" s="257" t="s">
        <v>510</v>
      </c>
      <c r="AK334" s="257" t="s">
        <v>1133</v>
      </c>
      <c r="AL334" s="257"/>
      <c r="AM334" s="257" t="s">
        <v>1279</v>
      </c>
      <c r="AN334" s="259" t="s">
        <v>1251</v>
      </c>
      <c r="AO334" s="215">
        <v>1.85</v>
      </c>
      <c r="AP334" s="265">
        <f t="shared" si="59"/>
        <v>1110</v>
      </c>
      <c r="AQ334" s="265">
        <f t="shared" si="60"/>
        <v>8602.5</v>
      </c>
      <c r="AR334" s="224" t="s">
        <v>1767</v>
      </c>
      <c r="AS334" s="254">
        <v>46189</v>
      </c>
      <c r="AT334" s="256" t="s">
        <v>1310</v>
      </c>
      <c r="AU334" s="252"/>
      <c r="AV334" s="252">
        <f t="shared" si="56"/>
        <v>-600</v>
      </c>
      <c r="AW334" s="252"/>
      <c r="AX334" s="256"/>
      <c r="AY334" s="256"/>
      <c r="AZ334" s="256"/>
      <c r="BA334" s="256"/>
      <c r="BB334" s="208" t="str">
        <f t="shared" si="57"/>
        <v>Basel</v>
      </c>
      <c r="BC334" s="208" t="str">
        <f t="shared" si="58"/>
        <v>土耳其</v>
      </c>
    </row>
    <row r="335" s="196" customFormat="1" customHeight="1" spans="1:55">
      <c r="A335" s="256">
        <v>46094</v>
      </c>
      <c r="B335" s="256" t="str">
        <f ca="1" t="shared" si="52"/>
        <v/>
      </c>
      <c r="C335" s="257" t="str">
        <f>VLOOKUP(H335,名称!A:E,4,0)</f>
        <v>三代</v>
      </c>
      <c r="D335" s="258" t="s">
        <v>1716</v>
      </c>
      <c r="E335" s="258" t="s">
        <v>1717</v>
      </c>
      <c r="F335" s="257"/>
      <c r="G335" s="257" t="s">
        <v>569</v>
      </c>
      <c r="H335" s="257" t="s">
        <v>122</v>
      </c>
      <c r="I335" s="257"/>
      <c r="J335" s="259">
        <v>1200</v>
      </c>
      <c r="K335" s="260">
        <f>VLOOKUP(H335,名称!A:C,2,0)</f>
        <v>12</v>
      </c>
      <c r="L335" s="259">
        <f t="shared" si="55"/>
        <v>14400</v>
      </c>
      <c r="M335" s="257">
        <f>VLOOKUP(H335,名称!A:E,3,0)</f>
        <v>12</v>
      </c>
      <c r="N335" s="259">
        <f t="shared" si="54"/>
        <v>100</v>
      </c>
      <c r="O335" s="256">
        <v>46157</v>
      </c>
      <c r="P335" s="256">
        <v>46183</v>
      </c>
      <c r="Q335" s="256">
        <v>46183</v>
      </c>
      <c r="R335" s="257" t="s">
        <v>1241</v>
      </c>
      <c r="S335" s="256" t="s">
        <v>1133</v>
      </c>
      <c r="T335" s="257"/>
      <c r="U335" s="257"/>
      <c r="V335" s="257"/>
      <c r="W335" s="256"/>
      <c r="X335" s="257" t="s">
        <v>1248</v>
      </c>
      <c r="Y335" s="257" t="s">
        <v>1228</v>
      </c>
      <c r="Z335" s="257" t="s">
        <v>1249</v>
      </c>
      <c r="AA335" s="264">
        <v>46111</v>
      </c>
      <c r="AB335" s="263">
        <v>46120</v>
      </c>
      <c r="AC335" s="257" t="s">
        <v>1302</v>
      </c>
      <c r="AD335" s="257" t="s">
        <v>1228</v>
      </c>
      <c r="AE335" s="257" t="s">
        <v>510</v>
      </c>
      <c r="AF335" s="257" t="s">
        <v>1228</v>
      </c>
      <c r="AG335" s="257" t="s">
        <v>510</v>
      </c>
      <c r="AH335" s="257" t="s">
        <v>1307</v>
      </c>
      <c r="AI335" s="257" t="s">
        <v>1228</v>
      </c>
      <c r="AJ335" s="257" t="s">
        <v>1133</v>
      </c>
      <c r="AK335" s="257" t="s">
        <v>1133</v>
      </c>
      <c r="AL335" s="257"/>
      <c r="AM335" s="257" t="s">
        <v>1279</v>
      </c>
      <c r="AN335" s="259" t="s">
        <v>1251</v>
      </c>
      <c r="AO335" s="215">
        <v>1.54</v>
      </c>
      <c r="AP335" s="265">
        <f t="shared" si="59"/>
        <v>1848</v>
      </c>
      <c r="AQ335" s="265">
        <f t="shared" si="60"/>
        <v>14322</v>
      </c>
      <c r="AR335" s="217">
        <v>61195</v>
      </c>
      <c r="AS335" s="254">
        <v>46189</v>
      </c>
      <c r="AT335" s="256" t="s">
        <v>1220</v>
      </c>
      <c r="AU335" s="252"/>
      <c r="AV335" s="252">
        <f t="shared" si="56"/>
        <v>-1200</v>
      </c>
      <c r="AW335" s="252"/>
      <c r="AX335" s="256"/>
      <c r="AY335" s="256"/>
      <c r="AZ335" s="256"/>
      <c r="BA335" s="256"/>
      <c r="BB335" s="208" t="str">
        <f t="shared" si="57"/>
        <v>Basel</v>
      </c>
      <c r="BC335" s="208" t="str">
        <f t="shared" si="58"/>
        <v>土耳其</v>
      </c>
    </row>
    <row r="336" s="196" customFormat="1" customHeight="1" spans="1:55">
      <c r="A336" s="256">
        <v>46094</v>
      </c>
      <c r="B336" s="256" t="str">
        <f ca="1" t="shared" si="52"/>
        <v/>
      </c>
      <c r="C336" s="257" t="str">
        <f>VLOOKUP(H336,名称!A:E,4,0)</f>
        <v>三代</v>
      </c>
      <c r="D336" s="258" t="s">
        <v>1716</v>
      </c>
      <c r="E336" s="258" t="s">
        <v>1717</v>
      </c>
      <c r="F336" s="257"/>
      <c r="G336" s="257" t="s">
        <v>569</v>
      </c>
      <c r="H336" s="257" t="s">
        <v>92</v>
      </c>
      <c r="I336" s="257"/>
      <c r="J336" s="259">
        <v>800</v>
      </c>
      <c r="K336" s="260">
        <f>VLOOKUP(H336,名称!A:C,2,0)</f>
        <v>7</v>
      </c>
      <c r="L336" s="259">
        <f t="shared" si="55"/>
        <v>5600</v>
      </c>
      <c r="M336" s="257">
        <f>VLOOKUP(H336,名称!A:E,3,0)</f>
        <v>16</v>
      </c>
      <c r="N336" s="259">
        <f t="shared" si="54"/>
        <v>50</v>
      </c>
      <c r="O336" s="256">
        <v>46157</v>
      </c>
      <c r="P336" s="256">
        <v>46163</v>
      </c>
      <c r="Q336" s="256">
        <v>46183</v>
      </c>
      <c r="R336" s="267" t="s">
        <v>1241</v>
      </c>
      <c r="S336" s="256" t="s">
        <v>1133</v>
      </c>
      <c r="T336" s="257"/>
      <c r="U336" s="263">
        <v>46162</v>
      </c>
      <c r="V336" s="257"/>
      <c r="W336" s="256"/>
      <c r="X336" s="257" t="s">
        <v>1248</v>
      </c>
      <c r="Y336" s="263">
        <v>46150</v>
      </c>
      <c r="Z336" s="257" t="s">
        <v>1249</v>
      </c>
      <c r="AA336" s="264">
        <v>46111</v>
      </c>
      <c r="AB336" s="263">
        <v>46120</v>
      </c>
      <c r="AC336" s="257" t="s">
        <v>1284</v>
      </c>
      <c r="AD336" s="257" t="s">
        <v>1228</v>
      </c>
      <c r="AE336" s="257" t="s">
        <v>510</v>
      </c>
      <c r="AF336" s="257" t="s">
        <v>1228</v>
      </c>
      <c r="AG336" s="257" t="s">
        <v>510</v>
      </c>
      <c r="AH336" s="257" t="s">
        <v>1307</v>
      </c>
      <c r="AI336" s="257" t="s">
        <v>1228</v>
      </c>
      <c r="AJ336" s="257" t="s">
        <v>1133</v>
      </c>
      <c r="AK336" s="257" t="s">
        <v>1133</v>
      </c>
      <c r="AL336" s="257"/>
      <c r="AM336" s="257" t="s">
        <v>1279</v>
      </c>
      <c r="AN336" s="259" t="s">
        <v>1251</v>
      </c>
      <c r="AO336" s="215">
        <v>0.88</v>
      </c>
      <c r="AP336" s="265">
        <f t="shared" si="59"/>
        <v>704</v>
      </c>
      <c r="AQ336" s="265">
        <f t="shared" si="60"/>
        <v>5456</v>
      </c>
      <c r="AR336" s="217">
        <v>61195</v>
      </c>
      <c r="AS336" s="254">
        <v>46189</v>
      </c>
      <c r="AT336" s="256" t="s">
        <v>1220</v>
      </c>
      <c r="AU336" s="252">
        <v>800</v>
      </c>
      <c r="AV336" s="252">
        <f t="shared" si="56"/>
        <v>0</v>
      </c>
      <c r="AW336" s="252"/>
      <c r="AX336" s="256" t="s">
        <v>1280</v>
      </c>
      <c r="AY336" s="256"/>
      <c r="AZ336" s="256"/>
      <c r="BA336" s="256"/>
      <c r="BB336" s="208" t="str">
        <f t="shared" si="57"/>
        <v>Basel</v>
      </c>
      <c r="BC336" s="208" t="str">
        <f t="shared" si="58"/>
        <v>土耳其</v>
      </c>
    </row>
    <row r="337" s="196" customFormat="1" customHeight="1" spans="1:55">
      <c r="A337" s="256">
        <v>46094</v>
      </c>
      <c r="B337" s="256" t="str">
        <f ca="1" t="shared" si="52"/>
        <v/>
      </c>
      <c r="C337" s="257" t="str">
        <f>VLOOKUP(H337,名称!A:E,4,0)</f>
        <v>三代</v>
      </c>
      <c r="D337" s="258" t="s">
        <v>1716</v>
      </c>
      <c r="E337" s="258" t="s">
        <v>1717</v>
      </c>
      <c r="F337" s="257"/>
      <c r="G337" s="257" t="s">
        <v>569</v>
      </c>
      <c r="H337" s="257" t="s">
        <v>94</v>
      </c>
      <c r="I337" s="257"/>
      <c r="J337" s="259">
        <v>1200</v>
      </c>
      <c r="K337" s="260">
        <f>VLOOKUP(H337,名称!A:C,2,0)</f>
        <v>5</v>
      </c>
      <c r="L337" s="259">
        <f t="shared" si="55"/>
        <v>6000</v>
      </c>
      <c r="M337" s="257">
        <f>VLOOKUP(H337,名称!A:E,3,0)</f>
        <v>24</v>
      </c>
      <c r="N337" s="259">
        <f t="shared" si="54"/>
        <v>50</v>
      </c>
      <c r="O337" s="256">
        <v>46157</v>
      </c>
      <c r="P337" s="256">
        <v>46164</v>
      </c>
      <c r="Q337" s="256">
        <v>46183</v>
      </c>
      <c r="R337" s="257" t="s">
        <v>1241</v>
      </c>
      <c r="S337" s="256" t="s">
        <v>1133</v>
      </c>
      <c r="T337" s="257"/>
      <c r="U337" s="257"/>
      <c r="V337" s="257"/>
      <c r="W337" s="256"/>
      <c r="X337" s="257" t="s">
        <v>1248</v>
      </c>
      <c r="Y337" s="257" t="s">
        <v>1228</v>
      </c>
      <c r="Z337" s="257" t="s">
        <v>1249</v>
      </c>
      <c r="AA337" s="264">
        <v>46111</v>
      </c>
      <c r="AB337" s="263">
        <v>46120</v>
      </c>
      <c r="AC337" s="257" t="s">
        <v>1133</v>
      </c>
      <c r="AD337" s="257" t="s">
        <v>1133</v>
      </c>
      <c r="AE337" s="257" t="s">
        <v>510</v>
      </c>
      <c r="AF337" s="257" t="s">
        <v>1228</v>
      </c>
      <c r="AG337" s="257" t="s">
        <v>510</v>
      </c>
      <c r="AH337" s="257" t="s">
        <v>1133</v>
      </c>
      <c r="AI337" s="257" t="s">
        <v>1228</v>
      </c>
      <c r="AJ337" s="257" t="s">
        <v>1133</v>
      </c>
      <c r="AK337" s="257" t="s">
        <v>510</v>
      </c>
      <c r="AL337" s="257"/>
      <c r="AM337" s="257" t="s">
        <v>1279</v>
      </c>
      <c r="AN337" s="259" t="s">
        <v>1251</v>
      </c>
      <c r="AO337" s="215">
        <v>0.64</v>
      </c>
      <c r="AP337" s="265">
        <f t="shared" si="59"/>
        <v>768</v>
      </c>
      <c r="AQ337" s="265">
        <f t="shared" si="60"/>
        <v>5952</v>
      </c>
      <c r="AR337" s="217">
        <v>61195</v>
      </c>
      <c r="AS337" s="254">
        <v>46189</v>
      </c>
      <c r="AT337" s="256" t="s">
        <v>1220</v>
      </c>
      <c r="AU337" s="266">
        <f>1080+120</f>
        <v>1200</v>
      </c>
      <c r="AV337" s="252">
        <f t="shared" si="56"/>
        <v>0</v>
      </c>
      <c r="AW337" s="252"/>
      <c r="AX337" s="256" t="s">
        <v>1280</v>
      </c>
      <c r="AY337" s="256"/>
      <c r="AZ337" s="256"/>
      <c r="BA337" s="256"/>
      <c r="BB337" s="208" t="str">
        <f t="shared" si="57"/>
        <v>Basel</v>
      </c>
      <c r="BC337" s="208" t="str">
        <f t="shared" si="58"/>
        <v>土耳其</v>
      </c>
    </row>
    <row r="338" s="196" customFormat="1" customHeight="1" spans="1:55">
      <c r="A338" s="256">
        <v>46094</v>
      </c>
      <c r="B338" s="256" t="str">
        <f ca="1" t="shared" si="52"/>
        <v/>
      </c>
      <c r="C338" s="257" t="str">
        <f>VLOOKUP(H338,名称!A:E,4,0)</f>
        <v>三代</v>
      </c>
      <c r="D338" s="258" t="s">
        <v>1716</v>
      </c>
      <c r="E338" s="258" t="s">
        <v>1717</v>
      </c>
      <c r="F338" s="257"/>
      <c r="G338" s="257" t="s">
        <v>569</v>
      </c>
      <c r="H338" s="257" t="s">
        <v>95</v>
      </c>
      <c r="I338" s="257"/>
      <c r="J338" s="259">
        <v>600</v>
      </c>
      <c r="K338" s="260">
        <f>VLOOKUP(H338,名称!A:C,2,0)</f>
        <v>32</v>
      </c>
      <c r="L338" s="259">
        <f t="shared" si="55"/>
        <v>19200</v>
      </c>
      <c r="M338" s="257">
        <f>VLOOKUP(H338,名称!A:E,3,0)</f>
        <v>4</v>
      </c>
      <c r="N338" s="259">
        <f t="shared" si="54"/>
        <v>150</v>
      </c>
      <c r="O338" s="256">
        <v>46157</v>
      </c>
      <c r="P338" s="256">
        <v>46163</v>
      </c>
      <c r="Q338" s="256">
        <v>46183</v>
      </c>
      <c r="R338" s="257" t="s">
        <v>1241</v>
      </c>
      <c r="S338" s="256" t="s">
        <v>1133</v>
      </c>
      <c r="T338" s="257"/>
      <c r="U338" s="263">
        <v>46162</v>
      </c>
      <c r="V338" s="257"/>
      <c r="W338" s="256"/>
      <c r="X338" s="257" t="s">
        <v>1248</v>
      </c>
      <c r="Y338" s="263">
        <v>46150</v>
      </c>
      <c r="Z338" s="257" t="s">
        <v>1249</v>
      </c>
      <c r="AA338" s="264">
        <v>46111</v>
      </c>
      <c r="AB338" s="263">
        <v>46120</v>
      </c>
      <c r="AC338" s="257" t="s">
        <v>1133</v>
      </c>
      <c r="AD338" s="257" t="s">
        <v>1133</v>
      </c>
      <c r="AE338" s="257" t="s">
        <v>510</v>
      </c>
      <c r="AF338" s="257" t="s">
        <v>1228</v>
      </c>
      <c r="AG338" s="257" t="s">
        <v>510</v>
      </c>
      <c r="AH338" s="257" t="s">
        <v>1307</v>
      </c>
      <c r="AI338" s="257" t="s">
        <v>1228</v>
      </c>
      <c r="AJ338" s="257" t="s">
        <v>1133</v>
      </c>
      <c r="AK338" s="257" t="s">
        <v>1133</v>
      </c>
      <c r="AL338" s="257"/>
      <c r="AM338" s="257" t="s">
        <v>1279</v>
      </c>
      <c r="AN338" s="259" t="s">
        <v>1251</v>
      </c>
      <c r="AO338" s="215">
        <v>3.12</v>
      </c>
      <c r="AP338" s="265">
        <f t="shared" si="59"/>
        <v>1872</v>
      </c>
      <c r="AQ338" s="265">
        <f t="shared" si="60"/>
        <v>14508</v>
      </c>
      <c r="AR338" s="217">
        <v>61195</v>
      </c>
      <c r="AS338" s="254">
        <v>46189</v>
      </c>
      <c r="AT338" s="256" t="s">
        <v>1220</v>
      </c>
      <c r="AU338" s="252">
        <v>600</v>
      </c>
      <c r="AV338" s="252">
        <f t="shared" si="56"/>
        <v>0</v>
      </c>
      <c r="AW338" s="252"/>
      <c r="AX338" s="256" t="s">
        <v>1280</v>
      </c>
      <c r="AY338" s="256"/>
      <c r="AZ338" s="256"/>
      <c r="BA338" s="256"/>
      <c r="BB338" s="208" t="str">
        <f t="shared" si="57"/>
        <v>Basel</v>
      </c>
      <c r="BC338" s="208" t="str">
        <f t="shared" si="58"/>
        <v>土耳其</v>
      </c>
    </row>
    <row r="339" s="194" customFormat="1" customHeight="1" spans="1:55">
      <c r="A339" s="208">
        <v>46133</v>
      </c>
      <c r="B339" s="208" t="str">
        <f ca="1" t="shared" ref="B339:B402" si="61">IF(TODAY()-5&gt;=A339,IF(AB339="","异常",""),"")</f>
        <v/>
      </c>
      <c r="C339" s="209" t="str">
        <f>VLOOKUP(H339,名称!A:E,4,0)</f>
        <v>二代</v>
      </c>
      <c r="D339" s="210" t="s">
        <v>1768</v>
      </c>
      <c r="E339" s="210" t="s">
        <v>1224</v>
      </c>
      <c r="F339" s="211" t="s">
        <v>772</v>
      </c>
      <c r="G339" s="211" t="s">
        <v>773</v>
      </c>
      <c r="H339" s="211" t="s">
        <v>37</v>
      </c>
      <c r="I339" s="211"/>
      <c r="J339" s="212">
        <v>1500</v>
      </c>
      <c r="K339" s="223">
        <f>VLOOKUP(H339,名称!A:C,2,0)</f>
        <v>12</v>
      </c>
      <c r="L339" s="223">
        <f>K339*J339</f>
        <v>18000</v>
      </c>
      <c r="M339" s="211">
        <f>VLOOKUP(H339,名称!A:E,3,0)</f>
        <v>6</v>
      </c>
      <c r="N339" s="212">
        <f t="shared" si="54"/>
        <v>250</v>
      </c>
      <c r="O339" s="208">
        <v>46181</v>
      </c>
      <c r="P339" s="208">
        <f t="shared" ref="P339:P345" si="62">O339</f>
        <v>46181</v>
      </c>
      <c r="Q339" s="208">
        <v>46184</v>
      </c>
      <c r="R339" s="241" t="s">
        <v>1241</v>
      </c>
      <c r="S339" s="208">
        <v>46184</v>
      </c>
      <c r="T339" s="241" t="s">
        <v>1282</v>
      </c>
      <c r="U339" s="211"/>
      <c r="V339" s="211" t="s">
        <v>1769</v>
      </c>
      <c r="W339" s="208" t="s">
        <v>1651</v>
      </c>
      <c r="X339" s="268" t="s">
        <v>1248</v>
      </c>
      <c r="Y339" s="211" t="s">
        <v>1228</v>
      </c>
      <c r="Z339" s="213">
        <v>46153</v>
      </c>
      <c r="AA339" s="213">
        <v>46153</v>
      </c>
      <c r="AB339" s="213">
        <v>46153</v>
      </c>
      <c r="AC339" s="211" t="s">
        <v>1133</v>
      </c>
      <c r="AD339" s="211" t="s">
        <v>1133</v>
      </c>
      <c r="AE339" s="211" t="s">
        <v>253</v>
      </c>
      <c r="AF339" s="211" t="s">
        <v>1228</v>
      </c>
      <c r="AG339" s="211" t="s">
        <v>253</v>
      </c>
      <c r="AH339" s="211" t="s">
        <v>1245</v>
      </c>
      <c r="AI339" s="211" t="s">
        <v>1228</v>
      </c>
      <c r="AJ339" s="211" t="s">
        <v>327</v>
      </c>
      <c r="AK339" s="211" t="s">
        <v>1133</v>
      </c>
      <c r="AL339" s="212" t="s">
        <v>1228</v>
      </c>
      <c r="AM339" s="211" t="s">
        <v>1303</v>
      </c>
      <c r="AN339" s="212"/>
      <c r="AO339" s="215">
        <v>2.09</v>
      </c>
      <c r="AP339" s="216">
        <f t="shared" si="59"/>
        <v>3135</v>
      </c>
      <c r="AQ339" s="216">
        <f t="shared" si="60"/>
        <v>24296.25</v>
      </c>
      <c r="AR339" s="269">
        <v>61198</v>
      </c>
      <c r="AS339" s="255">
        <v>46191</v>
      </c>
      <c r="AT339" s="208" t="s">
        <v>1254</v>
      </c>
      <c r="AU339" s="221"/>
      <c r="AV339" s="222"/>
      <c r="AW339" s="208"/>
      <c r="AX339" s="208"/>
      <c r="AY339" s="208"/>
      <c r="AZ339" s="208"/>
      <c r="BA339" s="208"/>
      <c r="BB339" s="208" t="str">
        <f t="shared" si="57"/>
        <v>JAZWARES - INCREDIBLES NOVELTIES INC.</v>
      </c>
      <c r="BC339" s="208" t="str">
        <f t="shared" si="58"/>
        <v>美国</v>
      </c>
    </row>
    <row r="340" s="194" customFormat="1" customHeight="1" spans="1:55">
      <c r="A340" s="208">
        <v>46130</v>
      </c>
      <c r="B340" s="208" t="str">
        <f ca="1" t="shared" si="61"/>
        <v/>
      </c>
      <c r="C340" s="211" t="str">
        <f>VLOOKUP(H340,名称!A:E,4,0)</f>
        <v>三代</v>
      </c>
      <c r="D340" s="220" t="s">
        <v>1496</v>
      </c>
      <c r="E340" s="220" t="s">
        <v>1726</v>
      </c>
      <c r="F340" s="220" t="s">
        <v>750</v>
      </c>
      <c r="G340" s="220" t="s">
        <v>751</v>
      </c>
      <c r="H340" s="220" t="s">
        <v>55</v>
      </c>
      <c r="I340" s="211"/>
      <c r="J340" s="270">
        <v>1280</v>
      </c>
      <c r="K340" s="223">
        <f>VLOOKUP(H340,名称!A:C,2,0)</f>
        <v>7</v>
      </c>
      <c r="L340" s="212">
        <f t="shared" ref="L340:L348" si="63">J340*K340</f>
        <v>8960</v>
      </c>
      <c r="M340" s="211">
        <f>VLOOKUP(H340,名称!A:E,3,0)</f>
        <v>16</v>
      </c>
      <c r="N340" s="212">
        <f t="shared" si="54"/>
        <v>80</v>
      </c>
      <c r="O340" s="271">
        <v>46183</v>
      </c>
      <c r="P340" s="208">
        <f t="shared" si="62"/>
        <v>46183</v>
      </c>
      <c r="Q340" s="208">
        <f>P340</f>
        <v>46183</v>
      </c>
      <c r="R340" s="211" t="s">
        <v>1241</v>
      </c>
      <c r="S340" s="208" t="s">
        <v>1133</v>
      </c>
      <c r="T340" s="211"/>
      <c r="U340" s="211"/>
      <c r="V340" s="211"/>
      <c r="W340" s="208"/>
      <c r="X340" s="220" t="s">
        <v>1248</v>
      </c>
      <c r="Y340" s="211" t="s">
        <v>1228</v>
      </c>
      <c r="Z340" s="213">
        <v>46139</v>
      </c>
      <c r="AA340" s="214">
        <v>46141</v>
      </c>
      <c r="AB340" s="213">
        <v>46148</v>
      </c>
      <c r="AC340" s="211" t="s">
        <v>1284</v>
      </c>
      <c r="AD340" s="211" t="s">
        <v>1228</v>
      </c>
      <c r="AE340" s="220" t="s">
        <v>510</v>
      </c>
      <c r="AF340" s="211" t="s">
        <v>1228</v>
      </c>
      <c r="AG340" s="220" t="s">
        <v>510</v>
      </c>
      <c r="AH340" s="211" t="s">
        <v>1133</v>
      </c>
      <c r="AI340" s="211" t="s">
        <v>1228</v>
      </c>
      <c r="AJ340" s="211" t="s">
        <v>1133</v>
      </c>
      <c r="AK340" s="211" t="s">
        <v>1133</v>
      </c>
      <c r="AL340" s="211" t="s">
        <v>1228</v>
      </c>
      <c r="AM340" s="211" t="s">
        <v>1727</v>
      </c>
      <c r="AN340" s="220" t="s">
        <v>1251</v>
      </c>
      <c r="AO340" s="215">
        <v>0.93</v>
      </c>
      <c r="AP340" s="216">
        <f t="shared" si="59"/>
        <v>1190.4</v>
      </c>
      <c r="AQ340" s="216">
        <f t="shared" si="60"/>
        <v>9225.6</v>
      </c>
      <c r="AR340" s="269">
        <v>61199</v>
      </c>
      <c r="AS340" s="255">
        <v>46191</v>
      </c>
      <c r="AT340" s="208" t="s">
        <v>1220</v>
      </c>
      <c r="AU340" s="253">
        <f>1248+32</f>
        <v>1280</v>
      </c>
      <c r="AV340" s="252">
        <f t="shared" ref="AV340:AV348" si="64">AU340-J340</f>
        <v>0</v>
      </c>
      <c r="AW340" s="252"/>
      <c r="AX340" s="208" t="s">
        <v>1280</v>
      </c>
      <c r="AY340" s="208"/>
      <c r="AZ340" s="208"/>
      <c r="BA340" s="208"/>
      <c r="BB340" s="208" t="str">
        <f t="shared" si="57"/>
        <v>Kade Ltd.</v>
      </c>
      <c r="BC340" s="208" t="str">
        <f t="shared" si="58"/>
        <v>中国</v>
      </c>
    </row>
    <row r="341" s="194" customFormat="1" customHeight="1" spans="1:55">
      <c r="A341" s="208">
        <v>46130</v>
      </c>
      <c r="B341" s="208" t="str">
        <f ca="1" t="shared" si="61"/>
        <v/>
      </c>
      <c r="C341" s="211" t="str">
        <f>VLOOKUP(H341,名称!A:E,4,0)</f>
        <v>三代</v>
      </c>
      <c r="D341" s="220" t="s">
        <v>1496</v>
      </c>
      <c r="E341" s="220" t="s">
        <v>1726</v>
      </c>
      <c r="F341" s="220" t="s">
        <v>750</v>
      </c>
      <c r="G341" s="220" t="s">
        <v>751</v>
      </c>
      <c r="H341" s="220" t="s">
        <v>59</v>
      </c>
      <c r="I341" s="211"/>
      <c r="J341" s="270">
        <v>1200</v>
      </c>
      <c r="K341" s="223">
        <f>VLOOKUP(H341,名称!A:C,2,0)</f>
        <v>5</v>
      </c>
      <c r="L341" s="212">
        <f t="shared" si="63"/>
        <v>6000</v>
      </c>
      <c r="M341" s="211">
        <f>VLOOKUP(H341,名称!A:E,3,0)</f>
        <v>24</v>
      </c>
      <c r="N341" s="212">
        <f t="shared" si="54"/>
        <v>50</v>
      </c>
      <c r="O341" s="271">
        <v>46183</v>
      </c>
      <c r="P341" s="208">
        <f t="shared" si="62"/>
        <v>46183</v>
      </c>
      <c r="Q341" s="208">
        <f>P341</f>
        <v>46183</v>
      </c>
      <c r="R341" s="211" t="s">
        <v>1241</v>
      </c>
      <c r="S341" s="208" t="s">
        <v>1133</v>
      </c>
      <c r="T341" s="211"/>
      <c r="U341" s="211"/>
      <c r="V341" s="211"/>
      <c r="W341" s="208"/>
      <c r="X341" s="220" t="s">
        <v>1248</v>
      </c>
      <c r="Y341" s="211" t="s">
        <v>1228</v>
      </c>
      <c r="Z341" s="213">
        <v>46139</v>
      </c>
      <c r="AA341" s="214">
        <v>46141</v>
      </c>
      <c r="AB341" s="213">
        <v>46148</v>
      </c>
      <c r="AC341" s="211" t="s">
        <v>1133</v>
      </c>
      <c r="AD341" s="211" t="s">
        <v>1133</v>
      </c>
      <c r="AE341" s="220" t="s">
        <v>510</v>
      </c>
      <c r="AF341" s="211" t="s">
        <v>1228</v>
      </c>
      <c r="AG341" s="220" t="s">
        <v>510</v>
      </c>
      <c r="AH341" s="211" t="s">
        <v>1133</v>
      </c>
      <c r="AI341" s="211" t="s">
        <v>1228</v>
      </c>
      <c r="AJ341" s="211" t="s">
        <v>1133</v>
      </c>
      <c r="AK341" s="211" t="s">
        <v>510</v>
      </c>
      <c r="AL341" s="211"/>
      <c r="AM341" s="211" t="s">
        <v>1727</v>
      </c>
      <c r="AN341" s="220" t="s">
        <v>1251</v>
      </c>
      <c r="AO341" s="215">
        <v>0.66</v>
      </c>
      <c r="AP341" s="216">
        <f t="shared" si="59"/>
        <v>792</v>
      </c>
      <c r="AQ341" s="216">
        <f t="shared" si="60"/>
        <v>6138</v>
      </c>
      <c r="AR341" s="269">
        <v>61199</v>
      </c>
      <c r="AS341" s="255">
        <v>46191</v>
      </c>
      <c r="AT341" s="208" t="s">
        <v>1220</v>
      </c>
      <c r="AU341" s="253">
        <f>1104+96</f>
        <v>1200</v>
      </c>
      <c r="AV341" s="252">
        <f t="shared" si="64"/>
        <v>0</v>
      </c>
      <c r="AW341" s="252"/>
      <c r="AX341" s="208" t="s">
        <v>1280</v>
      </c>
      <c r="AY341" s="208"/>
      <c r="AZ341" s="208"/>
      <c r="BA341" s="208"/>
      <c r="BB341" s="208" t="str">
        <f t="shared" si="57"/>
        <v>Kade Ltd.</v>
      </c>
      <c r="BC341" s="208" t="str">
        <f t="shared" si="58"/>
        <v>中国</v>
      </c>
    </row>
    <row r="342" s="194" customFormat="1" customHeight="1" spans="1:55">
      <c r="A342" s="208">
        <v>46130</v>
      </c>
      <c r="B342" s="208" t="str">
        <f ca="1" t="shared" si="61"/>
        <v/>
      </c>
      <c r="C342" s="211" t="str">
        <f>VLOOKUP(H342,名称!A:E,4,0)</f>
        <v>三代</v>
      </c>
      <c r="D342" s="220" t="s">
        <v>1496</v>
      </c>
      <c r="E342" s="220" t="s">
        <v>1726</v>
      </c>
      <c r="F342" s="220" t="s">
        <v>750</v>
      </c>
      <c r="G342" s="220" t="s">
        <v>751</v>
      </c>
      <c r="H342" s="220" t="s">
        <v>66</v>
      </c>
      <c r="I342" s="211"/>
      <c r="J342" s="270">
        <v>1704</v>
      </c>
      <c r="K342" s="223">
        <f>VLOOKUP(H342,名称!A:C,2,0)</f>
        <v>12</v>
      </c>
      <c r="L342" s="212">
        <f t="shared" si="63"/>
        <v>20448</v>
      </c>
      <c r="M342" s="211">
        <f>VLOOKUP(H342,名称!A:E,3,0)</f>
        <v>6</v>
      </c>
      <c r="N342" s="212">
        <f t="shared" si="54"/>
        <v>284</v>
      </c>
      <c r="O342" s="271">
        <v>46183</v>
      </c>
      <c r="P342" s="208">
        <f t="shared" si="62"/>
        <v>46183</v>
      </c>
      <c r="Q342" s="208">
        <f>P342</f>
        <v>46183</v>
      </c>
      <c r="R342" s="211" t="s">
        <v>1241</v>
      </c>
      <c r="S342" s="208" t="s">
        <v>1133</v>
      </c>
      <c r="T342" s="211"/>
      <c r="U342" s="211"/>
      <c r="V342" s="211"/>
      <c r="W342" s="208"/>
      <c r="X342" s="220" t="s">
        <v>1248</v>
      </c>
      <c r="Y342" s="211" t="s">
        <v>1228</v>
      </c>
      <c r="Z342" s="213">
        <v>46139</v>
      </c>
      <c r="AA342" s="214">
        <v>46141</v>
      </c>
      <c r="AB342" s="213">
        <v>46148</v>
      </c>
      <c r="AC342" s="211" t="s">
        <v>1318</v>
      </c>
      <c r="AD342" s="211" t="s">
        <v>1228</v>
      </c>
      <c r="AE342" s="220" t="s">
        <v>510</v>
      </c>
      <c r="AF342" s="211" t="s">
        <v>1228</v>
      </c>
      <c r="AG342" s="220" t="s">
        <v>510</v>
      </c>
      <c r="AH342" s="211" t="s">
        <v>1307</v>
      </c>
      <c r="AI342" s="211" t="s">
        <v>1228</v>
      </c>
      <c r="AJ342" s="211" t="s">
        <v>510</v>
      </c>
      <c r="AK342" s="211" t="s">
        <v>1133</v>
      </c>
      <c r="AL342" s="211"/>
      <c r="AM342" s="211" t="s">
        <v>1727</v>
      </c>
      <c r="AN342" s="220" t="s">
        <v>1251</v>
      </c>
      <c r="AO342" s="215">
        <v>2.09</v>
      </c>
      <c r="AP342" s="216">
        <f t="shared" si="59"/>
        <v>3561.36</v>
      </c>
      <c r="AQ342" s="216">
        <f t="shared" si="60"/>
        <v>27600.54</v>
      </c>
      <c r="AR342" s="269">
        <v>61199</v>
      </c>
      <c r="AS342" s="255">
        <v>46191</v>
      </c>
      <c r="AT342" s="208" t="s">
        <v>1220</v>
      </c>
      <c r="AU342" s="253">
        <v>1704</v>
      </c>
      <c r="AV342" s="252">
        <f t="shared" si="64"/>
        <v>0</v>
      </c>
      <c r="AW342" s="252"/>
      <c r="AX342" s="208" t="s">
        <v>1280</v>
      </c>
      <c r="AY342" s="208"/>
      <c r="AZ342" s="208"/>
      <c r="BA342" s="208"/>
      <c r="BB342" s="208" t="str">
        <f t="shared" si="57"/>
        <v>Kade Ltd.</v>
      </c>
      <c r="BC342" s="208" t="str">
        <f t="shared" si="58"/>
        <v>中国</v>
      </c>
    </row>
    <row r="343" s="194" customFormat="1" customHeight="1" spans="1:55">
      <c r="A343" s="208">
        <v>46130</v>
      </c>
      <c r="B343" s="208" t="str">
        <f ca="1" t="shared" si="61"/>
        <v/>
      </c>
      <c r="C343" s="211" t="str">
        <f>VLOOKUP(H343,名称!A:E,4,0)</f>
        <v>三代</v>
      </c>
      <c r="D343" s="220" t="s">
        <v>1496</v>
      </c>
      <c r="E343" s="220" t="s">
        <v>1726</v>
      </c>
      <c r="F343" s="220" t="s">
        <v>750</v>
      </c>
      <c r="G343" s="220" t="s">
        <v>751</v>
      </c>
      <c r="H343" s="220" t="s">
        <v>68</v>
      </c>
      <c r="I343" s="211"/>
      <c r="J343" s="270">
        <v>600</v>
      </c>
      <c r="K343" s="223">
        <f>VLOOKUP(H343,名称!A:C,2,0)</f>
        <v>32</v>
      </c>
      <c r="L343" s="212">
        <f t="shared" si="63"/>
        <v>19200</v>
      </c>
      <c r="M343" s="211">
        <f>VLOOKUP(H343,名称!A:E,3,0)</f>
        <v>4</v>
      </c>
      <c r="N343" s="212">
        <f t="shared" si="54"/>
        <v>150</v>
      </c>
      <c r="O343" s="271">
        <v>46183</v>
      </c>
      <c r="P343" s="208">
        <f t="shared" si="62"/>
        <v>46183</v>
      </c>
      <c r="Q343" s="208">
        <f>P343</f>
        <v>46183</v>
      </c>
      <c r="R343" s="211" t="s">
        <v>1241</v>
      </c>
      <c r="S343" s="208" t="s">
        <v>1133</v>
      </c>
      <c r="T343" s="211"/>
      <c r="U343" s="211"/>
      <c r="V343" s="211"/>
      <c r="W343" s="208"/>
      <c r="X343" s="220" t="s">
        <v>1248</v>
      </c>
      <c r="Y343" s="211" t="s">
        <v>1228</v>
      </c>
      <c r="Z343" s="213">
        <v>46139</v>
      </c>
      <c r="AA343" s="214">
        <v>46141</v>
      </c>
      <c r="AB343" s="213">
        <v>46148</v>
      </c>
      <c r="AC343" s="211" t="s">
        <v>1302</v>
      </c>
      <c r="AD343" s="211" t="s">
        <v>1228</v>
      </c>
      <c r="AE343" s="220" t="s">
        <v>510</v>
      </c>
      <c r="AF343" s="211" t="s">
        <v>1228</v>
      </c>
      <c r="AG343" s="220" t="s">
        <v>510</v>
      </c>
      <c r="AH343" s="211" t="s">
        <v>1307</v>
      </c>
      <c r="AI343" s="211" t="s">
        <v>1228</v>
      </c>
      <c r="AJ343" s="211" t="s">
        <v>1133</v>
      </c>
      <c r="AK343" s="211" t="s">
        <v>1133</v>
      </c>
      <c r="AL343" s="211"/>
      <c r="AM343" s="211" t="s">
        <v>1727</v>
      </c>
      <c r="AN343" s="220" t="s">
        <v>1251</v>
      </c>
      <c r="AO343" s="215">
        <v>3.23</v>
      </c>
      <c r="AP343" s="216">
        <f t="shared" si="59"/>
        <v>1938</v>
      </c>
      <c r="AQ343" s="216">
        <f t="shared" si="60"/>
        <v>15019.5</v>
      </c>
      <c r="AR343" s="224" t="s">
        <v>1770</v>
      </c>
      <c r="AS343" s="255">
        <v>46191</v>
      </c>
      <c r="AT343" s="208" t="s">
        <v>1220</v>
      </c>
      <c r="AU343" s="253">
        <f>8+592</f>
        <v>600</v>
      </c>
      <c r="AV343" s="252">
        <f t="shared" si="64"/>
        <v>0</v>
      </c>
      <c r="AW343" s="252"/>
      <c r="AX343" s="208" t="s">
        <v>1280</v>
      </c>
      <c r="AY343" s="208"/>
      <c r="AZ343" s="208"/>
      <c r="BA343" s="208"/>
      <c r="BB343" s="208" t="str">
        <f t="shared" si="57"/>
        <v>Kade Ltd.</v>
      </c>
      <c r="BC343" s="208" t="str">
        <f t="shared" si="58"/>
        <v>中国</v>
      </c>
    </row>
    <row r="344" s="194" customFormat="1" customHeight="1" spans="1:55">
      <c r="A344" s="208">
        <v>46130</v>
      </c>
      <c r="B344" s="208" t="str">
        <f ca="1" t="shared" si="61"/>
        <v/>
      </c>
      <c r="C344" s="211" t="str">
        <f>VLOOKUP(H344,名称!A:E,4,0)</f>
        <v>三代</v>
      </c>
      <c r="D344" s="220" t="s">
        <v>1496</v>
      </c>
      <c r="E344" s="220" t="s">
        <v>1726</v>
      </c>
      <c r="F344" s="220" t="s">
        <v>750</v>
      </c>
      <c r="G344" s="220" t="s">
        <v>751</v>
      </c>
      <c r="H344" s="220" t="s">
        <v>72</v>
      </c>
      <c r="I344" s="211"/>
      <c r="J344" s="270">
        <v>1140</v>
      </c>
      <c r="K344" s="223">
        <f>VLOOKUP(H344,名称!A:C,2,0)</f>
        <v>12</v>
      </c>
      <c r="L344" s="212">
        <f t="shared" si="63"/>
        <v>13680</v>
      </c>
      <c r="M344" s="211">
        <f>VLOOKUP(H344,名称!A:E,3,0)</f>
        <v>12</v>
      </c>
      <c r="N344" s="212">
        <f t="shared" si="54"/>
        <v>95</v>
      </c>
      <c r="O344" s="271">
        <v>46183</v>
      </c>
      <c r="P344" s="208">
        <f t="shared" si="62"/>
        <v>46183</v>
      </c>
      <c r="Q344" s="256">
        <v>46184</v>
      </c>
      <c r="R344" s="211" t="s">
        <v>1241</v>
      </c>
      <c r="S344" s="208" t="s">
        <v>1133</v>
      </c>
      <c r="T344" s="211"/>
      <c r="U344" s="211"/>
      <c r="V344" s="211"/>
      <c r="W344" s="208"/>
      <c r="X344" s="220" t="s">
        <v>1248</v>
      </c>
      <c r="Y344" s="211" t="s">
        <v>1228</v>
      </c>
      <c r="Z344" s="213">
        <v>46139</v>
      </c>
      <c r="AA344" s="214">
        <v>46141</v>
      </c>
      <c r="AB344" s="213">
        <v>46148</v>
      </c>
      <c r="AC344" s="211" t="s">
        <v>1302</v>
      </c>
      <c r="AD344" s="211" t="s">
        <v>1228</v>
      </c>
      <c r="AE344" s="220" t="s">
        <v>510</v>
      </c>
      <c r="AF344" s="211" t="s">
        <v>1228</v>
      </c>
      <c r="AG344" s="220" t="s">
        <v>510</v>
      </c>
      <c r="AH344" s="211" t="s">
        <v>1307</v>
      </c>
      <c r="AI344" s="211" t="s">
        <v>1228</v>
      </c>
      <c r="AJ344" s="211" t="s">
        <v>1133</v>
      </c>
      <c r="AK344" s="211" t="s">
        <v>1133</v>
      </c>
      <c r="AL344" s="211"/>
      <c r="AM344" s="211" t="s">
        <v>1727</v>
      </c>
      <c r="AN344" s="220" t="s">
        <v>1251</v>
      </c>
      <c r="AO344" s="215">
        <v>1.65</v>
      </c>
      <c r="AP344" s="216">
        <f t="shared" si="59"/>
        <v>1881</v>
      </c>
      <c r="AQ344" s="216">
        <f t="shared" si="60"/>
        <v>14577.75</v>
      </c>
      <c r="AR344" s="269">
        <v>61199</v>
      </c>
      <c r="AS344" s="255">
        <v>46191</v>
      </c>
      <c r="AT344" s="208" t="s">
        <v>1220</v>
      </c>
      <c r="AU344" s="253">
        <f>1116+24</f>
        <v>1140</v>
      </c>
      <c r="AV344" s="252">
        <f t="shared" si="64"/>
        <v>0</v>
      </c>
      <c r="AW344" s="252"/>
      <c r="AX344" s="208" t="s">
        <v>1280</v>
      </c>
      <c r="AY344" s="208"/>
      <c r="AZ344" s="208"/>
      <c r="BA344" s="208"/>
      <c r="BB344" s="208" t="str">
        <f t="shared" si="57"/>
        <v>Kade Ltd.</v>
      </c>
      <c r="BC344" s="208" t="str">
        <f t="shared" si="58"/>
        <v>中国</v>
      </c>
    </row>
    <row r="345" s="194" customFormat="1" customHeight="1" spans="1:55">
      <c r="A345" s="208">
        <v>46130</v>
      </c>
      <c r="B345" s="208" t="str">
        <f ca="1" t="shared" si="61"/>
        <v/>
      </c>
      <c r="C345" s="211" t="str">
        <f>VLOOKUP(H345,名称!A:E,4,0)</f>
        <v>三代</v>
      </c>
      <c r="D345" s="220" t="s">
        <v>1496</v>
      </c>
      <c r="E345" s="220" t="s">
        <v>1726</v>
      </c>
      <c r="F345" s="220" t="s">
        <v>750</v>
      </c>
      <c r="G345" s="220" t="s">
        <v>751</v>
      </c>
      <c r="H345" s="220" t="s">
        <v>85</v>
      </c>
      <c r="I345" s="211"/>
      <c r="J345" s="270">
        <v>2160</v>
      </c>
      <c r="K345" s="223">
        <f>VLOOKUP(H345,名称!A:C,2,0)</f>
        <v>5</v>
      </c>
      <c r="L345" s="212">
        <f t="shared" si="63"/>
        <v>10800</v>
      </c>
      <c r="M345" s="211">
        <f>VLOOKUP(H345,名称!A:E,3,0)</f>
        <v>24</v>
      </c>
      <c r="N345" s="212">
        <f t="shared" si="54"/>
        <v>90</v>
      </c>
      <c r="O345" s="271">
        <v>46183</v>
      </c>
      <c r="P345" s="208">
        <f t="shared" si="62"/>
        <v>46183</v>
      </c>
      <c r="Q345" s="256">
        <v>46185</v>
      </c>
      <c r="R345" s="241" t="s">
        <v>1425</v>
      </c>
      <c r="S345" s="208" t="s">
        <v>1771</v>
      </c>
      <c r="T345" s="211"/>
      <c r="U345" s="211"/>
      <c r="V345" s="211"/>
      <c r="W345" s="208"/>
      <c r="X345" s="220" t="s">
        <v>1248</v>
      </c>
      <c r="Y345" s="211" t="s">
        <v>1228</v>
      </c>
      <c r="Z345" s="213">
        <v>46139</v>
      </c>
      <c r="AA345" s="214">
        <v>46141</v>
      </c>
      <c r="AB345" s="213">
        <v>46148</v>
      </c>
      <c r="AC345" s="211" t="s">
        <v>1133</v>
      </c>
      <c r="AD345" s="211" t="s">
        <v>1133</v>
      </c>
      <c r="AE345" s="220" t="s">
        <v>510</v>
      </c>
      <c r="AF345" s="211" t="s">
        <v>1228</v>
      </c>
      <c r="AG345" s="220" t="s">
        <v>510</v>
      </c>
      <c r="AH345" s="211" t="s">
        <v>1133</v>
      </c>
      <c r="AI345" s="211" t="s">
        <v>1228</v>
      </c>
      <c r="AJ345" s="211" t="s">
        <v>1133</v>
      </c>
      <c r="AK345" s="211" t="s">
        <v>510</v>
      </c>
      <c r="AL345" s="211"/>
      <c r="AM345" s="211" t="s">
        <v>1727</v>
      </c>
      <c r="AN345" s="220" t="s">
        <v>1251</v>
      </c>
      <c r="AO345" s="215">
        <v>0.91</v>
      </c>
      <c r="AP345" s="216">
        <f t="shared" si="59"/>
        <v>1965.6</v>
      </c>
      <c r="AQ345" s="216">
        <f t="shared" si="60"/>
        <v>15233.4</v>
      </c>
      <c r="AR345" s="269">
        <v>61199</v>
      </c>
      <c r="AS345" s="255">
        <v>46191</v>
      </c>
      <c r="AT345" s="208" t="s">
        <v>1220</v>
      </c>
      <c r="AU345" s="253">
        <v>2160</v>
      </c>
      <c r="AV345" s="252">
        <f t="shared" si="64"/>
        <v>0</v>
      </c>
      <c r="AW345" s="252"/>
      <c r="AX345" s="208" t="s">
        <v>1280</v>
      </c>
      <c r="AY345" s="208"/>
      <c r="AZ345" s="208"/>
      <c r="BA345" s="208"/>
      <c r="BB345" s="208" t="str">
        <f t="shared" si="57"/>
        <v>Kade Ltd.</v>
      </c>
      <c r="BC345" s="208" t="str">
        <f t="shared" si="58"/>
        <v>中国</v>
      </c>
    </row>
    <row r="346" s="194" customFormat="1" customHeight="1" spans="1:55">
      <c r="A346" s="208">
        <v>46130</v>
      </c>
      <c r="B346" s="208" t="str">
        <f ca="1" t="shared" si="61"/>
        <v/>
      </c>
      <c r="C346" s="211" t="str">
        <f>VLOOKUP(H346,名称!A:E,4,0)</f>
        <v>三代</v>
      </c>
      <c r="D346" s="220" t="s">
        <v>1496</v>
      </c>
      <c r="E346" s="220" t="s">
        <v>1726</v>
      </c>
      <c r="F346" s="220" t="s">
        <v>750</v>
      </c>
      <c r="G346" s="220" t="s">
        <v>751</v>
      </c>
      <c r="H346" s="220" t="s">
        <v>119</v>
      </c>
      <c r="I346" s="211"/>
      <c r="J346" s="270">
        <v>2400</v>
      </c>
      <c r="K346" s="223">
        <f>VLOOKUP(H346,名称!A:C,2,0)</f>
        <v>5</v>
      </c>
      <c r="L346" s="212">
        <f t="shared" si="63"/>
        <v>12000</v>
      </c>
      <c r="M346" s="211">
        <f>VLOOKUP(H346,名称!A:E,3,0)</f>
        <v>24</v>
      </c>
      <c r="N346" s="212">
        <f t="shared" si="54"/>
        <v>100</v>
      </c>
      <c r="O346" s="271">
        <v>46183</v>
      </c>
      <c r="P346" s="208">
        <v>46183</v>
      </c>
      <c r="Q346" s="208">
        <v>46183</v>
      </c>
      <c r="R346" s="211" t="s">
        <v>1241</v>
      </c>
      <c r="S346" s="208" t="s">
        <v>1133</v>
      </c>
      <c r="T346" s="211"/>
      <c r="U346" s="211"/>
      <c r="V346" s="211"/>
      <c r="W346" s="208"/>
      <c r="X346" s="220" t="s">
        <v>1248</v>
      </c>
      <c r="Y346" s="211" t="s">
        <v>1228</v>
      </c>
      <c r="Z346" s="213">
        <v>46139</v>
      </c>
      <c r="AA346" s="214">
        <v>46141</v>
      </c>
      <c r="AB346" s="213">
        <v>46148</v>
      </c>
      <c r="AC346" s="211" t="s">
        <v>1133</v>
      </c>
      <c r="AD346" s="211" t="s">
        <v>1133</v>
      </c>
      <c r="AE346" s="220" t="s">
        <v>510</v>
      </c>
      <c r="AF346" s="211" t="s">
        <v>1228</v>
      </c>
      <c r="AG346" s="220" t="s">
        <v>510</v>
      </c>
      <c r="AH346" s="211" t="s">
        <v>1133</v>
      </c>
      <c r="AI346" s="211" t="s">
        <v>1228</v>
      </c>
      <c r="AJ346" s="211" t="s">
        <v>1133</v>
      </c>
      <c r="AK346" s="211" t="s">
        <v>510</v>
      </c>
      <c r="AL346" s="211"/>
      <c r="AM346" s="211" t="s">
        <v>1727</v>
      </c>
      <c r="AN346" s="220" t="s">
        <v>1251</v>
      </c>
      <c r="AO346" s="215">
        <v>0.65</v>
      </c>
      <c r="AP346" s="216">
        <f t="shared" si="59"/>
        <v>1560</v>
      </c>
      <c r="AQ346" s="216">
        <f t="shared" si="60"/>
        <v>12090</v>
      </c>
      <c r="AR346" s="269">
        <v>61199</v>
      </c>
      <c r="AS346" s="255">
        <v>46191</v>
      </c>
      <c r="AT346" s="208" t="s">
        <v>1220</v>
      </c>
      <c r="AU346" s="253">
        <v>2400</v>
      </c>
      <c r="AV346" s="252">
        <f t="shared" si="64"/>
        <v>0</v>
      </c>
      <c r="AW346" s="252"/>
      <c r="AX346" s="208" t="s">
        <v>1280</v>
      </c>
      <c r="AY346" s="208"/>
      <c r="AZ346" s="208"/>
      <c r="BA346" s="208"/>
      <c r="BB346" s="208" t="str">
        <f t="shared" si="57"/>
        <v>Kade Ltd.</v>
      </c>
      <c r="BC346" s="208" t="str">
        <f t="shared" si="58"/>
        <v>中国</v>
      </c>
    </row>
    <row r="347" s="194" customFormat="1" customHeight="1" spans="1:55">
      <c r="A347" s="208">
        <v>46130</v>
      </c>
      <c r="B347" s="208" t="str">
        <f ca="1" t="shared" si="61"/>
        <v/>
      </c>
      <c r="C347" s="211" t="str">
        <f>VLOOKUP(H347,名称!A:E,4,0)</f>
        <v>三代</v>
      </c>
      <c r="D347" s="220" t="s">
        <v>1496</v>
      </c>
      <c r="E347" s="220" t="s">
        <v>1726</v>
      </c>
      <c r="F347" s="220" t="s">
        <v>750</v>
      </c>
      <c r="G347" s="220" t="s">
        <v>751</v>
      </c>
      <c r="H347" s="220" t="s">
        <v>97</v>
      </c>
      <c r="I347" s="211"/>
      <c r="J347" s="270">
        <v>1080</v>
      </c>
      <c r="K347" s="223">
        <f>VLOOKUP(H347,名称!A:C,2,0)</f>
        <v>5</v>
      </c>
      <c r="L347" s="212">
        <f t="shared" si="63"/>
        <v>5400</v>
      </c>
      <c r="M347" s="211">
        <f>VLOOKUP(H347,名称!A:E,3,0)</f>
        <v>24</v>
      </c>
      <c r="N347" s="212">
        <f t="shared" si="54"/>
        <v>45</v>
      </c>
      <c r="O347" s="271">
        <v>46183</v>
      </c>
      <c r="P347" s="208">
        <f>O347</f>
        <v>46183</v>
      </c>
      <c r="Q347" s="256">
        <v>46184</v>
      </c>
      <c r="R347" s="211" t="s">
        <v>1241</v>
      </c>
      <c r="S347" s="208" t="s">
        <v>1133</v>
      </c>
      <c r="T347" s="211"/>
      <c r="U347" s="211"/>
      <c r="V347" s="211"/>
      <c r="W347" s="208"/>
      <c r="X347" s="220" t="s">
        <v>1248</v>
      </c>
      <c r="Y347" s="211" t="s">
        <v>1228</v>
      </c>
      <c r="Z347" s="213">
        <v>46139</v>
      </c>
      <c r="AA347" s="214">
        <v>46141</v>
      </c>
      <c r="AB347" s="213">
        <v>46148</v>
      </c>
      <c r="AC347" s="211" t="s">
        <v>1133</v>
      </c>
      <c r="AD347" s="211" t="s">
        <v>1133</v>
      </c>
      <c r="AE347" s="220" t="s">
        <v>510</v>
      </c>
      <c r="AF347" s="211" t="s">
        <v>1228</v>
      </c>
      <c r="AG347" s="220" t="s">
        <v>510</v>
      </c>
      <c r="AH347" s="211" t="s">
        <v>1133</v>
      </c>
      <c r="AI347" s="211" t="s">
        <v>1228</v>
      </c>
      <c r="AJ347" s="211" t="s">
        <v>1133</v>
      </c>
      <c r="AK347" s="211" t="s">
        <v>510</v>
      </c>
      <c r="AL347" s="211"/>
      <c r="AM347" s="211" t="s">
        <v>1727</v>
      </c>
      <c r="AN347" s="220" t="s">
        <v>1251</v>
      </c>
      <c r="AO347" s="215">
        <v>0.66</v>
      </c>
      <c r="AP347" s="216">
        <f t="shared" si="59"/>
        <v>712.8</v>
      </c>
      <c r="AQ347" s="216">
        <f t="shared" si="60"/>
        <v>5524.2</v>
      </c>
      <c r="AR347" s="269">
        <v>61199</v>
      </c>
      <c r="AS347" s="255">
        <v>46191</v>
      </c>
      <c r="AT347" s="208" t="s">
        <v>1220</v>
      </c>
      <c r="AU347" s="253">
        <v>1080</v>
      </c>
      <c r="AV347" s="252">
        <f t="shared" si="64"/>
        <v>0</v>
      </c>
      <c r="AW347" s="252"/>
      <c r="AX347" s="208"/>
      <c r="AY347" s="208"/>
      <c r="AZ347" s="208"/>
      <c r="BA347" s="208"/>
      <c r="BB347" s="208" t="str">
        <f t="shared" si="57"/>
        <v>Kade Ltd.</v>
      </c>
      <c r="BC347" s="208" t="str">
        <f t="shared" si="58"/>
        <v>中国</v>
      </c>
    </row>
    <row r="348" s="194" customFormat="1" customHeight="1" spans="1:55">
      <c r="A348" s="208">
        <v>46130</v>
      </c>
      <c r="B348" s="208" t="str">
        <f ca="1" t="shared" si="61"/>
        <v/>
      </c>
      <c r="C348" s="211" t="str">
        <f>VLOOKUP(H348,名称!A:E,4,0)</f>
        <v>三代</v>
      </c>
      <c r="D348" s="220" t="s">
        <v>1496</v>
      </c>
      <c r="E348" s="220" t="s">
        <v>1726</v>
      </c>
      <c r="F348" s="220" t="s">
        <v>750</v>
      </c>
      <c r="G348" s="220" t="s">
        <v>751</v>
      </c>
      <c r="H348" s="220" t="s">
        <v>98</v>
      </c>
      <c r="I348" s="211"/>
      <c r="J348" s="270">
        <v>900</v>
      </c>
      <c r="K348" s="223">
        <f>VLOOKUP(H348,名称!A:C,2,0)</f>
        <v>12</v>
      </c>
      <c r="L348" s="212">
        <f t="shared" si="63"/>
        <v>10800</v>
      </c>
      <c r="M348" s="211">
        <f>VLOOKUP(H348,名称!A:E,3,0)</f>
        <v>12</v>
      </c>
      <c r="N348" s="212">
        <f t="shared" ref="N348:N402" si="65">J348/M348</f>
        <v>75</v>
      </c>
      <c r="O348" s="271">
        <v>46183</v>
      </c>
      <c r="P348" s="208">
        <f>O348</f>
        <v>46183</v>
      </c>
      <c r="Q348" s="256">
        <v>46188</v>
      </c>
      <c r="R348" s="257" t="s">
        <v>1241</v>
      </c>
      <c r="S348" s="208" t="s">
        <v>1133</v>
      </c>
      <c r="T348" s="211"/>
      <c r="U348" s="211"/>
      <c r="V348" s="211"/>
      <c r="W348" s="208"/>
      <c r="X348" s="220" t="s">
        <v>1248</v>
      </c>
      <c r="Y348" s="211" t="s">
        <v>1228</v>
      </c>
      <c r="Z348" s="213">
        <v>46139</v>
      </c>
      <c r="AA348" s="214">
        <v>46141</v>
      </c>
      <c r="AB348" s="213">
        <v>46148</v>
      </c>
      <c r="AC348" s="211" t="s">
        <v>1302</v>
      </c>
      <c r="AD348" s="211" t="s">
        <v>1228</v>
      </c>
      <c r="AE348" s="220" t="s">
        <v>510</v>
      </c>
      <c r="AF348" s="211" t="s">
        <v>1228</v>
      </c>
      <c r="AG348" s="220" t="s">
        <v>510</v>
      </c>
      <c r="AH348" s="211" t="s">
        <v>1307</v>
      </c>
      <c r="AI348" s="211" t="s">
        <v>1228</v>
      </c>
      <c r="AJ348" s="211" t="s">
        <v>1133</v>
      </c>
      <c r="AK348" s="211" t="s">
        <v>1133</v>
      </c>
      <c r="AL348" s="211"/>
      <c r="AM348" s="211" t="s">
        <v>1727</v>
      </c>
      <c r="AN348" s="220" t="s">
        <v>1251</v>
      </c>
      <c r="AO348" s="215">
        <v>1.65</v>
      </c>
      <c r="AP348" s="216">
        <f t="shared" si="59"/>
        <v>1485</v>
      </c>
      <c r="AQ348" s="216">
        <f t="shared" si="60"/>
        <v>11508.75</v>
      </c>
      <c r="AR348" s="269">
        <v>61199</v>
      </c>
      <c r="AS348" s="255">
        <v>46191</v>
      </c>
      <c r="AT348" s="208" t="s">
        <v>1220</v>
      </c>
      <c r="AU348" s="253">
        <v>900</v>
      </c>
      <c r="AV348" s="252">
        <f t="shared" si="64"/>
        <v>0</v>
      </c>
      <c r="AW348" s="252"/>
      <c r="AX348" s="208" t="s">
        <v>1280</v>
      </c>
      <c r="AY348" s="208"/>
      <c r="AZ348" s="208"/>
      <c r="BA348" s="208"/>
      <c r="BB348" s="208" t="str">
        <f t="shared" si="57"/>
        <v>Kade Ltd.</v>
      </c>
      <c r="BC348" s="208" t="str">
        <f t="shared" si="58"/>
        <v>中国</v>
      </c>
    </row>
    <row r="349" s="194" customFormat="1" customHeight="1" spans="1:55">
      <c r="A349" s="208">
        <v>46130</v>
      </c>
      <c r="B349" s="208" t="str">
        <f ca="1" t="shared" si="61"/>
        <v/>
      </c>
      <c r="C349" s="209" t="str">
        <f>VLOOKUP(H349,名称!A:E,4,0)</f>
        <v>二代</v>
      </c>
      <c r="D349" s="268" t="s">
        <v>1496</v>
      </c>
      <c r="E349" s="268" t="s">
        <v>1224</v>
      </c>
      <c r="F349" s="268" t="s">
        <v>750</v>
      </c>
      <c r="G349" s="268" t="s">
        <v>751</v>
      </c>
      <c r="H349" s="268" t="s">
        <v>65</v>
      </c>
      <c r="I349" s="211"/>
      <c r="J349" s="272">
        <v>1080</v>
      </c>
      <c r="K349" s="223">
        <f>VLOOKUP(H349,名称!A:C,2,0)</f>
        <v>5</v>
      </c>
      <c r="L349" s="223">
        <f>K349*J349</f>
        <v>5400</v>
      </c>
      <c r="M349" s="211">
        <f>VLOOKUP(H349,名称!A:E,3,0)</f>
        <v>24</v>
      </c>
      <c r="N349" s="212">
        <f t="shared" si="65"/>
        <v>45</v>
      </c>
      <c r="O349" s="248">
        <v>46183</v>
      </c>
      <c r="P349" s="208">
        <f>O349</f>
        <v>46183</v>
      </c>
      <c r="Q349" s="208">
        <v>46184</v>
      </c>
      <c r="R349" s="211" t="s">
        <v>1241</v>
      </c>
      <c r="S349" s="208" t="s">
        <v>1771</v>
      </c>
      <c r="T349" s="211"/>
      <c r="U349" s="211"/>
      <c r="V349" s="211"/>
      <c r="W349" s="208" t="s">
        <v>1651</v>
      </c>
      <c r="X349" s="268" t="s">
        <v>1248</v>
      </c>
      <c r="Y349" s="211" t="s">
        <v>1228</v>
      </c>
      <c r="Z349" s="213">
        <v>46139</v>
      </c>
      <c r="AA349" s="214">
        <v>46141</v>
      </c>
      <c r="AB349" s="213">
        <v>46148</v>
      </c>
      <c r="AC349" s="211" t="s">
        <v>1133</v>
      </c>
      <c r="AD349" s="211" t="s">
        <v>1133</v>
      </c>
      <c r="AE349" s="268" t="s">
        <v>327</v>
      </c>
      <c r="AF349" s="211" t="s">
        <v>1228</v>
      </c>
      <c r="AG349" s="268" t="s">
        <v>327</v>
      </c>
      <c r="AH349" s="268" t="s">
        <v>327</v>
      </c>
      <c r="AI349" s="211" t="s">
        <v>1228</v>
      </c>
      <c r="AJ349" s="211" t="s">
        <v>1133</v>
      </c>
      <c r="AK349" s="211" t="s">
        <v>327</v>
      </c>
      <c r="AL349" s="212" t="s">
        <v>1228</v>
      </c>
      <c r="AM349" s="211" t="s">
        <v>1727</v>
      </c>
      <c r="AN349" s="268" t="s">
        <v>1251</v>
      </c>
      <c r="AO349" s="215">
        <v>0.65</v>
      </c>
      <c r="AP349" s="216">
        <f t="shared" si="59"/>
        <v>702</v>
      </c>
      <c r="AQ349" s="216">
        <f t="shared" si="60"/>
        <v>5440.5</v>
      </c>
      <c r="AR349" s="269">
        <v>61199</v>
      </c>
      <c r="AS349" s="255">
        <v>46191</v>
      </c>
      <c r="AT349" s="208" t="s">
        <v>1220</v>
      </c>
      <c r="AU349" s="208"/>
      <c r="AV349" s="208"/>
      <c r="AW349" s="208"/>
      <c r="AX349" s="208"/>
      <c r="AY349" s="208"/>
      <c r="AZ349" s="208"/>
      <c r="BA349" s="208"/>
      <c r="BB349" s="208" t="str">
        <f t="shared" si="57"/>
        <v>Kade Ltd.</v>
      </c>
      <c r="BC349" s="208" t="str">
        <f t="shared" si="58"/>
        <v>美国</v>
      </c>
    </row>
    <row r="350" s="195" customFormat="1" customHeight="1" spans="1:55">
      <c r="A350" s="227">
        <v>46170</v>
      </c>
      <c r="B350" s="208" t="str">
        <f ca="1" t="shared" si="61"/>
        <v/>
      </c>
      <c r="C350" s="209" t="str">
        <f>VLOOKUP(H350,名称!A:E,4,0)</f>
        <v>二代</v>
      </c>
      <c r="D350" s="242" t="s">
        <v>1252</v>
      </c>
      <c r="E350" s="242" t="s">
        <v>1325</v>
      </c>
      <c r="F350" s="242" t="s">
        <v>893</v>
      </c>
      <c r="G350" s="242" t="s">
        <v>894</v>
      </c>
      <c r="H350" s="242" t="s">
        <v>44</v>
      </c>
      <c r="I350" s="209"/>
      <c r="J350" s="243">
        <v>984</v>
      </c>
      <c r="K350" s="230"/>
      <c r="L350" s="229"/>
      <c r="M350" s="211">
        <f>VLOOKUP(H350,名称!A:E,3,0)</f>
        <v>24</v>
      </c>
      <c r="N350" s="212">
        <f t="shared" si="65"/>
        <v>41</v>
      </c>
      <c r="O350" s="244">
        <v>46171</v>
      </c>
      <c r="P350" s="244">
        <f>O350</f>
        <v>46171</v>
      </c>
      <c r="Q350" s="244">
        <f>P350</f>
        <v>46171</v>
      </c>
      <c r="R350" s="209" t="s">
        <v>1241</v>
      </c>
      <c r="S350" s="227">
        <v>46174</v>
      </c>
      <c r="T350" s="209" t="s">
        <v>1241</v>
      </c>
      <c r="U350" s="209"/>
      <c r="V350" s="209"/>
      <c r="W350" s="227"/>
      <c r="X350" s="242" t="s">
        <v>1133</v>
      </c>
      <c r="Y350" s="242" t="s">
        <v>1133</v>
      </c>
      <c r="Z350" s="232">
        <v>46106</v>
      </c>
      <c r="AA350" s="233">
        <v>46109</v>
      </c>
      <c r="AB350" s="232">
        <v>46111</v>
      </c>
      <c r="AC350" s="209" t="s">
        <v>1133</v>
      </c>
      <c r="AD350" s="209" t="s">
        <v>1133</v>
      </c>
      <c r="AE350" s="242" t="s">
        <v>253</v>
      </c>
      <c r="AF350" s="211" t="s">
        <v>1228</v>
      </c>
      <c r="AG350" s="242" t="s">
        <v>253</v>
      </c>
      <c r="AH350" s="209" t="s">
        <v>1133</v>
      </c>
      <c r="AI350" s="209" t="s">
        <v>1228</v>
      </c>
      <c r="AJ350" s="209" t="s">
        <v>1133</v>
      </c>
      <c r="AK350" s="242" t="s">
        <v>253</v>
      </c>
      <c r="AL350" s="209" t="s">
        <v>1228</v>
      </c>
      <c r="AM350" s="209"/>
      <c r="AN350" s="212" t="s">
        <v>1234</v>
      </c>
      <c r="AO350" s="215">
        <v>0.61</v>
      </c>
      <c r="AP350" s="235">
        <f t="shared" si="59"/>
        <v>600.24</v>
      </c>
      <c r="AQ350" s="235">
        <f t="shared" si="60"/>
        <v>4651.86</v>
      </c>
      <c r="AR350" s="269">
        <v>61200</v>
      </c>
      <c r="AS350" s="255">
        <v>46191</v>
      </c>
      <c r="AT350" s="208" t="s">
        <v>1254</v>
      </c>
      <c r="AU350" s="245"/>
      <c r="AV350" s="227"/>
      <c r="AW350" s="227"/>
      <c r="AX350" s="227"/>
      <c r="AY350" s="227" t="s">
        <v>1255</v>
      </c>
      <c r="AZ350" s="227"/>
      <c r="BA350" s="227"/>
      <c r="BB350" s="208" t="str">
        <f t="shared" si="57"/>
        <v>JAZWARES CA - LOBLAWS INC. DOM</v>
      </c>
      <c r="BC350" s="208" t="str">
        <f t="shared" si="58"/>
        <v>加拿大</v>
      </c>
    </row>
    <row r="351" s="195" customFormat="1" customHeight="1" spans="1:55">
      <c r="A351" s="227">
        <v>46170</v>
      </c>
      <c r="B351" s="208" t="str">
        <f ca="1" t="shared" si="61"/>
        <v/>
      </c>
      <c r="C351" s="209" t="str">
        <f>VLOOKUP(H351,名称!A:E,4,0)</f>
        <v>二代</v>
      </c>
      <c r="D351" s="242" t="s">
        <v>1252</v>
      </c>
      <c r="E351" s="242" t="s">
        <v>1325</v>
      </c>
      <c r="F351" s="242" t="s">
        <v>895</v>
      </c>
      <c r="G351" s="242" t="s">
        <v>896</v>
      </c>
      <c r="H351" s="242" t="s">
        <v>44</v>
      </c>
      <c r="I351" s="209"/>
      <c r="J351" s="243">
        <v>624</v>
      </c>
      <c r="K351" s="230"/>
      <c r="L351" s="229"/>
      <c r="M351" s="211">
        <f>VLOOKUP(H351,名称!A:E,3,0)</f>
        <v>24</v>
      </c>
      <c r="N351" s="212">
        <f t="shared" si="65"/>
        <v>26</v>
      </c>
      <c r="O351" s="244">
        <v>46171</v>
      </c>
      <c r="P351" s="244">
        <f>O351</f>
        <v>46171</v>
      </c>
      <c r="Q351" s="244">
        <f>P351</f>
        <v>46171</v>
      </c>
      <c r="R351" s="209" t="s">
        <v>1241</v>
      </c>
      <c r="S351" s="227">
        <v>46174</v>
      </c>
      <c r="T351" s="209" t="s">
        <v>1241</v>
      </c>
      <c r="U351" s="209"/>
      <c r="V351" s="209"/>
      <c r="W351" s="227"/>
      <c r="X351" s="242" t="s">
        <v>1133</v>
      </c>
      <c r="Y351" s="242" t="s">
        <v>1133</v>
      </c>
      <c r="Z351" s="232">
        <v>46106</v>
      </c>
      <c r="AA351" s="233">
        <v>46109</v>
      </c>
      <c r="AB351" s="232">
        <v>46111</v>
      </c>
      <c r="AC351" s="209" t="s">
        <v>1133</v>
      </c>
      <c r="AD351" s="209" t="s">
        <v>1133</v>
      </c>
      <c r="AE351" s="242" t="s">
        <v>253</v>
      </c>
      <c r="AF351" s="211" t="s">
        <v>1228</v>
      </c>
      <c r="AG351" s="242" t="s">
        <v>253</v>
      </c>
      <c r="AH351" s="209" t="s">
        <v>1133</v>
      </c>
      <c r="AI351" s="209" t="s">
        <v>1228</v>
      </c>
      <c r="AJ351" s="209" t="s">
        <v>1133</v>
      </c>
      <c r="AK351" s="242" t="s">
        <v>253</v>
      </c>
      <c r="AL351" s="209" t="s">
        <v>1228</v>
      </c>
      <c r="AM351" s="209"/>
      <c r="AN351" s="212" t="s">
        <v>1234</v>
      </c>
      <c r="AO351" s="215">
        <v>0.61</v>
      </c>
      <c r="AP351" s="235">
        <f t="shared" si="59"/>
        <v>380.64</v>
      </c>
      <c r="AQ351" s="235">
        <f t="shared" si="60"/>
        <v>2949.96</v>
      </c>
      <c r="AR351" s="269">
        <v>61351</v>
      </c>
      <c r="AS351" s="255">
        <v>46191</v>
      </c>
      <c r="AT351" s="208" t="s">
        <v>1254</v>
      </c>
      <c r="AU351" s="245"/>
      <c r="AV351" s="227"/>
      <c r="AW351" s="227"/>
      <c r="AX351" s="227"/>
      <c r="AY351" s="227" t="s">
        <v>1255</v>
      </c>
      <c r="AZ351" s="227"/>
      <c r="BA351" s="227"/>
      <c r="BB351" s="208" t="str">
        <f t="shared" si="57"/>
        <v>JAZWARES CA - LOBLAWS INC. DOM</v>
      </c>
      <c r="BC351" s="208" t="str">
        <f t="shared" si="58"/>
        <v>加拿大</v>
      </c>
    </row>
    <row r="352" s="194" customFormat="1" customHeight="1" spans="1:55">
      <c r="A352" s="208">
        <v>46090</v>
      </c>
      <c r="B352" s="208" t="str">
        <f ca="1" t="shared" si="61"/>
        <v/>
      </c>
      <c r="C352" s="211" t="str">
        <f>VLOOKUP(H352,名称!A:E,4,0)</f>
        <v>三代</v>
      </c>
      <c r="D352" s="210" t="s">
        <v>1530</v>
      </c>
      <c r="E352" s="210" t="s">
        <v>1531</v>
      </c>
      <c r="F352" s="211"/>
      <c r="G352" s="211" t="s">
        <v>542</v>
      </c>
      <c r="H352" s="211" t="s">
        <v>109</v>
      </c>
      <c r="I352" s="211"/>
      <c r="J352" s="212">
        <v>2424</v>
      </c>
      <c r="K352" s="223">
        <f>VLOOKUP(H352,名称!A:C,2,0)</f>
        <v>0</v>
      </c>
      <c r="L352" s="212">
        <f t="shared" ref="L352:L386" si="66">J352*K352</f>
        <v>0</v>
      </c>
      <c r="M352" s="211">
        <f>VLOOKUP(H352,名称!A:E,3,0)</f>
        <v>24</v>
      </c>
      <c r="N352" s="212">
        <f t="shared" si="65"/>
        <v>101</v>
      </c>
      <c r="O352" s="208">
        <v>46148</v>
      </c>
      <c r="P352" s="208">
        <v>46181</v>
      </c>
      <c r="Q352" s="208">
        <v>46181</v>
      </c>
      <c r="R352" s="211" t="s">
        <v>1241</v>
      </c>
      <c r="S352" s="208" t="s">
        <v>1133</v>
      </c>
      <c r="T352" s="211"/>
      <c r="U352" s="211"/>
      <c r="V352" s="211"/>
      <c r="W352" s="208"/>
      <c r="X352" s="211" t="s">
        <v>1248</v>
      </c>
      <c r="Y352" s="211" t="s">
        <v>1228</v>
      </c>
      <c r="Z352" s="211" t="s">
        <v>1249</v>
      </c>
      <c r="AA352" s="214">
        <v>46109</v>
      </c>
      <c r="AB352" s="213">
        <v>46141</v>
      </c>
      <c r="AC352" s="211" t="s">
        <v>1133</v>
      </c>
      <c r="AD352" s="211" t="s">
        <v>1133</v>
      </c>
      <c r="AE352" s="211" t="s">
        <v>510</v>
      </c>
      <c r="AF352" s="211" t="s">
        <v>1228</v>
      </c>
      <c r="AG352" s="211" t="s">
        <v>510</v>
      </c>
      <c r="AH352" s="211" t="s">
        <v>1133</v>
      </c>
      <c r="AI352" s="211" t="s">
        <v>1228</v>
      </c>
      <c r="AJ352" s="211" t="s">
        <v>1133</v>
      </c>
      <c r="AK352" s="211" t="s">
        <v>510</v>
      </c>
      <c r="AL352" s="211"/>
      <c r="AM352" s="211" t="s">
        <v>1359</v>
      </c>
      <c r="AN352" s="212" t="s">
        <v>1251</v>
      </c>
      <c r="AO352" s="215">
        <v>0.59</v>
      </c>
      <c r="AP352" s="216">
        <f t="shared" si="59"/>
        <v>1430.16</v>
      </c>
      <c r="AQ352" s="216">
        <f t="shared" si="60"/>
        <v>11083.74</v>
      </c>
      <c r="AR352" s="269">
        <v>61352</v>
      </c>
      <c r="AS352" s="255">
        <v>46191</v>
      </c>
      <c r="AT352" s="208" t="s">
        <v>1220</v>
      </c>
      <c r="AU352" s="251"/>
      <c r="AV352" s="252">
        <f t="shared" ref="AV352:AV386" si="67">AU352-J352</f>
        <v>-2424</v>
      </c>
      <c r="AW352" s="252"/>
      <c r="AX352" s="208"/>
      <c r="AY352" s="208"/>
      <c r="AZ352" s="208"/>
      <c r="BA352" s="208"/>
      <c r="BB352" s="208" t="str">
        <f t="shared" si="57"/>
        <v>Playkit Phils Inc</v>
      </c>
      <c r="BC352" s="208" t="str">
        <f t="shared" si="58"/>
        <v>菲律宾</v>
      </c>
    </row>
    <row r="353" s="194" customFormat="1" customHeight="1" spans="1:55">
      <c r="A353" s="208">
        <v>46090</v>
      </c>
      <c r="B353" s="208" t="str">
        <f ca="1" t="shared" si="61"/>
        <v/>
      </c>
      <c r="C353" s="211" t="str">
        <f>VLOOKUP(H353,名称!A:E,4,0)</f>
        <v>三代</v>
      </c>
      <c r="D353" s="210" t="s">
        <v>1530</v>
      </c>
      <c r="E353" s="210" t="s">
        <v>1531</v>
      </c>
      <c r="F353" s="211"/>
      <c r="G353" s="211" t="s">
        <v>542</v>
      </c>
      <c r="H353" s="211" t="s">
        <v>110</v>
      </c>
      <c r="I353" s="211"/>
      <c r="J353" s="212">
        <v>1224</v>
      </c>
      <c r="K353" s="223">
        <f>VLOOKUP(H353,名称!A:C,2,0)</f>
        <v>0</v>
      </c>
      <c r="L353" s="212">
        <f t="shared" si="66"/>
        <v>0</v>
      </c>
      <c r="M353" s="211">
        <f>VLOOKUP(H353,名称!A:E,3,0)</f>
        <v>24</v>
      </c>
      <c r="N353" s="212">
        <f t="shared" si="65"/>
        <v>51</v>
      </c>
      <c r="O353" s="208">
        <v>46148</v>
      </c>
      <c r="P353" s="208">
        <v>46181</v>
      </c>
      <c r="Q353" s="208">
        <v>46181</v>
      </c>
      <c r="R353" s="211" t="s">
        <v>1241</v>
      </c>
      <c r="S353" s="208" t="s">
        <v>1133</v>
      </c>
      <c r="T353" s="211"/>
      <c r="U353" s="211"/>
      <c r="V353" s="211"/>
      <c r="W353" s="208"/>
      <c r="X353" s="211" t="s">
        <v>1248</v>
      </c>
      <c r="Y353" s="211" t="s">
        <v>1228</v>
      </c>
      <c r="Z353" s="211" t="s">
        <v>1249</v>
      </c>
      <c r="AA353" s="214">
        <v>46109</v>
      </c>
      <c r="AB353" s="213">
        <v>46141</v>
      </c>
      <c r="AC353" s="211" t="s">
        <v>1133</v>
      </c>
      <c r="AD353" s="211" t="s">
        <v>1133</v>
      </c>
      <c r="AE353" s="211" t="s">
        <v>510</v>
      </c>
      <c r="AF353" s="211" t="s">
        <v>1228</v>
      </c>
      <c r="AG353" s="211" t="s">
        <v>510</v>
      </c>
      <c r="AH353" s="211" t="s">
        <v>1133</v>
      </c>
      <c r="AI353" s="211" t="s">
        <v>1228</v>
      </c>
      <c r="AJ353" s="211" t="s">
        <v>1133</v>
      </c>
      <c r="AK353" s="211" t="s">
        <v>510</v>
      </c>
      <c r="AL353" s="211"/>
      <c r="AM353" s="211" t="s">
        <v>1359</v>
      </c>
      <c r="AN353" s="212" t="s">
        <v>1251</v>
      </c>
      <c r="AO353" s="215">
        <v>0.59</v>
      </c>
      <c r="AP353" s="216">
        <f t="shared" si="59"/>
        <v>722.16</v>
      </c>
      <c r="AQ353" s="216">
        <f t="shared" si="60"/>
        <v>5596.74</v>
      </c>
      <c r="AR353" s="269">
        <v>61352</v>
      </c>
      <c r="AS353" s="255">
        <v>46191</v>
      </c>
      <c r="AT353" s="208" t="s">
        <v>1220</v>
      </c>
      <c r="AU353" s="251"/>
      <c r="AV353" s="252">
        <f t="shared" si="67"/>
        <v>-1224</v>
      </c>
      <c r="AW353" s="252"/>
      <c r="AX353" s="208"/>
      <c r="AY353" s="208"/>
      <c r="AZ353" s="208"/>
      <c r="BA353" s="208"/>
      <c r="BB353" s="208" t="str">
        <f t="shared" si="57"/>
        <v>Playkit Phils Inc</v>
      </c>
      <c r="BC353" s="208" t="str">
        <f t="shared" si="58"/>
        <v>菲律宾</v>
      </c>
    </row>
    <row r="354" s="194" customFormat="1" customHeight="1" spans="1:55">
      <c r="A354" s="208">
        <v>46090</v>
      </c>
      <c r="B354" s="208" t="str">
        <f ca="1" t="shared" si="61"/>
        <v/>
      </c>
      <c r="C354" s="211" t="str">
        <f>VLOOKUP(H354,名称!A:E,4,0)</f>
        <v>三代</v>
      </c>
      <c r="D354" s="210" t="s">
        <v>1530</v>
      </c>
      <c r="E354" s="210" t="s">
        <v>1531</v>
      </c>
      <c r="F354" s="211"/>
      <c r="G354" s="211" t="s">
        <v>542</v>
      </c>
      <c r="H354" s="211" t="s">
        <v>99</v>
      </c>
      <c r="I354" s="211"/>
      <c r="J354" s="212">
        <v>9408</v>
      </c>
      <c r="K354" s="223">
        <f>VLOOKUP(H354,名称!A:C,2,0)</f>
        <v>7</v>
      </c>
      <c r="L354" s="212">
        <f t="shared" si="66"/>
        <v>65856</v>
      </c>
      <c r="M354" s="211">
        <f>VLOOKUP(H354,名称!A:E,3,0)</f>
        <v>24</v>
      </c>
      <c r="N354" s="212">
        <f t="shared" si="65"/>
        <v>392</v>
      </c>
      <c r="O354" s="208">
        <v>46148</v>
      </c>
      <c r="P354" s="208">
        <v>46181</v>
      </c>
      <c r="Q354" s="208">
        <v>46181</v>
      </c>
      <c r="R354" s="211" t="s">
        <v>1241</v>
      </c>
      <c r="S354" s="208" t="s">
        <v>1133</v>
      </c>
      <c r="T354" s="211"/>
      <c r="U354" s="211"/>
      <c r="V354" s="211"/>
      <c r="W354" s="208"/>
      <c r="X354" s="211" t="s">
        <v>1248</v>
      </c>
      <c r="Y354" s="211" t="s">
        <v>1228</v>
      </c>
      <c r="Z354" s="211" t="s">
        <v>1249</v>
      </c>
      <c r="AA354" s="214">
        <v>46109</v>
      </c>
      <c r="AB354" s="213">
        <v>46141</v>
      </c>
      <c r="AC354" s="211" t="s">
        <v>1284</v>
      </c>
      <c r="AD354" s="211" t="s">
        <v>1228</v>
      </c>
      <c r="AE354" s="211" t="s">
        <v>510</v>
      </c>
      <c r="AF354" s="211" t="s">
        <v>1228</v>
      </c>
      <c r="AG354" s="211" t="s">
        <v>510</v>
      </c>
      <c r="AH354" s="211" t="s">
        <v>1307</v>
      </c>
      <c r="AI354" s="211" t="s">
        <v>1228</v>
      </c>
      <c r="AJ354" s="211" t="s">
        <v>1133</v>
      </c>
      <c r="AK354" s="211" t="s">
        <v>1133</v>
      </c>
      <c r="AL354" s="211" t="s">
        <v>1228</v>
      </c>
      <c r="AM354" s="211" t="s">
        <v>1359</v>
      </c>
      <c r="AN354" s="212" t="s">
        <v>1251</v>
      </c>
      <c r="AO354" s="215">
        <v>0.87</v>
      </c>
      <c r="AP354" s="216">
        <f t="shared" si="59"/>
        <v>8184.96</v>
      </c>
      <c r="AQ354" s="216">
        <f t="shared" si="60"/>
        <v>63433.44</v>
      </c>
      <c r="AR354" s="269">
        <v>61352</v>
      </c>
      <c r="AS354" s="255">
        <v>46191</v>
      </c>
      <c r="AT354" s="208" t="s">
        <v>1220</v>
      </c>
      <c r="AU354" s="251">
        <f>9216+192</f>
        <v>9408</v>
      </c>
      <c r="AV354" s="252">
        <f t="shared" si="67"/>
        <v>0</v>
      </c>
      <c r="AW354" s="252"/>
      <c r="AX354" s="208" t="s">
        <v>1280</v>
      </c>
      <c r="AY354" s="208"/>
      <c r="AZ354" s="208"/>
      <c r="BA354" s="208"/>
      <c r="BB354" s="208" t="str">
        <f t="shared" si="57"/>
        <v>Playkit Phils Inc</v>
      </c>
      <c r="BC354" s="208" t="str">
        <f t="shared" si="58"/>
        <v>菲律宾</v>
      </c>
    </row>
    <row r="355" s="194" customFormat="1" customHeight="1" spans="1:55">
      <c r="A355" s="208">
        <v>46090</v>
      </c>
      <c r="B355" s="208" t="str">
        <f ca="1" t="shared" si="61"/>
        <v/>
      </c>
      <c r="C355" s="211" t="str">
        <f>VLOOKUP(H355,名称!A:E,4,0)</f>
        <v>三代</v>
      </c>
      <c r="D355" s="210" t="s">
        <v>1530</v>
      </c>
      <c r="E355" s="210" t="s">
        <v>1531</v>
      </c>
      <c r="F355" s="211"/>
      <c r="G355" s="211" t="s">
        <v>542</v>
      </c>
      <c r="H355" s="211" t="s">
        <v>59</v>
      </c>
      <c r="I355" s="211"/>
      <c r="J355" s="212">
        <v>9408</v>
      </c>
      <c r="K355" s="223">
        <f>VLOOKUP(H355,名称!A:C,2,0)</f>
        <v>5</v>
      </c>
      <c r="L355" s="212">
        <f t="shared" si="66"/>
        <v>47040</v>
      </c>
      <c r="M355" s="211">
        <f>VLOOKUP(H355,名称!A:E,3,0)</f>
        <v>24</v>
      </c>
      <c r="N355" s="212">
        <f t="shared" si="65"/>
        <v>392</v>
      </c>
      <c r="O355" s="208">
        <v>46148</v>
      </c>
      <c r="P355" s="208">
        <v>46181</v>
      </c>
      <c r="Q355" s="208">
        <v>46181</v>
      </c>
      <c r="R355" s="211" t="s">
        <v>1241</v>
      </c>
      <c r="S355" s="208" t="s">
        <v>1133</v>
      </c>
      <c r="T355" s="211"/>
      <c r="U355" s="211"/>
      <c r="V355" s="211"/>
      <c r="W355" s="208"/>
      <c r="X355" s="211" t="s">
        <v>1248</v>
      </c>
      <c r="Y355" s="211" t="s">
        <v>1228</v>
      </c>
      <c r="Z355" s="211" t="s">
        <v>1249</v>
      </c>
      <c r="AA355" s="214">
        <v>46109</v>
      </c>
      <c r="AB355" s="213">
        <v>46141</v>
      </c>
      <c r="AC355" s="211" t="s">
        <v>1133</v>
      </c>
      <c r="AD355" s="211" t="s">
        <v>1133</v>
      </c>
      <c r="AE355" s="211" t="s">
        <v>510</v>
      </c>
      <c r="AF355" s="211" t="s">
        <v>1228</v>
      </c>
      <c r="AG355" s="211" t="s">
        <v>510</v>
      </c>
      <c r="AH355" s="211" t="s">
        <v>1133</v>
      </c>
      <c r="AI355" s="211" t="s">
        <v>1228</v>
      </c>
      <c r="AJ355" s="211" t="s">
        <v>1133</v>
      </c>
      <c r="AK355" s="211" t="s">
        <v>510</v>
      </c>
      <c r="AL355" s="211"/>
      <c r="AM355" s="211" t="s">
        <v>1359</v>
      </c>
      <c r="AN355" s="212" t="s">
        <v>1251</v>
      </c>
      <c r="AO355" s="215">
        <v>0.62</v>
      </c>
      <c r="AP355" s="216">
        <f t="shared" si="59"/>
        <v>5832.96</v>
      </c>
      <c r="AQ355" s="216">
        <f t="shared" si="60"/>
        <v>45205.44</v>
      </c>
      <c r="AR355" s="269">
        <v>61352</v>
      </c>
      <c r="AS355" s="255">
        <v>46191</v>
      </c>
      <c r="AT355" s="208" t="s">
        <v>1220</v>
      </c>
      <c r="AU355" s="251">
        <f>9168+240</f>
        <v>9408</v>
      </c>
      <c r="AV355" s="252">
        <f t="shared" si="67"/>
        <v>0</v>
      </c>
      <c r="AW355" s="252"/>
      <c r="AX355" s="208" t="s">
        <v>1280</v>
      </c>
      <c r="AY355" s="208"/>
      <c r="AZ355" s="208"/>
      <c r="BA355" s="208"/>
      <c r="BB355" s="208" t="str">
        <f t="shared" si="57"/>
        <v>Playkit Phils Inc</v>
      </c>
      <c r="BC355" s="208" t="str">
        <f t="shared" si="58"/>
        <v>菲律宾</v>
      </c>
    </row>
    <row r="356" s="194" customFormat="1" customHeight="1" spans="1:55">
      <c r="A356" s="208">
        <v>46090</v>
      </c>
      <c r="B356" s="208" t="str">
        <f ca="1" t="shared" si="61"/>
        <v/>
      </c>
      <c r="C356" s="211" t="str">
        <f>VLOOKUP(H356,名称!A:E,4,0)</f>
        <v>三代</v>
      </c>
      <c r="D356" s="210" t="s">
        <v>1530</v>
      </c>
      <c r="E356" s="210" t="s">
        <v>1531</v>
      </c>
      <c r="F356" s="211"/>
      <c r="G356" s="211" t="s">
        <v>542</v>
      </c>
      <c r="H356" s="211" t="s">
        <v>66</v>
      </c>
      <c r="I356" s="211"/>
      <c r="J356" s="212">
        <v>1512</v>
      </c>
      <c r="K356" s="223">
        <f>VLOOKUP(H356,名称!A:C,2,0)</f>
        <v>12</v>
      </c>
      <c r="L356" s="212">
        <f t="shared" si="66"/>
        <v>18144</v>
      </c>
      <c r="M356" s="211">
        <f>VLOOKUP(H356,名称!A:E,3,0)</f>
        <v>6</v>
      </c>
      <c r="N356" s="212">
        <f t="shared" si="65"/>
        <v>252</v>
      </c>
      <c r="O356" s="208">
        <v>46148</v>
      </c>
      <c r="P356" s="208">
        <v>46181</v>
      </c>
      <c r="Q356" s="208">
        <v>46181</v>
      </c>
      <c r="R356" s="211" t="s">
        <v>1241</v>
      </c>
      <c r="S356" s="208" t="s">
        <v>1133</v>
      </c>
      <c r="T356" s="211"/>
      <c r="U356" s="211"/>
      <c r="V356" s="211"/>
      <c r="W356" s="208"/>
      <c r="X356" s="211" t="s">
        <v>1248</v>
      </c>
      <c r="Y356" s="211" t="s">
        <v>1228</v>
      </c>
      <c r="Z356" s="211" t="s">
        <v>1249</v>
      </c>
      <c r="AA356" s="214">
        <v>46109</v>
      </c>
      <c r="AB356" s="213">
        <v>46141</v>
      </c>
      <c r="AC356" s="211" t="s">
        <v>1318</v>
      </c>
      <c r="AD356" s="211" t="s">
        <v>1228</v>
      </c>
      <c r="AE356" s="211" t="s">
        <v>510</v>
      </c>
      <c r="AF356" s="211" t="s">
        <v>1228</v>
      </c>
      <c r="AG356" s="211" t="s">
        <v>510</v>
      </c>
      <c r="AH356" s="211" t="s">
        <v>1307</v>
      </c>
      <c r="AI356" s="211" t="s">
        <v>1228</v>
      </c>
      <c r="AJ356" s="211" t="s">
        <v>510</v>
      </c>
      <c r="AK356" s="211" t="s">
        <v>1133</v>
      </c>
      <c r="AL356" s="211"/>
      <c r="AM356" s="211" t="s">
        <v>1359</v>
      </c>
      <c r="AN356" s="212" t="s">
        <v>1251</v>
      </c>
      <c r="AO356" s="215">
        <v>2.02</v>
      </c>
      <c r="AP356" s="216">
        <f t="shared" si="59"/>
        <v>3054.24</v>
      </c>
      <c r="AQ356" s="216">
        <f t="shared" si="60"/>
        <v>23670.36</v>
      </c>
      <c r="AR356" s="269">
        <v>61352</v>
      </c>
      <c r="AS356" s="255">
        <v>46191</v>
      </c>
      <c r="AT356" s="208" t="s">
        <v>1220</v>
      </c>
      <c r="AU356" s="251">
        <v>1512</v>
      </c>
      <c r="AV356" s="252">
        <f t="shared" si="67"/>
        <v>0</v>
      </c>
      <c r="AW356" s="252"/>
      <c r="AX356" s="208" t="s">
        <v>1280</v>
      </c>
      <c r="AY356" s="208"/>
      <c r="AZ356" s="208"/>
      <c r="BA356" s="208"/>
      <c r="BB356" s="208" t="str">
        <f t="shared" si="57"/>
        <v>Playkit Phils Inc</v>
      </c>
      <c r="BC356" s="208" t="str">
        <f t="shared" si="58"/>
        <v>菲律宾</v>
      </c>
    </row>
    <row r="357" s="194" customFormat="1" customHeight="1" spans="1:55">
      <c r="A357" s="208">
        <v>46090</v>
      </c>
      <c r="B357" s="208" t="str">
        <f ca="1" t="shared" si="61"/>
        <v/>
      </c>
      <c r="C357" s="211" t="str">
        <f>VLOOKUP(H357,名称!A:E,4,0)</f>
        <v>三代</v>
      </c>
      <c r="D357" s="210" t="s">
        <v>1530</v>
      </c>
      <c r="E357" s="210" t="s">
        <v>1531</v>
      </c>
      <c r="F357" s="211"/>
      <c r="G357" s="211" t="s">
        <v>542</v>
      </c>
      <c r="H357" s="211" t="s">
        <v>68</v>
      </c>
      <c r="I357" s="211"/>
      <c r="J357" s="212">
        <v>1212</v>
      </c>
      <c r="K357" s="223">
        <f>VLOOKUP(H357,名称!A:C,2,0)</f>
        <v>32</v>
      </c>
      <c r="L357" s="212">
        <f t="shared" si="66"/>
        <v>38784</v>
      </c>
      <c r="M357" s="211">
        <f>VLOOKUP(H357,名称!A:E,3,0)</f>
        <v>4</v>
      </c>
      <c r="N357" s="212">
        <f t="shared" si="65"/>
        <v>303</v>
      </c>
      <c r="O357" s="208">
        <v>46148</v>
      </c>
      <c r="P357" s="208">
        <v>46181</v>
      </c>
      <c r="Q357" s="208">
        <v>46181</v>
      </c>
      <c r="R357" s="211" t="s">
        <v>1241</v>
      </c>
      <c r="S357" s="208" t="s">
        <v>1133</v>
      </c>
      <c r="T357" s="211"/>
      <c r="U357" s="211"/>
      <c r="V357" s="211"/>
      <c r="W357" s="208"/>
      <c r="X357" s="211" t="s">
        <v>1248</v>
      </c>
      <c r="Y357" s="211" t="s">
        <v>1228</v>
      </c>
      <c r="Z357" s="211" t="s">
        <v>1249</v>
      </c>
      <c r="AA357" s="214">
        <v>46109</v>
      </c>
      <c r="AB357" s="213">
        <v>46141</v>
      </c>
      <c r="AC357" s="211" t="s">
        <v>1133</v>
      </c>
      <c r="AD357" s="211" t="s">
        <v>1133</v>
      </c>
      <c r="AE357" s="211" t="s">
        <v>510</v>
      </c>
      <c r="AF357" s="211" t="s">
        <v>1228</v>
      </c>
      <c r="AG357" s="211" t="s">
        <v>510</v>
      </c>
      <c r="AH357" s="211" t="s">
        <v>1307</v>
      </c>
      <c r="AI357" s="211" t="s">
        <v>1228</v>
      </c>
      <c r="AJ357" s="211" t="s">
        <v>1133</v>
      </c>
      <c r="AK357" s="211" t="s">
        <v>1133</v>
      </c>
      <c r="AL357" s="211"/>
      <c r="AM357" s="211" t="s">
        <v>1359</v>
      </c>
      <c r="AN357" s="212" t="s">
        <v>1251</v>
      </c>
      <c r="AO357" s="215">
        <v>3.09</v>
      </c>
      <c r="AP357" s="216">
        <f t="shared" si="59"/>
        <v>3745.08</v>
      </c>
      <c r="AQ357" s="216">
        <f t="shared" si="60"/>
        <v>29024.37</v>
      </c>
      <c r="AR357" s="224" t="s">
        <v>1772</v>
      </c>
      <c r="AS357" s="255">
        <v>46191</v>
      </c>
      <c r="AT357" s="208" t="s">
        <v>1220</v>
      </c>
      <c r="AU357" s="251">
        <v>1212</v>
      </c>
      <c r="AV357" s="252">
        <f t="shared" si="67"/>
        <v>0</v>
      </c>
      <c r="AW357" s="252"/>
      <c r="AX357" s="208" t="s">
        <v>1280</v>
      </c>
      <c r="AY357" s="208"/>
      <c r="AZ357" s="208"/>
      <c r="BA357" s="208"/>
      <c r="BB357" s="208" t="str">
        <f t="shared" si="57"/>
        <v>Playkit Phils Inc</v>
      </c>
      <c r="BC357" s="208" t="str">
        <f t="shared" si="58"/>
        <v>菲律宾</v>
      </c>
    </row>
    <row r="358" s="194" customFormat="1" customHeight="1" spans="1:55">
      <c r="A358" s="208">
        <v>46090</v>
      </c>
      <c r="B358" s="208" t="str">
        <f ca="1" t="shared" si="61"/>
        <v/>
      </c>
      <c r="C358" s="211" t="str">
        <f>VLOOKUP(H358,名称!A:E,4,0)</f>
        <v>三代</v>
      </c>
      <c r="D358" s="210" t="s">
        <v>1530</v>
      </c>
      <c r="E358" s="210" t="s">
        <v>1531</v>
      </c>
      <c r="F358" s="211"/>
      <c r="G358" s="211" t="s">
        <v>542</v>
      </c>
      <c r="H358" s="211" t="s">
        <v>112</v>
      </c>
      <c r="I358" s="211"/>
      <c r="J358" s="212">
        <v>808</v>
      </c>
      <c r="K358" s="223">
        <f>VLOOKUP(H358,名称!A:C,2,0)</f>
        <v>50</v>
      </c>
      <c r="L358" s="212">
        <f t="shared" si="66"/>
        <v>40400</v>
      </c>
      <c r="M358" s="211">
        <f>VLOOKUP(H358,名称!A:E,3,0)</f>
        <v>2</v>
      </c>
      <c r="N358" s="212">
        <f t="shared" si="65"/>
        <v>404</v>
      </c>
      <c r="O358" s="208">
        <v>46148</v>
      </c>
      <c r="P358" s="208">
        <v>46181</v>
      </c>
      <c r="Q358" s="208">
        <v>46181</v>
      </c>
      <c r="R358" s="211" t="s">
        <v>1241</v>
      </c>
      <c r="S358" s="208" t="s">
        <v>1133</v>
      </c>
      <c r="T358" s="211"/>
      <c r="U358" s="211"/>
      <c r="V358" s="211"/>
      <c r="W358" s="208"/>
      <c r="X358" s="211" t="s">
        <v>1248</v>
      </c>
      <c r="Y358" s="211" t="s">
        <v>1228</v>
      </c>
      <c r="Z358" s="211" t="s">
        <v>1249</v>
      </c>
      <c r="AA358" s="214">
        <v>46109</v>
      </c>
      <c r="AB358" s="213">
        <v>46141</v>
      </c>
      <c r="AC358" s="211" t="s">
        <v>1133</v>
      </c>
      <c r="AD358" s="211" t="s">
        <v>1133</v>
      </c>
      <c r="AE358" s="211" t="s">
        <v>510</v>
      </c>
      <c r="AF358" s="211" t="s">
        <v>1228</v>
      </c>
      <c r="AG358" s="211" t="s">
        <v>510</v>
      </c>
      <c r="AH358" s="211" t="s">
        <v>1133</v>
      </c>
      <c r="AI358" s="211" t="s">
        <v>1228</v>
      </c>
      <c r="AJ358" s="211" t="s">
        <v>1133</v>
      </c>
      <c r="AK358" s="211" t="s">
        <v>1356</v>
      </c>
      <c r="AL358" s="211"/>
      <c r="AM358" s="211" t="s">
        <v>1359</v>
      </c>
      <c r="AN358" s="212" t="s">
        <v>1251</v>
      </c>
      <c r="AO358" s="215">
        <v>9.12</v>
      </c>
      <c r="AP358" s="216">
        <f t="shared" si="59"/>
        <v>7368.96</v>
      </c>
      <c r="AQ358" s="216">
        <f t="shared" si="60"/>
        <v>57109.44</v>
      </c>
      <c r="AR358" s="269">
        <v>61352</v>
      </c>
      <c r="AS358" s="255">
        <v>46191</v>
      </c>
      <c r="AT358" s="208" t="s">
        <v>1220</v>
      </c>
      <c r="AU358" s="251"/>
      <c r="AV358" s="252">
        <f t="shared" si="67"/>
        <v>-808</v>
      </c>
      <c r="AW358" s="252"/>
      <c r="AX358" s="208"/>
      <c r="AY358" s="208"/>
      <c r="AZ358" s="208"/>
      <c r="BA358" s="208"/>
      <c r="BB358" s="208" t="str">
        <f t="shared" si="57"/>
        <v>Playkit Phils Inc</v>
      </c>
      <c r="BC358" s="208" t="str">
        <f t="shared" si="58"/>
        <v>菲律宾</v>
      </c>
    </row>
    <row r="359" s="194" customFormat="1" customHeight="1" spans="1:55">
      <c r="A359" s="208">
        <v>46090</v>
      </c>
      <c r="B359" s="208" t="str">
        <f ca="1" t="shared" si="61"/>
        <v/>
      </c>
      <c r="C359" s="211" t="str">
        <f>VLOOKUP(H359,名称!A:E,4,0)</f>
        <v>三代</v>
      </c>
      <c r="D359" s="210" t="s">
        <v>1530</v>
      </c>
      <c r="E359" s="210" t="s">
        <v>1531</v>
      </c>
      <c r="F359" s="211"/>
      <c r="G359" s="211" t="s">
        <v>542</v>
      </c>
      <c r="H359" s="211" t="s">
        <v>72</v>
      </c>
      <c r="I359" s="211"/>
      <c r="J359" s="212">
        <v>2424</v>
      </c>
      <c r="K359" s="223">
        <f>VLOOKUP(H359,名称!A:C,2,0)</f>
        <v>12</v>
      </c>
      <c r="L359" s="212">
        <f t="shared" si="66"/>
        <v>29088</v>
      </c>
      <c r="M359" s="211">
        <f>VLOOKUP(H359,名称!A:E,3,0)</f>
        <v>12</v>
      </c>
      <c r="N359" s="212">
        <f t="shared" si="65"/>
        <v>202</v>
      </c>
      <c r="O359" s="208">
        <v>46148</v>
      </c>
      <c r="P359" s="208">
        <v>46181</v>
      </c>
      <c r="Q359" s="208">
        <v>46181</v>
      </c>
      <c r="R359" s="211" t="s">
        <v>1241</v>
      </c>
      <c r="S359" s="208" t="s">
        <v>1133</v>
      </c>
      <c r="T359" s="211"/>
      <c r="U359" s="211"/>
      <c r="V359" s="211"/>
      <c r="W359" s="208"/>
      <c r="X359" s="211" t="s">
        <v>1248</v>
      </c>
      <c r="Y359" s="211" t="s">
        <v>1228</v>
      </c>
      <c r="Z359" s="211" t="s">
        <v>1249</v>
      </c>
      <c r="AA359" s="214">
        <v>46109</v>
      </c>
      <c r="AB359" s="213">
        <v>46141</v>
      </c>
      <c r="AC359" s="211" t="s">
        <v>1302</v>
      </c>
      <c r="AD359" s="211" t="s">
        <v>1228</v>
      </c>
      <c r="AE359" s="211" t="s">
        <v>510</v>
      </c>
      <c r="AF359" s="211" t="s">
        <v>1228</v>
      </c>
      <c r="AG359" s="211" t="s">
        <v>510</v>
      </c>
      <c r="AH359" s="211" t="s">
        <v>1307</v>
      </c>
      <c r="AI359" s="211" t="s">
        <v>1228</v>
      </c>
      <c r="AJ359" s="211" t="s">
        <v>1133</v>
      </c>
      <c r="AK359" s="211" t="s">
        <v>1133</v>
      </c>
      <c r="AL359" s="211"/>
      <c r="AM359" s="211" t="s">
        <v>1359</v>
      </c>
      <c r="AN359" s="212" t="s">
        <v>1251</v>
      </c>
      <c r="AO359" s="215">
        <v>1.58</v>
      </c>
      <c r="AP359" s="216">
        <f t="shared" si="59"/>
        <v>3829.92</v>
      </c>
      <c r="AQ359" s="216">
        <f t="shared" si="60"/>
        <v>29681.88</v>
      </c>
      <c r="AR359" s="269">
        <v>61352</v>
      </c>
      <c r="AS359" s="255">
        <v>46191</v>
      </c>
      <c r="AT359" s="208" t="s">
        <v>1220</v>
      </c>
      <c r="AU359" s="251">
        <v>2424</v>
      </c>
      <c r="AV359" s="252">
        <f t="shared" si="67"/>
        <v>0</v>
      </c>
      <c r="AW359" s="252"/>
      <c r="AX359" s="208" t="s">
        <v>1280</v>
      </c>
      <c r="AY359" s="208"/>
      <c r="AZ359" s="208"/>
      <c r="BA359" s="208"/>
      <c r="BB359" s="208" t="str">
        <f t="shared" si="57"/>
        <v>Playkit Phils Inc</v>
      </c>
      <c r="BC359" s="208" t="str">
        <f t="shared" si="58"/>
        <v>菲律宾</v>
      </c>
    </row>
    <row r="360" s="194" customFormat="1" customHeight="1" spans="1:55">
      <c r="A360" s="208">
        <v>46090</v>
      </c>
      <c r="B360" s="208" t="str">
        <f ca="1" t="shared" si="61"/>
        <v/>
      </c>
      <c r="C360" s="211" t="str">
        <f>VLOOKUP(H360,名称!A:E,4,0)</f>
        <v>三代</v>
      </c>
      <c r="D360" s="210" t="s">
        <v>1530</v>
      </c>
      <c r="E360" s="210" t="s">
        <v>1531</v>
      </c>
      <c r="F360" s="211"/>
      <c r="G360" s="211" t="s">
        <v>542</v>
      </c>
      <c r="H360" s="211" t="s">
        <v>85</v>
      </c>
      <c r="I360" s="211"/>
      <c r="J360" s="212">
        <v>9408</v>
      </c>
      <c r="K360" s="223">
        <f>VLOOKUP(H360,名称!A:C,2,0)</f>
        <v>5</v>
      </c>
      <c r="L360" s="212">
        <f t="shared" si="66"/>
        <v>47040</v>
      </c>
      <c r="M360" s="211">
        <f>VLOOKUP(H360,名称!A:E,3,0)</f>
        <v>24</v>
      </c>
      <c r="N360" s="212">
        <f t="shared" si="65"/>
        <v>392</v>
      </c>
      <c r="O360" s="208">
        <v>46148</v>
      </c>
      <c r="P360" s="208">
        <v>46181</v>
      </c>
      <c r="Q360" s="208">
        <v>46185</v>
      </c>
      <c r="R360" s="257" t="s">
        <v>1241</v>
      </c>
      <c r="S360" s="208" t="s">
        <v>1771</v>
      </c>
      <c r="T360" s="211"/>
      <c r="U360" s="211"/>
      <c r="V360" s="211"/>
      <c r="W360" s="208"/>
      <c r="X360" s="211" t="s">
        <v>1248</v>
      </c>
      <c r="Y360" s="211" t="s">
        <v>1228</v>
      </c>
      <c r="Z360" s="211" t="s">
        <v>1249</v>
      </c>
      <c r="AA360" s="214">
        <v>46109</v>
      </c>
      <c r="AB360" s="213">
        <v>46141</v>
      </c>
      <c r="AC360" s="211" t="s">
        <v>1133</v>
      </c>
      <c r="AD360" s="211" t="s">
        <v>1133</v>
      </c>
      <c r="AE360" s="211" t="s">
        <v>510</v>
      </c>
      <c r="AF360" s="211" t="s">
        <v>1228</v>
      </c>
      <c r="AG360" s="211" t="s">
        <v>510</v>
      </c>
      <c r="AH360" s="211" t="s">
        <v>1133</v>
      </c>
      <c r="AI360" s="211" t="s">
        <v>1228</v>
      </c>
      <c r="AJ360" s="211" t="s">
        <v>1133</v>
      </c>
      <c r="AK360" s="211" t="s">
        <v>510</v>
      </c>
      <c r="AL360" s="211"/>
      <c r="AM360" s="211" t="s">
        <v>1296</v>
      </c>
      <c r="AN360" s="212" t="s">
        <v>1251</v>
      </c>
      <c r="AO360" s="215">
        <v>0.88</v>
      </c>
      <c r="AP360" s="216">
        <f t="shared" si="59"/>
        <v>8279.04</v>
      </c>
      <c r="AQ360" s="216">
        <f t="shared" si="60"/>
        <v>64162.56</v>
      </c>
      <c r="AR360" s="269">
        <v>61352</v>
      </c>
      <c r="AS360" s="255">
        <v>46191</v>
      </c>
      <c r="AT360" s="208" t="s">
        <v>1220</v>
      </c>
      <c r="AU360" s="251">
        <v>9408</v>
      </c>
      <c r="AV360" s="252">
        <f t="shared" si="67"/>
        <v>0</v>
      </c>
      <c r="AW360" s="252"/>
      <c r="AX360" s="208" t="s">
        <v>1280</v>
      </c>
      <c r="AY360" s="208"/>
      <c r="AZ360" s="208"/>
      <c r="BA360" s="208"/>
      <c r="BB360" s="208" t="str">
        <f t="shared" si="57"/>
        <v>Playkit Phils Inc</v>
      </c>
      <c r="BC360" s="208" t="str">
        <f t="shared" si="58"/>
        <v>菲律宾</v>
      </c>
    </row>
    <row r="361" s="194" customFormat="1" customHeight="1" spans="1:55">
      <c r="A361" s="208">
        <v>46090</v>
      </c>
      <c r="B361" s="208" t="str">
        <f ca="1" t="shared" si="61"/>
        <v/>
      </c>
      <c r="C361" s="211" t="str">
        <f>VLOOKUP(H361,名称!A:E,4,0)</f>
        <v>三代</v>
      </c>
      <c r="D361" s="210" t="s">
        <v>1530</v>
      </c>
      <c r="E361" s="210" t="s">
        <v>1531</v>
      </c>
      <c r="F361" s="211"/>
      <c r="G361" s="211" t="s">
        <v>542</v>
      </c>
      <c r="H361" s="211" t="s">
        <v>92</v>
      </c>
      <c r="I361" s="211"/>
      <c r="J361" s="212">
        <v>2432</v>
      </c>
      <c r="K361" s="223">
        <f>VLOOKUP(H361,名称!A:C,2,0)</f>
        <v>7</v>
      </c>
      <c r="L361" s="212">
        <f t="shared" si="66"/>
        <v>17024</v>
      </c>
      <c r="M361" s="211">
        <f>VLOOKUP(H361,名称!A:E,3,0)</f>
        <v>16</v>
      </c>
      <c r="N361" s="212">
        <f t="shared" si="65"/>
        <v>152</v>
      </c>
      <c r="O361" s="208">
        <v>46148</v>
      </c>
      <c r="P361" s="208">
        <v>46181</v>
      </c>
      <c r="Q361" s="256">
        <v>46181</v>
      </c>
      <c r="R361" s="211" t="s">
        <v>1241</v>
      </c>
      <c r="S361" s="208" t="s">
        <v>1133</v>
      </c>
      <c r="T361" s="211"/>
      <c r="U361" s="211"/>
      <c r="V361" s="211"/>
      <c r="W361" s="208"/>
      <c r="X361" s="211" t="s">
        <v>1248</v>
      </c>
      <c r="Y361" s="211" t="s">
        <v>1228</v>
      </c>
      <c r="Z361" s="211" t="s">
        <v>1249</v>
      </c>
      <c r="AA361" s="214">
        <v>46109</v>
      </c>
      <c r="AB361" s="213">
        <v>46141</v>
      </c>
      <c r="AC361" s="211" t="s">
        <v>1284</v>
      </c>
      <c r="AD361" s="211" t="s">
        <v>1228</v>
      </c>
      <c r="AE361" s="211" t="s">
        <v>510</v>
      </c>
      <c r="AF361" s="211" t="s">
        <v>1228</v>
      </c>
      <c r="AG361" s="211" t="s">
        <v>510</v>
      </c>
      <c r="AH361" s="211" t="s">
        <v>1307</v>
      </c>
      <c r="AI361" s="211" t="s">
        <v>1228</v>
      </c>
      <c r="AJ361" s="211" t="s">
        <v>1133</v>
      </c>
      <c r="AK361" s="211" t="s">
        <v>1133</v>
      </c>
      <c r="AL361" s="211"/>
      <c r="AM361" s="211" t="s">
        <v>1359</v>
      </c>
      <c r="AN361" s="212" t="s">
        <v>1251</v>
      </c>
      <c r="AO361" s="215">
        <v>0.86</v>
      </c>
      <c r="AP361" s="216">
        <f t="shared" si="59"/>
        <v>2091.52</v>
      </c>
      <c r="AQ361" s="216">
        <f t="shared" si="60"/>
        <v>16209.28</v>
      </c>
      <c r="AR361" s="269">
        <v>61352</v>
      </c>
      <c r="AS361" s="255">
        <v>46191</v>
      </c>
      <c r="AT361" s="208" t="s">
        <v>1220</v>
      </c>
      <c r="AU361" s="251">
        <v>2432</v>
      </c>
      <c r="AV361" s="252">
        <f t="shared" si="67"/>
        <v>0</v>
      </c>
      <c r="AW361" s="252"/>
      <c r="AX361" s="208" t="s">
        <v>1280</v>
      </c>
      <c r="AY361" s="208"/>
      <c r="AZ361" s="208"/>
      <c r="BA361" s="208"/>
      <c r="BB361" s="208" t="str">
        <f t="shared" si="57"/>
        <v>Playkit Phils Inc</v>
      </c>
      <c r="BC361" s="208" t="str">
        <f t="shared" si="58"/>
        <v>菲律宾</v>
      </c>
    </row>
    <row r="362" s="194" customFormat="1" customHeight="1" spans="1:55">
      <c r="A362" s="208">
        <v>46090</v>
      </c>
      <c r="B362" s="208" t="str">
        <f ca="1" t="shared" si="61"/>
        <v/>
      </c>
      <c r="C362" s="211" t="str">
        <f>VLOOKUP(H362,名称!A:E,4,0)</f>
        <v>三代</v>
      </c>
      <c r="D362" s="210" t="s">
        <v>1530</v>
      </c>
      <c r="E362" s="210" t="s">
        <v>1531</v>
      </c>
      <c r="F362" s="211"/>
      <c r="G362" s="211" t="s">
        <v>542</v>
      </c>
      <c r="H362" s="211" t="s">
        <v>94</v>
      </c>
      <c r="I362" s="211"/>
      <c r="J362" s="212">
        <v>3648</v>
      </c>
      <c r="K362" s="223">
        <f>VLOOKUP(H362,名称!A:C,2,0)</f>
        <v>5</v>
      </c>
      <c r="L362" s="212">
        <f t="shared" si="66"/>
        <v>18240</v>
      </c>
      <c r="M362" s="211">
        <f>VLOOKUP(H362,名称!A:E,3,0)</f>
        <v>24</v>
      </c>
      <c r="N362" s="212">
        <f t="shared" si="65"/>
        <v>152</v>
      </c>
      <c r="O362" s="208">
        <v>46148</v>
      </c>
      <c r="P362" s="208">
        <v>46181</v>
      </c>
      <c r="Q362" s="256">
        <v>46181</v>
      </c>
      <c r="R362" s="211" t="s">
        <v>1241</v>
      </c>
      <c r="S362" s="208" t="s">
        <v>1133</v>
      </c>
      <c r="T362" s="211"/>
      <c r="U362" s="211"/>
      <c r="V362" s="211"/>
      <c r="W362" s="208"/>
      <c r="X362" s="211" t="s">
        <v>1248</v>
      </c>
      <c r="Y362" s="211" t="s">
        <v>1228</v>
      </c>
      <c r="Z362" s="211" t="s">
        <v>1249</v>
      </c>
      <c r="AA362" s="214">
        <v>46109</v>
      </c>
      <c r="AB362" s="213">
        <v>46141</v>
      </c>
      <c r="AC362" s="211" t="s">
        <v>1133</v>
      </c>
      <c r="AD362" s="211" t="s">
        <v>1133</v>
      </c>
      <c r="AE362" s="211" t="s">
        <v>510</v>
      </c>
      <c r="AF362" s="211" t="s">
        <v>1228</v>
      </c>
      <c r="AG362" s="211" t="s">
        <v>510</v>
      </c>
      <c r="AH362" s="211" t="s">
        <v>1133</v>
      </c>
      <c r="AI362" s="211" t="s">
        <v>1228</v>
      </c>
      <c r="AJ362" s="211" t="s">
        <v>1133</v>
      </c>
      <c r="AK362" s="211" t="s">
        <v>510</v>
      </c>
      <c r="AL362" s="211"/>
      <c r="AM362" s="211" t="s">
        <v>1359</v>
      </c>
      <c r="AN362" s="212" t="s">
        <v>1251</v>
      </c>
      <c r="AO362" s="215">
        <v>0.62</v>
      </c>
      <c r="AP362" s="216">
        <f t="shared" si="59"/>
        <v>2261.76</v>
      </c>
      <c r="AQ362" s="216">
        <f t="shared" si="60"/>
        <v>17528.64</v>
      </c>
      <c r="AR362" s="269">
        <v>61352</v>
      </c>
      <c r="AS362" s="255">
        <v>46191</v>
      </c>
      <c r="AT362" s="208" t="s">
        <v>1220</v>
      </c>
      <c r="AU362" s="251">
        <f>3528+120</f>
        <v>3648</v>
      </c>
      <c r="AV362" s="252">
        <f t="shared" si="67"/>
        <v>0</v>
      </c>
      <c r="AW362" s="252"/>
      <c r="AX362" s="208" t="s">
        <v>1280</v>
      </c>
      <c r="AY362" s="208"/>
      <c r="AZ362" s="208"/>
      <c r="BA362" s="208"/>
      <c r="BB362" s="208" t="str">
        <f t="shared" si="57"/>
        <v>Playkit Phils Inc</v>
      </c>
      <c r="BC362" s="208" t="str">
        <f t="shared" si="58"/>
        <v>菲律宾</v>
      </c>
    </row>
    <row r="363" s="194" customFormat="1" customHeight="1" spans="1:55">
      <c r="A363" s="208">
        <v>46090</v>
      </c>
      <c r="B363" s="208" t="str">
        <f ca="1" t="shared" si="61"/>
        <v/>
      </c>
      <c r="C363" s="211" t="str">
        <f>VLOOKUP(H363,名称!A:E,4,0)</f>
        <v>三代</v>
      </c>
      <c r="D363" s="210" t="s">
        <v>1530</v>
      </c>
      <c r="E363" s="210" t="s">
        <v>1531</v>
      </c>
      <c r="F363" s="211"/>
      <c r="G363" s="211" t="s">
        <v>542</v>
      </c>
      <c r="H363" s="211" t="s">
        <v>95</v>
      </c>
      <c r="I363" s="211"/>
      <c r="J363" s="212">
        <v>808</v>
      </c>
      <c r="K363" s="223">
        <f>VLOOKUP(H363,名称!A:C,2,0)</f>
        <v>32</v>
      </c>
      <c r="L363" s="212">
        <f t="shared" si="66"/>
        <v>25856</v>
      </c>
      <c r="M363" s="211">
        <f>VLOOKUP(H363,名称!A:E,3,0)</f>
        <v>4</v>
      </c>
      <c r="N363" s="212">
        <f t="shared" si="65"/>
        <v>202</v>
      </c>
      <c r="O363" s="208">
        <v>46148</v>
      </c>
      <c r="P363" s="208">
        <v>46181</v>
      </c>
      <c r="Q363" s="208">
        <v>46181</v>
      </c>
      <c r="R363" s="211" t="s">
        <v>1241</v>
      </c>
      <c r="S363" s="208" t="s">
        <v>1133</v>
      </c>
      <c r="T363" s="211"/>
      <c r="U363" s="211"/>
      <c r="V363" s="211"/>
      <c r="W363" s="208"/>
      <c r="X363" s="211" t="s">
        <v>1248</v>
      </c>
      <c r="Y363" s="211" t="s">
        <v>1228</v>
      </c>
      <c r="Z363" s="211" t="s">
        <v>1249</v>
      </c>
      <c r="AA363" s="214">
        <v>46109</v>
      </c>
      <c r="AB363" s="213">
        <v>46141</v>
      </c>
      <c r="AC363" s="211" t="s">
        <v>1133</v>
      </c>
      <c r="AD363" s="211" t="s">
        <v>1133</v>
      </c>
      <c r="AE363" s="211" t="s">
        <v>510</v>
      </c>
      <c r="AF363" s="211" t="s">
        <v>1228</v>
      </c>
      <c r="AG363" s="211" t="s">
        <v>510</v>
      </c>
      <c r="AH363" s="211" t="s">
        <v>1307</v>
      </c>
      <c r="AI363" s="211" t="s">
        <v>1228</v>
      </c>
      <c r="AJ363" s="211" t="s">
        <v>1133</v>
      </c>
      <c r="AK363" s="211" t="s">
        <v>1133</v>
      </c>
      <c r="AL363" s="211"/>
      <c r="AM363" s="211" t="s">
        <v>1359</v>
      </c>
      <c r="AN363" s="212" t="s">
        <v>1251</v>
      </c>
      <c r="AO363" s="215">
        <v>3.09</v>
      </c>
      <c r="AP363" s="216">
        <f t="shared" si="59"/>
        <v>2496.72</v>
      </c>
      <c r="AQ363" s="216">
        <f t="shared" si="60"/>
        <v>19349.58</v>
      </c>
      <c r="AR363" s="269">
        <v>61352</v>
      </c>
      <c r="AS363" s="255">
        <v>46191</v>
      </c>
      <c r="AT363" s="208" t="s">
        <v>1220</v>
      </c>
      <c r="AU363" s="251">
        <v>808</v>
      </c>
      <c r="AV363" s="252">
        <f t="shared" si="67"/>
        <v>0</v>
      </c>
      <c r="AW363" s="252"/>
      <c r="AX363" s="208" t="s">
        <v>1280</v>
      </c>
      <c r="AY363" s="208"/>
      <c r="AZ363" s="208"/>
      <c r="BA363" s="208"/>
      <c r="BB363" s="208" t="str">
        <f t="shared" si="57"/>
        <v>Playkit Phils Inc</v>
      </c>
      <c r="BC363" s="208" t="str">
        <f t="shared" si="58"/>
        <v>菲律宾</v>
      </c>
    </row>
    <row r="364" s="194" customFormat="1" customHeight="1" spans="1:55">
      <c r="A364" s="208">
        <v>46090</v>
      </c>
      <c r="B364" s="208" t="str">
        <f ca="1" t="shared" si="61"/>
        <v/>
      </c>
      <c r="C364" s="211" t="str">
        <f>VLOOKUP(H364,名称!A:E,4,0)</f>
        <v>三代</v>
      </c>
      <c r="D364" s="210" t="s">
        <v>1530</v>
      </c>
      <c r="E364" s="210" t="s">
        <v>1531</v>
      </c>
      <c r="F364" s="211"/>
      <c r="G364" s="211" t="s">
        <v>542</v>
      </c>
      <c r="H364" s="211" t="s">
        <v>97</v>
      </c>
      <c r="I364" s="211"/>
      <c r="J364" s="212">
        <v>3648</v>
      </c>
      <c r="K364" s="223">
        <f>VLOOKUP(H364,名称!A:C,2,0)</f>
        <v>5</v>
      </c>
      <c r="L364" s="212">
        <f t="shared" si="66"/>
        <v>18240</v>
      </c>
      <c r="M364" s="211">
        <f>VLOOKUP(H364,名称!A:E,3,0)</f>
        <v>24</v>
      </c>
      <c r="N364" s="212">
        <f t="shared" si="65"/>
        <v>152</v>
      </c>
      <c r="O364" s="208">
        <v>46148</v>
      </c>
      <c r="P364" s="208">
        <v>46181</v>
      </c>
      <c r="Q364" s="208">
        <v>46184</v>
      </c>
      <c r="R364" s="211" t="s">
        <v>1241</v>
      </c>
      <c r="S364" s="208" t="s">
        <v>1133</v>
      </c>
      <c r="T364" s="211"/>
      <c r="U364" s="211"/>
      <c r="V364" s="211"/>
      <c r="W364" s="208"/>
      <c r="X364" s="211" t="s">
        <v>1248</v>
      </c>
      <c r="Y364" s="211" t="s">
        <v>1228</v>
      </c>
      <c r="Z364" s="211" t="s">
        <v>1249</v>
      </c>
      <c r="AA364" s="214">
        <v>46109</v>
      </c>
      <c r="AB364" s="213">
        <v>46141</v>
      </c>
      <c r="AC364" s="211" t="s">
        <v>1133</v>
      </c>
      <c r="AD364" s="211" t="s">
        <v>1133</v>
      </c>
      <c r="AE364" s="211" t="s">
        <v>510</v>
      </c>
      <c r="AF364" s="211" t="s">
        <v>1228</v>
      </c>
      <c r="AG364" s="211" t="s">
        <v>510</v>
      </c>
      <c r="AH364" s="211" t="s">
        <v>1133</v>
      </c>
      <c r="AI364" s="211" t="s">
        <v>1228</v>
      </c>
      <c r="AJ364" s="211" t="s">
        <v>1133</v>
      </c>
      <c r="AK364" s="211" t="s">
        <v>510</v>
      </c>
      <c r="AL364" s="211"/>
      <c r="AM364" s="211" t="s">
        <v>1359</v>
      </c>
      <c r="AN364" s="212" t="s">
        <v>1251</v>
      </c>
      <c r="AO364" s="215">
        <v>0.62</v>
      </c>
      <c r="AP364" s="216">
        <f t="shared" si="59"/>
        <v>2261.76</v>
      </c>
      <c r="AQ364" s="216">
        <f t="shared" si="60"/>
        <v>17528.64</v>
      </c>
      <c r="AR364" s="269">
        <v>61352</v>
      </c>
      <c r="AS364" s="255">
        <v>46191</v>
      </c>
      <c r="AT364" s="208" t="s">
        <v>1220</v>
      </c>
      <c r="AU364" s="251">
        <f>3600+48</f>
        <v>3648</v>
      </c>
      <c r="AV364" s="252">
        <f t="shared" si="67"/>
        <v>0</v>
      </c>
      <c r="AW364" s="252"/>
      <c r="AX364" s="208" t="s">
        <v>1280</v>
      </c>
      <c r="AY364" s="208"/>
      <c r="AZ364" s="208"/>
      <c r="BA364" s="208"/>
      <c r="BB364" s="208" t="str">
        <f t="shared" si="57"/>
        <v>Playkit Phils Inc</v>
      </c>
      <c r="BC364" s="208" t="str">
        <f t="shared" si="58"/>
        <v>菲律宾</v>
      </c>
    </row>
    <row r="365" s="194" customFormat="1" customHeight="1" spans="1:55">
      <c r="A365" s="208">
        <v>46090</v>
      </c>
      <c r="B365" s="208" t="str">
        <f ca="1" t="shared" si="61"/>
        <v/>
      </c>
      <c r="C365" s="211" t="str">
        <f>VLOOKUP(H365,名称!A:E,4,0)</f>
        <v>三代</v>
      </c>
      <c r="D365" s="210" t="s">
        <v>1530</v>
      </c>
      <c r="E365" s="210" t="s">
        <v>1531</v>
      </c>
      <c r="F365" s="211"/>
      <c r="G365" s="211" t="s">
        <v>542</v>
      </c>
      <c r="H365" s="211" t="s">
        <v>98</v>
      </c>
      <c r="I365" s="211"/>
      <c r="J365" s="212">
        <v>1212</v>
      </c>
      <c r="K365" s="223">
        <f>VLOOKUP(H365,名称!A:C,2,0)</f>
        <v>12</v>
      </c>
      <c r="L365" s="212">
        <f t="shared" si="66"/>
        <v>14544</v>
      </c>
      <c r="M365" s="211">
        <f>VLOOKUP(H365,名称!A:E,3,0)</f>
        <v>12</v>
      </c>
      <c r="N365" s="212">
        <f t="shared" si="65"/>
        <v>101</v>
      </c>
      <c r="O365" s="208">
        <v>46148</v>
      </c>
      <c r="P365" s="208">
        <v>46181</v>
      </c>
      <c r="Q365" s="208">
        <v>46182</v>
      </c>
      <c r="R365" s="211" t="s">
        <v>1277</v>
      </c>
      <c r="S365" s="208" t="s">
        <v>1133</v>
      </c>
      <c r="T365" s="211"/>
      <c r="U365" s="211"/>
      <c r="V365" s="211"/>
      <c r="W365" s="208"/>
      <c r="X365" s="211" t="s">
        <v>1248</v>
      </c>
      <c r="Y365" s="211" t="s">
        <v>1228</v>
      </c>
      <c r="Z365" s="211" t="s">
        <v>1249</v>
      </c>
      <c r="AA365" s="214">
        <v>46109</v>
      </c>
      <c r="AB365" s="213">
        <v>46141</v>
      </c>
      <c r="AC365" s="211" t="s">
        <v>1302</v>
      </c>
      <c r="AD365" s="211" t="s">
        <v>1228</v>
      </c>
      <c r="AE365" s="211" t="s">
        <v>510</v>
      </c>
      <c r="AF365" s="211" t="s">
        <v>1228</v>
      </c>
      <c r="AG365" s="211" t="s">
        <v>510</v>
      </c>
      <c r="AH365" s="211" t="s">
        <v>1307</v>
      </c>
      <c r="AI365" s="211" t="s">
        <v>1228</v>
      </c>
      <c r="AJ365" s="211" t="s">
        <v>1133</v>
      </c>
      <c r="AK365" s="211" t="s">
        <v>1133</v>
      </c>
      <c r="AL365" s="211"/>
      <c r="AM365" s="211" t="s">
        <v>1359</v>
      </c>
      <c r="AN365" s="212" t="s">
        <v>1251</v>
      </c>
      <c r="AO365" s="215">
        <v>1.58</v>
      </c>
      <c r="AP365" s="216">
        <f t="shared" si="59"/>
        <v>1914.96</v>
      </c>
      <c r="AQ365" s="216">
        <f t="shared" si="60"/>
        <v>14840.94</v>
      </c>
      <c r="AR365" s="269">
        <v>61352</v>
      </c>
      <c r="AS365" s="255">
        <v>46191</v>
      </c>
      <c r="AT365" s="208" t="s">
        <v>1220</v>
      </c>
      <c r="AU365" s="251">
        <v>1212</v>
      </c>
      <c r="AV365" s="252">
        <f t="shared" si="67"/>
        <v>0</v>
      </c>
      <c r="AW365" s="252"/>
      <c r="AX365" s="208" t="s">
        <v>1280</v>
      </c>
      <c r="AY365" s="208"/>
      <c r="AZ365" s="208"/>
      <c r="BA365" s="208"/>
      <c r="BB365" s="208" t="str">
        <f t="shared" si="57"/>
        <v>Playkit Phils Inc</v>
      </c>
      <c r="BC365" s="208" t="str">
        <f t="shared" si="58"/>
        <v>菲律宾</v>
      </c>
    </row>
    <row r="366" s="194" customFormat="1" customHeight="1" spans="1:55">
      <c r="A366" s="208">
        <v>46113</v>
      </c>
      <c r="B366" s="208" t="str">
        <f ca="1" t="shared" si="61"/>
        <v/>
      </c>
      <c r="C366" s="211" t="str">
        <f>VLOOKUP(H366,名称!A:E,4,0)</f>
        <v>三代</v>
      </c>
      <c r="D366" s="210" t="s">
        <v>1276</v>
      </c>
      <c r="E366" s="210" t="s">
        <v>1224</v>
      </c>
      <c r="F366" s="211" t="s">
        <v>595</v>
      </c>
      <c r="G366" s="211" t="s">
        <v>596</v>
      </c>
      <c r="H366" s="211" t="s">
        <v>85</v>
      </c>
      <c r="I366" s="211"/>
      <c r="J366" s="212">
        <v>47520</v>
      </c>
      <c r="K366" s="223">
        <f>VLOOKUP(H366,名称!A:C,2,0)</f>
        <v>5</v>
      </c>
      <c r="L366" s="212">
        <f t="shared" si="66"/>
        <v>237600</v>
      </c>
      <c r="M366" s="211">
        <f>VLOOKUP(H366,名称!A:E,3,0)</f>
        <v>24</v>
      </c>
      <c r="N366" s="212">
        <f t="shared" si="65"/>
        <v>1980</v>
      </c>
      <c r="O366" s="208">
        <v>46184</v>
      </c>
      <c r="P366" s="208">
        <f>O366</f>
        <v>46184</v>
      </c>
      <c r="Q366" s="256">
        <v>46191</v>
      </c>
      <c r="R366" s="241" t="s">
        <v>1241</v>
      </c>
      <c r="S366" s="208">
        <v>46191</v>
      </c>
      <c r="T366" s="241" t="s">
        <v>1241</v>
      </c>
      <c r="U366" s="211"/>
      <c r="V366" s="241" t="s">
        <v>1773</v>
      </c>
      <c r="W366" s="208"/>
      <c r="X366" s="211" t="s">
        <v>1133</v>
      </c>
      <c r="Y366" s="211" t="s">
        <v>1133</v>
      </c>
      <c r="Z366" s="213">
        <v>46119</v>
      </c>
      <c r="AA366" s="214">
        <v>46137</v>
      </c>
      <c r="AB366" s="213">
        <v>46151</v>
      </c>
      <c r="AC366" s="211" t="s">
        <v>1133</v>
      </c>
      <c r="AD366" s="211" t="s">
        <v>1133</v>
      </c>
      <c r="AE366" s="211" t="s">
        <v>270</v>
      </c>
      <c r="AF366" s="211" t="s">
        <v>1228</v>
      </c>
      <c r="AG366" s="211" t="s">
        <v>270</v>
      </c>
      <c r="AH366" s="211" t="s">
        <v>1133</v>
      </c>
      <c r="AI366" s="211" t="s">
        <v>1228</v>
      </c>
      <c r="AJ366" s="211" t="s">
        <v>1133</v>
      </c>
      <c r="AK366" s="211" t="s">
        <v>1659</v>
      </c>
      <c r="AL366" s="211"/>
      <c r="AM366" s="211" t="s">
        <v>1303</v>
      </c>
      <c r="AN366" s="212"/>
      <c r="AO366" s="215">
        <v>0.88</v>
      </c>
      <c r="AP366" s="216">
        <f t="shared" si="59"/>
        <v>41817.6</v>
      </c>
      <c r="AQ366" s="216">
        <f t="shared" si="60"/>
        <v>324086.4</v>
      </c>
      <c r="AR366" s="269">
        <v>61353</v>
      </c>
      <c r="AS366" s="255">
        <v>46193</v>
      </c>
      <c r="AT366" s="208" t="s">
        <v>1220</v>
      </c>
      <c r="AU366" s="253"/>
      <c r="AV366" s="252">
        <f t="shared" si="67"/>
        <v>-47520</v>
      </c>
      <c r="AW366" s="252"/>
      <c r="AX366" s="208" t="s">
        <v>1280</v>
      </c>
      <c r="AY366" s="208"/>
      <c r="AZ366" s="208"/>
      <c r="BA366" s="208"/>
      <c r="BB366" s="208" t="str">
        <f t="shared" si="57"/>
        <v>Jazwares- TARGET US DOM</v>
      </c>
      <c r="BC366" s="208" t="str">
        <f t="shared" si="58"/>
        <v>美国</v>
      </c>
    </row>
    <row r="367" s="194" customFormat="1" customHeight="1" spans="1:55">
      <c r="A367" s="208">
        <v>46031</v>
      </c>
      <c r="B367" s="208" t="str">
        <f ca="1" t="shared" si="61"/>
        <v/>
      </c>
      <c r="C367" s="211" t="str">
        <f>VLOOKUP(H367,名称!A:E,4,0)</f>
        <v>三代</v>
      </c>
      <c r="D367" s="210" t="s">
        <v>1276</v>
      </c>
      <c r="E367" s="210" t="s">
        <v>1224</v>
      </c>
      <c r="F367" s="211" t="s">
        <v>577</v>
      </c>
      <c r="G367" s="211" t="s">
        <v>578</v>
      </c>
      <c r="H367" s="211" t="s">
        <v>63</v>
      </c>
      <c r="I367" s="211"/>
      <c r="J367" s="212">
        <v>16800</v>
      </c>
      <c r="K367" s="223">
        <f>VLOOKUP(H367,名称!A:C,2,0)</f>
        <v>5</v>
      </c>
      <c r="L367" s="212">
        <f t="shared" si="66"/>
        <v>84000</v>
      </c>
      <c r="M367" s="211">
        <f>VLOOKUP(H367,名称!A:E,3,0)</f>
        <v>24</v>
      </c>
      <c r="N367" s="212">
        <f t="shared" si="65"/>
        <v>700</v>
      </c>
      <c r="O367" s="208">
        <v>46142</v>
      </c>
      <c r="P367" s="208">
        <v>46142</v>
      </c>
      <c r="Q367" s="208" t="s">
        <v>1774</v>
      </c>
      <c r="R367" s="211"/>
      <c r="S367" s="208" t="s">
        <v>1775</v>
      </c>
      <c r="T367" s="211"/>
      <c r="U367" s="211"/>
      <c r="V367" s="241" t="s">
        <v>1773</v>
      </c>
      <c r="W367" s="208"/>
      <c r="X367" s="211" t="s">
        <v>1133</v>
      </c>
      <c r="Y367" s="211" t="s">
        <v>1133</v>
      </c>
      <c r="Z367" s="213">
        <v>46108</v>
      </c>
      <c r="AA367" s="214">
        <v>46113</v>
      </c>
      <c r="AB367" s="213">
        <v>46113</v>
      </c>
      <c r="AC367" s="211" t="s">
        <v>1133</v>
      </c>
      <c r="AD367" s="211" t="s">
        <v>1133</v>
      </c>
      <c r="AE367" s="211" t="s">
        <v>270</v>
      </c>
      <c r="AF367" s="211" t="s">
        <v>1228</v>
      </c>
      <c r="AG367" s="211" t="s">
        <v>270</v>
      </c>
      <c r="AH367" s="211" t="s">
        <v>1133</v>
      </c>
      <c r="AI367" s="211" t="s">
        <v>1228</v>
      </c>
      <c r="AJ367" s="211" t="s">
        <v>1133</v>
      </c>
      <c r="AK367" s="211" t="s">
        <v>1659</v>
      </c>
      <c r="AL367" s="211"/>
      <c r="AM367" s="211" t="s">
        <v>1296</v>
      </c>
      <c r="AN367" s="212" t="s">
        <v>1776</v>
      </c>
      <c r="AO367" s="215">
        <v>0.62</v>
      </c>
      <c r="AP367" s="216">
        <f t="shared" si="59"/>
        <v>10416</v>
      </c>
      <c r="AQ367" s="216">
        <f t="shared" si="60"/>
        <v>80724</v>
      </c>
      <c r="AR367" s="269">
        <v>61354</v>
      </c>
      <c r="AS367" s="255">
        <v>46193</v>
      </c>
      <c r="AT367" s="208" t="s">
        <v>1220</v>
      </c>
      <c r="AU367" s="251">
        <v>16800</v>
      </c>
      <c r="AV367" s="252">
        <f t="shared" si="67"/>
        <v>0</v>
      </c>
      <c r="AW367" s="252"/>
      <c r="AX367" s="208" t="s">
        <v>1280</v>
      </c>
      <c r="AY367" s="208" t="s">
        <v>1255</v>
      </c>
      <c r="AZ367" s="208" t="s">
        <v>1256</v>
      </c>
      <c r="BA367" s="208"/>
      <c r="BB367" s="208" t="str">
        <f t="shared" si="57"/>
        <v>Jazwares- TARGET US DOM</v>
      </c>
      <c r="BC367" s="208" t="str">
        <f t="shared" si="58"/>
        <v>美国</v>
      </c>
    </row>
    <row r="368" s="194" customFormat="1" customHeight="1" spans="1:55">
      <c r="A368" s="208">
        <v>46050</v>
      </c>
      <c r="B368" s="208" t="str">
        <f ca="1" t="shared" si="61"/>
        <v/>
      </c>
      <c r="C368" s="211" t="str">
        <f>VLOOKUP(H368,名称!A:E,4,0)</f>
        <v>三代</v>
      </c>
      <c r="D368" s="210" t="s">
        <v>1276</v>
      </c>
      <c r="E368" s="210" t="s">
        <v>1224</v>
      </c>
      <c r="F368" s="211" t="s">
        <v>483</v>
      </c>
      <c r="G368" s="211" t="s">
        <v>484</v>
      </c>
      <c r="H368" s="211" t="s">
        <v>94</v>
      </c>
      <c r="I368" s="211"/>
      <c r="J368" s="212">
        <v>4296</v>
      </c>
      <c r="K368" s="223">
        <f>VLOOKUP(H368,名称!A:C,2,0)</f>
        <v>5</v>
      </c>
      <c r="L368" s="212">
        <f t="shared" si="66"/>
        <v>21480</v>
      </c>
      <c r="M368" s="211">
        <f>VLOOKUP(H368,名称!A:E,3,0)</f>
        <v>24</v>
      </c>
      <c r="N368" s="212">
        <f t="shared" si="65"/>
        <v>179</v>
      </c>
      <c r="O368" s="208">
        <v>46184</v>
      </c>
      <c r="P368" s="208">
        <f>O368</f>
        <v>46184</v>
      </c>
      <c r="Q368" s="208">
        <v>46185</v>
      </c>
      <c r="R368" s="241" t="s">
        <v>1241</v>
      </c>
      <c r="S368" s="208">
        <v>46188</v>
      </c>
      <c r="T368" s="241" t="s">
        <v>1241</v>
      </c>
      <c r="U368" s="211"/>
      <c r="V368" s="241" t="s">
        <v>1773</v>
      </c>
      <c r="W368" s="208"/>
      <c r="X368" s="211" t="s">
        <v>1133</v>
      </c>
      <c r="Y368" s="211" t="s">
        <v>1133</v>
      </c>
      <c r="Z368" s="213">
        <v>46089</v>
      </c>
      <c r="AA368" s="213">
        <v>46090</v>
      </c>
      <c r="AB368" s="213">
        <v>46090</v>
      </c>
      <c r="AC368" s="211" t="s">
        <v>1133</v>
      </c>
      <c r="AD368" s="211" t="s">
        <v>1133</v>
      </c>
      <c r="AE368" s="211" t="s">
        <v>270</v>
      </c>
      <c r="AF368" s="211" t="s">
        <v>1228</v>
      </c>
      <c r="AG368" s="211" t="s">
        <v>270</v>
      </c>
      <c r="AH368" s="211" t="s">
        <v>1133</v>
      </c>
      <c r="AI368" s="211" t="s">
        <v>1228</v>
      </c>
      <c r="AJ368" s="211" t="s">
        <v>1133</v>
      </c>
      <c r="AK368" s="211" t="s">
        <v>1659</v>
      </c>
      <c r="AL368" s="211"/>
      <c r="AM368" s="211" t="s">
        <v>1289</v>
      </c>
      <c r="AN368" s="212"/>
      <c r="AO368" s="215">
        <v>0.62</v>
      </c>
      <c r="AP368" s="216">
        <f t="shared" si="59"/>
        <v>2663.52</v>
      </c>
      <c r="AQ368" s="216">
        <f t="shared" si="60"/>
        <v>20642.28</v>
      </c>
      <c r="AR368" s="269">
        <v>61355</v>
      </c>
      <c r="AS368" s="255">
        <v>46193</v>
      </c>
      <c r="AT368" s="208" t="s">
        <v>1220</v>
      </c>
      <c r="AU368" s="251">
        <f>4272+24</f>
        <v>4296</v>
      </c>
      <c r="AV368" s="252">
        <f t="shared" si="67"/>
        <v>0</v>
      </c>
      <c r="AW368" s="252"/>
      <c r="AX368" s="208" t="s">
        <v>1280</v>
      </c>
      <c r="AY368" s="208"/>
      <c r="AZ368" s="208"/>
      <c r="BA368" s="208"/>
      <c r="BB368" s="208" t="str">
        <f t="shared" si="57"/>
        <v>Jazwares- TARGET US DOM</v>
      </c>
      <c r="BC368" s="208" t="str">
        <f t="shared" si="58"/>
        <v>美国</v>
      </c>
    </row>
    <row r="369" s="194" customFormat="1" customHeight="1" spans="1:55">
      <c r="A369" s="208">
        <v>46055</v>
      </c>
      <c r="B369" s="208" t="str">
        <f ca="1" t="shared" si="61"/>
        <v/>
      </c>
      <c r="C369" s="211" t="str">
        <f>VLOOKUP(H369,名称!A:E,4,0)</f>
        <v>三代</v>
      </c>
      <c r="D369" s="210" t="s">
        <v>1281</v>
      </c>
      <c r="E369" s="210" t="s">
        <v>1224</v>
      </c>
      <c r="F369" s="211" t="s">
        <v>487</v>
      </c>
      <c r="G369" s="211" t="s">
        <v>488</v>
      </c>
      <c r="H369" s="211" t="s">
        <v>83</v>
      </c>
      <c r="I369" s="211"/>
      <c r="J369" s="212">
        <v>2508</v>
      </c>
      <c r="K369" s="223">
        <f>VLOOKUP(H369,名称!A:C,2,0)</f>
        <v>5</v>
      </c>
      <c r="L369" s="212">
        <f t="shared" si="66"/>
        <v>12540</v>
      </c>
      <c r="M369" s="211">
        <f>VLOOKUP(H369,名称!A:E,3,0)</f>
        <v>12</v>
      </c>
      <c r="N369" s="212">
        <f t="shared" si="65"/>
        <v>209</v>
      </c>
      <c r="O369" s="208">
        <v>46175</v>
      </c>
      <c r="P369" s="208">
        <v>46188</v>
      </c>
      <c r="Q369" s="256">
        <v>46188</v>
      </c>
      <c r="R369" s="241" t="s">
        <v>1241</v>
      </c>
      <c r="S369" s="208">
        <v>46188</v>
      </c>
      <c r="T369" s="241" t="s">
        <v>1241</v>
      </c>
      <c r="U369" s="211"/>
      <c r="V369" s="241" t="s">
        <v>1773</v>
      </c>
      <c r="W369" s="208"/>
      <c r="X369" s="211" t="s">
        <v>1133</v>
      </c>
      <c r="Y369" s="211" t="s">
        <v>1133</v>
      </c>
      <c r="Z369" s="213">
        <v>46077</v>
      </c>
      <c r="AA369" s="214">
        <v>46079</v>
      </c>
      <c r="AB369" s="214">
        <v>46079</v>
      </c>
      <c r="AC369" s="211" t="s">
        <v>1133</v>
      </c>
      <c r="AD369" s="211" t="s">
        <v>1133</v>
      </c>
      <c r="AE369" s="211" t="s">
        <v>270</v>
      </c>
      <c r="AF369" s="211" t="s">
        <v>1228</v>
      </c>
      <c r="AG369" s="211" t="s">
        <v>270</v>
      </c>
      <c r="AH369" s="211" t="s">
        <v>1133</v>
      </c>
      <c r="AI369" s="211" t="s">
        <v>1228</v>
      </c>
      <c r="AJ369" s="211" t="s">
        <v>1133</v>
      </c>
      <c r="AK369" s="211" t="s">
        <v>1659</v>
      </c>
      <c r="AL369" s="211"/>
      <c r="AM369" s="211" t="s">
        <v>1289</v>
      </c>
      <c r="AN369" s="212"/>
      <c r="AO369" s="215">
        <v>0.91</v>
      </c>
      <c r="AP369" s="216">
        <f t="shared" si="59"/>
        <v>2282.28</v>
      </c>
      <c r="AQ369" s="216">
        <f t="shared" si="60"/>
        <v>17687.67</v>
      </c>
      <c r="AR369" s="269">
        <v>61356</v>
      </c>
      <c r="AS369" s="255">
        <v>46193</v>
      </c>
      <c r="AT369" s="208" t="s">
        <v>1220</v>
      </c>
      <c r="AU369" s="253">
        <v>2508</v>
      </c>
      <c r="AV369" s="252">
        <f t="shared" si="67"/>
        <v>0</v>
      </c>
      <c r="AW369" s="252"/>
      <c r="AX369" s="208" t="s">
        <v>1280</v>
      </c>
      <c r="AY369" s="208"/>
      <c r="AZ369" s="208"/>
      <c r="BA369" s="208"/>
      <c r="BB369" s="208" t="str">
        <f t="shared" si="57"/>
        <v>Jazwares, LLC</v>
      </c>
      <c r="BC369" s="208" t="str">
        <f t="shared" si="58"/>
        <v>美国</v>
      </c>
    </row>
    <row r="370" s="194" customFormat="1" customHeight="1" spans="1:55">
      <c r="A370" s="208">
        <v>46059</v>
      </c>
      <c r="B370" s="208" t="str">
        <f ca="1" t="shared" si="61"/>
        <v/>
      </c>
      <c r="C370" s="211" t="str">
        <f>VLOOKUP(H370,名称!A:E,4,0)</f>
        <v>三代</v>
      </c>
      <c r="D370" s="210" t="s">
        <v>1281</v>
      </c>
      <c r="E370" s="210" t="s">
        <v>1224</v>
      </c>
      <c r="F370" s="211" t="s">
        <v>499</v>
      </c>
      <c r="G370" s="211" t="s">
        <v>500</v>
      </c>
      <c r="H370" s="211" t="s">
        <v>59</v>
      </c>
      <c r="I370" s="211"/>
      <c r="J370" s="212">
        <v>5016</v>
      </c>
      <c r="K370" s="223">
        <f>VLOOKUP(H370,名称!A:C,2,0)</f>
        <v>5</v>
      </c>
      <c r="L370" s="212">
        <f t="shared" si="66"/>
        <v>25080</v>
      </c>
      <c r="M370" s="211">
        <f>VLOOKUP(H370,名称!A:E,3,0)</f>
        <v>24</v>
      </c>
      <c r="N370" s="212">
        <f t="shared" si="65"/>
        <v>209</v>
      </c>
      <c r="O370" s="208">
        <v>46175</v>
      </c>
      <c r="P370" s="208">
        <v>46175</v>
      </c>
      <c r="Q370" s="208">
        <v>46174</v>
      </c>
      <c r="R370" s="211" t="s">
        <v>1241</v>
      </c>
      <c r="S370" s="208">
        <v>46188</v>
      </c>
      <c r="T370" s="241" t="s">
        <v>1241</v>
      </c>
      <c r="U370" s="211"/>
      <c r="V370" s="241" t="s">
        <v>1773</v>
      </c>
      <c r="W370" s="208"/>
      <c r="X370" s="211" t="s">
        <v>1133</v>
      </c>
      <c r="Y370" s="211" t="s">
        <v>1133</v>
      </c>
      <c r="Z370" s="213">
        <v>46077</v>
      </c>
      <c r="AA370" s="214">
        <v>46079</v>
      </c>
      <c r="AB370" s="214">
        <v>46079</v>
      </c>
      <c r="AC370" s="211" t="s">
        <v>1133</v>
      </c>
      <c r="AD370" s="211" t="s">
        <v>1133</v>
      </c>
      <c r="AE370" s="211" t="s">
        <v>270</v>
      </c>
      <c r="AF370" s="211" t="s">
        <v>1228</v>
      </c>
      <c r="AG370" s="211" t="s">
        <v>270</v>
      </c>
      <c r="AH370" s="211" t="s">
        <v>1133</v>
      </c>
      <c r="AI370" s="211" t="s">
        <v>1228</v>
      </c>
      <c r="AJ370" s="211" t="s">
        <v>1133</v>
      </c>
      <c r="AK370" s="211" t="s">
        <v>1659</v>
      </c>
      <c r="AL370" s="211"/>
      <c r="AM370" s="211" t="s">
        <v>1289</v>
      </c>
      <c r="AN370" s="212"/>
      <c r="AO370" s="215">
        <v>0.62</v>
      </c>
      <c r="AP370" s="216">
        <f t="shared" si="59"/>
        <v>3109.92</v>
      </c>
      <c r="AQ370" s="216">
        <f t="shared" si="60"/>
        <v>24101.88</v>
      </c>
      <c r="AR370" s="269">
        <v>61357</v>
      </c>
      <c r="AS370" s="255">
        <v>46193</v>
      </c>
      <c r="AT370" s="208" t="s">
        <v>1220</v>
      </c>
      <c r="AU370" s="251">
        <f>4992+24</f>
        <v>5016</v>
      </c>
      <c r="AV370" s="252">
        <f t="shared" si="67"/>
        <v>0</v>
      </c>
      <c r="AW370" s="252"/>
      <c r="AX370" s="208" t="s">
        <v>1280</v>
      </c>
      <c r="AY370" s="208"/>
      <c r="AZ370" s="208"/>
      <c r="BA370" s="208"/>
      <c r="BB370" s="208" t="str">
        <f t="shared" si="57"/>
        <v>Jazwares, LLC</v>
      </c>
      <c r="BC370" s="208" t="str">
        <f t="shared" si="58"/>
        <v>美国</v>
      </c>
    </row>
    <row r="371" s="194" customFormat="1" customHeight="1" spans="1:55">
      <c r="A371" s="208">
        <v>46113</v>
      </c>
      <c r="B371" s="208" t="str">
        <f ca="1" t="shared" si="61"/>
        <v/>
      </c>
      <c r="C371" s="211" t="str">
        <f>VLOOKUP(H371,名称!A:E,4,0)</f>
        <v>三代</v>
      </c>
      <c r="D371" s="210" t="s">
        <v>1276</v>
      </c>
      <c r="E371" s="210" t="s">
        <v>1224</v>
      </c>
      <c r="F371" s="211" t="s">
        <v>585</v>
      </c>
      <c r="G371" s="211" t="s">
        <v>586</v>
      </c>
      <c r="H371" s="211" t="s">
        <v>59</v>
      </c>
      <c r="I371" s="211"/>
      <c r="J371" s="212">
        <v>30000</v>
      </c>
      <c r="K371" s="223">
        <f>VLOOKUP(H371,名称!A:C,2,0)</f>
        <v>5</v>
      </c>
      <c r="L371" s="212">
        <f t="shared" si="66"/>
        <v>150000</v>
      </c>
      <c r="M371" s="211">
        <f>VLOOKUP(H371,名称!A:E,3,0)</f>
        <v>24</v>
      </c>
      <c r="N371" s="212">
        <f t="shared" si="65"/>
        <v>1250</v>
      </c>
      <c r="O371" s="208">
        <v>46184</v>
      </c>
      <c r="P371" s="208">
        <v>46184</v>
      </c>
      <c r="Q371" s="256">
        <v>46191</v>
      </c>
      <c r="R371" s="241" t="s">
        <v>1241</v>
      </c>
      <c r="S371" s="208">
        <v>46191</v>
      </c>
      <c r="T371" s="241" t="s">
        <v>1241</v>
      </c>
      <c r="U371" s="211"/>
      <c r="V371" s="241" t="s">
        <v>1773</v>
      </c>
      <c r="W371" s="208"/>
      <c r="X371" s="211" t="s">
        <v>1133</v>
      </c>
      <c r="Y371" s="211" t="s">
        <v>1133</v>
      </c>
      <c r="Z371" s="213">
        <v>46119</v>
      </c>
      <c r="AA371" s="214">
        <v>46141</v>
      </c>
      <c r="AB371" s="213">
        <v>46148</v>
      </c>
      <c r="AC371" s="211" t="s">
        <v>1133</v>
      </c>
      <c r="AD371" s="211" t="s">
        <v>1133</v>
      </c>
      <c r="AE371" s="211" t="s">
        <v>270</v>
      </c>
      <c r="AF371" s="211" t="s">
        <v>1228</v>
      </c>
      <c r="AG371" s="211" t="s">
        <v>270</v>
      </c>
      <c r="AH371" s="211" t="s">
        <v>1133</v>
      </c>
      <c r="AI371" s="211" t="s">
        <v>1228</v>
      </c>
      <c r="AJ371" s="211" t="s">
        <v>1133</v>
      </c>
      <c r="AK371" s="211" t="s">
        <v>1659</v>
      </c>
      <c r="AL371" s="211"/>
      <c r="AM371" s="211" t="s">
        <v>1303</v>
      </c>
      <c r="AN371" s="212"/>
      <c r="AO371" s="215">
        <v>0.62</v>
      </c>
      <c r="AP371" s="216">
        <f t="shared" si="59"/>
        <v>18600</v>
      </c>
      <c r="AQ371" s="216">
        <f t="shared" si="60"/>
        <v>144150</v>
      </c>
      <c r="AR371" s="269">
        <v>61358</v>
      </c>
      <c r="AS371" s="255">
        <v>46193</v>
      </c>
      <c r="AT371" s="208" t="s">
        <v>1220</v>
      </c>
      <c r="AU371" s="253">
        <v>30000</v>
      </c>
      <c r="AV371" s="252">
        <f t="shared" si="67"/>
        <v>0</v>
      </c>
      <c r="AW371" s="252"/>
      <c r="AX371" s="208" t="s">
        <v>1280</v>
      </c>
      <c r="AY371" s="208"/>
      <c r="AZ371" s="208"/>
      <c r="BA371" s="208"/>
      <c r="BB371" s="208" t="str">
        <f t="shared" si="57"/>
        <v>Jazwares- TARGET US DOM</v>
      </c>
      <c r="BC371" s="208" t="str">
        <f t="shared" si="58"/>
        <v>美国</v>
      </c>
    </row>
    <row r="372" s="194" customFormat="1" customHeight="1" spans="1:55">
      <c r="A372" s="208">
        <v>46035</v>
      </c>
      <c r="B372" s="208" t="str">
        <f ca="1" t="shared" si="61"/>
        <v/>
      </c>
      <c r="C372" s="211" t="str">
        <f>VLOOKUP(H372,名称!A:E,4,0)</f>
        <v>三代</v>
      </c>
      <c r="D372" s="210" t="s">
        <v>1257</v>
      </c>
      <c r="E372" s="210" t="s">
        <v>1258</v>
      </c>
      <c r="F372" s="211" t="s">
        <v>457</v>
      </c>
      <c r="G372" s="211" t="s">
        <v>458</v>
      </c>
      <c r="H372" s="211" t="s">
        <v>88</v>
      </c>
      <c r="I372" s="211"/>
      <c r="J372" s="212">
        <f>108000-37896</f>
        <v>70104</v>
      </c>
      <c r="K372" s="223">
        <f>VLOOKUP(H372,名称!A:C,2,0)</f>
        <v>5</v>
      </c>
      <c r="L372" s="212">
        <f t="shared" si="66"/>
        <v>350520</v>
      </c>
      <c r="M372" s="211">
        <f>VLOOKUP(H372,名称!A:E,3,0)</f>
        <v>24</v>
      </c>
      <c r="N372" s="212">
        <f t="shared" si="65"/>
        <v>2921</v>
      </c>
      <c r="O372" s="208">
        <v>46188</v>
      </c>
      <c r="P372" s="208">
        <v>46164</v>
      </c>
      <c r="Q372" s="208" t="s">
        <v>1702</v>
      </c>
      <c r="R372" s="273" t="s">
        <v>1241</v>
      </c>
      <c r="S372" s="273" t="s">
        <v>1777</v>
      </c>
      <c r="T372" s="273" t="s">
        <v>1241</v>
      </c>
      <c r="U372" s="208"/>
      <c r="V372" s="211" t="s">
        <v>1703</v>
      </c>
      <c r="W372" s="208"/>
      <c r="X372" s="211" t="s">
        <v>1133</v>
      </c>
      <c r="Y372" s="211" t="s">
        <v>1133</v>
      </c>
      <c r="Z372" s="213">
        <v>46099</v>
      </c>
      <c r="AA372" s="214">
        <v>46100</v>
      </c>
      <c r="AB372" s="213">
        <v>46107</v>
      </c>
      <c r="AC372" s="211" t="s">
        <v>1133</v>
      </c>
      <c r="AD372" s="211" t="s">
        <v>1133</v>
      </c>
      <c r="AE372" s="211" t="s">
        <v>334</v>
      </c>
      <c r="AF372" s="211" t="s">
        <v>1228</v>
      </c>
      <c r="AG372" s="211" t="s">
        <v>334</v>
      </c>
      <c r="AH372" s="211" t="s">
        <v>1133</v>
      </c>
      <c r="AI372" s="211" t="s">
        <v>1228</v>
      </c>
      <c r="AJ372" s="211" t="s">
        <v>1133</v>
      </c>
      <c r="AK372" s="211" t="s">
        <v>334</v>
      </c>
      <c r="AL372" s="211"/>
      <c r="AM372" s="211" t="s">
        <v>1704</v>
      </c>
      <c r="AN372" s="212"/>
      <c r="AO372" s="215">
        <v>0.8</v>
      </c>
      <c r="AP372" s="216">
        <f t="shared" si="59"/>
        <v>56083.2</v>
      </c>
      <c r="AQ372" s="216">
        <f t="shared" si="60"/>
        <v>434644.8</v>
      </c>
      <c r="AR372" s="269">
        <v>61359</v>
      </c>
      <c r="AS372" s="255">
        <v>46195</v>
      </c>
      <c r="AT372" s="208" t="s">
        <v>1310</v>
      </c>
      <c r="AU372" s="251"/>
      <c r="AV372" s="252">
        <f t="shared" si="67"/>
        <v>-70104</v>
      </c>
      <c r="AW372" s="252"/>
      <c r="AX372" s="208"/>
      <c r="AY372" s="208"/>
      <c r="AZ372" s="208"/>
      <c r="BA372" s="208"/>
      <c r="BB372" s="208" t="str">
        <f t="shared" si="57"/>
        <v>Character Options</v>
      </c>
      <c r="BC372" s="208" t="str">
        <f t="shared" si="58"/>
        <v>英国</v>
      </c>
    </row>
    <row r="373" s="194" customFormat="1" customHeight="1" spans="1:55">
      <c r="A373" s="208">
        <v>46035</v>
      </c>
      <c r="B373" s="208" t="str">
        <f ca="1" t="shared" si="61"/>
        <v/>
      </c>
      <c r="C373" s="211" t="str">
        <f>VLOOKUP(H373,名称!A:E,4,0)</f>
        <v>三代</v>
      </c>
      <c r="D373" s="210" t="s">
        <v>1257</v>
      </c>
      <c r="E373" s="210" t="s">
        <v>1258</v>
      </c>
      <c r="F373" s="211" t="s">
        <v>457</v>
      </c>
      <c r="G373" s="211" t="s">
        <v>458</v>
      </c>
      <c r="H373" s="211" t="s">
        <v>89</v>
      </c>
      <c r="I373" s="211"/>
      <c r="J373" s="212">
        <f>36000-12096</f>
        <v>23904</v>
      </c>
      <c r="K373" s="223">
        <f>VLOOKUP(H373,名称!A:C,2,0)</f>
        <v>12</v>
      </c>
      <c r="L373" s="212">
        <f t="shared" si="66"/>
        <v>286848</v>
      </c>
      <c r="M373" s="211">
        <f>VLOOKUP(H373,名称!A:E,3,0)</f>
        <v>6</v>
      </c>
      <c r="N373" s="212">
        <f t="shared" si="65"/>
        <v>3984</v>
      </c>
      <c r="O373" s="208">
        <v>46188</v>
      </c>
      <c r="P373" s="208">
        <v>46164</v>
      </c>
      <c r="Q373" s="208" t="s">
        <v>1698</v>
      </c>
      <c r="R373" s="273" t="s">
        <v>1241</v>
      </c>
      <c r="S373" s="273" t="s">
        <v>1778</v>
      </c>
      <c r="T373" s="274" t="s">
        <v>1241</v>
      </c>
      <c r="U373" s="208"/>
      <c r="V373" s="211" t="s">
        <v>1699</v>
      </c>
      <c r="W373" s="208"/>
      <c r="X373" s="211" t="s">
        <v>1133</v>
      </c>
      <c r="Y373" s="211" t="s">
        <v>1133</v>
      </c>
      <c r="Z373" s="213">
        <v>46099</v>
      </c>
      <c r="AA373" s="214">
        <v>46100</v>
      </c>
      <c r="AB373" s="213">
        <v>46107</v>
      </c>
      <c r="AC373" s="211" t="s">
        <v>1318</v>
      </c>
      <c r="AD373" s="211" t="s">
        <v>1233</v>
      </c>
      <c r="AE373" s="211" t="s">
        <v>334</v>
      </c>
      <c r="AF373" s="211" t="s">
        <v>1228</v>
      </c>
      <c r="AG373" s="211" t="s">
        <v>334</v>
      </c>
      <c r="AH373" s="211" t="s">
        <v>1361</v>
      </c>
      <c r="AI373" s="211" t="s">
        <v>1228</v>
      </c>
      <c r="AJ373" s="211" t="s">
        <v>510</v>
      </c>
      <c r="AK373" s="211" t="s">
        <v>1133</v>
      </c>
      <c r="AL373" s="211"/>
      <c r="AM373" s="211" t="s">
        <v>1700</v>
      </c>
      <c r="AN373" s="212"/>
      <c r="AO373" s="215">
        <v>1.83</v>
      </c>
      <c r="AP373" s="216">
        <f t="shared" si="59"/>
        <v>43744.32</v>
      </c>
      <c r="AQ373" s="216">
        <f t="shared" si="60"/>
        <v>339018.48</v>
      </c>
      <c r="AR373" s="269">
        <v>61359</v>
      </c>
      <c r="AS373" s="255">
        <v>46195</v>
      </c>
      <c r="AT373" s="208" t="s">
        <v>1310</v>
      </c>
      <c r="AU373" s="251"/>
      <c r="AV373" s="252">
        <f t="shared" si="67"/>
        <v>-23904</v>
      </c>
      <c r="AW373" s="252"/>
      <c r="AX373" s="208"/>
      <c r="AY373" s="208"/>
      <c r="AZ373" s="208"/>
      <c r="BA373" s="208"/>
      <c r="BB373" s="208" t="str">
        <f t="shared" si="57"/>
        <v>Character Options</v>
      </c>
      <c r="BC373" s="208" t="str">
        <f t="shared" si="58"/>
        <v>英国</v>
      </c>
    </row>
    <row r="374" s="194" customFormat="1" customHeight="1" spans="1:55">
      <c r="A374" s="208">
        <v>46035</v>
      </c>
      <c r="B374" s="208" t="str">
        <f ca="1" t="shared" si="61"/>
        <v/>
      </c>
      <c r="C374" s="211" t="str">
        <f>VLOOKUP(H374,名称!A:E,4,0)</f>
        <v>三代</v>
      </c>
      <c r="D374" s="210" t="s">
        <v>1257</v>
      </c>
      <c r="E374" s="210" t="s">
        <v>1258</v>
      </c>
      <c r="F374" s="211" t="s">
        <v>457</v>
      </c>
      <c r="G374" s="211" t="s">
        <v>458</v>
      </c>
      <c r="H374" s="211" t="s">
        <v>90</v>
      </c>
      <c r="I374" s="211"/>
      <c r="J374" s="212">
        <f>12000+6000-3042</f>
        <v>14958</v>
      </c>
      <c r="K374" s="223">
        <f>VLOOKUP(H374,名称!A:C,2,0)</f>
        <v>12</v>
      </c>
      <c r="L374" s="212">
        <f t="shared" si="66"/>
        <v>179496</v>
      </c>
      <c r="M374" s="211">
        <f>VLOOKUP(H374,名称!A:E,3,0)</f>
        <v>6</v>
      </c>
      <c r="N374" s="212">
        <f t="shared" si="65"/>
        <v>2493</v>
      </c>
      <c r="O374" s="208">
        <v>46188</v>
      </c>
      <c r="P374" s="208" t="s">
        <v>1779</v>
      </c>
      <c r="Q374" s="208" t="s">
        <v>1705</v>
      </c>
      <c r="R374" s="273" t="s">
        <v>1241</v>
      </c>
      <c r="S374" s="273" t="s">
        <v>1780</v>
      </c>
      <c r="T374" s="274" t="s">
        <v>1241</v>
      </c>
      <c r="U374" s="208"/>
      <c r="V374" s="211" t="s">
        <v>1707</v>
      </c>
      <c r="W374" s="208"/>
      <c r="X374" s="211" t="s">
        <v>1133</v>
      </c>
      <c r="Y374" s="211" t="s">
        <v>1133</v>
      </c>
      <c r="Z374" s="213">
        <v>46099</v>
      </c>
      <c r="AA374" s="214">
        <v>46100</v>
      </c>
      <c r="AB374" s="213">
        <v>46107</v>
      </c>
      <c r="AC374" s="211" t="s">
        <v>1302</v>
      </c>
      <c r="AD374" s="211" t="s">
        <v>1228</v>
      </c>
      <c r="AE374" s="211" t="s">
        <v>334</v>
      </c>
      <c r="AF374" s="211" t="s">
        <v>1228</v>
      </c>
      <c r="AG374" s="211" t="s">
        <v>334</v>
      </c>
      <c r="AH374" s="211" t="s">
        <v>1361</v>
      </c>
      <c r="AI374" s="211" t="s">
        <v>1228</v>
      </c>
      <c r="AJ374" s="211" t="s">
        <v>1133</v>
      </c>
      <c r="AK374" s="211" t="s">
        <v>1133</v>
      </c>
      <c r="AL374" s="211"/>
      <c r="AM374" s="211" t="s">
        <v>1708</v>
      </c>
      <c r="AN374" s="212"/>
      <c r="AO374" s="215">
        <v>1.56</v>
      </c>
      <c r="AP374" s="216">
        <f t="shared" si="59"/>
        <v>23334.48</v>
      </c>
      <c r="AQ374" s="216">
        <f t="shared" si="60"/>
        <v>180842.22</v>
      </c>
      <c r="AR374" s="269">
        <v>61359</v>
      </c>
      <c r="AS374" s="255">
        <v>46195</v>
      </c>
      <c r="AT374" s="208" t="s">
        <v>1220</v>
      </c>
      <c r="AU374" s="251"/>
      <c r="AV374" s="252">
        <f t="shared" si="67"/>
        <v>-14958</v>
      </c>
      <c r="AW374" s="252"/>
      <c r="AX374" s="208"/>
      <c r="AY374" s="208"/>
      <c r="AZ374" s="208"/>
      <c r="BA374" s="208"/>
      <c r="BB374" s="208" t="str">
        <f t="shared" si="57"/>
        <v>Character Options</v>
      </c>
      <c r="BC374" s="208" t="str">
        <f t="shared" si="58"/>
        <v>英国</v>
      </c>
    </row>
    <row r="375" s="194" customFormat="1" customHeight="1" spans="1:55">
      <c r="A375" s="208">
        <v>46100</v>
      </c>
      <c r="B375" s="208" t="str">
        <f ca="1" t="shared" si="61"/>
        <v/>
      </c>
      <c r="C375" s="211" t="str">
        <f>VLOOKUP(H375,名称!A:E,4,0)</f>
        <v>三代</v>
      </c>
      <c r="D375" s="210" t="s">
        <v>1781</v>
      </c>
      <c r="E375" s="210" t="s">
        <v>1782</v>
      </c>
      <c r="F375" s="211"/>
      <c r="G375" s="211" t="s">
        <v>576</v>
      </c>
      <c r="H375" s="211" t="s">
        <v>55</v>
      </c>
      <c r="I375" s="211"/>
      <c r="J375" s="212">
        <v>12480</v>
      </c>
      <c r="K375" s="223">
        <f>VLOOKUP(H375,名称!A:C,2,0)</f>
        <v>7</v>
      </c>
      <c r="L375" s="212">
        <f t="shared" si="66"/>
        <v>87360</v>
      </c>
      <c r="M375" s="211">
        <f>VLOOKUP(H375,名称!A:E,3,0)</f>
        <v>16</v>
      </c>
      <c r="N375" s="212">
        <f t="shared" si="65"/>
        <v>780</v>
      </c>
      <c r="O375" s="208">
        <v>46160</v>
      </c>
      <c r="P375" s="256">
        <v>46160</v>
      </c>
      <c r="Q375" s="256">
        <v>46160</v>
      </c>
      <c r="R375" s="211" t="s">
        <v>1241</v>
      </c>
      <c r="S375" s="256" t="s">
        <v>1133</v>
      </c>
      <c r="T375" s="211" t="s">
        <v>1133</v>
      </c>
      <c r="U375" s="213">
        <v>46159</v>
      </c>
      <c r="V375" s="211"/>
      <c r="W375" s="208"/>
      <c r="X375" s="211" t="s">
        <v>1248</v>
      </c>
      <c r="Y375" s="213">
        <v>46150</v>
      </c>
      <c r="Z375" s="213">
        <v>46111</v>
      </c>
      <c r="AA375" s="214">
        <v>46112</v>
      </c>
      <c r="AB375" s="213">
        <v>46115</v>
      </c>
      <c r="AC375" s="211" t="s">
        <v>1284</v>
      </c>
      <c r="AD375" s="211" t="s">
        <v>1228</v>
      </c>
      <c r="AE375" s="211" t="s">
        <v>510</v>
      </c>
      <c r="AF375" s="211" t="s">
        <v>1228</v>
      </c>
      <c r="AG375" s="211" t="s">
        <v>510</v>
      </c>
      <c r="AH375" s="211" t="s">
        <v>1307</v>
      </c>
      <c r="AI375" s="211" t="s">
        <v>1228</v>
      </c>
      <c r="AJ375" s="211" t="s">
        <v>1133</v>
      </c>
      <c r="AK375" s="211" t="s">
        <v>1133</v>
      </c>
      <c r="AL375" s="211" t="s">
        <v>1228</v>
      </c>
      <c r="AM375" s="211"/>
      <c r="AN375" s="212" t="s">
        <v>1251</v>
      </c>
      <c r="AO375" s="215">
        <v>0.88</v>
      </c>
      <c r="AP375" s="216">
        <f t="shared" si="59"/>
        <v>10982.4</v>
      </c>
      <c r="AQ375" s="216">
        <f t="shared" si="60"/>
        <v>85113.6</v>
      </c>
      <c r="AR375" s="269">
        <v>61360</v>
      </c>
      <c r="AS375" s="255">
        <v>46199</v>
      </c>
      <c r="AT375" s="208" t="s">
        <v>1220</v>
      </c>
      <c r="AU375" s="253">
        <v>12480</v>
      </c>
      <c r="AV375" s="252">
        <f t="shared" si="67"/>
        <v>0</v>
      </c>
      <c r="AW375" s="252"/>
      <c r="AX375" s="208" t="s">
        <v>1280</v>
      </c>
      <c r="AY375" s="208"/>
      <c r="AZ375" s="208"/>
      <c r="BA375" s="208"/>
      <c r="BB375" s="208" t="str">
        <f t="shared" si="57"/>
        <v>Dexy Co</v>
      </c>
      <c r="BC375" s="208" t="str">
        <f t="shared" si="58"/>
        <v>塞尔维亚</v>
      </c>
    </row>
    <row r="376" s="194" customFormat="1" customHeight="1" spans="1:55">
      <c r="A376" s="208">
        <v>46100</v>
      </c>
      <c r="B376" s="208" t="str">
        <f ca="1" t="shared" si="61"/>
        <v/>
      </c>
      <c r="C376" s="211" t="str">
        <f>VLOOKUP(H376,名称!A:E,4,0)</f>
        <v>三代</v>
      </c>
      <c r="D376" s="210" t="s">
        <v>1781</v>
      </c>
      <c r="E376" s="210" t="s">
        <v>1782</v>
      </c>
      <c r="F376" s="211"/>
      <c r="G376" s="211" t="s">
        <v>576</v>
      </c>
      <c r="H376" s="211" t="s">
        <v>59</v>
      </c>
      <c r="I376" s="211"/>
      <c r="J376" s="212">
        <v>13728</v>
      </c>
      <c r="K376" s="223">
        <f>VLOOKUP(H376,名称!A:C,2,0)</f>
        <v>5</v>
      </c>
      <c r="L376" s="212">
        <f t="shared" si="66"/>
        <v>68640</v>
      </c>
      <c r="M376" s="211">
        <f>VLOOKUP(H376,名称!A:E,3,0)</f>
        <v>24</v>
      </c>
      <c r="N376" s="212">
        <f t="shared" si="65"/>
        <v>572</v>
      </c>
      <c r="O376" s="208">
        <v>46160</v>
      </c>
      <c r="P376" s="256">
        <v>46163</v>
      </c>
      <c r="Q376" s="256">
        <v>46163</v>
      </c>
      <c r="R376" s="211" t="s">
        <v>1277</v>
      </c>
      <c r="S376" s="256" t="s">
        <v>1133</v>
      </c>
      <c r="T376" s="211" t="s">
        <v>1133</v>
      </c>
      <c r="U376" s="213">
        <v>46159</v>
      </c>
      <c r="V376" s="211"/>
      <c r="W376" s="208"/>
      <c r="X376" s="211" t="s">
        <v>1248</v>
      </c>
      <c r="Y376" s="213">
        <v>46150</v>
      </c>
      <c r="Z376" s="213">
        <v>46111</v>
      </c>
      <c r="AA376" s="214">
        <v>46112</v>
      </c>
      <c r="AB376" s="213">
        <v>46115</v>
      </c>
      <c r="AC376" s="211" t="s">
        <v>1133</v>
      </c>
      <c r="AD376" s="211" t="s">
        <v>1133</v>
      </c>
      <c r="AE376" s="211" t="s">
        <v>510</v>
      </c>
      <c r="AF376" s="211" t="s">
        <v>1228</v>
      </c>
      <c r="AG376" s="211" t="s">
        <v>510</v>
      </c>
      <c r="AH376" s="211" t="s">
        <v>1133</v>
      </c>
      <c r="AI376" s="211" t="s">
        <v>1228</v>
      </c>
      <c r="AJ376" s="211" t="s">
        <v>1133</v>
      </c>
      <c r="AK376" s="211" t="s">
        <v>510</v>
      </c>
      <c r="AL376" s="211"/>
      <c r="AM376" s="211"/>
      <c r="AN376" s="212" t="s">
        <v>1251</v>
      </c>
      <c r="AO376" s="215">
        <v>0.62</v>
      </c>
      <c r="AP376" s="216">
        <f t="shared" si="59"/>
        <v>8511.36</v>
      </c>
      <c r="AQ376" s="216">
        <f t="shared" si="60"/>
        <v>65963.04</v>
      </c>
      <c r="AR376" s="269">
        <v>61360</v>
      </c>
      <c r="AS376" s="255">
        <v>46199</v>
      </c>
      <c r="AT376" s="208" t="s">
        <v>1220</v>
      </c>
      <c r="AU376" s="253">
        <f>13704+24</f>
        <v>13728</v>
      </c>
      <c r="AV376" s="252">
        <f t="shared" si="67"/>
        <v>0</v>
      </c>
      <c r="AW376" s="252"/>
      <c r="AX376" s="208" t="s">
        <v>1280</v>
      </c>
      <c r="AY376" s="208"/>
      <c r="AZ376" s="208"/>
      <c r="BA376" s="208"/>
      <c r="BB376" s="208" t="str">
        <f t="shared" si="57"/>
        <v>Dexy Co</v>
      </c>
      <c r="BC376" s="208" t="str">
        <f t="shared" si="58"/>
        <v>塞尔维亚</v>
      </c>
    </row>
    <row r="377" s="194" customFormat="1" customHeight="1" spans="1:55">
      <c r="A377" s="208">
        <v>46100</v>
      </c>
      <c r="B377" s="208" t="str">
        <f ca="1" t="shared" si="61"/>
        <v/>
      </c>
      <c r="C377" s="211" t="str">
        <f>VLOOKUP(H377,名称!A:E,4,0)</f>
        <v>三代</v>
      </c>
      <c r="D377" s="210" t="s">
        <v>1781</v>
      </c>
      <c r="E377" s="210" t="s">
        <v>1782</v>
      </c>
      <c r="F377" s="211"/>
      <c r="G377" s="211" t="s">
        <v>576</v>
      </c>
      <c r="H377" s="211" t="s">
        <v>66</v>
      </c>
      <c r="I377" s="211"/>
      <c r="J377" s="212">
        <v>5496</v>
      </c>
      <c r="K377" s="223">
        <f>VLOOKUP(H377,名称!A:C,2,0)</f>
        <v>12</v>
      </c>
      <c r="L377" s="212">
        <f t="shared" si="66"/>
        <v>65952</v>
      </c>
      <c r="M377" s="211">
        <f>VLOOKUP(H377,名称!A:E,3,0)</f>
        <v>6</v>
      </c>
      <c r="N377" s="212">
        <f t="shared" si="65"/>
        <v>916</v>
      </c>
      <c r="O377" s="208">
        <v>46160</v>
      </c>
      <c r="P377" s="256">
        <v>46160</v>
      </c>
      <c r="Q377" s="256">
        <v>46160</v>
      </c>
      <c r="R377" s="211" t="s">
        <v>1241</v>
      </c>
      <c r="S377" s="256" t="s">
        <v>1133</v>
      </c>
      <c r="T377" s="211" t="s">
        <v>1133</v>
      </c>
      <c r="U377" s="213">
        <v>46159</v>
      </c>
      <c r="V377" s="211"/>
      <c r="W377" s="208"/>
      <c r="X377" s="211" t="s">
        <v>1248</v>
      </c>
      <c r="Y377" s="213">
        <v>46150</v>
      </c>
      <c r="Z377" s="213">
        <v>46111</v>
      </c>
      <c r="AA377" s="214">
        <v>46112</v>
      </c>
      <c r="AB377" s="213">
        <v>46115</v>
      </c>
      <c r="AC377" s="211" t="s">
        <v>1318</v>
      </c>
      <c r="AD377" s="211" t="s">
        <v>1228</v>
      </c>
      <c r="AE377" s="211" t="s">
        <v>510</v>
      </c>
      <c r="AF377" s="211" t="s">
        <v>1228</v>
      </c>
      <c r="AG377" s="211" t="s">
        <v>510</v>
      </c>
      <c r="AH377" s="211" t="s">
        <v>1307</v>
      </c>
      <c r="AI377" s="211" t="s">
        <v>1228</v>
      </c>
      <c r="AJ377" s="211" t="s">
        <v>510</v>
      </c>
      <c r="AK377" s="211" t="s">
        <v>1133</v>
      </c>
      <c r="AL377" s="211"/>
      <c r="AM377" s="211"/>
      <c r="AN377" s="212" t="s">
        <v>1251</v>
      </c>
      <c r="AO377" s="215">
        <v>2.02</v>
      </c>
      <c r="AP377" s="216">
        <f t="shared" si="59"/>
        <v>11101.92</v>
      </c>
      <c r="AQ377" s="216">
        <f t="shared" si="60"/>
        <v>86039.88</v>
      </c>
      <c r="AR377" s="269">
        <v>61360</v>
      </c>
      <c r="AS377" s="255">
        <v>46199</v>
      </c>
      <c r="AT377" s="208" t="s">
        <v>1220</v>
      </c>
      <c r="AU377" s="253">
        <v>5496</v>
      </c>
      <c r="AV377" s="252">
        <f t="shared" si="67"/>
        <v>0</v>
      </c>
      <c r="AW377" s="252"/>
      <c r="AX377" s="208" t="s">
        <v>1280</v>
      </c>
      <c r="AY377" s="208"/>
      <c r="AZ377" s="208"/>
      <c r="BA377" s="208"/>
      <c r="BB377" s="208" t="str">
        <f t="shared" si="57"/>
        <v>Dexy Co</v>
      </c>
      <c r="BC377" s="208" t="str">
        <f t="shared" si="58"/>
        <v>塞尔维亚</v>
      </c>
    </row>
    <row r="378" s="194" customFormat="1" customHeight="1" spans="1:55">
      <c r="A378" s="208">
        <v>46100</v>
      </c>
      <c r="B378" s="208" t="str">
        <f ca="1" t="shared" si="61"/>
        <v/>
      </c>
      <c r="C378" s="211" t="str">
        <f>VLOOKUP(H378,名称!A:E,4,0)</f>
        <v>三代</v>
      </c>
      <c r="D378" s="210" t="s">
        <v>1781</v>
      </c>
      <c r="E378" s="210" t="s">
        <v>1782</v>
      </c>
      <c r="F378" s="211"/>
      <c r="G378" s="211" t="s">
        <v>576</v>
      </c>
      <c r="H378" s="211" t="s">
        <v>68</v>
      </c>
      <c r="I378" s="211"/>
      <c r="J378" s="212">
        <v>1248</v>
      </c>
      <c r="K378" s="223">
        <f>VLOOKUP(H378,名称!A:C,2,0)</f>
        <v>32</v>
      </c>
      <c r="L378" s="212">
        <f t="shared" si="66"/>
        <v>39936</v>
      </c>
      <c r="M378" s="211">
        <f>VLOOKUP(H378,名称!A:E,3,0)</f>
        <v>4</v>
      </c>
      <c r="N378" s="212">
        <f t="shared" si="65"/>
        <v>312</v>
      </c>
      <c r="O378" s="208">
        <v>46160</v>
      </c>
      <c r="P378" s="256">
        <v>46161</v>
      </c>
      <c r="Q378" s="256">
        <v>46161</v>
      </c>
      <c r="R378" s="211" t="s">
        <v>1241</v>
      </c>
      <c r="S378" s="256" t="s">
        <v>1133</v>
      </c>
      <c r="T378" s="211" t="s">
        <v>1133</v>
      </c>
      <c r="U378" s="213">
        <v>46159</v>
      </c>
      <c r="V378" s="211"/>
      <c r="W378" s="208"/>
      <c r="X378" s="211" t="s">
        <v>1248</v>
      </c>
      <c r="Y378" s="213">
        <v>46150</v>
      </c>
      <c r="Z378" s="213">
        <v>46111</v>
      </c>
      <c r="AA378" s="214">
        <v>46112</v>
      </c>
      <c r="AB378" s="213">
        <v>46115</v>
      </c>
      <c r="AC378" s="211" t="s">
        <v>1133</v>
      </c>
      <c r="AD378" s="211" t="s">
        <v>1133</v>
      </c>
      <c r="AE378" s="211" t="s">
        <v>510</v>
      </c>
      <c r="AF378" s="211" t="s">
        <v>1228</v>
      </c>
      <c r="AG378" s="211" t="s">
        <v>510</v>
      </c>
      <c r="AH378" s="211" t="s">
        <v>1307</v>
      </c>
      <c r="AI378" s="211" t="s">
        <v>1228</v>
      </c>
      <c r="AJ378" s="211" t="s">
        <v>1133</v>
      </c>
      <c r="AK378" s="211" t="s">
        <v>1133</v>
      </c>
      <c r="AL378" s="211"/>
      <c r="AM378" s="211"/>
      <c r="AN378" s="212" t="s">
        <v>1251</v>
      </c>
      <c r="AO378" s="215">
        <v>3.09</v>
      </c>
      <c r="AP378" s="216">
        <f t="shared" si="59"/>
        <v>3856.32</v>
      </c>
      <c r="AQ378" s="216">
        <f t="shared" si="60"/>
        <v>29886.48</v>
      </c>
      <c r="AR378" s="224" t="s">
        <v>1783</v>
      </c>
      <c r="AS378" s="255">
        <v>46199</v>
      </c>
      <c r="AT378" s="208" t="s">
        <v>1220</v>
      </c>
      <c r="AU378" s="253">
        <v>1248</v>
      </c>
      <c r="AV378" s="252">
        <f t="shared" si="67"/>
        <v>0</v>
      </c>
      <c r="AW378" s="252"/>
      <c r="AX378" s="208" t="s">
        <v>1280</v>
      </c>
      <c r="AY378" s="208"/>
      <c r="AZ378" s="208"/>
      <c r="BA378" s="208"/>
      <c r="BB378" s="208" t="str">
        <f t="shared" si="57"/>
        <v>Dexy Co</v>
      </c>
      <c r="BC378" s="208" t="str">
        <f t="shared" si="58"/>
        <v>塞尔维亚</v>
      </c>
    </row>
    <row r="379" s="194" customFormat="1" customHeight="1" spans="1:55">
      <c r="A379" s="208">
        <v>46100</v>
      </c>
      <c r="B379" s="208" t="str">
        <f ca="1" t="shared" si="61"/>
        <v/>
      </c>
      <c r="C379" s="211" t="str">
        <f>VLOOKUP(H379,名称!A:E,4,0)</f>
        <v>三代</v>
      </c>
      <c r="D379" s="210" t="s">
        <v>1781</v>
      </c>
      <c r="E379" s="210" t="s">
        <v>1782</v>
      </c>
      <c r="F379" s="211"/>
      <c r="G379" s="211" t="s">
        <v>576</v>
      </c>
      <c r="H379" s="211" t="s">
        <v>112</v>
      </c>
      <c r="I379" s="211"/>
      <c r="J379" s="212">
        <v>500</v>
      </c>
      <c r="K379" s="223">
        <f>VLOOKUP(H379,名称!A:C,2,0)</f>
        <v>50</v>
      </c>
      <c r="L379" s="212">
        <f t="shared" si="66"/>
        <v>25000</v>
      </c>
      <c r="M379" s="211">
        <f>VLOOKUP(H379,名称!A:E,3,0)</f>
        <v>2</v>
      </c>
      <c r="N379" s="212">
        <f t="shared" si="65"/>
        <v>250</v>
      </c>
      <c r="O379" s="208">
        <v>46160</v>
      </c>
      <c r="P379" s="256">
        <v>46177</v>
      </c>
      <c r="Q379" s="256">
        <v>46177</v>
      </c>
      <c r="R379" s="211" t="s">
        <v>1241</v>
      </c>
      <c r="S379" s="256" t="s">
        <v>1133</v>
      </c>
      <c r="T379" s="211"/>
      <c r="U379" s="211"/>
      <c r="V379" s="211"/>
      <c r="W379" s="208"/>
      <c r="X379" s="211" t="s">
        <v>1248</v>
      </c>
      <c r="Y379" s="211" t="s">
        <v>1228</v>
      </c>
      <c r="Z379" s="213">
        <v>46111</v>
      </c>
      <c r="AA379" s="214">
        <v>46112</v>
      </c>
      <c r="AB379" s="213">
        <v>46115</v>
      </c>
      <c r="AC379" s="211" t="s">
        <v>1133</v>
      </c>
      <c r="AD379" s="211" t="s">
        <v>1133</v>
      </c>
      <c r="AE379" s="211" t="s">
        <v>510</v>
      </c>
      <c r="AF379" s="211" t="s">
        <v>1228</v>
      </c>
      <c r="AG379" s="211" t="s">
        <v>510</v>
      </c>
      <c r="AH379" s="211" t="s">
        <v>1133</v>
      </c>
      <c r="AI379" s="211" t="s">
        <v>1228</v>
      </c>
      <c r="AJ379" s="211" t="s">
        <v>1133</v>
      </c>
      <c r="AK379" s="211" t="s">
        <v>1356</v>
      </c>
      <c r="AL379" s="211"/>
      <c r="AM379" s="211" t="s">
        <v>1289</v>
      </c>
      <c r="AN379" s="212" t="s">
        <v>1251</v>
      </c>
      <c r="AO379" s="215">
        <v>9.12</v>
      </c>
      <c r="AP379" s="216">
        <f t="shared" si="59"/>
        <v>4560</v>
      </c>
      <c r="AQ379" s="216">
        <f t="shared" si="60"/>
        <v>35340</v>
      </c>
      <c r="AR379" s="269">
        <v>61360</v>
      </c>
      <c r="AS379" s="255">
        <v>46199</v>
      </c>
      <c r="AT379" s="208" t="s">
        <v>1220</v>
      </c>
      <c r="AU379" s="253"/>
      <c r="AV379" s="252">
        <f t="shared" si="67"/>
        <v>-500</v>
      </c>
      <c r="AW379" s="252"/>
      <c r="AX379" s="208"/>
      <c r="AY379" s="208"/>
      <c r="AZ379" s="208"/>
      <c r="BA379" s="208"/>
      <c r="BB379" s="208" t="str">
        <f t="shared" si="57"/>
        <v>Dexy Co</v>
      </c>
      <c r="BC379" s="208" t="str">
        <f t="shared" si="58"/>
        <v>塞尔维亚</v>
      </c>
    </row>
    <row r="380" s="194" customFormat="1" customHeight="1" spans="1:55">
      <c r="A380" s="208">
        <v>46100</v>
      </c>
      <c r="B380" s="208" t="str">
        <f ca="1" t="shared" si="61"/>
        <v/>
      </c>
      <c r="C380" s="211" t="str">
        <f>VLOOKUP(H380,名称!A:E,4,0)</f>
        <v>三代</v>
      </c>
      <c r="D380" s="210" t="s">
        <v>1781</v>
      </c>
      <c r="E380" s="210" t="s">
        <v>1782</v>
      </c>
      <c r="F380" s="211"/>
      <c r="G380" s="211" t="s">
        <v>576</v>
      </c>
      <c r="H380" s="211" t="s">
        <v>85</v>
      </c>
      <c r="I380" s="211"/>
      <c r="J380" s="212">
        <v>19968</v>
      </c>
      <c r="K380" s="223">
        <f>VLOOKUP(H380,名称!A:C,2,0)</f>
        <v>5</v>
      </c>
      <c r="L380" s="212">
        <f t="shared" si="66"/>
        <v>99840</v>
      </c>
      <c r="M380" s="211">
        <f>VLOOKUP(H380,名称!A:E,3,0)</f>
        <v>24</v>
      </c>
      <c r="N380" s="212">
        <f t="shared" si="65"/>
        <v>832</v>
      </c>
      <c r="O380" s="208">
        <v>46160</v>
      </c>
      <c r="P380" s="256">
        <v>46175</v>
      </c>
      <c r="Q380" s="256">
        <v>46183</v>
      </c>
      <c r="R380" s="211" t="s">
        <v>1241</v>
      </c>
      <c r="S380" s="256" t="s">
        <v>1133</v>
      </c>
      <c r="T380" s="211"/>
      <c r="U380" s="211"/>
      <c r="V380" s="211"/>
      <c r="W380" s="208"/>
      <c r="X380" s="211" t="s">
        <v>1248</v>
      </c>
      <c r="Y380" s="211" t="s">
        <v>1228</v>
      </c>
      <c r="Z380" s="213">
        <v>46111</v>
      </c>
      <c r="AA380" s="214">
        <v>46112</v>
      </c>
      <c r="AB380" s="213">
        <v>46115</v>
      </c>
      <c r="AC380" s="211" t="s">
        <v>1133</v>
      </c>
      <c r="AD380" s="211" t="s">
        <v>1133</v>
      </c>
      <c r="AE380" s="211" t="s">
        <v>510</v>
      </c>
      <c r="AF380" s="211" t="s">
        <v>1228</v>
      </c>
      <c r="AG380" s="211" t="s">
        <v>510</v>
      </c>
      <c r="AH380" s="211" t="s">
        <v>1133</v>
      </c>
      <c r="AI380" s="211" t="s">
        <v>1228</v>
      </c>
      <c r="AJ380" s="211" t="s">
        <v>1133</v>
      </c>
      <c r="AK380" s="211" t="s">
        <v>510</v>
      </c>
      <c r="AL380" s="211"/>
      <c r="AM380" s="211" t="s">
        <v>1289</v>
      </c>
      <c r="AN380" s="212" t="s">
        <v>1251</v>
      </c>
      <c r="AO380" s="215">
        <v>0.88</v>
      </c>
      <c r="AP380" s="216">
        <f t="shared" ref="AP380:AP443" si="68">J380*AO380</f>
        <v>17571.84</v>
      </c>
      <c r="AQ380" s="216">
        <f t="shared" ref="AQ380:AQ443" si="69">AP380*7.75</f>
        <v>136181.76</v>
      </c>
      <c r="AR380" s="269">
        <v>61360</v>
      </c>
      <c r="AS380" s="255">
        <v>46199</v>
      </c>
      <c r="AT380" s="208" t="s">
        <v>1220</v>
      </c>
      <c r="AU380" s="251"/>
      <c r="AV380" s="252">
        <f t="shared" si="67"/>
        <v>-19968</v>
      </c>
      <c r="AW380" s="252"/>
      <c r="AX380" s="208" t="s">
        <v>1280</v>
      </c>
      <c r="AY380" s="208"/>
      <c r="AZ380" s="208"/>
      <c r="BA380" s="208"/>
      <c r="BB380" s="208" t="str">
        <f t="shared" si="57"/>
        <v>Dexy Co</v>
      </c>
      <c r="BC380" s="208" t="str">
        <f t="shared" si="58"/>
        <v>塞尔维亚</v>
      </c>
    </row>
    <row r="381" s="194" customFormat="1" customHeight="1" spans="1:55">
      <c r="A381" s="208">
        <v>46115</v>
      </c>
      <c r="B381" s="208" t="str">
        <f ca="1" t="shared" si="61"/>
        <v/>
      </c>
      <c r="C381" s="211" t="str">
        <f>VLOOKUP(H381,名称!A:E,4,0)</f>
        <v>三代</v>
      </c>
      <c r="D381" s="210" t="s">
        <v>1300</v>
      </c>
      <c r="E381" s="210" t="s">
        <v>1224</v>
      </c>
      <c r="F381" s="211" t="s">
        <v>648</v>
      </c>
      <c r="G381" s="211" t="s">
        <v>649</v>
      </c>
      <c r="H381" s="211" t="s">
        <v>60</v>
      </c>
      <c r="I381" s="211"/>
      <c r="J381" s="212">
        <v>1500</v>
      </c>
      <c r="K381" s="223">
        <f>VLOOKUP(H381,名称!A:C,2,0)</f>
        <v>5</v>
      </c>
      <c r="L381" s="212">
        <f t="shared" si="66"/>
        <v>7500</v>
      </c>
      <c r="M381" s="211">
        <f>VLOOKUP(H381,名称!A:E,3,0)</f>
        <v>12</v>
      </c>
      <c r="N381" s="212">
        <f t="shared" si="65"/>
        <v>125</v>
      </c>
      <c r="O381" s="208">
        <v>46176</v>
      </c>
      <c r="P381" s="256">
        <f>O381</f>
        <v>46176</v>
      </c>
      <c r="Q381" s="256">
        <v>46175</v>
      </c>
      <c r="R381" s="211" t="s">
        <v>1241</v>
      </c>
      <c r="S381" s="256" t="s">
        <v>1784</v>
      </c>
      <c r="T381" s="241" t="s">
        <v>1241</v>
      </c>
      <c r="U381" s="211"/>
      <c r="V381" s="211"/>
      <c r="W381" s="208"/>
      <c r="X381" s="211" t="s">
        <v>1133</v>
      </c>
      <c r="Y381" s="211" t="s">
        <v>1133</v>
      </c>
      <c r="Z381" s="213">
        <v>46119</v>
      </c>
      <c r="AA381" s="214">
        <v>46120</v>
      </c>
      <c r="AB381" s="213">
        <v>46121</v>
      </c>
      <c r="AC381" s="211" t="s">
        <v>1133</v>
      </c>
      <c r="AD381" s="211" t="s">
        <v>1133</v>
      </c>
      <c r="AE381" s="211" t="s">
        <v>253</v>
      </c>
      <c r="AF381" s="211" t="s">
        <v>1228</v>
      </c>
      <c r="AG381" s="211" t="s">
        <v>253</v>
      </c>
      <c r="AH381" s="211" t="s">
        <v>1133</v>
      </c>
      <c r="AI381" s="211" t="s">
        <v>1228</v>
      </c>
      <c r="AJ381" s="211" t="s">
        <v>1133</v>
      </c>
      <c r="AK381" s="211" t="s">
        <v>253</v>
      </c>
      <c r="AL381" s="211"/>
      <c r="AM381" s="211" t="s">
        <v>1303</v>
      </c>
      <c r="AN381" s="212" t="s">
        <v>1234</v>
      </c>
      <c r="AO381" s="215">
        <v>0.63</v>
      </c>
      <c r="AP381" s="216">
        <f t="shared" si="68"/>
        <v>945</v>
      </c>
      <c r="AQ381" s="275">
        <f t="shared" si="69"/>
        <v>7323.75</v>
      </c>
      <c r="AR381" s="269">
        <v>61361</v>
      </c>
      <c r="AS381" s="276">
        <v>46199</v>
      </c>
      <c r="AT381" s="208" t="s">
        <v>1220</v>
      </c>
      <c r="AU381" s="253">
        <f>1476+24</f>
        <v>1500</v>
      </c>
      <c r="AV381" s="252">
        <f t="shared" si="67"/>
        <v>0</v>
      </c>
      <c r="AW381" s="252"/>
      <c r="AX381" s="208" t="s">
        <v>1280</v>
      </c>
      <c r="AY381" s="208"/>
      <c r="AZ381" s="208"/>
      <c r="BA381" s="208"/>
      <c r="BB381" s="208" t="str">
        <f t="shared" si="57"/>
        <v>JAZWARES - WALMART CANADA (IMPORT)</v>
      </c>
      <c r="BC381" s="208" t="str">
        <f t="shared" si="58"/>
        <v>美国</v>
      </c>
    </row>
    <row r="382" s="194" customFormat="1" customHeight="1" spans="1:55">
      <c r="A382" s="208">
        <v>46093</v>
      </c>
      <c r="B382" s="208" t="str">
        <f ca="1" t="shared" si="61"/>
        <v/>
      </c>
      <c r="C382" s="211" t="str">
        <f>VLOOKUP(H382,名称!A:E,4,0)</f>
        <v>三代</v>
      </c>
      <c r="D382" s="210" t="s">
        <v>1300</v>
      </c>
      <c r="E382" s="210" t="s">
        <v>1224</v>
      </c>
      <c r="F382" s="211" t="s">
        <v>553</v>
      </c>
      <c r="G382" s="211" t="s">
        <v>554</v>
      </c>
      <c r="H382" s="211" t="s">
        <v>107</v>
      </c>
      <c r="I382" s="211"/>
      <c r="J382" s="212">
        <f>340+2660</f>
        <v>3000</v>
      </c>
      <c r="K382" s="223">
        <f>VLOOKUP(H382,名称!A:C,2,0)</f>
        <v>12</v>
      </c>
      <c r="L382" s="212">
        <f t="shared" si="66"/>
        <v>36000</v>
      </c>
      <c r="M382" s="211">
        <f>VLOOKUP(H382,名称!A:E,3,0)</f>
        <v>5</v>
      </c>
      <c r="N382" s="212">
        <f t="shared" si="65"/>
        <v>600</v>
      </c>
      <c r="O382" s="208">
        <v>46176</v>
      </c>
      <c r="P382" s="208">
        <v>46176</v>
      </c>
      <c r="Q382" s="256">
        <v>46189</v>
      </c>
      <c r="R382" s="241" t="s">
        <v>1241</v>
      </c>
      <c r="S382" s="208" t="s">
        <v>1785</v>
      </c>
      <c r="T382" s="241" t="s">
        <v>1241</v>
      </c>
      <c r="U382" s="211"/>
      <c r="V382" s="211"/>
      <c r="W382" s="208"/>
      <c r="X382" s="211" t="s">
        <v>1133</v>
      </c>
      <c r="Y382" s="211" t="s">
        <v>1133</v>
      </c>
      <c r="Z382" s="213">
        <v>46113</v>
      </c>
      <c r="AA382" s="214">
        <v>46120</v>
      </c>
      <c r="AB382" s="214">
        <v>46121</v>
      </c>
      <c r="AC382" s="211" t="s">
        <v>1302</v>
      </c>
      <c r="AD382" s="211" t="s">
        <v>1228</v>
      </c>
      <c r="AE382" s="211" t="s">
        <v>253</v>
      </c>
      <c r="AF382" s="211" t="s">
        <v>1228</v>
      </c>
      <c r="AG382" s="211" t="s">
        <v>253</v>
      </c>
      <c r="AH382" s="211" t="s">
        <v>253</v>
      </c>
      <c r="AI382" s="211" t="s">
        <v>1228</v>
      </c>
      <c r="AJ382" s="211" t="s">
        <v>253</v>
      </c>
      <c r="AK382" s="211" t="s">
        <v>1133</v>
      </c>
      <c r="AL382" s="211"/>
      <c r="AM382" s="211" t="s">
        <v>1303</v>
      </c>
      <c r="AN382" s="212" t="s">
        <v>1231</v>
      </c>
      <c r="AO382" s="215">
        <v>2.19</v>
      </c>
      <c r="AP382" s="216">
        <f t="shared" si="68"/>
        <v>6570</v>
      </c>
      <c r="AQ382" s="275">
        <f t="shared" si="69"/>
        <v>50917.5</v>
      </c>
      <c r="AR382" s="269">
        <v>61362</v>
      </c>
      <c r="AS382" s="276">
        <v>46199</v>
      </c>
      <c r="AT382" s="208" t="s">
        <v>1220</v>
      </c>
      <c r="AU382" s="251">
        <v>3000</v>
      </c>
      <c r="AV382" s="252">
        <f t="shared" si="67"/>
        <v>0</v>
      </c>
      <c r="AW382" s="252"/>
      <c r="AX382" s="208" t="s">
        <v>1280</v>
      </c>
      <c r="AY382" s="208"/>
      <c r="AZ382" s="208"/>
      <c r="BA382" s="208"/>
      <c r="BB382" s="208" t="str">
        <f t="shared" si="57"/>
        <v>JAZWARES - WALMART CANADA (IMPORT)</v>
      </c>
      <c r="BC382" s="208" t="str">
        <f t="shared" si="58"/>
        <v>美国</v>
      </c>
    </row>
    <row r="383" s="194" customFormat="1" customHeight="1" spans="1:55">
      <c r="A383" s="208">
        <v>46120</v>
      </c>
      <c r="B383" s="208" t="str">
        <f ca="1" t="shared" si="61"/>
        <v/>
      </c>
      <c r="C383" s="211" t="str">
        <f>VLOOKUP(H383,名称!A:E,4,0)</f>
        <v>三代</v>
      </c>
      <c r="D383" s="210" t="s">
        <v>1311</v>
      </c>
      <c r="E383" s="210" t="s">
        <v>1224</v>
      </c>
      <c r="F383" s="211" t="s">
        <v>679</v>
      </c>
      <c r="G383" s="211" t="s">
        <v>680</v>
      </c>
      <c r="H383" s="211" t="s">
        <v>102</v>
      </c>
      <c r="I383" s="211"/>
      <c r="J383" s="212">
        <v>600</v>
      </c>
      <c r="K383" s="223">
        <f>VLOOKUP(H383,名称!A:C,2,0)</f>
        <v>5</v>
      </c>
      <c r="L383" s="212">
        <f t="shared" si="66"/>
        <v>3000</v>
      </c>
      <c r="M383" s="211">
        <f>VLOOKUP(H383,名称!A:E,3,0)</f>
        <v>12</v>
      </c>
      <c r="N383" s="212">
        <f t="shared" si="65"/>
        <v>50</v>
      </c>
      <c r="O383" s="208">
        <v>46176</v>
      </c>
      <c r="P383" s="208">
        <f>O383</f>
        <v>46176</v>
      </c>
      <c r="Q383" s="208">
        <v>46175</v>
      </c>
      <c r="R383" s="211" t="s">
        <v>1241</v>
      </c>
      <c r="S383" s="208" t="s">
        <v>1784</v>
      </c>
      <c r="T383" s="241" t="s">
        <v>1241</v>
      </c>
      <c r="U383" s="211"/>
      <c r="V383" s="211"/>
      <c r="W383" s="208"/>
      <c r="X383" s="211" t="s">
        <v>1133</v>
      </c>
      <c r="Y383" s="211" t="s">
        <v>1133</v>
      </c>
      <c r="Z383" s="213">
        <v>46119</v>
      </c>
      <c r="AA383" s="214">
        <v>46120</v>
      </c>
      <c r="AB383" s="213">
        <v>46121</v>
      </c>
      <c r="AC383" s="211" t="s">
        <v>1133</v>
      </c>
      <c r="AD383" s="211" t="s">
        <v>1133</v>
      </c>
      <c r="AE383" s="211" t="s">
        <v>253</v>
      </c>
      <c r="AF383" s="211" t="s">
        <v>1228</v>
      </c>
      <c r="AG383" s="211" t="s">
        <v>253</v>
      </c>
      <c r="AH383" s="211" t="s">
        <v>1133</v>
      </c>
      <c r="AI383" s="211" t="s">
        <v>1228</v>
      </c>
      <c r="AJ383" s="211" t="s">
        <v>1133</v>
      </c>
      <c r="AK383" s="211" t="s">
        <v>253</v>
      </c>
      <c r="AL383" s="211"/>
      <c r="AM383" s="211" t="s">
        <v>1303</v>
      </c>
      <c r="AN383" s="212" t="s">
        <v>1234</v>
      </c>
      <c r="AO383" s="215">
        <v>0.64</v>
      </c>
      <c r="AP383" s="216">
        <f t="shared" si="68"/>
        <v>384</v>
      </c>
      <c r="AQ383" s="275">
        <f t="shared" si="69"/>
        <v>2976</v>
      </c>
      <c r="AR383" s="269">
        <v>61363</v>
      </c>
      <c r="AS383" s="276">
        <v>46199</v>
      </c>
      <c r="AT383" s="208" t="s">
        <v>1220</v>
      </c>
      <c r="AU383" s="253">
        <v>600</v>
      </c>
      <c r="AV383" s="252">
        <f t="shared" si="67"/>
        <v>0</v>
      </c>
      <c r="AW383" s="252"/>
      <c r="AX383" s="208" t="s">
        <v>1280</v>
      </c>
      <c r="AY383" s="208"/>
      <c r="AZ383" s="208"/>
      <c r="BA383" s="208"/>
      <c r="BB383" s="208" t="str">
        <f t="shared" si="57"/>
        <v>JAZWARES - WALMART CA</v>
      </c>
      <c r="BC383" s="208" t="str">
        <f t="shared" si="58"/>
        <v>美国</v>
      </c>
    </row>
    <row r="384" s="194" customFormat="1" customHeight="1" spans="1:55">
      <c r="A384" s="208">
        <v>46115</v>
      </c>
      <c r="B384" s="208" t="str">
        <f ca="1" t="shared" si="61"/>
        <v/>
      </c>
      <c r="C384" s="211" t="str">
        <f>VLOOKUP(H384,名称!A:E,4,0)</f>
        <v>三代</v>
      </c>
      <c r="D384" s="210" t="s">
        <v>1311</v>
      </c>
      <c r="E384" s="210" t="s">
        <v>1224</v>
      </c>
      <c r="F384" s="211" t="s">
        <v>630</v>
      </c>
      <c r="G384" s="211" t="s">
        <v>631</v>
      </c>
      <c r="H384" s="211" t="s">
        <v>83</v>
      </c>
      <c r="I384" s="211"/>
      <c r="J384" s="212">
        <v>348</v>
      </c>
      <c r="K384" s="223">
        <f>VLOOKUP(H384,名称!A:C,2,0)</f>
        <v>5</v>
      </c>
      <c r="L384" s="212">
        <f t="shared" si="66"/>
        <v>1740</v>
      </c>
      <c r="M384" s="211">
        <f>VLOOKUP(H384,名称!A:E,3,0)</f>
        <v>12</v>
      </c>
      <c r="N384" s="212">
        <f t="shared" si="65"/>
        <v>29</v>
      </c>
      <c r="O384" s="208">
        <v>46176</v>
      </c>
      <c r="P384" s="256">
        <v>46182</v>
      </c>
      <c r="Q384" s="256">
        <v>46185</v>
      </c>
      <c r="R384" s="241" t="s">
        <v>1241</v>
      </c>
      <c r="S384" s="256" t="s">
        <v>1784</v>
      </c>
      <c r="T384" s="241" t="s">
        <v>1241</v>
      </c>
      <c r="U384" s="211"/>
      <c r="V384" s="213">
        <v>46191</v>
      </c>
      <c r="W384" s="208"/>
      <c r="X384" s="211" t="s">
        <v>1133</v>
      </c>
      <c r="Y384" s="211" t="s">
        <v>1133</v>
      </c>
      <c r="Z384" s="213">
        <v>46119</v>
      </c>
      <c r="AA384" s="214">
        <v>46120</v>
      </c>
      <c r="AB384" s="213">
        <v>46123</v>
      </c>
      <c r="AC384" s="211" t="s">
        <v>1133</v>
      </c>
      <c r="AD384" s="211" t="s">
        <v>1133</v>
      </c>
      <c r="AE384" s="211" t="s">
        <v>253</v>
      </c>
      <c r="AF384" s="211" t="s">
        <v>1228</v>
      </c>
      <c r="AG384" s="211" t="s">
        <v>253</v>
      </c>
      <c r="AH384" s="211" t="s">
        <v>1133</v>
      </c>
      <c r="AI384" s="211" t="s">
        <v>1228</v>
      </c>
      <c r="AJ384" s="211" t="s">
        <v>1133</v>
      </c>
      <c r="AK384" s="211" t="s">
        <v>253</v>
      </c>
      <c r="AL384" s="211"/>
      <c r="AM384" s="211" t="s">
        <v>1303</v>
      </c>
      <c r="AN384" s="212" t="s">
        <v>1475</v>
      </c>
      <c r="AO384" s="215">
        <v>0.94</v>
      </c>
      <c r="AP384" s="216">
        <f t="shared" si="68"/>
        <v>327.12</v>
      </c>
      <c r="AQ384" s="275">
        <f t="shared" si="69"/>
        <v>2535.18</v>
      </c>
      <c r="AR384" s="269">
        <v>61364</v>
      </c>
      <c r="AS384" s="276">
        <v>46199</v>
      </c>
      <c r="AT384" s="208" t="s">
        <v>1310</v>
      </c>
      <c r="AU384" s="253">
        <v>348</v>
      </c>
      <c r="AV384" s="252">
        <f t="shared" si="67"/>
        <v>0</v>
      </c>
      <c r="AW384" s="252"/>
      <c r="AX384" s="208"/>
      <c r="AY384" s="208"/>
      <c r="AZ384" s="208"/>
      <c r="BA384" s="208"/>
      <c r="BB384" s="208" t="str">
        <f t="shared" si="57"/>
        <v>JAZWARES - WALMART CA</v>
      </c>
      <c r="BC384" s="208" t="str">
        <f t="shared" si="58"/>
        <v>美国</v>
      </c>
    </row>
    <row r="385" s="194" customFormat="1" customHeight="1" spans="1:55">
      <c r="A385" s="208">
        <v>46113</v>
      </c>
      <c r="B385" s="208" t="str">
        <f ca="1" t="shared" si="61"/>
        <v/>
      </c>
      <c r="C385" s="211" t="str">
        <f>VLOOKUP(H385,名称!A:E,4,0)</f>
        <v>三代</v>
      </c>
      <c r="D385" s="210" t="s">
        <v>1257</v>
      </c>
      <c r="E385" s="210" t="s">
        <v>1258</v>
      </c>
      <c r="F385" s="211" t="s">
        <v>609</v>
      </c>
      <c r="G385" s="211" t="s">
        <v>610</v>
      </c>
      <c r="H385" s="211" t="s">
        <v>71</v>
      </c>
      <c r="I385" s="211"/>
      <c r="J385" s="212">
        <v>368</v>
      </c>
      <c r="K385" s="223">
        <f>VLOOKUP(H385,名称!A:C,2,0)</f>
        <v>50</v>
      </c>
      <c r="L385" s="212">
        <f t="shared" si="66"/>
        <v>18400</v>
      </c>
      <c r="M385" s="211">
        <f>VLOOKUP(H385,名称!A:E,3,0)</f>
        <v>4</v>
      </c>
      <c r="N385" s="212">
        <f t="shared" si="65"/>
        <v>92</v>
      </c>
      <c r="O385" s="208">
        <v>46191</v>
      </c>
      <c r="P385" s="256">
        <v>46184</v>
      </c>
      <c r="Q385" s="256">
        <v>46185</v>
      </c>
      <c r="R385" s="211" t="s">
        <v>1241</v>
      </c>
      <c r="S385" s="274">
        <v>46191</v>
      </c>
      <c r="T385" s="211" t="s">
        <v>1241</v>
      </c>
      <c r="U385" s="211"/>
      <c r="V385" s="211"/>
      <c r="W385" s="208"/>
      <c r="X385" s="211" t="s">
        <v>1133</v>
      </c>
      <c r="Y385" s="211" t="s">
        <v>1133</v>
      </c>
      <c r="Z385" s="213">
        <v>46133</v>
      </c>
      <c r="AA385" s="214">
        <v>46134</v>
      </c>
      <c r="AB385" s="213">
        <v>46148</v>
      </c>
      <c r="AC385" s="211" t="s">
        <v>1308</v>
      </c>
      <c r="AD385" s="211" t="s">
        <v>1228</v>
      </c>
      <c r="AE385" s="211" t="s">
        <v>1691</v>
      </c>
      <c r="AF385" s="213">
        <v>46139</v>
      </c>
      <c r="AG385" s="211" t="s">
        <v>334</v>
      </c>
      <c r="AH385" s="211" t="s">
        <v>1692</v>
      </c>
      <c r="AI385" s="211" t="s">
        <v>1228</v>
      </c>
      <c r="AJ385" s="211" t="s">
        <v>1422</v>
      </c>
      <c r="AK385" s="211" t="s">
        <v>1133</v>
      </c>
      <c r="AL385" s="211"/>
      <c r="AM385" s="211" t="s">
        <v>1786</v>
      </c>
      <c r="AN385" s="212"/>
      <c r="AO385" s="215">
        <v>7.34</v>
      </c>
      <c r="AP385" s="216">
        <f t="shared" si="68"/>
        <v>2701.12</v>
      </c>
      <c r="AQ385" s="275">
        <f t="shared" si="69"/>
        <v>20933.68</v>
      </c>
      <c r="AR385" s="224" t="s">
        <v>1787</v>
      </c>
      <c r="AS385" s="276">
        <v>46203</v>
      </c>
      <c r="AT385" s="208" t="s">
        <v>1220</v>
      </c>
      <c r="AU385" s="253"/>
      <c r="AV385" s="252">
        <f t="shared" si="67"/>
        <v>-368</v>
      </c>
      <c r="AW385" s="252"/>
      <c r="AX385" s="256"/>
      <c r="AY385" s="208"/>
      <c r="AZ385" s="208"/>
      <c r="BA385" s="208"/>
      <c r="BB385" s="208" t="str">
        <f t="shared" ref="BB385:BB402" si="70">D385</f>
        <v>Character Options</v>
      </c>
      <c r="BC385" s="208" t="str">
        <f t="shared" ref="BC385:BC402" si="71">E385</f>
        <v>英国</v>
      </c>
    </row>
    <row r="386" s="194" customFormat="1" customHeight="1" spans="1:55">
      <c r="A386" s="208">
        <v>46086</v>
      </c>
      <c r="B386" s="208" t="str">
        <f ca="1" t="shared" si="61"/>
        <v/>
      </c>
      <c r="C386" s="211" t="str">
        <f>VLOOKUP(H386,名称!A:E,4,0)</f>
        <v>三代</v>
      </c>
      <c r="D386" s="210" t="s">
        <v>1257</v>
      </c>
      <c r="E386" s="210" t="s">
        <v>1258</v>
      </c>
      <c r="F386" s="211"/>
      <c r="G386" s="211" t="s">
        <v>540</v>
      </c>
      <c r="H386" s="211" t="s">
        <v>108</v>
      </c>
      <c r="I386" s="211"/>
      <c r="J386" s="212">
        <v>280</v>
      </c>
      <c r="K386" s="223">
        <f>VLOOKUP(H386,名称!A:C,2,0)</f>
        <v>50</v>
      </c>
      <c r="L386" s="212">
        <f t="shared" si="66"/>
        <v>14000</v>
      </c>
      <c r="M386" s="211">
        <f>VLOOKUP(H386,名称!A:E,3,0)</f>
        <v>4</v>
      </c>
      <c r="N386" s="212">
        <f t="shared" si="65"/>
        <v>70</v>
      </c>
      <c r="O386" s="208">
        <v>46157</v>
      </c>
      <c r="P386" s="208">
        <v>46196</v>
      </c>
      <c r="Q386" s="208">
        <v>46196</v>
      </c>
      <c r="R386" s="241" t="s">
        <v>1241</v>
      </c>
      <c r="S386" s="208">
        <v>46196</v>
      </c>
      <c r="T386" s="241" t="s">
        <v>1241</v>
      </c>
      <c r="U386" s="211"/>
      <c r="V386" s="211"/>
      <c r="W386" s="208"/>
      <c r="X386" s="211" t="s">
        <v>1133</v>
      </c>
      <c r="Y386" s="211" t="s">
        <v>1133</v>
      </c>
      <c r="Z386" s="213">
        <v>46097</v>
      </c>
      <c r="AA386" s="214">
        <v>46154</v>
      </c>
      <c r="AB386" s="213">
        <v>46156</v>
      </c>
      <c r="AC386" s="211" t="s">
        <v>1308</v>
      </c>
      <c r="AD386" s="211" t="s">
        <v>1228</v>
      </c>
      <c r="AE386" s="211" t="s">
        <v>334</v>
      </c>
      <c r="AF386" s="211" t="s">
        <v>1228</v>
      </c>
      <c r="AG386" s="211" t="s">
        <v>334</v>
      </c>
      <c r="AH386" s="211" t="s">
        <v>1361</v>
      </c>
      <c r="AI386" s="211" t="s">
        <v>1228</v>
      </c>
      <c r="AJ386" s="211" t="s">
        <v>1422</v>
      </c>
      <c r="AK386" s="211" t="s">
        <v>1133</v>
      </c>
      <c r="AL386" s="211"/>
      <c r="AM386" s="211" t="s">
        <v>1788</v>
      </c>
      <c r="AN386" s="212"/>
      <c r="AO386" s="215">
        <v>7.62</v>
      </c>
      <c r="AP386" s="216">
        <f t="shared" si="68"/>
        <v>2133.6</v>
      </c>
      <c r="AQ386" s="275">
        <f t="shared" si="69"/>
        <v>16535.4</v>
      </c>
      <c r="AR386" s="224" t="s">
        <v>1789</v>
      </c>
      <c r="AS386" s="276">
        <v>46203</v>
      </c>
      <c r="AT386" s="273" t="s">
        <v>1220</v>
      </c>
      <c r="AU386" s="251"/>
      <c r="AV386" s="252">
        <f t="shared" si="67"/>
        <v>-280</v>
      </c>
      <c r="AW386" s="252"/>
      <c r="AX386" s="208"/>
      <c r="AY386" s="208"/>
      <c r="AZ386" s="208"/>
      <c r="BA386" s="208"/>
      <c r="BB386" s="208" t="str">
        <f t="shared" si="70"/>
        <v>Character Options</v>
      </c>
      <c r="BC386" s="208" t="str">
        <f t="shared" si="71"/>
        <v>英国</v>
      </c>
    </row>
    <row r="387" s="194" customFormat="1" customHeight="1" spans="1:55">
      <c r="A387" s="208">
        <v>46086</v>
      </c>
      <c r="B387" s="208" t="str">
        <f ca="1" t="shared" si="61"/>
        <v/>
      </c>
      <c r="C387" s="211" t="str">
        <f>VLOOKUP(H387,名称!A:E,4,0)</f>
        <v>三代</v>
      </c>
      <c r="D387" s="210" t="s">
        <v>1257</v>
      </c>
      <c r="E387" s="210" t="s">
        <v>1258</v>
      </c>
      <c r="F387" s="211"/>
      <c r="G387" s="211" t="s">
        <v>540</v>
      </c>
      <c r="H387" s="211" t="s">
        <v>108</v>
      </c>
      <c r="I387" s="211"/>
      <c r="J387" s="212">
        <f>4620-280</f>
        <v>4340</v>
      </c>
      <c r="K387" s="223">
        <f>VLOOKUP(H387,名称!A:C,2,0)</f>
        <v>50</v>
      </c>
      <c r="L387" s="212">
        <f t="shared" ref="L387:L398" si="72">J387*K387</f>
        <v>217000</v>
      </c>
      <c r="M387" s="211">
        <f>VLOOKUP(H387,名称!A:E,3,0)</f>
        <v>4</v>
      </c>
      <c r="N387" s="212">
        <f t="shared" si="65"/>
        <v>1085</v>
      </c>
      <c r="O387" s="208">
        <v>46157</v>
      </c>
      <c r="P387" s="208">
        <v>46196</v>
      </c>
      <c r="Q387" s="208">
        <v>46196</v>
      </c>
      <c r="R387" s="241" t="s">
        <v>1241</v>
      </c>
      <c r="S387" s="208">
        <v>46196</v>
      </c>
      <c r="T387" s="241" t="s">
        <v>1241</v>
      </c>
      <c r="U387" s="211"/>
      <c r="V387" s="211"/>
      <c r="W387" s="208"/>
      <c r="X387" s="211" t="s">
        <v>1133</v>
      </c>
      <c r="Y387" s="211" t="s">
        <v>1133</v>
      </c>
      <c r="Z387" s="213">
        <v>46097</v>
      </c>
      <c r="AA387" s="214">
        <v>46154</v>
      </c>
      <c r="AB387" s="213">
        <v>46156</v>
      </c>
      <c r="AC387" s="211" t="s">
        <v>1308</v>
      </c>
      <c r="AD387" s="211" t="s">
        <v>1228</v>
      </c>
      <c r="AE387" s="211" t="s">
        <v>334</v>
      </c>
      <c r="AF387" s="211" t="s">
        <v>1228</v>
      </c>
      <c r="AG387" s="211" t="s">
        <v>334</v>
      </c>
      <c r="AH387" s="211" t="s">
        <v>1361</v>
      </c>
      <c r="AI387" s="211" t="s">
        <v>1228</v>
      </c>
      <c r="AJ387" s="211" t="s">
        <v>1422</v>
      </c>
      <c r="AK387" s="211" t="s">
        <v>1133</v>
      </c>
      <c r="AL387" s="211"/>
      <c r="AM387" s="211" t="s">
        <v>1788</v>
      </c>
      <c r="AN387" s="212"/>
      <c r="AO387" s="215">
        <v>7.02</v>
      </c>
      <c r="AP387" s="216">
        <f t="shared" si="68"/>
        <v>30466.8</v>
      </c>
      <c r="AQ387" s="275">
        <f t="shared" si="69"/>
        <v>236117.7</v>
      </c>
      <c r="AR387" s="224" t="s">
        <v>1789</v>
      </c>
      <c r="AS387" s="276">
        <v>46203</v>
      </c>
      <c r="AT387" s="273" t="s">
        <v>1220</v>
      </c>
      <c r="AU387" s="251"/>
      <c r="AV387" s="252">
        <f t="shared" ref="AV387:AV398" si="73">AU387-J387</f>
        <v>-4340</v>
      </c>
      <c r="AW387" s="252"/>
      <c r="AX387" s="208"/>
      <c r="AY387" s="208"/>
      <c r="AZ387" s="208"/>
      <c r="BA387" s="208"/>
      <c r="BB387" s="208" t="str">
        <f t="shared" si="70"/>
        <v>Character Options</v>
      </c>
      <c r="BC387" s="208" t="str">
        <f t="shared" si="71"/>
        <v>英国</v>
      </c>
    </row>
    <row r="388" s="194" customFormat="1" customHeight="1" spans="1:55">
      <c r="A388" s="208">
        <v>46129</v>
      </c>
      <c r="B388" s="208" t="str">
        <f ca="1" t="shared" si="61"/>
        <v/>
      </c>
      <c r="C388" s="211" t="str">
        <f>VLOOKUP(H388,名称!A:E,4,0)</f>
        <v>蛋糕</v>
      </c>
      <c r="D388" s="220" t="s">
        <v>1420</v>
      </c>
      <c r="E388" s="220" t="s">
        <v>1421</v>
      </c>
      <c r="F388" s="270">
        <v>21011782</v>
      </c>
      <c r="G388" s="220" t="s">
        <v>743</v>
      </c>
      <c r="H388" s="220" t="s">
        <v>50</v>
      </c>
      <c r="I388" s="211"/>
      <c r="J388" s="270">
        <f>10008-2808</f>
        <v>7200</v>
      </c>
      <c r="K388" s="223">
        <f>VLOOKUP(H388,名称!A:C,2,0)</f>
        <v>0</v>
      </c>
      <c r="L388" s="212">
        <f t="shared" si="72"/>
        <v>0</v>
      </c>
      <c r="M388" s="211">
        <f>VLOOKUP(H388,名称!A:E,3,0)</f>
        <v>18</v>
      </c>
      <c r="N388" s="212">
        <f t="shared" si="65"/>
        <v>400</v>
      </c>
      <c r="O388" s="271">
        <v>46185</v>
      </c>
      <c r="P388" s="208">
        <f>O388</f>
        <v>46185</v>
      </c>
      <c r="Q388" s="256">
        <v>46186</v>
      </c>
      <c r="R388" s="241" t="s">
        <v>1241</v>
      </c>
      <c r="S388" s="208" t="s">
        <v>1133</v>
      </c>
      <c r="T388" s="211"/>
      <c r="U388" s="211"/>
      <c r="V388" s="211"/>
      <c r="W388" s="208"/>
      <c r="X388" s="220" t="s">
        <v>1248</v>
      </c>
      <c r="Y388" s="211" t="s">
        <v>1228</v>
      </c>
      <c r="Z388" s="211" t="s">
        <v>1249</v>
      </c>
      <c r="AA388" s="214">
        <v>46135</v>
      </c>
      <c r="AB388" s="213">
        <v>46146</v>
      </c>
      <c r="AC388" s="211" t="s">
        <v>1133</v>
      </c>
      <c r="AD388" s="211" t="s">
        <v>1133</v>
      </c>
      <c r="AE388" s="220" t="s">
        <v>510</v>
      </c>
      <c r="AF388" s="211" t="s">
        <v>1228</v>
      </c>
      <c r="AG388" s="220" t="s">
        <v>510</v>
      </c>
      <c r="AH388" s="211" t="s">
        <v>1133</v>
      </c>
      <c r="AI388" s="211" t="s">
        <v>1228</v>
      </c>
      <c r="AJ388" s="211" t="s">
        <v>1133</v>
      </c>
      <c r="AK388" s="211" t="s">
        <v>1133</v>
      </c>
      <c r="AL388" s="211"/>
      <c r="AM388" s="211" t="s">
        <v>1506</v>
      </c>
      <c r="AN388" s="220" t="s">
        <v>1790</v>
      </c>
      <c r="AO388" s="215">
        <v>1.1</v>
      </c>
      <c r="AP388" s="216">
        <f t="shared" si="68"/>
        <v>7920</v>
      </c>
      <c r="AQ388" s="275">
        <f t="shared" si="69"/>
        <v>61380</v>
      </c>
      <c r="AR388" s="269">
        <v>61367</v>
      </c>
      <c r="AS388" s="276">
        <v>46203</v>
      </c>
      <c r="AT388" s="208" t="s">
        <v>1220</v>
      </c>
      <c r="AU388" s="208"/>
      <c r="AV388" s="208"/>
      <c r="AW388" s="208"/>
      <c r="AX388" s="208"/>
      <c r="AY388" s="208"/>
      <c r="AZ388" s="208"/>
      <c r="BA388" s="208"/>
      <c r="BB388" s="208" t="str">
        <f t="shared" si="70"/>
        <v>Banter Toys</v>
      </c>
      <c r="BC388" s="208" t="str">
        <f t="shared" si="71"/>
        <v>澳大利亚</v>
      </c>
    </row>
    <row r="389" s="194" customFormat="1" customHeight="1" spans="1:55">
      <c r="A389" s="208">
        <v>46129</v>
      </c>
      <c r="B389" s="208" t="str">
        <f ca="1" t="shared" si="61"/>
        <v/>
      </c>
      <c r="C389" s="211" t="str">
        <f>VLOOKUP(H389,名称!A:E,4,0)</f>
        <v>蛋糕</v>
      </c>
      <c r="D389" s="220" t="s">
        <v>1420</v>
      </c>
      <c r="E389" s="220" t="s">
        <v>1421</v>
      </c>
      <c r="F389" s="270">
        <v>21011782</v>
      </c>
      <c r="G389" s="220" t="s">
        <v>743</v>
      </c>
      <c r="H389" s="220" t="s">
        <v>123</v>
      </c>
      <c r="I389" s="211"/>
      <c r="J389" s="270">
        <f>18000-3984</f>
        <v>14016</v>
      </c>
      <c r="K389" s="223">
        <f>VLOOKUP(H389,名称!A:C,2,0)</f>
        <v>0</v>
      </c>
      <c r="L389" s="212">
        <f t="shared" si="72"/>
        <v>0</v>
      </c>
      <c r="M389" s="211">
        <f>VLOOKUP(H389,名称!A:E,3,0)</f>
        <v>24</v>
      </c>
      <c r="N389" s="212">
        <f t="shared" si="65"/>
        <v>584</v>
      </c>
      <c r="O389" s="271">
        <v>46185</v>
      </c>
      <c r="P389" s="208">
        <f>O389</f>
        <v>46185</v>
      </c>
      <c r="Q389" s="256">
        <v>46186</v>
      </c>
      <c r="R389" s="267" t="s">
        <v>1241</v>
      </c>
      <c r="S389" s="208" t="s">
        <v>1133</v>
      </c>
      <c r="T389" s="211"/>
      <c r="U389" s="211"/>
      <c r="V389" s="211"/>
      <c r="W389" s="208"/>
      <c r="X389" s="220" t="s">
        <v>1248</v>
      </c>
      <c r="Y389" s="211" t="s">
        <v>1228</v>
      </c>
      <c r="Z389" s="211" t="s">
        <v>1249</v>
      </c>
      <c r="AA389" s="214">
        <v>46135</v>
      </c>
      <c r="AB389" s="213">
        <v>46146</v>
      </c>
      <c r="AC389" s="211" t="s">
        <v>1133</v>
      </c>
      <c r="AD389" s="211" t="s">
        <v>1133</v>
      </c>
      <c r="AE389" s="220" t="s">
        <v>510</v>
      </c>
      <c r="AF389" s="211" t="s">
        <v>1228</v>
      </c>
      <c r="AG389" s="220" t="s">
        <v>510</v>
      </c>
      <c r="AH389" s="211" t="s">
        <v>1133</v>
      </c>
      <c r="AI389" s="211" t="s">
        <v>1228</v>
      </c>
      <c r="AJ389" s="211" t="s">
        <v>1133</v>
      </c>
      <c r="AK389" s="211" t="s">
        <v>1133</v>
      </c>
      <c r="AL389" s="211"/>
      <c r="AM389" s="211" t="s">
        <v>1506</v>
      </c>
      <c r="AN389" s="220" t="s">
        <v>1790</v>
      </c>
      <c r="AO389" s="215">
        <v>0.78</v>
      </c>
      <c r="AP389" s="216">
        <f t="shared" si="68"/>
        <v>10932.48</v>
      </c>
      <c r="AQ389" s="275">
        <f t="shared" si="69"/>
        <v>84726.72</v>
      </c>
      <c r="AR389" s="269">
        <v>61367</v>
      </c>
      <c r="AS389" s="276">
        <v>46203</v>
      </c>
      <c r="AT389" s="208" t="s">
        <v>1220</v>
      </c>
      <c r="AU389" s="208"/>
      <c r="AV389" s="208"/>
      <c r="AW389" s="208"/>
      <c r="AX389" s="208"/>
      <c r="AY389" s="208"/>
      <c r="AZ389" s="208"/>
      <c r="BA389" s="208"/>
      <c r="BB389" s="208" t="str">
        <f t="shared" si="70"/>
        <v>Banter Toys</v>
      </c>
      <c r="BC389" s="208" t="str">
        <f t="shared" si="71"/>
        <v>澳大利亚</v>
      </c>
    </row>
    <row r="390" s="194" customFormat="1" customHeight="1" spans="1:55">
      <c r="A390" s="208">
        <v>46062</v>
      </c>
      <c r="B390" s="208" t="str">
        <f ca="1" t="shared" si="61"/>
        <v/>
      </c>
      <c r="C390" s="211" t="str">
        <f>VLOOKUP(H390,名称!A:E,4,0)</f>
        <v>三代</v>
      </c>
      <c r="D390" s="210" t="s">
        <v>1652</v>
      </c>
      <c r="E390" s="210" t="s">
        <v>1653</v>
      </c>
      <c r="F390" s="211"/>
      <c r="G390" s="211" t="s">
        <v>509</v>
      </c>
      <c r="H390" s="211" t="s">
        <v>63</v>
      </c>
      <c r="I390" s="211"/>
      <c r="J390" s="212">
        <v>1440</v>
      </c>
      <c r="K390" s="223">
        <f>VLOOKUP(H390,名称!A:C,2,0)</f>
        <v>5</v>
      </c>
      <c r="L390" s="212">
        <f t="shared" si="72"/>
        <v>7200</v>
      </c>
      <c r="M390" s="211">
        <f>VLOOKUP(H390,名称!A:E,3,0)</f>
        <v>24</v>
      </c>
      <c r="N390" s="212">
        <f t="shared" si="65"/>
        <v>60</v>
      </c>
      <c r="O390" s="208">
        <v>46157</v>
      </c>
      <c r="P390" s="208">
        <v>46202</v>
      </c>
      <c r="Q390" s="208">
        <v>46198</v>
      </c>
      <c r="R390" s="241" t="s">
        <v>1241</v>
      </c>
      <c r="S390" s="208" t="s">
        <v>1133</v>
      </c>
      <c r="T390" s="211" t="s">
        <v>1133</v>
      </c>
      <c r="U390" s="211"/>
      <c r="V390" s="211"/>
      <c r="W390" s="208"/>
      <c r="X390" s="211" t="s">
        <v>1248</v>
      </c>
      <c r="Y390" s="211" t="s">
        <v>1228</v>
      </c>
      <c r="Z390" s="213">
        <v>46106</v>
      </c>
      <c r="AA390" s="214">
        <v>46109</v>
      </c>
      <c r="AB390" s="213">
        <v>46126</v>
      </c>
      <c r="AC390" s="211" t="s">
        <v>1133</v>
      </c>
      <c r="AD390" s="211" t="s">
        <v>1133</v>
      </c>
      <c r="AE390" s="211" t="s">
        <v>510</v>
      </c>
      <c r="AF390" s="211" t="s">
        <v>1228</v>
      </c>
      <c r="AG390" s="211" t="s">
        <v>510</v>
      </c>
      <c r="AH390" s="211" t="s">
        <v>1133</v>
      </c>
      <c r="AI390" s="211" t="s">
        <v>1228</v>
      </c>
      <c r="AJ390" s="211" t="s">
        <v>1133</v>
      </c>
      <c r="AK390" s="211" t="s">
        <v>510</v>
      </c>
      <c r="AL390" s="211"/>
      <c r="AM390" s="211" t="s">
        <v>1296</v>
      </c>
      <c r="AN390" s="212" t="s">
        <v>1251</v>
      </c>
      <c r="AO390" s="215">
        <v>0.64</v>
      </c>
      <c r="AP390" s="216">
        <f t="shared" si="68"/>
        <v>921.6</v>
      </c>
      <c r="AQ390" s="275">
        <f t="shared" si="69"/>
        <v>7142.4</v>
      </c>
      <c r="AR390" s="269">
        <v>61368</v>
      </c>
      <c r="AS390" s="276">
        <v>46203</v>
      </c>
      <c r="AT390" s="208" t="s">
        <v>1220</v>
      </c>
      <c r="AU390" s="253">
        <v>1440</v>
      </c>
      <c r="AV390" s="252">
        <f t="shared" si="73"/>
        <v>0</v>
      </c>
      <c r="AW390" s="252"/>
      <c r="AX390" s="208" t="s">
        <v>1280</v>
      </c>
      <c r="AY390" s="208"/>
      <c r="AZ390" s="208"/>
      <c r="BA390" s="208"/>
      <c r="BB390" s="208" t="str">
        <f t="shared" si="70"/>
        <v>Litt Tak SDN. BHD.</v>
      </c>
      <c r="BC390" s="208" t="str">
        <f t="shared" si="71"/>
        <v>马来西亚</v>
      </c>
    </row>
    <row r="391" s="194" customFormat="1" customHeight="1" spans="1:55">
      <c r="A391" s="208">
        <v>46062</v>
      </c>
      <c r="B391" s="208" t="str">
        <f ca="1" t="shared" si="61"/>
        <v/>
      </c>
      <c r="C391" s="211" t="str">
        <f>VLOOKUP(H391,名称!A:E,4,0)</f>
        <v>三代</v>
      </c>
      <c r="D391" s="210" t="s">
        <v>1652</v>
      </c>
      <c r="E391" s="210" t="s">
        <v>1653</v>
      </c>
      <c r="F391" s="211"/>
      <c r="G391" s="211" t="s">
        <v>509</v>
      </c>
      <c r="H391" s="211" t="s">
        <v>111</v>
      </c>
      <c r="I391" s="211"/>
      <c r="J391" s="212">
        <v>440</v>
      </c>
      <c r="K391" s="223">
        <f>VLOOKUP(H391,名称!A:C,2,0)</f>
        <v>50</v>
      </c>
      <c r="L391" s="212">
        <f t="shared" si="72"/>
        <v>22000</v>
      </c>
      <c r="M391" s="211">
        <f>VLOOKUP(H391,名称!A:E,3,0)</f>
        <v>2</v>
      </c>
      <c r="N391" s="212">
        <f t="shared" si="65"/>
        <v>220</v>
      </c>
      <c r="O391" s="208">
        <v>46157</v>
      </c>
      <c r="P391" s="208">
        <v>46171</v>
      </c>
      <c r="Q391" s="208">
        <v>46198</v>
      </c>
      <c r="R391" s="267" t="s">
        <v>1241</v>
      </c>
      <c r="S391" s="208" t="s">
        <v>1133</v>
      </c>
      <c r="T391" s="211" t="s">
        <v>1133</v>
      </c>
      <c r="U391" s="211"/>
      <c r="V391" s="211"/>
      <c r="W391" s="208"/>
      <c r="X391" s="211" t="s">
        <v>1505</v>
      </c>
      <c r="Y391" s="211" t="s">
        <v>1228</v>
      </c>
      <c r="Z391" s="213">
        <v>46106</v>
      </c>
      <c r="AA391" s="214">
        <v>46109</v>
      </c>
      <c r="AB391" s="213">
        <v>46126</v>
      </c>
      <c r="AC391" s="211" t="s">
        <v>1133</v>
      </c>
      <c r="AD391" s="211" t="s">
        <v>1133</v>
      </c>
      <c r="AE391" s="211" t="s">
        <v>510</v>
      </c>
      <c r="AF391" s="211" t="s">
        <v>1228</v>
      </c>
      <c r="AG391" s="211" t="s">
        <v>510</v>
      </c>
      <c r="AH391" s="211" t="s">
        <v>1133</v>
      </c>
      <c r="AI391" s="211" t="s">
        <v>1228</v>
      </c>
      <c r="AJ391" s="211" t="s">
        <v>1133</v>
      </c>
      <c r="AK391" s="211" t="s">
        <v>1356</v>
      </c>
      <c r="AL391" s="211"/>
      <c r="AM391" s="211" t="s">
        <v>1296</v>
      </c>
      <c r="AN391" s="212" t="s">
        <v>1251</v>
      </c>
      <c r="AO391" s="215">
        <v>9.39</v>
      </c>
      <c r="AP391" s="216">
        <f t="shared" si="68"/>
        <v>4131.6</v>
      </c>
      <c r="AQ391" s="275">
        <f t="shared" si="69"/>
        <v>32019.9</v>
      </c>
      <c r="AR391" s="269">
        <v>61368</v>
      </c>
      <c r="AS391" s="276">
        <v>46203</v>
      </c>
      <c r="AT391" s="208" t="s">
        <v>1220</v>
      </c>
      <c r="AU391" s="251"/>
      <c r="AV391" s="252">
        <f t="shared" si="73"/>
        <v>-440</v>
      </c>
      <c r="AW391" s="252"/>
      <c r="AX391" s="208"/>
      <c r="AY391" s="208"/>
      <c r="AZ391" s="208"/>
      <c r="BA391" s="208"/>
      <c r="BB391" s="208" t="str">
        <f t="shared" si="70"/>
        <v>Litt Tak SDN. BHD.</v>
      </c>
      <c r="BC391" s="208" t="str">
        <f t="shared" si="71"/>
        <v>马来西亚</v>
      </c>
    </row>
    <row r="392" s="194" customFormat="1" customHeight="1" spans="1:55">
      <c r="A392" s="208">
        <v>46062</v>
      </c>
      <c r="B392" s="208" t="str">
        <f ca="1" t="shared" si="61"/>
        <v/>
      </c>
      <c r="C392" s="211" t="str">
        <f>VLOOKUP(H392,名称!A:E,4,0)</f>
        <v>三代</v>
      </c>
      <c r="D392" s="210" t="s">
        <v>1652</v>
      </c>
      <c r="E392" s="210" t="s">
        <v>1653</v>
      </c>
      <c r="F392" s="211"/>
      <c r="G392" s="211" t="s">
        <v>509</v>
      </c>
      <c r="H392" s="211" t="s">
        <v>119</v>
      </c>
      <c r="I392" s="211"/>
      <c r="J392" s="212">
        <v>1800</v>
      </c>
      <c r="K392" s="223">
        <f>VLOOKUP(H392,名称!A:C,2,0)</f>
        <v>5</v>
      </c>
      <c r="L392" s="212">
        <f t="shared" si="72"/>
        <v>9000</v>
      </c>
      <c r="M392" s="211">
        <f>VLOOKUP(H392,名称!A:E,3,0)</f>
        <v>24</v>
      </c>
      <c r="N392" s="212">
        <f t="shared" si="65"/>
        <v>75</v>
      </c>
      <c r="O392" s="208">
        <v>46157</v>
      </c>
      <c r="P392" s="208">
        <v>46178</v>
      </c>
      <c r="Q392" s="208">
        <v>46198</v>
      </c>
      <c r="R392" s="241" t="s">
        <v>1241</v>
      </c>
      <c r="S392" s="208" t="s">
        <v>1133</v>
      </c>
      <c r="T392" s="211" t="s">
        <v>1133</v>
      </c>
      <c r="U392" s="211"/>
      <c r="V392" s="211"/>
      <c r="W392" s="208"/>
      <c r="X392" s="211" t="s">
        <v>1505</v>
      </c>
      <c r="Y392" s="211" t="s">
        <v>1228</v>
      </c>
      <c r="Z392" s="213">
        <v>46106</v>
      </c>
      <c r="AA392" s="214">
        <v>46109</v>
      </c>
      <c r="AB392" s="213">
        <v>46126</v>
      </c>
      <c r="AC392" s="211" t="s">
        <v>1133</v>
      </c>
      <c r="AD392" s="211" t="s">
        <v>1133</v>
      </c>
      <c r="AE392" s="211" t="s">
        <v>510</v>
      </c>
      <c r="AF392" s="211" t="s">
        <v>1228</v>
      </c>
      <c r="AG392" s="211" t="s">
        <v>510</v>
      </c>
      <c r="AH392" s="211" t="s">
        <v>1133</v>
      </c>
      <c r="AI392" s="211" t="s">
        <v>1228</v>
      </c>
      <c r="AJ392" s="211" t="s">
        <v>1133</v>
      </c>
      <c r="AK392" s="211" t="s">
        <v>510</v>
      </c>
      <c r="AL392" s="211"/>
      <c r="AM392" s="211" t="s">
        <v>1296</v>
      </c>
      <c r="AN392" s="212" t="s">
        <v>1251</v>
      </c>
      <c r="AO392" s="215">
        <v>0.63</v>
      </c>
      <c r="AP392" s="216">
        <f t="shared" si="68"/>
        <v>1134</v>
      </c>
      <c r="AQ392" s="275">
        <f t="shared" si="69"/>
        <v>8788.5</v>
      </c>
      <c r="AR392" s="269">
        <v>61368</v>
      </c>
      <c r="AS392" s="276">
        <v>46203</v>
      </c>
      <c r="AT392" s="208" t="s">
        <v>1220</v>
      </c>
      <c r="AU392" s="251">
        <v>1800</v>
      </c>
      <c r="AV392" s="252">
        <f t="shared" si="73"/>
        <v>0</v>
      </c>
      <c r="AW392" s="252"/>
      <c r="AX392" s="208" t="s">
        <v>1280</v>
      </c>
      <c r="AY392" s="208"/>
      <c r="AZ392" s="208"/>
      <c r="BA392" s="208"/>
      <c r="BB392" s="208" t="str">
        <f t="shared" si="70"/>
        <v>Litt Tak SDN. BHD.</v>
      </c>
      <c r="BC392" s="208" t="str">
        <f t="shared" si="71"/>
        <v>马来西亚</v>
      </c>
    </row>
    <row r="393" s="194" customFormat="1" customHeight="1" spans="1:55">
      <c r="A393" s="208">
        <v>46062</v>
      </c>
      <c r="B393" s="208" t="str">
        <f ca="1" t="shared" si="61"/>
        <v/>
      </c>
      <c r="C393" s="211" t="str">
        <f>VLOOKUP(H393,名称!A:E,4,0)</f>
        <v>三代</v>
      </c>
      <c r="D393" s="210" t="s">
        <v>1652</v>
      </c>
      <c r="E393" s="210" t="s">
        <v>1653</v>
      </c>
      <c r="F393" s="211"/>
      <c r="G393" s="211" t="s">
        <v>509</v>
      </c>
      <c r="H393" s="211" t="s">
        <v>125</v>
      </c>
      <c r="I393" s="211"/>
      <c r="J393" s="212">
        <v>660</v>
      </c>
      <c r="K393" s="223">
        <f>VLOOKUP(H393,名称!A:C,2,0)</f>
        <v>12</v>
      </c>
      <c r="L393" s="212">
        <f t="shared" si="72"/>
        <v>7920</v>
      </c>
      <c r="M393" s="211">
        <f>VLOOKUP(H393,名称!A:E,3,0)</f>
        <v>12</v>
      </c>
      <c r="N393" s="212">
        <f t="shared" si="65"/>
        <v>55</v>
      </c>
      <c r="O393" s="208">
        <v>46157</v>
      </c>
      <c r="P393" s="208">
        <v>46203</v>
      </c>
      <c r="Q393" s="208">
        <v>46201</v>
      </c>
      <c r="R393" s="241" t="s">
        <v>1277</v>
      </c>
      <c r="S393" s="208" t="s">
        <v>1133</v>
      </c>
      <c r="T393" s="211" t="s">
        <v>1133</v>
      </c>
      <c r="U393" s="211"/>
      <c r="V393" s="211"/>
      <c r="W393" s="208"/>
      <c r="X393" s="211" t="s">
        <v>1505</v>
      </c>
      <c r="Y393" s="211" t="s">
        <v>1228</v>
      </c>
      <c r="Z393" s="213">
        <v>46106</v>
      </c>
      <c r="AA393" s="214">
        <v>46109</v>
      </c>
      <c r="AB393" s="213">
        <v>46126</v>
      </c>
      <c r="AC393" s="211" t="s">
        <v>1302</v>
      </c>
      <c r="AD393" s="211" t="s">
        <v>1228</v>
      </c>
      <c r="AE393" s="211" t="s">
        <v>510</v>
      </c>
      <c r="AF393" s="211" t="s">
        <v>1228</v>
      </c>
      <c r="AG393" s="211" t="s">
        <v>510</v>
      </c>
      <c r="AH393" s="211" t="s">
        <v>1307</v>
      </c>
      <c r="AI393" s="211" t="s">
        <v>1228</v>
      </c>
      <c r="AJ393" s="211" t="s">
        <v>1133</v>
      </c>
      <c r="AK393" s="211" t="s">
        <v>1133</v>
      </c>
      <c r="AL393" s="211"/>
      <c r="AM393" s="211" t="s">
        <v>1296</v>
      </c>
      <c r="AN393" s="212" t="s">
        <v>1251</v>
      </c>
      <c r="AO393" s="215">
        <v>1.6</v>
      </c>
      <c r="AP393" s="216">
        <f t="shared" si="68"/>
        <v>1056</v>
      </c>
      <c r="AQ393" s="275">
        <f t="shared" si="69"/>
        <v>8184</v>
      </c>
      <c r="AR393" s="269">
        <v>61368</v>
      </c>
      <c r="AS393" s="276">
        <v>46203</v>
      </c>
      <c r="AT393" s="273" t="s">
        <v>1220</v>
      </c>
      <c r="AU393" s="251">
        <v>660</v>
      </c>
      <c r="AV393" s="252">
        <f t="shared" si="73"/>
        <v>0</v>
      </c>
      <c r="AW393" s="252"/>
      <c r="AX393" s="273" t="s">
        <v>1280</v>
      </c>
      <c r="AY393" s="208"/>
      <c r="AZ393" s="208"/>
      <c r="BA393" s="208"/>
      <c r="BB393" s="208" t="str">
        <f t="shared" si="70"/>
        <v>Litt Tak SDN. BHD.</v>
      </c>
      <c r="BC393" s="208" t="str">
        <f t="shared" si="71"/>
        <v>马来西亚</v>
      </c>
    </row>
    <row r="394" s="194" customFormat="1" customHeight="1" spans="1:55">
      <c r="A394" s="208">
        <v>46062</v>
      </c>
      <c r="B394" s="208" t="str">
        <f ca="1" t="shared" si="61"/>
        <v/>
      </c>
      <c r="C394" s="211" t="str">
        <f>VLOOKUP(H394,名称!A:E,4,0)</f>
        <v>三代</v>
      </c>
      <c r="D394" s="210" t="s">
        <v>1652</v>
      </c>
      <c r="E394" s="210" t="s">
        <v>1653</v>
      </c>
      <c r="F394" s="211"/>
      <c r="G394" s="211" t="s">
        <v>509</v>
      </c>
      <c r="H394" s="211" t="s">
        <v>92</v>
      </c>
      <c r="I394" s="211"/>
      <c r="J394" s="212">
        <v>1248</v>
      </c>
      <c r="K394" s="223">
        <f>VLOOKUP(H394,名称!A:C,2,0)</f>
        <v>7</v>
      </c>
      <c r="L394" s="212">
        <f t="shared" si="72"/>
        <v>8736</v>
      </c>
      <c r="M394" s="211">
        <f>VLOOKUP(H394,名称!A:E,3,0)</f>
        <v>16</v>
      </c>
      <c r="N394" s="212">
        <f t="shared" si="65"/>
        <v>78</v>
      </c>
      <c r="O394" s="208">
        <v>46157</v>
      </c>
      <c r="P394" s="208">
        <v>46157</v>
      </c>
      <c r="Q394" s="208">
        <v>46160</v>
      </c>
      <c r="R394" s="211" t="s">
        <v>1241</v>
      </c>
      <c r="S394" s="208" t="s">
        <v>1133</v>
      </c>
      <c r="T394" s="211" t="s">
        <v>1133</v>
      </c>
      <c r="U394" s="213">
        <v>46156</v>
      </c>
      <c r="V394" s="211"/>
      <c r="W394" s="208"/>
      <c r="X394" s="211" t="s">
        <v>1505</v>
      </c>
      <c r="Y394" s="213">
        <v>46133</v>
      </c>
      <c r="Z394" s="213">
        <v>46106</v>
      </c>
      <c r="AA394" s="214">
        <v>46109</v>
      </c>
      <c r="AB394" s="213">
        <v>46126</v>
      </c>
      <c r="AC394" s="211" t="s">
        <v>1284</v>
      </c>
      <c r="AD394" s="211" t="s">
        <v>1228</v>
      </c>
      <c r="AE394" s="211" t="s">
        <v>510</v>
      </c>
      <c r="AF394" s="211" t="s">
        <v>1228</v>
      </c>
      <c r="AG394" s="211" t="s">
        <v>510</v>
      </c>
      <c r="AH394" s="211" t="s">
        <v>1307</v>
      </c>
      <c r="AI394" s="211" t="s">
        <v>1228</v>
      </c>
      <c r="AJ394" s="211" t="s">
        <v>1133</v>
      </c>
      <c r="AK394" s="211" t="s">
        <v>1133</v>
      </c>
      <c r="AL394" s="211"/>
      <c r="AM394" s="211" t="s">
        <v>1296</v>
      </c>
      <c r="AN394" s="212" t="s">
        <v>1251</v>
      </c>
      <c r="AO394" s="215">
        <v>0.88</v>
      </c>
      <c r="AP394" s="216">
        <f t="shared" si="68"/>
        <v>1098.24</v>
      </c>
      <c r="AQ394" s="275">
        <f t="shared" si="69"/>
        <v>8511.36</v>
      </c>
      <c r="AR394" s="269">
        <v>61368</v>
      </c>
      <c r="AS394" s="276">
        <v>46203</v>
      </c>
      <c r="AT394" s="208" t="s">
        <v>1220</v>
      </c>
      <c r="AU394" s="251">
        <v>1248</v>
      </c>
      <c r="AV394" s="252">
        <f t="shared" si="73"/>
        <v>0</v>
      </c>
      <c r="AW394" s="252"/>
      <c r="AX394" s="208" t="s">
        <v>1280</v>
      </c>
      <c r="AY394" s="208"/>
      <c r="AZ394" s="208"/>
      <c r="BA394" s="208"/>
      <c r="BB394" s="208" t="str">
        <f t="shared" si="70"/>
        <v>Litt Tak SDN. BHD.</v>
      </c>
      <c r="BC394" s="208" t="str">
        <f t="shared" si="71"/>
        <v>马来西亚</v>
      </c>
    </row>
    <row r="395" s="194" customFormat="1" customHeight="1" spans="1:55">
      <c r="A395" s="208">
        <v>46062</v>
      </c>
      <c r="B395" s="208" t="str">
        <f ca="1" t="shared" si="61"/>
        <v/>
      </c>
      <c r="C395" s="211" t="str">
        <f>VLOOKUP(H395,名称!A:E,4,0)</f>
        <v>三代</v>
      </c>
      <c r="D395" s="210" t="s">
        <v>1652</v>
      </c>
      <c r="E395" s="210" t="s">
        <v>1653</v>
      </c>
      <c r="F395" s="211"/>
      <c r="G395" s="211" t="s">
        <v>509</v>
      </c>
      <c r="H395" s="211" t="s">
        <v>94</v>
      </c>
      <c r="I395" s="211"/>
      <c r="J395" s="212">
        <v>2400</v>
      </c>
      <c r="K395" s="223">
        <f>VLOOKUP(H395,名称!A:C,2,0)</f>
        <v>5</v>
      </c>
      <c r="L395" s="212">
        <f t="shared" si="72"/>
        <v>12000</v>
      </c>
      <c r="M395" s="211">
        <f>VLOOKUP(H395,名称!A:E,3,0)</f>
        <v>24</v>
      </c>
      <c r="N395" s="212">
        <f t="shared" si="65"/>
        <v>100</v>
      </c>
      <c r="O395" s="208">
        <v>46157</v>
      </c>
      <c r="P395" s="208">
        <v>46164</v>
      </c>
      <c r="Q395" s="208">
        <v>46198</v>
      </c>
      <c r="R395" s="257" t="s">
        <v>1241</v>
      </c>
      <c r="S395" s="208" t="s">
        <v>1133</v>
      </c>
      <c r="T395" s="211" t="s">
        <v>1133</v>
      </c>
      <c r="U395" s="211"/>
      <c r="V395" s="211"/>
      <c r="W395" s="208"/>
      <c r="X395" s="211" t="s">
        <v>1505</v>
      </c>
      <c r="Y395" s="211" t="s">
        <v>1228</v>
      </c>
      <c r="Z395" s="213">
        <v>46106</v>
      </c>
      <c r="AA395" s="214">
        <v>46109</v>
      </c>
      <c r="AB395" s="213">
        <v>46126</v>
      </c>
      <c r="AC395" s="211" t="s">
        <v>1133</v>
      </c>
      <c r="AD395" s="211" t="s">
        <v>1133</v>
      </c>
      <c r="AE395" s="211" t="s">
        <v>510</v>
      </c>
      <c r="AF395" s="211" t="s">
        <v>1228</v>
      </c>
      <c r="AG395" s="211" t="s">
        <v>510</v>
      </c>
      <c r="AH395" s="211" t="s">
        <v>1133</v>
      </c>
      <c r="AI395" s="211" t="s">
        <v>1228</v>
      </c>
      <c r="AJ395" s="211" t="s">
        <v>1133</v>
      </c>
      <c r="AK395" s="211" t="s">
        <v>510</v>
      </c>
      <c r="AL395" s="211"/>
      <c r="AM395" s="211" t="s">
        <v>1296</v>
      </c>
      <c r="AN395" s="212" t="s">
        <v>1251</v>
      </c>
      <c r="AO395" s="215">
        <v>0.64</v>
      </c>
      <c r="AP395" s="216">
        <f t="shared" si="68"/>
        <v>1536</v>
      </c>
      <c r="AQ395" s="275">
        <f t="shared" si="69"/>
        <v>11904</v>
      </c>
      <c r="AR395" s="269">
        <v>61368</v>
      </c>
      <c r="AS395" s="276">
        <v>46203</v>
      </c>
      <c r="AT395" s="208" t="s">
        <v>1220</v>
      </c>
      <c r="AU395" s="253">
        <v>2400</v>
      </c>
      <c r="AV395" s="252">
        <f t="shared" si="73"/>
        <v>0</v>
      </c>
      <c r="AW395" s="252"/>
      <c r="AX395" s="208" t="s">
        <v>1280</v>
      </c>
      <c r="AY395" s="208"/>
      <c r="AZ395" s="208"/>
      <c r="BA395" s="208"/>
      <c r="BB395" s="208" t="str">
        <f t="shared" si="70"/>
        <v>Litt Tak SDN. BHD.</v>
      </c>
      <c r="BC395" s="208" t="str">
        <f t="shared" si="71"/>
        <v>马来西亚</v>
      </c>
    </row>
    <row r="396" s="194" customFormat="1" customHeight="1" spans="1:55">
      <c r="A396" s="208">
        <v>46062</v>
      </c>
      <c r="B396" s="208" t="str">
        <f ca="1" t="shared" si="61"/>
        <v/>
      </c>
      <c r="C396" s="211" t="str">
        <f>VLOOKUP(H396,名称!A:E,4,0)</f>
        <v>三代</v>
      </c>
      <c r="D396" s="210" t="s">
        <v>1652</v>
      </c>
      <c r="E396" s="210" t="s">
        <v>1653</v>
      </c>
      <c r="F396" s="211"/>
      <c r="G396" s="211" t="s">
        <v>509</v>
      </c>
      <c r="H396" s="211" t="s">
        <v>95</v>
      </c>
      <c r="I396" s="211"/>
      <c r="J396" s="212">
        <v>340</v>
      </c>
      <c r="K396" s="223">
        <f>VLOOKUP(H396,名称!A:C,2,0)</f>
        <v>32</v>
      </c>
      <c r="L396" s="212">
        <f t="shared" si="72"/>
        <v>10880</v>
      </c>
      <c r="M396" s="211">
        <f>VLOOKUP(H396,名称!A:E,3,0)</f>
        <v>4</v>
      </c>
      <c r="N396" s="212">
        <f t="shared" si="65"/>
        <v>85</v>
      </c>
      <c r="O396" s="208">
        <v>46157</v>
      </c>
      <c r="P396" s="208">
        <v>46158</v>
      </c>
      <c r="Q396" s="208">
        <v>46160</v>
      </c>
      <c r="R396" s="211" t="s">
        <v>1241</v>
      </c>
      <c r="S396" s="208" t="s">
        <v>1133</v>
      </c>
      <c r="T396" s="211" t="s">
        <v>1133</v>
      </c>
      <c r="U396" s="213">
        <v>46156</v>
      </c>
      <c r="V396" s="211"/>
      <c r="W396" s="208"/>
      <c r="X396" s="211" t="s">
        <v>1505</v>
      </c>
      <c r="Y396" s="213">
        <v>46133</v>
      </c>
      <c r="Z396" s="213">
        <v>46106</v>
      </c>
      <c r="AA396" s="214">
        <v>46109</v>
      </c>
      <c r="AB396" s="213">
        <v>46126</v>
      </c>
      <c r="AC396" s="211" t="s">
        <v>1133</v>
      </c>
      <c r="AD396" s="211" t="s">
        <v>1133</v>
      </c>
      <c r="AE396" s="211" t="s">
        <v>510</v>
      </c>
      <c r="AF396" s="211" t="s">
        <v>1228</v>
      </c>
      <c r="AG396" s="211" t="s">
        <v>510</v>
      </c>
      <c r="AH396" s="211" t="s">
        <v>1307</v>
      </c>
      <c r="AI396" s="211" t="s">
        <v>1228</v>
      </c>
      <c r="AJ396" s="211" t="s">
        <v>1133</v>
      </c>
      <c r="AK396" s="211" t="s">
        <v>1133</v>
      </c>
      <c r="AL396" s="211"/>
      <c r="AM396" s="211" t="s">
        <v>1296</v>
      </c>
      <c r="AN396" s="212" t="s">
        <v>1251</v>
      </c>
      <c r="AO396" s="215">
        <v>3.12</v>
      </c>
      <c r="AP396" s="216">
        <f t="shared" si="68"/>
        <v>1060.8</v>
      </c>
      <c r="AQ396" s="275">
        <f t="shared" si="69"/>
        <v>8221.2</v>
      </c>
      <c r="AR396" s="269">
        <v>61368</v>
      </c>
      <c r="AS396" s="276">
        <v>46203</v>
      </c>
      <c r="AT396" s="208" t="s">
        <v>1220</v>
      </c>
      <c r="AU396" s="251">
        <v>340</v>
      </c>
      <c r="AV396" s="252">
        <f t="shared" si="73"/>
        <v>0</v>
      </c>
      <c r="AW396" s="252"/>
      <c r="AX396" s="208" t="s">
        <v>1280</v>
      </c>
      <c r="AY396" s="208"/>
      <c r="AZ396" s="208"/>
      <c r="BA396" s="208"/>
      <c r="BB396" s="208" t="str">
        <f t="shared" si="70"/>
        <v>Litt Tak SDN. BHD.</v>
      </c>
      <c r="BC396" s="208" t="str">
        <f t="shared" si="71"/>
        <v>马来西亚</v>
      </c>
    </row>
    <row r="397" s="194" customFormat="1" customHeight="1" spans="1:55">
      <c r="A397" s="208">
        <v>46062</v>
      </c>
      <c r="B397" s="208" t="str">
        <f ca="1" t="shared" si="61"/>
        <v/>
      </c>
      <c r="C397" s="211" t="str">
        <f>VLOOKUP(H397,名称!A:E,4,0)</f>
        <v>三代</v>
      </c>
      <c r="D397" s="210" t="s">
        <v>1652</v>
      </c>
      <c r="E397" s="210" t="s">
        <v>1653</v>
      </c>
      <c r="F397" s="211"/>
      <c r="G397" s="211" t="s">
        <v>509</v>
      </c>
      <c r="H397" s="211" t="s">
        <v>97</v>
      </c>
      <c r="I397" s="211"/>
      <c r="J397" s="212">
        <v>1800</v>
      </c>
      <c r="K397" s="223">
        <f>VLOOKUP(H397,名称!A:C,2,0)</f>
        <v>5</v>
      </c>
      <c r="L397" s="212">
        <f t="shared" si="72"/>
        <v>9000</v>
      </c>
      <c r="M397" s="211">
        <f>VLOOKUP(H397,名称!A:E,3,0)</f>
        <v>24</v>
      </c>
      <c r="N397" s="212">
        <f t="shared" si="65"/>
        <v>75</v>
      </c>
      <c r="O397" s="208">
        <v>46157</v>
      </c>
      <c r="P397" s="208">
        <v>46164</v>
      </c>
      <c r="Q397" s="208">
        <v>46198</v>
      </c>
      <c r="R397" s="241" t="s">
        <v>1425</v>
      </c>
      <c r="S397" s="208" t="s">
        <v>1133</v>
      </c>
      <c r="T397" s="211" t="s">
        <v>1133</v>
      </c>
      <c r="U397" s="211"/>
      <c r="V397" s="211"/>
      <c r="W397" s="208"/>
      <c r="X397" s="211" t="s">
        <v>1505</v>
      </c>
      <c r="Y397" s="211" t="s">
        <v>1228</v>
      </c>
      <c r="Z397" s="213">
        <v>46106</v>
      </c>
      <c r="AA397" s="214">
        <v>46109</v>
      </c>
      <c r="AB397" s="213">
        <v>46126</v>
      </c>
      <c r="AC397" s="211" t="s">
        <v>1133</v>
      </c>
      <c r="AD397" s="211" t="s">
        <v>1133</v>
      </c>
      <c r="AE397" s="211" t="s">
        <v>510</v>
      </c>
      <c r="AF397" s="211" t="s">
        <v>1228</v>
      </c>
      <c r="AG397" s="211" t="s">
        <v>510</v>
      </c>
      <c r="AH397" s="211" t="s">
        <v>1133</v>
      </c>
      <c r="AI397" s="211" t="s">
        <v>1228</v>
      </c>
      <c r="AJ397" s="211" t="s">
        <v>1133</v>
      </c>
      <c r="AK397" s="211" t="s">
        <v>510</v>
      </c>
      <c r="AL397" s="211"/>
      <c r="AM397" s="211" t="s">
        <v>1296</v>
      </c>
      <c r="AN397" s="212" t="s">
        <v>1251</v>
      </c>
      <c r="AO397" s="215">
        <v>0.64</v>
      </c>
      <c r="AP397" s="216">
        <f t="shared" si="68"/>
        <v>1152</v>
      </c>
      <c r="AQ397" s="275">
        <f t="shared" si="69"/>
        <v>8928</v>
      </c>
      <c r="AR397" s="269">
        <v>61368</v>
      </c>
      <c r="AS397" s="276">
        <v>46203</v>
      </c>
      <c r="AT397" s="208" t="s">
        <v>1220</v>
      </c>
      <c r="AU397" s="251">
        <f>1776+24</f>
        <v>1800</v>
      </c>
      <c r="AV397" s="252">
        <f t="shared" si="73"/>
        <v>0</v>
      </c>
      <c r="AW397" s="252"/>
      <c r="AX397" s="208" t="s">
        <v>1280</v>
      </c>
      <c r="AY397" s="208"/>
      <c r="AZ397" s="208"/>
      <c r="BA397" s="208"/>
      <c r="BB397" s="208" t="str">
        <f t="shared" si="70"/>
        <v>Litt Tak SDN. BHD.</v>
      </c>
      <c r="BC397" s="208" t="str">
        <f t="shared" si="71"/>
        <v>马来西亚</v>
      </c>
    </row>
    <row r="398" s="194" customFormat="1" customHeight="1" spans="1:55">
      <c r="A398" s="208">
        <v>46062</v>
      </c>
      <c r="B398" s="208" t="str">
        <f ca="1" t="shared" si="61"/>
        <v/>
      </c>
      <c r="C398" s="211" t="str">
        <f>VLOOKUP(H398,名称!A:E,4,0)</f>
        <v>三代</v>
      </c>
      <c r="D398" s="210" t="s">
        <v>1652</v>
      </c>
      <c r="E398" s="210" t="s">
        <v>1653</v>
      </c>
      <c r="F398" s="211"/>
      <c r="G398" s="211" t="s">
        <v>509</v>
      </c>
      <c r="H398" s="211" t="s">
        <v>98</v>
      </c>
      <c r="I398" s="211"/>
      <c r="J398" s="212">
        <v>660</v>
      </c>
      <c r="K398" s="223">
        <f>VLOOKUP(H398,名称!A:C,2,0)</f>
        <v>12</v>
      </c>
      <c r="L398" s="212">
        <f t="shared" si="72"/>
        <v>7920</v>
      </c>
      <c r="M398" s="211">
        <f>VLOOKUP(H398,名称!A:E,3,0)</f>
        <v>12</v>
      </c>
      <c r="N398" s="212">
        <f t="shared" si="65"/>
        <v>55</v>
      </c>
      <c r="O398" s="208">
        <v>46157</v>
      </c>
      <c r="P398" s="208">
        <v>46157</v>
      </c>
      <c r="Q398" s="208">
        <v>46160</v>
      </c>
      <c r="R398" s="211" t="s">
        <v>1241</v>
      </c>
      <c r="S398" s="208" t="s">
        <v>1133</v>
      </c>
      <c r="T398" s="211" t="s">
        <v>1133</v>
      </c>
      <c r="U398" s="213">
        <v>46156</v>
      </c>
      <c r="V398" s="211"/>
      <c r="W398" s="208"/>
      <c r="X398" s="211" t="s">
        <v>1505</v>
      </c>
      <c r="Y398" s="213">
        <v>46133</v>
      </c>
      <c r="Z398" s="213">
        <v>46106</v>
      </c>
      <c r="AA398" s="214">
        <v>46109</v>
      </c>
      <c r="AB398" s="213">
        <v>46126</v>
      </c>
      <c r="AC398" s="211" t="s">
        <v>1302</v>
      </c>
      <c r="AD398" s="211" t="s">
        <v>1228</v>
      </c>
      <c r="AE398" s="211" t="s">
        <v>510</v>
      </c>
      <c r="AF398" s="211" t="s">
        <v>1228</v>
      </c>
      <c r="AG398" s="211" t="s">
        <v>510</v>
      </c>
      <c r="AH398" s="211" t="s">
        <v>1307</v>
      </c>
      <c r="AI398" s="211" t="s">
        <v>1228</v>
      </c>
      <c r="AJ398" s="211" t="s">
        <v>1133</v>
      </c>
      <c r="AK398" s="211" t="s">
        <v>1133</v>
      </c>
      <c r="AL398" s="211"/>
      <c r="AM398" s="211" t="s">
        <v>1296</v>
      </c>
      <c r="AN398" s="212" t="s">
        <v>1251</v>
      </c>
      <c r="AO398" s="215">
        <v>1.6</v>
      </c>
      <c r="AP398" s="216">
        <f t="shared" si="68"/>
        <v>1056</v>
      </c>
      <c r="AQ398" s="275">
        <f t="shared" si="69"/>
        <v>8184</v>
      </c>
      <c r="AR398" s="269">
        <v>61368</v>
      </c>
      <c r="AS398" s="276">
        <v>46203</v>
      </c>
      <c r="AT398" s="208" t="s">
        <v>1220</v>
      </c>
      <c r="AU398" s="251">
        <v>660</v>
      </c>
      <c r="AV398" s="252">
        <f t="shared" si="73"/>
        <v>0</v>
      </c>
      <c r="AW398" s="252"/>
      <c r="AX398" s="208" t="s">
        <v>1280</v>
      </c>
      <c r="AY398" s="208"/>
      <c r="AZ398" s="208"/>
      <c r="BA398" s="208"/>
      <c r="BB398" s="208" t="str">
        <f t="shared" si="70"/>
        <v>Litt Tak SDN. BHD.</v>
      </c>
      <c r="BC398" s="208" t="str">
        <f t="shared" si="71"/>
        <v>马来西亚</v>
      </c>
    </row>
    <row r="399" s="194" customFormat="1" customHeight="1" spans="1:55">
      <c r="A399" s="208">
        <v>46062</v>
      </c>
      <c r="B399" s="208" t="str">
        <f ca="1" t="shared" si="61"/>
        <v/>
      </c>
      <c r="C399" s="209" t="str">
        <f>VLOOKUP(H399,名称!A:E,4,0)</f>
        <v>二代</v>
      </c>
      <c r="D399" s="210" t="s">
        <v>1652</v>
      </c>
      <c r="E399" s="210" t="s">
        <v>1653</v>
      </c>
      <c r="F399" s="211"/>
      <c r="G399" s="211" t="s">
        <v>509</v>
      </c>
      <c r="H399" s="211" t="s">
        <v>65</v>
      </c>
      <c r="I399" s="211"/>
      <c r="J399" s="212">
        <v>1440</v>
      </c>
      <c r="K399" s="223">
        <f>VLOOKUP(H399,名称!A:C,2,0)</f>
        <v>5</v>
      </c>
      <c r="L399" s="223">
        <f>K399*J399</f>
        <v>7200</v>
      </c>
      <c r="M399" s="211">
        <f>VLOOKUP(H399,名称!A:E,3,0)</f>
        <v>24</v>
      </c>
      <c r="N399" s="212">
        <f t="shared" si="65"/>
        <v>60</v>
      </c>
      <c r="O399" s="208">
        <v>46157</v>
      </c>
      <c r="P399" s="208">
        <v>46157</v>
      </c>
      <c r="Q399" s="208">
        <v>46162</v>
      </c>
      <c r="R399" s="208" t="s">
        <v>1241</v>
      </c>
      <c r="S399" s="208" t="s">
        <v>1133</v>
      </c>
      <c r="T399" s="211" t="s">
        <v>1133</v>
      </c>
      <c r="U399" s="211"/>
      <c r="V399" s="211"/>
      <c r="W399" s="208" t="s">
        <v>1651</v>
      </c>
      <c r="X399" s="211" t="s">
        <v>1248</v>
      </c>
      <c r="Y399" s="211" t="s">
        <v>1228</v>
      </c>
      <c r="Z399" s="213">
        <v>46106</v>
      </c>
      <c r="AA399" s="214">
        <v>46109</v>
      </c>
      <c r="AB399" s="213">
        <v>46126</v>
      </c>
      <c r="AC399" s="211" t="s">
        <v>1133</v>
      </c>
      <c r="AD399" s="211" t="s">
        <v>1133</v>
      </c>
      <c r="AE399" s="211" t="s">
        <v>327</v>
      </c>
      <c r="AF399" s="211" t="s">
        <v>1228</v>
      </c>
      <c r="AG399" s="211" t="s">
        <v>327</v>
      </c>
      <c r="AH399" s="211" t="s">
        <v>1133</v>
      </c>
      <c r="AI399" s="211" t="s">
        <v>1228</v>
      </c>
      <c r="AJ399" s="211" t="s">
        <v>1133</v>
      </c>
      <c r="AK399" s="211" t="s">
        <v>327</v>
      </c>
      <c r="AL399" s="211" t="s">
        <v>1228</v>
      </c>
      <c r="AM399" s="211" t="s">
        <v>1296</v>
      </c>
      <c r="AN399" s="212" t="s">
        <v>1251</v>
      </c>
      <c r="AO399" s="215">
        <v>0.63</v>
      </c>
      <c r="AP399" s="216">
        <f t="shared" si="68"/>
        <v>907.2</v>
      </c>
      <c r="AQ399" s="275">
        <f t="shared" si="69"/>
        <v>7030.8</v>
      </c>
      <c r="AR399" s="269">
        <v>61368</v>
      </c>
      <c r="AS399" s="276">
        <v>46203</v>
      </c>
      <c r="AT399" s="208" t="s">
        <v>1220</v>
      </c>
      <c r="AU399" s="221"/>
      <c r="AV399" s="222"/>
      <c r="AW399" s="208"/>
      <c r="AX399" s="208"/>
      <c r="AY399" s="208"/>
      <c r="AZ399" s="208"/>
      <c r="BA399" s="208"/>
      <c r="BB399" s="208" t="str">
        <f t="shared" si="70"/>
        <v>Litt Tak SDN. BHD.</v>
      </c>
      <c r="BC399" s="208" t="str">
        <f t="shared" si="71"/>
        <v>马来西亚</v>
      </c>
    </row>
    <row r="400" s="194" customFormat="1" customHeight="1" spans="1:55">
      <c r="A400" s="271">
        <v>46127</v>
      </c>
      <c r="B400" s="208" t="str">
        <f ca="1" t="shared" si="61"/>
        <v/>
      </c>
      <c r="C400" s="211" t="str">
        <f>VLOOKUP(H400,名称!A:E,4,0)</f>
        <v>三代</v>
      </c>
      <c r="D400" s="210" t="s">
        <v>1276</v>
      </c>
      <c r="E400" s="220" t="s">
        <v>1224</v>
      </c>
      <c r="F400" s="220" t="s">
        <v>1791</v>
      </c>
      <c r="G400" s="220" t="s">
        <v>714</v>
      </c>
      <c r="H400" s="220" t="s">
        <v>66</v>
      </c>
      <c r="I400" s="211"/>
      <c r="J400" s="270">
        <v>20004</v>
      </c>
      <c r="K400" s="223">
        <f>VLOOKUP(H400,名称!A:C,2,0)</f>
        <v>12</v>
      </c>
      <c r="L400" s="212">
        <f>J400*K400</f>
        <v>240048</v>
      </c>
      <c r="M400" s="211">
        <f>VLOOKUP(H400,名称!A:E,3,0)</f>
        <v>6</v>
      </c>
      <c r="N400" s="212">
        <f t="shared" si="65"/>
        <v>3334</v>
      </c>
      <c r="O400" s="208">
        <v>46197</v>
      </c>
      <c r="P400" s="208">
        <f t="shared" ref="P400:P404" si="74">O400</f>
        <v>46197</v>
      </c>
      <c r="Q400" s="208">
        <v>46197</v>
      </c>
      <c r="R400" s="241" t="s">
        <v>1241</v>
      </c>
      <c r="S400" s="208">
        <v>46202</v>
      </c>
      <c r="T400" s="241" t="s">
        <v>1241</v>
      </c>
      <c r="U400" s="211"/>
      <c r="V400" s="211"/>
      <c r="W400" s="208"/>
      <c r="X400" s="211" t="s">
        <v>1133</v>
      </c>
      <c r="Y400" s="211" t="s">
        <v>1133</v>
      </c>
      <c r="Z400" s="213">
        <v>46133</v>
      </c>
      <c r="AA400" s="214">
        <v>46142</v>
      </c>
      <c r="AB400" s="213">
        <v>46148</v>
      </c>
      <c r="AC400" s="211" t="s">
        <v>1318</v>
      </c>
      <c r="AD400" s="211" t="s">
        <v>1228</v>
      </c>
      <c r="AE400" s="211" t="s">
        <v>270</v>
      </c>
      <c r="AF400" s="211" t="s">
        <v>1228</v>
      </c>
      <c r="AG400" s="211" t="s">
        <v>270</v>
      </c>
      <c r="AH400" s="211" t="s">
        <v>1285</v>
      </c>
      <c r="AI400" s="257" t="s">
        <v>1228</v>
      </c>
      <c r="AJ400" s="257" t="s">
        <v>510</v>
      </c>
      <c r="AK400" s="257" t="s">
        <v>1133</v>
      </c>
      <c r="AL400" s="211"/>
      <c r="AM400" s="257" t="s">
        <v>1290</v>
      </c>
      <c r="AN400" s="212"/>
      <c r="AO400" s="215">
        <v>2.02</v>
      </c>
      <c r="AP400" s="216">
        <f t="shared" si="68"/>
        <v>40408.08</v>
      </c>
      <c r="AQ400" s="216">
        <f t="shared" si="69"/>
        <v>313162.62</v>
      </c>
      <c r="AR400" s="269">
        <v>61369</v>
      </c>
      <c r="AS400" s="276">
        <v>46203</v>
      </c>
      <c r="AT400" s="208" t="s">
        <v>1220</v>
      </c>
      <c r="AU400" s="253">
        <f>13980+2010+744+3270</f>
        <v>20004</v>
      </c>
      <c r="AV400" s="252">
        <f>AU400-J400</f>
        <v>0</v>
      </c>
      <c r="AW400" s="252"/>
      <c r="AX400" s="256" t="s">
        <v>1280</v>
      </c>
      <c r="AY400" s="208"/>
      <c r="AZ400" s="208"/>
      <c r="BA400" s="208"/>
      <c r="BB400" s="208" t="str">
        <f t="shared" si="70"/>
        <v>Jazwares- TARGET US DOM</v>
      </c>
      <c r="BC400" s="208" t="str">
        <f t="shared" si="71"/>
        <v>美国</v>
      </c>
    </row>
    <row r="401" s="194" customFormat="1" customHeight="1" spans="1:55">
      <c r="A401" s="208">
        <v>46085</v>
      </c>
      <c r="B401" s="208" t="str">
        <f ca="1" t="shared" si="61"/>
        <v/>
      </c>
      <c r="C401" s="211" t="str">
        <f>VLOOKUP(H401,名称!A:E,4,0)</f>
        <v>蛋糕</v>
      </c>
      <c r="D401" s="210" t="s">
        <v>1502</v>
      </c>
      <c r="E401" s="210" t="s">
        <v>1224</v>
      </c>
      <c r="F401" s="211" t="s">
        <v>528</v>
      </c>
      <c r="G401" s="211" t="s">
        <v>529</v>
      </c>
      <c r="H401" s="211" t="s">
        <v>50</v>
      </c>
      <c r="I401" s="211"/>
      <c r="J401" s="212">
        <v>2178</v>
      </c>
      <c r="K401" s="223">
        <f>VLOOKUP(H401,名称!A:C,2,0)</f>
        <v>0</v>
      </c>
      <c r="L401" s="212">
        <f>J401*K401</f>
        <v>0</v>
      </c>
      <c r="M401" s="211">
        <f>VLOOKUP(H401,名称!A:E,3,0)</f>
        <v>18</v>
      </c>
      <c r="N401" s="212">
        <f t="shared" si="65"/>
        <v>121</v>
      </c>
      <c r="O401" s="208">
        <v>46178</v>
      </c>
      <c r="P401" s="208">
        <v>46178</v>
      </c>
      <c r="Q401" s="208">
        <v>46174</v>
      </c>
      <c r="R401" s="211" t="s">
        <v>1241</v>
      </c>
      <c r="S401" s="208" t="s">
        <v>1133</v>
      </c>
      <c r="T401" s="211" t="s">
        <v>1133</v>
      </c>
      <c r="U401" s="211"/>
      <c r="V401" s="211"/>
      <c r="W401" s="208"/>
      <c r="X401" s="220" t="s">
        <v>1332</v>
      </c>
      <c r="Y401" s="211" t="s">
        <v>1228</v>
      </c>
      <c r="Z401" s="211" t="s">
        <v>1503</v>
      </c>
      <c r="AA401" s="213">
        <v>46108</v>
      </c>
      <c r="AB401" s="213">
        <v>46108</v>
      </c>
      <c r="AC401" s="211" t="s">
        <v>1133</v>
      </c>
      <c r="AD401" s="211" t="s">
        <v>1133</v>
      </c>
      <c r="AE401" s="211" t="s">
        <v>510</v>
      </c>
      <c r="AF401" s="211" t="s">
        <v>1228</v>
      </c>
      <c r="AG401" s="211" t="s">
        <v>510</v>
      </c>
      <c r="AH401" s="211" t="s">
        <v>1133</v>
      </c>
      <c r="AI401" s="211" t="s">
        <v>1228</v>
      </c>
      <c r="AJ401" s="211" t="s">
        <v>1133</v>
      </c>
      <c r="AK401" s="211" t="s">
        <v>1228</v>
      </c>
      <c r="AL401" s="211"/>
      <c r="AM401" s="211" t="s">
        <v>1303</v>
      </c>
      <c r="AN401" s="212" t="s">
        <v>1504</v>
      </c>
      <c r="AO401" s="215">
        <v>1.06</v>
      </c>
      <c r="AP401" s="216">
        <f t="shared" si="68"/>
        <v>2308.68</v>
      </c>
      <c r="AQ401" s="216">
        <f t="shared" si="69"/>
        <v>17892.27</v>
      </c>
      <c r="AR401" s="269">
        <v>61370</v>
      </c>
      <c r="AS401" s="276">
        <v>46203</v>
      </c>
      <c r="AT401" s="208" t="s">
        <v>1220</v>
      </c>
      <c r="AU401" s="208"/>
      <c r="AV401" s="208"/>
      <c r="AW401" s="208" t="s">
        <v>1228</v>
      </c>
      <c r="AX401" s="208"/>
      <c r="AY401" s="208"/>
      <c r="AZ401" s="208"/>
      <c r="BA401" s="208"/>
      <c r="BB401" s="208" t="str">
        <f t="shared" si="70"/>
        <v>Target Corporation</v>
      </c>
      <c r="BC401" s="208" t="str">
        <f t="shared" si="71"/>
        <v>美国</v>
      </c>
    </row>
    <row r="402" s="194" customFormat="1" customHeight="1" spans="1:55">
      <c r="A402" s="208">
        <v>46099</v>
      </c>
      <c r="B402" s="208" t="str">
        <f ca="1" t="shared" si="61"/>
        <v/>
      </c>
      <c r="C402" s="211" t="str">
        <f>VLOOKUP(H402,名称!A:E,4,0)</f>
        <v>三代</v>
      </c>
      <c r="D402" s="210" t="s">
        <v>1257</v>
      </c>
      <c r="E402" s="210" t="s">
        <v>1258</v>
      </c>
      <c r="F402" s="211">
        <v>4400544530</v>
      </c>
      <c r="G402" s="211" t="s">
        <v>573</v>
      </c>
      <c r="H402" s="211" t="s">
        <v>117</v>
      </c>
      <c r="I402" s="211"/>
      <c r="J402" s="212">
        <v>1650</v>
      </c>
      <c r="K402" s="223">
        <f>VLOOKUP(H402,名称!A:C,2,0)</f>
        <v>50</v>
      </c>
      <c r="L402" s="212">
        <f>J402*K402</f>
        <v>82500</v>
      </c>
      <c r="M402" s="211">
        <f>VLOOKUP(H402,名称!A:E,3,0)</f>
        <v>2</v>
      </c>
      <c r="N402" s="212">
        <f t="shared" si="65"/>
        <v>825</v>
      </c>
      <c r="O402" s="208">
        <v>46202</v>
      </c>
      <c r="P402" s="256">
        <v>46202</v>
      </c>
      <c r="Q402" s="256">
        <v>46202</v>
      </c>
      <c r="R402" s="241" t="s">
        <v>1241</v>
      </c>
      <c r="S402" s="256">
        <v>46202</v>
      </c>
      <c r="T402" s="241" t="s">
        <v>1277</v>
      </c>
      <c r="U402" s="211"/>
      <c r="V402" s="211"/>
      <c r="W402" s="208"/>
      <c r="X402" s="211" t="s">
        <v>1133</v>
      </c>
      <c r="Y402" s="211" t="s">
        <v>1133</v>
      </c>
      <c r="Z402" s="213">
        <v>46163</v>
      </c>
      <c r="AA402" s="214">
        <v>46165</v>
      </c>
      <c r="AB402" s="213">
        <v>46170</v>
      </c>
      <c r="AC402" s="211" t="s">
        <v>1133</v>
      </c>
      <c r="AD402" s="211" t="s">
        <v>1133</v>
      </c>
      <c r="AE402" s="211" t="s">
        <v>334</v>
      </c>
      <c r="AF402" s="211" t="s">
        <v>1228</v>
      </c>
      <c r="AG402" s="211" t="s">
        <v>334</v>
      </c>
      <c r="AH402" s="211" t="s">
        <v>1133</v>
      </c>
      <c r="AI402" s="211" t="s">
        <v>1228</v>
      </c>
      <c r="AJ402" s="211" t="s">
        <v>1133</v>
      </c>
      <c r="AK402" s="211" t="s">
        <v>1356</v>
      </c>
      <c r="AL402" s="211"/>
      <c r="AM402" s="241" t="s">
        <v>1792</v>
      </c>
      <c r="AN402" s="277" t="s">
        <v>1261</v>
      </c>
      <c r="AO402" s="215">
        <v>9.28</v>
      </c>
      <c r="AP402" s="216">
        <f t="shared" si="68"/>
        <v>15312</v>
      </c>
      <c r="AQ402" s="216">
        <f t="shared" si="69"/>
        <v>118668</v>
      </c>
      <c r="AR402" s="269">
        <v>61371</v>
      </c>
      <c r="AS402" s="276">
        <v>46203</v>
      </c>
      <c r="AT402" s="208" t="s">
        <v>1310</v>
      </c>
      <c r="AU402" s="253"/>
      <c r="AV402" s="252">
        <f>AU402-J402</f>
        <v>-1650</v>
      </c>
      <c r="AW402" s="252"/>
      <c r="AX402" s="256"/>
      <c r="AY402" s="208"/>
      <c r="AZ402" s="208"/>
      <c r="BA402" s="208"/>
      <c r="BB402" s="208" t="str">
        <f t="shared" si="70"/>
        <v>Character Options</v>
      </c>
      <c r="BC402" s="208" t="str">
        <f t="shared" si="71"/>
        <v>英国</v>
      </c>
    </row>
    <row r="403" s="194" customFormat="1" customHeight="1" spans="1:55">
      <c r="A403" s="208">
        <v>46119</v>
      </c>
      <c r="B403" s="208" t="str">
        <f ca="1" t="shared" ref="B403:B466" si="75">IF(TODAY()-5&gt;=A403,IF(AB403="","异常",""),"")</f>
        <v/>
      </c>
      <c r="C403" s="211" t="str">
        <f>VLOOKUP(H403,名称!A:E,4,0)</f>
        <v>三代</v>
      </c>
      <c r="D403" s="210" t="s">
        <v>1311</v>
      </c>
      <c r="E403" s="210" t="s">
        <v>1224</v>
      </c>
      <c r="F403" s="211" t="s">
        <v>655</v>
      </c>
      <c r="G403" s="211" t="s">
        <v>656</v>
      </c>
      <c r="H403" s="211" t="s">
        <v>60</v>
      </c>
      <c r="I403" s="211"/>
      <c r="J403" s="212">
        <v>1068</v>
      </c>
      <c r="K403" s="223">
        <f>VLOOKUP(H403,名称!A:C,2,0)</f>
        <v>5</v>
      </c>
      <c r="L403" s="212">
        <f t="shared" ref="L403:L466" si="76">J403*K403</f>
        <v>5340</v>
      </c>
      <c r="M403" s="211">
        <f>VLOOKUP(H403,名称!A:E,3,0)</f>
        <v>12</v>
      </c>
      <c r="N403" s="212">
        <f t="shared" ref="N403:N428" si="77">J403/M403</f>
        <v>89</v>
      </c>
      <c r="O403" s="208">
        <v>46190</v>
      </c>
      <c r="P403" s="208">
        <f t="shared" si="74"/>
        <v>46190</v>
      </c>
      <c r="Q403" s="208">
        <v>46189</v>
      </c>
      <c r="R403" s="241" t="s">
        <v>1241</v>
      </c>
      <c r="S403" s="273" t="s">
        <v>1793</v>
      </c>
      <c r="T403" s="241" t="s">
        <v>1241</v>
      </c>
      <c r="U403" s="211"/>
      <c r="V403" s="211"/>
      <c r="W403" s="208"/>
      <c r="X403" s="211" t="s">
        <v>1133</v>
      </c>
      <c r="Y403" s="211" t="s">
        <v>1133</v>
      </c>
      <c r="Z403" s="213">
        <v>46119</v>
      </c>
      <c r="AA403" s="214">
        <v>46120</v>
      </c>
      <c r="AB403" s="213">
        <v>46121</v>
      </c>
      <c r="AC403" s="211" t="s">
        <v>1133</v>
      </c>
      <c r="AD403" s="211" t="s">
        <v>1133</v>
      </c>
      <c r="AE403" s="211" t="s">
        <v>253</v>
      </c>
      <c r="AF403" s="211" t="s">
        <v>1228</v>
      </c>
      <c r="AG403" s="211" t="s">
        <v>253</v>
      </c>
      <c r="AH403" s="211" t="s">
        <v>1133</v>
      </c>
      <c r="AI403" s="211" t="s">
        <v>1228</v>
      </c>
      <c r="AJ403" s="211" t="s">
        <v>1133</v>
      </c>
      <c r="AK403" s="211" t="s">
        <v>253</v>
      </c>
      <c r="AL403" s="211"/>
      <c r="AM403" s="211" t="s">
        <v>1303</v>
      </c>
      <c r="AN403" s="212" t="s">
        <v>1234</v>
      </c>
      <c r="AO403" s="215">
        <v>0.63</v>
      </c>
      <c r="AP403" s="216">
        <f t="shared" si="68"/>
        <v>672.84</v>
      </c>
      <c r="AQ403" s="216">
        <f t="shared" si="69"/>
        <v>5214.51</v>
      </c>
      <c r="AR403" s="269">
        <v>61372</v>
      </c>
      <c r="AS403" s="276">
        <v>46203</v>
      </c>
      <c r="AT403" s="208" t="s">
        <v>1220</v>
      </c>
      <c r="AU403" s="278">
        <v>1068</v>
      </c>
      <c r="AV403" s="252">
        <f t="shared" ref="AV403:AV428" si="78">AU403-J403</f>
        <v>0</v>
      </c>
      <c r="AW403" s="252"/>
      <c r="AX403" s="256" t="s">
        <v>1280</v>
      </c>
      <c r="AY403" s="208"/>
      <c r="AZ403" s="208"/>
      <c r="BA403" s="208"/>
      <c r="BB403" s="208" t="str">
        <f t="shared" ref="BB403:BB466" si="79">D403</f>
        <v>JAZWARES - WALMART CA</v>
      </c>
      <c r="BC403" s="208" t="str">
        <f t="shared" ref="BC403:BC449" si="80">E403</f>
        <v>美国</v>
      </c>
    </row>
    <row r="404" s="194" customFormat="1" customHeight="1" spans="1:55">
      <c r="A404" s="208">
        <v>46119</v>
      </c>
      <c r="B404" s="208" t="str">
        <f ca="1" t="shared" si="75"/>
        <v/>
      </c>
      <c r="C404" s="211" t="str">
        <f>VLOOKUP(H404,名称!A:E,4,0)</f>
        <v>三代</v>
      </c>
      <c r="D404" s="210" t="s">
        <v>1311</v>
      </c>
      <c r="E404" s="210" t="s">
        <v>1224</v>
      </c>
      <c r="F404" s="211" t="s">
        <v>655</v>
      </c>
      <c r="G404" s="211" t="s">
        <v>656</v>
      </c>
      <c r="H404" s="211" t="s">
        <v>60</v>
      </c>
      <c r="I404" s="211"/>
      <c r="J404" s="212">
        <v>732</v>
      </c>
      <c r="K404" s="223">
        <f>VLOOKUP(H404,名称!A:C,2,0)</f>
        <v>5</v>
      </c>
      <c r="L404" s="212">
        <f t="shared" si="76"/>
        <v>3660</v>
      </c>
      <c r="M404" s="211">
        <f>VLOOKUP(H404,名称!A:E,3,0)</f>
        <v>12</v>
      </c>
      <c r="N404" s="212">
        <f t="shared" si="77"/>
        <v>61</v>
      </c>
      <c r="O404" s="208">
        <v>46190</v>
      </c>
      <c r="P404" s="208">
        <f t="shared" si="74"/>
        <v>46190</v>
      </c>
      <c r="Q404" s="208">
        <v>46189</v>
      </c>
      <c r="R404" s="267" t="s">
        <v>1241</v>
      </c>
      <c r="S404" s="274" t="s">
        <v>1793</v>
      </c>
      <c r="T404" s="241" t="s">
        <v>1241</v>
      </c>
      <c r="U404" s="211"/>
      <c r="V404" s="211"/>
      <c r="W404" s="208"/>
      <c r="X404" s="211" t="s">
        <v>1133</v>
      </c>
      <c r="Y404" s="211" t="s">
        <v>1133</v>
      </c>
      <c r="Z404" s="213">
        <v>46119</v>
      </c>
      <c r="AA404" s="214">
        <v>46120</v>
      </c>
      <c r="AB404" s="213">
        <v>46121</v>
      </c>
      <c r="AC404" s="211" t="s">
        <v>1133</v>
      </c>
      <c r="AD404" s="211" t="s">
        <v>1133</v>
      </c>
      <c r="AE404" s="211" t="s">
        <v>253</v>
      </c>
      <c r="AF404" s="211" t="s">
        <v>1228</v>
      </c>
      <c r="AG404" s="211" t="s">
        <v>253</v>
      </c>
      <c r="AH404" s="211" t="s">
        <v>1133</v>
      </c>
      <c r="AI404" s="211" t="s">
        <v>1228</v>
      </c>
      <c r="AJ404" s="211" t="s">
        <v>1133</v>
      </c>
      <c r="AK404" s="211" t="s">
        <v>253</v>
      </c>
      <c r="AL404" s="211"/>
      <c r="AM404" s="211" t="s">
        <v>1303</v>
      </c>
      <c r="AN404" s="212" t="s">
        <v>1234</v>
      </c>
      <c r="AO404" s="215">
        <v>0.63</v>
      </c>
      <c r="AP404" s="216">
        <f t="shared" si="68"/>
        <v>461.16</v>
      </c>
      <c r="AQ404" s="216">
        <f t="shared" si="69"/>
        <v>3573.99</v>
      </c>
      <c r="AR404" s="269">
        <v>61372</v>
      </c>
      <c r="AS404" s="276">
        <v>46203</v>
      </c>
      <c r="AT404" s="208" t="s">
        <v>1220</v>
      </c>
      <c r="AU404" s="278">
        <v>732</v>
      </c>
      <c r="AV404" s="252">
        <f t="shared" si="78"/>
        <v>0</v>
      </c>
      <c r="AW404" s="252"/>
      <c r="AX404" s="256" t="s">
        <v>1280</v>
      </c>
      <c r="AY404" s="208"/>
      <c r="AZ404" s="208"/>
      <c r="BA404" s="208"/>
      <c r="BB404" s="208" t="str">
        <f t="shared" si="79"/>
        <v>JAZWARES - WALMART CA</v>
      </c>
      <c r="BC404" s="208" t="str">
        <f t="shared" si="80"/>
        <v>美国</v>
      </c>
    </row>
    <row r="405" s="194" customFormat="1" customHeight="1" spans="1:55">
      <c r="A405" s="208">
        <v>46093</v>
      </c>
      <c r="B405" s="208" t="str">
        <f ca="1" t="shared" si="75"/>
        <v/>
      </c>
      <c r="C405" s="211" t="str">
        <f>VLOOKUP(H405,名称!A:E,4,0)</f>
        <v>三代</v>
      </c>
      <c r="D405" s="210" t="s">
        <v>1300</v>
      </c>
      <c r="E405" s="210" t="s">
        <v>1224</v>
      </c>
      <c r="F405" s="211" t="s">
        <v>555</v>
      </c>
      <c r="G405" s="211" t="s">
        <v>556</v>
      </c>
      <c r="H405" s="211" t="s">
        <v>107</v>
      </c>
      <c r="I405" s="211"/>
      <c r="J405" s="212">
        <f>340+2660</f>
        <v>3000</v>
      </c>
      <c r="K405" s="223">
        <f>VLOOKUP(H405,名称!A:C,2,0)</f>
        <v>12</v>
      </c>
      <c r="L405" s="212">
        <f t="shared" si="76"/>
        <v>36000</v>
      </c>
      <c r="M405" s="211">
        <f>VLOOKUP(H405,名称!A:E,3,0)</f>
        <v>5</v>
      </c>
      <c r="N405" s="212">
        <f t="shared" si="77"/>
        <v>600</v>
      </c>
      <c r="O405" s="208">
        <v>46190</v>
      </c>
      <c r="P405" s="208">
        <v>46190</v>
      </c>
      <c r="Q405" s="208">
        <v>46189</v>
      </c>
      <c r="R405" s="241" t="s">
        <v>1241</v>
      </c>
      <c r="S405" s="273" t="s">
        <v>1793</v>
      </c>
      <c r="T405" s="241" t="s">
        <v>1241</v>
      </c>
      <c r="U405" s="211"/>
      <c r="V405" s="211"/>
      <c r="W405" s="208"/>
      <c r="X405" s="211" t="s">
        <v>1133</v>
      </c>
      <c r="Y405" s="211" t="s">
        <v>1133</v>
      </c>
      <c r="Z405" s="213">
        <v>46113</v>
      </c>
      <c r="AA405" s="214">
        <v>46120</v>
      </c>
      <c r="AB405" s="214">
        <v>46121</v>
      </c>
      <c r="AC405" s="211" t="s">
        <v>1302</v>
      </c>
      <c r="AD405" s="211" t="s">
        <v>1228</v>
      </c>
      <c r="AE405" s="211" t="s">
        <v>253</v>
      </c>
      <c r="AF405" s="211" t="s">
        <v>1228</v>
      </c>
      <c r="AG405" s="211" t="s">
        <v>253</v>
      </c>
      <c r="AH405" s="211" t="s">
        <v>253</v>
      </c>
      <c r="AI405" s="211" t="s">
        <v>1228</v>
      </c>
      <c r="AJ405" s="211" t="s">
        <v>253</v>
      </c>
      <c r="AK405" s="211" t="s">
        <v>1133</v>
      </c>
      <c r="AL405" s="211"/>
      <c r="AM405" s="211" t="s">
        <v>1303</v>
      </c>
      <c r="AN405" s="212" t="s">
        <v>1231</v>
      </c>
      <c r="AO405" s="215">
        <v>2.19</v>
      </c>
      <c r="AP405" s="216">
        <f t="shared" si="68"/>
        <v>6570</v>
      </c>
      <c r="AQ405" s="216">
        <f t="shared" si="69"/>
        <v>50917.5</v>
      </c>
      <c r="AR405" s="269">
        <v>61373</v>
      </c>
      <c r="AS405" s="276">
        <v>46203</v>
      </c>
      <c r="AT405" s="208" t="s">
        <v>1220</v>
      </c>
      <c r="AU405" s="251">
        <v>3000</v>
      </c>
      <c r="AV405" s="252">
        <f t="shared" si="78"/>
        <v>0</v>
      </c>
      <c r="AW405" s="252"/>
      <c r="AX405" s="256" t="s">
        <v>1280</v>
      </c>
      <c r="AY405" s="208"/>
      <c r="AZ405" s="208"/>
      <c r="BA405" s="208"/>
      <c r="BB405" s="208" t="str">
        <f t="shared" si="79"/>
        <v>JAZWARES - WALMART CANADA (IMPORT)</v>
      </c>
      <c r="BC405" s="208" t="str">
        <f t="shared" si="80"/>
        <v>美国</v>
      </c>
    </row>
    <row r="406" s="194" customFormat="1" customHeight="1" spans="1:55">
      <c r="A406" s="208">
        <v>46120</v>
      </c>
      <c r="B406" s="208" t="str">
        <f ca="1" t="shared" si="75"/>
        <v/>
      </c>
      <c r="C406" s="211" t="str">
        <f>VLOOKUP(H406,名称!A:E,4,0)</f>
        <v>三代</v>
      </c>
      <c r="D406" s="210" t="s">
        <v>1311</v>
      </c>
      <c r="E406" s="210" t="s">
        <v>1224</v>
      </c>
      <c r="F406" s="211" t="s">
        <v>681</v>
      </c>
      <c r="G406" s="211" t="s">
        <v>682</v>
      </c>
      <c r="H406" s="211" t="s">
        <v>102</v>
      </c>
      <c r="I406" s="211"/>
      <c r="J406" s="212">
        <v>600</v>
      </c>
      <c r="K406" s="223">
        <f>VLOOKUP(H406,名称!A:C,2,0)</f>
        <v>5</v>
      </c>
      <c r="L406" s="212">
        <f t="shared" si="76"/>
        <v>3000</v>
      </c>
      <c r="M406" s="211">
        <f>VLOOKUP(H406,名称!A:E,3,0)</f>
        <v>12</v>
      </c>
      <c r="N406" s="212">
        <f t="shared" si="77"/>
        <v>50</v>
      </c>
      <c r="O406" s="208">
        <v>46190</v>
      </c>
      <c r="P406" s="208">
        <f>O406</f>
        <v>46190</v>
      </c>
      <c r="Q406" s="208">
        <v>46189</v>
      </c>
      <c r="R406" s="241" t="s">
        <v>1241</v>
      </c>
      <c r="S406" s="208" t="s">
        <v>1793</v>
      </c>
      <c r="T406" s="241" t="s">
        <v>1241</v>
      </c>
      <c r="U406" s="211"/>
      <c r="V406" s="211"/>
      <c r="W406" s="208"/>
      <c r="X406" s="211" t="s">
        <v>1133</v>
      </c>
      <c r="Y406" s="211" t="s">
        <v>1133</v>
      </c>
      <c r="Z406" s="213">
        <v>46119</v>
      </c>
      <c r="AA406" s="214">
        <v>46120</v>
      </c>
      <c r="AB406" s="213">
        <v>46121</v>
      </c>
      <c r="AC406" s="211" t="s">
        <v>1133</v>
      </c>
      <c r="AD406" s="211" t="s">
        <v>1133</v>
      </c>
      <c r="AE406" s="211" t="s">
        <v>253</v>
      </c>
      <c r="AF406" s="211" t="s">
        <v>1228</v>
      </c>
      <c r="AG406" s="211" t="s">
        <v>253</v>
      </c>
      <c r="AH406" s="211" t="s">
        <v>1133</v>
      </c>
      <c r="AI406" s="211" t="s">
        <v>1228</v>
      </c>
      <c r="AJ406" s="211" t="s">
        <v>1133</v>
      </c>
      <c r="AK406" s="211" t="s">
        <v>253</v>
      </c>
      <c r="AL406" s="211"/>
      <c r="AM406" s="211" t="s">
        <v>1303</v>
      </c>
      <c r="AN406" s="212" t="s">
        <v>1234</v>
      </c>
      <c r="AO406" s="215">
        <v>0.64</v>
      </c>
      <c r="AP406" s="216">
        <f t="shared" si="68"/>
        <v>384</v>
      </c>
      <c r="AQ406" s="216">
        <f t="shared" si="69"/>
        <v>2976</v>
      </c>
      <c r="AR406" s="269">
        <v>61374</v>
      </c>
      <c r="AS406" s="276">
        <v>46203</v>
      </c>
      <c r="AT406" s="208" t="s">
        <v>1220</v>
      </c>
      <c r="AU406" s="253">
        <v>600</v>
      </c>
      <c r="AV406" s="252">
        <f t="shared" si="78"/>
        <v>0</v>
      </c>
      <c r="AW406" s="252"/>
      <c r="AX406" s="256" t="s">
        <v>1280</v>
      </c>
      <c r="AY406" s="208"/>
      <c r="AZ406" s="208"/>
      <c r="BA406" s="208"/>
      <c r="BB406" s="208" t="str">
        <f t="shared" si="79"/>
        <v>JAZWARES - WALMART CA</v>
      </c>
      <c r="BC406" s="208" t="str">
        <f t="shared" si="80"/>
        <v>美国</v>
      </c>
    </row>
    <row r="407" s="194" customFormat="1" customHeight="1" spans="1:55">
      <c r="A407" s="208">
        <v>46115</v>
      </c>
      <c r="B407" s="208" t="str">
        <f ca="1" t="shared" si="75"/>
        <v/>
      </c>
      <c r="C407" s="211" t="str">
        <f>VLOOKUP(H407,名称!A:E,4,0)</f>
        <v>三代</v>
      </c>
      <c r="D407" s="210" t="s">
        <v>1311</v>
      </c>
      <c r="E407" s="210" t="s">
        <v>1224</v>
      </c>
      <c r="F407" s="211" t="s">
        <v>632</v>
      </c>
      <c r="G407" s="211" t="s">
        <v>633</v>
      </c>
      <c r="H407" s="211" t="s">
        <v>83</v>
      </c>
      <c r="I407" s="211"/>
      <c r="J407" s="212">
        <v>348</v>
      </c>
      <c r="K407" s="223">
        <f>VLOOKUP(H407,名称!A:C,2,0)</f>
        <v>5</v>
      </c>
      <c r="L407" s="212">
        <f t="shared" si="76"/>
        <v>1740</v>
      </c>
      <c r="M407" s="211">
        <f>VLOOKUP(H407,名称!A:E,3,0)</f>
        <v>12</v>
      </c>
      <c r="N407" s="212">
        <f t="shared" si="77"/>
        <v>29</v>
      </c>
      <c r="O407" s="208">
        <v>46190</v>
      </c>
      <c r="P407" s="256">
        <f>O407</f>
        <v>46190</v>
      </c>
      <c r="Q407" s="256">
        <v>46189</v>
      </c>
      <c r="R407" s="241" t="s">
        <v>1425</v>
      </c>
      <c r="S407" s="274" t="s">
        <v>1793</v>
      </c>
      <c r="T407" s="241" t="s">
        <v>1241</v>
      </c>
      <c r="U407" s="211"/>
      <c r="V407" s="211"/>
      <c r="W407" s="208"/>
      <c r="X407" s="211" t="s">
        <v>1133</v>
      </c>
      <c r="Y407" s="211" t="s">
        <v>1133</v>
      </c>
      <c r="Z407" s="213">
        <v>46119</v>
      </c>
      <c r="AA407" s="214">
        <v>46120</v>
      </c>
      <c r="AB407" s="213">
        <v>46123</v>
      </c>
      <c r="AC407" s="211" t="s">
        <v>1133</v>
      </c>
      <c r="AD407" s="211" t="s">
        <v>1133</v>
      </c>
      <c r="AE407" s="211" t="s">
        <v>253</v>
      </c>
      <c r="AF407" s="211" t="s">
        <v>1228</v>
      </c>
      <c r="AG407" s="211" t="s">
        <v>253</v>
      </c>
      <c r="AH407" s="211" t="s">
        <v>1133</v>
      </c>
      <c r="AI407" s="211" t="s">
        <v>1228</v>
      </c>
      <c r="AJ407" s="211" t="s">
        <v>1133</v>
      </c>
      <c r="AK407" s="211" t="s">
        <v>253</v>
      </c>
      <c r="AL407" s="211"/>
      <c r="AM407" s="211" t="s">
        <v>1303</v>
      </c>
      <c r="AN407" s="212" t="s">
        <v>1475</v>
      </c>
      <c r="AO407" s="215">
        <v>0.94</v>
      </c>
      <c r="AP407" s="216">
        <f t="shared" si="68"/>
        <v>327.12</v>
      </c>
      <c r="AQ407" s="216">
        <f t="shared" si="69"/>
        <v>2535.18</v>
      </c>
      <c r="AR407" s="269">
        <v>61375</v>
      </c>
      <c r="AS407" s="276">
        <v>46203</v>
      </c>
      <c r="AT407" s="208" t="s">
        <v>1310</v>
      </c>
      <c r="AU407" s="253">
        <v>348</v>
      </c>
      <c r="AV407" s="252">
        <f t="shared" si="78"/>
        <v>0</v>
      </c>
      <c r="AW407" s="252"/>
      <c r="AX407" s="256"/>
      <c r="AY407" s="208"/>
      <c r="AZ407" s="208"/>
      <c r="BA407" s="208"/>
      <c r="BB407" s="208" t="str">
        <f t="shared" si="79"/>
        <v>JAZWARES - WALMART CA</v>
      </c>
      <c r="BC407" s="208" t="str">
        <f t="shared" si="80"/>
        <v>美国</v>
      </c>
    </row>
    <row r="408" s="194" customFormat="1" customHeight="1" spans="1:55">
      <c r="A408" s="208">
        <v>46121</v>
      </c>
      <c r="B408" s="208" t="str">
        <f ca="1" t="shared" si="75"/>
        <v/>
      </c>
      <c r="C408" s="211" t="str">
        <f>VLOOKUP(H408,名称!A:E,4,0)</f>
        <v>三代</v>
      </c>
      <c r="D408" s="210" t="s">
        <v>1257</v>
      </c>
      <c r="E408" s="210" t="s">
        <v>1258</v>
      </c>
      <c r="F408" s="211" t="s">
        <v>699</v>
      </c>
      <c r="G408" s="211" t="s">
        <v>700</v>
      </c>
      <c r="H408" s="211" t="s">
        <v>89</v>
      </c>
      <c r="I408" s="211"/>
      <c r="J408" s="212">
        <v>12000</v>
      </c>
      <c r="K408" s="223">
        <f>VLOOKUP(H408,名称!A:C,2,0)</f>
        <v>12</v>
      </c>
      <c r="L408" s="212">
        <f t="shared" si="76"/>
        <v>144000</v>
      </c>
      <c r="M408" s="211">
        <f>VLOOKUP(H408,名称!A:E,3,0)</f>
        <v>6</v>
      </c>
      <c r="N408" s="212">
        <f t="shared" si="77"/>
        <v>2000</v>
      </c>
      <c r="O408" s="208">
        <v>46157</v>
      </c>
      <c r="P408" s="208">
        <v>46196</v>
      </c>
      <c r="Q408" s="208">
        <v>46204</v>
      </c>
      <c r="R408" s="241" t="s">
        <v>1241</v>
      </c>
      <c r="S408" s="208">
        <v>46204</v>
      </c>
      <c r="T408" s="241" t="s">
        <v>1241</v>
      </c>
      <c r="U408" s="211"/>
      <c r="V408" s="211"/>
      <c r="W408" s="208"/>
      <c r="X408" s="211" t="s">
        <v>1133</v>
      </c>
      <c r="Y408" s="211" t="s">
        <v>1133</v>
      </c>
      <c r="Z408" s="263">
        <v>46125</v>
      </c>
      <c r="AA408" s="214">
        <v>46129</v>
      </c>
      <c r="AB408" s="213">
        <v>46140</v>
      </c>
      <c r="AC408" s="211" t="s">
        <v>1318</v>
      </c>
      <c r="AD408" s="211" t="s">
        <v>1228</v>
      </c>
      <c r="AE408" s="211" t="s">
        <v>334</v>
      </c>
      <c r="AF408" s="211" t="s">
        <v>1228</v>
      </c>
      <c r="AG408" s="211" t="s">
        <v>334</v>
      </c>
      <c r="AH408" s="211" t="s">
        <v>1361</v>
      </c>
      <c r="AI408" s="211" t="s">
        <v>1228</v>
      </c>
      <c r="AJ408" s="211" t="s">
        <v>1422</v>
      </c>
      <c r="AK408" s="211" t="s">
        <v>1133</v>
      </c>
      <c r="AL408" s="211"/>
      <c r="AM408" s="257" t="s">
        <v>1794</v>
      </c>
      <c r="AN408" s="212"/>
      <c r="AO408" s="215">
        <v>1.83</v>
      </c>
      <c r="AP408" s="216">
        <f t="shared" si="68"/>
        <v>21960</v>
      </c>
      <c r="AQ408" s="216">
        <f t="shared" si="69"/>
        <v>170190</v>
      </c>
      <c r="AR408" s="269">
        <v>61376</v>
      </c>
      <c r="AS408" s="255">
        <v>46206</v>
      </c>
      <c r="AT408" s="208" t="s">
        <v>1310</v>
      </c>
      <c r="AU408" s="253"/>
      <c r="AV408" s="252">
        <f t="shared" si="78"/>
        <v>-12000</v>
      </c>
      <c r="AW408" s="252"/>
      <c r="AX408" s="256"/>
      <c r="AY408" s="208"/>
      <c r="AZ408" s="208"/>
      <c r="BA408" s="208"/>
      <c r="BB408" s="208" t="str">
        <f t="shared" si="79"/>
        <v>Character Options</v>
      </c>
      <c r="BC408" s="208" t="str">
        <f t="shared" si="80"/>
        <v>英国</v>
      </c>
    </row>
    <row r="409" s="194" customFormat="1" customHeight="1" spans="1:55">
      <c r="A409" s="208">
        <v>46121</v>
      </c>
      <c r="B409" s="208" t="str">
        <f ca="1" t="shared" si="75"/>
        <v/>
      </c>
      <c r="C409" s="211" t="str">
        <f>VLOOKUP(H409,名称!A:E,4,0)</f>
        <v>三代</v>
      </c>
      <c r="D409" s="210" t="s">
        <v>1257</v>
      </c>
      <c r="E409" s="210" t="s">
        <v>1258</v>
      </c>
      <c r="F409" s="211" t="s">
        <v>699</v>
      </c>
      <c r="G409" s="211" t="s">
        <v>700</v>
      </c>
      <c r="H409" s="211" t="s">
        <v>90</v>
      </c>
      <c r="I409" s="211"/>
      <c r="J409" s="212">
        <v>12000</v>
      </c>
      <c r="K409" s="223">
        <f>VLOOKUP(H409,名称!A:C,2,0)</f>
        <v>12</v>
      </c>
      <c r="L409" s="212">
        <f t="shared" si="76"/>
        <v>144000</v>
      </c>
      <c r="M409" s="211">
        <f>VLOOKUP(H409,名称!A:E,3,0)</f>
        <v>6</v>
      </c>
      <c r="N409" s="212">
        <f t="shared" si="77"/>
        <v>2000</v>
      </c>
      <c r="O409" s="208">
        <v>46157</v>
      </c>
      <c r="P409" s="208">
        <v>46190</v>
      </c>
      <c r="Q409" s="208">
        <v>46199</v>
      </c>
      <c r="R409" s="241" t="s">
        <v>1241</v>
      </c>
      <c r="S409" s="208">
        <v>46199</v>
      </c>
      <c r="T409" s="241" t="s">
        <v>1241</v>
      </c>
      <c r="U409" s="211"/>
      <c r="V409" s="211"/>
      <c r="W409" s="208"/>
      <c r="X409" s="211" t="s">
        <v>1133</v>
      </c>
      <c r="Y409" s="211" t="s">
        <v>1133</v>
      </c>
      <c r="Z409" s="263">
        <v>46125</v>
      </c>
      <c r="AA409" s="214">
        <v>46129</v>
      </c>
      <c r="AB409" s="213">
        <v>46140</v>
      </c>
      <c r="AC409" s="211" t="s">
        <v>1302</v>
      </c>
      <c r="AD409" s="211" t="s">
        <v>1228</v>
      </c>
      <c r="AE409" s="211" t="s">
        <v>334</v>
      </c>
      <c r="AF409" s="211" t="s">
        <v>1228</v>
      </c>
      <c r="AG409" s="211" t="s">
        <v>334</v>
      </c>
      <c r="AH409" s="211" t="s">
        <v>1361</v>
      </c>
      <c r="AI409" s="211" t="s">
        <v>1228</v>
      </c>
      <c r="AJ409" s="211" t="s">
        <v>1133</v>
      </c>
      <c r="AK409" s="211" t="s">
        <v>1133</v>
      </c>
      <c r="AL409" s="211"/>
      <c r="AM409" s="257" t="s">
        <v>1795</v>
      </c>
      <c r="AN409" s="212"/>
      <c r="AO409" s="215">
        <v>1.56</v>
      </c>
      <c r="AP409" s="216">
        <f t="shared" si="68"/>
        <v>18720</v>
      </c>
      <c r="AQ409" s="216">
        <f t="shared" si="69"/>
        <v>145080</v>
      </c>
      <c r="AR409" s="269">
        <v>61376</v>
      </c>
      <c r="AS409" s="255">
        <v>46206</v>
      </c>
      <c r="AT409" s="208" t="s">
        <v>1220</v>
      </c>
      <c r="AU409" s="253"/>
      <c r="AV409" s="252">
        <f t="shared" si="78"/>
        <v>-12000</v>
      </c>
      <c r="AW409" s="252"/>
      <c r="AX409" s="256"/>
      <c r="AY409" s="208"/>
      <c r="AZ409" s="208"/>
      <c r="BA409" s="208"/>
      <c r="BB409" s="208" t="str">
        <f t="shared" si="79"/>
        <v>Character Options</v>
      </c>
      <c r="BC409" s="208" t="str">
        <f t="shared" si="80"/>
        <v>英国</v>
      </c>
    </row>
    <row r="410" s="194" customFormat="1" customHeight="1" spans="1:55">
      <c r="A410" s="208">
        <v>46121</v>
      </c>
      <c r="B410" s="208" t="str">
        <f ca="1" t="shared" si="75"/>
        <v/>
      </c>
      <c r="C410" s="211" t="str">
        <f>VLOOKUP(H410,名称!A:E,4,0)</f>
        <v>三代</v>
      </c>
      <c r="D410" s="210" t="s">
        <v>1257</v>
      </c>
      <c r="E410" s="210" t="s">
        <v>1258</v>
      </c>
      <c r="F410" s="211" t="s">
        <v>701</v>
      </c>
      <c r="G410" s="211" t="s">
        <v>702</v>
      </c>
      <c r="H410" s="211" t="s">
        <v>114</v>
      </c>
      <c r="I410" s="211"/>
      <c r="J410" s="212">
        <v>1296</v>
      </c>
      <c r="K410" s="223">
        <f>VLOOKUP(H410,名称!A:C,2,0)</f>
        <v>0</v>
      </c>
      <c r="L410" s="212">
        <f t="shared" si="76"/>
        <v>0</v>
      </c>
      <c r="M410" s="211">
        <f>VLOOKUP(H410,名称!A:E,3,0)</f>
        <v>9</v>
      </c>
      <c r="N410" s="212">
        <f t="shared" si="77"/>
        <v>144</v>
      </c>
      <c r="O410" s="208">
        <v>46197</v>
      </c>
      <c r="P410" s="208">
        <f>O410</f>
        <v>46197</v>
      </c>
      <c r="Q410" s="273">
        <v>46202</v>
      </c>
      <c r="R410" s="241" t="s">
        <v>1425</v>
      </c>
      <c r="S410" s="208">
        <v>46203</v>
      </c>
      <c r="T410" s="241" t="s">
        <v>1241</v>
      </c>
      <c r="U410" s="211"/>
      <c r="V410" s="211"/>
      <c r="W410" s="208"/>
      <c r="X410" s="211" t="s">
        <v>1133</v>
      </c>
      <c r="Y410" s="211" t="s">
        <v>1133</v>
      </c>
      <c r="Z410" s="263">
        <v>46125</v>
      </c>
      <c r="AA410" s="214">
        <v>46129</v>
      </c>
      <c r="AB410" s="213">
        <v>46140</v>
      </c>
      <c r="AC410" s="211" t="s">
        <v>1133</v>
      </c>
      <c r="AD410" s="211" t="s">
        <v>1133</v>
      </c>
      <c r="AE410" s="211" t="s">
        <v>334</v>
      </c>
      <c r="AF410" s="211" t="s">
        <v>1228</v>
      </c>
      <c r="AG410" s="211" t="s">
        <v>334</v>
      </c>
      <c r="AH410" s="211" t="s">
        <v>1133</v>
      </c>
      <c r="AI410" s="211" t="s">
        <v>1228</v>
      </c>
      <c r="AJ410" s="211" t="s">
        <v>1133</v>
      </c>
      <c r="AK410" s="211" t="s">
        <v>334</v>
      </c>
      <c r="AL410" s="211" t="s">
        <v>1233</v>
      </c>
      <c r="AM410" s="257" t="s">
        <v>1796</v>
      </c>
      <c r="AN410" s="212"/>
      <c r="AO410" s="215">
        <v>0.59</v>
      </c>
      <c r="AP410" s="216">
        <f t="shared" si="68"/>
        <v>764.64</v>
      </c>
      <c r="AQ410" s="216">
        <f t="shared" si="69"/>
        <v>5925.96</v>
      </c>
      <c r="AR410" s="269">
        <v>61377</v>
      </c>
      <c r="AS410" s="255">
        <v>46206</v>
      </c>
      <c r="AT410" s="208" t="s">
        <v>1220</v>
      </c>
      <c r="AU410" s="253"/>
      <c r="AV410" s="252">
        <f t="shared" si="78"/>
        <v>-1296</v>
      </c>
      <c r="AW410" s="252"/>
      <c r="AX410" s="256"/>
      <c r="AY410" s="208"/>
      <c r="AZ410" s="208"/>
      <c r="BA410" s="208"/>
      <c r="BB410" s="208" t="str">
        <f t="shared" si="79"/>
        <v>Character Options</v>
      </c>
      <c r="BC410" s="208" t="str">
        <f t="shared" si="80"/>
        <v>英国</v>
      </c>
    </row>
    <row r="411" s="194" customFormat="1" customHeight="1" spans="1:55">
      <c r="A411" s="208">
        <v>46121</v>
      </c>
      <c r="B411" s="208" t="str">
        <f ca="1" t="shared" si="75"/>
        <v/>
      </c>
      <c r="C411" s="211" t="str">
        <f>VLOOKUP(H411,名称!A:E,4,0)</f>
        <v>三代</v>
      </c>
      <c r="D411" s="210" t="s">
        <v>1257</v>
      </c>
      <c r="E411" s="210" t="s">
        <v>1258</v>
      </c>
      <c r="F411" s="211" t="s">
        <v>701</v>
      </c>
      <c r="G411" s="211" t="s">
        <v>702</v>
      </c>
      <c r="H411" s="211" t="s">
        <v>99</v>
      </c>
      <c r="I411" s="211"/>
      <c r="J411" s="212">
        <v>12000</v>
      </c>
      <c r="K411" s="223">
        <f>VLOOKUP(H411,名称!A:C,2,0)</f>
        <v>7</v>
      </c>
      <c r="L411" s="212">
        <f t="shared" si="76"/>
        <v>84000</v>
      </c>
      <c r="M411" s="211">
        <f>VLOOKUP(H411,名称!A:E,3,0)</f>
        <v>24</v>
      </c>
      <c r="N411" s="212">
        <f t="shared" si="77"/>
        <v>500</v>
      </c>
      <c r="O411" s="208">
        <v>46197</v>
      </c>
      <c r="P411" s="208">
        <f>O411</f>
        <v>46197</v>
      </c>
      <c r="Q411" s="208">
        <v>46197</v>
      </c>
      <c r="R411" s="241" t="s">
        <v>1241</v>
      </c>
      <c r="S411" s="208">
        <v>46199</v>
      </c>
      <c r="T411" s="241" t="s">
        <v>1241</v>
      </c>
      <c r="U411" s="211"/>
      <c r="V411" s="211"/>
      <c r="W411" s="208"/>
      <c r="X411" s="211" t="s">
        <v>1133</v>
      </c>
      <c r="Y411" s="211" t="s">
        <v>1133</v>
      </c>
      <c r="Z411" s="263">
        <v>46125</v>
      </c>
      <c r="AA411" s="214">
        <v>46129</v>
      </c>
      <c r="AB411" s="213">
        <v>46140</v>
      </c>
      <c r="AC411" s="211" t="s">
        <v>1318</v>
      </c>
      <c r="AD411" s="211" t="s">
        <v>1228</v>
      </c>
      <c r="AE411" s="211" t="s">
        <v>334</v>
      </c>
      <c r="AF411" s="211" t="s">
        <v>1228</v>
      </c>
      <c r="AG411" s="211" t="s">
        <v>812</v>
      </c>
      <c r="AH411" s="211" t="s">
        <v>1361</v>
      </c>
      <c r="AI411" s="211" t="s">
        <v>1228</v>
      </c>
      <c r="AJ411" s="211" t="s">
        <v>1133</v>
      </c>
      <c r="AK411" s="211" t="s">
        <v>1133</v>
      </c>
      <c r="AL411" s="211" t="s">
        <v>1228</v>
      </c>
      <c r="AM411" s="257" t="s">
        <v>1797</v>
      </c>
      <c r="AN411" s="212"/>
      <c r="AO411" s="215">
        <v>0.87</v>
      </c>
      <c r="AP411" s="216">
        <f t="shared" si="68"/>
        <v>10440</v>
      </c>
      <c r="AQ411" s="216">
        <f t="shared" si="69"/>
        <v>80910</v>
      </c>
      <c r="AR411" s="269">
        <v>61377</v>
      </c>
      <c r="AS411" s="255">
        <v>46206</v>
      </c>
      <c r="AT411" s="208" t="s">
        <v>1220</v>
      </c>
      <c r="AU411" s="253">
        <f>3360+8640</f>
        <v>12000</v>
      </c>
      <c r="AV411" s="252">
        <f t="shared" si="78"/>
        <v>0</v>
      </c>
      <c r="AW411" s="252"/>
      <c r="AX411" s="256" t="s">
        <v>1280</v>
      </c>
      <c r="AY411" s="208"/>
      <c r="AZ411" s="208"/>
      <c r="BA411" s="208"/>
      <c r="BB411" s="208" t="str">
        <f t="shared" si="79"/>
        <v>Character Options</v>
      </c>
      <c r="BC411" s="208" t="str">
        <f t="shared" si="80"/>
        <v>英国</v>
      </c>
    </row>
    <row r="412" s="194" customFormat="1" customHeight="1" spans="1:55">
      <c r="A412" s="208">
        <v>46121</v>
      </c>
      <c r="B412" s="208" t="str">
        <f ca="1" t="shared" si="75"/>
        <v/>
      </c>
      <c r="C412" s="211" t="str">
        <f>VLOOKUP(H412,名称!A:E,4,0)</f>
        <v>三代</v>
      </c>
      <c r="D412" s="210" t="s">
        <v>1257</v>
      </c>
      <c r="E412" s="210" t="s">
        <v>1258</v>
      </c>
      <c r="F412" s="211" t="s">
        <v>701</v>
      </c>
      <c r="G412" s="211" t="s">
        <v>702</v>
      </c>
      <c r="H412" s="211" t="s">
        <v>103</v>
      </c>
      <c r="I412" s="211"/>
      <c r="J412" s="212">
        <v>24003</v>
      </c>
      <c r="K412" s="223">
        <f>VLOOKUP(H412,名称!A:C,2,0)</f>
        <v>7</v>
      </c>
      <c r="L412" s="212">
        <f t="shared" si="76"/>
        <v>168021</v>
      </c>
      <c r="M412" s="211">
        <f>VLOOKUP(H412,名称!A:E,3,0)</f>
        <v>9</v>
      </c>
      <c r="N412" s="212">
        <f t="shared" si="77"/>
        <v>2667</v>
      </c>
      <c r="O412" s="208">
        <v>46197</v>
      </c>
      <c r="P412" s="208">
        <f>O412</f>
        <v>46197</v>
      </c>
      <c r="Q412" s="208">
        <v>46197</v>
      </c>
      <c r="R412" s="241" t="s">
        <v>1241</v>
      </c>
      <c r="S412" s="208">
        <v>46199</v>
      </c>
      <c r="T412" s="241" t="s">
        <v>1277</v>
      </c>
      <c r="U412" s="211"/>
      <c r="V412" s="211"/>
      <c r="W412" s="208"/>
      <c r="X412" s="211" t="s">
        <v>1133</v>
      </c>
      <c r="Y412" s="211" t="s">
        <v>1133</v>
      </c>
      <c r="Z412" s="263">
        <v>46125</v>
      </c>
      <c r="AA412" s="214">
        <v>46129</v>
      </c>
      <c r="AB412" s="213">
        <v>46140</v>
      </c>
      <c r="AC412" s="211" t="s">
        <v>1318</v>
      </c>
      <c r="AD412" s="211" t="s">
        <v>1228</v>
      </c>
      <c r="AE412" s="211" t="s">
        <v>334</v>
      </c>
      <c r="AF412" s="211" t="s">
        <v>1228</v>
      </c>
      <c r="AG412" s="211" t="s">
        <v>334</v>
      </c>
      <c r="AH412" s="211" t="s">
        <v>1361</v>
      </c>
      <c r="AI412" s="211" t="s">
        <v>1228</v>
      </c>
      <c r="AJ412" s="211" t="s">
        <v>1133</v>
      </c>
      <c r="AK412" s="211" t="s">
        <v>1133</v>
      </c>
      <c r="AL412" s="211" t="s">
        <v>1228</v>
      </c>
      <c r="AM412" s="257" t="s">
        <v>1797</v>
      </c>
      <c r="AN412" s="212"/>
      <c r="AO412" s="215">
        <v>0.85</v>
      </c>
      <c r="AP412" s="216">
        <f t="shared" si="68"/>
        <v>20402.55</v>
      </c>
      <c r="AQ412" s="216">
        <f t="shared" si="69"/>
        <v>158119.76</v>
      </c>
      <c r="AR412" s="269">
        <v>61377</v>
      </c>
      <c r="AS412" s="255">
        <v>46206</v>
      </c>
      <c r="AT412" s="208" t="s">
        <v>1220</v>
      </c>
      <c r="AU412" s="253">
        <v>24003</v>
      </c>
      <c r="AV412" s="252">
        <f t="shared" si="78"/>
        <v>0</v>
      </c>
      <c r="AW412" s="252"/>
      <c r="AX412" s="256" t="s">
        <v>1280</v>
      </c>
      <c r="AY412" s="208"/>
      <c r="AZ412" s="208"/>
      <c r="BA412" s="208"/>
      <c r="BB412" s="208" t="str">
        <f t="shared" si="79"/>
        <v>Character Options</v>
      </c>
      <c r="BC412" s="208" t="str">
        <f t="shared" si="80"/>
        <v>英国</v>
      </c>
    </row>
    <row r="413" s="194" customFormat="1" customHeight="1" spans="1:55">
      <c r="A413" s="208">
        <v>46121</v>
      </c>
      <c r="B413" s="208" t="str">
        <f ca="1" t="shared" si="75"/>
        <v/>
      </c>
      <c r="C413" s="211" t="str">
        <f>VLOOKUP(H413,名称!A:E,4,0)</f>
        <v>三代</v>
      </c>
      <c r="D413" s="210" t="s">
        <v>1257</v>
      </c>
      <c r="E413" s="210" t="s">
        <v>1258</v>
      </c>
      <c r="F413" s="211" t="s">
        <v>701</v>
      </c>
      <c r="G413" s="211" t="s">
        <v>702</v>
      </c>
      <c r="H413" s="211" t="s">
        <v>66</v>
      </c>
      <c r="I413" s="211"/>
      <c r="J413" s="212">
        <v>18000</v>
      </c>
      <c r="K413" s="223">
        <f>VLOOKUP(H413,名称!A:C,2,0)</f>
        <v>12</v>
      </c>
      <c r="L413" s="212">
        <f t="shared" si="76"/>
        <v>216000</v>
      </c>
      <c r="M413" s="211">
        <f>VLOOKUP(H413,名称!A:E,3,0)</f>
        <v>6</v>
      </c>
      <c r="N413" s="212">
        <f t="shared" si="77"/>
        <v>3000</v>
      </c>
      <c r="O413" s="208">
        <v>46197</v>
      </c>
      <c r="P413" s="208">
        <f>O413</f>
        <v>46197</v>
      </c>
      <c r="Q413" s="208">
        <v>46197</v>
      </c>
      <c r="R413" s="241" t="s">
        <v>1241</v>
      </c>
      <c r="S413" s="208">
        <v>46199</v>
      </c>
      <c r="T413" s="241" t="s">
        <v>1241</v>
      </c>
      <c r="U413" s="211"/>
      <c r="V413" s="211"/>
      <c r="W413" s="208"/>
      <c r="X413" s="211" t="s">
        <v>1133</v>
      </c>
      <c r="Y413" s="211" t="s">
        <v>1133</v>
      </c>
      <c r="Z413" s="263">
        <v>46125</v>
      </c>
      <c r="AA413" s="214">
        <v>46129</v>
      </c>
      <c r="AB413" s="213">
        <v>46140</v>
      </c>
      <c r="AC413" s="211" t="s">
        <v>1318</v>
      </c>
      <c r="AD413" s="211" t="s">
        <v>1228</v>
      </c>
      <c r="AE413" s="211" t="s">
        <v>334</v>
      </c>
      <c r="AF413" s="211" t="s">
        <v>1228</v>
      </c>
      <c r="AG413" s="211" t="s">
        <v>334</v>
      </c>
      <c r="AH413" s="211" t="s">
        <v>1361</v>
      </c>
      <c r="AI413" s="211" t="s">
        <v>1228</v>
      </c>
      <c r="AJ413" s="211" t="s">
        <v>1422</v>
      </c>
      <c r="AK413" s="211" t="s">
        <v>1133</v>
      </c>
      <c r="AL413" s="211"/>
      <c r="AM413" s="257" t="s">
        <v>1798</v>
      </c>
      <c r="AN413" s="212"/>
      <c r="AO413" s="215">
        <v>2.02</v>
      </c>
      <c r="AP413" s="216">
        <f t="shared" si="68"/>
        <v>36360</v>
      </c>
      <c r="AQ413" s="216">
        <f t="shared" si="69"/>
        <v>281790</v>
      </c>
      <c r="AR413" s="269">
        <v>61377</v>
      </c>
      <c r="AS413" s="255">
        <v>46206</v>
      </c>
      <c r="AT413" s="208" t="s">
        <v>1220</v>
      </c>
      <c r="AU413" s="253">
        <f>5544+900+4176+7380</f>
        <v>18000</v>
      </c>
      <c r="AV413" s="252">
        <f t="shared" si="78"/>
        <v>0</v>
      </c>
      <c r="AW413" s="252"/>
      <c r="AX413" s="256" t="s">
        <v>1280</v>
      </c>
      <c r="AY413" s="208"/>
      <c r="AZ413" s="208"/>
      <c r="BA413" s="208"/>
      <c r="BB413" s="208" t="str">
        <f t="shared" si="79"/>
        <v>Character Options</v>
      </c>
      <c r="BC413" s="208" t="str">
        <f t="shared" si="80"/>
        <v>英国</v>
      </c>
    </row>
    <row r="414" s="194" customFormat="1" customHeight="1" spans="1:55">
      <c r="A414" s="208">
        <v>46121</v>
      </c>
      <c r="B414" s="208" t="str">
        <f ca="1" t="shared" si="75"/>
        <v/>
      </c>
      <c r="C414" s="211" t="str">
        <f>VLOOKUP(H414,名称!A:E,4,0)</f>
        <v>三代</v>
      </c>
      <c r="D414" s="210" t="s">
        <v>1257</v>
      </c>
      <c r="E414" s="210" t="s">
        <v>1258</v>
      </c>
      <c r="F414" s="211" t="s">
        <v>701</v>
      </c>
      <c r="G414" s="211" t="s">
        <v>702</v>
      </c>
      <c r="H414" s="211" t="s">
        <v>89</v>
      </c>
      <c r="I414" s="211"/>
      <c r="J414" s="212">
        <v>12000</v>
      </c>
      <c r="K414" s="223">
        <f>VLOOKUP(H414,名称!A:C,2,0)</f>
        <v>12</v>
      </c>
      <c r="L414" s="212">
        <f t="shared" si="76"/>
        <v>144000</v>
      </c>
      <c r="M414" s="211">
        <f>VLOOKUP(H414,名称!A:E,3,0)</f>
        <v>6</v>
      </c>
      <c r="N414" s="212">
        <f t="shared" si="77"/>
        <v>2000</v>
      </c>
      <c r="O414" s="208">
        <v>46197</v>
      </c>
      <c r="P414" s="208">
        <v>46202</v>
      </c>
      <c r="Q414" s="273">
        <v>46204</v>
      </c>
      <c r="R414" s="241" t="s">
        <v>1241</v>
      </c>
      <c r="S414" s="273">
        <v>46204</v>
      </c>
      <c r="T414" s="241" t="s">
        <v>1277</v>
      </c>
      <c r="U414" s="211"/>
      <c r="V414" s="211"/>
      <c r="W414" s="208"/>
      <c r="X414" s="211" t="s">
        <v>1133</v>
      </c>
      <c r="Y414" s="211" t="s">
        <v>1133</v>
      </c>
      <c r="Z414" s="263">
        <v>46125</v>
      </c>
      <c r="AA414" s="214">
        <v>46129</v>
      </c>
      <c r="AB414" s="213">
        <v>46140</v>
      </c>
      <c r="AC414" s="211" t="s">
        <v>1318</v>
      </c>
      <c r="AD414" s="211" t="s">
        <v>1228</v>
      </c>
      <c r="AE414" s="211" t="s">
        <v>334</v>
      </c>
      <c r="AF414" s="211" t="s">
        <v>1228</v>
      </c>
      <c r="AG414" s="211" t="s">
        <v>334</v>
      </c>
      <c r="AH414" s="211" t="s">
        <v>1361</v>
      </c>
      <c r="AI414" s="211" t="s">
        <v>1228</v>
      </c>
      <c r="AJ414" s="211" t="s">
        <v>1422</v>
      </c>
      <c r="AK414" s="211" t="s">
        <v>1133</v>
      </c>
      <c r="AL414" s="211"/>
      <c r="AM414" s="257" t="s">
        <v>1799</v>
      </c>
      <c r="AN414" s="212"/>
      <c r="AO414" s="215">
        <v>1.83</v>
      </c>
      <c r="AP414" s="216">
        <f t="shared" si="68"/>
        <v>21960</v>
      </c>
      <c r="AQ414" s="216">
        <f t="shared" si="69"/>
        <v>170190</v>
      </c>
      <c r="AR414" s="269">
        <v>61377</v>
      </c>
      <c r="AS414" s="255">
        <v>46206</v>
      </c>
      <c r="AT414" s="208" t="s">
        <v>1310</v>
      </c>
      <c r="AU414" s="253"/>
      <c r="AV414" s="252">
        <f t="shared" si="78"/>
        <v>-12000</v>
      </c>
      <c r="AW414" s="252"/>
      <c r="AX414" s="256"/>
      <c r="AY414" s="208"/>
      <c r="AZ414" s="208"/>
      <c r="BA414" s="208"/>
      <c r="BB414" s="208" t="str">
        <f t="shared" si="79"/>
        <v>Character Options</v>
      </c>
      <c r="BC414" s="208" t="str">
        <f t="shared" si="80"/>
        <v>英国</v>
      </c>
    </row>
    <row r="415" s="194" customFormat="1" customHeight="1" spans="1:55">
      <c r="A415" s="208">
        <v>46113</v>
      </c>
      <c r="B415" s="208" t="str">
        <f ca="1" t="shared" si="75"/>
        <v/>
      </c>
      <c r="C415" s="211" t="str">
        <f>VLOOKUP(H415,名称!A:E,4,0)</f>
        <v>三代</v>
      </c>
      <c r="D415" s="210" t="s">
        <v>1257</v>
      </c>
      <c r="E415" s="210" t="s">
        <v>1258</v>
      </c>
      <c r="F415" s="211" t="s">
        <v>609</v>
      </c>
      <c r="G415" s="211" t="s">
        <v>610</v>
      </c>
      <c r="H415" s="211" t="s">
        <v>71</v>
      </c>
      <c r="I415" s="211"/>
      <c r="J415" s="212">
        <v>4812</v>
      </c>
      <c r="K415" s="223">
        <f>VLOOKUP(H415,名称!A:C,2,0)</f>
        <v>50</v>
      </c>
      <c r="L415" s="212">
        <f t="shared" si="76"/>
        <v>240600</v>
      </c>
      <c r="M415" s="211">
        <f>VLOOKUP(H415,名称!A:E,3,0)</f>
        <v>4</v>
      </c>
      <c r="N415" s="212">
        <f t="shared" si="77"/>
        <v>1203</v>
      </c>
      <c r="O415" s="208">
        <v>46216</v>
      </c>
      <c r="P415" s="256">
        <v>46184</v>
      </c>
      <c r="Q415" s="256">
        <v>46185</v>
      </c>
      <c r="R415" s="211" t="s">
        <v>1241</v>
      </c>
      <c r="S415" s="274">
        <v>46191</v>
      </c>
      <c r="T415" s="211" t="s">
        <v>1241</v>
      </c>
      <c r="U415" s="211"/>
      <c r="V415" s="211"/>
      <c r="W415" s="208"/>
      <c r="X415" s="211" t="s">
        <v>1133</v>
      </c>
      <c r="Y415" s="211" t="s">
        <v>1133</v>
      </c>
      <c r="Z415" s="213">
        <v>46133</v>
      </c>
      <c r="AA415" s="214">
        <v>46134</v>
      </c>
      <c r="AB415" s="213">
        <v>46148</v>
      </c>
      <c r="AC415" s="211" t="s">
        <v>1308</v>
      </c>
      <c r="AD415" s="211" t="s">
        <v>1228</v>
      </c>
      <c r="AE415" s="211" t="s">
        <v>1691</v>
      </c>
      <c r="AF415" s="213">
        <v>46139</v>
      </c>
      <c r="AG415" s="211" t="s">
        <v>334</v>
      </c>
      <c r="AH415" s="211" t="s">
        <v>1692</v>
      </c>
      <c r="AI415" s="211" t="s">
        <v>1228</v>
      </c>
      <c r="AJ415" s="211" t="s">
        <v>1422</v>
      </c>
      <c r="AK415" s="211" t="s">
        <v>1133</v>
      </c>
      <c r="AL415" s="211"/>
      <c r="AM415" s="211" t="s">
        <v>1800</v>
      </c>
      <c r="AN415" s="212"/>
      <c r="AO415" s="215">
        <v>7.34</v>
      </c>
      <c r="AP415" s="216">
        <f t="shared" si="68"/>
        <v>35320.08</v>
      </c>
      <c r="AQ415" s="216">
        <f t="shared" si="69"/>
        <v>273730.62</v>
      </c>
      <c r="AR415" s="224" t="s">
        <v>1801</v>
      </c>
      <c r="AS415" s="255">
        <v>46209</v>
      </c>
      <c r="AT415" s="208" t="s">
        <v>1220</v>
      </c>
      <c r="AU415" s="253"/>
      <c r="AV415" s="252">
        <f t="shared" si="78"/>
        <v>-4812</v>
      </c>
      <c r="AW415" s="252"/>
      <c r="AX415" s="256"/>
      <c r="AY415" s="208"/>
      <c r="AZ415" s="208"/>
      <c r="BA415" s="208"/>
      <c r="BB415" s="208" t="str">
        <f t="shared" si="79"/>
        <v>Character Options</v>
      </c>
      <c r="BC415" s="208" t="str">
        <f t="shared" si="80"/>
        <v>英国</v>
      </c>
    </row>
    <row r="416" s="194" customFormat="1" customHeight="1" spans="1:55">
      <c r="A416" s="208">
        <v>46094</v>
      </c>
      <c r="B416" s="208" t="str">
        <f ca="1" t="shared" si="75"/>
        <v/>
      </c>
      <c r="C416" s="211" t="str">
        <f>VLOOKUP(H416,名称!A:E,4,0)</f>
        <v>三代</v>
      </c>
      <c r="D416" s="210" t="s">
        <v>1802</v>
      </c>
      <c r="E416" s="279" t="s">
        <v>1726</v>
      </c>
      <c r="F416" s="211"/>
      <c r="G416" s="211" t="s">
        <v>568</v>
      </c>
      <c r="H416" s="211" t="s">
        <v>59</v>
      </c>
      <c r="I416" s="211"/>
      <c r="J416" s="212">
        <v>6000</v>
      </c>
      <c r="K416" s="223">
        <f>VLOOKUP(H416,名称!A:C,2,0)</f>
        <v>5</v>
      </c>
      <c r="L416" s="212">
        <f t="shared" si="76"/>
        <v>30000</v>
      </c>
      <c r="M416" s="211">
        <f>VLOOKUP(H416,名称!A:E,3,0)</f>
        <v>24</v>
      </c>
      <c r="N416" s="212">
        <f t="shared" si="77"/>
        <v>250</v>
      </c>
      <c r="O416" s="208">
        <v>46188</v>
      </c>
      <c r="P416" s="256">
        <v>46188</v>
      </c>
      <c r="Q416" s="256">
        <v>46204</v>
      </c>
      <c r="R416" s="241" t="s">
        <v>1241</v>
      </c>
      <c r="S416" s="256" t="s">
        <v>1133</v>
      </c>
      <c r="T416" s="211"/>
      <c r="U416" s="211"/>
      <c r="V416" s="211" t="s">
        <v>1803</v>
      </c>
      <c r="W416" s="208"/>
      <c r="X416" s="211" t="s">
        <v>1804</v>
      </c>
      <c r="Y416" s="213">
        <v>46178</v>
      </c>
      <c r="Z416" s="213">
        <v>46115</v>
      </c>
      <c r="AA416" s="214">
        <v>46123</v>
      </c>
      <c r="AB416" s="213">
        <v>46142</v>
      </c>
      <c r="AC416" s="211" t="s">
        <v>1133</v>
      </c>
      <c r="AD416" s="211" t="s">
        <v>1133</v>
      </c>
      <c r="AE416" s="211" t="s">
        <v>510</v>
      </c>
      <c r="AF416" s="211" t="s">
        <v>1228</v>
      </c>
      <c r="AG416" s="211" t="s">
        <v>510</v>
      </c>
      <c r="AH416" s="211" t="s">
        <v>1133</v>
      </c>
      <c r="AI416" s="211" t="s">
        <v>1228</v>
      </c>
      <c r="AJ416" s="211" t="s">
        <v>1133</v>
      </c>
      <c r="AK416" s="211" t="s">
        <v>510</v>
      </c>
      <c r="AL416" s="211"/>
      <c r="AM416" s="211" t="s">
        <v>1655</v>
      </c>
      <c r="AN416" s="212" t="s">
        <v>1805</v>
      </c>
      <c r="AO416" s="215">
        <v>0.61</v>
      </c>
      <c r="AP416" s="216">
        <f t="shared" si="68"/>
        <v>3660</v>
      </c>
      <c r="AQ416" s="216">
        <f t="shared" si="69"/>
        <v>28365</v>
      </c>
      <c r="AR416" s="269">
        <v>61379</v>
      </c>
      <c r="AS416" s="255">
        <v>46209</v>
      </c>
      <c r="AT416" s="208" t="s">
        <v>1220</v>
      </c>
      <c r="AU416" s="253">
        <v>6000</v>
      </c>
      <c r="AV416" s="252">
        <f t="shared" si="78"/>
        <v>0</v>
      </c>
      <c r="AW416" s="252"/>
      <c r="AX416" s="256" t="s">
        <v>1280</v>
      </c>
      <c r="AY416" s="208"/>
      <c r="AZ416" s="208"/>
      <c r="BA416" s="208"/>
      <c r="BB416" s="208" t="str">
        <f t="shared" si="79"/>
        <v>Happy Kids</v>
      </c>
      <c r="BC416" s="208" t="str">
        <f t="shared" si="80"/>
        <v>中国</v>
      </c>
    </row>
    <row r="417" s="194" customFormat="1" customHeight="1" spans="1:55">
      <c r="A417" s="208">
        <v>46094</v>
      </c>
      <c r="B417" s="208" t="str">
        <f ca="1" t="shared" si="75"/>
        <v/>
      </c>
      <c r="C417" s="211" t="str">
        <f>VLOOKUP(H417,名称!A:E,4,0)</f>
        <v>三代</v>
      </c>
      <c r="D417" s="258" t="s">
        <v>1802</v>
      </c>
      <c r="E417" s="280" t="s">
        <v>1726</v>
      </c>
      <c r="F417" s="211"/>
      <c r="G417" s="211" t="s">
        <v>568</v>
      </c>
      <c r="H417" s="211" t="s">
        <v>66</v>
      </c>
      <c r="I417" s="211"/>
      <c r="J417" s="212">
        <v>2400</v>
      </c>
      <c r="K417" s="223">
        <f>VLOOKUP(H417,名称!A:C,2,0)</f>
        <v>12</v>
      </c>
      <c r="L417" s="212">
        <f t="shared" si="76"/>
        <v>28800</v>
      </c>
      <c r="M417" s="211">
        <f>VLOOKUP(H417,名称!A:E,3,0)</f>
        <v>6</v>
      </c>
      <c r="N417" s="212">
        <f t="shared" si="77"/>
        <v>400</v>
      </c>
      <c r="O417" s="208">
        <v>46188</v>
      </c>
      <c r="P417" s="256">
        <v>46188</v>
      </c>
      <c r="Q417" s="256">
        <v>46204</v>
      </c>
      <c r="R417" s="241" t="s">
        <v>1241</v>
      </c>
      <c r="S417" s="256" t="s">
        <v>1133</v>
      </c>
      <c r="T417" s="211"/>
      <c r="U417" s="211"/>
      <c r="V417" s="211" t="s">
        <v>1803</v>
      </c>
      <c r="W417" s="208"/>
      <c r="X417" s="241" t="s">
        <v>1248</v>
      </c>
      <c r="Y417" s="213">
        <v>46178</v>
      </c>
      <c r="Z417" s="213">
        <v>46115</v>
      </c>
      <c r="AA417" s="214">
        <v>46123</v>
      </c>
      <c r="AB417" s="213">
        <v>46142</v>
      </c>
      <c r="AC417" s="211" t="s">
        <v>1318</v>
      </c>
      <c r="AD417" s="211" t="s">
        <v>1228</v>
      </c>
      <c r="AE417" s="211" t="s">
        <v>510</v>
      </c>
      <c r="AF417" s="211" t="s">
        <v>1228</v>
      </c>
      <c r="AG417" s="211" t="s">
        <v>510</v>
      </c>
      <c r="AH417" s="211" t="s">
        <v>1307</v>
      </c>
      <c r="AI417" s="211" t="s">
        <v>1228</v>
      </c>
      <c r="AJ417" s="211" t="s">
        <v>510</v>
      </c>
      <c r="AK417" s="211" t="s">
        <v>1133</v>
      </c>
      <c r="AL417" s="211"/>
      <c r="AM417" s="211" t="s">
        <v>1655</v>
      </c>
      <c r="AN417" s="212" t="s">
        <v>1805</v>
      </c>
      <c r="AO417" s="215">
        <v>1.99</v>
      </c>
      <c r="AP417" s="216">
        <f t="shared" si="68"/>
        <v>4776</v>
      </c>
      <c r="AQ417" s="216">
        <f t="shared" si="69"/>
        <v>37014</v>
      </c>
      <c r="AR417" s="269">
        <v>61379</v>
      </c>
      <c r="AS417" s="255">
        <v>46209</v>
      </c>
      <c r="AT417" s="208" t="s">
        <v>1220</v>
      </c>
      <c r="AU417" s="253">
        <f>2388+12</f>
        <v>2400</v>
      </c>
      <c r="AV417" s="252">
        <f t="shared" si="78"/>
        <v>0</v>
      </c>
      <c r="AW417" s="252"/>
      <c r="AX417" s="256" t="s">
        <v>1280</v>
      </c>
      <c r="AY417" s="208"/>
      <c r="AZ417" s="208"/>
      <c r="BA417" s="208"/>
      <c r="BB417" s="208" t="str">
        <f t="shared" si="79"/>
        <v>Happy Kids</v>
      </c>
      <c r="BC417" s="208" t="str">
        <f t="shared" si="80"/>
        <v>中国</v>
      </c>
    </row>
    <row r="418" s="194" customFormat="1" customHeight="1" spans="1:55">
      <c r="A418" s="208">
        <v>46094</v>
      </c>
      <c r="B418" s="208" t="str">
        <f ca="1" t="shared" si="75"/>
        <v/>
      </c>
      <c r="C418" s="211" t="str">
        <f>VLOOKUP(H418,名称!A:E,4,0)</f>
        <v>三代</v>
      </c>
      <c r="D418" s="258" t="s">
        <v>1802</v>
      </c>
      <c r="E418" s="280" t="s">
        <v>1726</v>
      </c>
      <c r="F418" s="211"/>
      <c r="G418" s="211" t="s">
        <v>568</v>
      </c>
      <c r="H418" s="211" t="s">
        <v>68</v>
      </c>
      <c r="I418" s="211"/>
      <c r="J418" s="212">
        <v>1200</v>
      </c>
      <c r="K418" s="223">
        <f>VLOOKUP(H418,名称!A:C,2,0)</f>
        <v>32</v>
      </c>
      <c r="L418" s="212">
        <f t="shared" si="76"/>
        <v>38400</v>
      </c>
      <c r="M418" s="211">
        <f>VLOOKUP(H418,名称!A:E,3,0)</f>
        <v>4</v>
      </c>
      <c r="N418" s="212">
        <f t="shared" si="77"/>
        <v>300</v>
      </c>
      <c r="O418" s="208">
        <v>46188</v>
      </c>
      <c r="P418" s="256">
        <v>46188</v>
      </c>
      <c r="Q418" s="256">
        <v>46204</v>
      </c>
      <c r="R418" s="267" t="s">
        <v>1241</v>
      </c>
      <c r="S418" s="256" t="s">
        <v>1133</v>
      </c>
      <c r="T418" s="211"/>
      <c r="U418" s="211"/>
      <c r="V418" s="211" t="s">
        <v>1803</v>
      </c>
      <c r="W418" s="208"/>
      <c r="X418" s="267" t="s">
        <v>1248</v>
      </c>
      <c r="Y418" s="213">
        <v>46178</v>
      </c>
      <c r="Z418" s="213">
        <v>46115</v>
      </c>
      <c r="AA418" s="214">
        <v>46123</v>
      </c>
      <c r="AB418" s="213">
        <v>46142</v>
      </c>
      <c r="AC418" s="211" t="s">
        <v>1133</v>
      </c>
      <c r="AD418" s="211" t="s">
        <v>1133</v>
      </c>
      <c r="AE418" s="211" t="s">
        <v>510</v>
      </c>
      <c r="AF418" s="211" t="s">
        <v>1228</v>
      </c>
      <c r="AG418" s="211" t="s">
        <v>510</v>
      </c>
      <c r="AH418" s="211" t="s">
        <v>1307</v>
      </c>
      <c r="AI418" s="211" t="s">
        <v>1228</v>
      </c>
      <c r="AJ418" s="211" t="s">
        <v>1133</v>
      </c>
      <c r="AK418" s="211" t="s">
        <v>1133</v>
      </c>
      <c r="AL418" s="211"/>
      <c r="AM418" s="211" t="s">
        <v>1655</v>
      </c>
      <c r="AN418" s="212" t="s">
        <v>1805</v>
      </c>
      <c r="AO418" s="215">
        <v>2.99</v>
      </c>
      <c r="AP418" s="216">
        <f t="shared" si="68"/>
        <v>3588</v>
      </c>
      <c r="AQ418" s="216">
        <f t="shared" si="69"/>
        <v>27807</v>
      </c>
      <c r="AR418" s="224" t="s">
        <v>1806</v>
      </c>
      <c r="AS418" s="255">
        <v>46209</v>
      </c>
      <c r="AT418" s="208" t="s">
        <v>1220</v>
      </c>
      <c r="AU418" s="253">
        <v>1200</v>
      </c>
      <c r="AV418" s="252">
        <f t="shared" si="78"/>
        <v>0</v>
      </c>
      <c r="AW418" s="252"/>
      <c r="AX418" s="256" t="s">
        <v>1280</v>
      </c>
      <c r="AY418" s="208"/>
      <c r="AZ418" s="208"/>
      <c r="BA418" s="208"/>
      <c r="BB418" s="208" t="str">
        <f t="shared" si="79"/>
        <v>Happy Kids</v>
      </c>
      <c r="BC418" s="208" t="str">
        <f t="shared" si="80"/>
        <v>中国</v>
      </c>
    </row>
    <row r="419" s="194" customFormat="1" customHeight="1" spans="1:55">
      <c r="A419" s="208">
        <v>46094</v>
      </c>
      <c r="B419" s="208" t="str">
        <f ca="1" t="shared" si="75"/>
        <v/>
      </c>
      <c r="C419" s="211" t="str">
        <f>VLOOKUP(H419,名称!A:E,4,0)</f>
        <v>三代</v>
      </c>
      <c r="D419" s="258" t="s">
        <v>1802</v>
      </c>
      <c r="E419" s="280" t="s">
        <v>1726</v>
      </c>
      <c r="F419" s="211"/>
      <c r="G419" s="211" t="s">
        <v>568</v>
      </c>
      <c r="H419" s="211" t="s">
        <v>72</v>
      </c>
      <c r="I419" s="211"/>
      <c r="J419" s="212">
        <v>3000</v>
      </c>
      <c r="K419" s="223">
        <f>VLOOKUP(H419,名称!A:C,2,0)</f>
        <v>12</v>
      </c>
      <c r="L419" s="212">
        <f t="shared" si="76"/>
        <v>36000</v>
      </c>
      <c r="M419" s="211">
        <f>VLOOKUP(H419,名称!A:E,3,0)</f>
        <v>12</v>
      </c>
      <c r="N419" s="212">
        <f t="shared" si="77"/>
        <v>250</v>
      </c>
      <c r="O419" s="208">
        <v>46188</v>
      </c>
      <c r="P419" s="256">
        <v>46188</v>
      </c>
      <c r="Q419" s="256">
        <v>46204</v>
      </c>
      <c r="R419" s="267" t="s">
        <v>1241</v>
      </c>
      <c r="S419" s="256" t="s">
        <v>1133</v>
      </c>
      <c r="T419" s="211"/>
      <c r="U419" s="211"/>
      <c r="V419" s="211" t="s">
        <v>1803</v>
      </c>
      <c r="W419" s="208"/>
      <c r="X419" s="267" t="s">
        <v>1248</v>
      </c>
      <c r="Y419" s="213">
        <v>46178</v>
      </c>
      <c r="Z419" s="213">
        <v>46115</v>
      </c>
      <c r="AA419" s="214">
        <v>46123</v>
      </c>
      <c r="AB419" s="213">
        <v>46142</v>
      </c>
      <c r="AC419" s="211" t="s">
        <v>1302</v>
      </c>
      <c r="AD419" s="211" t="s">
        <v>1228</v>
      </c>
      <c r="AE419" s="211" t="s">
        <v>510</v>
      </c>
      <c r="AF419" s="211" t="s">
        <v>1228</v>
      </c>
      <c r="AG419" s="211" t="s">
        <v>510</v>
      </c>
      <c r="AH419" s="211" t="s">
        <v>1307</v>
      </c>
      <c r="AI419" s="211" t="s">
        <v>1228</v>
      </c>
      <c r="AJ419" s="211" t="s">
        <v>1133</v>
      </c>
      <c r="AK419" s="211" t="s">
        <v>1133</v>
      </c>
      <c r="AL419" s="211"/>
      <c r="AM419" s="211" t="s">
        <v>1655</v>
      </c>
      <c r="AN419" s="212" t="s">
        <v>1805</v>
      </c>
      <c r="AO419" s="215">
        <v>1.55</v>
      </c>
      <c r="AP419" s="216">
        <f t="shared" si="68"/>
        <v>4650</v>
      </c>
      <c r="AQ419" s="216">
        <f t="shared" si="69"/>
        <v>36037.5</v>
      </c>
      <c r="AR419" s="269">
        <v>61379</v>
      </c>
      <c r="AS419" s="255">
        <v>46209</v>
      </c>
      <c r="AT419" s="208" t="s">
        <v>1220</v>
      </c>
      <c r="AU419" s="253">
        <f>144+2856</f>
        <v>3000</v>
      </c>
      <c r="AV419" s="252">
        <f t="shared" si="78"/>
        <v>0</v>
      </c>
      <c r="AW419" s="252"/>
      <c r="AX419" s="256" t="s">
        <v>1280</v>
      </c>
      <c r="AY419" s="208"/>
      <c r="AZ419" s="208"/>
      <c r="BA419" s="208"/>
      <c r="BB419" s="208" t="str">
        <f t="shared" si="79"/>
        <v>Happy Kids</v>
      </c>
      <c r="BC419" s="208" t="str">
        <f t="shared" si="80"/>
        <v>中国</v>
      </c>
    </row>
    <row r="420" s="194" customFormat="1" customHeight="1" spans="1:55">
      <c r="A420" s="208">
        <v>46094</v>
      </c>
      <c r="B420" s="208" t="str">
        <f ca="1" t="shared" si="75"/>
        <v/>
      </c>
      <c r="C420" s="211" t="str">
        <f>VLOOKUP(H420,名称!A:E,4,0)</f>
        <v>三代</v>
      </c>
      <c r="D420" s="258" t="s">
        <v>1802</v>
      </c>
      <c r="E420" s="280" t="s">
        <v>1726</v>
      </c>
      <c r="F420" s="211"/>
      <c r="G420" s="211" t="s">
        <v>568</v>
      </c>
      <c r="H420" s="211" t="s">
        <v>85</v>
      </c>
      <c r="I420" s="211"/>
      <c r="J420" s="212">
        <v>7200</v>
      </c>
      <c r="K420" s="223">
        <f>VLOOKUP(H420,名称!A:C,2,0)</f>
        <v>5</v>
      </c>
      <c r="L420" s="212">
        <f t="shared" si="76"/>
        <v>36000</v>
      </c>
      <c r="M420" s="211">
        <f>VLOOKUP(H420,名称!A:E,3,0)</f>
        <v>24</v>
      </c>
      <c r="N420" s="212">
        <f t="shared" si="77"/>
        <v>300</v>
      </c>
      <c r="O420" s="208">
        <v>46188</v>
      </c>
      <c r="P420" s="256">
        <v>46188</v>
      </c>
      <c r="Q420" s="256">
        <v>46204</v>
      </c>
      <c r="R420" s="267" t="s">
        <v>1241</v>
      </c>
      <c r="S420" s="256" t="s">
        <v>1133</v>
      </c>
      <c r="T420" s="211"/>
      <c r="U420" s="211"/>
      <c r="V420" s="257" t="s">
        <v>1803</v>
      </c>
      <c r="W420" s="208"/>
      <c r="X420" s="211" t="s">
        <v>1804</v>
      </c>
      <c r="Y420" s="213">
        <v>46178</v>
      </c>
      <c r="Z420" s="213">
        <v>46115</v>
      </c>
      <c r="AA420" s="214">
        <v>46123</v>
      </c>
      <c r="AB420" s="213">
        <v>46142</v>
      </c>
      <c r="AC420" s="211" t="s">
        <v>1133</v>
      </c>
      <c r="AD420" s="211" t="s">
        <v>1133</v>
      </c>
      <c r="AE420" s="211" t="s">
        <v>510</v>
      </c>
      <c r="AF420" s="211" t="s">
        <v>1228</v>
      </c>
      <c r="AG420" s="211" t="s">
        <v>510</v>
      </c>
      <c r="AH420" s="211" t="s">
        <v>1133</v>
      </c>
      <c r="AI420" s="211" t="s">
        <v>1228</v>
      </c>
      <c r="AJ420" s="211" t="s">
        <v>1133</v>
      </c>
      <c r="AK420" s="211" t="s">
        <v>510</v>
      </c>
      <c r="AL420" s="211"/>
      <c r="AM420" s="211" t="s">
        <v>1655</v>
      </c>
      <c r="AN420" s="212" t="s">
        <v>1805</v>
      </c>
      <c r="AO420" s="215">
        <v>0.86</v>
      </c>
      <c r="AP420" s="216">
        <f t="shared" si="68"/>
        <v>6192</v>
      </c>
      <c r="AQ420" s="216">
        <f t="shared" si="69"/>
        <v>47988</v>
      </c>
      <c r="AR420" s="269">
        <v>61379</v>
      </c>
      <c r="AS420" s="255">
        <v>46209</v>
      </c>
      <c r="AT420" s="208" t="s">
        <v>1220</v>
      </c>
      <c r="AU420" s="253">
        <v>7200</v>
      </c>
      <c r="AV420" s="252">
        <f t="shared" si="78"/>
        <v>0</v>
      </c>
      <c r="AW420" s="252"/>
      <c r="AX420" s="256" t="s">
        <v>1280</v>
      </c>
      <c r="AY420" s="208"/>
      <c r="AZ420" s="208"/>
      <c r="BA420" s="208"/>
      <c r="BB420" s="273" t="str">
        <f t="shared" si="79"/>
        <v>Happy Kids</v>
      </c>
      <c r="BC420" s="273" t="str">
        <f t="shared" si="80"/>
        <v>中国</v>
      </c>
    </row>
    <row r="421" s="194" customFormat="1" customHeight="1" spans="1:55">
      <c r="A421" s="208">
        <v>46150</v>
      </c>
      <c r="B421" s="208" t="str">
        <f ca="1" t="shared" si="75"/>
        <v/>
      </c>
      <c r="C421" s="211" t="str">
        <f>VLOOKUP(H421,名称!A:E,4,0)</f>
        <v>三代</v>
      </c>
      <c r="D421" s="220" t="s">
        <v>1807</v>
      </c>
      <c r="E421" s="220" t="s">
        <v>1325</v>
      </c>
      <c r="F421" s="220" t="s">
        <v>830</v>
      </c>
      <c r="G421" s="220" t="s">
        <v>831</v>
      </c>
      <c r="H421" s="220" t="s">
        <v>60</v>
      </c>
      <c r="I421" s="211"/>
      <c r="J421" s="270">
        <v>1200</v>
      </c>
      <c r="K421" s="223">
        <f>VLOOKUP(H421,名称!A:C,2,0)</f>
        <v>5</v>
      </c>
      <c r="L421" s="212">
        <f t="shared" si="76"/>
        <v>6000</v>
      </c>
      <c r="M421" s="211">
        <f>VLOOKUP(H421,名称!A:E,3,0)</f>
        <v>12</v>
      </c>
      <c r="N421" s="212">
        <f t="shared" si="77"/>
        <v>100</v>
      </c>
      <c r="O421" s="271">
        <v>46191</v>
      </c>
      <c r="P421" s="271">
        <f t="shared" ref="P421:P430" si="81">O421</f>
        <v>46191</v>
      </c>
      <c r="Q421" s="208">
        <v>46190</v>
      </c>
      <c r="R421" s="241" t="s">
        <v>1241</v>
      </c>
      <c r="S421" s="208">
        <v>46191</v>
      </c>
      <c r="T421" s="241" t="s">
        <v>1282</v>
      </c>
      <c r="U421" s="211"/>
      <c r="V421" s="211" t="s">
        <v>1808</v>
      </c>
      <c r="W421" s="208"/>
      <c r="X421" s="220" t="s">
        <v>1133</v>
      </c>
      <c r="Y421" s="220" t="s">
        <v>1133</v>
      </c>
      <c r="Z421" s="213">
        <v>46160</v>
      </c>
      <c r="AA421" s="214">
        <v>46162</v>
      </c>
      <c r="AB421" s="213">
        <v>46164</v>
      </c>
      <c r="AC421" s="257" t="s">
        <v>1133</v>
      </c>
      <c r="AD421" s="257" t="s">
        <v>1133</v>
      </c>
      <c r="AE421" s="220" t="s">
        <v>253</v>
      </c>
      <c r="AF421" s="257" t="s">
        <v>1228</v>
      </c>
      <c r="AG421" s="220" t="s">
        <v>253</v>
      </c>
      <c r="AH421" s="257" t="s">
        <v>1133</v>
      </c>
      <c r="AI421" s="257" t="s">
        <v>1228</v>
      </c>
      <c r="AJ421" s="257" t="s">
        <v>1133</v>
      </c>
      <c r="AK421" s="257" t="s">
        <v>253</v>
      </c>
      <c r="AL421" s="211"/>
      <c r="AM421" s="257" t="s">
        <v>1506</v>
      </c>
      <c r="AN421" s="212" t="s">
        <v>1234</v>
      </c>
      <c r="AO421" s="215">
        <v>0.63</v>
      </c>
      <c r="AP421" s="216">
        <f t="shared" si="68"/>
        <v>756</v>
      </c>
      <c r="AQ421" s="216">
        <f t="shared" si="69"/>
        <v>5859</v>
      </c>
      <c r="AR421" s="269">
        <v>61380</v>
      </c>
      <c r="AS421" s="255">
        <v>46209</v>
      </c>
      <c r="AT421" s="208" t="s">
        <v>1254</v>
      </c>
      <c r="AU421" s="253">
        <v>1200</v>
      </c>
      <c r="AV421" s="252">
        <f t="shared" si="78"/>
        <v>0</v>
      </c>
      <c r="AW421" s="208"/>
      <c r="AX421" s="256"/>
      <c r="AY421" s="208"/>
      <c r="AZ421" s="208"/>
      <c r="BA421" s="208"/>
      <c r="BB421" s="208" t="str">
        <f t="shared" si="79"/>
        <v>JAZWARES - OSIRIS INC. O/A SHOWCASE</v>
      </c>
      <c r="BC421" s="208" t="str">
        <f t="shared" si="80"/>
        <v>加拿大</v>
      </c>
    </row>
    <row r="422" s="194" customFormat="1" customHeight="1" spans="1:55">
      <c r="A422" s="271">
        <v>46127</v>
      </c>
      <c r="B422" s="208" t="str">
        <f ca="1" t="shared" si="75"/>
        <v/>
      </c>
      <c r="C422" s="211" t="str">
        <f>VLOOKUP(H422,名称!A:E,4,0)</f>
        <v>三代</v>
      </c>
      <c r="D422" s="220" t="s">
        <v>1444</v>
      </c>
      <c r="E422" s="220" t="s">
        <v>1809</v>
      </c>
      <c r="F422" s="220" t="s">
        <v>729</v>
      </c>
      <c r="G422" s="220" t="s">
        <v>730</v>
      </c>
      <c r="H422" s="220" t="s">
        <v>125</v>
      </c>
      <c r="I422" s="211"/>
      <c r="J422" s="270">
        <v>12</v>
      </c>
      <c r="K422" s="223">
        <f>VLOOKUP(H422,名称!A:C,2,0)</f>
        <v>12</v>
      </c>
      <c r="L422" s="212">
        <f t="shared" si="76"/>
        <v>144</v>
      </c>
      <c r="M422" s="211">
        <f>VLOOKUP(H422,名称!A:E,3,0)</f>
        <v>12</v>
      </c>
      <c r="N422" s="212">
        <f t="shared" si="77"/>
        <v>1</v>
      </c>
      <c r="O422" s="271">
        <v>46191</v>
      </c>
      <c r="P422" s="208">
        <f t="shared" si="81"/>
        <v>46191</v>
      </c>
      <c r="Q422" s="208">
        <v>46202</v>
      </c>
      <c r="R422" s="241" t="s">
        <v>1241</v>
      </c>
      <c r="S422" s="208" t="s">
        <v>1133</v>
      </c>
      <c r="T422" s="241"/>
      <c r="U422" s="211"/>
      <c r="V422" s="211"/>
      <c r="W422" s="208"/>
      <c r="X422" s="211" t="s">
        <v>1332</v>
      </c>
      <c r="Y422" s="211" t="s">
        <v>1228</v>
      </c>
      <c r="Z422" s="263" t="s">
        <v>1656</v>
      </c>
      <c r="AA422" s="214">
        <v>46141</v>
      </c>
      <c r="AB422" s="214">
        <v>46157</v>
      </c>
      <c r="AC422" s="211" t="s">
        <v>1302</v>
      </c>
      <c r="AD422" s="211" t="s">
        <v>1228</v>
      </c>
      <c r="AE422" s="220" t="s">
        <v>510</v>
      </c>
      <c r="AF422" s="211" t="s">
        <v>1228</v>
      </c>
      <c r="AG422" s="220" t="s">
        <v>510</v>
      </c>
      <c r="AH422" s="211" t="s">
        <v>1307</v>
      </c>
      <c r="AI422" s="257" t="s">
        <v>1228</v>
      </c>
      <c r="AJ422" s="257" t="s">
        <v>1133</v>
      </c>
      <c r="AK422" s="257" t="s">
        <v>1133</v>
      </c>
      <c r="AL422" s="211"/>
      <c r="AM422" s="257" t="s">
        <v>1810</v>
      </c>
      <c r="AN422" s="212" t="s">
        <v>1656</v>
      </c>
      <c r="AO422" s="215">
        <v>1.65</v>
      </c>
      <c r="AP422" s="216">
        <f t="shared" si="68"/>
        <v>19.8</v>
      </c>
      <c r="AQ422" s="216">
        <f t="shared" si="69"/>
        <v>153.45</v>
      </c>
      <c r="AR422" s="269">
        <v>61381</v>
      </c>
      <c r="AS422" s="255">
        <v>46209</v>
      </c>
      <c r="AT422" s="208" t="s">
        <v>1220</v>
      </c>
      <c r="AU422" s="253"/>
      <c r="AV422" s="252">
        <f t="shared" si="78"/>
        <v>-12</v>
      </c>
      <c r="AW422" s="252"/>
      <c r="AX422" s="256" t="s">
        <v>1280</v>
      </c>
      <c r="AY422" s="208"/>
      <c r="AZ422" s="208"/>
      <c r="BA422" s="208"/>
      <c r="BB422" s="208" t="str">
        <f t="shared" si="79"/>
        <v>Toysmith</v>
      </c>
      <c r="BC422" s="208" t="str">
        <f t="shared" si="80"/>
        <v>美国（空运）</v>
      </c>
    </row>
    <row r="423" s="194" customFormat="1" customHeight="1" spans="1:55">
      <c r="A423" s="271">
        <v>46127</v>
      </c>
      <c r="B423" s="208" t="str">
        <f ca="1" t="shared" si="75"/>
        <v/>
      </c>
      <c r="C423" s="211" t="str">
        <f>VLOOKUP(H423,名称!A:E,4,0)</f>
        <v>三代</v>
      </c>
      <c r="D423" s="220" t="s">
        <v>1444</v>
      </c>
      <c r="E423" s="220" t="s">
        <v>1224</v>
      </c>
      <c r="F423" s="220" t="s">
        <v>729</v>
      </c>
      <c r="G423" s="220" t="s">
        <v>730</v>
      </c>
      <c r="H423" s="220" t="s">
        <v>88</v>
      </c>
      <c r="I423" s="211"/>
      <c r="J423" s="270">
        <v>10008</v>
      </c>
      <c r="K423" s="223">
        <f>VLOOKUP(H423,名称!A:C,2,0)</f>
        <v>5</v>
      </c>
      <c r="L423" s="212">
        <f t="shared" si="76"/>
        <v>50040</v>
      </c>
      <c r="M423" s="211">
        <f>VLOOKUP(H423,名称!A:E,3,0)</f>
        <v>24</v>
      </c>
      <c r="N423" s="212">
        <f t="shared" si="77"/>
        <v>417</v>
      </c>
      <c r="O423" s="271">
        <v>46191</v>
      </c>
      <c r="P423" s="208">
        <v>46195</v>
      </c>
      <c r="Q423" s="208">
        <v>46196</v>
      </c>
      <c r="R423" s="241" t="s">
        <v>1241</v>
      </c>
      <c r="S423" s="208" t="s">
        <v>1133</v>
      </c>
      <c r="T423" s="211"/>
      <c r="U423" s="211"/>
      <c r="V423" s="211" t="s">
        <v>1811</v>
      </c>
      <c r="W423" s="208"/>
      <c r="X423" s="211" t="s">
        <v>1133</v>
      </c>
      <c r="Y423" s="211" t="s">
        <v>1133</v>
      </c>
      <c r="Z423" s="257" t="s">
        <v>1249</v>
      </c>
      <c r="AA423" s="214">
        <v>46141</v>
      </c>
      <c r="AB423" s="213">
        <v>46157</v>
      </c>
      <c r="AC423" s="211" t="s">
        <v>1133</v>
      </c>
      <c r="AD423" s="211" t="s">
        <v>1133</v>
      </c>
      <c r="AE423" s="220" t="s">
        <v>510</v>
      </c>
      <c r="AF423" s="211" t="s">
        <v>1228</v>
      </c>
      <c r="AG423" s="220" t="s">
        <v>510</v>
      </c>
      <c r="AH423" s="211" t="s">
        <v>1133</v>
      </c>
      <c r="AI423" s="257" t="s">
        <v>1228</v>
      </c>
      <c r="AJ423" s="257" t="s">
        <v>1133</v>
      </c>
      <c r="AK423" s="257" t="s">
        <v>510</v>
      </c>
      <c r="AL423" s="211"/>
      <c r="AM423" s="257" t="s">
        <v>1810</v>
      </c>
      <c r="AN423" s="212"/>
      <c r="AO423" s="215">
        <v>0.83</v>
      </c>
      <c r="AP423" s="216">
        <f t="shared" si="68"/>
        <v>8306.64</v>
      </c>
      <c r="AQ423" s="216">
        <f t="shared" si="69"/>
        <v>64376.46</v>
      </c>
      <c r="AR423" s="269">
        <v>61381</v>
      </c>
      <c r="AS423" s="255">
        <v>46209</v>
      </c>
      <c r="AT423" s="208" t="s">
        <v>1310</v>
      </c>
      <c r="AU423" s="253"/>
      <c r="AV423" s="252">
        <f t="shared" si="78"/>
        <v>-10008</v>
      </c>
      <c r="AW423" s="252"/>
      <c r="AX423" s="256"/>
      <c r="AY423" s="208"/>
      <c r="AZ423" s="208"/>
      <c r="BA423" s="208"/>
      <c r="BB423" s="208" t="str">
        <f t="shared" si="79"/>
        <v>Toysmith</v>
      </c>
      <c r="BC423" s="208" t="str">
        <f t="shared" si="80"/>
        <v>美国</v>
      </c>
    </row>
    <row r="424" s="194" customFormat="1" customHeight="1" spans="1:55">
      <c r="A424" s="271">
        <v>46127</v>
      </c>
      <c r="B424" s="208" t="str">
        <f ca="1" t="shared" si="75"/>
        <v/>
      </c>
      <c r="C424" s="211" t="str">
        <f>VLOOKUP(H424,名称!A:E,4,0)</f>
        <v>三代</v>
      </c>
      <c r="D424" s="220" t="s">
        <v>1444</v>
      </c>
      <c r="E424" s="220" t="s">
        <v>1809</v>
      </c>
      <c r="F424" s="220" t="s">
        <v>729</v>
      </c>
      <c r="G424" s="220" t="s">
        <v>730</v>
      </c>
      <c r="H424" s="220" t="s">
        <v>88</v>
      </c>
      <c r="I424" s="211"/>
      <c r="J424" s="270">
        <v>278</v>
      </c>
      <c r="K424" s="223">
        <f>VLOOKUP(H424,名称!A:C,2,0)</f>
        <v>5</v>
      </c>
      <c r="L424" s="212">
        <f t="shared" si="76"/>
        <v>1390</v>
      </c>
      <c r="M424" s="211">
        <f>VLOOKUP(H424,名称!A:E,3,0)</f>
        <v>24</v>
      </c>
      <c r="N424" s="212">
        <f t="shared" si="77"/>
        <v>11.5833333333333</v>
      </c>
      <c r="O424" s="271">
        <v>46191</v>
      </c>
      <c r="P424" s="208">
        <v>46195</v>
      </c>
      <c r="Q424" s="256">
        <v>46196</v>
      </c>
      <c r="R424" s="267" t="s">
        <v>1241</v>
      </c>
      <c r="S424" s="208" t="s">
        <v>1133</v>
      </c>
      <c r="T424" s="211"/>
      <c r="U424" s="211"/>
      <c r="V424" s="211" t="s">
        <v>1812</v>
      </c>
      <c r="W424" s="208"/>
      <c r="X424" s="211" t="s">
        <v>1332</v>
      </c>
      <c r="Y424" s="211" t="s">
        <v>1228</v>
      </c>
      <c r="Z424" s="257" t="s">
        <v>1656</v>
      </c>
      <c r="AA424" s="214">
        <v>46141</v>
      </c>
      <c r="AB424" s="213">
        <v>46157</v>
      </c>
      <c r="AC424" s="211" t="s">
        <v>1133</v>
      </c>
      <c r="AD424" s="211" t="s">
        <v>1133</v>
      </c>
      <c r="AE424" s="220" t="s">
        <v>510</v>
      </c>
      <c r="AF424" s="211" t="s">
        <v>1228</v>
      </c>
      <c r="AG424" s="220" t="s">
        <v>510</v>
      </c>
      <c r="AH424" s="211" t="s">
        <v>1133</v>
      </c>
      <c r="AI424" s="257" t="s">
        <v>1228</v>
      </c>
      <c r="AJ424" s="257" t="s">
        <v>1133</v>
      </c>
      <c r="AK424" s="257" t="s">
        <v>510</v>
      </c>
      <c r="AL424" s="211"/>
      <c r="AM424" s="257" t="s">
        <v>1810</v>
      </c>
      <c r="AN424" s="212" t="s">
        <v>1656</v>
      </c>
      <c r="AO424" s="215">
        <v>0.83</v>
      </c>
      <c r="AP424" s="216">
        <f t="shared" si="68"/>
        <v>230.74</v>
      </c>
      <c r="AQ424" s="216">
        <f t="shared" si="69"/>
        <v>1788.24</v>
      </c>
      <c r="AR424" s="269">
        <v>61381</v>
      </c>
      <c r="AS424" s="255">
        <v>46209</v>
      </c>
      <c r="AT424" s="208" t="s">
        <v>1310</v>
      </c>
      <c r="AU424" s="253"/>
      <c r="AV424" s="252">
        <f t="shared" si="78"/>
        <v>-278</v>
      </c>
      <c r="AW424" s="252"/>
      <c r="AX424" s="256"/>
      <c r="AY424" s="208"/>
      <c r="AZ424" s="208"/>
      <c r="BA424" s="208"/>
      <c r="BB424" s="208" t="str">
        <f t="shared" si="79"/>
        <v>Toysmith</v>
      </c>
      <c r="BC424" s="208" t="str">
        <f t="shared" si="80"/>
        <v>美国（空运）</v>
      </c>
    </row>
    <row r="425" s="194" customFormat="1" customHeight="1" spans="1:55">
      <c r="A425" s="271">
        <v>46127</v>
      </c>
      <c r="B425" s="208" t="str">
        <f ca="1" t="shared" si="75"/>
        <v/>
      </c>
      <c r="C425" s="211" t="str">
        <f>VLOOKUP(H425,名称!A:E,4,0)</f>
        <v>三代</v>
      </c>
      <c r="D425" s="220" t="s">
        <v>1444</v>
      </c>
      <c r="E425" s="220" t="s">
        <v>1224</v>
      </c>
      <c r="F425" s="220" t="s">
        <v>729</v>
      </c>
      <c r="G425" s="220" t="s">
        <v>730</v>
      </c>
      <c r="H425" s="220" t="s">
        <v>89</v>
      </c>
      <c r="I425" s="211"/>
      <c r="J425" s="270">
        <v>5004</v>
      </c>
      <c r="K425" s="223">
        <f>VLOOKUP(H425,名称!A:C,2,0)</f>
        <v>12</v>
      </c>
      <c r="L425" s="212">
        <f t="shared" si="76"/>
        <v>60048</v>
      </c>
      <c r="M425" s="211">
        <f>VLOOKUP(H425,名称!A:E,3,0)</f>
        <v>6</v>
      </c>
      <c r="N425" s="212">
        <f t="shared" si="77"/>
        <v>834</v>
      </c>
      <c r="O425" s="271">
        <v>46191</v>
      </c>
      <c r="P425" s="208">
        <f t="shared" si="81"/>
        <v>46191</v>
      </c>
      <c r="Q425" s="256">
        <v>46202</v>
      </c>
      <c r="R425" s="241" t="s">
        <v>1425</v>
      </c>
      <c r="S425" s="208" t="s">
        <v>1133</v>
      </c>
      <c r="T425" s="211"/>
      <c r="U425" s="211"/>
      <c r="V425" s="211"/>
      <c r="W425" s="208"/>
      <c r="X425" s="211" t="s">
        <v>1133</v>
      </c>
      <c r="Y425" s="211" t="s">
        <v>1133</v>
      </c>
      <c r="Z425" s="257" t="s">
        <v>1249</v>
      </c>
      <c r="AA425" s="214">
        <v>46141</v>
      </c>
      <c r="AB425" s="213">
        <v>46157</v>
      </c>
      <c r="AC425" s="211" t="s">
        <v>1318</v>
      </c>
      <c r="AD425" s="211" t="s">
        <v>1228</v>
      </c>
      <c r="AE425" s="220" t="s">
        <v>510</v>
      </c>
      <c r="AF425" s="211" t="s">
        <v>1228</v>
      </c>
      <c r="AG425" s="220" t="s">
        <v>510</v>
      </c>
      <c r="AH425" s="211" t="s">
        <v>1307</v>
      </c>
      <c r="AI425" s="257" t="s">
        <v>1228</v>
      </c>
      <c r="AJ425" s="257" t="s">
        <v>510</v>
      </c>
      <c r="AK425" s="257" t="s">
        <v>1133</v>
      </c>
      <c r="AL425" s="211"/>
      <c r="AM425" s="257" t="s">
        <v>1810</v>
      </c>
      <c r="AN425" s="212"/>
      <c r="AO425" s="215">
        <v>1.9</v>
      </c>
      <c r="AP425" s="216">
        <f t="shared" si="68"/>
        <v>9507.6</v>
      </c>
      <c r="AQ425" s="216">
        <f t="shared" si="69"/>
        <v>73683.9</v>
      </c>
      <c r="AR425" s="269">
        <v>61381</v>
      </c>
      <c r="AS425" s="255">
        <v>46209</v>
      </c>
      <c r="AT425" s="273" t="s">
        <v>1220</v>
      </c>
      <c r="AU425" s="253"/>
      <c r="AV425" s="252">
        <f t="shared" si="78"/>
        <v>-5004</v>
      </c>
      <c r="AW425" s="252"/>
      <c r="AX425" s="256"/>
      <c r="AY425" s="208"/>
      <c r="AZ425" s="208"/>
      <c r="BA425" s="208"/>
      <c r="BB425" s="273" t="str">
        <f t="shared" si="79"/>
        <v>Toysmith</v>
      </c>
      <c r="BC425" s="273" t="str">
        <f t="shared" si="80"/>
        <v>美国</v>
      </c>
    </row>
    <row r="426" s="194" customFormat="1" customHeight="1" spans="1:55">
      <c r="A426" s="271">
        <v>46127</v>
      </c>
      <c r="B426" s="208" t="str">
        <f ca="1" t="shared" si="75"/>
        <v/>
      </c>
      <c r="C426" s="211" t="str">
        <f>VLOOKUP(H426,名称!A:E,4,0)</f>
        <v>三代</v>
      </c>
      <c r="D426" s="220" t="s">
        <v>1444</v>
      </c>
      <c r="E426" s="220" t="s">
        <v>1809</v>
      </c>
      <c r="F426" s="220" t="s">
        <v>729</v>
      </c>
      <c r="G426" s="220" t="s">
        <v>730</v>
      </c>
      <c r="H426" s="220" t="s">
        <v>89</v>
      </c>
      <c r="I426" s="211"/>
      <c r="J426" s="270">
        <v>120</v>
      </c>
      <c r="K426" s="223">
        <f>VLOOKUP(H426,名称!A:C,2,0)</f>
        <v>12</v>
      </c>
      <c r="L426" s="212">
        <f t="shared" si="76"/>
        <v>1440</v>
      </c>
      <c r="M426" s="211">
        <f>VLOOKUP(H426,名称!A:E,3,0)</f>
        <v>6</v>
      </c>
      <c r="N426" s="212">
        <f t="shared" si="77"/>
        <v>20</v>
      </c>
      <c r="O426" s="271">
        <v>46191</v>
      </c>
      <c r="P426" s="208">
        <f t="shared" si="81"/>
        <v>46191</v>
      </c>
      <c r="Q426" s="256">
        <v>46202</v>
      </c>
      <c r="R426" s="241" t="s">
        <v>1241</v>
      </c>
      <c r="S426" s="208" t="s">
        <v>1133</v>
      </c>
      <c r="T426" s="211"/>
      <c r="U426" s="211"/>
      <c r="V426" s="211"/>
      <c r="W426" s="208"/>
      <c r="X426" s="211" t="s">
        <v>1332</v>
      </c>
      <c r="Y426" s="211" t="s">
        <v>1228</v>
      </c>
      <c r="Z426" s="257" t="s">
        <v>1656</v>
      </c>
      <c r="AA426" s="214">
        <v>46141</v>
      </c>
      <c r="AB426" s="213">
        <v>46157</v>
      </c>
      <c r="AC426" s="211" t="s">
        <v>1318</v>
      </c>
      <c r="AD426" s="211" t="s">
        <v>1228</v>
      </c>
      <c r="AE426" s="220" t="s">
        <v>510</v>
      </c>
      <c r="AF426" s="211" t="s">
        <v>1228</v>
      </c>
      <c r="AG426" s="220" t="s">
        <v>510</v>
      </c>
      <c r="AH426" s="211" t="s">
        <v>1133</v>
      </c>
      <c r="AI426" s="257" t="s">
        <v>1228</v>
      </c>
      <c r="AJ426" s="257" t="s">
        <v>510</v>
      </c>
      <c r="AK426" s="257" t="s">
        <v>1133</v>
      </c>
      <c r="AL426" s="211"/>
      <c r="AM426" s="257" t="s">
        <v>1810</v>
      </c>
      <c r="AN426" s="212" t="s">
        <v>1656</v>
      </c>
      <c r="AO426" s="215">
        <v>1.9</v>
      </c>
      <c r="AP426" s="216">
        <f t="shared" si="68"/>
        <v>228</v>
      </c>
      <c r="AQ426" s="216">
        <f t="shared" si="69"/>
        <v>1767</v>
      </c>
      <c r="AR426" s="269">
        <v>61381</v>
      </c>
      <c r="AS426" s="255">
        <v>46209</v>
      </c>
      <c r="AT426" s="273" t="s">
        <v>1220</v>
      </c>
      <c r="AU426" s="253"/>
      <c r="AV426" s="252">
        <f t="shared" si="78"/>
        <v>-120</v>
      </c>
      <c r="AW426" s="252"/>
      <c r="AX426" s="256"/>
      <c r="AY426" s="208"/>
      <c r="AZ426" s="208"/>
      <c r="BA426" s="208"/>
      <c r="BB426" s="273" t="str">
        <f t="shared" si="79"/>
        <v>Toysmith</v>
      </c>
      <c r="BC426" s="273" t="str">
        <f t="shared" si="80"/>
        <v>美国（空运）</v>
      </c>
    </row>
    <row r="427" s="194" customFormat="1" customHeight="1" spans="1:55">
      <c r="A427" s="271">
        <v>46127</v>
      </c>
      <c r="B427" s="208" t="str">
        <f ca="1" t="shared" si="75"/>
        <v/>
      </c>
      <c r="C427" s="211" t="str">
        <f>VLOOKUP(H427,名称!A:E,4,0)</f>
        <v>三代</v>
      </c>
      <c r="D427" s="220" t="s">
        <v>1444</v>
      </c>
      <c r="E427" s="220" t="s">
        <v>1224</v>
      </c>
      <c r="F427" s="220" t="s">
        <v>729</v>
      </c>
      <c r="G427" s="220" t="s">
        <v>730</v>
      </c>
      <c r="H427" s="220" t="s">
        <v>122</v>
      </c>
      <c r="I427" s="211"/>
      <c r="J427" s="270">
        <v>3000</v>
      </c>
      <c r="K427" s="223">
        <f>VLOOKUP(H427,名称!A:C,2,0)</f>
        <v>12</v>
      </c>
      <c r="L427" s="212">
        <f t="shared" si="76"/>
        <v>36000</v>
      </c>
      <c r="M427" s="211">
        <f>VLOOKUP(H427,名称!A:E,3,0)</f>
        <v>12</v>
      </c>
      <c r="N427" s="212">
        <f t="shared" si="77"/>
        <v>250</v>
      </c>
      <c r="O427" s="271">
        <v>46191</v>
      </c>
      <c r="P427" s="208">
        <f t="shared" si="81"/>
        <v>46191</v>
      </c>
      <c r="Q427" s="256">
        <v>46202</v>
      </c>
      <c r="R427" s="241" t="s">
        <v>1813</v>
      </c>
      <c r="S427" s="208" t="s">
        <v>1133</v>
      </c>
      <c r="T427" s="211"/>
      <c r="U427" s="211"/>
      <c r="V427" s="211"/>
      <c r="W427" s="208"/>
      <c r="X427" s="211" t="s">
        <v>1133</v>
      </c>
      <c r="Y427" s="211" t="s">
        <v>1133</v>
      </c>
      <c r="Z427" s="257" t="s">
        <v>1249</v>
      </c>
      <c r="AA427" s="214">
        <v>46141</v>
      </c>
      <c r="AB427" s="213">
        <v>46157</v>
      </c>
      <c r="AC427" s="211" t="s">
        <v>1302</v>
      </c>
      <c r="AD427" s="211" t="s">
        <v>1228</v>
      </c>
      <c r="AE427" s="220" t="s">
        <v>510</v>
      </c>
      <c r="AF427" s="211" t="s">
        <v>1228</v>
      </c>
      <c r="AG427" s="220" t="s">
        <v>510</v>
      </c>
      <c r="AH427" s="211" t="s">
        <v>1307</v>
      </c>
      <c r="AI427" s="257" t="s">
        <v>1228</v>
      </c>
      <c r="AJ427" s="257" t="s">
        <v>1133</v>
      </c>
      <c r="AK427" s="257" t="s">
        <v>1133</v>
      </c>
      <c r="AL427" s="211"/>
      <c r="AM427" s="257" t="s">
        <v>1810</v>
      </c>
      <c r="AN427" s="212"/>
      <c r="AO427" s="215">
        <v>1.59</v>
      </c>
      <c r="AP427" s="216">
        <f t="shared" si="68"/>
        <v>4770</v>
      </c>
      <c r="AQ427" s="216">
        <f t="shared" si="69"/>
        <v>36967.5</v>
      </c>
      <c r="AR427" s="269">
        <v>61381</v>
      </c>
      <c r="AS427" s="255">
        <v>46209</v>
      </c>
      <c r="AT427" s="208" t="s">
        <v>1220</v>
      </c>
      <c r="AU427" s="253"/>
      <c r="AV427" s="252">
        <f t="shared" si="78"/>
        <v>-3000</v>
      </c>
      <c r="AW427" s="252"/>
      <c r="AX427" s="256"/>
      <c r="AY427" s="208"/>
      <c r="AZ427" s="208"/>
      <c r="BA427" s="208"/>
      <c r="BB427" s="208" t="str">
        <f t="shared" si="79"/>
        <v>Toysmith</v>
      </c>
      <c r="BC427" s="208" t="str">
        <f t="shared" si="80"/>
        <v>美国</v>
      </c>
    </row>
    <row r="428" s="194" customFormat="1" customHeight="1" spans="1:55">
      <c r="A428" s="271">
        <v>46127</v>
      </c>
      <c r="B428" s="208" t="str">
        <f ca="1" t="shared" si="75"/>
        <v/>
      </c>
      <c r="C428" s="211" t="str">
        <f>VLOOKUP(H428,名称!A:E,4,0)</f>
        <v>三代</v>
      </c>
      <c r="D428" s="220" t="s">
        <v>1444</v>
      </c>
      <c r="E428" s="220" t="s">
        <v>1809</v>
      </c>
      <c r="F428" s="220" t="s">
        <v>729</v>
      </c>
      <c r="G428" s="220" t="s">
        <v>730</v>
      </c>
      <c r="H428" s="220" t="s">
        <v>122</v>
      </c>
      <c r="I428" s="211"/>
      <c r="J428" s="270">
        <v>120</v>
      </c>
      <c r="K428" s="223">
        <f>VLOOKUP(H428,名称!A:C,2,0)</f>
        <v>12</v>
      </c>
      <c r="L428" s="212">
        <f t="shared" si="76"/>
        <v>1440</v>
      </c>
      <c r="M428" s="211">
        <f>VLOOKUP(H428,名称!A:E,3,0)</f>
        <v>12</v>
      </c>
      <c r="N428" s="212">
        <f t="shared" si="77"/>
        <v>10</v>
      </c>
      <c r="O428" s="271">
        <v>46191</v>
      </c>
      <c r="P428" s="208">
        <f t="shared" si="81"/>
        <v>46191</v>
      </c>
      <c r="Q428" s="256">
        <v>46202</v>
      </c>
      <c r="R428" s="241" t="s">
        <v>1241</v>
      </c>
      <c r="S428" s="208" t="s">
        <v>1133</v>
      </c>
      <c r="T428" s="211"/>
      <c r="U428" s="211"/>
      <c r="V428" s="211"/>
      <c r="W428" s="208"/>
      <c r="X428" s="211" t="s">
        <v>1332</v>
      </c>
      <c r="Y428" s="211" t="s">
        <v>1228</v>
      </c>
      <c r="Z428" s="257" t="s">
        <v>1656</v>
      </c>
      <c r="AA428" s="214">
        <v>46141</v>
      </c>
      <c r="AB428" s="213">
        <v>46157</v>
      </c>
      <c r="AC428" s="211" t="s">
        <v>1302</v>
      </c>
      <c r="AD428" s="211" t="s">
        <v>1228</v>
      </c>
      <c r="AE428" s="220" t="s">
        <v>510</v>
      </c>
      <c r="AF428" s="211" t="s">
        <v>1228</v>
      </c>
      <c r="AG428" s="220" t="s">
        <v>510</v>
      </c>
      <c r="AH428" s="211" t="s">
        <v>1307</v>
      </c>
      <c r="AI428" s="257" t="s">
        <v>1228</v>
      </c>
      <c r="AJ428" s="257" t="s">
        <v>1133</v>
      </c>
      <c r="AK428" s="257" t="s">
        <v>1133</v>
      </c>
      <c r="AL428" s="211"/>
      <c r="AM428" s="257" t="s">
        <v>1810</v>
      </c>
      <c r="AN428" s="212" t="s">
        <v>1656</v>
      </c>
      <c r="AO428" s="215">
        <v>1.59</v>
      </c>
      <c r="AP428" s="216">
        <f t="shared" si="68"/>
        <v>190.8</v>
      </c>
      <c r="AQ428" s="216">
        <f t="shared" si="69"/>
        <v>1478.7</v>
      </c>
      <c r="AR428" s="269">
        <v>61381</v>
      </c>
      <c r="AS428" s="255">
        <v>46209</v>
      </c>
      <c r="AT428" s="208" t="s">
        <v>1220</v>
      </c>
      <c r="AU428" s="253"/>
      <c r="AV428" s="252">
        <f t="shared" si="78"/>
        <v>-120</v>
      </c>
      <c r="AW428" s="252"/>
      <c r="AX428" s="256"/>
      <c r="AY428" s="208"/>
      <c r="AZ428" s="208"/>
      <c r="BA428" s="208"/>
      <c r="BB428" s="208" t="str">
        <f t="shared" si="79"/>
        <v>Toysmith</v>
      </c>
      <c r="BC428" s="208" t="str">
        <f t="shared" si="80"/>
        <v>美国（空运）</v>
      </c>
    </row>
    <row r="429" s="194" customFormat="1" customHeight="1" spans="1:55">
      <c r="A429" s="271">
        <v>46127</v>
      </c>
      <c r="B429" s="208" t="str">
        <f ca="1" t="shared" si="75"/>
        <v/>
      </c>
      <c r="C429" s="211" t="str">
        <f>VLOOKUP(H429,名称!A:E,4,0)</f>
        <v>蛋糕</v>
      </c>
      <c r="D429" s="220" t="s">
        <v>1444</v>
      </c>
      <c r="E429" s="220" t="s">
        <v>1224</v>
      </c>
      <c r="F429" s="220" t="s">
        <v>729</v>
      </c>
      <c r="G429" s="220" t="s">
        <v>730</v>
      </c>
      <c r="H429" s="220" t="s">
        <v>123</v>
      </c>
      <c r="I429" s="211"/>
      <c r="J429" s="270">
        <v>3000</v>
      </c>
      <c r="K429" s="223">
        <f>VLOOKUP(H429,名称!A:C,2,0)</f>
        <v>0</v>
      </c>
      <c r="L429" s="212">
        <f t="shared" si="76"/>
        <v>0</v>
      </c>
      <c r="M429" s="211">
        <f>VLOOKUP(H429,名称!A:E,3,0)</f>
        <v>24</v>
      </c>
      <c r="N429" s="212">
        <v>125</v>
      </c>
      <c r="O429" s="271">
        <v>46191</v>
      </c>
      <c r="P429" s="208">
        <f t="shared" si="81"/>
        <v>46191</v>
      </c>
      <c r="Q429" s="256">
        <v>46196</v>
      </c>
      <c r="R429" s="241" t="s">
        <v>1241</v>
      </c>
      <c r="S429" s="208" t="s">
        <v>1133</v>
      </c>
      <c r="T429" s="211"/>
      <c r="U429" s="211"/>
      <c r="V429" s="211"/>
      <c r="W429" s="208"/>
      <c r="X429" s="211" t="s">
        <v>1133</v>
      </c>
      <c r="Y429" s="211" t="s">
        <v>1133</v>
      </c>
      <c r="Z429" s="211" t="s">
        <v>1249</v>
      </c>
      <c r="AA429" s="214">
        <v>46142</v>
      </c>
      <c r="AB429" s="213">
        <v>46156</v>
      </c>
      <c r="AC429" s="211" t="s">
        <v>1133</v>
      </c>
      <c r="AD429" s="211" t="s">
        <v>1133</v>
      </c>
      <c r="AE429" s="220" t="s">
        <v>510</v>
      </c>
      <c r="AF429" s="211" t="s">
        <v>1228</v>
      </c>
      <c r="AG429" s="220" t="s">
        <v>510</v>
      </c>
      <c r="AH429" s="211" t="s">
        <v>1133</v>
      </c>
      <c r="AI429" s="211" t="s">
        <v>1228</v>
      </c>
      <c r="AJ429" s="211" t="s">
        <v>1133</v>
      </c>
      <c r="AK429" s="211" t="s">
        <v>1228</v>
      </c>
      <c r="AL429" s="211"/>
      <c r="AM429" s="257" t="s">
        <v>1506</v>
      </c>
      <c r="AN429" s="212" t="s">
        <v>1504</v>
      </c>
      <c r="AO429" s="215">
        <v>0.81</v>
      </c>
      <c r="AP429" s="216">
        <f t="shared" si="68"/>
        <v>2430</v>
      </c>
      <c r="AQ429" s="216">
        <f t="shared" si="69"/>
        <v>18832.5</v>
      </c>
      <c r="AR429" s="269">
        <v>61381</v>
      </c>
      <c r="AS429" s="255">
        <v>46209</v>
      </c>
      <c r="AT429" s="208" t="s">
        <v>1220</v>
      </c>
      <c r="AU429" s="208"/>
      <c r="AV429" s="208"/>
      <c r="AW429" s="208"/>
      <c r="AX429" s="208"/>
      <c r="AY429" s="208"/>
      <c r="AZ429" s="208"/>
      <c r="BA429" s="208"/>
      <c r="BB429" s="208" t="str">
        <f t="shared" si="79"/>
        <v>Toysmith</v>
      </c>
      <c r="BC429" s="208" t="str">
        <f t="shared" si="80"/>
        <v>美国</v>
      </c>
    </row>
    <row r="430" s="194" customFormat="1" customHeight="1" spans="1:55">
      <c r="A430" s="271">
        <v>46127</v>
      </c>
      <c r="B430" s="208" t="str">
        <f ca="1" t="shared" si="75"/>
        <v/>
      </c>
      <c r="C430" s="211" t="str">
        <f>VLOOKUP(H430,名称!A:E,4,0)</f>
        <v>蛋糕</v>
      </c>
      <c r="D430" s="220" t="s">
        <v>1444</v>
      </c>
      <c r="E430" s="220" t="s">
        <v>1809</v>
      </c>
      <c r="F430" s="220" t="s">
        <v>729</v>
      </c>
      <c r="G430" s="220" t="s">
        <v>730</v>
      </c>
      <c r="H430" s="220" t="s">
        <v>123</v>
      </c>
      <c r="I430" s="211"/>
      <c r="J430" s="270">
        <v>278</v>
      </c>
      <c r="K430" s="223">
        <f>VLOOKUP(H430,名称!A:C,2,0)</f>
        <v>0</v>
      </c>
      <c r="L430" s="212">
        <f t="shared" si="76"/>
        <v>0</v>
      </c>
      <c r="M430" s="211">
        <f>VLOOKUP(H430,名称!A:E,3,0)</f>
        <v>24</v>
      </c>
      <c r="N430" s="212">
        <v>12</v>
      </c>
      <c r="O430" s="271">
        <v>46191</v>
      </c>
      <c r="P430" s="208">
        <f t="shared" si="81"/>
        <v>46191</v>
      </c>
      <c r="Q430" s="256">
        <v>46196</v>
      </c>
      <c r="R430" s="267" t="s">
        <v>1241</v>
      </c>
      <c r="S430" s="208" t="s">
        <v>1133</v>
      </c>
      <c r="T430" s="211"/>
      <c r="U430" s="211" t="s">
        <v>1656</v>
      </c>
      <c r="V430" s="211" t="s">
        <v>1814</v>
      </c>
      <c r="W430" s="208"/>
      <c r="X430" s="211" t="s">
        <v>1332</v>
      </c>
      <c r="Y430" s="211" t="s">
        <v>1228</v>
      </c>
      <c r="Z430" s="211" t="s">
        <v>1249</v>
      </c>
      <c r="AA430" s="214">
        <v>46142</v>
      </c>
      <c r="AB430" s="213">
        <v>46163</v>
      </c>
      <c r="AC430" s="211" t="s">
        <v>1133</v>
      </c>
      <c r="AD430" s="211" t="s">
        <v>1133</v>
      </c>
      <c r="AE430" s="220" t="s">
        <v>510</v>
      </c>
      <c r="AF430" s="211" t="s">
        <v>1228</v>
      </c>
      <c r="AG430" s="220" t="s">
        <v>510</v>
      </c>
      <c r="AH430" s="211" t="s">
        <v>1133</v>
      </c>
      <c r="AI430" s="211" t="s">
        <v>1228</v>
      </c>
      <c r="AJ430" s="211" t="s">
        <v>1133</v>
      </c>
      <c r="AK430" s="211" t="s">
        <v>1228</v>
      </c>
      <c r="AL430" s="211"/>
      <c r="AM430" s="257" t="s">
        <v>1506</v>
      </c>
      <c r="AN430" s="212" t="s">
        <v>1504</v>
      </c>
      <c r="AO430" s="215">
        <v>0.81</v>
      </c>
      <c r="AP430" s="216">
        <f t="shared" si="68"/>
        <v>225.18</v>
      </c>
      <c r="AQ430" s="216">
        <f t="shared" si="69"/>
        <v>1745.15</v>
      </c>
      <c r="AR430" s="269">
        <v>61381</v>
      </c>
      <c r="AS430" s="255">
        <v>46209</v>
      </c>
      <c r="AT430" s="208" t="s">
        <v>1220</v>
      </c>
      <c r="AU430" s="208"/>
      <c r="AV430" s="208"/>
      <c r="AW430" s="208"/>
      <c r="AX430" s="208"/>
      <c r="AY430" s="208"/>
      <c r="AZ430" s="208"/>
      <c r="BA430" s="208"/>
      <c r="BB430" s="208" t="str">
        <f t="shared" si="79"/>
        <v>Toysmith</v>
      </c>
      <c r="BC430" s="208" t="str">
        <f t="shared" si="80"/>
        <v>美国（空运）</v>
      </c>
    </row>
    <row r="431" s="194" customFormat="1" customHeight="1" spans="1:55">
      <c r="A431" s="208">
        <v>46031</v>
      </c>
      <c r="B431" s="208" t="str">
        <f ca="1" t="shared" si="75"/>
        <v/>
      </c>
      <c r="C431" s="211" t="str">
        <f>VLOOKUP(H431,名称!A:E,4,0)</f>
        <v>三代</v>
      </c>
      <c r="D431" s="210" t="s">
        <v>1276</v>
      </c>
      <c r="E431" s="210" t="s">
        <v>1224</v>
      </c>
      <c r="F431" s="211" t="s">
        <v>412</v>
      </c>
      <c r="G431" s="211" t="s">
        <v>413</v>
      </c>
      <c r="H431" s="211" t="s">
        <v>61</v>
      </c>
      <c r="I431" s="211"/>
      <c r="J431" s="212">
        <v>21000</v>
      </c>
      <c r="K431" s="223">
        <f>VLOOKUP(H431,名称!A:C,2,0)</f>
        <v>5</v>
      </c>
      <c r="L431" s="212">
        <f t="shared" si="76"/>
        <v>105000</v>
      </c>
      <c r="M431" s="211">
        <f>VLOOKUP(H431,名称!A:E,3,0)</f>
        <v>24</v>
      </c>
      <c r="N431" s="212">
        <f t="shared" ref="N431:N494" si="82">J431/M431</f>
        <v>875</v>
      </c>
      <c r="O431" s="208">
        <v>46150</v>
      </c>
      <c r="P431" s="208">
        <v>46160</v>
      </c>
      <c r="Q431" s="208">
        <v>46160</v>
      </c>
      <c r="R431" s="211" t="s">
        <v>1241</v>
      </c>
      <c r="S431" s="208">
        <v>46160</v>
      </c>
      <c r="T431" s="211" t="s">
        <v>1282</v>
      </c>
      <c r="U431" s="213">
        <v>46159</v>
      </c>
      <c r="V431" s="211"/>
      <c r="W431" s="208"/>
      <c r="X431" s="211" t="s">
        <v>1133</v>
      </c>
      <c r="Y431" s="211" t="s">
        <v>1133</v>
      </c>
      <c r="Z431" s="213">
        <v>46059</v>
      </c>
      <c r="AA431" s="214">
        <v>46079</v>
      </c>
      <c r="AB431" s="213">
        <v>46080</v>
      </c>
      <c r="AC431" s="211" t="s">
        <v>1133</v>
      </c>
      <c r="AD431" s="211" t="s">
        <v>1133</v>
      </c>
      <c r="AE431" s="211" t="s">
        <v>270</v>
      </c>
      <c r="AF431" s="211" t="s">
        <v>1228</v>
      </c>
      <c r="AG431" s="211" t="s">
        <v>270</v>
      </c>
      <c r="AH431" s="211" t="s">
        <v>1133</v>
      </c>
      <c r="AI431" s="211" t="s">
        <v>1228</v>
      </c>
      <c r="AJ431" s="211" t="s">
        <v>1133</v>
      </c>
      <c r="AK431" s="211" t="s">
        <v>270</v>
      </c>
      <c r="AL431" s="211"/>
      <c r="AM431" s="211" t="s">
        <v>1296</v>
      </c>
      <c r="AN431" s="212"/>
      <c r="AO431" s="215">
        <v>0.61</v>
      </c>
      <c r="AP431" s="216">
        <f t="shared" si="68"/>
        <v>12810</v>
      </c>
      <c r="AQ431" s="216">
        <f t="shared" si="69"/>
        <v>99277.5</v>
      </c>
      <c r="AR431" s="269">
        <v>61382</v>
      </c>
      <c r="AS431" s="255">
        <v>46210</v>
      </c>
      <c r="AT431" s="208" t="s">
        <v>1220</v>
      </c>
      <c r="AU431" s="251">
        <f>20976+24</f>
        <v>21000</v>
      </c>
      <c r="AV431" s="252">
        <f t="shared" ref="AV431:AV449" si="83">AU431-J431</f>
        <v>0</v>
      </c>
      <c r="AW431" s="252"/>
      <c r="AX431" s="208" t="s">
        <v>1280</v>
      </c>
      <c r="AY431" s="208"/>
      <c r="AZ431" s="208"/>
      <c r="BA431" s="208"/>
      <c r="BB431" s="208" t="str">
        <f t="shared" si="79"/>
        <v>Jazwares- TARGET US DOM</v>
      </c>
      <c r="BC431" s="208" t="str">
        <f t="shared" si="80"/>
        <v>美国</v>
      </c>
    </row>
    <row r="432" s="194" customFormat="1" customHeight="1" spans="1:55">
      <c r="A432" s="208">
        <v>46035</v>
      </c>
      <c r="B432" s="208" t="str">
        <f ca="1" t="shared" si="75"/>
        <v/>
      </c>
      <c r="C432" s="211" t="str">
        <f>VLOOKUP(H432,名称!A:E,4,0)</f>
        <v>三代</v>
      </c>
      <c r="D432" s="210" t="s">
        <v>1240</v>
      </c>
      <c r="E432" s="210" t="s">
        <v>1224</v>
      </c>
      <c r="F432" s="211" t="s">
        <v>449</v>
      </c>
      <c r="G432" s="211" t="s">
        <v>450</v>
      </c>
      <c r="H432" s="211" t="s">
        <v>85</v>
      </c>
      <c r="I432" s="211"/>
      <c r="J432" s="212">
        <v>21000</v>
      </c>
      <c r="K432" s="223">
        <f>VLOOKUP(H432,名称!A:C,2,0)</f>
        <v>5</v>
      </c>
      <c r="L432" s="212">
        <f t="shared" si="76"/>
        <v>105000</v>
      </c>
      <c r="M432" s="211">
        <f>VLOOKUP(H432,名称!A:E,3,0)</f>
        <v>24</v>
      </c>
      <c r="N432" s="212">
        <f t="shared" si="82"/>
        <v>875</v>
      </c>
      <c r="O432" s="208">
        <v>46190</v>
      </c>
      <c r="P432" s="208">
        <v>46190</v>
      </c>
      <c r="Q432" s="256">
        <v>46204</v>
      </c>
      <c r="R432" s="273" t="s">
        <v>1241</v>
      </c>
      <c r="S432" s="256">
        <v>46206</v>
      </c>
      <c r="T432" s="273" t="s">
        <v>1241</v>
      </c>
      <c r="U432" s="208"/>
      <c r="V432" s="211"/>
      <c r="W432" s="208"/>
      <c r="X432" s="211" t="s">
        <v>1133</v>
      </c>
      <c r="Y432" s="211" t="s">
        <v>1133</v>
      </c>
      <c r="Z432" s="213">
        <v>46091</v>
      </c>
      <c r="AA432" s="214">
        <v>46093</v>
      </c>
      <c r="AB432" s="213">
        <v>46094</v>
      </c>
      <c r="AC432" s="211" t="s">
        <v>1133</v>
      </c>
      <c r="AD432" s="211" t="s">
        <v>1133</v>
      </c>
      <c r="AE432" s="211" t="s">
        <v>270</v>
      </c>
      <c r="AF432" s="211" t="s">
        <v>1228</v>
      </c>
      <c r="AG432" s="211" t="s">
        <v>270</v>
      </c>
      <c r="AH432" s="211" t="s">
        <v>1133</v>
      </c>
      <c r="AI432" s="211" t="s">
        <v>1228</v>
      </c>
      <c r="AJ432" s="211" t="s">
        <v>1133</v>
      </c>
      <c r="AK432" s="211" t="s">
        <v>270</v>
      </c>
      <c r="AL432" s="211"/>
      <c r="AM432" s="211" t="s">
        <v>1289</v>
      </c>
      <c r="AN432" s="212"/>
      <c r="AO432" s="215">
        <v>0.88</v>
      </c>
      <c r="AP432" s="216">
        <f t="shared" si="68"/>
        <v>18480</v>
      </c>
      <c r="AQ432" s="216">
        <f t="shared" si="69"/>
        <v>143220</v>
      </c>
      <c r="AR432" s="269">
        <v>61383</v>
      </c>
      <c r="AS432" s="255">
        <v>46210</v>
      </c>
      <c r="AT432" s="208" t="s">
        <v>1220</v>
      </c>
      <c r="AU432" s="253"/>
      <c r="AV432" s="252">
        <f t="shared" si="83"/>
        <v>-21000</v>
      </c>
      <c r="AW432" s="252"/>
      <c r="AX432" s="208" t="s">
        <v>1280</v>
      </c>
      <c r="AY432" s="208"/>
      <c r="AZ432" s="208"/>
      <c r="BA432" s="208"/>
      <c r="BB432" s="208" t="str">
        <f t="shared" si="79"/>
        <v>JAZWARES - TARGET US DOM</v>
      </c>
      <c r="BC432" s="208" t="str">
        <f t="shared" si="80"/>
        <v>美国</v>
      </c>
    </row>
    <row r="433" s="194" customFormat="1" customHeight="1" spans="1:55">
      <c r="A433" s="271">
        <v>46127</v>
      </c>
      <c r="B433" s="208" t="str">
        <f ca="1" t="shared" si="75"/>
        <v/>
      </c>
      <c r="C433" s="211" t="str">
        <f>VLOOKUP(H433,名称!A:E,4,0)</f>
        <v>三代</v>
      </c>
      <c r="D433" s="220" t="s">
        <v>1763</v>
      </c>
      <c r="E433" s="220" t="s">
        <v>1224</v>
      </c>
      <c r="F433" s="220" t="s">
        <v>725</v>
      </c>
      <c r="G433" s="220" t="s">
        <v>726</v>
      </c>
      <c r="H433" s="220" t="s">
        <v>102</v>
      </c>
      <c r="I433" s="211"/>
      <c r="J433" s="270">
        <v>15000</v>
      </c>
      <c r="K433" s="223">
        <f>VLOOKUP(H433,名称!A:C,2,0)</f>
        <v>5</v>
      </c>
      <c r="L433" s="212">
        <f t="shared" si="76"/>
        <v>75000</v>
      </c>
      <c r="M433" s="211">
        <f>VLOOKUP(H433,名称!A:E,3,0)</f>
        <v>12</v>
      </c>
      <c r="N433" s="212">
        <f t="shared" si="82"/>
        <v>1250</v>
      </c>
      <c r="O433" s="271">
        <v>46198</v>
      </c>
      <c r="P433" s="208">
        <f>O433</f>
        <v>46198</v>
      </c>
      <c r="Q433" s="208">
        <v>46198</v>
      </c>
      <c r="R433" s="241" t="s">
        <v>1241</v>
      </c>
      <c r="S433" s="271">
        <v>46203</v>
      </c>
      <c r="T433" s="241" t="s">
        <v>1241</v>
      </c>
      <c r="U433" s="211"/>
      <c r="V433" s="211"/>
      <c r="W433" s="208"/>
      <c r="X433" s="211" t="s">
        <v>1133</v>
      </c>
      <c r="Y433" s="211" t="s">
        <v>1133</v>
      </c>
      <c r="Z433" s="263">
        <v>46136</v>
      </c>
      <c r="AA433" s="214">
        <v>46140</v>
      </c>
      <c r="AB433" s="213">
        <v>46151</v>
      </c>
      <c r="AC433" s="211" t="s">
        <v>1133</v>
      </c>
      <c r="AD433" s="211" t="s">
        <v>1133</v>
      </c>
      <c r="AE433" s="220" t="s">
        <v>270</v>
      </c>
      <c r="AF433" s="211" t="s">
        <v>1228</v>
      </c>
      <c r="AG433" s="220" t="s">
        <v>270</v>
      </c>
      <c r="AH433" s="211" t="s">
        <v>1133</v>
      </c>
      <c r="AI433" s="257" t="s">
        <v>1228</v>
      </c>
      <c r="AJ433" s="257" t="s">
        <v>1133</v>
      </c>
      <c r="AK433" s="257" t="s">
        <v>270</v>
      </c>
      <c r="AL433" s="211"/>
      <c r="AM433" s="257" t="s">
        <v>1290</v>
      </c>
      <c r="AN433" s="212"/>
      <c r="AO433" s="215">
        <v>0.61</v>
      </c>
      <c r="AP433" s="216">
        <f t="shared" si="68"/>
        <v>9150</v>
      </c>
      <c r="AQ433" s="216">
        <f t="shared" si="69"/>
        <v>70912.5</v>
      </c>
      <c r="AR433" s="269">
        <v>61384</v>
      </c>
      <c r="AS433" s="255">
        <v>46210</v>
      </c>
      <c r="AT433" s="208" t="s">
        <v>1220</v>
      </c>
      <c r="AU433" s="253">
        <f>14988+12</f>
        <v>15000</v>
      </c>
      <c r="AV433" s="252">
        <f t="shared" si="83"/>
        <v>0</v>
      </c>
      <c r="AW433" s="252"/>
      <c r="AX433" s="256" t="s">
        <v>1280</v>
      </c>
      <c r="AY433" s="208"/>
      <c r="AZ433" s="208"/>
      <c r="BA433" s="208"/>
      <c r="BB433" s="208" t="str">
        <f t="shared" si="79"/>
        <v>JAZWARES - CLAIRE'S DOM</v>
      </c>
      <c r="BC433" s="208" t="str">
        <f t="shared" si="80"/>
        <v>美国</v>
      </c>
    </row>
    <row r="434" s="194" customFormat="1" customHeight="1" spans="1:55">
      <c r="A434" s="271">
        <v>46127</v>
      </c>
      <c r="B434" s="208" t="str">
        <f ca="1" t="shared" si="75"/>
        <v/>
      </c>
      <c r="C434" s="211" t="str">
        <f>VLOOKUP(H434,名称!A:E,4,0)</f>
        <v>三代</v>
      </c>
      <c r="D434" s="220" t="s">
        <v>1763</v>
      </c>
      <c r="E434" s="220" t="s">
        <v>1224</v>
      </c>
      <c r="F434" s="220" t="s">
        <v>727</v>
      </c>
      <c r="G434" s="220" t="s">
        <v>728</v>
      </c>
      <c r="H434" s="220" t="s">
        <v>60</v>
      </c>
      <c r="I434" s="211"/>
      <c r="J434" s="270">
        <v>15000</v>
      </c>
      <c r="K434" s="223">
        <f>VLOOKUP(H434,名称!A:C,2,0)</f>
        <v>5</v>
      </c>
      <c r="L434" s="212">
        <f t="shared" si="76"/>
        <v>75000</v>
      </c>
      <c r="M434" s="211">
        <f>VLOOKUP(H434,名称!A:E,3,0)</f>
        <v>12</v>
      </c>
      <c r="N434" s="212">
        <f t="shared" si="82"/>
        <v>1250</v>
      </c>
      <c r="O434" s="271">
        <v>46198</v>
      </c>
      <c r="P434" s="208">
        <f>O434</f>
        <v>46198</v>
      </c>
      <c r="Q434" s="208">
        <v>46198</v>
      </c>
      <c r="R434" s="241" t="s">
        <v>1241</v>
      </c>
      <c r="S434" s="271">
        <v>46203</v>
      </c>
      <c r="T434" s="241" t="s">
        <v>1241</v>
      </c>
      <c r="U434" s="211"/>
      <c r="V434" s="211"/>
      <c r="W434" s="208"/>
      <c r="X434" s="211" t="s">
        <v>1133</v>
      </c>
      <c r="Y434" s="211" t="s">
        <v>1133</v>
      </c>
      <c r="Z434" s="263">
        <v>46147</v>
      </c>
      <c r="AA434" s="214">
        <v>46161</v>
      </c>
      <c r="AB434" s="214">
        <v>46161</v>
      </c>
      <c r="AC434" s="211" t="s">
        <v>1133</v>
      </c>
      <c r="AD434" s="211" t="s">
        <v>1133</v>
      </c>
      <c r="AE434" s="220" t="s">
        <v>270</v>
      </c>
      <c r="AF434" s="211" t="s">
        <v>1228</v>
      </c>
      <c r="AG434" s="220" t="s">
        <v>270</v>
      </c>
      <c r="AH434" s="211" t="s">
        <v>1133</v>
      </c>
      <c r="AI434" s="257" t="s">
        <v>1228</v>
      </c>
      <c r="AJ434" s="257" t="s">
        <v>1133</v>
      </c>
      <c r="AK434" s="257" t="s">
        <v>270</v>
      </c>
      <c r="AL434" s="211"/>
      <c r="AM434" s="257" t="s">
        <v>1303</v>
      </c>
      <c r="AN434" s="212"/>
      <c r="AO434" s="215">
        <v>0.6</v>
      </c>
      <c r="AP434" s="216">
        <f t="shared" si="68"/>
        <v>9000</v>
      </c>
      <c r="AQ434" s="216">
        <f t="shared" si="69"/>
        <v>69750</v>
      </c>
      <c r="AR434" s="269">
        <v>61385</v>
      </c>
      <c r="AS434" s="255">
        <v>46210</v>
      </c>
      <c r="AT434" s="208" t="s">
        <v>1220</v>
      </c>
      <c r="AU434" s="253">
        <v>15000</v>
      </c>
      <c r="AV434" s="252">
        <f t="shared" si="83"/>
        <v>0</v>
      </c>
      <c r="AW434" s="252"/>
      <c r="AX434" s="256" t="s">
        <v>1280</v>
      </c>
      <c r="AY434" s="208"/>
      <c r="AZ434" s="208"/>
      <c r="BA434" s="208"/>
      <c r="BB434" s="208" t="str">
        <f t="shared" si="79"/>
        <v>JAZWARES - CLAIRE'S DOM</v>
      </c>
      <c r="BC434" s="208" t="str">
        <f t="shared" si="80"/>
        <v>美国</v>
      </c>
    </row>
    <row r="435" s="194" customFormat="1" customHeight="1" spans="1:55">
      <c r="A435" s="208">
        <v>46079</v>
      </c>
      <c r="B435" s="208" t="str">
        <f ca="1" t="shared" si="75"/>
        <v/>
      </c>
      <c r="C435" s="211" t="str">
        <f>VLOOKUP(H435,名称!A:E,4,0)</f>
        <v>三代</v>
      </c>
      <c r="D435" s="210" t="s">
        <v>1281</v>
      </c>
      <c r="E435" s="210" t="s">
        <v>1224</v>
      </c>
      <c r="F435" s="211" t="s">
        <v>522</v>
      </c>
      <c r="G435" s="211" t="s">
        <v>523</v>
      </c>
      <c r="H435" s="211" t="s">
        <v>60</v>
      </c>
      <c r="I435" s="211"/>
      <c r="J435" s="212">
        <v>4200</v>
      </c>
      <c r="K435" s="223">
        <f>VLOOKUP(H435,名称!A:C,2,0)</f>
        <v>5</v>
      </c>
      <c r="L435" s="212">
        <f t="shared" si="76"/>
        <v>21000</v>
      </c>
      <c r="M435" s="211">
        <f>VLOOKUP(H435,名称!A:E,3,0)</f>
        <v>12</v>
      </c>
      <c r="N435" s="212">
        <f t="shared" si="82"/>
        <v>350</v>
      </c>
      <c r="O435" s="208">
        <v>46195</v>
      </c>
      <c r="P435" s="208">
        <v>46195</v>
      </c>
      <c r="Q435" s="208">
        <v>46196</v>
      </c>
      <c r="R435" s="241" t="s">
        <v>1241</v>
      </c>
      <c r="S435" s="208">
        <v>46203</v>
      </c>
      <c r="T435" s="241" t="s">
        <v>1241</v>
      </c>
      <c r="U435" s="211"/>
      <c r="V435" s="211"/>
      <c r="W435" s="208"/>
      <c r="X435" s="211" t="s">
        <v>1133</v>
      </c>
      <c r="Y435" s="211" t="s">
        <v>1133</v>
      </c>
      <c r="Z435" s="213">
        <v>46162</v>
      </c>
      <c r="AA435" s="214">
        <v>46163</v>
      </c>
      <c r="AB435" s="213">
        <v>46164</v>
      </c>
      <c r="AC435" s="211" t="s">
        <v>1133</v>
      </c>
      <c r="AD435" s="211" t="s">
        <v>1133</v>
      </c>
      <c r="AE435" s="211" t="s">
        <v>270</v>
      </c>
      <c r="AF435" s="211" t="s">
        <v>1228</v>
      </c>
      <c r="AG435" s="211" t="s">
        <v>270</v>
      </c>
      <c r="AH435" s="211" t="s">
        <v>1133</v>
      </c>
      <c r="AI435" s="211" t="s">
        <v>1228</v>
      </c>
      <c r="AJ435" s="211" t="s">
        <v>1133</v>
      </c>
      <c r="AK435" s="211" t="s">
        <v>270</v>
      </c>
      <c r="AL435" s="211"/>
      <c r="AM435" s="211" t="s">
        <v>1810</v>
      </c>
      <c r="AN435" s="212"/>
      <c r="AO435" s="215">
        <v>0.6</v>
      </c>
      <c r="AP435" s="216">
        <f t="shared" si="68"/>
        <v>2520</v>
      </c>
      <c r="AQ435" s="216">
        <f t="shared" si="69"/>
        <v>19530</v>
      </c>
      <c r="AR435" s="269">
        <v>61386</v>
      </c>
      <c r="AS435" s="255">
        <v>46210</v>
      </c>
      <c r="AT435" s="208" t="s">
        <v>1220</v>
      </c>
      <c r="AU435" s="251">
        <v>4200</v>
      </c>
      <c r="AV435" s="252">
        <f t="shared" si="83"/>
        <v>0</v>
      </c>
      <c r="AW435" s="252"/>
      <c r="AX435" s="208" t="s">
        <v>1280</v>
      </c>
      <c r="AY435" s="208"/>
      <c r="AZ435" s="208"/>
      <c r="BA435" s="208"/>
      <c r="BB435" s="208" t="str">
        <f t="shared" si="79"/>
        <v>Jazwares, LLC</v>
      </c>
      <c r="BC435" s="208" t="str">
        <f t="shared" si="80"/>
        <v>美国</v>
      </c>
    </row>
    <row r="436" s="194" customFormat="1" customHeight="1" spans="1:55">
      <c r="A436" s="208">
        <v>46079</v>
      </c>
      <c r="B436" s="208" t="str">
        <f ca="1" t="shared" si="75"/>
        <v/>
      </c>
      <c r="C436" s="211" t="str">
        <f>VLOOKUP(H436,名称!A:E,4,0)</f>
        <v>三代</v>
      </c>
      <c r="D436" s="210" t="s">
        <v>1281</v>
      </c>
      <c r="E436" s="210" t="s">
        <v>1224</v>
      </c>
      <c r="F436" s="211" t="s">
        <v>518</v>
      </c>
      <c r="G436" s="211" t="s">
        <v>519</v>
      </c>
      <c r="H436" s="211" t="s">
        <v>105</v>
      </c>
      <c r="I436" s="211"/>
      <c r="J436" s="212">
        <v>1380</v>
      </c>
      <c r="K436" s="223">
        <f>VLOOKUP(H436,名称!A:C,2,0)</f>
        <v>5</v>
      </c>
      <c r="L436" s="212">
        <f t="shared" si="76"/>
        <v>6900</v>
      </c>
      <c r="M436" s="211">
        <f>VLOOKUP(H436,名称!A:E,3,0)</f>
        <v>12</v>
      </c>
      <c r="N436" s="212">
        <f t="shared" si="82"/>
        <v>115</v>
      </c>
      <c r="O436" s="208">
        <v>46197</v>
      </c>
      <c r="P436" s="208">
        <v>46197</v>
      </c>
      <c r="Q436" s="256">
        <v>46191</v>
      </c>
      <c r="R436" s="241" t="s">
        <v>1282</v>
      </c>
      <c r="S436" s="256">
        <v>46191</v>
      </c>
      <c r="T436" s="241" t="s">
        <v>1241</v>
      </c>
      <c r="U436" s="211"/>
      <c r="V436" s="241" t="s">
        <v>1815</v>
      </c>
      <c r="W436" s="208"/>
      <c r="X436" s="211" t="s">
        <v>1133</v>
      </c>
      <c r="Y436" s="211" t="s">
        <v>1133</v>
      </c>
      <c r="Z436" s="213">
        <v>46085</v>
      </c>
      <c r="AA436" s="214">
        <v>46085</v>
      </c>
      <c r="AB436" s="213">
        <v>46090</v>
      </c>
      <c r="AC436" s="211" t="s">
        <v>1133</v>
      </c>
      <c r="AD436" s="211" t="s">
        <v>1133</v>
      </c>
      <c r="AE436" s="211" t="s">
        <v>270</v>
      </c>
      <c r="AF436" s="211" t="s">
        <v>1228</v>
      </c>
      <c r="AG436" s="211" t="s">
        <v>270</v>
      </c>
      <c r="AH436" s="211" t="s">
        <v>1133</v>
      </c>
      <c r="AI436" s="211" t="s">
        <v>1228</v>
      </c>
      <c r="AJ436" s="211" t="s">
        <v>1133</v>
      </c>
      <c r="AK436" s="211" t="s">
        <v>270</v>
      </c>
      <c r="AL436" s="211"/>
      <c r="AM436" s="211" t="s">
        <v>1506</v>
      </c>
      <c r="AN436" s="212"/>
      <c r="AO436" s="215">
        <v>0.61</v>
      </c>
      <c r="AP436" s="216">
        <f t="shared" si="68"/>
        <v>841.8</v>
      </c>
      <c r="AQ436" s="216">
        <f t="shared" si="69"/>
        <v>6523.95</v>
      </c>
      <c r="AR436" s="269">
        <v>61387</v>
      </c>
      <c r="AS436" s="255">
        <v>46210</v>
      </c>
      <c r="AT436" s="208" t="s">
        <v>1220</v>
      </c>
      <c r="AU436" s="278">
        <v>1380</v>
      </c>
      <c r="AV436" s="252">
        <f t="shared" si="83"/>
        <v>0</v>
      </c>
      <c r="AW436" s="252"/>
      <c r="AX436" s="208" t="s">
        <v>1280</v>
      </c>
      <c r="AY436" s="208"/>
      <c r="AZ436" s="208"/>
      <c r="BA436" s="208"/>
      <c r="BB436" s="273" t="str">
        <f t="shared" si="79"/>
        <v>Jazwares, LLC</v>
      </c>
      <c r="BC436" s="273" t="str">
        <f t="shared" si="80"/>
        <v>美国</v>
      </c>
    </row>
    <row r="437" s="194" customFormat="1" customHeight="1" spans="1:55">
      <c r="A437" s="208">
        <v>46079</v>
      </c>
      <c r="B437" s="208" t="str">
        <f ca="1" t="shared" si="75"/>
        <v/>
      </c>
      <c r="C437" s="211" t="str">
        <f>VLOOKUP(H437,名称!A:E,4,0)</f>
        <v>三代</v>
      </c>
      <c r="D437" s="210" t="s">
        <v>1281</v>
      </c>
      <c r="E437" s="210" t="s">
        <v>1224</v>
      </c>
      <c r="F437" s="211" t="s">
        <v>520</v>
      </c>
      <c r="G437" s="211" t="s">
        <v>521</v>
      </c>
      <c r="H437" s="211" t="s">
        <v>83</v>
      </c>
      <c r="I437" s="211"/>
      <c r="J437" s="212">
        <v>1836</v>
      </c>
      <c r="K437" s="223">
        <f>VLOOKUP(H437,名称!A:C,2,0)</f>
        <v>5</v>
      </c>
      <c r="L437" s="212">
        <f t="shared" si="76"/>
        <v>9180</v>
      </c>
      <c r="M437" s="211">
        <f>VLOOKUP(H437,名称!A:E,3,0)</f>
        <v>12</v>
      </c>
      <c r="N437" s="212">
        <f t="shared" si="82"/>
        <v>153</v>
      </c>
      <c r="O437" s="208">
        <v>46183</v>
      </c>
      <c r="P437" s="208">
        <v>46183</v>
      </c>
      <c r="Q437" s="256">
        <v>46188</v>
      </c>
      <c r="R437" s="241" t="s">
        <v>1241</v>
      </c>
      <c r="S437" s="256">
        <v>46191</v>
      </c>
      <c r="T437" s="267" t="s">
        <v>1241</v>
      </c>
      <c r="U437" s="211"/>
      <c r="V437" s="241" t="s">
        <v>1773</v>
      </c>
      <c r="W437" s="208"/>
      <c r="X437" s="211" t="s">
        <v>1133</v>
      </c>
      <c r="Y437" s="211" t="s">
        <v>1133</v>
      </c>
      <c r="Z437" s="213">
        <v>46090</v>
      </c>
      <c r="AA437" s="214">
        <v>46091</v>
      </c>
      <c r="AB437" s="213">
        <v>46091</v>
      </c>
      <c r="AC437" s="211" t="s">
        <v>1133</v>
      </c>
      <c r="AD437" s="211" t="s">
        <v>1133</v>
      </c>
      <c r="AE437" s="211" t="s">
        <v>270</v>
      </c>
      <c r="AF437" s="211" t="s">
        <v>1228</v>
      </c>
      <c r="AG437" s="211" t="s">
        <v>270</v>
      </c>
      <c r="AH437" s="211" t="s">
        <v>1133</v>
      </c>
      <c r="AI437" s="211" t="s">
        <v>1228</v>
      </c>
      <c r="AJ437" s="211" t="s">
        <v>1133</v>
      </c>
      <c r="AK437" s="211" t="s">
        <v>270</v>
      </c>
      <c r="AL437" s="211"/>
      <c r="AM437" s="211" t="s">
        <v>1289</v>
      </c>
      <c r="AN437" s="212"/>
      <c r="AO437" s="215">
        <v>0.91</v>
      </c>
      <c r="AP437" s="216">
        <f t="shared" si="68"/>
        <v>1670.76</v>
      </c>
      <c r="AQ437" s="216">
        <f t="shared" si="69"/>
        <v>12948.39</v>
      </c>
      <c r="AR437" s="269">
        <v>61388</v>
      </c>
      <c r="AS437" s="255">
        <v>46210</v>
      </c>
      <c r="AT437" s="208" t="s">
        <v>1220</v>
      </c>
      <c r="AU437" s="253">
        <f>3864</f>
        <v>3864</v>
      </c>
      <c r="AV437" s="252">
        <f t="shared" si="83"/>
        <v>2028</v>
      </c>
      <c r="AW437" s="252"/>
      <c r="AX437" s="208" t="s">
        <v>1280</v>
      </c>
      <c r="AY437" s="208"/>
      <c r="AZ437" s="208"/>
      <c r="BA437" s="208"/>
      <c r="BB437" s="208" t="str">
        <f t="shared" si="79"/>
        <v>Jazwares, LLC</v>
      </c>
      <c r="BC437" s="208" t="str">
        <f t="shared" si="80"/>
        <v>美国</v>
      </c>
    </row>
    <row r="438" s="194" customFormat="1" customHeight="1" spans="1:55">
      <c r="A438" s="208">
        <v>46031</v>
      </c>
      <c r="B438" s="208" t="str">
        <f ca="1" t="shared" si="75"/>
        <v/>
      </c>
      <c r="C438" s="211" t="str">
        <f>VLOOKUP(H438,名称!A:E,4,0)</f>
        <v>三代</v>
      </c>
      <c r="D438" s="210" t="s">
        <v>1276</v>
      </c>
      <c r="E438" s="210" t="s">
        <v>1224</v>
      </c>
      <c r="F438" s="211" t="s">
        <v>404</v>
      </c>
      <c r="G438" s="211" t="s">
        <v>405</v>
      </c>
      <c r="H438" s="211" t="s">
        <v>61</v>
      </c>
      <c r="I438" s="211"/>
      <c r="J438" s="212">
        <v>12504</v>
      </c>
      <c r="K438" s="223">
        <f>VLOOKUP(H438,名称!A:C,2,0)</f>
        <v>5</v>
      </c>
      <c r="L438" s="212">
        <f t="shared" si="76"/>
        <v>62520</v>
      </c>
      <c r="M438" s="211">
        <f>VLOOKUP(H438,名称!A:E,3,0)</f>
        <v>24</v>
      </c>
      <c r="N438" s="212">
        <f t="shared" si="82"/>
        <v>521</v>
      </c>
      <c r="O438" s="208">
        <v>46150</v>
      </c>
      <c r="P438" s="208">
        <v>46160</v>
      </c>
      <c r="Q438" s="208">
        <v>46160</v>
      </c>
      <c r="R438" s="211" t="s">
        <v>1241</v>
      </c>
      <c r="S438" s="208">
        <v>46160</v>
      </c>
      <c r="T438" s="211" t="s">
        <v>1282</v>
      </c>
      <c r="U438" s="213">
        <v>46157</v>
      </c>
      <c r="V438" s="211" t="s">
        <v>1773</v>
      </c>
      <c r="W438" s="208"/>
      <c r="X438" s="211" t="s">
        <v>1133</v>
      </c>
      <c r="Y438" s="211" t="s">
        <v>1133</v>
      </c>
      <c r="Z438" s="213">
        <v>46059</v>
      </c>
      <c r="AA438" s="214">
        <v>46079</v>
      </c>
      <c r="AB438" s="213">
        <v>46080</v>
      </c>
      <c r="AC438" s="211" t="s">
        <v>1133</v>
      </c>
      <c r="AD438" s="211" t="s">
        <v>1133</v>
      </c>
      <c r="AE438" s="211" t="s">
        <v>270</v>
      </c>
      <c r="AF438" s="211" t="s">
        <v>1228</v>
      </c>
      <c r="AG438" s="211" t="s">
        <v>270</v>
      </c>
      <c r="AH438" s="211" t="s">
        <v>1133</v>
      </c>
      <c r="AI438" s="211" t="s">
        <v>1228</v>
      </c>
      <c r="AJ438" s="211" t="s">
        <v>1133</v>
      </c>
      <c r="AK438" s="211" t="s">
        <v>270</v>
      </c>
      <c r="AL438" s="211"/>
      <c r="AM438" s="211" t="s">
        <v>1296</v>
      </c>
      <c r="AN438" s="212"/>
      <c r="AO438" s="215">
        <v>0.61</v>
      </c>
      <c r="AP438" s="216">
        <f t="shared" si="68"/>
        <v>7627.44</v>
      </c>
      <c r="AQ438" s="216">
        <f t="shared" si="69"/>
        <v>59112.66</v>
      </c>
      <c r="AR438" s="269">
        <v>61389</v>
      </c>
      <c r="AS438" s="255">
        <v>46210</v>
      </c>
      <c r="AT438" s="208" t="s">
        <v>1220</v>
      </c>
      <c r="AU438" s="251">
        <f>12480+24</f>
        <v>12504</v>
      </c>
      <c r="AV438" s="252">
        <f t="shared" si="83"/>
        <v>0</v>
      </c>
      <c r="AW438" s="252"/>
      <c r="AX438" s="208" t="s">
        <v>1280</v>
      </c>
      <c r="AY438" s="208"/>
      <c r="AZ438" s="208"/>
      <c r="BA438" s="208"/>
      <c r="BB438" s="208" t="str">
        <f t="shared" si="79"/>
        <v>Jazwares- TARGET US DOM</v>
      </c>
      <c r="BC438" s="208" t="str">
        <f t="shared" si="80"/>
        <v>美国</v>
      </c>
    </row>
    <row r="439" s="194" customFormat="1" customHeight="1" spans="1:55">
      <c r="A439" s="208">
        <v>46049</v>
      </c>
      <c r="B439" s="208" t="str">
        <f ca="1" t="shared" si="75"/>
        <v/>
      </c>
      <c r="C439" s="211" t="str">
        <f>VLOOKUP(H439,名称!A:E,4,0)</f>
        <v>三代</v>
      </c>
      <c r="D439" s="210" t="s">
        <v>1287</v>
      </c>
      <c r="E439" s="210" t="s">
        <v>1224</v>
      </c>
      <c r="F439" s="211" t="s">
        <v>469</v>
      </c>
      <c r="G439" s="211" t="s">
        <v>470</v>
      </c>
      <c r="H439" s="211" t="s">
        <v>83</v>
      </c>
      <c r="I439" s="211"/>
      <c r="J439" s="212">
        <v>20004</v>
      </c>
      <c r="K439" s="223">
        <f>VLOOKUP(H439,名称!A:C,2,0)</f>
        <v>5</v>
      </c>
      <c r="L439" s="212">
        <f t="shared" si="76"/>
        <v>100020</v>
      </c>
      <c r="M439" s="211">
        <f>VLOOKUP(H439,名称!A:E,3,0)</f>
        <v>12</v>
      </c>
      <c r="N439" s="212">
        <f t="shared" si="82"/>
        <v>1667</v>
      </c>
      <c r="O439" s="208">
        <v>46175</v>
      </c>
      <c r="P439" s="208">
        <v>46183</v>
      </c>
      <c r="Q439" s="256">
        <v>46199</v>
      </c>
      <c r="R439" s="241" t="s">
        <v>1241</v>
      </c>
      <c r="S439" s="273" t="s">
        <v>1288</v>
      </c>
      <c r="T439" s="241" t="s">
        <v>1241</v>
      </c>
      <c r="U439" s="211"/>
      <c r="V439" s="211"/>
      <c r="W439" s="208"/>
      <c r="X439" s="211" t="s">
        <v>1133</v>
      </c>
      <c r="Y439" s="211" t="s">
        <v>1133</v>
      </c>
      <c r="Z439" s="213">
        <v>46090</v>
      </c>
      <c r="AA439" s="214">
        <v>46091</v>
      </c>
      <c r="AB439" s="214">
        <v>46091</v>
      </c>
      <c r="AC439" s="211" t="s">
        <v>1133</v>
      </c>
      <c r="AD439" s="211" t="s">
        <v>1133</v>
      </c>
      <c r="AE439" s="211" t="s">
        <v>270</v>
      </c>
      <c r="AF439" s="211" t="s">
        <v>1228</v>
      </c>
      <c r="AG439" s="211" t="s">
        <v>270</v>
      </c>
      <c r="AH439" s="211" t="s">
        <v>1133</v>
      </c>
      <c r="AI439" s="211" t="s">
        <v>1228</v>
      </c>
      <c r="AJ439" s="211" t="s">
        <v>1133</v>
      </c>
      <c r="AK439" s="211" t="s">
        <v>270</v>
      </c>
      <c r="AL439" s="211"/>
      <c r="AM439" s="211" t="s">
        <v>1289</v>
      </c>
      <c r="AN439" s="212"/>
      <c r="AO439" s="215">
        <v>0.91</v>
      </c>
      <c r="AP439" s="216">
        <f t="shared" si="68"/>
        <v>18203.64</v>
      </c>
      <c r="AQ439" s="216">
        <f t="shared" si="69"/>
        <v>141078.21</v>
      </c>
      <c r="AR439" s="269">
        <v>61390</v>
      </c>
      <c r="AS439" s="255">
        <v>46210</v>
      </c>
      <c r="AT439" s="208" t="s">
        <v>1220</v>
      </c>
      <c r="AU439" s="253"/>
      <c r="AV439" s="252">
        <f t="shared" si="83"/>
        <v>-20004</v>
      </c>
      <c r="AW439" s="252"/>
      <c r="AX439" s="208" t="s">
        <v>1280</v>
      </c>
      <c r="AY439" s="208"/>
      <c r="AZ439" s="208"/>
      <c r="BA439" s="208"/>
      <c r="BB439" s="208" t="str">
        <f t="shared" si="79"/>
        <v>WALGREEN</v>
      </c>
      <c r="BC439" s="208" t="str">
        <f t="shared" si="80"/>
        <v>美国</v>
      </c>
    </row>
    <row r="440" s="194" customFormat="1" customHeight="1" spans="1:55">
      <c r="A440" s="208">
        <v>46059</v>
      </c>
      <c r="B440" s="208" t="str">
        <f ca="1" t="shared" si="75"/>
        <v/>
      </c>
      <c r="C440" s="211" t="str">
        <f>VLOOKUP(H440,名称!A:E,4,0)</f>
        <v>三代</v>
      </c>
      <c r="D440" s="210" t="s">
        <v>1281</v>
      </c>
      <c r="E440" s="210" t="s">
        <v>1224</v>
      </c>
      <c r="F440" s="211" t="s">
        <v>507</v>
      </c>
      <c r="G440" s="211" t="s">
        <v>508</v>
      </c>
      <c r="H440" s="211" t="s">
        <v>92</v>
      </c>
      <c r="I440" s="211"/>
      <c r="J440" s="212">
        <v>22256</v>
      </c>
      <c r="K440" s="223">
        <f>VLOOKUP(H440,名称!A:C,2,0)</f>
        <v>7</v>
      </c>
      <c r="L440" s="212">
        <f t="shared" si="76"/>
        <v>155792</v>
      </c>
      <c r="M440" s="211">
        <f>VLOOKUP(H440,名称!A:E,3,0)</f>
        <v>16</v>
      </c>
      <c r="N440" s="212">
        <f t="shared" si="82"/>
        <v>1391</v>
      </c>
      <c r="O440" s="208">
        <v>46175</v>
      </c>
      <c r="P440" s="208">
        <v>46175</v>
      </c>
      <c r="Q440" s="208">
        <v>46181</v>
      </c>
      <c r="R440" s="241" t="s">
        <v>1241</v>
      </c>
      <c r="S440" s="208">
        <v>46188</v>
      </c>
      <c r="T440" s="241" t="s">
        <v>1241</v>
      </c>
      <c r="U440" s="211"/>
      <c r="V440" s="211"/>
      <c r="W440" s="208"/>
      <c r="X440" s="211" t="s">
        <v>1133</v>
      </c>
      <c r="Y440" s="211" t="s">
        <v>1133</v>
      </c>
      <c r="Z440" s="213">
        <v>46090</v>
      </c>
      <c r="AA440" s="213">
        <v>46090</v>
      </c>
      <c r="AB440" s="213">
        <v>46090</v>
      </c>
      <c r="AC440" s="211" t="s">
        <v>1284</v>
      </c>
      <c r="AD440" s="211" t="s">
        <v>1228</v>
      </c>
      <c r="AE440" s="211" t="s">
        <v>270</v>
      </c>
      <c r="AF440" s="211" t="s">
        <v>1228</v>
      </c>
      <c r="AG440" s="211" t="s">
        <v>270</v>
      </c>
      <c r="AH440" s="211" t="s">
        <v>1285</v>
      </c>
      <c r="AI440" s="211" t="s">
        <v>1228</v>
      </c>
      <c r="AJ440" s="211" t="s">
        <v>1133</v>
      </c>
      <c r="AK440" s="211" t="s">
        <v>1133</v>
      </c>
      <c r="AL440" s="211"/>
      <c r="AM440" s="211" t="s">
        <v>1289</v>
      </c>
      <c r="AN440" s="212"/>
      <c r="AO440" s="215">
        <v>0.86</v>
      </c>
      <c r="AP440" s="216">
        <f t="shared" si="68"/>
        <v>19140.16</v>
      </c>
      <c r="AQ440" s="216">
        <f t="shared" si="69"/>
        <v>148336.24</v>
      </c>
      <c r="AR440" s="269">
        <v>61391</v>
      </c>
      <c r="AS440" s="255">
        <v>46210</v>
      </c>
      <c r="AT440" s="208" t="s">
        <v>1220</v>
      </c>
      <c r="AU440" s="253">
        <f>16320+3632+4320+11040+9120+4368+2400</f>
        <v>51200</v>
      </c>
      <c r="AV440" s="252">
        <f t="shared" si="83"/>
        <v>28944</v>
      </c>
      <c r="AW440" s="252"/>
      <c r="AX440" s="208" t="s">
        <v>1280</v>
      </c>
      <c r="AY440" s="208"/>
      <c r="AZ440" s="208"/>
      <c r="BA440" s="208"/>
      <c r="BB440" s="208" t="str">
        <f t="shared" si="79"/>
        <v>Jazwares, LLC</v>
      </c>
      <c r="BC440" s="208" t="str">
        <f t="shared" si="80"/>
        <v>美国</v>
      </c>
    </row>
    <row r="441" s="194" customFormat="1" customHeight="1" spans="1:55">
      <c r="A441" s="208">
        <v>46113</v>
      </c>
      <c r="B441" s="208" t="str">
        <f ca="1" t="shared" si="75"/>
        <v/>
      </c>
      <c r="C441" s="211" t="str">
        <f>VLOOKUP(H441,名称!A:E,4,0)</f>
        <v>三代</v>
      </c>
      <c r="D441" s="210" t="s">
        <v>1276</v>
      </c>
      <c r="E441" s="210" t="s">
        <v>1224</v>
      </c>
      <c r="F441" s="211" t="s">
        <v>587</v>
      </c>
      <c r="G441" s="211" t="s">
        <v>588</v>
      </c>
      <c r="H441" s="211" t="s">
        <v>59</v>
      </c>
      <c r="I441" s="211"/>
      <c r="J441" s="212">
        <v>20016</v>
      </c>
      <c r="K441" s="223">
        <f>VLOOKUP(H441,名称!A:C,2,0)</f>
        <v>5</v>
      </c>
      <c r="L441" s="212">
        <f t="shared" si="76"/>
        <v>100080</v>
      </c>
      <c r="M441" s="211">
        <f>VLOOKUP(H441,名称!A:E,3,0)</f>
        <v>24</v>
      </c>
      <c r="N441" s="212">
        <f t="shared" si="82"/>
        <v>834</v>
      </c>
      <c r="O441" s="208">
        <v>46198</v>
      </c>
      <c r="P441" s="256">
        <f t="shared" ref="P441:P466" si="84">O441</f>
        <v>46198</v>
      </c>
      <c r="Q441" s="256">
        <v>46206</v>
      </c>
      <c r="R441" s="241" t="s">
        <v>1241</v>
      </c>
      <c r="S441" s="256">
        <v>46206</v>
      </c>
      <c r="T441" s="241" t="s">
        <v>1241</v>
      </c>
      <c r="U441" s="211"/>
      <c r="V441" s="211"/>
      <c r="W441" s="208"/>
      <c r="X441" s="211" t="s">
        <v>1133</v>
      </c>
      <c r="Y441" s="211" t="s">
        <v>1133</v>
      </c>
      <c r="Z441" s="213">
        <v>46133</v>
      </c>
      <c r="AA441" s="214">
        <v>46142</v>
      </c>
      <c r="AB441" s="213">
        <v>46148</v>
      </c>
      <c r="AC441" s="211" t="s">
        <v>1133</v>
      </c>
      <c r="AD441" s="211" t="s">
        <v>1133</v>
      </c>
      <c r="AE441" s="211" t="s">
        <v>270</v>
      </c>
      <c r="AF441" s="211" t="s">
        <v>1228</v>
      </c>
      <c r="AG441" s="211" t="s">
        <v>270</v>
      </c>
      <c r="AH441" s="211" t="s">
        <v>1133</v>
      </c>
      <c r="AI441" s="211" t="s">
        <v>1228</v>
      </c>
      <c r="AJ441" s="211" t="s">
        <v>1133</v>
      </c>
      <c r="AK441" s="211" t="s">
        <v>270</v>
      </c>
      <c r="AL441" s="211"/>
      <c r="AM441" s="211" t="s">
        <v>1290</v>
      </c>
      <c r="AN441" s="212"/>
      <c r="AO441" s="215">
        <v>0.62</v>
      </c>
      <c r="AP441" s="216">
        <f t="shared" si="68"/>
        <v>12409.92</v>
      </c>
      <c r="AQ441" s="216">
        <f t="shared" si="69"/>
        <v>96176.88</v>
      </c>
      <c r="AR441" s="269">
        <v>61392</v>
      </c>
      <c r="AS441" s="255">
        <v>46210</v>
      </c>
      <c r="AT441" s="208" t="s">
        <v>1220</v>
      </c>
      <c r="AU441" s="253">
        <f>6720+2016+11280</f>
        <v>20016</v>
      </c>
      <c r="AV441" s="252">
        <f t="shared" si="83"/>
        <v>0</v>
      </c>
      <c r="AW441" s="252"/>
      <c r="AX441" s="256" t="s">
        <v>1280</v>
      </c>
      <c r="AY441" s="208"/>
      <c r="AZ441" s="208"/>
      <c r="BA441" s="208"/>
      <c r="BB441" s="208" t="str">
        <f t="shared" si="79"/>
        <v>Jazwares- TARGET US DOM</v>
      </c>
      <c r="BC441" s="208" t="str">
        <f t="shared" si="80"/>
        <v>美国</v>
      </c>
    </row>
    <row r="442" s="194" customFormat="1" customHeight="1" spans="1:55">
      <c r="A442" s="208">
        <v>46077</v>
      </c>
      <c r="B442" s="208" t="str">
        <f ca="1" t="shared" si="75"/>
        <v/>
      </c>
      <c r="C442" s="211" t="str">
        <f>VLOOKUP(H442,名称!A:E,4,0)</f>
        <v>三代</v>
      </c>
      <c r="D442" s="210" t="s">
        <v>1257</v>
      </c>
      <c r="E442" s="210" t="s">
        <v>1258</v>
      </c>
      <c r="F442" s="211"/>
      <c r="G442" s="211" t="s">
        <v>517</v>
      </c>
      <c r="H442" s="211" t="s">
        <v>104</v>
      </c>
      <c r="I442" s="211"/>
      <c r="J442" s="212">
        <v>5004</v>
      </c>
      <c r="K442" s="223">
        <f>VLOOKUP(H442,名称!A:C,2,0)</f>
        <v>12</v>
      </c>
      <c r="L442" s="212">
        <f t="shared" si="76"/>
        <v>60048</v>
      </c>
      <c r="M442" s="211">
        <f>VLOOKUP(H442,名称!A:E,3,0)</f>
        <v>6</v>
      </c>
      <c r="N442" s="212">
        <f t="shared" si="82"/>
        <v>834</v>
      </c>
      <c r="O442" s="208">
        <v>46139</v>
      </c>
      <c r="P442" s="208">
        <v>46198</v>
      </c>
      <c r="Q442" s="208">
        <v>46209</v>
      </c>
      <c r="R442" s="211"/>
      <c r="S442" s="208">
        <v>46209</v>
      </c>
      <c r="T442" s="267" t="s">
        <v>1241</v>
      </c>
      <c r="U442" s="211"/>
      <c r="V442" s="211"/>
      <c r="W442" s="208"/>
      <c r="X442" s="211" t="s">
        <v>1133</v>
      </c>
      <c r="Y442" s="211" t="s">
        <v>1133</v>
      </c>
      <c r="Z442" s="213">
        <v>46097</v>
      </c>
      <c r="AA442" s="213">
        <v>46097</v>
      </c>
      <c r="AB442" s="213">
        <v>46112</v>
      </c>
      <c r="AC442" s="211" t="s">
        <v>1302</v>
      </c>
      <c r="AD442" s="211" t="s">
        <v>1228</v>
      </c>
      <c r="AE442" s="211" t="s">
        <v>334</v>
      </c>
      <c r="AF442" s="211" t="s">
        <v>1228</v>
      </c>
      <c r="AG442" s="211" t="s">
        <v>334</v>
      </c>
      <c r="AH442" s="211" t="s">
        <v>1361</v>
      </c>
      <c r="AI442" s="211" t="s">
        <v>1228</v>
      </c>
      <c r="AJ442" s="211" t="s">
        <v>1133</v>
      </c>
      <c r="AK442" s="211" t="s">
        <v>1133</v>
      </c>
      <c r="AL442" s="241" t="s">
        <v>1228</v>
      </c>
      <c r="AM442" s="211" t="s">
        <v>1362</v>
      </c>
      <c r="AN442" s="212"/>
      <c r="AO442" s="215">
        <v>1.56</v>
      </c>
      <c r="AP442" s="216">
        <f t="shared" si="68"/>
        <v>7806.24</v>
      </c>
      <c r="AQ442" s="216">
        <f t="shared" si="69"/>
        <v>60498.36</v>
      </c>
      <c r="AR442" s="269">
        <v>61393</v>
      </c>
      <c r="AS442" s="255">
        <v>46213</v>
      </c>
      <c r="AT442" s="208" t="s">
        <v>1310</v>
      </c>
      <c r="AU442" s="251">
        <v>5004</v>
      </c>
      <c r="AV442" s="252">
        <f t="shared" si="83"/>
        <v>0</v>
      </c>
      <c r="AW442" s="252"/>
      <c r="AX442" s="208"/>
      <c r="AY442" s="208"/>
      <c r="AZ442" s="208"/>
      <c r="BA442" s="208"/>
      <c r="BB442" s="208" t="str">
        <f t="shared" si="79"/>
        <v>Character Options</v>
      </c>
      <c r="BC442" s="208" t="str">
        <f t="shared" si="80"/>
        <v>英国</v>
      </c>
    </row>
    <row r="443" s="194" customFormat="1" customHeight="1" spans="1:55">
      <c r="A443" s="208">
        <v>46092</v>
      </c>
      <c r="B443" s="208" t="str">
        <f ca="1" t="shared" si="75"/>
        <v/>
      </c>
      <c r="C443" s="211" t="str">
        <f>VLOOKUP(H443,名称!A:E,4,0)</f>
        <v>三代</v>
      </c>
      <c r="D443" s="210" t="s">
        <v>1257</v>
      </c>
      <c r="E443" s="210" t="s">
        <v>1258</v>
      </c>
      <c r="F443" s="211" t="s">
        <v>1747</v>
      </c>
      <c r="G443" s="211" t="s">
        <v>545</v>
      </c>
      <c r="H443" s="211" t="s">
        <v>104</v>
      </c>
      <c r="I443" s="211"/>
      <c r="J443" s="212">
        <v>5004</v>
      </c>
      <c r="K443" s="223">
        <f>VLOOKUP(H443,名称!A:C,2,0)</f>
        <v>12</v>
      </c>
      <c r="L443" s="212">
        <f t="shared" si="76"/>
        <v>60048</v>
      </c>
      <c r="M443" s="211">
        <f>VLOOKUP(H443,名称!A:E,3,0)</f>
        <v>6</v>
      </c>
      <c r="N443" s="212">
        <f t="shared" si="82"/>
        <v>834</v>
      </c>
      <c r="O443" s="208">
        <v>46150</v>
      </c>
      <c r="P443" s="208">
        <v>46206</v>
      </c>
      <c r="Q443" s="208">
        <v>46209</v>
      </c>
      <c r="R443" s="211"/>
      <c r="S443" s="208">
        <v>46209</v>
      </c>
      <c r="T443" s="267" t="s">
        <v>1241</v>
      </c>
      <c r="U443" s="211"/>
      <c r="V443" s="211"/>
      <c r="W443" s="208"/>
      <c r="X443" s="211" t="s">
        <v>1133</v>
      </c>
      <c r="Y443" s="211" t="s">
        <v>1133</v>
      </c>
      <c r="Z443" s="213">
        <v>46092</v>
      </c>
      <c r="AA443" s="214">
        <v>46105</v>
      </c>
      <c r="AB443" s="214">
        <v>46114</v>
      </c>
      <c r="AC443" s="211" t="s">
        <v>1302</v>
      </c>
      <c r="AD443" s="211" t="s">
        <v>1228</v>
      </c>
      <c r="AE443" s="211" t="s">
        <v>334</v>
      </c>
      <c r="AF443" s="211" t="s">
        <v>1228</v>
      </c>
      <c r="AG443" s="211" t="s">
        <v>334</v>
      </c>
      <c r="AH443" s="211" t="s">
        <v>1361</v>
      </c>
      <c r="AI443" s="211" t="s">
        <v>1228</v>
      </c>
      <c r="AJ443" s="211" t="s">
        <v>1133</v>
      </c>
      <c r="AK443" s="211" t="s">
        <v>1133</v>
      </c>
      <c r="AL443" s="241" t="s">
        <v>1228</v>
      </c>
      <c r="AM443" s="211" t="s">
        <v>1816</v>
      </c>
      <c r="AN443" s="212"/>
      <c r="AO443" s="215">
        <v>1.56</v>
      </c>
      <c r="AP443" s="216">
        <f t="shared" si="68"/>
        <v>7806.24</v>
      </c>
      <c r="AQ443" s="216">
        <f t="shared" si="69"/>
        <v>60498.36</v>
      </c>
      <c r="AR443" s="269">
        <v>61394</v>
      </c>
      <c r="AS443" s="255">
        <v>46213</v>
      </c>
      <c r="AT443" s="208" t="s">
        <v>1310</v>
      </c>
      <c r="AU443" s="251">
        <f>4884+120</f>
        <v>5004</v>
      </c>
      <c r="AV443" s="252">
        <f t="shared" si="83"/>
        <v>0</v>
      </c>
      <c r="AW443" s="252"/>
      <c r="AX443" s="256"/>
      <c r="AY443" s="208"/>
      <c r="AZ443" s="208"/>
      <c r="BA443" s="208"/>
      <c r="BB443" s="208" t="str">
        <f t="shared" si="79"/>
        <v>Character Options</v>
      </c>
      <c r="BC443" s="208" t="str">
        <f t="shared" si="80"/>
        <v>英国</v>
      </c>
    </row>
    <row r="444" s="194" customFormat="1" customHeight="1" spans="1:55">
      <c r="A444" s="208">
        <v>46142</v>
      </c>
      <c r="B444" s="208" t="str">
        <f ca="1" t="shared" si="75"/>
        <v/>
      </c>
      <c r="C444" s="211" t="str">
        <f>VLOOKUP(H444,名称!A:E,4,0)</f>
        <v>三代</v>
      </c>
      <c r="D444" s="220" t="s">
        <v>1257</v>
      </c>
      <c r="E444" s="220" t="s">
        <v>1258</v>
      </c>
      <c r="F444" s="220" t="s">
        <v>810</v>
      </c>
      <c r="G444" s="220" t="s">
        <v>811</v>
      </c>
      <c r="H444" s="220" t="s">
        <v>68</v>
      </c>
      <c r="I444" s="211"/>
      <c r="J444" s="270">
        <v>5000</v>
      </c>
      <c r="K444" s="223">
        <f>VLOOKUP(H444,名称!A:C,2,0)</f>
        <v>32</v>
      </c>
      <c r="L444" s="212">
        <f t="shared" si="76"/>
        <v>160000</v>
      </c>
      <c r="M444" s="211">
        <f>VLOOKUP(H444,名称!A:E,3,0)</f>
        <v>4</v>
      </c>
      <c r="N444" s="212">
        <f t="shared" si="82"/>
        <v>1250</v>
      </c>
      <c r="O444" s="271">
        <v>46202</v>
      </c>
      <c r="P444" s="208">
        <f t="shared" si="84"/>
        <v>46202</v>
      </c>
      <c r="Q444" s="208">
        <v>46199</v>
      </c>
      <c r="R444" s="241" t="s">
        <v>1241</v>
      </c>
      <c r="S444" s="208">
        <v>46206</v>
      </c>
      <c r="T444" s="267" t="s">
        <v>1241</v>
      </c>
      <c r="U444" s="211"/>
      <c r="V444" s="211"/>
      <c r="W444" s="208"/>
      <c r="X444" s="257" t="s">
        <v>1133</v>
      </c>
      <c r="Y444" s="257" t="s">
        <v>1133</v>
      </c>
      <c r="Z444" s="211" t="s">
        <v>1249</v>
      </c>
      <c r="AA444" s="214">
        <v>46156</v>
      </c>
      <c r="AB444" s="213">
        <v>46156</v>
      </c>
      <c r="AC444" s="257" t="s">
        <v>1133</v>
      </c>
      <c r="AD444" s="257" t="s">
        <v>1133</v>
      </c>
      <c r="AE444" s="220" t="s">
        <v>334</v>
      </c>
      <c r="AF444" s="257" t="s">
        <v>1228</v>
      </c>
      <c r="AG444" s="257" t="s">
        <v>334</v>
      </c>
      <c r="AH444" s="257" t="s">
        <v>1361</v>
      </c>
      <c r="AI444" s="257" t="s">
        <v>1228</v>
      </c>
      <c r="AJ444" s="257" t="s">
        <v>1133</v>
      </c>
      <c r="AK444" s="257" t="s">
        <v>1133</v>
      </c>
      <c r="AL444" s="267" t="s">
        <v>1228</v>
      </c>
      <c r="AM444" s="257" t="s">
        <v>1817</v>
      </c>
      <c r="AN444" s="220"/>
      <c r="AO444" s="215">
        <v>3.09</v>
      </c>
      <c r="AP444" s="216">
        <f t="shared" ref="AP444:AP507" si="85">J444*AO444</f>
        <v>15450</v>
      </c>
      <c r="AQ444" s="216">
        <f t="shared" ref="AQ444:AQ507" si="86">AP444*7.75</f>
        <v>119737.5</v>
      </c>
      <c r="AR444" s="224" t="s">
        <v>1818</v>
      </c>
      <c r="AS444" s="255">
        <v>46213</v>
      </c>
      <c r="AT444" s="208" t="s">
        <v>1220</v>
      </c>
      <c r="AU444" s="253">
        <f>1656+1104+2240</f>
        <v>5000</v>
      </c>
      <c r="AV444" s="252">
        <f t="shared" si="83"/>
        <v>0</v>
      </c>
      <c r="AW444" s="208"/>
      <c r="AX444" s="256" t="s">
        <v>1280</v>
      </c>
      <c r="AY444" s="208"/>
      <c r="AZ444" s="208"/>
      <c r="BA444" s="208"/>
      <c r="BB444" s="208" t="str">
        <f t="shared" si="79"/>
        <v>Character Options</v>
      </c>
      <c r="BC444" s="208" t="str">
        <f t="shared" si="80"/>
        <v>英国</v>
      </c>
    </row>
    <row r="445" s="194" customFormat="1" customHeight="1" spans="1:55">
      <c r="A445" s="208">
        <v>46142</v>
      </c>
      <c r="B445" s="208" t="str">
        <f ca="1" t="shared" si="75"/>
        <v/>
      </c>
      <c r="C445" s="211" t="str">
        <f>VLOOKUP(H445,名称!A:E,4,0)</f>
        <v>三代</v>
      </c>
      <c r="D445" s="220" t="s">
        <v>1257</v>
      </c>
      <c r="E445" s="220" t="s">
        <v>1258</v>
      </c>
      <c r="F445" s="220" t="s">
        <v>810</v>
      </c>
      <c r="G445" s="220" t="s">
        <v>811</v>
      </c>
      <c r="H445" s="220" t="s">
        <v>103</v>
      </c>
      <c r="I445" s="211"/>
      <c r="J445" s="270">
        <v>12006</v>
      </c>
      <c r="K445" s="223">
        <f>VLOOKUP(H445,名称!A:C,2,0)</f>
        <v>7</v>
      </c>
      <c r="L445" s="212">
        <f t="shared" si="76"/>
        <v>84042</v>
      </c>
      <c r="M445" s="211">
        <f>VLOOKUP(H445,名称!A:E,3,0)</f>
        <v>9</v>
      </c>
      <c r="N445" s="212">
        <f t="shared" si="82"/>
        <v>1334</v>
      </c>
      <c r="O445" s="271">
        <v>46202</v>
      </c>
      <c r="P445" s="208">
        <f t="shared" si="84"/>
        <v>46202</v>
      </c>
      <c r="Q445" s="208">
        <v>46199</v>
      </c>
      <c r="R445" s="241" t="s">
        <v>1425</v>
      </c>
      <c r="S445" s="208">
        <v>46203</v>
      </c>
      <c r="T445" s="267" t="s">
        <v>1241</v>
      </c>
      <c r="U445" s="211"/>
      <c r="V445" s="211"/>
      <c r="W445" s="208"/>
      <c r="X445" s="220" t="s">
        <v>1133</v>
      </c>
      <c r="Y445" s="211" t="s">
        <v>1133</v>
      </c>
      <c r="Z445" s="211" t="s">
        <v>1249</v>
      </c>
      <c r="AA445" s="214">
        <v>46156</v>
      </c>
      <c r="AB445" s="213">
        <v>46156</v>
      </c>
      <c r="AC445" s="211" t="s">
        <v>1318</v>
      </c>
      <c r="AD445" s="211" t="s">
        <v>1228</v>
      </c>
      <c r="AE445" s="220" t="s">
        <v>334</v>
      </c>
      <c r="AF445" s="257" t="s">
        <v>1228</v>
      </c>
      <c r="AG445" s="220" t="s">
        <v>334</v>
      </c>
      <c r="AH445" s="211" t="s">
        <v>1361</v>
      </c>
      <c r="AI445" s="257" t="s">
        <v>1228</v>
      </c>
      <c r="AJ445" s="257" t="s">
        <v>1133</v>
      </c>
      <c r="AK445" s="257" t="s">
        <v>1133</v>
      </c>
      <c r="AL445" s="211" t="s">
        <v>1228</v>
      </c>
      <c r="AM445" s="257" t="s">
        <v>1819</v>
      </c>
      <c r="AN445" s="220"/>
      <c r="AO445" s="215">
        <v>0.85</v>
      </c>
      <c r="AP445" s="216">
        <f t="shared" si="85"/>
        <v>10205.1</v>
      </c>
      <c r="AQ445" s="216">
        <f t="shared" si="86"/>
        <v>79089.53</v>
      </c>
      <c r="AR445" s="269">
        <v>61395</v>
      </c>
      <c r="AS445" s="255">
        <v>46213</v>
      </c>
      <c r="AT445" s="208" t="s">
        <v>1220</v>
      </c>
      <c r="AU445" s="253">
        <v>12006</v>
      </c>
      <c r="AV445" s="252">
        <f t="shared" si="83"/>
        <v>0</v>
      </c>
      <c r="AW445" s="208"/>
      <c r="AX445" s="274" t="s">
        <v>1280</v>
      </c>
      <c r="AY445" s="208"/>
      <c r="AZ445" s="208"/>
      <c r="BA445" s="208"/>
      <c r="BB445" s="208" t="str">
        <f t="shared" si="79"/>
        <v>Character Options</v>
      </c>
      <c r="BC445" s="208" t="str">
        <f t="shared" si="80"/>
        <v>英国</v>
      </c>
    </row>
    <row r="446" s="194" customFormat="1" customHeight="1" spans="1:55">
      <c r="A446" s="208">
        <v>46160</v>
      </c>
      <c r="B446" s="208" t="str">
        <f ca="1" t="shared" si="75"/>
        <v/>
      </c>
      <c r="C446" s="211" t="str">
        <f>VLOOKUP(H446,名称!A:E,4,0)</f>
        <v>三代</v>
      </c>
      <c r="D446" s="220" t="s">
        <v>1257</v>
      </c>
      <c r="E446" s="220" t="s">
        <v>1258</v>
      </c>
      <c r="F446" s="220" t="s">
        <v>852</v>
      </c>
      <c r="G446" s="220" t="s">
        <v>853</v>
      </c>
      <c r="H446" s="220" t="s">
        <v>99</v>
      </c>
      <c r="I446" s="211"/>
      <c r="J446" s="270">
        <v>18000</v>
      </c>
      <c r="K446" s="223">
        <f>VLOOKUP(H446,名称!A:C,2,0)</f>
        <v>7</v>
      </c>
      <c r="L446" s="212">
        <f t="shared" si="76"/>
        <v>126000</v>
      </c>
      <c r="M446" s="257">
        <f>VLOOKUP(H446,名称!A:E,3,0)</f>
        <v>24</v>
      </c>
      <c r="N446" s="259">
        <f t="shared" si="82"/>
        <v>750</v>
      </c>
      <c r="O446" s="271">
        <v>46208</v>
      </c>
      <c r="P446" s="271">
        <f t="shared" si="84"/>
        <v>46208</v>
      </c>
      <c r="Q446" s="208">
        <v>46209</v>
      </c>
      <c r="R446" s="241" t="s">
        <v>1425</v>
      </c>
      <c r="S446" s="256">
        <v>46209</v>
      </c>
      <c r="T446" s="267" t="s">
        <v>1241</v>
      </c>
      <c r="U446" s="211"/>
      <c r="V446" s="211"/>
      <c r="W446" s="208"/>
      <c r="X446" s="220" t="s">
        <v>1133</v>
      </c>
      <c r="Y446" s="220" t="s">
        <v>1133</v>
      </c>
      <c r="Z446" s="211" t="s">
        <v>1249</v>
      </c>
      <c r="AA446" s="214">
        <v>46161</v>
      </c>
      <c r="AB446" s="214">
        <v>46162</v>
      </c>
      <c r="AC446" s="257" t="s">
        <v>1318</v>
      </c>
      <c r="AD446" s="257" t="s">
        <v>1228</v>
      </c>
      <c r="AE446" s="220" t="s">
        <v>334</v>
      </c>
      <c r="AF446" s="257" t="s">
        <v>1228</v>
      </c>
      <c r="AG446" s="220" t="s">
        <v>812</v>
      </c>
      <c r="AH446" s="257" t="s">
        <v>1361</v>
      </c>
      <c r="AI446" s="257" t="s">
        <v>1228</v>
      </c>
      <c r="AJ446" s="257" t="s">
        <v>1133</v>
      </c>
      <c r="AK446" s="257" t="s">
        <v>1133</v>
      </c>
      <c r="AL446" s="211" t="s">
        <v>1228</v>
      </c>
      <c r="AM446" s="281" t="s">
        <v>1820</v>
      </c>
      <c r="AN446" s="220"/>
      <c r="AO446" s="215">
        <v>0.87</v>
      </c>
      <c r="AP446" s="216">
        <f t="shared" si="85"/>
        <v>15660</v>
      </c>
      <c r="AQ446" s="216">
        <f t="shared" si="86"/>
        <v>121365</v>
      </c>
      <c r="AR446" s="269">
        <v>61396</v>
      </c>
      <c r="AS446" s="255">
        <v>46213</v>
      </c>
      <c r="AT446" s="208" t="s">
        <v>1220</v>
      </c>
      <c r="AU446" s="253">
        <f>7560+7560+2880</f>
        <v>18000</v>
      </c>
      <c r="AV446" s="252">
        <f t="shared" si="83"/>
        <v>0</v>
      </c>
      <c r="AW446" s="208"/>
      <c r="AX446" s="273" t="s">
        <v>1280</v>
      </c>
      <c r="AY446" s="208" t="s">
        <v>1262</v>
      </c>
      <c r="AZ446" s="208" t="s">
        <v>1372</v>
      </c>
      <c r="BA446" s="208"/>
      <c r="BB446" s="208" t="str">
        <f t="shared" si="79"/>
        <v>Character Options</v>
      </c>
      <c r="BC446" s="208" t="str">
        <f t="shared" si="80"/>
        <v>英国</v>
      </c>
    </row>
    <row r="447" s="194" customFormat="1" customHeight="1" spans="1:55">
      <c r="A447" s="208">
        <v>46160</v>
      </c>
      <c r="B447" s="208" t="str">
        <f ca="1" t="shared" si="75"/>
        <v/>
      </c>
      <c r="C447" s="211" t="str">
        <f>VLOOKUP(H447,名称!A:E,4,0)</f>
        <v>三代</v>
      </c>
      <c r="D447" s="220" t="s">
        <v>1257</v>
      </c>
      <c r="E447" s="220" t="s">
        <v>1258</v>
      </c>
      <c r="F447" s="220" t="s">
        <v>852</v>
      </c>
      <c r="G447" s="220" t="s">
        <v>853</v>
      </c>
      <c r="H447" s="220" t="s">
        <v>66</v>
      </c>
      <c r="I447" s="211"/>
      <c r="J447" s="270">
        <v>12000</v>
      </c>
      <c r="K447" s="223">
        <f>VLOOKUP(H447,名称!A:C,2,0)</f>
        <v>12</v>
      </c>
      <c r="L447" s="212">
        <f t="shared" si="76"/>
        <v>144000</v>
      </c>
      <c r="M447" s="257">
        <f>VLOOKUP(H447,名称!A:E,3,0)</f>
        <v>6</v>
      </c>
      <c r="N447" s="259">
        <f t="shared" si="82"/>
        <v>2000</v>
      </c>
      <c r="O447" s="271">
        <v>46208</v>
      </c>
      <c r="P447" s="271">
        <f t="shared" si="84"/>
        <v>46208</v>
      </c>
      <c r="Q447" s="208">
        <v>46209</v>
      </c>
      <c r="R447" s="241" t="s">
        <v>1291</v>
      </c>
      <c r="S447" s="256">
        <v>46209</v>
      </c>
      <c r="T447" s="241" t="s">
        <v>1241</v>
      </c>
      <c r="U447" s="211"/>
      <c r="V447" s="211"/>
      <c r="W447" s="208"/>
      <c r="X447" s="220" t="s">
        <v>1133</v>
      </c>
      <c r="Y447" s="220" t="s">
        <v>1133</v>
      </c>
      <c r="Z447" s="213" t="s">
        <v>1249</v>
      </c>
      <c r="AA447" s="214">
        <v>46161</v>
      </c>
      <c r="AB447" s="214">
        <v>46162</v>
      </c>
      <c r="AC447" s="257" t="s">
        <v>1318</v>
      </c>
      <c r="AD447" s="257" t="s">
        <v>1228</v>
      </c>
      <c r="AE447" s="220" t="s">
        <v>334</v>
      </c>
      <c r="AF447" s="257" t="s">
        <v>1228</v>
      </c>
      <c r="AG447" s="220" t="s">
        <v>334</v>
      </c>
      <c r="AH447" s="257" t="s">
        <v>1361</v>
      </c>
      <c r="AI447" s="257" t="s">
        <v>1228</v>
      </c>
      <c r="AJ447" s="257" t="s">
        <v>1422</v>
      </c>
      <c r="AK447" s="257" t="s">
        <v>1133</v>
      </c>
      <c r="AL447" s="241" t="s">
        <v>1228</v>
      </c>
      <c r="AM447" s="281" t="s">
        <v>1821</v>
      </c>
      <c r="AN447" s="220"/>
      <c r="AO447" s="215">
        <v>2.02</v>
      </c>
      <c r="AP447" s="216">
        <f t="shared" si="85"/>
        <v>24240</v>
      </c>
      <c r="AQ447" s="216">
        <f t="shared" si="86"/>
        <v>187860</v>
      </c>
      <c r="AR447" s="269">
        <v>61396</v>
      </c>
      <c r="AS447" s="255">
        <v>46213</v>
      </c>
      <c r="AT447" s="208" t="s">
        <v>1220</v>
      </c>
      <c r="AU447" s="253">
        <f>8064+3024+912</f>
        <v>12000</v>
      </c>
      <c r="AV447" s="252">
        <f t="shared" si="83"/>
        <v>0</v>
      </c>
      <c r="AW447" s="208"/>
      <c r="AX447" s="208" t="s">
        <v>1280</v>
      </c>
      <c r="AY447" s="208" t="s">
        <v>1262</v>
      </c>
      <c r="AZ447" s="208" t="s">
        <v>1372</v>
      </c>
      <c r="BA447" s="208"/>
      <c r="BB447" s="208" t="str">
        <f t="shared" si="79"/>
        <v>Character Options</v>
      </c>
      <c r="BC447" s="208" t="str">
        <f t="shared" si="80"/>
        <v>英国</v>
      </c>
    </row>
    <row r="448" s="194" customFormat="1" customHeight="1" spans="1:55">
      <c r="A448" s="208">
        <v>46160</v>
      </c>
      <c r="B448" s="208" t="str">
        <f ca="1" t="shared" si="75"/>
        <v/>
      </c>
      <c r="C448" s="211" t="str">
        <f>VLOOKUP(H448,名称!A:E,4,0)</f>
        <v>三代</v>
      </c>
      <c r="D448" s="220" t="s">
        <v>1257</v>
      </c>
      <c r="E448" s="220" t="s">
        <v>1258</v>
      </c>
      <c r="F448" s="220" t="s">
        <v>852</v>
      </c>
      <c r="G448" s="220" t="s">
        <v>853</v>
      </c>
      <c r="H448" s="220" t="s">
        <v>119</v>
      </c>
      <c r="I448" s="211"/>
      <c r="J448" s="270">
        <v>12000</v>
      </c>
      <c r="K448" s="223">
        <f>VLOOKUP(H448,名称!A:C,2,0)</f>
        <v>5</v>
      </c>
      <c r="L448" s="212">
        <f t="shared" si="76"/>
        <v>60000</v>
      </c>
      <c r="M448" s="257">
        <f>VLOOKUP(H448,名称!A:E,3,0)</f>
        <v>24</v>
      </c>
      <c r="N448" s="259">
        <f t="shared" si="82"/>
        <v>500</v>
      </c>
      <c r="O448" s="271">
        <v>46208</v>
      </c>
      <c r="P448" s="271">
        <f t="shared" si="84"/>
        <v>46208</v>
      </c>
      <c r="Q448" s="208">
        <v>46206</v>
      </c>
      <c r="R448" s="241" t="s">
        <v>1291</v>
      </c>
      <c r="S448" s="256">
        <v>46206</v>
      </c>
      <c r="T448" s="241" t="s">
        <v>1241</v>
      </c>
      <c r="U448" s="211"/>
      <c r="V448" s="211"/>
      <c r="W448" s="208"/>
      <c r="X448" s="220" t="s">
        <v>1133</v>
      </c>
      <c r="Y448" s="220" t="s">
        <v>1133</v>
      </c>
      <c r="Z448" s="213" t="s">
        <v>1249</v>
      </c>
      <c r="AA448" s="214">
        <v>46161</v>
      </c>
      <c r="AB448" s="214">
        <v>46162</v>
      </c>
      <c r="AC448" s="257" t="s">
        <v>1133</v>
      </c>
      <c r="AD448" s="257" t="s">
        <v>1133</v>
      </c>
      <c r="AE448" s="220" t="s">
        <v>334</v>
      </c>
      <c r="AF448" s="257" t="s">
        <v>1228</v>
      </c>
      <c r="AG448" s="220" t="s">
        <v>334</v>
      </c>
      <c r="AH448" s="257" t="s">
        <v>1133</v>
      </c>
      <c r="AI448" s="257" t="s">
        <v>1228</v>
      </c>
      <c r="AJ448" s="257" t="s">
        <v>1133</v>
      </c>
      <c r="AK448" s="257" t="s">
        <v>334</v>
      </c>
      <c r="AL448" s="241" t="s">
        <v>1228</v>
      </c>
      <c r="AM448" s="281" t="s">
        <v>1822</v>
      </c>
      <c r="AN448" s="268" t="s">
        <v>1823</v>
      </c>
      <c r="AO448" s="215">
        <v>0.61</v>
      </c>
      <c r="AP448" s="216">
        <f t="shared" si="85"/>
        <v>7320</v>
      </c>
      <c r="AQ448" s="216">
        <f t="shared" si="86"/>
        <v>56730</v>
      </c>
      <c r="AR448" s="269">
        <v>61396</v>
      </c>
      <c r="AS448" s="255">
        <v>46213</v>
      </c>
      <c r="AT448" s="208" t="s">
        <v>1220</v>
      </c>
      <c r="AU448" s="253">
        <f>11976+24</f>
        <v>12000</v>
      </c>
      <c r="AV448" s="252">
        <f t="shared" si="83"/>
        <v>0</v>
      </c>
      <c r="AW448" s="208"/>
      <c r="AX448" s="208" t="s">
        <v>1280</v>
      </c>
      <c r="AY448" s="208" t="s">
        <v>1262</v>
      </c>
      <c r="AZ448" s="208" t="s">
        <v>1372</v>
      </c>
      <c r="BA448" s="208"/>
      <c r="BB448" s="208" t="str">
        <f t="shared" si="79"/>
        <v>Character Options</v>
      </c>
      <c r="BC448" s="208" t="str">
        <f t="shared" si="80"/>
        <v>英国</v>
      </c>
    </row>
    <row r="449" s="194" customFormat="1" customHeight="1" spans="1:55">
      <c r="A449" s="208">
        <v>46160</v>
      </c>
      <c r="B449" s="208" t="str">
        <f ca="1" t="shared" si="75"/>
        <v/>
      </c>
      <c r="C449" s="211" t="str">
        <f>VLOOKUP(H449,名称!A:E,4,0)</f>
        <v>三代</v>
      </c>
      <c r="D449" s="220" t="s">
        <v>1257</v>
      </c>
      <c r="E449" s="220" t="s">
        <v>1258</v>
      </c>
      <c r="F449" s="220" t="s">
        <v>852</v>
      </c>
      <c r="G449" s="220" t="s">
        <v>853</v>
      </c>
      <c r="H449" s="220" t="s">
        <v>84</v>
      </c>
      <c r="I449" s="211"/>
      <c r="J449" s="270">
        <v>8640</v>
      </c>
      <c r="K449" s="223">
        <f>VLOOKUP(H449,名称!A:C,2,0)</f>
        <v>5</v>
      </c>
      <c r="L449" s="212">
        <f t="shared" si="76"/>
        <v>43200</v>
      </c>
      <c r="M449" s="257">
        <f>VLOOKUP(H449,名称!A:E,3,0)</f>
        <v>18</v>
      </c>
      <c r="N449" s="259">
        <f t="shared" si="82"/>
        <v>480</v>
      </c>
      <c r="O449" s="271">
        <v>46208</v>
      </c>
      <c r="P449" s="271">
        <f t="shared" si="84"/>
        <v>46208</v>
      </c>
      <c r="Q449" s="208">
        <v>46209</v>
      </c>
      <c r="R449" s="241" t="s">
        <v>1241</v>
      </c>
      <c r="S449" s="256">
        <v>46209</v>
      </c>
      <c r="T449" s="267" t="s">
        <v>1241</v>
      </c>
      <c r="U449" s="211"/>
      <c r="V449" s="211"/>
      <c r="W449" s="208"/>
      <c r="X449" s="220" t="s">
        <v>1133</v>
      </c>
      <c r="Y449" s="220" t="s">
        <v>1133</v>
      </c>
      <c r="Z449" s="213" t="s">
        <v>1249</v>
      </c>
      <c r="AA449" s="214">
        <v>46161</v>
      </c>
      <c r="AB449" s="214">
        <v>46162</v>
      </c>
      <c r="AC449" s="257" t="s">
        <v>1133</v>
      </c>
      <c r="AD449" s="257" t="s">
        <v>1133</v>
      </c>
      <c r="AE449" s="220" t="s">
        <v>334</v>
      </c>
      <c r="AF449" s="257" t="s">
        <v>1228</v>
      </c>
      <c r="AG449" s="220" t="s">
        <v>334</v>
      </c>
      <c r="AH449" s="257" t="s">
        <v>1133</v>
      </c>
      <c r="AI449" s="257" t="s">
        <v>1228</v>
      </c>
      <c r="AJ449" s="257" t="s">
        <v>1133</v>
      </c>
      <c r="AK449" s="257" t="s">
        <v>334</v>
      </c>
      <c r="AL449" s="241" t="s">
        <v>1228</v>
      </c>
      <c r="AM449" s="281" t="s">
        <v>1824</v>
      </c>
      <c r="AN449" s="268" t="s">
        <v>1349</v>
      </c>
      <c r="AO449" s="215">
        <v>0.88</v>
      </c>
      <c r="AP449" s="216">
        <f t="shared" si="85"/>
        <v>7603.2</v>
      </c>
      <c r="AQ449" s="216">
        <f t="shared" si="86"/>
        <v>58924.8</v>
      </c>
      <c r="AR449" s="269">
        <v>61396</v>
      </c>
      <c r="AS449" s="255">
        <v>46213</v>
      </c>
      <c r="AT449" s="208" t="s">
        <v>1310</v>
      </c>
      <c r="AU449" s="253">
        <f>12096+23904</f>
        <v>36000</v>
      </c>
      <c r="AV449" s="252">
        <f t="shared" si="83"/>
        <v>27360</v>
      </c>
      <c r="AW449" s="208"/>
      <c r="AX449" s="208"/>
      <c r="AY449" s="208" t="s">
        <v>1262</v>
      </c>
      <c r="AZ449" s="208" t="s">
        <v>1372</v>
      </c>
      <c r="BA449" s="208"/>
      <c r="BB449" s="208" t="str">
        <f t="shared" si="79"/>
        <v>Character Options</v>
      </c>
      <c r="BC449" s="208" t="str">
        <f t="shared" si="80"/>
        <v>英国</v>
      </c>
    </row>
    <row r="450" s="194" customFormat="1" customHeight="1" spans="1:55">
      <c r="A450" s="227">
        <v>46155</v>
      </c>
      <c r="B450" s="208" t="str">
        <f ca="1" t="shared" si="75"/>
        <v/>
      </c>
      <c r="C450" s="209" t="str">
        <f>VLOOKUP(H450,名称!A:E,4,0)</f>
        <v>二代</v>
      </c>
      <c r="D450" s="242" t="s">
        <v>1634</v>
      </c>
      <c r="E450" s="242" t="s">
        <v>1635</v>
      </c>
      <c r="F450" s="242">
        <v>101004038</v>
      </c>
      <c r="G450" s="242" t="s">
        <v>841</v>
      </c>
      <c r="H450" s="242" t="s">
        <v>38</v>
      </c>
      <c r="I450" s="211"/>
      <c r="J450" s="243">
        <v>3160</v>
      </c>
      <c r="K450" s="230">
        <f>VLOOKUP(H450,名称!A:C,2,0)</f>
        <v>32</v>
      </c>
      <c r="L450" s="229">
        <f t="shared" si="76"/>
        <v>101120</v>
      </c>
      <c r="M450" s="211">
        <f>VLOOKUP(H450,名称!A:E,3,0)</f>
        <v>4</v>
      </c>
      <c r="N450" s="212">
        <f t="shared" si="82"/>
        <v>790</v>
      </c>
      <c r="O450" s="244">
        <v>46206</v>
      </c>
      <c r="P450" s="248">
        <f t="shared" si="84"/>
        <v>46206</v>
      </c>
      <c r="Q450" s="227">
        <v>46205</v>
      </c>
      <c r="R450" s="241" t="s">
        <v>1241</v>
      </c>
      <c r="S450" s="227">
        <v>46206</v>
      </c>
      <c r="T450" s="241" t="s">
        <v>1282</v>
      </c>
      <c r="U450" s="209"/>
      <c r="V450" s="209"/>
      <c r="W450" s="227"/>
      <c r="X450" s="242" t="s">
        <v>1133</v>
      </c>
      <c r="Y450" s="242" t="s">
        <v>1133</v>
      </c>
      <c r="Z450" s="232">
        <v>46155</v>
      </c>
      <c r="AA450" s="233">
        <v>46161</v>
      </c>
      <c r="AB450" s="232">
        <v>46162</v>
      </c>
      <c r="AC450" s="209" t="s">
        <v>1133</v>
      </c>
      <c r="AD450" s="209" t="s">
        <v>1133</v>
      </c>
      <c r="AE450" s="211" t="s">
        <v>842</v>
      </c>
      <c r="AF450" s="211" t="s">
        <v>1228</v>
      </c>
      <c r="AG450" s="211" t="s">
        <v>842</v>
      </c>
      <c r="AH450" s="209" t="s">
        <v>1638</v>
      </c>
      <c r="AI450" s="209" t="s">
        <v>1228</v>
      </c>
      <c r="AJ450" s="209" t="s">
        <v>1133</v>
      </c>
      <c r="AK450" s="209" t="s">
        <v>1133</v>
      </c>
      <c r="AL450" s="209" t="s">
        <v>1228</v>
      </c>
      <c r="AM450" s="209"/>
      <c r="AN450" s="242"/>
      <c r="AO450" s="215">
        <v>3.09</v>
      </c>
      <c r="AP450" s="235">
        <f t="shared" si="85"/>
        <v>9764.4</v>
      </c>
      <c r="AQ450" s="235">
        <f t="shared" si="86"/>
        <v>75674.1</v>
      </c>
      <c r="AR450" s="269">
        <v>61397</v>
      </c>
      <c r="AS450" s="255">
        <v>46213</v>
      </c>
      <c r="AT450" s="227" t="s">
        <v>1313</v>
      </c>
      <c r="AU450" s="227"/>
      <c r="AV450" s="227"/>
      <c r="AW450" s="227"/>
      <c r="AX450" s="227"/>
      <c r="AY450" s="227"/>
      <c r="AZ450" s="227"/>
      <c r="BA450" s="227"/>
      <c r="BB450" s="212" t="str">
        <f t="shared" si="79"/>
        <v>AS Company</v>
      </c>
      <c r="BC450" s="212" t="str">
        <f>IFERROR(E450,"")</f>
        <v>希腊</v>
      </c>
    </row>
    <row r="451" s="194" customFormat="1" customHeight="1" spans="1:55">
      <c r="A451" s="227">
        <v>46155</v>
      </c>
      <c r="B451" s="208" t="str">
        <f ca="1" t="shared" si="75"/>
        <v/>
      </c>
      <c r="C451" s="209" t="str">
        <f>VLOOKUP(H451,名称!A:E,4,0)</f>
        <v>二代</v>
      </c>
      <c r="D451" s="242" t="s">
        <v>1634</v>
      </c>
      <c r="E451" s="242" t="s">
        <v>1635</v>
      </c>
      <c r="F451" s="242">
        <v>101004038</v>
      </c>
      <c r="G451" s="242" t="s">
        <v>841</v>
      </c>
      <c r="H451" s="242" t="s">
        <v>69</v>
      </c>
      <c r="I451" s="211"/>
      <c r="J451" s="243">
        <v>6652</v>
      </c>
      <c r="K451" s="230">
        <f>VLOOKUP(H451,名称!A:C,2,0)</f>
        <v>50</v>
      </c>
      <c r="L451" s="229">
        <f t="shared" si="76"/>
        <v>332600</v>
      </c>
      <c r="M451" s="211">
        <f>VLOOKUP(H451,名称!A:E,3,0)</f>
        <v>2</v>
      </c>
      <c r="N451" s="212">
        <f t="shared" si="82"/>
        <v>3326</v>
      </c>
      <c r="O451" s="244">
        <v>46206</v>
      </c>
      <c r="P451" s="248">
        <f t="shared" si="84"/>
        <v>46206</v>
      </c>
      <c r="Q451" s="227">
        <v>46209</v>
      </c>
      <c r="R451" s="209"/>
      <c r="S451" s="227">
        <v>46209</v>
      </c>
      <c r="T451" s="267" t="s">
        <v>1282</v>
      </c>
      <c r="U451" s="209"/>
      <c r="V451" s="209"/>
      <c r="W451" s="227"/>
      <c r="X451" s="242" t="s">
        <v>1133</v>
      </c>
      <c r="Y451" s="242" t="s">
        <v>1133</v>
      </c>
      <c r="Z451" s="232">
        <v>46155</v>
      </c>
      <c r="AA451" s="233">
        <v>46161</v>
      </c>
      <c r="AB451" s="232">
        <v>46162</v>
      </c>
      <c r="AC451" s="209" t="s">
        <v>1133</v>
      </c>
      <c r="AD451" s="209" t="s">
        <v>1133</v>
      </c>
      <c r="AE451" s="211" t="s">
        <v>842</v>
      </c>
      <c r="AF451" s="211" t="s">
        <v>1228</v>
      </c>
      <c r="AG451" s="211" t="s">
        <v>842</v>
      </c>
      <c r="AH451" s="209" t="s">
        <v>1133</v>
      </c>
      <c r="AI451" s="209" t="s">
        <v>1133</v>
      </c>
      <c r="AJ451" s="209" t="s">
        <v>1133</v>
      </c>
      <c r="AK451" s="209" t="s">
        <v>1356</v>
      </c>
      <c r="AL451" s="209" t="s">
        <v>1228</v>
      </c>
      <c r="AM451" s="209"/>
      <c r="AN451" s="242"/>
      <c r="AO451" s="215">
        <v>9.15</v>
      </c>
      <c r="AP451" s="235">
        <f t="shared" si="85"/>
        <v>60865.8</v>
      </c>
      <c r="AQ451" s="235">
        <f t="shared" si="86"/>
        <v>471709.95</v>
      </c>
      <c r="AR451" s="269">
        <v>61397</v>
      </c>
      <c r="AS451" s="255">
        <v>46213</v>
      </c>
      <c r="AT451" s="227" t="s">
        <v>1313</v>
      </c>
      <c r="AU451" s="227"/>
      <c r="AV451" s="227"/>
      <c r="AW451" s="227"/>
      <c r="AX451" s="227"/>
      <c r="AY451" s="227"/>
      <c r="AZ451" s="227"/>
      <c r="BA451" s="227"/>
      <c r="BB451" s="212" t="str">
        <f t="shared" si="79"/>
        <v>AS Company</v>
      </c>
      <c r="BC451" s="212" t="str">
        <f>IFERROR(E451,"")</f>
        <v>希腊</v>
      </c>
    </row>
    <row r="452" s="194" customFormat="1" customHeight="1" spans="1:55">
      <c r="A452" s="271">
        <v>46150</v>
      </c>
      <c r="B452" s="208" t="str">
        <f ca="1" t="shared" si="75"/>
        <v/>
      </c>
      <c r="C452" s="211" t="str">
        <f>VLOOKUP(H452,名称!A:E,4,0)</f>
        <v>三代</v>
      </c>
      <c r="D452" s="220" t="s">
        <v>1589</v>
      </c>
      <c r="E452" s="220" t="s">
        <v>1590</v>
      </c>
      <c r="F452" s="220" t="s">
        <v>833</v>
      </c>
      <c r="G452" s="220" t="s">
        <v>834</v>
      </c>
      <c r="H452" s="220" t="s">
        <v>109</v>
      </c>
      <c r="I452" s="211"/>
      <c r="J452" s="270">
        <v>720</v>
      </c>
      <c r="K452" s="223">
        <f>VLOOKUP(H452,名称!A:C,2,0)</f>
        <v>0</v>
      </c>
      <c r="L452" s="212">
        <f t="shared" si="76"/>
        <v>0</v>
      </c>
      <c r="M452" s="211">
        <f>VLOOKUP(H452,名称!A:E,3,0)</f>
        <v>24</v>
      </c>
      <c r="N452" s="212">
        <f t="shared" si="82"/>
        <v>30</v>
      </c>
      <c r="O452" s="271">
        <v>46203</v>
      </c>
      <c r="P452" s="271">
        <f t="shared" si="84"/>
        <v>46203</v>
      </c>
      <c r="Q452" s="271">
        <v>46204</v>
      </c>
      <c r="R452" s="241" t="s">
        <v>1241</v>
      </c>
      <c r="S452" s="208" t="s">
        <v>1133</v>
      </c>
      <c r="T452" s="211"/>
      <c r="U452" s="211"/>
      <c r="V452" s="211"/>
      <c r="W452" s="208"/>
      <c r="X452" s="257" t="s">
        <v>1133</v>
      </c>
      <c r="Y452" s="257" t="s">
        <v>1133</v>
      </c>
      <c r="Z452" s="211" t="s">
        <v>1249</v>
      </c>
      <c r="AA452" s="214">
        <v>46158</v>
      </c>
      <c r="AB452" s="213">
        <v>46167</v>
      </c>
      <c r="AC452" s="257" t="s">
        <v>1133</v>
      </c>
      <c r="AD452" s="257" t="s">
        <v>1133</v>
      </c>
      <c r="AE452" s="220" t="s">
        <v>510</v>
      </c>
      <c r="AF452" s="257" t="s">
        <v>1228</v>
      </c>
      <c r="AG452" s="257" t="s">
        <v>510</v>
      </c>
      <c r="AH452" s="257" t="s">
        <v>1133</v>
      </c>
      <c r="AI452" s="257" t="s">
        <v>1228</v>
      </c>
      <c r="AJ452" s="257" t="s">
        <v>1133</v>
      </c>
      <c r="AK452" s="257" t="s">
        <v>510</v>
      </c>
      <c r="AL452" s="257"/>
      <c r="AM452" s="257" t="s">
        <v>1506</v>
      </c>
      <c r="AN452" s="220"/>
      <c r="AO452" s="215">
        <v>0.57</v>
      </c>
      <c r="AP452" s="216">
        <f t="shared" si="85"/>
        <v>410.4</v>
      </c>
      <c r="AQ452" s="216">
        <f t="shared" si="86"/>
        <v>3180.6</v>
      </c>
      <c r="AR452" s="269">
        <v>61398</v>
      </c>
      <c r="AS452" s="255">
        <v>46213</v>
      </c>
      <c r="AT452" s="208" t="s">
        <v>1220</v>
      </c>
      <c r="AU452" s="253"/>
      <c r="AV452" s="252">
        <f t="shared" ref="AV452:AV463" si="87">AU452-J452</f>
        <v>-720</v>
      </c>
      <c r="AW452" s="208"/>
      <c r="AX452" s="256"/>
      <c r="AY452" s="208"/>
      <c r="AZ452" s="208"/>
      <c r="BA452" s="208"/>
      <c r="BB452" s="208" t="str">
        <f t="shared" si="79"/>
        <v>Blue Strawberry</v>
      </c>
      <c r="BC452" s="208" t="str">
        <f t="shared" ref="BC452:BC506" si="88">E452</f>
        <v>蒙古</v>
      </c>
    </row>
    <row r="453" s="194" customFormat="1" customHeight="1" spans="1:55">
      <c r="A453" s="271">
        <v>46150</v>
      </c>
      <c r="B453" s="208" t="str">
        <f ca="1" t="shared" si="75"/>
        <v/>
      </c>
      <c r="C453" s="211" t="str">
        <f>VLOOKUP(H453,名称!A:E,4,0)</f>
        <v>三代</v>
      </c>
      <c r="D453" s="220" t="s">
        <v>1589</v>
      </c>
      <c r="E453" s="220" t="s">
        <v>1590</v>
      </c>
      <c r="F453" s="220" t="s">
        <v>833</v>
      </c>
      <c r="G453" s="220" t="s">
        <v>834</v>
      </c>
      <c r="H453" s="220" t="s">
        <v>121</v>
      </c>
      <c r="I453" s="211"/>
      <c r="J453" s="270">
        <v>780</v>
      </c>
      <c r="K453" s="223">
        <f>VLOOKUP(H453,名称!A:C,2,0)</f>
        <v>7</v>
      </c>
      <c r="L453" s="212">
        <f t="shared" si="76"/>
        <v>5460</v>
      </c>
      <c r="M453" s="211">
        <f>VLOOKUP(H453,名称!A:E,3,0)</f>
        <v>12</v>
      </c>
      <c r="N453" s="212">
        <f t="shared" si="82"/>
        <v>65</v>
      </c>
      <c r="O453" s="271">
        <v>46203</v>
      </c>
      <c r="P453" s="271">
        <f t="shared" si="84"/>
        <v>46203</v>
      </c>
      <c r="Q453" s="256">
        <v>46204</v>
      </c>
      <c r="R453" s="241" t="s">
        <v>1241</v>
      </c>
      <c r="S453" s="208" t="s">
        <v>1133</v>
      </c>
      <c r="T453" s="211"/>
      <c r="U453" s="211"/>
      <c r="V453" s="211"/>
      <c r="W453" s="208"/>
      <c r="X453" s="257" t="s">
        <v>1133</v>
      </c>
      <c r="Y453" s="257" t="s">
        <v>1133</v>
      </c>
      <c r="Z453" s="211" t="s">
        <v>1249</v>
      </c>
      <c r="AA453" s="214">
        <v>46158</v>
      </c>
      <c r="AB453" s="213">
        <v>46167</v>
      </c>
      <c r="AC453" s="257" t="s">
        <v>1284</v>
      </c>
      <c r="AD453" s="257" t="s">
        <v>1228</v>
      </c>
      <c r="AE453" s="220" t="s">
        <v>510</v>
      </c>
      <c r="AF453" s="257" t="s">
        <v>1228</v>
      </c>
      <c r="AG453" s="257" t="s">
        <v>510</v>
      </c>
      <c r="AH453" s="257" t="s">
        <v>1307</v>
      </c>
      <c r="AI453" s="257" t="s">
        <v>1228</v>
      </c>
      <c r="AJ453" s="257" t="s">
        <v>1133</v>
      </c>
      <c r="AK453" s="257" t="s">
        <v>1133</v>
      </c>
      <c r="AL453" s="257" t="s">
        <v>1228</v>
      </c>
      <c r="AM453" s="257" t="s">
        <v>1506</v>
      </c>
      <c r="AN453" s="220"/>
      <c r="AO453" s="215">
        <v>0.78</v>
      </c>
      <c r="AP453" s="216">
        <f t="shared" si="85"/>
        <v>608.4</v>
      </c>
      <c r="AQ453" s="216">
        <f t="shared" si="86"/>
        <v>4715.1</v>
      </c>
      <c r="AR453" s="269">
        <v>61398</v>
      </c>
      <c r="AS453" s="255">
        <v>46213</v>
      </c>
      <c r="AT453" s="208" t="s">
        <v>1220</v>
      </c>
      <c r="AU453" s="253">
        <v>780</v>
      </c>
      <c r="AV453" s="252">
        <f t="shared" si="87"/>
        <v>0</v>
      </c>
      <c r="AW453" s="208"/>
      <c r="AX453" s="257" t="s">
        <v>1280</v>
      </c>
      <c r="AY453" s="208"/>
      <c r="AZ453" s="208"/>
      <c r="BA453" s="208"/>
      <c r="BB453" s="208" t="str">
        <f t="shared" si="79"/>
        <v>Blue Strawberry</v>
      </c>
      <c r="BC453" s="208" t="str">
        <f t="shared" si="88"/>
        <v>蒙古</v>
      </c>
    </row>
    <row r="454" s="194" customFormat="1" customHeight="1" spans="1:55">
      <c r="A454" s="271">
        <v>46150</v>
      </c>
      <c r="B454" s="208" t="str">
        <f ca="1" t="shared" si="75"/>
        <v/>
      </c>
      <c r="C454" s="211" t="str">
        <f>VLOOKUP(H454,名称!A:E,4,0)</f>
        <v>三代</v>
      </c>
      <c r="D454" s="220" t="s">
        <v>1589</v>
      </c>
      <c r="E454" s="220" t="s">
        <v>1590</v>
      </c>
      <c r="F454" s="220" t="s">
        <v>833</v>
      </c>
      <c r="G454" s="220" t="s">
        <v>834</v>
      </c>
      <c r="H454" s="220" t="s">
        <v>55</v>
      </c>
      <c r="I454" s="211"/>
      <c r="J454" s="270">
        <v>720</v>
      </c>
      <c r="K454" s="223">
        <f>VLOOKUP(H454,名称!A:C,2,0)</f>
        <v>7</v>
      </c>
      <c r="L454" s="212">
        <f t="shared" si="76"/>
        <v>5040</v>
      </c>
      <c r="M454" s="211">
        <f>VLOOKUP(H454,名称!A:E,3,0)</f>
        <v>16</v>
      </c>
      <c r="N454" s="212">
        <f t="shared" si="82"/>
        <v>45</v>
      </c>
      <c r="O454" s="271">
        <v>46203</v>
      </c>
      <c r="P454" s="271">
        <f t="shared" si="84"/>
        <v>46203</v>
      </c>
      <c r="Q454" s="256">
        <v>46204</v>
      </c>
      <c r="R454" s="267" t="s">
        <v>1241</v>
      </c>
      <c r="S454" s="208" t="s">
        <v>1133</v>
      </c>
      <c r="T454" s="211"/>
      <c r="U454" s="211"/>
      <c r="V454" s="211"/>
      <c r="W454" s="208"/>
      <c r="X454" s="257" t="s">
        <v>1133</v>
      </c>
      <c r="Y454" s="257" t="s">
        <v>1133</v>
      </c>
      <c r="Z454" s="211" t="s">
        <v>1249</v>
      </c>
      <c r="AA454" s="214">
        <v>46158</v>
      </c>
      <c r="AB454" s="213">
        <v>46167</v>
      </c>
      <c r="AC454" s="257" t="s">
        <v>1284</v>
      </c>
      <c r="AD454" s="257" t="s">
        <v>1228</v>
      </c>
      <c r="AE454" s="220" t="s">
        <v>510</v>
      </c>
      <c r="AF454" s="257" t="s">
        <v>1228</v>
      </c>
      <c r="AG454" s="257" t="s">
        <v>510</v>
      </c>
      <c r="AH454" s="257" t="s">
        <v>1307</v>
      </c>
      <c r="AI454" s="257" t="s">
        <v>1228</v>
      </c>
      <c r="AJ454" s="257" t="s">
        <v>1133</v>
      </c>
      <c r="AK454" s="257" t="s">
        <v>1133</v>
      </c>
      <c r="AL454" s="257" t="s">
        <v>1228</v>
      </c>
      <c r="AM454" s="257" t="s">
        <v>1506</v>
      </c>
      <c r="AN454" s="220"/>
      <c r="AO454" s="215">
        <v>0.86</v>
      </c>
      <c r="AP454" s="216">
        <f t="shared" si="85"/>
        <v>619.2</v>
      </c>
      <c r="AQ454" s="216">
        <f t="shared" si="86"/>
        <v>4798.8</v>
      </c>
      <c r="AR454" s="269">
        <v>61398</v>
      </c>
      <c r="AS454" s="255">
        <v>46213</v>
      </c>
      <c r="AT454" s="208" t="s">
        <v>1220</v>
      </c>
      <c r="AU454" s="253">
        <v>720</v>
      </c>
      <c r="AV454" s="252">
        <f t="shared" si="87"/>
        <v>0</v>
      </c>
      <c r="AW454" s="208"/>
      <c r="AX454" s="256"/>
      <c r="AY454" s="208"/>
      <c r="AZ454" s="208"/>
      <c r="BA454" s="208"/>
      <c r="BB454" s="208" t="str">
        <f t="shared" si="79"/>
        <v>Blue Strawberry</v>
      </c>
      <c r="BC454" s="208" t="str">
        <f t="shared" si="88"/>
        <v>蒙古</v>
      </c>
    </row>
    <row r="455" s="194" customFormat="1" customHeight="1" spans="1:55">
      <c r="A455" s="271">
        <v>46150</v>
      </c>
      <c r="B455" s="208" t="str">
        <f ca="1" t="shared" si="75"/>
        <v/>
      </c>
      <c r="C455" s="211" t="str">
        <f>VLOOKUP(H455,名称!A:E,4,0)</f>
        <v>三代</v>
      </c>
      <c r="D455" s="220" t="s">
        <v>1589</v>
      </c>
      <c r="E455" s="220" t="s">
        <v>1590</v>
      </c>
      <c r="F455" s="220" t="s">
        <v>833</v>
      </c>
      <c r="G455" s="220" t="s">
        <v>834</v>
      </c>
      <c r="H455" s="220" t="s">
        <v>59</v>
      </c>
      <c r="I455" s="211"/>
      <c r="J455" s="270">
        <v>1920</v>
      </c>
      <c r="K455" s="223">
        <f>VLOOKUP(H455,名称!A:C,2,0)</f>
        <v>5</v>
      </c>
      <c r="L455" s="212">
        <f t="shared" si="76"/>
        <v>9600</v>
      </c>
      <c r="M455" s="211">
        <f>VLOOKUP(H455,名称!A:E,3,0)</f>
        <v>24</v>
      </c>
      <c r="N455" s="212">
        <f t="shared" si="82"/>
        <v>80</v>
      </c>
      <c r="O455" s="271">
        <v>46203</v>
      </c>
      <c r="P455" s="271">
        <f t="shared" si="84"/>
        <v>46203</v>
      </c>
      <c r="Q455" s="256">
        <v>46204</v>
      </c>
      <c r="R455" s="267" t="s">
        <v>1241</v>
      </c>
      <c r="S455" s="208" t="s">
        <v>1133</v>
      </c>
      <c r="T455" s="211"/>
      <c r="U455" s="211"/>
      <c r="V455" s="211"/>
      <c r="W455" s="208"/>
      <c r="X455" s="257" t="s">
        <v>1133</v>
      </c>
      <c r="Y455" s="257" t="s">
        <v>1133</v>
      </c>
      <c r="Z455" s="211" t="s">
        <v>1249</v>
      </c>
      <c r="AA455" s="214">
        <v>46158</v>
      </c>
      <c r="AB455" s="213">
        <v>46167</v>
      </c>
      <c r="AC455" s="257" t="s">
        <v>1133</v>
      </c>
      <c r="AD455" s="257" t="s">
        <v>1133</v>
      </c>
      <c r="AE455" s="220" t="s">
        <v>510</v>
      </c>
      <c r="AF455" s="257" t="s">
        <v>1228</v>
      </c>
      <c r="AG455" s="257" t="s">
        <v>510</v>
      </c>
      <c r="AH455" s="257" t="s">
        <v>1133</v>
      </c>
      <c r="AI455" s="257" t="s">
        <v>1228</v>
      </c>
      <c r="AJ455" s="257" t="s">
        <v>1133</v>
      </c>
      <c r="AK455" s="257" t="s">
        <v>510</v>
      </c>
      <c r="AL455" s="257"/>
      <c r="AM455" s="257" t="s">
        <v>1506</v>
      </c>
      <c r="AN455" s="220"/>
      <c r="AO455" s="215">
        <v>0.61</v>
      </c>
      <c r="AP455" s="216">
        <f t="shared" si="85"/>
        <v>1171.2</v>
      </c>
      <c r="AQ455" s="216">
        <f t="shared" si="86"/>
        <v>9076.8</v>
      </c>
      <c r="AR455" s="269">
        <v>61398</v>
      </c>
      <c r="AS455" s="255">
        <v>46213</v>
      </c>
      <c r="AT455" s="208" t="s">
        <v>1220</v>
      </c>
      <c r="AU455" s="253">
        <f>1896+24</f>
        <v>1920</v>
      </c>
      <c r="AV455" s="252">
        <f t="shared" si="87"/>
        <v>0</v>
      </c>
      <c r="AW455" s="208"/>
      <c r="AX455" s="256" t="s">
        <v>1280</v>
      </c>
      <c r="AY455" s="208"/>
      <c r="AZ455" s="208"/>
      <c r="BA455" s="208"/>
      <c r="BB455" s="208" t="str">
        <f t="shared" si="79"/>
        <v>Blue Strawberry</v>
      </c>
      <c r="BC455" s="208" t="str">
        <f t="shared" si="88"/>
        <v>蒙古</v>
      </c>
    </row>
    <row r="456" s="194" customFormat="1" customHeight="1" spans="1:55">
      <c r="A456" s="271">
        <v>46150</v>
      </c>
      <c r="B456" s="208" t="str">
        <f ca="1" t="shared" si="75"/>
        <v/>
      </c>
      <c r="C456" s="211" t="str">
        <f>VLOOKUP(H456,名称!A:E,4,0)</f>
        <v>三代</v>
      </c>
      <c r="D456" s="220" t="s">
        <v>1589</v>
      </c>
      <c r="E456" s="220" t="s">
        <v>1590</v>
      </c>
      <c r="F456" s="220" t="s">
        <v>833</v>
      </c>
      <c r="G456" s="220" t="s">
        <v>834</v>
      </c>
      <c r="H456" s="220" t="s">
        <v>63</v>
      </c>
      <c r="I456" s="211"/>
      <c r="J456" s="270">
        <v>600</v>
      </c>
      <c r="K456" s="223">
        <f>VLOOKUP(H456,名称!A:C,2,0)</f>
        <v>5</v>
      </c>
      <c r="L456" s="212">
        <f t="shared" si="76"/>
        <v>3000</v>
      </c>
      <c r="M456" s="211">
        <f>VLOOKUP(H456,名称!A:E,3,0)</f>
        <v>24</v>
      </c>
      <c r="N456" s="212">
        <f t="shared" si="82"/>
        <v>25</v>
      </c>
      <c r="O456" s="271">
        <v>46203</v>
      </c>
      <c r="P456" s="271">
        <f t="shared" si="84"/>
        <v>46203</v>
      </c>
      <c r="Q456" s="271">
        <f t="shared" ref="Q456:Q461" si="89">P456</f>
        <v>46203</v>
      </c>
      <c r="R456" s="241" t="s">
        <v>1241</v>
      </c>
      <c r="S456" s="208" t="s">
        <v>1133</v>
      </c>
      <c r="T456" s="211"/>
      <c r="U456" s="211"/>
      <c r="V456" s="211"/>
      <c r="W456" s="208"/>
      <c r="X456" s="257" t="s">
        <v>1133</v>
      </c>
      <c r="Y456" s="257" t="s">
        <v>1133</v>
      </c>
      <c r="Z456" s="211" t="s">
        <v>1249</v>
      </c>
      <c r="AA456" s="214">
        <v>46158</v>
      </c>
      <c r="AB456" s="213">
        <v>46167</v>
      </c>
      <c r="AC456" s="257" t="s">
        <v>1133</v>
      </c>
      <c r="AD456" s="257" t="s">
        <v>1133</v>
      </c>
      <c r="AE456" s="220" t="s">
        <v>510</v>
      </c>
      <c r="AF456" s="257" t="s">
        <v>1228</v>
      </c>
      <c r="AG456" s="257" t="s">
        <v>510</v>
      </c>
      <c r="AH456" s="257" t="s">
        <v>1133</v>
      </c>
      <c r="AI456" s="257" t="s">
        <v>1228</v>
      </c>
      <c r="AJ456" s="257" t="s">
        <v>1133</v>
      </c>
      <c r="AK456" s="257" t="s">
        <v>510</v>
      </c>
      <c r="AL456" s="257"/>
      <c r="AM456" s="257" t="s">
        <v>1506</v>
      </c>
      <c r="AN456" s="220"/>
      <c r="AO456" s="215">
        <v>0.61</v>
      </c>
      <c r="AP456" s="216">
        <f t="shared" si="85"/>
        <v>366</v>
      </c>
      <c r="AQ456" s="216">
        <f t="shared" si="86"/>
        <v>2836.5</v>
      </c>
      <c r="AR456" s="269">
        <v>61398</v>
      </c>
      <c r="AS456" s="255">
        <v>46213</v>
      </c>
      <c r="AT456" s="208" t="s">
        <v>1220</v>
      </c>
      <c r="AU456" s="253">
        <v>600</v>
      </c>
      <c r="AV456" s="252">
        <f t="shared" si="87"/>
        <v>0</v>
      </c>
      <c r="AW456" s="208"/>
      <c r="AX456" s="256"/>
      <c r="AY456" s="208"/>
      <c r="AZ456" s="208"/>
      <c r="BA456" s="208"/>
      <c r="BB456" s="208" t="str">
        <f t="shared" si="79"/>
        <v>Blue Strawberry</v>
      </c>
      <c r="BC456" s="208" t="str">
        <f t="shared" si="88"/>
        <v>蒙古</v>
      </c>
    </row>
    <row r="457" s="194" customFormat="1" customHeight="1" spans="1:55">
      <c r="A457" s="271">
        <v>46150</v>
      </c>
      <c r="B457" s="208" t="str">
        <f ca="1" t="shared" si="75"/>
        <v/>
      </c>
      <c r="C457" s="211" t="str">
        <f>VLOOKUP(H457,名称!A:E,4,0)</f>
        <v>三代</v>
      </c>
      <c r="D457" s="220" t="s">
        <v>1589</v>
      </c>
      <c r="E457" s="220" t="s">
        <v>1590</v>
      </c>
      <c r="F457" s="220" t="s">
        <v>833</v>
      </c>
      <c r="G457" s="220" t="s">
        <v>834</v>
      </c>
      <c r="H457" s="220" t="s">
        <v>66</v>
      </c>
      <c r="I457" s="211"/>
      <c r="J457" s="270">
        <v>960</v>
      </c>
      <c r="K457" s="223">
        <f>VLOOKUP(H457,名称!A:C,2,0)</f>
        <v>12</v>
      </c>
      <c r="L457" s="212">
        <f t="shared" si="76"/>
        <v>11520</v>
      </c>
      <c r="M457" s="211">
        <f>VLOOKUP(H457,名称!A:E,3,0)</f>
        <v>6</v>
      </c>
      <c r="N457" s="212">
        <f t="shared" si="82"/>
        <v>160</v>
      </c>
      <c r="O457" s="271">
        <v>46203</v>
      </c>
      <c r="P457" s="271">
        <f t="shared" si="84"/>
        <v>46203</v>
      </c>
      <c r="Q457" s="271">
        <f t="shared" si="89"/>
        <v>46203</v>
      </c>
      <c r="R457" s="241" t="s">
        <v>1241</v>
      </c>
      <c r="S457" s="208" t="s">
        <v>1133</v>
      </c>
      <c r="T457" s="211"/>
      <c r="U457" s="211"/>
      <c r="V457" s="211"/>
      <c r="W457" s="208"/>
      <c r="X457" s="257" t="s">
        <v>1133</v>
      </c>
      <c r="Y457" s="257" t="s">
        <v>1133</v>
      </c>
      <c r="Z457" s="211" t="s">
        <v>1249</v>
      </c>
      <c r="AA457" s="214">
        <v>46158</v>
      </c>
      <c r="AB457" s="213">
        <v>46167</v>
      </c>
      <c r="AC457" s="257" t="s">
        <v>1318</v>
      </c>
      <c r="AD457" s="257" t="s">
        <v>1228</v>
      </c>
      <c r="AE457" s="220" t="s">
        <v>510</v>
      </c>
      <c r="AF457" s="257" t="s">
        <v>1228</v>
      </c>
      <c r="AG457" s="257" t="s">
        <v>510</v>
      </c>
      <c r="AH457" s="257" t="s">
        <v>1307</v>
      </c>
      <c r="AI457" s="257" t="s">
        <v>1228</v>
      </c>
      <c r="AJ457" s="257" t="s">
        <v>510</v>
      </c>
      <c r="AK457" s="257" t="s">
        <v>1133</v>
      </c>
      <c r="AL457" s="257"/>
      <c r="AM457" s="257" t="s">
        <v>1506</v>
      </c>
      <c r="AN457" s="220"/>
      <c r="AO457" s="215">
        <v>1.99</v>
      </c>
      <c r="AP457" s="216">
        <f t="shared" si="85"/>
        <v>1910.4</v>
      </c>
      <c r="AQ457" s="216">
        <f t="shared" si="86"/>
        <v>14805.6</v>
      </c>
      <c r="AR457" s="269">
        <v>61398</v>
      </c>
      <c r="AS457" s="255">
        <v>46213</v>
      </c>
      <c r="AT457" s="208" t="s">
        <v>1220</v>
      </c>
      <c r="AU457" s="253">
        <v>960</v>
      </c>
      <c r="AV457" s="252">
        <f t="shared" si="87"/>
        <v>0</v>
      </c>
      <c r="AW457" s="208"/>
      <c r="AX457" s="257" t="s">
        <v>1280</v>
      </c>
      <c r="AY457" s="208"/>
      <c r="AZ457" s="208"/>
      <c r="BA457" s="208"/>
      <c r="BB457" s="208" t="str">
        <f t="shared" si="79"/>
        <v>Blue Strawberry</v>
      </c>
      <c r="BC457" s="208" t="str">
        <f t="shared" si="88"/>
        <v>蒙古</v>
      </c>
    </row>
    <row r="458" s="194" customFormat="1" customHeight="1" spans="1:55">
      <c r="A458" s="271">
        <v>46150</v>
      </c>
      <c r="B458" s="208" t="str">
        <f ca="1" t="shared" si="75"/>
        <v/>
      </c>
      <c r="C458" s="211" t="str">
        <f>VLOOKUP(H458,名称!A:E,4,0)</f>
        <v>三代</v>
      </c>
      <c r="D458" s="220" t="s">
        <v>1589</v>
      </c>
      <c r="E458" s="220" t="s">
        <v>1590</v>
      </c>
      <c r="F458" s="220" t="s">
        <v>833</v>
      </c>
      <c r="G458" s="220" t="s">
        <v>834</v>
      </c>
      <c r="H458" s="220" t="s">
        <v>68</v>
      </c>
      <c r="I458" s="211"/>
      <c r="J458" s="270">
        <v>400</v>
      </c>
      <c r="K458" s="223">
        <f>VLOOKUP(H458,名称!A:C,2,0)</f>
        <v>32</v>
      </c>
      <c r="L458" s="212">
        <f t="shared" si="76"/>
        <v>12800</v>
      </c>
      <c r="M458" s="211">
        <f>VLOOKUP(H458,名称!A:E,3,0)</f>
        <v>4</v>
      </c>
      <c r="N458" s="212">
        <f t="shared" si="82"/>
        <v>100</v>
      </c>
      <c r="O458" s="271">
        <v>46203</v>
      </c>
      <c r="P458" s="271">
        <f t="shared" si="84"/>
        <v>46203</v>
      </c>
      <c r="Q458" s="271">
        <v>46204</v>
      </c>
      <c r="R458" s="267" t="s">
        <v>1241</v>
      </c>
      <c r="S458" s="208" t="s">
        <v>1133</v>
      </c>
      <c r="T458" s="211"/>
      <c r="U458" s="211"/>
      <c r="V458" s="211"/>
      <c r="W458" s="208"/>
      <c r="X458" s="257" t="s">
        <v>1133</v>
      </c>
      <c r="Y458" s="257" t="s">
        <v>1133</v>
      </c>
      <c r="Z458" s="211" t="s">
        <v>1249</v>
      </c>
      <c r="AA458" s="214">
        <v>46158</v>
      </c>
      <c r="AB458" s="213">
        <v>46167</v>
      </c>
      <c r="AC458" s="257" t="s">
        <v>1133</v>
      </c>
      <c r="AD458" s="257" t="s">
        <v>1133</v>
      </c>
      <c r="AE458" s="220" t="s">
        <v>510</v>
      </c>
      <c r="AF458" s="257" t="s">
        <v>1228</v>
      </c>
      <c r="AG458" s="257" t="s">
        <v>510</v>
      </c>
      <c r="AH458" s="257" t="s">
        <v>1307</v>
      </c>
      <c r="AI458" s="257" t="s">
        <v>1228</v>
      </c>
      <c r="AJ458" s="257" t="s">
        <v>1133</v>
      </c>
      <c r="AK458" s="257" t="s">
        <v>1133</v>
      </c>
      <c r="AL458" s="257"/>
      <c r="AM458" s="257" t="s">
        <v>1506</v>
      </c>
      <c r="AN458" s="220"/>
      <c r="AO458" s="215">
        <v>2.99</v>
      </c>
      <c r="AP458" s="216">
        <f t="shared" si="85"/>
        <v>1196</v>
      </c>
      <c r="AQ458" s="216">
        <f t="shared" si="86"/>
        <v>9269</v>
      </c>
      <c r="AR458" s="224" t="s">
        <v>1825</v>
      </c>
      <c r="AS458" s="255">
        <v>46213</v>
      </c>
      <c r="AT458" s="208" t="s">
        <v>1220</v>
      </c>
      <c r="AU458" s="253">
        <v>400</v>
      </c>
      <c r="AV458" s="252">
        <f t="shared" si="87"/>
        <v>0</v>
      </c>
      <c r="AW458" s="208"/>
      <c r="AX458" s="256" t="s">
        <v>1280</v>
      </c>
      <c r="AY458" s="208"/>
      <c r="AZ458" s="208"/>
      <c r="BA458" s="208"/>
      <c r="BB458" s="208" t="str">
        <f t="shared" si="79"/>
        <v>Blue Strawberry</v>
      </c>
      <c r="BC458" s="208" t="str">
        <f t="shared" si="88"/>
        <v>蒙古</v>
      </c>
    </row>
    <row r="459" s="194" customFormat="1" customHeight="1" spans="1:55">
      <c r="A459" s="271">
        <v>46150</v>
      </c>
      <c r="B459" s="208" t="str">
        <f ca="1" t="shared" si="75"/>
        <v/>
      </c>
      <c r="C459" s="211" t="str">
        <f>VLOOKUP(H459,名称!A:E,4,0)</f>
        <v>三代</v>
      </c>
      <c r="D459" s="220" t="s">
        <v>1589</v>
      </c>
      <c r="E459" s="220" t="s">
        <v>1590</v>
      </c>
      <c r="F459" s="220" t="s">
        <v>833</v>
      </c>
      <c r="G459" s="220" t="s">
        <v>834</v>
      </c>
      <c r="H459" s="220" t="s">
        <v>112</v>
      </c>
      <c r="I459" s="211"/>
      <c r="J459" s="270">
        <v>100</v>
      </c>
      <c r="K459" s="223">
        <f>VLOOKUP(H459,名称!A:C,2,0)</f>
        <v>50</v>
      </c>
      <c r="L459" s="212">
        <f t="shared" si="76"/>
        <v>5000</v>
      </c>
      <c r="M459" s="211">
        <f>VLOOKUP(H459,名称!A:E,3,0)</f>
        <v>2</v>
      </c>
      <c r="N459" s="212">
        <f t="shared" si="82"/>
        <v>50</v>
      </c>
      <c r="O459" s="271">
        <v>46203</v>
      </c>
      <c r="P459" s="271">
        <f t="shared" si="84"/>
        <v>46203</v>
      </c>
      <c r="Q459" s="256">
        <v>46204</v>
      </c>
      <c r="R459" s="267" t="s">
        <v>1241</v>
      </c>
      <c r="S459" s="208" t="s">
        <v>1133</v>
      </c>
      <c r="T459" s="211"/>
      <c r="U459" s="211"/>
      <c r="V459" s="211"/>
      <c r="W459" s="208"/>
      <c r="X459" s="257" t="s">
        <v>1133</v>
      </c>
      <c r="Y459" s="257" t="s">
        <v>1133</v>
      </c>
      <c r="Z459" s="211" t="s">
        <v>1249</v>
      </c>
      <c r="AA459" s="214">
        <v>46158</v>
      </c>
      <c r="AB459" s="213">
        <v>46167</v>
      </c>
      <c r="AC459" s="257" t="s">
        <v>1133</v>
      </c>
      <c r="AD459" s="257" t="s">
        <v>1133</v>
      </c>
      <c r="AE459" s="220" t="s">
        <v>510</v>
      </c>
      <c r="AF459" s="257" t="s">
        <v>1228</v>
      </c>
      <c r="AG459" s="257" t="s">
        <v>510</v>
      </c>
      <c r="AH459" s="257" t="s">
        <v>1133</v>
      </c>
      <c r="AI459" s="257" t="s">
        <v>1228</v>
      </c>
      <c r="AJ459" s="257" t="s">
        <v>1133</v>
      </c>
      <c r="AK459" s="257" t="s">
        <v>1133</v>
      </c>
      <c r="AL459" s="257"/>
      <c r="AM459" s="257" t="s">
        <v>1506</v>
      </c>
      <c r="AN459" s="220"/>
      <c r="AO459" s="215">
        <v>8.76</v>
      </c>
      <c r="AP459" s="216">
        <f t="shared" si="85"/>
        <v>876</v>
      </c>
      <c r="AQ459" s="216">
        <f t="shared" si="86"/>
        <v>6789</v>
      </c>
      <c r="AR459" s="269">
        <v>61398</v>
      </c>
      <c r="AS459" s="255">
        <v>46213</v>
      </c>
      <c r="AT459" s="208" t="s">
        <v>1220</v>
      </c>
      <c r="AU459" s="253"/>
      <c r="AV459" s="252">
        <f t="shared" si="87"/>
        <v>-100</v>
      </c>
      <c r="AW459" s="208"/>
      <c r="AX459" s="256"/>
      <c r="AY459" s="208"/>
      <c r="AZ459" s="208"/>
      <c r="BA459" s="208"/>
      <c r="BB459" s="208" t="str">
        <f t="shared" si="79"/>
        <v>Blue Strawberry</v>
      </c>
      <c r="BC459" s="208" t="str">
        <f t="shared" si="88"/>
        <v>蒙古</v>
      </c>
    </row>
    <row r="460" s="194" customFormat="1" customHeight="1" spans="1:55">
      <c r="A460" s="271">
        <v>46150</v>
      </c>
      <c r="B460" s="208" t="str">
        <f ca="1" t="shared" si="75"/>
        <v/>
      </c>
      <c r="C460" s="211" t="str">
        <f>VLOOKUP(H460,名称!A:E,4,0)</f>
        <v>三代</v>
      </c>
      <c r="D460" s="220" t="s">
        <v>1589</v>
      </c>
      <c r="E460" s="220" t="s">
        <v>1590</v>
      </c>
      <c r="F460" s="220" t="s">
        <v>833</v>
      </c>
      <c r="G460" s="220" t="s">
        <v>834</v>
      </c>
      <c r="H460" s="220" t="s">
        <v>72</v>
      </c>
      <c r="I460" s="211"/>
      <c r="J460" s="270">
        <v>480</v>
      </c>
      <c r="K460" s="223">
        <f>VLOOKUP(H460,名称!A:C,2,0)</f>
        <v>12</v>
      </c>
      <c r="L460" s="212">
        <f t="shared" si="76"/>
        <v>5760</v>
      </c>
      <c r="M460" s="211">
        <f>VLOOKUP(H460,名称!A:E,3,0)</f>
        <v>12</v>
      </c>
      <c r="N460" s="212">
        <f t="shared" si="82"/>
        <v>40</v>
      </c>
      <c r="O460" s="271">
        <v>46203</v>
      </c>
      <c r="P460" s="271">
        <f t="shared" si="84"/>
        <v>46203</v>
      </c>
      <c r="Q460" s="256">
        <v>46204</v>
      </c>
      <c r="R460" s="241" t="s">
        <v>1241</v>
      </c>
      <c r="S460" s="208" t="s">
        <v>1133</v>
      </c>
      <c r="T460" s="211"/>
      <c r="U460" s="211"/>
      <c r="V460" s="211"/>
      <c r="W460" s="208"/>
      <c r="X460" s="257" t="s">
        <v>1133</v>
      </c>
      <c r="Y460" s="257" t="s">
        <v>1133</v>
      </c>
      <c r="Z460" s="211" t="s">
        <v>1249</v>
      </c>
      <c r="AA460" s="214">
        <v>46158</v>
      </c>
      <c r="AB460" s="213">
        <v>46167</v>
      </c>
      <c r="AC460" s="259" t="s">
        <v>1302</v>
      </c>
      <c r="AD460" s="259" t="s">
        <v>1228</v>
      </c>
      <c r="AE460" s="220" t="s">
        <v>510</v>
      </c>
      <c r="AF460" s="257" t="s">
        <v>1228</v>
      </c>
      <c r="AG460" s="257" t="s">
        <v>510</v>
      </c>
      <c r="AH460" s="257" t="s">
        <v>1307</v>
      </c>
      <c r="AI460" s="257" t="s">
        <v>1228</v>
      </c>
      <c r="AJ460" s="257" t="s">
        <v>1133</v>
      </c>
      <c r="AK460" s="257" t="s">
        <v>1133</v>
      </c>
      <c r="AL460" s="257"/>
      <c r="AM460" s="257" t="s">
        <v>1506</v>
      </c>
      <c r="AN460" s="220"/>
      <c r="AO460" s="215">
        <v>1.55</v>
      </c>
      <c r="AP460" s="216">
        <f t="shared" si="85"/>
        <v>744</v>
      </c>
      <c r="AQ460" s="216">
        <f t="shared" si="86"/>
        <v>5766</v>
      </c>
      <c r="AR460" s="269">
        <v>61398</v>
      </c>
      <c r="AS460" s="255">
        <v>46213</v>
      </c>
      <c r="AT460" s="208" t="s">
        <v>1220</v>
      </c>
      <c r="AU460" s="253">
        <v>480</v>
      </c>
      <c r="AV460" s="252">
        <f t="shared" si="87"/>
        <v>0</v>
      </c>
      <c r="AW460" s="208"/>
      <c r="AX460" s="256"/>
      <c r="AY460" s="208"/>
      <c r="AZ460" s="208"/>
      <c r="BA460" s="208"/>
      <c r="BB460" s="208" t="str">
        <f t="shared" si="79"/>
        <v>Blue Strawberry</v>
      </c>
      <c r="BC460" s="208" t="str">
        <f t="shared" si="88"/>
        <v>蒙古</v>
      </c>
    </row>
    <row r="461" s="194" customFormat="1" customHeight="1" spans="1:55">
      <c r="A461" s="271">
        <v>46150</v>
      </c>
      <c r="B461" s="208" t="str">
        <f ca="1" t="shared" si="75"/>
        <v/>
      </c>
      <c r="C461" s="211" t="str">
        <f>VLOOKUP(H461,名称!A:E,4,0)</f>
        <v>三代</v>
      </c>
      <c r="D461" s="220" t="s">
        <v>1589</v>
      </c>
      <c r="E461" s="220" t="s">
        <v>1590</v>
      </c>
      <c r="F461" s="220" t="s">
        <v>833</v>
      </c>
      <c r="G461" s="220" t="s">
        <v>834</v>
      </c>
      <c r="H461" s="220" t="s">
        <v>85</v>
      </c>
      <c r="I461" s="211"/>
      <c r="J461" s="270">
        <v>960</v>
      </c>
      <c r="K461" s="223">
        <f>VLOOKUP(H461,名称!A:C,2,0)</f>
        <v>5</v>
      </c>
      <c r="L461" s="212">
        <f t="shared" si="76"/>
        <v>4800</v>
      </c>
      <c r="M461" s="211">
        <f>VLOOKUP(H461,名称!A:E,3,0)</f>
        <v>24</v>
      </c>
      <c r="N461" s="212">
        <f t="shared" si="82"/>
        <v>40</v>
      </c>
      <c r="O461" s="271">
        <v>46203</v>
      </c>
      <c r="P461" s="271">
        <f t="shared" si="84"/>
        <v>46203</v>
      </c>
      <c r="Q461" s="271">
        <f t="shared" si="89"/>
        <v>46203</v>
      </c>
      <c r="R461" s="241" t="s">
        <v>1241</v>
      </c>
      <c r="S461" s="208" t="s">
        <v>1133</v>
      </c>
      <c r="T461" s="211"/>
      <c r="U461" s="211"/>
      <c r="V461" s="211"/>
      <c r="W461" s="208"/>
      <c r="X461" s="257" t="s">
        <v>1133</v>
      </c>
      <c r="Y461" s="257" t="s">
        <v>1133</v>
      </c>
      <c r="Z461" s="211" t="s">
        <v>1249</v>
      </c>
      <c r="AA461" s="214">
        <v>46158</v>
      </c>
      <c r="AB461" s="213">
        <v>46167</v>
      </c>
      <c r="AC461" s="257" t="s">
        <v>1133</v>
      </c>
      <c r="AD461" s="257" t="s">
        <v>1133</v>
      </c>
      <c r="AE461" s="220" t="s">
        <v>510</v>
      </c>
      <c r="AF461" s="257" t="s">
        <v>1228</v>
      </c>
      <c r="AG461" s="257" t="s">
        <v>510</v>
      </c>
      <c r="AH461" s="257" t="s">
        <v>1133</v>
      </c>
      <c r="AI461" s="257" t="s">
        <v>1228</v>
      </c>
      <c r="AJ461" s="257" t="s">
        <v>1133</v>
      </c>
      <c r="AK461" s="257" t="s">
        <v>510</v>
      </c>
      <c r="AL461" s="257"/>
      <c r="AM461" s="257" t="s">
        <v>1506</v>
      </c>
      <c r="AN461" s="268" t="s">
        <v>1349</v>
      </c>
      <c r="AO461" s="215">
        <v>0.86</v>
      </c>
      <c r="AP461" s="216">
        <f t="shared" si="85"/>
        <v>825.6</v>
      </c>
      <c r="AQ461" s="216">
        <f t="shared" si="86"/>
        <v>6398.4</v>
      </c>
      <c r="AR461" s="269">
        <v>61398</v>
      </c>
      <c r="AS461" s="255">
        <v>46213</v>
      </c>
      <c r="AT461" s="208" t="s">
        <v>1220</v>
      </c>
      <c r="AU461" s="253">
        <v>960</v>
      </c>
      <c r="AV461" s="252">
        <f t="shared" si="87"/>
        <v>0</v>
      </c>
      <c r="AW461" s="208"/>
      <c r="AX461" s="256" t="s">
        <v>1280</v>
      </c>
      <c r="AY461" s="208"/>
      <c r="AZ461" s="208"/>
      <c r="BA461" s="208"/>
      <c r="BB461" s="208" t="str">
        <f t="shared" si="79"/>
        <v>Blue Strawberry</v>
      </c>
      <c r="BC461" s="208" t="str">
        <f t="shared" si="88"/>
        <v>蒙古</v>
      </c>
    </row>
    <row r="462" s="194" customFormat="1" customHeight="1" spans="1:55">
      <c r="A462" s="271">
        <v>46150</v>
      </c>
      <c r="B462" s="208" t="str">
        <f ca="1" t="shared" si="75"/>
        <v/>
      </c>
      <c r="C462" s="211" t="str">
        <f>VLOOKUP(H462,名称!A:E,4,0)</f>
        <v>三代</v>
      </c>
      <c r="D462" s="220" t="s">
        <v>1589</v>
      </c>
      <c r="E462" s="220" t="s">
        <v>1590</v>
      </c>
      <c r="F462" s="220" t="s">
        <v>833</v>
      </c>
      <c r="G462" s="220" t="s">
        <v>834</v>
      </c>
      <c r="H462" s="220" t="s">
        <v>119</v>
      </c>
      <c r="I462" s="211"/>
      <c r="J462" s="270">
        <v>600</v>
      </c>
      <c r="K462" s="223">
        <f>VLOOKUP(H462,名称!A:C,2,0)</f>
        <v>5</v>
      </c>
      <c r="L462" s="212">
        <f t="shared" si="76"/>
        <v>3000</v>
      </c>
      <c r="M462" s="211">
        <f>VLOOKUP(H462,名称!A:E,3,0)</f>
        <v>24</v>
      </c>
      <c r="N462" s="212">
        <f t="shared" si="82"/>
        <v>25</v>
      </c>
      <c r="O462" s="271">
        <v>46203</v>
      </c>
      <c r="P462" s="271">
        <f t="shared" si="84"/>
        <v>46203</v>
      </c>
      <c r="Q462" s="271">
        <v>46204</v>
      </c>
      <c r="R462" s="267" t="s">
        <v>1241</v>
      </c>
      <c r="S462" s="208" t="s">
        <v>1133</v>
      </c>
      <c r="T462" s="211"/>
      <c r="U462" s="211"/>
      <c r="V462" s="211"/>
      <c r="W462" s="208"/>
      <c r="X462" s="257" t="s">
        <v>1133</v>
      </c>
      <c r="Y462" s="257" t="s">
        <v>1133</v>
      </c>
      <c r="Z462" s="211" t="s">
        <v>1249</v>
      </c>
      <c r="AA462" s="214">
        <v>46158</v>
      </c>
      <c r="AB462" s="213">
        <v>46167</v>
      </c>
      <c r="AC462" s="257"/>
      <c r="AD462" s="257"/>
      <c r="AE462" s="220" t="s">
        <v>510</v>
      </c>
      <c r="AF462" s="257" t="s">
        <v>1228</v>
      </c>
      <c r="AG462" s="257" t="s">
        <v>510</v>
      </c>
      <c r="AH462" s="257" t="s">
        <v>1133</v>
      </c>
      <c r="AI462" s="257" t="s">
        <v>1228</v>
      </c>
      <c r="AJ462" s="257" t="s">
        <v>1133</v>
      </c>
      <c r="AK462" s="257" t="s">
        <v>510</v>
      </c>
      <c r="AL462" s="257"/>
      <c r="AM462" s="257" t="s">
        <v>1506</v>
      </c>
      <c r="AN462" s="220"/>
      <c r="AO462" s="215">
        <v>0.6</v>
      </c>
      <c r="AP462" s="216">
        <f t="shared" si="85"/>
        <v>360</v>
      </c>
      <c r="AQ462" s="216">
        <f t="shared" si="86"/>
        <v>2790</v>
      </c>
      <c r="AR462" s="269">
        <v>61398</v>
      </c>
      <c r="AS462" s="255">
        <v>46213</v>
      </c>
      <c r="AT462" s="208" t="s">
        <v>1220</v>
      </c>
      <c r="AU462" s="253">
        <v>600</v>
      </c>
      <c r="AV462" s="252">
        <f t="shared" si="87"/>
        <v>0</v>
      </c>
      <c r="AW462" s="208"/>
      <c r="AX462" s="256" t="s">
        <v>1280</v>
      </c>
      <c r="AY462" s="208"/>
      <c r="AZ462" s="208"/>
      <c r="BA462" s="208"/>
      <c r="BB462" s="208" t="str">
        <f t="shared" si="79"/>
        <v>Blue Strawberry</v>
      </c>
      <c r="BC462" s="208" t="str">
        <f t="shared" si="88"/>
        <v>蒙古</v>
      </c>
    </row>
    <row r="463" s="194" customFormat="1" customHeight="1" spans="1:55">
      <c r="A463" s="271">
        <v>46150</v>
      </c>
      <c r="B463" s="208" t="str">
        <f ca="1" t="shared" si="75"/>
        <v/>
      </c>
      <c r="C463" s="211" t="str">
        <f>VLOOKUP(H463,名称!A:E,4,0)</f>
        <v>三代</v>
      </c>
      <c r="D463" s="220" t="s">
        <v>1589</v>
      </c>
      <c r="E463" s="220" t="s">
        <v>1590</v>
      </c>
      <c r="F463" s="220" t="s">
        <v>833</v>
      </c>
      <c r="G463" s="220" t="s">
        <v>834</v>
      </c>
      <c r="H463" s="220" t="s">
        <v>125</v>
      </c>
      <c r="I463" s="211"/>
      <c r="J463" s="270">
        <v>240</v>
      </c>
      <c r="K463" s="223">
        <f>VLOOKUP(H463,名称!A:C,2,0)</f>
        <v>12</v>
      </c>
      <c r="L463" s="212">
        <f t="shared" si="76"/>
        <v>2880</v>
      </c>
      <c r="M463" s="211">
        <f>VLOOKUP(H463,名称!A:E,3,0)</f>
        <v>12</v>
      </c>
      <c r="N463" s="212">
        <f t="shared" si="82"/>
        <v>20</v>
      </c>
      <c r="O463" s="271">
        <v>46203</v>
      </c>
      <c r="P463" s="271">
        <f t="shared" si="84"/>
        <v>46203</v>
      </c>
      <c r="Q463" s="256">
        <v>46204</v>
      </c>
      <c r="R463" s="267" t="s">
        <v>1241</v>
      </c>
      <c r="S463" s="208" t="s">
        <v>1133</v>
      </c>
      <c r="T463" s="211"/>
      <c r="U463" s="211"/>
      <c r="V463" s="211"/>
      <c r="W463" s="208"/>
      <c r="X463" s="257" t="s">
        <v>1133</v>
      </c>
      <c r="Y463" s="257" t="s">
        <v>1133</v>
      </c>
      <c r="Z463" s="211" t="s">
        <v>1249</v>
      </c>
      <c r="AA463" s="214">
        <v>46158</v>
      </c>
      <c r="AB463" s="213">
        <v>46167</v>
      </c>
      <c r="AC463" s="257" t="s">
        <v>1302</v>
      </c>
      <c r="AD463" s="257" t="s">
        <v>1228</v>
      </c>
      <c r="AE463" s="220" t="s">
        <v>510</v>
      </c>
      <c r="AF463" s="257" t="s">
        <v>1228</v>
      </c>
      <c r="AG463" s="257" t="s">
        <v>510</v>
      </c>
      <c r="AH463" s="257" t="s">
        <v>1307</v>
      </c>
      <c r="AI463" s="257" t="s">
        <v>1228</v>
      </c>
      <c r="AJ463" s="257" t="s">
        <v>1133</v>
      </c>
      <c r="AK463" s="257" t="s">
        <v>1133</v>
      </c>
      <c r="AL463" s="257"/>
      <c r="AM463" s="257" t="s">
        <v>1506</v>
      </c>
      <c r="AN463" s="220"/>
      <c r="AO463" s="215">
        <v>1.55</v>
      </c>
      <c r="AP463" s="216">
        <f t="shared" si="85"/>
        <v>372</v>
      </c>
      <c r="AQ463" s="216">
        <f t="shared" si="86"/>
        <v>2883</v>
      </c>
      <c r="AR463" s="269">
        <v>61398</v>
      </c>
      <c r="AS463" s="255">
        <v>46213</v>
      </c>
      <c r="AT463" s="273" t="s">
        <v>1220</v>
      </c>
      <c r="AU463" s="253">
        <f>228+12</f>
        <v>240</v>
      </c>
      <c r="AV463" s="252">
        <f t="shared" si="87"/>
        <v>0</v>
      </c>
      <c r="AW463" s="208"/>
      <c r="AX463" s="274" t="s">
        <v>1280</v>
      </c>
      <c r="AY463" s="208"/>
      <c r="AZ463" s="208"/>
      <c r="BA463" s="208"/>
      <c r="BB463" s="273" t="str">
        <f t="shared" si="79"/>
        <v>Blue Strawberry</v>
      </c>
      <c r="BC463" s="273" t="str">
        <f t="shared" si="88"/>
        <v>蒙古</v>
      </c>
    </row>
    <row r="464" s="194" customFormat="1" customHeight="1" spans="1:55">
      <c r="A464" s="271">
        <v>46150</v>
      </c>
      <c r="B464" s="208" t="str">
        <f ca="1" t="shared" si="75"/>
        <v/>
      </c>
      <c r="C464" s="211" t="str">
        <f>VLOOKUP(H464,名称!A:E,4,0)</f>
        <v>蛋糕</v>
      </c>
      <c r="D464" s="220" t="s">
        <v>1589</v>
      </c>
      <c r="E464" s="220" t="s">
        <v>1590</v>
      </c>
      <c r="F464" s="220" t="s">
        <v>833</v>
      </c>
      <c r="G464" s="220" t="s">
        <v>834</v>
      </c>
      <c r="H464" s="220" t="s">
        <v>123</v>
      </c>
      <c r="I464" s="211"/>
      <c r="J464" s="270">
        <v>1920</v>
      </c>
      <c r="K464" s="223">
        <f>VLOOKUP(H464,名称!A:C,2,0)</f>
        <v>0</v>
      </c>
      <c r="L464" s="212">
        <f t="shared" si="76"/>
        <v>0</v>
      </c>
      <c r="M464" s="211">
        <f>VLOOKUP(H464,名称!A:E,3,0)</f>
        <v>24</v>
      </c>
      <c r="N464" s="212">
        <f t="shared" si="82"/>
        <v>80</v>
      </c>
      <c r="O464" s="271">
        <v>46203</v>
      </c>
      <c r="P464" s="271">
        <f t="shared" si="84"/>
        <v>46203</v>
      </c>
      <c r="Q464" s="271">
        <v>46209</v>
      </c>
      <c r="R464" s="241" t="s">
        <v>1277</v>
      </c>
      <c r="S464" s="208" t="s">
        <v>1133</v>
      </c>
      <c r="T464" s="211"/>
      <c r="U464" s="211"/>
      <c r="V464" s="211"/>
      <c r="W464" s="208"/>
      <c r="X464" s="220" t="s">
        <v>1133</v>
      </c>
      <c r="Y464" s="220" t="s">
        <v>1133</v>
      </c>
      <c r="Z464" s="211" t="s">
        <v>1249</v>
      </c>
      <c r="AA464" s="214">
        <v>46158</v>
      </c>
      <c r="AB464" s="214">
        <v>46167</v>
      </c>
      <c r="AC464" s="211" t="s">
        <v>1133</v>
      </c>
      <c r="AD464" s="211" t="s">
        <v>1133</v>
      </c>
      <c r="AE464" s="220" t="s">
        <v>510</v>
      </c>
      <c r="AF464" s="211" t="s">
        <v>1228</v>
      </c>
      <c r="AG464" s="220" t="s">
        <v>510</v>
      </c>
      <c r="AH464" s="211" t="s">
        <v>1133</v>
      </c>
      <c r="AI464" s="211" t="s">
        <v>1228</v>
      </c>
      <c r="AJ464" s="211" t="s">
        <v>1133</v>
      </c>
      <c r="AK464" s="211" t="s">
        <v>1228</v>
      </c>
      <c r="AL464" s="211"/>
      <c r="AM464" s="257" t="s">
        <v>1506</v>
      </c>
      <c r="AN464" s="220" t="s">
        <v>1668</v>
      </c>
      <c r="AO464" s="215">
        <v>0.75</v>
      </c>
      <c r="AP464" s="216">
        <f t="shared" si="85"/>
        <v>1440</v>
      </c>
      <c r="AQ464" s="216">
        <f t="shared" si="86"/>
        <v>11160</v>
      </c>
      <c r="AR464" s="269">
        <v>61398</v>
      </c>
      <c r="AS464" s="255">
        <v>46213</v>
      </c>
      <c r="AT464" s="208" t="s">
        <v>1220</v>
      </c>
      <c r="AU464" s="208"/>
      <c r="AV464" s="208"/>
      <c r="AW464" s="208"/>
      <c r="AX464" s="208"/>
      <c r="AY464" s="208"/>
      <c r="AZ464" s="208"/>
      <c r="BA464" s="208"/>
      <c r="BB464" s="208" t="str">
        <f t="shared" si="79"/>
        <v>Blue Strawberry</v>
      </c>
      <c r="BC464" s="208" t="str">
        <f t="shared" si="88"/>
        <v>蒙古</v>
      </c>
    </row>
    <row r="465" s="194" customFormat="1" customHeight="1" spans="1:55">
      <c r="A465" s="271">
        <v>46150</v>
      </c>
      <c r="B465" s="208" t="str">
        <f ca="1" t="shared" si="75"/>
        <v/>
      </c>
      <c r="C465" s="211" t="str">
        <f>VLOOKUP(H465,名称!A:E,4,0)</f>
        <v>蛋糕</v>
      </c>
      <c r="D465" s="220" t="s">
        <v>1589</v>
      </c>
      <c r="E465" s="220" t="s">
        <v>1590</v>
      </c>
      <c r="F465" s="220" t="s">
        <v>833</v>
      </c>
      <c r="G465" s="220" t="s">
        <v>834</v>
      </c>
      <c r="H465" s="220" t="s">
        <v>50</v>
      </c>
      <c r="I465" s="211"/>
      <c r="J465" s="270">
        <v>720</v>
      </c>
      <c r="K465" s="223">
        <f>VLOOKUP(H465,名称!A:C,2,0)</f>
        <v>0</v>
      </c>
      <c r="L465" s="212">
        <f t="shared" si="76"/>
        <v>0</v>
      </c>
      <c r="M465" s="211">
        <f>VLOOKUP(H465,名称!A:E,3,0)</f>
        <v>18</v>
      </c>
      <c r="N465" s="212">
        <f t="shared" si="82"/>
        <v>40</v>
      </c>
      <c r="O465" s="271">
        <v>46203</v>
      </c>
      <c r="P465" s="271">
        <f t="shared" si="84"/>
        <v>46203</v>
      </c>
      <c r="Q465" s="256">
        <v>46209</v>
      </c>
      <c r="R465" s="267" t="s">
        <v>1277</v>
      </c>
      <c r="S465" s="208" t="s">
        <v>1133</v>
      </c>
      <c r="T465" s="211"/>
      <c r="U465" s="211"/>
      <c r="V465" s="211"/>
      <c r="W465" s="208"/>
      <c r="X465" s="220" t="s">
        <v>1133</v>
      </c>
      <c r="Y465" s="220" t="s">
        <v>1133</v>
      </c>
      <c r="Z465" s="211" t="s">
        <v>1249</v>
      </c>
      <c r="AA465" s="214">
        <v>46158</v>
      </c>
      <c r="AB465" s="214">
        <v>46167</v>
      </c>
      <c r="AC465" s="211" t="s">
        <v>1133</v>
      </c>
      <c r="AD465" s="211" t="s">
        <v>1133</v>
      </c>
      <c r="AE465" s="220" t="s">
        <v>510</v>
      </c>
      <c r="AF465" s="211" t="s">
        <v>1228</v>
      </c>
      <c r="AG465" s="220" t="s">
        <v>510</v>
      </c>
      <c r="AH465" s="211" t="s">
        <v>1133</v>
      </c>
      <c r="AI465" s="211" t="s">
        <v>1228</v>
      </c>
      <c r="AJ465" s="211" t="s">
        <v>1133</v>
      </c>
      <c r="AK465" s="211" t="s">
        <v>1228</v>
      </c>
      <c r="AL465" s="211"/>
      <c r="AM465" s="257" t="s">
        <v>1506</v>
      </c>
      <c r="AN465" s="220" t="s">
        <v>1668</v>
      </c>
      <c r="AO465" s="215">
        <v>1.06</v>
      </c>
      <c r="AP465" s="216">
        <f t="shared" si="85"/>
        <v>763.2</v>
      </c>
      <c r="AQ465" s="216">
        <f t="shared" si="86"/>
        <v>5914.8</v>
      </c>
      <c r="AR465" s="269">
        <v>61398</v>
      </c>
      <c r="AS465" s="255">
        <v>46213</v>
      </c>
      <c r="AT465" s="208" t="s">
        <v>1220</v>
      </c>
      <c r="AU465" s="208"/>
      <c r="AV465" s="208"/>
      <c r="AW465" s="208"/>
      <c r="AX465" s="208"/>
      <c r="AY465" s="208"/>
      <c r="AZ465" s="208"/>
      <c r="BA465" s="208"/>
      <c r="BB465" s="208" t="str">
        <f t="shared" si="79"/>
        <v>Blue Strawberry</v>
      </c>
      <c r="BC465" s="208" t="str">
        <f t="shared" si="88"/>
        <v>蒙古</v>
      </c>
    </row>
    <row r="466" s="194" customFormat="1" customHeight="1" spans="1:55">
      <c r="A466" s="271">
        <v>46150</v>
      </c>
      <c r="B466" s="208" t="str">
        <f ca="1" t="shared" si="75"/>
        <v/>
      </c>
      <c r="C466" s="211" t="str">
        <f>VLOOKUP(H466,名称!A:E,4,0)</f>
        <v>蛋糕</v>
      </c>
      <c r="D466" s="220" t="s">
        <v>1589</v>
      </c>
      <c r="E466" s="220" t="s">
        <v>1590</v>
      </c>
      <c r="F466" s="220" t="s">
        <v>833</v>
      </c>
      <c r="G466" s="220" t="s">
        <v>834</v>
      </c>
      <c r="H466" s="220" t="s">
        <v>52</v>
      </c>
      <c r="I466" s="211"/>
      <c r="J466" s="270">
        <v>400</v>
      </c>
      <c r="K466" s="223">
        <f>VLOOKUP(H466,名称!A:C,2,0)</f>
        <v>0</v>
      </c>
      <c r="L466" s="212">
        <f t="shared" si="76"/>
        <v>0</v>
      </c>
      <c r="M466" s="211">
        <f>VLOOKUP(H466,名称!A:E,3,0)</f>
        <v>4</v>
      </c>
      <c r="N466" s="212">
        <f t="shared" si="82"/>
        <v>100</v>
      </c>
      <c r="O466" s="271">
        <v>46203</v>
      </c>
      <c r="P466" s="271">
        <f t="shared" si="84"/>
        <v>46203</v>
      </c>
      <c r="Q466" s="256">
        <v>46209</v>
      </c>
      <c r="R466" s="267" t="s">
        <v>1277</v>
      </c>
      <c r="S466" s="208" t="s">
        <v>1133</v>
      </c>
      <c r="T466" s="211"/>
      <c r="U466" s="211"/>
      <c r="V466" s="211"/>
      <c r="W466" s="208"/>
      <c r="X466" s="220" t="s">
        <v>1133</v>
      </c>
      <c r="Y466" s="220" t="s">
        <v>1133</v>
      </c>
      <c r="Z466" s="211" t="s">
        <v>1249</v>
      </c>
      <c r="AA466" s="214">
        <v>46158</v>
      </c>
      <c r="AB466" s="214">
        <v>46167</v>
      </c>
      <c r="AC466" s="211" t="s">
        <v>1133</v>
      </c>
      <c r="AD466" s="211" t="s">
        <v>1133</v>
      </c>
      <c r="AE466" s="220" t="s">
        <v>510</v>
      </c>
      <c r="AF466" s="211" t="s">
        <v>1228</v>
      </c>
      <c r="AG466" s="220" t="s">
        <v>510</v>
      </c>
      <c r="AH466" s="211" t="s">
        <v>1133</v>
      </c>
      <c r="AI466" s="211" t="s">
        <v>1228</v>
      </c>
      <c r="AJ466" s="211" t="s">
        <v>1133</v>
      </c>
      <c r="AK466" s="211" t="s">
        <v>1228</v>
      </c>
      <c r="AL466" s="211"/>
      <c r="AM466" s="257" t="s">
        <v>1506</v>
      </c>
      <c r="AN466" s="220" t="s">
        <v>1668</v>
      </c>
      <c r="AO466" s="215">
        <v>2.7</v>
      </c>
      <c r="AP466" s="216">
        <f t="shared" si="85"/>
        <v>1080</v>
      </c>
      <c r="AQ466" s="216">
        <f t="shared" si="86"/>
        <v>8370</v>
      </c>
      <c r="AR466" s="269">
        <v>61398</v>
      </c>
      <c r="AS466" s="255">
        <v>46213</v>
      </c>
      <c r="AT466" s="208" t="s">
        <v>1220</v>
      </c>
      <c r="AU466" s="208"/>
      <c r="AV466" s="208"/>
      <c r="AW466" s="208"/>
      <c r="AX466" s="208"/>
      <c r="AY466" s="208"/>
      <c r="AZ466" s="208"/>
      <c r="BA466" s="208"/>
      <c r="BB466" s="208" t="str">
        <f t="shared" si="79"/>
        <v>Blue Strawberry</v>
      </c>
      <c r="BC466" s="208" t="str">
        <f t="shared" si="88"/>
        <v>蒙古</v>
      </c>
    </row>
    <row r="467" s="194" customFormat="1" customHeight="1" spans="1:55">
      <c r="A467" s="208">
        <v>46106</v>
      </c>
      <c r="B467" s="208" t="str">
        <f ca="1" t="shared" ref="B467:B530" si="90">IF(TODAY()-5&gt;=A467,IF(AB467="","异常",""),"")</f>
        <v/>
      </c>
      <c r="C467" s="211" t="str">
        <f>VLOOKUP(H467,名称!A:E,4,0)</f>
        <v>三代</v>
      </c>
      <c r="D467" s="210" t="s">
        <v>1420</v>
      </c>
      <c r="E467" s="210" t="s">
        <v>1421</v>
      </c>
      <c r="F467" s="211"/>
      <c r="G467" s="211" t="s">
        <v>579</v>
      </c>
      <c r="H467" s="211" t="s">
        <v>119</v>
      </c>
      <c r="I467" s="211"/>
      <c r="J467" s="212">
        <f>22272-18504</f>
        <v>3768</v>
      </c>
      <c r="K467" s="223">
        <f>VLOOKUP(H467,名称!A:C,2,0)</f>
        <v>5</v>
      </c>
      <c r="L467" s="212">
        <f t="shared" ref="L467:L530" si="91">J467*K467</f>
        <v>18840</v>
      </c>
      <c r="M467" s="211">
        <f>VLOOKUP(H467,名称!A:E,3,0)</f>
        <v>24</v>
      </c>
      <c r="N467" s="212">
        <f t="shared" si="82"/>
        <v>157</v>
      </c>
      <c r="O467" s="208">
        <v>46167</v>
      </c>
      <c r="P467" s="256">
        <v>46181</v>
      </c>
      <c r="Q467" s="256">
        <v>46182</v>
      </c>
      <c r="R467" s="211" t="s">
        <v>1241</v>
      </c>
      <c r="S467" s="256" t="s">
        <v>1133</v>
      </c>
      <c r="T467" s="211"/>
      <c r="U467" s="211"/>
      <c r="V467" s="211"/>
      <c r="W467" s="208"/>
      <c r="X467" s="211" t="s">
        <v>1248</v>
      </c>
      <c r="Y467" s="211" t="s">
        <v>1228</v>
      </c>
      <c r="Z467" s="211" t="s">
        <v>1249</v>
      </c>
      <c r="AA467" s="214">
        <v>46113</v>
      </c>
      <c r="AB467" s="213">
        <v>46114</v>
      </c>
      <c r="AC467" s="211" t="s">
        <v>1133</v>
      </c>
      <c r="AD467" s="211" t="s">
        <v>1133</v>
      </c>
      <c r="AE467" s="211" t="s">
        <v>510</v>
      </c>
      <c r="AF467" s="257" t="s">
        <v>1228</v>
      </c>
      <c r="AG467" s="211" t="s">
        <v>510</v>
      </c>
      <c r="AH467" s="211" t="s">
        <v>1133</v>
      </c>
      <c r="AI467" s="211" t="s">
        <v>1228</v>
      </c>
      <c r="AJ467" s="211" t="s">
        <v>1133</v>
      </c>
      <c r="AK467" s="211" t="s">
        <v>510</v>
      </c>
      <c r="AL467" s="211"/>
      <c r="AM467" s="211" t="s">
        <v>1359</v>
      </c>
      <c r="AN467" s="212" t="s">
        <v>1251</v>
      </c>
      <c r="AO467" s="215">
        <v>0.65</v>
      </c>
      <c r="AP467" s="216">
        <f t="shared" si="85"/>
        <v>2449.2</v>
      </c>
      <c r="AQ467" s="216">
        <f t="shared" si="86"/>
        <v>18981.3</v>
      </c>
      <c r="AR467" s="269">
        <v>61399</v>
      </c>
      <c r="AS467" s="255">
        <v>46213</v>
      </c>
      <c r="AT467" s="208" t="s">
        <v>1220</v>
      </c>
      <c r="AU467" s="253">
        <f>20160+2112</f>
        <v>22272</v>
      </c>
      <c r="AV467" s="252">
        <f t="shared" ref="AV467:AV490" si="92">AU467-J467</f>
        <v>18504</v>
      </c>
      <c r="AW467" s="252"/>
      <c r="AX467" s="256" t="s">
        <v>1280</v>
      </c>
      <c r="AY467" s="208"/>
      <c r="AZ467" s="208"/>
      <c r="BA467" s="208"/>
      <c r="BB467" s="208" t="str">
        <f t="shared" ref="BB467:BB506" si="93">D467</f>
        <v>Banter Toys</v>
      </c>
      <c r="BC467" s="208" t="str">
        <f t="shared" si="88"/>
        <v>澳大利亚</v>
      </c>
    </row>
    <row r="468" s="194" customFormat="1" customHeight="1" spans="1:55">
      <c r="A468" s="208">
        <v>46106</v>
      </c>
      <c r="B468" s="208" t="str">
        <f ca="1" t="shared" si="90"/>
        <v/>
      </c>
      <c r="C468" s="211" t="str">
        <f>VLOOKUP(H468,名称!A:E,4,0)</f>
        <v>三代</v>
      </c>
      <c r="D468" s="210" t="s">
        <v>1420</v>
      </c>
      <c r="E468" s="210" t="s">
        <v>1421</v>
      </c>
      <c r="F468" s="211"/>
      <c r="G468" s="211" t="s">
        <v>579</v>
      </c>
      <c r="H468" s="211" t="s">
        <v>125</v>
      </c>
      <c r="I468" s="211"/>
      <c r="J468" s="212">
        <v>7404</v>
      </c>
      <c r="K468" s="223">
        <f>VLOOKUP(H468,名称!A:C,2,0)</f>
        <v>12</v>
      </c>
      <c r="L468" s="212">
        <f t="shared" si="91"/>
        <v>88848</v>
      </c>
      <c r="M468" s="211">
        <f>VLOOKUP(H468,名称!A:E,3,0)</f>
        <v>12</v>
      </c>
      <c r="N468" s="212">
        <f t="shared" si="82"/>
        <v>617</v>
      </c>
      <c r="O468" s="208">
        <v>46167</v>
      </c>
      <c r="P468" s="256">
        <v>46205</v>
      </c>
      <c r="Q468" s="256">
        <v>46210</v>
      </c>
      <c r="R468" s="241" t="s">
        <v>1277</v>
      </c>
      <c r="S468" s="256" t="s">
        <v>1133</v>
      </c>
      <c r="T468" s="211"/>
      <c r="U468" s="211"/>
      <c r="V468" s="241" t="s">
        <v>1826</v>
      </c>
      <c r="W468" s="208"/>
      <c r="X468" s="211" t="s">
        <v>1248</v>
      </c>
      <c r="Y468" s="211" t="s">
        <v>1228</v>
      </c>
      <c r="Z468" s="211" t="s">
        <v>1249</v>
      </c>
      <c r="AA468" s="214">
        <v>46113</v>
      </c>
      <c r="AB468" s="214">
        <v>46114</v>
      </c>
      <c r="AC468" s="211" t="s">
        <v>1302</v>
      </c>
      <c r="AD468" s="211" t="s">
        <v>1228</v>
      </c>
      <c r="AE468" s="211" t="s">
        <v>510</v>
      </c>
      <c r="AF468" s="257" t="s">
        <v>1228</v>
      </c>
      <c r="AG468" s="211" t="s">
        <v>510</v>
      </c>
      <c r="AH468" s="211" t="s">
        <v>1307</v>
      </c>
      <c r="AI468" s="211" t="s">
        <v>1228</v>
      </c>
      <c r="AJ468" s="211" t="s">
        <v>1133</v>
      </c>
      <c r="AK468" s="211" t="s">
        <v>1133</v>
      </c>
      <c r="AL468" s="211"/>
      <c r="AM468" s="211" t="s">
        <v>1359</v>
      </c>
      <c r="AN468" s="212" t="s">
        <v>1251</v>
      </c>
      <c r="AO468" s="215">
        <v>1.65</v>
      </c>
      <c r="AP468" s="216">
        <f t="shared" si="85"/>
        <v>12216.6</v>
      </c>
      <c r="AQ468" s="216">
        <f t="shared" si="86"/>
        <v>94678.65</v>
      </c>
      <c r="AR468" s="269">
        <v>61399</v>
      </c>
      <c r="AS468" s="255">
        <v>46213</v>
      </c>
      <c r="AT468" s="273" t="s">
        <v>1220</v>
      </c>
      <c r="AU468" s="253">
        <f>6828+576</f>
        <v>7404</v>
      </c>
      <c r="AV468" s="252">
        <f t="shared" si="92"/>
        <v>0</v>
      </c>
      <c r="AW468" s="252"/>
      <c r="AX468" s="274" t="s">
        <v>1280</v>
      </c>
      <c r="AY468" s="208"/>
      <c r="AZ468" s="208"/>
      <c r="BA468" s="208"/>
      <c r="BB468" s="208" t="str">
        <f t="shared" si="93"/>
        <v>Banter Toys</v>
      </c>
      <c r="BC468" s="208" t="str">
        <f t="shared" si="88"/>
        <v>澳大利亚</v>
      </c>
    </row>
    <row r="469" s="194" customFormat="1" customHeight="1" spans="1:55">
      <c r="A469" s="208">
        <v>46121</v>
      </c>
      <c r="B469" s="208" t="str">
        <f ca="1" t="shared" si="90"/>
        <v/>
      </c>
      <c r="C469" s="211" t="str">
        <f>VLOOKUP(H469,名称!A:E,4,0)</f>
        <v>三代</v>
      </c>
      <c r="D469" s="210" t="s">
        <v>1257</v>
      </c>
      <c r="E469" s="210" t="s">
        <v>1258</v>
      </c>
      <c r="F469" s="211" t="s">
        <v>701</v>
      </c>
      <c r="G469" s="211" t="s">
        <v>702</v>
      </c>
      <c r="H469" s="211" t="s">
        <v>114</v>
      </c>
      <c r="I469" s="211"/>
      <c r="J469" s="212">
        <f>6003-1296</f>
        <v>4707</v>
      </c>
      <c r="K469" s="223">
        <f>VLOOKUP(H469,名称!A:C,2,0)</f>
        <v>0</v>
      </c>
      <c r="L469" s="212">
        <f t="shared" si="91"/>
        <v>0</v>
      </c>
      <c r="M469" s="211">
        <f>VLOOKUP(H469,名称!A:E,3,0)</f>
        <v>9</v>
      </c>
      <c r="N469" s="212">
        <f t="shared" si="82"/>
        <v>523</v>
      </c>
      <c r="O469" s="208">
        <v>46197</v>
      </c>
      <c r="P469" s="208">
        <f t="shared" ref="P469:P472" si="94">O469</f>
        <v>46197</v>
      </c>
      <c r="Q469" s="273">
        <v>46202</v>
      </c>
      <c r="R469" s="241" t="s">
        <v>1425</v>
      </c>
      <c r="S469" s="208">
        <v>46203</v>
      </c>
      <c r="T469" s="241" t="s">
        <v>1241</v>
      </c>
      <c r="U469" s="211"/>
      <c r="V469" s="211"/>
      <c r="W469" s="208"/>
      <c r="X469" s="211" t="s">
        <v>1133</v>
      </c>
      <c r="Y469" s="211" t="s">
        <v>1133</v>
      </c>
      <c r="Z469" s="263">
        <v>46125</v>
      </c>
      <c r="AA469" s="214">
        <v>46129</v>
      </c>
      <c r="AB469" s="213">
        <v>46140</v>
      </c>
      <c r="AC469" s="211" t="s">
        <v>1133</v>
      </c>
      <c r="AD469" s="211" t="s">
        <v>1133</v>
      </c>
      <c r="AE469" s="211" t="s">
        <v>334</v>
      </c>
      <c r="AF469" s="211" t="s">
        <v>1228</v>
      </c>
      <c r="AG469" s="211" t="s">
        <v>334</v>
      </c>
      <c r="AH469" s="211" t="s">
        <v>1133</v>
      </c>
      <c r="AI469" s="211" t="s">
        <v>1228</v>
      </c>
      <c r="AJ469" s="211" t="s">
        <v>1133</v>
      </c>
      <c r="AK469" s="211" t="s">
        <v>334</v>
      </c>
      <c r="AL469" s="211" t="s">
        <v>1233</v>
      </c>
      <c r="AM469" s="257" t="s">
        <v>1796</v>
      </c>
      <c r="AN469" s="212"/>
      <c r="AO469" s="215">
        <v>0.59</v>
      </c>
      <c r="AP469" s="216">
        <f t="shared" si="85"/>
        <v>2777.13</v>
      </c>
      <c r="AQ469" s="216">
        <f t="shared" si="86"/>
        <v>21522.76</v>
      </c>
      <c r="AR469" s="269">
        <v>61400</v>
      </c>
      <c r="AS469" s="255">
        <v>46213</v>
      </c>
      <c r="AT469" s="208" t="s">
        <v>1220</v>
      </c>
      <c r="AU469" s="253"/>
      <c r="AV469" s="252">
        <f t="shared" si="92"/>
        <v>-4707</v>
      </c>
      <c r="AW469" s="252"/>
      <c r="AX469" s="256"/>
      <c r="AY469" s="208"/>
      <c r="AZ469" s="208"/>
      <c r="BA469" s="208"/>
      <c r="BB469" s="208" t="str">
        <f t="shared" si="93"/>
        <v>Character Options</v>
      </c>
      <c r="BC469" s="208" t="str">
        <f t="shared" si="88"/>
        <v>英国</v>
      </c>
    </row>
    <row r="470" s="194" customFormat="1" customHeight="1" spans="1:55">
      <c r="A470" s="208">
        <v>46142</v>
      </c>
      <c r="B470" s="208" t="str">
        <f ca="1" t="shared" si="90"/>
        <v/>
      </c>
      <c r="C470" s="211" t="str">
        <f>VLOOKUP(H470,名称!A:E,4,0)</f>
        <v>三代</v>
      </c>
      <c r="D470" s="220" t="s">
        <v>1257</v>
      </c>
      <c r="E470" s="220" t="s">
        <v>1258</v>
      </c>
      <c r="F470" s="220" t="s">
        <v>810</v>
      </c>
      <c r="G470" s="220" t="s">
        <v>811</v>
      </c>
      <c r="H470" s="220" t="s">
        <v>99</v>
      </c>
      <c r="I470" s="211"/>
      <c r="J470" s="270">
        <v>12000</v>
      </c>
      <c r="K470" s="223">
        <f>VLOOKUP(H470,名称!A:C,2,0)</f>
        <v>7</v>
      </c>
      <c r="L470" s="212">
        <f t="shared" si="91"/>
        <v>84000</v>
      </c>
      <c r="M470" s="211">
        <f>VLOOKUP(H470,名称!A:E,3,0)</f>
        <v>24</v>
      </c>
      <c r="N470" s="212">
        <f t="shared" si="82"/>
        <v>500</v>
      </c>
      <c r="O470" s="271">
        <v>46202</v>
      </c>
      <c r="P470" s="208">
        <f t="shared" si="94"/>
        <v>46202</v>
      </c>
      <c r="Q470" s="208">
        <v>46199</v>
      </c>
      <c r="R470" s="241" t="s">
        <v>1241</v>
      </c>
      <c r="S470" s="208">
        <v>46203</v>
      </c>
      <c r="T470" s="241" t="s">
        <v>1241</v>
      </c>
      <c r="U470" s="211"/>
      <c r="V470" s="211"/>
      <c r="W470" s="208"/>
      <c r="X470" s="257" t="s">
        <v>1133</v>
      </c>
      <c r="Y470" s="257" t="s">
        <v>1133</v>
      </c>
      <c r="Z470" s="211" t="s">
        <v>1249</v>
      </c>
      <c r="AA470" s="214">
        <v>46156</v>
      </c>
      <c r="AB470" s="213">
        <v>46156</v>
      </c>
      <c r="AC470" s="257" t="s">
        <v>1318</v>
      </c>
      <c r="AD470" s="257" t="s">
        <v>1228</v>
      </c>
      <c r="AE470" s="220" t="s">
        <v>334</v>
      </c>
      <c r="AF470" s="257" t="s">
        <v>1228</v>
      </c>
      <c r="AG470" s="257" t="s">
        <v>812</v>
      </c>
      <c r="AH470" s="257" t="s">
        <v>1361</v>
      </c>
      <c r="AI470" s="257" t="s">
        <v>1228</v>
      </c>
      <c r="AJ470" s="257" t="s">
        <v>1133</v>
      </c>
      <c r="AK470" s="257" t="s">
        <v>1133</v>
      </c>
      <c r="AL470" s="257" t="s">
        <v>1228</v>
      </c>
      <c r="AM470" s="257" t="s">
        <v>1819</v>
      </c>
      <c r="AN470" s="220"/>
      <c r="AO470" s="215">
        <v>0.87</v>
      </c>
      <c r="AP470" s="216">
        <f t="shared" si="85"/>
        <v>10440</v>
      </c>
      <c r="AQ470" s="216">
        <f t="shared" si="86"/>
        <v>80910</v>
      </c>
      <c r="AR470" s="269">
        <v>61401</v>
      </c>
      <c r="AS470" s="255">
        <v>46213</v>
      </c>
      <c r="AT470" s="208" t="s">
        <v>1220</v>
      </c>
      <c r="AU470" s="253">
        <f>8640+3360</f>
        <v>12000</v>
      </c>
      <c r="AV470" s="252">
        <f t="shared" si="92"/>
        <v>0</v>
      </c>
      <c r="AW470" s="208"/>
      <c r="AX470" s="274" t="s">
        <v>1280</v>
      </c>
      <c r="AY470" s="208"/>
      <c r="AZ470" s="208"/>
      <c r="BA470" s="208"/>
      <c r="BB470" s="208" t="str">
        <f t="shared" si="93"/>
        <v>Character Options</v>
      </c>
      <c r="BC470" s="208" t="str">
        <f t="shared" si="88"/>
        <v>英国</v>
      </c>
    </row>
    <row r="471" s="194" customFormat="1" customHeight="1" spans="1:55">
      <c r="A471" s="208">
        <v>46142</v>
      </c>
      <c r="B471" s="208" t="str">
        <f ca="1" t="shared" si="90"/>
        <v/>
      </c>
      <c r="C471" s="211" t="str">
        <f>VLOOKUP(H471,名称!A:E,4,0)</f>
        <v>三代</v>
      </c>
      <c r="D471" s="220" t="s">
        <v>1257</v>
      </c>
      <c r="E471" s="220" t="s">
        <v>1258</v>
      </c>
      <c r="F471" s="220" t="s">
        <v>810</v>
      </c>
      <c r="G471" s="220" t="s">
        <v>811</v>
      </c>
      <c r="H471" s="220" t="s">
        <v>66</v>
      </c>
      <c r="I471" s="211"/>
      <c r="J471" s="270">
        <v>12000</v>
      </c>
      <c r="K471" s="223">
        <f>VLOOKUP(H471,名称!A:C,2,0)</f>
        <v>12</v>
      </c>
      <c r="L471" s="212">
        <f t="shared" si="91"/>
        <v>144000</v>
      </c>
      <c r="M471" s="211">
        <f>VLOOKUP(H471,名称!A:E,3,0)</f>
        <v>6</v>
      </c>
      <c r="N471" s="212">
        <f t="shared" si="82"/>
        <v>2000</v>
      </c>
      <c r="O471" s="271">
        <v>46202</v>
      </c>
      <c r="P471" s="208">
        <f t="shared" si="94"/>
        <v>46202</v>
      </c>
      <c r="Q471" s="208">
        <v>46199</v>
      </c>
      <c r="R471" s="241" t="s">
        <v>1241</v>
      </c>
      <c r="S471" s="208">
        <v>46203</v>
      </c>
      <c r="T471" s="241" t="s">
        <v>1241</v>
      </c>
      <c r="U471" s="211"/>
      <c r="V471" s="211"/>
      <c r="W471" s="208"/>
      <c r="X471" s="257" t="s">
        <v>1133</v>
      </c>
      <c r="Y471" s="257" t="s">
        <v>1133</v>
      </c>
      <c r="Z471" s="211" t="s">
        <v>1249</v>
      </c>
      <c r="AA471" s="214">
        <v>46156</v>
      </c>
      <c r="AB471" s="213">
        <v>46156</v>
      </c>
      <c r="AC471" s="257" t="s">
        <v>1318</v>
      </c>
      <c r="AD471" s="257" t="s">
        <v>1228</v>
      </c>
      <c r="AE471" s="220" t="s">
        <v>334</v>
      </c>
      <c r="AF471" s="257" t="s">
        <v>1228</v>
      </c>
      <c r="AG471" s="257" t="s">
        <v>334</v>
      </c>
      <c r="AH471" s="257" t="s">
        <v>1361</v>
      </c>
      <c r="AI471" s="257" t="s">
        <v>1228</v>
      </c>
      <c r="AJ471" s="257" t="s">
        <v>1422</v>
      </c>
      <c r="AK471" s="257" t="s">
        <v>1133</v>
      </c>
      <c r="AL471" s="267" t="s">
        <v>1228</v>
      </c>
      <c r="AM471" s="257" t="s">
        <v>1827</v>
      </c>
      <c r="AN471" s="220"/>
      <c r="AO471" s="215">
        <v>2.02</v>
      </c>
      <c r="AP471" s="216">
        <f t="shared" si="85"/>
        <v>24240</v>
      </c>
      <c r="AQ471" s="216">
        <f t="shared" si="86"/>
        <v>187860</v>
      </c>
      <c r="AR471" s="269">
        <v>61401</v>
      </c>
      <c r="AS471" s="255">
        <v>46213</v>
      </c>
      <c r="AT471" s="208" t="s">
        <v>1220</v>
      </c>
      <c r="AU471" s="253">
        <f>4500+3300+2820+1380</f>
        <v>12000</v>
      </c>
      <c r="AV471" s="252">
        <f t="shared" si="92"/>
        <v>0</v>
      </c>
      <c r="AW471" s="208"/>
      <c r="AX471" s="256" t="s">
        <v>1280</v>
      </c>
      <c r="AY471" s="208"/>
      <c r="AZ471" s="208"/>
      <c r="BA471" s="208"/>
      <c r="BB471" s="208" t="str">
        <f t="shared" si="93"/>
        <v>Character Options</v>
      </c>
      <c r="BC471" s="208" t="str">
        <f t="shared" si="88"/>
        <v>英国</v>
      </c>
    </row>
    <row r="472" s="194" customFormat="1" customHeight="1" spans="1:55">
      <c r="A472" s="208">
        <v>46142</v>
      </c>
      <c r="B472" s="208" t="str">
        <f ca="1" t="shared" si="90"/>
        <v/>
      </c>
      <c r="C472" s="211" t="str">
        <f>VLOOKUP(H472,名称!A:E,4,0)</f>
        <v>三代</v>
      </c>
      <c r="D472" s="220" t="s">
        <v>1257</v>
      </c>
      <c r="E472" s="220" t="s">
        <v>1258</v>
      </c>
      <c r="F472" s="220" t="s">
        <v>810</v>
      </c>
      <c r="G472" s="220" t="s">
        <v>811</v>
      </c>
      <c r="H472" s="220" t="s">
        <v>119</v>
      </c>
      <c r="I472" s="211"/>
      <c r="J472" s="270">
        <v>12000</v>
      </c>
      <c r="K472" s="223">
        <f>VLOOKUP(H472,名称!A:C,2,0)</f>
        <v>5</v>
      </c>
      <c r="L472" s="212">
        <f t="shared" si="91"/>
        <v>60000</v>
      </c>
      <c r="M472" s="211">
        <f>VLOOKUP(H472,名称!A:E,3,0)</f>
        <v>24</v>
      </c>
      <c r="N472" s="212">
        <f t="shared" si="82"/>
        <v>500</v>
      </c>
      <c r="O472" s="271">
        <v>46202</v>
      </c>
      <c r="P472" s="208">
        <f t="shared" si="94"/>
        <v>46202</v>
      </c>
      <c r="Q472" s="208">
        <v>46199</v>
      </c>
      <c r="R472" s="241" t="s">
        <v>1241</v>
      </c>
      <c r="S472" s="208">
        <v>46203</v>
      </c>
      <c r="T472" s="241" t="s">
        <v>1241</v>
      </c>
      <c r="U472" s="211"/>
      <c r="V472" s="211"/>
      <c r="W472" s="208"/>
      <c r="X472" s="257" t="s">
        <v>1133</v>
      </c>
      <c r="Y472" s="257" t="s">
        <v>1133</v>
      </c>
      <c r="Z472" s="211" t="s">
        <v>1249</v>
      </c>
      <c r="AA472" s="214">
        <v>46156</v>
      </c>
      <c r="AB472" s="213">
        <v>46156</v>
      </c>
      <c r="AC472" s="257" t="s">
        <v>1133</v>
      </c>
      <c r="AD472" s="257" t="s">
        <v>1133</v>
      </c>
      <c r="AE472" s="220" t="s">
        <v>334</v>
      </c>
      <c r="AF472" s="257" t="s">
        <v>1228</v>
      </c>
      <c r="AG472" s="257" t="s">
        <v>334</v>
      </c>
      <c r="AH472" s="257" t="s">
        <v>1133</v>
      </c>
      <c r="AI472" s="257" t="s">
        <v>1228</v>
      </c>
      <c r="AJ472" s="257" t="s">
        <v>1133</v>
      </c>
      <c r="AK472" s="257" t="s">
        <v>334</v>
      </c>
      <c r="AL472" s="267" t="s">
        <v>1228</v>
      </c>
      <c r="AM472" s="257" t="s">
        <v>1828</v>
      </c>
      <c r="AN472" s="212" t="s">
        <v>1684</v>
      </c>
      <c r="AO472" s="215">
        <v>0.61</v>
      </c>
      <c r="AP472" s="216">
        <f t="shared" si="85"/>
        <v>7320</v>
      </c>
      <c r="AQ472" s="216">
        <f t="shared" si="86"/>
        <v>56730</v>
      </c>
      <c r="AR472" s="269">
        <v>61401</v>
      </c>
      <c r="AS472" s="255">
        <v>46213</v>
      </c>
      <c r="AT472" s="208" t="s">
        <v>1220</v>
      </c>
      <c r="AU472" s="253">
        <v>12000</v>
      </c>
      <c r="AV472" s="252">
        <f t="shared" si="92"/>
        <v>0</v>
      </c>
      <c r="AW472" s="208"/>
      <c r="AX472" s="256" t="s">
        <v>1280</v>
      </c>
      <c r="AY472" s="208"/>
      <c r="AZ472" s="208"/>
      <c r="BA472" s="208"/>
      <c r="BB472" s="208" t="str">
        <f t="shared" si="93"/>
        <v>Character Options</v>
      </c>
      <c r="BC472" s="208" t="str">
        <f t="shared" si="88"/>
        <v>英国</v>
      </c>
    </row>
    <row r="473" s="194" customFormat="1" customHeight="1" spans="1:55">
      <c r="A473" s="208">
        <v>46099</v>
      </c>
      <c r="B473" s="208" t="str">
        <f ca="1" t="shared" si="90"/>
        <v/>
      </c>
      <c r="C473" s="211" t="str">
        <f>VLOOKUP(H473,名称!A:E,4,0)</f>
        <v>三代</v>
      </c>
      <c r="D473" s="210" t="s">
        <v>1257</v>
      </c>
      <c r="E473" s="210" t="s">
        <v>1258</v>
      </c>
      <c r="F473" s="211">
        <v>4400544531</v>
      </c>
      <c r="G473" s="211" t="s">
        <v>574</v>
      </c>
      <c r="H473" s="211" t="s">
        <v>117</v>
      </c>
      <c r="I473" s="211"/>
      <c r="J473" s="212">
        <v>4000</v>
      </c>
      <c r="K473" s="223">
        <f>VLOOKUP(H473,名称!A:C,2,0)</f>
        <v>50</v>
      </c>
      <c r="L473" s="212">
        <f t="shared" si="91"/>
        <v>200000</v>
      </c>
      <c r="M473" s="211">
        <f>VLOOKUP(H473,名称!A:E,3,0)</f>
        <v>2</v>
      </c>
      <c r="N473" s="212">
        <f t="shared" si="82"/>
        <v>2000</v>
      </c>
      <c r="O473" s="208">
        <v>46202</v>
      </c>
      <c r="P473" s="256">
        <v>46202</v>
      </c>
      <c r="Q473" s="256">
        <v>46205</v>
      </c>
      <c r="R473" s="241" t="s">
        <v>1241</v>
      </c>
      <c r="S473" s="256">
        <v>46205</v>
      </c>
      <c r="T473" s="241" t="s">
        <v>1241</v>
      </c>
      <c r="U473" s="211"/>
      <c r="V473" s="211"/>
      <c r="W473" s="208"/>
      <c r="X473" s="211" t="s">
        <v>1133</v>
      </c>
      <c r="Y473" s="211" t="s">
        <v>1133</v>
      </c>
      <c r="Z473" s="213">
        <v>46163</v>
      </c>
      <c r="AA473" s="214">
        <v>46165</v>
      </c>
      <c r="AB473" s="213">
        <v>46170</v>
      </c>
      <c r="AC473" s="211" t="s">
        <v>1133</v>
      </c>
      <c r="AD473" s="211" t="s">
        <v>1133</v>
      </c>
      <c r="AE473" s="211" t="s">
        <v>334</v>
      </c>
      <c r="AF473" s="257" t="s">
        <v>1228</v>
      </c>
      <c r="AG473" s="211" t="s">
        <v>334</v>
      </c>
      <c r="AH473" s="211" t="s">
        <v>1133</v>
      </c>
      <c r="AI473" s="211" t="s">
        <v>1228</v>
      </c>
      <c r="AJ473" s="211" t="s">
        <v>1133</v>
      </c>
      <c r="AK473" s="211" t="s">
        <v>1356</v>
      </c>
      <c r="AL473" s="241" t="s">
        <v>1228</v>
      </c>
      <c r="AM473" s="241" t="s">
        <v>1829</v>
      </c>
      <c r="AN473" s="282" t="s">
        <v>1261</v>
      </c>
      <c r="AO473" s="215">
        <v>8.45</v>
      </c>
      <c r="AP473" s="216">
        <f t="shared" si="85"/>
        <v>33800</v>
      </c>
      <c r="AQ473" s="216">
        <f t="shared" si="86"/>
        <v>261950</v>
      </c>
      <c r="AR473" s="269">
        <v>61402</v>
      </c>
      <c r="AS473" s="255">
        <v>46213</v>
      </c>
      <c r="AT473" s="208" t="s">
        <v>1310</v>
      </c>
      <c r="AU473" s="253"/>
      <c r="AV473" s="252">
        <f t="shared" si="92"/>
        <v>-4000</v>
      </c>
      <c r="AW473" s="252"/>
      <c r="AX473" s="256"/>
      <c r="AY473" s="208"/>
      <c r="AZ473" s="208"/>
      <c r="BA473" s="208"/>
      <c r="BB473" s="273" t="str">
        <f t="shared" si="93"/>
        <v>Character Options</v>
      </c>
      <c r="BC473" s="273" t="str">
        <f t="shared" si="88"/>
        <v>英国</v>
      </c>
    </row>
    <row r="474" s="194" customFormat="1" customHeight="1" spans="1:55">
      <c r="A474" s="208">
        <v>46050</v>
      </c>
      <c r="B474" s="208" t="str">
        <f ca="1" t="shared" si="90"/>
        <v/>
      </c>
      <c r="C474" s="211" t="str">
        <f>VLOOKUP(H474,名称!A:E,4,0)</f>
        <v>三代</v>
      </c>
      <c r="D474" s="210" t="s">
        <v>1276</v>
      </c>
      <c r="E474" s="210" t="s">
        <v>1224</v>
      </c>
      <c r="F474" s="211" t="s">
        <v>481</v>
      </c>
      <c r="G474" s="211" t="s">
        <v>482</v>
      </c>
      <c r="H474" s="211" t="s">
        <v>94</v>
      </c>
      <c r="I474" s="211"/>
      <c r="J474" s="212">
        <v>4296</v>
      </c>
      <c r="K474" s="223">
        <f>VLOOKUP(H474,名称!A:C,2,0)</f>
        <v>5</v>
      </c>
      <c r="L474" s="212">
        <f t="shared" si="91"/>
        <v>21480</v>
      </c>
      <c r="M474" s="211">
        <f>VLOOKUP(H474,名称!A:E,3,0)</f>
        <v>24</v>
      </c>
      <c r="N474" s="212">
        <f t="shared" si="82"/>
        <v>179</v>
      </c>
      <c r="O474" s="208">
        <v>46198</v>
      </c>
      <c r="P474" s="208">
        <f>O474</f>
        <v>46198</v>
      </c>
      <c r="Q474" s="208">
        <v>46202</v>
      </c>
      <c r="R474" s="241" t="s">
        <v>1241</v>
      </c>
      <c r="S474" s="208">
        <v>46203</v>
      </c>
      <c r="T474" s="241" t="s">
        <v>1241</v>
      </c>
      <c r="U474" s="211"/>
      <c r="V474" s="211"/>
      <c r="W474" s="208"/>
      <c r="X474" s="211" t="s">
        <v>1133</v>
      </c>
      <c r="Y474" s="211" t="s">
        <v>1133</v>
      </c>
      <c r="Z474" s="213">
        <v>46133</v>
      </c>
      <c r="AA474" s="214">
        <v>46142</v>
      </c>
      <c r="AB474" s="213">
        <v>46148</v>
      </c>
      <c r="AC474" s="211" t="s">
        <v>1133</v>
      </c>
      <c r="AD474" s="211" t="s">
        <v>1133</v>
      </c>
      <c r="AE474" s="211" t="s">
        <v>270</v>
      </c>
      <c r="AF474" s="211" t="s">
        <v>1228</v>
      </c>
      <c r="AG474" s="211" t="s">
        <v>270</v>
      </c>
      <c r="AH474" s="211" t="s">
        <v>1133</v>
      </c>
      <c r="AI474" s="211" t="s">
        <v>1228</v>
      </c>
      <c r="AJ474" s="211" t="s">
        <v>1133</v>
      </c>
      <c r="AK474" s="211" t="s">
        <v>270</v>
      </c>
      <c r="AL474" s="211"/>
      <c r="AM474" s="211" t="s">
        <v>1290</v>
      </c>
      <c r="AN474" s="212"/>
      <c r="AO474" s="215">
        <v>0.62</v>
      </c>
      <c r="AP474" s="216">
        <f t="shared" si="85"/>
        <v>2663.52</v>
      </c>
      <c r="AQ474" s="216">
        <f t="shared" si="86"/>
        <v>20642.28</v>
      </c>
      <c r="AR474" s="269">
        <v>61403</v>
      </c>
      <c r="AS474" s="255">
        <v>46214</v>
      </c>
      <c r="AT474" s="208" t="s">
        <v>1220</v>
      </c>
      <c r="AU474" s="251">
        <f>4272+24</f>
        <v>4296</v>
      </c>
      <c r="AV474" s="252">
        <f t="shared" si="92"/>
        <v>0</v>
      </c>
      <c r="AW474" s="252"/>
      <c r="AX474" s="208" t="s">
        <v>1280</v>
      </c>
      <c r="AY474" s="208"/>
      <c r="AZ474" s="208"/>
      <c r="BA474" s="208"/>
      <c r="BB474" s="208" t="str">
        <f t="shared" si="93"/>
        <v>Jazwares- TARGET US DOM</v>
      </c>
      <c r="BC474" s="208" t="str">
        <f t="shared" si="88"/>
        <v>美国</v>
      </c>
    </row>
    <row r="475" s="194" customFormat="1" customHeight="1" spans="1:55">
      <c r="A475" s="208">
        <v>46113</v>
      </c>
      <c r="B475" s="208" t="str">
        <f ca="1" t="shared" si="90"/>
        <v/>
      </c>
      <c r="C475" s="211" t="str">
        <f>VLOOKUP(H475,名称!A:E,4,0)</f>
        <v>三代</v>
      </c>
      <c r="D475" s="210" t="s">
        <v>1276</v>
      </c>
      <c r="E475" s="210" t="s">
        <v>1224</v>
      </c>
      <c r="F475" s="211" t="s">
        <v>597</v>
      </c>
      <c r="G475" s="211" t="s">
        <v>598</v>
      </c>
      <c r="H475" s="211" t="s">
        <v>85</v>
      </c>
      <c r="I475" s="211"/>
      <c r="J475" s="212">
        <v>47520</v>
      </c>
      <c r="K475" s="223">
        <f>VLOOKUP(H475,名称!A:C,2,0)</f>
        <v>5</v>
      </c>
      <c r="L475" s="212">
        <f t="shared" si="91"/>
        <v>237600</v>
      </c>
      <c r="M475" s="211">
        <f>VLOOKUP(H475,名称!A:E,3,0)</f>
        <v>24</v>
      </c>
      <c r="N475" s="212">
        <f t="shared" si="82"/>
        <v>1980</v>
      </c>
      <c r="O475" s="208">
        <v>46198</v>
      </c>
      <c r="P475" s="256">
        <f>O475</f>
        <v>46198</v>
      </c>
      <c r="Q475" s="256">
        <v>46211</v>
      </c>
      <c r="R475" s="241" t="s">
        <v>1241</v>
      </c>
      <c r="S475" s="256">
        <v>46211</v>
      </c>
      <c r="T475" s="267" t="s">
        <v>1241</v>
      </c>
      <c r="U475" s="211"/>
      <c r="V475" s="211"/>
      <c r="W475" s="208"/>
      <c r="X475" s="211" t="s">
        <v>1133</v>
      </c>
      <c r="Y475" s="211" t="s">
        <v>1133</v>
      </c>
      <c r="Z475" s="263">
        <v>46133</v>
      </c>
      <c r="AA475" s="214">
        <v>46142</v>
      </c>
      <c r="AB475" s="213">
        <v>46148</v>
      </c>
      <c r="AC475" s="257" t="s">
        <v>1133</v>
      </c>
      <c r="AD475" s="257" t="s">
        <v>1133</v>
      </c>
      <c r="AE475" s="211" t="s">
        <v>270</v>
      </c>
      <c r="AF475" s="257" t="s">
        <v>1228</v>
      </c>
      <c r="AG475" s="257" t="s">
        <v>270</v>
      </c>
      <c r="AH475" s="257" t="s">
        <v>1133</v>
      </c>
      <c r="AI475" s="257" t="s">
        <v>1228</v>
      </c>
      <c r="AJ475" s="257" t="s">
        <v>1133</v>
      </c>
      <c r="AK475" s="211" t="s">
        <v>270</v>
      </c>
      <c r="AL475" s="257"/>
      <c r="AM475" s="257" t="s">
        <v>1290</v>
      </c>
      <c r="AN475" s="212"/>
      <c r="AO475" s="215">
        <v>0.88</v>
      </c>
      <c r="AP475" s="216">
        <f t="shared" si="85"/>
        <v>41817.6</v>
      </c>
      <c r="AQ475" s="216">
        <f t="shared" si="86"/>
        <v>324086.4</v>
      </c>
      <c r="AR475" s="269">
        <v>61404</v>
      </c>
      <c r="AS475" s="255">
        <v>46214</v>
      </c>
      <c r="AT475" s="208" t="s">
        <v>1220</v>
      </c>
      <c r="AU475" s="253"/>
      <c r="AV475" s="252">
        <f t="shared" si="92"/>
        <v>-47520</v>
      </c>
      <c r="AW475" s="252"/>
      <c r="AX475" s="256" t="s">
        <v>1280</v>
      </c>
      <c r="AY475" s="208"/>
      <c r="AZ475" s="208"/>
      <c r="BA475" s="208"/>
      <c r="BB475" s="208" t="str">
        <f t="shared" si="93"/>
        <v>Jazwares- TARGET US DOM</v>
      </c>
      <c r="BC475" s="208" t="str">
        <f t="shared" si="88"/>
        <v>美国</v>
      </c>
    </row>
    <row r="476" s="194" customFormat="1" customHeight="1" spans="1:55">
      <c r="A476" s="208">
        <v>46113</v>
      </c>
      <c r="B476" s="208" t="str">
        <f ca="1" t="shared" si="90"/>
        <v/>
      </c>
      <c r="C476" s="211" t="str">
        <f>VLOOKUP(H476,名称!A:E,4,0)</f>
        <v>三代</v>
      </c>
      <c r="D476" s="210" t="s">
        <v>1276</v>
      </c>
      <c r="E476" s="210" t="s">
        <v>1224</v>
      </c>
      <c r="F476" s="211" t="s">
        <v>601</v>
      </c>
      <c r="G476" s="211" t="s">
        <v>602</v>
      </c>
      <c r="H476" s="211" t="s">
        <v>94</v>
      </c>
      <c r="I476" s="211"/>
      <c r="J476" s="212">
        <v>20016</v>
      </c>
      <c r="K476" s="223">
        <f>VLOOKUP(H476,名称!A:C,2,0)</f>
        <v>5</v>
      </c>
      <c r="L476" s="212">
        <f t="shared" si="91"/>
        <v>100080</v>
      </c>
      <c r="M476" s="211">
        <f>VLOOKUP(H476,名称!A:E,3,0)</f>
        <v>24</v>
      </c>
      <c r="N476" s="212">
        <f t="shared" si="82"/>
        <v>834</v>
      </c>
      <c r="O476" s="208">
        <v>46198</v>
      </c>
      <c r="P476" s="256">
        <f>O476</f>
        <v>46198</v>
      </c>
      <c r="Q476" s="256">
        <v>46206</v>
      </c>
      <c r="R476" s="241" t="s">
        <v>1241</v>
      </c>
      <c r="S476" s="256">
        <v>46206</v>
      </c>
      <c r="T476" s="241" t="s">
        <v>1241</v>
      </c>
      <c r="U476" s="211"/>
      <c r="V476" s="211"/>
      <c r="W476" s="208"/>
      <c r="X476" s="211" t="s">
        <v>1133</v>
      </c>
      <c r="Y476" s="211" t="s">
        <v>1133</v>
      </c>
      <c r="Z476" s="263">
        <v>46133</v>
      </c>
      <c r="AA476" s="214">
        <v>46142</v>
      </c>
      <c r="AB476" s="213">
        <v>46148</v>
      </c>
      <c r="AC476" s="257" t="s">
        <v>1133</v>
      </c>
      <c r="AD476" s="257" t="s">
        <v>1133</v>
      </c>
      <c r="AE476" s="211" t="s">
        <v>270</v>
      </c>
      <c r="AF476" s="257" t="s">
        <v>1228</v>
      </c>
      <c r="AG476" s="257" t="s">
        <v>270</v>
      </c>
      <c r="AH476" s="257" t="s">
        <v>1133</v>
      </c>
      <c r="AI476" s="257" t="s">
        <v>1228</v>
      </c>
      <c r="AJ476" s="257" t="s">
        <v>1133</v>
      </c>
      <c r="AK476" s="211" t="s">
        <v>270</v>
      </c>
      <c r="AL476" s="257"/>
      <c r="AM476" s="257" t="s">
        <v>1290</v>
      </c>
      <c r="AN476" s="212"/>
      <c r="AO476" s="215">
        <v>0.62</v>
      </c>
      <c r="AP476" s="216">
        <f t="shared" si="85"/>
        <v>12409.92</v>
      </c>
      <c r="AQ476" s="216">
        <f t="shared" si="86"/>
        <v>96176.88</v>
      </c>
      <c r="AR476" s="269">
        <v>61405</v>
      </c>
      <c r="AS476" s="255">
        <v>46214</v>
      </c>
      <c r="AT476" s="208" t="s">
        <v>1220</v>
      </c>
      <c r="AU476" s="253">
        <f>19992+24</f>
        <v>20016</v>
      </c>
      <c r="AV476" s="252">
        <f t="shared" si="92"/>
        <v>0</v>
      </c>
      <c r="AW476" s="252"/>
      <c r="AX476" s="256" t="s">
        <v>1280</v>
      </c>
      <c r="AY476" s="208"/>
      <c r="AZ476" s="208"/>
      <c r="BA476" s="208"/>
      <c r="BB476" s="208" t="str">
        <f t="shared" si="93"/>
        <v>Jazwares- TARGET US DOM</v>
      </c>
      <c r="BC476" s="208" t="str">
        <f t="shared" si="88"/>
        <v>美国</v>
      </c>
    </row>
    <row r="477" s="194" customFormat="1" customHeight="1" spans="1:55">
      <c r="A477" s="208">
        <v>46035</v>
      </c>
      <c r="B477" s="208" t="str">
        <f ca="1" t="shared" si="90"/>
        <v/>
      </c>
      <c r="C477" s="211" t="str">
        <f>VLOOKUP(H477,名称!A:E,4,0)</f>
        <v>三代</v>
      </c>
      <c r="D477" s="210" t="s">
        <v>1240</v>
      </c>
      <c r="E477" s="210" t="s">
        <v>1224</v>
      </c>
      <c r="F477" s="211" t="s">
        <v>447</v>
      </c>
      <c r="G477" s="211" t="s">
        <v>448</v>
      </c>
      <c r="H477" s="211" t="s">
        <v>85</v>
      </c>
      <c r="I477" s="211"/>
      <c r="J477" s="212">
        <v>10512</v>
      </c>
      <c r="K477" s="223">
        <f>VLOOKUP(H477,名称!A:C,2,0)</f>
        <v>5</v>
      </c>
      <c r="L477" s="212">
        <f t="shared" si="91"/>
        <v>52560</v>
      </c>
      <c r="M477" s="211">
        <f>VLOOKUP(H477,名称!A:E,3,0)</f>
        <v>24</v>
      </c>
      <c r="N477" s="212">
        <f t="shared" si="82"/>
        <v>438</v>
      </c>
      <c r="O477" s="208">
        <v>46204</v>
      </c>
      <c r="P477" s="256">
        <v>46204</v>
      </c>
      <c r="Q477" s="256">
        <v>46205</v>
      </c>
      <c r="R477" s="273" t="s">
        <v>1830</v>
      </c>
      <c r="S477" s="256">
        <v>46209</v>
      </c>
      <c r="T477" s="273" t="s">
        <v>1241</v>
      </c>
      <c r="U477" s="208"/>
      <c r="V477" s="211"/>
      <c r="W477" s="208"/>
      <c r="X477" s="211" t="s">
        <v>1133</v>
      </c>
      <c r="Y477" s="211" t="s">
        <v>1133</v>
      </c>
      <c r="Z477" s="213">
        <v>46133</v>
      </c>
      <c r="AA477" s="214">
        <v>46142</v>
      </c>
      <c r="AB477" s="213">
        <v>46148</v>
      </c>
      <c r="AC477" s="211" t="s">
        <v>1133</v>
      </c>
      <c r="AD477" s="211" t="s">
        <v>1133</v>
      </c>
      <c r="AE477" s="211" t="s">
        <v>270</v>
      </c>
      <c r="AF477" s="211" t="s">
        <v>1228</v>
      </c>
      <c r="AG477" s="211" t="s">
        <v>270</v>
      </c>
      <c r="AH477" s="211" t="s">
        <v>1133</v>
      </c>
      <c r="AI477" s="211" t="s">
        <v>1228</v>
      </c>
      <c r="AJ477" s="211" t="s">
        <v>1133</v>
      </c>
      <c r="AK477" s="211" t="s">
        <v>270</v>
      </c>
      <c r="AL477" s="211"/>
      <c r="AM477" s="211" t="s">
        <v>1290</v>
      </c>
      <c r="AN477" s="212"/>
      <c r="AO477" s="215">
        <v>0.88</v>
      </c>
      <c r="AP477" s="216">
        <f t="shared" si="85"/>
        <v>9250.56</v>
      </c>
      <c r="AQ477" s="216">
        <f t="shared" si="86"/>
        <v>71691.84</v>
      </c>
      <c r="AR477" s="269">
        <v>61406</v>
      </c>
      <c r="AS477" s="255">
        <v>46214</v>
      </c>
      <c r="AT477" s="208" t="s">
        <v>1220</v>
      </c>
      <c r="AU477" s="253">
        <v>10512</v>
      </c>
      <c r="AV477" s="252">
        <f t="shared" si="92"/>
        <v>0</v>
      </c>
      <c r="AW477" s="252"/>
      <c r="AX477" s="256" t="s">
        <v>1280</v>
      </c>
      <c r="AY477" s="208"/>
      <c r="AZ477" s="208"/>
      <c r="BA477" s="208"/>
      <c r="BB477" s="208" t="str">
        <f t="shared" si="93"/>
        <v>JAZWARES - TARGET US DOM</v>
      </c>
      <c r="BC477" s="208" t="str">
        <f t="shared" si="88"/>
        <v>美国</v>
      </c>
    </row>
    <row r="478" s="194" customFormat="1" customHeight="1" spans="1:55">
      <c r="A478" s="271">
        <v>46149</v>
      </c>
      <c r="B478" s="208" t="str">
        <f ca="1" t="shared" si="90"/>
        <v/>
      </c>
      <c r="C478" s="211" t="str">
        <f>VLOOKUP(H478,名称!A:E,4,0)</f>
        <v>三代</v>
      </c>
      <c r="D478" s="220" t="s">
        <v>1831</v>
      </c>
      <c r="E478" s="220" t="s">
        <v>1224</v>
      </c>
      <c r="F478" s="220" t="s">
        <v>823</v>
      </c>
      <c r="G478" s="220" t="s">
        <v>824</v>
      </c>
      <c r="H478" s="220" t="s">
        <v>102</v>
      </c>
      <c r="I478" s="211"/>
      <c r="J478" s="270">
        <v>70008</v>
      </c>
      <c r="K478" s="223">
        <f>VLOOKUP(H478,名称!A:C,2,0)</f>
        <v>5</v>
      </c>
      <c r="L478" s="212">
        <f t="shared" si="91"/>
        <v>350040</v>
      </c>
      <c r="M478" s="211">
        <f>VLOOKUP(H478,名称!A:E,3,0)</f>
        <v>12</v>
      </c>
      <c r="N478" s="212">
        <f t="shared" si="82"/>
        <v>5834</v>
      </c>
      <c r="O478" s="271">
        <v>46202</v>
      </c>
      <c r="P478" s="271">
        <f>O478</f>
        <v>46202</v>
      </c>
      <c r="Q478" s="208">
        <v>46209</v>
      </c>
      <c r="R478" s="241" t="s">
        <v>1241</v>
      </c>
      <c r="S478" s="208">
        <v>46209</v>
      </c>
      <c r="T478" s="267" t="s">
        <v>1241</v>
      </c>
      <c r="U478" s="211"/>
      <c r="V478" s="211"/>
      <c r="W478" s="208"/>
      <c r="X478" s="220" t="s">
        <v>1133</v>
      </c>
      <c r="Y478" s="211" t="s">
        <v>1133</v>
      </c>
      <c r="Z478" s="213">
        <v>46178</v>
      </c>
      <c r="AA478" s="214">
        <v>46178</v>
      </c>
      <c r="AB478" s="213">
        <v>46178</v>
      </c>
      <c r="AC478" s="257" t="s">
        <v>1133</v>
      </c>
      <c r="AD478" s="257" t="s">
        <v>1133</v>
      </c>
      <c r="AE478" s="220" t="s">
        <v>270</v>
      </c>
      <c r="AF478" s="257" t="s">
        <v>1228</v>
      </c>
      <c r="AG478" s="220" t="s">
        <v>270</v>
      </c>
      <c r="AH478" s="257" t="s">
        <v>1133</v>
      </c>
      <c r="AI478" s="257" t="s">
        <v>1228</v>
      </c>
      <c r="AJ478" s="257" t="s">
        <v>1133</v>
      </c>
      <c r="AK478" s="257" t="s">
        <v>270</v>
      </c>
      <c r="AL478" s="211"/>
      <c r="AM478" s="257" t="s">
        <v>1506</v>
      </c>
      <c r="AN478" s="220"/>
      <c r="AO478" s="215">
        <v>0.61</v>
      </c>
      <c r="AP478" s="216">
        <f t="shared" si="85"/>
        <v>42704.88</v>
      </c>
      <c r="AQ478" s="216">
        <f t="shared" si="86"/>
        <v>330962.82</v>
      </c>
      <c r="AR478" s="269">
        <v>61407</v>
      </c>
      <c r="AS478" s="255">
        <v>46214</v>
      </c>
      <c r="AT478" s="208" t="s">
        <v>1220</v>
      </c>
      <c r="AU478" s="253">
        <f>23028+11520+28800</f>
        <v>63348</v>
      </c>
      <c r="AV478" s="252">
        <f t="shared" si="92"/>
        <v>-6660</v>
      </c>
      <c r="AW478" s="208"/>
      <c r="AX478" s="256" t="s">
        <v>1280</v>
      </c>
      <c r="AY478" s="208"/>
      <c r="AZ478" s="208"/>
      <c r="BA478" s="208"/>
      <c r="BB478" s="208" t="str">
        <f t="shared" si="93"/>
        <v>JAZWARES - HOBBY LOBBY</v>
      </c>
      <c r="BC478" s="208" t="str">
        <f t="shared" si="88"/>
        <v>美国</v>
      </c>
    </row>
    <row r="479" s="194" customFormat="1" customHeight="1" spans="1:55">
      <c r="A479" s="271">
        <v>46128</v>
      </c>
      <c r="B479" s="208" t="str">
        <f ca="1" t="shared" si="90"/>
        <v/>
      </c>
      <c r="C479" s="211" t="str">
        <f>VLOOKUP(H479,名称!A:E,4,0)</f>
        <v>三代</v>
      </c>
      <c r="D479" s="210" t="s">
        <v>1320</v>
      </c>
      <c r="E479" s="210" t="s">
        <v>1224</v>
      </c>
      <c r="F479" s="211">
        <v>247400000</v>
      </c>
      <c r="G479" s="211" t="s">
        <v>741</v>
      </c>
      <c r="H479" s="211" t="s">
        <v>88</v>
      </c>
      <c r="I479" s="211"/>
      <c r="J479" s="212">
        <f>65280+12192+30000</f>
        <v>107472</v>
      </c>
      <c r="K479" s="223">
        <f>VLOOKUP(H479,名称!A:C,2,0)</f>
        <v>5</v>
      </c>
      <c r="L479" s="212">
        <f t="shared" si="91"/>
        <v>537360</v>
      </c>
      <c r="M479" s="211">
        <f>VLOOKUP(H479,名称!A:E,3,0)</f>
        <v>24</v>
      </c>
      <c r="N479" s="212">
        <f t="shared" si="82"/>
        <v>4478</v>
      </c>
      <c r="O479" s="208">
        <v>46188</v>
      </c>
      <c r="P479" s="208">
        <v>46202</v>
      </c>
      <c r="Q479" s="208">
        <v>46212</v>
      </c>
      <c r="R479" s="241" t="s">
        <v>1277</v>
      </c>
      <c r="S479" s="208" t="s">
        <v>1133</v>
      </c>
      <c r="T479" s="211"/>
      <c r="U479" s="211"/>
      <c r="V479" s="211"/>
      <c r="W479" s="208"/>
      <c r="X479" s="211" t="s">
        <v>1321</v>
      </c>
      <c r="Y479" s="211" t="s">
        <v>1228</v>
      </c>
      <c r="Z479" s="263">
        <v>46150</v>
      </c>
      <c r="AA479" s="214">
        <v>46155</v>
      </c>
      <c r="AB479" s="214">
        <v>46155</v>
      </c>
      <c r="AC479" s="211" t="s">
        <v>1133</v>
      </c>
      <c r="AD479" s="211" t="s">
        <v>1133</v>
      </c>
      <c r="AE479" s="211" t="s">
        <v>510</v>
      </c>
      <c r="AF479" s="257" t="s">
        <v>1228</v>
      </c>
      <c r="AG479" s="257" t="s">
        <v>510</v>
      </c>
      <c r="AH479" s="211" t="s">
        <v>1133</v>
      </c>
      <c r="AI479" s="257" t="s">
        <v>1228</v>
      </c>
      <c r="AJ479" s="257" t="s">
        <v>1133</v>
      </c>
      <c r="AK479" s="257" t="s">
        <v>510</v>
      </c>
      <c r="AL479" s="211"/>
      <c r="AM479" s="257" t="s">
        <v>1303</v>
      </c>
      <c r="AN479" s="212" t="s">
        <v>1251</v>
      </c>
      <c r="AO479" s="215">
        <v>0.8</v>
      </c>
      <c r="AP479" s="216">
        <f t="shared" si="85"/>
        <v>85977.6</v>
      </c>
      <c r="AQ479" s="216">
        <f t="shared" si="86"/>
        <v>666326.4</v>
      </c>
      <c r="AR479" s="269">
        <v>61408</v>
      </c>
      <c r="AS479" s="255">
        <v>46218</v>
      </c>
      <c r="AT479" s="208" t="s">
        <v>1310</v>
      </c>
      <c r="AU479" s="253"/>
      <c r="AV479" s="252">
        <f t="shared" si="92"/>
        <v>-107472</v>
      </c>
      <c r="AW479" s="252"/>
      <c r="AX479" s="256"/>
      <c r="AY479" s="208"/>
      <c r="AZ479" s="208"/>
      <c r="BA479" s="208"/>
      <c r="BB479" s="208" t="str">
        <f t="shared" si="93"/>
        <v>PHAT MOJO</v>
      </c>
      <c r="BC479" s="208" t="str">
        <f t="shared" si="88"/>
        <v>美国</v>
      </c>
    </row>
    <row r="480" s="194" customFormat="1" customHeight="1" spans="1:55">
      <c r="A480" s="208">
        <v>46142</v>
      </c>
      <c r="B480" s="208" t="str">
        <f ca="1" t="shared" si="90"/>
        <v/>
      </c>
      <c r="C480" s="211" t="str">
        <f>VLOOKUP(H480,名称!A:E,4,0)</f>
        <v>三代</v>
      </c>
      <c r="D480" s="220" t="s">
        <v>1402</v>
      </c>
      <c r="E480" s="220" t="s">
        <v>1224</v>
      </c>
      <c r="F480" s="220">
        <v>12358</v>
      </c>
      <c r="G480" s="220" t="s">
        <v>805</v>
      </c>
      <c r="H480" s="220" t="s">
        <v>68</v>
      </c>
      <c r="I480" s="211"/>
      <c r="J480" s="270">
        <v>604</v>
      </c>
      <c r="K480" s="223">
        <f>VLOOKUP(H480,名称!A:C,2,0)</f>
        <v>32</v>
      </c>
      <c r="L480" s="212">
        <f t="shared" si="91"/>
        <v>19328</v>
      </c>
      <c r="M480" s="211">
        <f>VLOOKUP(H480,名称!A:E,3,0)</f>
        <v>4</v>
      </c>
      <c r="N480" s="212">
        <f t="shared" si="82"/>
        <v>151</v>
      </c>
      <c r="O480" s="271">
        <v>46188</v>
      </c>
      <c r="P480" s="208">
        <v>46199</v>
      </c>
      <c r="Q480" s="208">
        <v>46199</v>
      </c>
      <c r="R480" s="241" t="s">
        <v>1241</v>
      </c>
      <c r="S480" s="208" t="s">
        <v>1133</v>
      </c>
      <c r="T480" s="211"/>
      <c r="U480" s="211"/>
      <c r="V480" s="211"/>
      <c r="W480" s="208"/>
      <c r="X480" s="220" t="s">
        <v>1133</v>
      </c>
      <c r="Y480" s="220" t="s">
        <v>1133</v>
      </c>
      <c r="Z480" s="213" t="s">
        <v>1249</v>
      </c>
      <c r="AA480" s="214">
        <v>46154</v>
      </c>
      <c r="AB480" s="213">
        <v>46157</v>
      </c>
      <c r="AC480" s="211" t="s">
        <v>1133</v>
      </c>
      <c r="AD480" s="211" t="s">
        <v>1133</v>
      </c>
      <c r="AE480" s="220" t="s">
        <v>510</v>
      </c>
      <c r="AF480" s="211" t="s">
        <v>1228</v>
      </c>
      <c r="AG480" s="257" t="s">
        <v>510</v>
      </c>
      <c r="AH480" s="211" t="s">
        <v>1307</v>
      </c>
      <c r="AI480" s="257" t="s">
        <v>1228</v>
      </c>
      <c r="AJ480" s="257" t="s">
        <v>1133</v>
      </c>
      <c r="AK480" s="257" t="s">
        <v>1133</v>
      </c>
      <c r="AL480" s="211"/>
      <c r="AM480" s="257" t="s">
        <v>1506</v>
      </c>
      <c r="AN480" s="220"/>
      <c r="AO480" s="215">
        <v>3.12</v>
      </c>
      <c r="AP480" s="216">
        <f t="shared" si="85"/>
        <v>1884.48</v>
      </c>
      <c r="AQ480" s="216">
        <f t="shared" si="86"/>
        <v>14604.72</v>
      </c>
      <c r="AR480" s="224" t="s">
        <v>1832</v>
      </c>
      <c r="AS480" s="255">
        <v>46218</v>
      </c>
      <c r="AT480" s="208" t="s">
        <v>1220</v>
      </c>
      <c r="AU480" s="253">
        <v>604</v>
      </c>
      <c r="AV480" s="252">
        <f t="shared" si="92"/>
        <v>0</v>
      </c>
      <c r="AW480" s="208"/>
      <c r="AX480" s="256" t="s">
        <v>1280</v>
      </c>
      <c r="AY480" s="208"/>
      <c r="AZ480" s="208"/>
      <c r="BA480" s="208"/>
      <c r="BB480" s="208" t="str">
        <f t="shared" si="93"/>
        <v>Planet Fun</v>
      </c>
      <c r="BC480" s="208" t="str">
        <f t="shared" si="88"/>
        <v>美国</v>
      </c>
    </row>
    <row r="481" s="194" customFormat="1" customHeight="1" spans="1:55">
      <c r="A481" s="208">
        <v>46142</v>
      </c>
      <c r="B481" s="208" t="str">
        <f ca="1" t="shared" si="90"/>
        <v/>
      </c>
      <c r="C481" s="211" t="str">
        <f>VLOOKUP(H481,名称!A:E,4,0)</f>
        <v>三代</v>
      </c>
      <c r="D481" s="220" t="s">
        <v>1402</v>
      </c>
      <c r="E481" s="220" t="s">
        <v>1224</v>
      </c>
      <c r="F481" s="220">
        <v>12358</v>
      </c>
      <c r="G481" s="220" t="s">
        <v>805</v>
      </c>
      <c r="H481" s="220" t="s">
        <v>119</v>
      </c>
      <c r="I481" s="211"/>
      <c r="J481" s="270">
        <v>480</v>
      </c>
      <c r="K481" s="223">
        <f>VLOOKUP(H481,名称!A:C,2,0)</f>
        <v>5</v>
      </c>
      <c r="L481" s="212">
        <f t="shared" si="91"/>
        <v>2400</v>
      </c>
      <c r="M481" s="211">
        <f>VLOOKUP(H481,名称!A:E,3,0)</f>
        <v>24</v>
      </c>
      <c r="N481" s="212">
        <f t="shared" si="82"/>
        <v>20</v>
      </c>
      <c r="O481" s="271">
        <v>46188</v>
      </c>
      <c r="P481" s="208">
        <v>46199</v>
      </c>
      <c r="Q481" s="208">
        <v>46199</v>
      </c>
      <c r="R481" s="241" t="s">
        <v>1241</v>
      </c>
      <c r="S481" s="208" t="s">
        <v>1133</v>
      </c>
      <c r="T481" s="211"/>
      <c r="U481" s="211"/>
      <c r="V481" s="211"/>
      <c r="W481" s="208"/>
      <c r="X481" s="220" t="s">
        <v>1133</v>
      </c>
      <c r="Y481" s="220" t="s">
        <v>1133</v>
      </c>
      <c r="Z481" s="213" t="s">
        <v>1249</v>
      </c>
      <c r="AA481" s="214">
        <v>46154</v>
      </c>
      <c r="AB481" s="213">
        <v>46157</v>
      </c>
      <c r="AC481" s="211" t="s">
        <v>1133</v>
      </c>
      <c r="AD481" s="211" t="s">
        <v>1133</v>
      </c>
      <c r="AE481" s="220" t="s">
        <v>510</v>
      </c>
      <c r="AF481" s="211" t="s">
        <v>1228</v>
      </c>
      <c r="AG481" s="257" t="s">
        <v>510</v>
      </c>
      <c r="AH481" s="211" t="s">
        <v>1133</v>
      </c>
      <c r="AI481" s="257" t="s">
        <v>1228</v>
      </c>
      <c r="AJ481" s="257" t="s">
        <v>1133</v>
      </c>
      <c r="AK481" s="257" t="s">
        <v>510</v>
      </c>
      <c r="AL481" s="211"/>
      <c r="AM481" s="257" t="s">
        <v>1506</v>
      </c>
      <c r="AN481" s="220"/>
      <c r="AO481" s="215">
        <v>0.63</v>
      </c>
      <c r="AP481" s="216">
        <f t="shared" si="85"/>
        <v>302.4</v>
      </c>
      <c r="AQ481" s="216">
        <f t="shared" si="86"/>
        <v>2343.6</v>
      </c>
      <c r="AR481" s="269">
        <v>61409</v>
      </c>
      <c r="AS481" s="255">
        <v>46218</v>
      </c>
      <c r="AT481" s="208" t="s">
        <v>1220</v>
      </c>
      <c r="AU481" s="253">
        <v>480</v>
      </c>
      <c r="AV481" s="252">
        <f t="shared" si="92"/>
        <v>0</v>
      </c>
      <c r="AW481" s="208"/>
      <c r="AX481" s="256" t="s">
        <v>1280</v>
      </c>
      <c r="AY481" s="208"/>
      <c r="AZ481" s="208"/>
      <c r="BA481" s="208"/>
      <c r="BB481" s="208" t="str">
        <f t="shared" si="93"/>
        <v>Planet Fun</v>
      </c>
      <c r="BC481" s="208" t="str">
        <f t="shared" si="88"/>
        <v>美国</v>
      </c>
    </row>
    <row r="482" s="194" customFormat="1" customHeight="1" spans="1:55">
      <c r="A482" s="208">
        <v>46142</v>
      </c>
      <c r="B482" s="208" t="str">
        <f ca="1" t="shared" si="90"/>
        <v/>
      </c>
      <c r="C482" s="211" t="str">
        <f>VLOOKUP(H482,名称!A:E,4,0)</f>
        <v>三代</v>
      </c>
      <c r="D482" s="220" t="s">
        <v>1402</v>
      </c>
      <c r="E482" s="220" t="s">
        <v>1224</v>
      </c>
      <c r="F482" s="220">
        <v>12358</v>
      </c>
      <c r="G482" s="220" t="s">
        <v>805</v>
      </c>
      <c r="H482" s="220" t="s">
        <v>97</v>
      </c>
      <c r="I482" s="211"/>
      <c r="J482" s="270">
        <v>792</v>
      </c>
      <c r="K482" s="223">
        <f>VLOOKUP(H482,名称!A:C,2,0)</f>
        <v>5</v>
      </c>
      <c r="L482" s="212">
        <f t="shared" si="91"/>
        <v>3960</v>
      </c>
      <c r="M482" s="211">
        <f>VLOOKUP(H482,名称!A:E,3,0)</f>
        <v>24</v>
      </c>
      <c r="N482" s="212">
        <f t="shared" si="82"/>
        <v>33</v>
      </c>
      <c r="O482" s="271">
        <v>46188</v>
      </c>
      <c r="P482" s="208">
        <v>46199</v>
      </c>
      <c r="Q482" s="208">
        <v>46199</v>
      </c>
      <c r="R482" s="241" t="s">
        <v>1241</v>
      </c>
      <c r="S482" s="208" t="s">
        <v>1133</v>
      </c>
      <c r="T482" s="211"/>
      <c r="U482" s="211"/>
      <c r="V482" s="211"/>
      <c r="W482" s="208"/>
      <c r="X482" s="220" t="s">
        <v>1133</v>
      </c>
      <c r="Y482" s="220" t="s">
        <v>1133</v>
      </c>
      <c r="Z482" s="213" t="s">
        <v>1249</v>
      </c>
      <c r="AA482" s="214">
        <v>46154</v>
      </c>
      <c r="AB482" s="213">
        <v>46157</v>
      </c>
      <c r="AC482" s="211" t="s">
        <v>1133</v>
      </c>
      <c r="AD482" s="211" t="s">
        <v>1133</v>
      </c>
      <c r="AE482" s="220" t="s">
        <v>510</v>
      </c>
      <c r="AF482" s="211" t="s">
        <v>1228</v>
      </c>
      <c r="AG482" s="257" t="s">
        <v>510</v>
      </c>
      <c r="AH482" s="211" t="s">
        <v>1133</v>
      </c>
      <c r="AI482" s="257" t="s">
        <v>1228</v>
      </c>
      <c r="AJ482" s="257" t="s">
        <v>1133</v>
      </c>
      <c r="AK482" s="257" t="s">
        <v>510</v>
      </c>
      <c r="AL482" s="211"/>
      <c r="AM482" s="257" t="s">
        <v>1506</v>
      </c>
      <c r="AN482" s="220"/>
      <c r="AO482" s="215">
        <v>0.64</v>
      </c>
      <c r="AP482" s="216">
        <f t="shared" si="85"/>
        <v>506.88</v>
      </c>
      <c r="AQ482" s="216">
        <f t="shared" si="86"/>
        <v>3928.32</v>
      </c>
      <c r="AR482" s="269">
        <v>61409</v>
      </c>
      <c r="AS482" s="255">
        <v>46218</v>
      </c>
      <c r="AT482" s="208" t="s">
        <v>1220</v>
      </c>
      <c r="AU482" s="253">
        <v>792</v>
      </c>
      <c r="AV482" s="252">
        <f t="shared" si="92"/>
        <v>0</v>
      </c>
      <c r="AW482" s="208"/>
      <c r="AX482" s="274" t="s">
        <v>1280</v>
      </c>
      <c r="AY482" s="208"/>
      <c r="AZ482" s="208"/>
      <c r="BA482" s="208"/>
      <c r="BB482" s="208" t="str">
        <f t="shared" si="93"/>
        <v>Planet Fun</v>
      </c>
      <c r="BC482" s="208" t="str">
        <f t="shared" si="88"/>
        <v>美国</v>
      </c>
    </row>
    <row r="483" s="194" customFormat="1" customHeight="1" spans="1:55">
      <c r="A483" s="208">
        <v>46142</v>
      </c>
      <c r="B483" s="208" t="str">
        <f ca="1" t="shared" si="90"/>
        <v/>
      </c>
      <c r="C483" s="211" t="str">
        <f>VLOOKUP(H483,名称!A:E,4,0)</f>
        <v>三代</v>
      </c>
      <c r="D483" s="220" t="s">
        <v>1402</v>
      </c>
      <c r="E483" s="220" t="s">
        <v>1224</v>
      </c>
      <c r="F483" s="220">
        <v>12358</v>
      </c>
      <c r="G483" s="220" t="s">
        <v>805</v>
      </c>
      <c r="H483" s="220" t="s">
        <v>89</v>
      </c>
      <c r="I483" s="211"/>
      <c r="J483" s="270">
        <v>600</v>
      </c>
      <c r="K483" s="223">
        <f>VLOOKUP(H483,名称!A:C,2,0)</f>
        <v>12</v>
      </c>
      <c r="L483" s="212">
        <f t="shared" si="91"/>
        <v>7200</v>
      </c>
      <c r="M483" s="211">
        <f>VLOOKUP(H483,名称!A:E,3,0)</f>
        <v>6</v>
      </c>
      <c r="N483" s="212">
        <f t="shared" si="82"/>
        <v>100</v>
      </c>
      <c r="O483" s="271">
        <v>46188</v>
      </c>
      <c r="P483" s="208">
        <v>46202</v>
      </c>
      <c r="Q483" s="208">
        <v>46210</v>
      </c>
      <c r="R483" s="241" t="s">
        <v>1241</v>
      </c>
      <c r="S483" s="208" t="s">
        <v>1133</v>
      </c>
      <c r="T483" s="211"/>
      <c r="U483" s="211"/>
      <c r="V483" s="211"/>
      <c r="W483" s="208"/>
      <c r="X483" s="220" t="s">
        <v>1133</v>
      </c>
      <c r="Y483" s="220" t="s">
        <v>1133</v>
      </c>
      <c r="Z483" s="213" t="s">
        <v>1249</v>
      </c>
      <c r="AA483" s="214">
        <v>46154</v>
      </c>
      <c r="AB483" s="213">
        <v>46157</v>
      </c>
      <c r="AC483" s="211" t="s">
        <v>1318</v>
      </c>
      <c r="AD483" s="211" t="s">
        <v>1228</v>
      </c>
      <c r="AE483" s="220" t="s">
        <v>510</v>
      </c>
      <c r="AF483" s="257" t="s">
        <v>1228</v>
      </c>
      <c r="AG483" s="257" t="s">
        <v>510</v>
      </c>
      <c r="AH483" s="211" t="s">
        <v>1307</v>
      </c>
      <c r="AI483" s="257" t="s">
        <v>1228</v>
      </c>
      <c r="AJ483" s="257" t="s">
        <v>510</v>
      </c>
      <c r="AK483" s="257" t="s">
        <v>1133</v>
      </c>
      <c r="AL483" s="211"/>
      <c r="AM483" s="257" t="s">
        <v>1506</v>
      </c>
      <c r="AN483" s="220"/>
      <c r="AO483" s="215">
        <v>1.85</v>
      </c>
      <c r="AP483" s="216">
        <f t="shared" si="85"/>
        <v>1110</v>
      </c>
      <c r="AQ483" s="216">
        <f t="shared" si="86"/>
        <v>8602.5</v>
      </c>
      <c r="AR483" s="269">
        <v>61409</v>
      </c>
      <c r="AS483" s="255">
        <v>46218</v>
      </c>
      <c r="AT483" s="208" t="s">
        <v>1220</v>
      </c>
      <c r="AU483" s="253"/>
      <c r="AV483" s="252">
        <f t="shared" si="92"/>
        <v>-600</v>
      </c>
      <c r="AW483" s="208"/>
      <c r="AX483" s="256"/>
      <c r="AY483" s="208"/>
      <c r="AZ483" s="208"/>
      <c r="BA483" s="208"/>
      <c r="BB483" s="208" t="str">
        <f t="shared" si="93"/>
        <v>Planet Fun</v>
      </c>
      <c r="BC483" s="208" t="str">
        <f t="shared" si="88"/>
        <v>美国</v>
      </c>
    </row>
    <row r="484" s="194" customFormat="1" customHeight="1" spans="1:55">
      <c r="A484" s="208">
        <v>46142</v>
      </c>
      <c r="B484" s="208" t="str">
        <f ca="1" t="shared" si="90"/>
        <v/>
      </c>
      <c r="C484" s="211" t="str">
        <f>VLOOKUP(H484,名称!A:E,4,0)</f>
        <v>三代</v>
      </c>
      <c r="D484" s="220" t="s">
        <v>1402</v>
      </c>
      <c r="E484" s="220" t="s">
        <v>1224</v>
      </c>
      <c r="F484" s="220">
        <v>12358</v>
      </c>
      <c r="G484" s="220" t="s">
        <v>805</v>
      </c>
      <c r="H484" s="220" t="s">
        <v>99</v>
      </c>
      <c r="I484" s="211"/>
      <c r="J484" s="270">
        <v>4512</v>
      </c>
      <c r="K484" s="223">
        <f>VLOOKUP(H484,名称!A:C,2,0)</f>
        <v>7</v>
      </c>
      <c r="L484" s="212">
        <f t="shared" si="91"/>
        <v>31584</v>
      </c>
      <c r="M484" s="211">
        <f>VLOOKUP(H484,名称!A:E,3,0)</f>
        <v>24</v>
      </c>
      <c r="N484" s="212">
        <f t="shared" si="82"/>
        <v>188</v>
      </c>
      <c r="O484" s="271">
        <v>46188</v>
      </c>
      <c r="P484" s="208">
        <v>46199</v>
      </c>
      <c r="Q484" s="208">
        <v>46199</v>
      </c>
      <c r="R484" s="241" t="s">
        <v>1241</v>
      </c>
      <c r="S484" s="208" t="s">
        <v>1133</v>
      </c>
      <c r="T484" s="211"/>
      <c r="U484" s="211"/>
      <c r="V484" s="211"/>
      <c r="W484" s="208"/>
      <c r="X484" s="257" t="s">
        <v>1133</v>
      </c>
      <c r="Y484" s="257" t="s">
        <v>1133</v>
      </c>
      <c r="Z484" s="213" t="s">
        <v>1249</v>
      </c>
      <c r="AA484" s="214">
        <v>46154</v>
      </c>
      <c r="AB484" s="213">
        <v>46157</v>
      </c>
      <c r="AC484" s="257" t="s">
        <v>1284</v>
      </c>
      <c r="AD484" s="257" t="s">
        <v>1228</v>
      </c>
      <c r="AE484" s="220" t="s">
        <v>510</v>
      </c>
      <c r="AF484" s="257" t="s">
        <v>1228</v>
      </c>
      <c r="AG484" s="257" t="s">
        <v>510</v>
      </c>
      <c r="AH484" s="257" t="s">
        <v>1133</v>
      </c>
      <c r="AI484" s="257" t="s">
        <v>1228</v>
      </c>
      <c r="AJ484" s="257" t="s">
        <v>1133</v>
      </c>
      <c r="AK484" s="257" t="s">
        <v>510</v>
      </c>
      <c r="AL484" s="257" t="s">
        <v>1228</v>
      </c>
      <c r="AM484" s="257" t="s">
        <v>1506</v>
      </c>
      <c r="AN484" s="220"/>
      <c r="AO484" s="215">
        <v>0.89</v>
      </c>
      <c r="AP484" s="216">
        <f t="shared" si="85"/>
        <v>4015.68</v>
      </c>
      <c r="AQ484" s="216">
        <f t="shared" si="86"/>
        <v>31121.52</v>
      </c>
      <c r="AR484" s="269">
        <v>61409</v>
      </c>
      <c r="AS484" s="255">
        <v>46218</v>
      </c>
      <c r="AT484" s="208" t="s">
        <v>1220</v>
      </c>
      <c r="AU484" s="253">
        <f>4464+48</f>
        <v>4512</v>
      </c>
      <c r="AV484" s="252">
        <f t="shared" si="92"/>
        <v>0</v>
      </c>
      <c r="AW484" s="208"/>
      <c r="AX484" s="256" t="s">
        <v>1280</v>
      </c>
      <c r="AY484" s="208"/>
      <c r="AZ484" s="208"/>
      <c r="BA484" s="208"/>
      <c r="BB484" s="208" t="str">
        <f t="shared" si="93"/>
        <v>Planet Fun</v>
      </c>
      <c r="BC484" s="208" t="str">
        <f t="shared" si="88"/>
        <v>美国</v>
      </c>
    </row>
    <row r="485" s="194" customFormat="1" customHeight="1" spans="1:55">
      <c r="A485" s="208">
        <v>46142</v>
      </c>
      <c r="B485" s="208" t="str">
        <f ca="1" t="shared" si="90"/>
        <v/>
      </c>
      <c r="C485" s="211" t="str">
        <f>VLOOKUP(H485,名称!A:E,4,0)</f>
        <v>三代</v>
      </c>
      <c r="D485" s="220" t="s">
        <v>1402</v>
      </c>
      <c r="E485" s="220" t="s">
        <v>1224</v>
      </c>
      <c r="F485" s="220">
        <v>12358</v>
      </c>
      <c r="G485" s="220" t="s">
        <v>805</v>
      </c>
      <c r="H485" s="220" t="s">
        <v>59</v>
      </c>
      <c r="I485" s="211"/>
      <c r="J485" s="270">
        <v>4416</v>
      </c>
      <c r="K485" s="223">
        <f>VLOOKUP(H485,名称!A:C,2,0)</f>
        <v>5</v>
      </c>
      <c r="L485" s="212">
        <f t="shared" si="91"/>
        <v>22080</v>
      </c>
      <c r="M485" s="211">
        <f>VLOOKUP(H485,名称!A:E,3,0)</f>
        <v>24</v>
      </c>
      <c r="N485" s="212">
        <f t="shared" si="82"/>
        <v>184</v>
      </c>
      <c r="O485" s="271">
        <v>46188</v>
      </c>
      <c r="P485" s="208">
        <v>46199</v>
      </c>
      <c r="Q485" s="208">
        <v>46199</v>
      </c>
      <c r="R485" s="267" t="s">
        <v>1241</v>
      </c>
      <c r="S485" s="208" t="s">
        <v>1133</v>
      </c>
      <c r="T485" s="211"/>
      <c r="U485" s="211"/>
      <c r="V485" s="211"/>
      <c r="W485" s="208"/>
      <c r="X485" s="257" t="s">
        <v>1133</v>
      </c>
      <c r="Y485" s="257" t="s">
        <v>1133</v>
      </c>
      <c r="Z485" s="213" t="s">
        <v>1249</v>
      </c>
      <c r="AA485" s="214">
        <v>46154</v>
      </c>
      <c r="AB485" s="213">
        <v>46157</v>
      </c>
      <c r="AC485" s="257" t="s">
        <v>1133</v>
      </c>
      <c r="AD485" s="257" t="s">
        <v>1133</v>
      </c>
      <c r="AE485" s="220" t="s">
        <v>510</v>
      </c>
      <c r="AF485" s="257" t="s">
        <v>1228</v>
      </c>
      <c r="AG485" s="257" t="s">
        <v>510</v>
      </c>
      <c r="AH485" s="257" t="s">
        <v>1133</v>
      </c>
      <c r="AI485" s="257" t="s">
        <v>1228</v>
      </c>
      <c r="AJ485" s="257" t="s">
        <v>1133</v>
      </c>
      <c r="AK485" s="257" t="s">
        <v>1133</v>
      </c>
      <c r="AL485" s="257"/>
      <c r="AM485" s="257" t="s">
        <v>1506</v>
      </c>
      <c r="AN485" s="220"/>
      <c r="AO485" s="215">
        <v>0.64</v>
      </c>
      <c r="AP485" s="216">
        <f t="shared" si="85"/>
        <v>2826.24</v>
      </c>
      <c r="AQ485" s="216">
        <f t="shared" si="86"/>
        <v>21903.36</v>
      </c>
      <c r="AR485" s="269">
        <v>61409</v>
      </c>
      <c r="AS485" s="255">
        <v>46218</v>
      </c>
      <c r="AT485" s="208" t="s">
        <v>1220</v>
      </c>
      <c r="AU485" s="253">
        <f>4392+24</f>
        <v>4416</v>
      </c>
      <c r="AV485" s="252">
        <f t="shared" si="92"/>
        <v>0</v>
      </c>
      <c r="AW485" s="208"/>
      <c r="AX485" s="256" t="s">
        <v>1280</v>
      </c>
      <c r="AY485" s="208"/>
      <c r="AZ485" s="208"/>
      <c r="BA485" s="208"/>
      <c r="BB485" s="208" t="str">
        <f t="shared" si="93"/>
        <v>Planet Fun</v>
      </c>
      <c r="BC485" s="208" t="str">
        <f t="shared" si="88"/>
        <v>美国</v>
      </c>
    </row>
    <row r="486" s="194" customFormat="1" customHeight="1" spans="1:55">
      <c r="A486" s="208">
        <v>46142</v>
      </c>
      <c r="B486" s="208" t="str">
        <f ca="1" t="shared" si="90"/>
        <v/>
      </c>
      <c r="C486" s="211" t="str">
        <f>VLOOKUP(H486,名称!A:E,4,0)</f>
        <v>三代</v>
      </c>
      <c r="D486" s="220" t="s">
        <v>1402</v>
      </c>
      <c r="E486" s="220" t="s">
        <v>1224</v>
      </c>
      <c r="F486" s="220">
        <v>12358</v>
      </c>
      <c r="G486" s="220" t="s">
        <v>805</v>
      </c>
      <c r="H486" s="220" t="s">
        <v>66</v>
      </c>
      <c r="I486" s="211"/>
      <c r="J486" s="270">
        <v>1986</v>
      </c>
      <c r="K486" s="223">
        <f>VLOOKUP(H486,名称!A:C,2,0)</f>
        <v>12</v>
      </c>
      <c r="L486" s="212">
        <f t="shared" si="91"/>
        <v>23832</v>
      </c>
      <c r="M486" s="211">
        <f>VLOOKUP(H486,名称!A:E,3,0)</f>
        <v>6</v>
      </c>
      <c r="N486" s="212">
        <f t="shared" si="82"/>
        <v>331</v>
      </c>
      <c r="O486" s="271">
        <v>46188</v>
      </c>
      <c r="P486" s="208">
        <v>46199</v>
      </c>
      <c r="Q486" s="208">
        <v>46199</v>
      </c>
      <c r="R486" s="241" t="s">
        <v>1241</v>
      </c>
      <c r="S486" s="208" t="s">
        <v>1133</v>
      </c>
      <c r="T486" s="211"/>
      <c r="U486" s="211"/>
      <c r="V486" s="211"/>
      <c r="W486" s="208"/>
      <c r="X486" s="257" t="s">
        <v>1133</v>
      </c>
      <c r="Y486" s="257" t="s">
        <v>1133</v>
      </c>
      <c r="Z486" s="213" t="s">
        <v>1249</v>
      </c>
      <c r="AA486" s="214">
        <v>46154</v>
      </c>
      <c r="AB486" s="213">
        <v>46157</v>
      </c>
      <c r="AC486" s="257" t="s">
        <v>1318</v>
      </c>
      <c r="AD486" s="257" t="s">
        <v>1228</v>
      </c>
      <c r="AE486" s="220" t="s">
        <v>510</v>
      </c>
      <c r="AF486" s="257" t="s">
        <v>1228</v>
      </c>
      <c r="AG486" s="257" t="s">
        <v>510</v>
      </c>
      <c r="AH486" s="257" t="s">
        <v>1307</v>
      </c>
      <c r="AI486" s="257" t="s">
        <v>1228</v>
      </c>
      <c r="AJ486" s="257" t="s">
        <v>510</v>
      </c>
      <c r="AK486" s="257" t="s">
        <v>1133</v>
      </c>
      <c r="AL486" s="257"/>
      <c r="AM486" s="257" t="s">
        <v>1506</v>
      </c>
      <c r="AN486" s="220"/>
      <c r="AO486" s="215">
        <v>2.04</v>
      </c>
      <c r="AP486" s="216">
        <f t="shared" si="85"/>
        <v>4051.44</v>
      </c>
      <c r="AQ486" s="216">
        <f t="shared" si="86"/>
        <v>31398.66</v>
      </c>
      <c r="AR486" s="269">
        <v>61409</v>
      </c>
      <c r="AS486" s="255">
        <v>46218</v>
      </c>
      <c r="AT486" s="208" t="s">
        <v>1220</v>
      </c>
      <c r="AU486" s="253">
        <f>1980+6</f>
        <v>1986</v>
      </c>
      <c r="AV486" s="252">
        <f t="shared" si="92"/>
        <v>0</v>
      </c>
      <c r="AW486" s="208"/>
      <c r="AX486" s="256" t="s">
        <v>1280</v>
      </c>
      <c r="AY486" s="208"/>
      <c r="AZ486" s="208"/>
      <c r="BA486" s="208"/>
      <c r="BB486" s="208" t="str">
        <f t="shared" si="93"/>
        <v>Planet Fun</v>
      </c>
      <c r="BC486" s="208" t="str">
        <f t="shared" si="88"/>
        <v>美国</v>
      </c>
    </row>
    <row r="487" s="194" customFormat="1" customHeight="1" spans="1:55">
      <c r="A487" s="208">
        <v>46142</v>
      </c>
      <c r="B487" s="208" t="str">
        <f ca="1" t="shared" si="90"/>
        <v/>
      </c>
      <c r="C487" s="211" t="str">
        <f>VLOOKUP(H487,名称!A:E,4,0)</f>
        <v>三代</v>
      </c>
      <c r="D487" s="220" t="s">
        <v>1402</v>
      </c>
      <c r="E487" s="220" t="s">
        <v>1224</v>
      </c>
      <c r="F487" s="220">
        <v>12358</v>
      </c>
      <c r="G487" s="220" t="s">
        <v>805</v>
      </c>
      <c r="H487" s="220" t="s">
        <v>85</v>
      </c>
      <c r="I487" s="211"/>
      <c r="J487" s="270">
        <v>2736</v>
      </c>
      <c r="K487" s="223">
        <f>VLOOKUP(H487,名称!A:C,2,0)</f>
        <v>5</v>
      </c>
      <c r="L487" s="212">
        <f t="shared" si="91"/>
        <v>13680</v>
      </c>
      <c r="M487" s="211">
        <f>VLOOKUP(H487,名称!A:E,3,0)</f>
        <v>24</v>
      </c>
      <c r="N487" s="212">
        <f t="shared" si="82"/>
        <v>114</v>
      </c>
      <c r="O487" s="271">
        <v>46188</v>
      </c>
      <c r="P487" s="208">
        <v>46199</v>
      </c>
      <c r="Q487" s="208">
        <v>46199</v>
      </c>
      <c r="R487" s="241" t="s">
        <v>1241</v>
      </c>
      <c r="S487" s="208" t="s">
        <v>1133</v>
      </c>
      <c r="T487" s="211"/>
      <c r="U487" s="211"/>
      <c r="V487" s="211"/>
      <c r="W487" s="208"/>
      <c r="X487" s="257" t="s">
        <v>1133</v>
      </c>
      <c r="Y487" s="257" t="s">
        <v>1133</v>
      </c>
      <c r="Z487" s="213" t="s">
        <v>1249</v>
      </c>
      <c r="AA487" s="214">
        <v>46154</v>
      </c>
      <c r="AB487" s="213">
        <v>46157</v>
      </c>
      <c r="AC487" s="257" t="s">
        <v>1133</v>
      </c>
      <c r="AD487" s="257" t="s">
        <v>1133</v>
      </c>
      <c r="AE487" s="220" t="s">
        <v>510</v>
      </c>
      <c r="AF487" s="257" t="s">
        <v>1228</v>
      </c>
      <c r="AG487" s="257" t="s">
        <v>510</v>
      </c>
      <c r="AH487" s="257" t="s">
        <v>1133</v>
      </c>
      <c r="AI487" s="257" t="s">
        <v>1228</v>
      </c>
      <c r="AJ487" s="257" t="s">
        <v>1133</v>
      </c>
      <c r="AK487" s="257" t="s">
        <v>510</v>
      </c>
      <c r="AL487" s="257"/>
      <c r="AM487" s="257" t="s">
        <v>1506</v>
      </c>
      <c r="AN487" s="268" t="s">
        <v>1349</v>
      </c>
      <c r="AO487" s="215">
        <v>0.89</v>
      </c>
      <c r="AP487" s="216">
        <f t="shared" si="85"/>
        <v>2435.04</v>
      </c>
      <c r="AQ487" s="216">
        <f t="shared" si="86"/>
        <v>18871.56</v>
      </c>
      <c r="AR487" s="269">
        <v>61409</v>
      </c>
      <c r="AS487" s="255">
        <v>46218</v>
      </c>
      <c r="AT487" s="208" t="s">
        <v>1220</v>
      </c>
      <c r="AU487" s="253">
        <f>2688+48</f>
        <v>2736</v>
      </c>
      <c r="AV487" s="252">
        <f t="shared" si="92"/>
        <v>0</v>
      </c>
      <c r="AW487" s="208"/>
      <c r="AX487" s="256" t="s">
        <v>1280</v>
      </c>
      <c r="AY487" s="208"/>
      <c r="AZ487" s="208"/>
      <c r="BA487" s="208"/>
      <c r="BB487" s="208" t="str">
        <f t="shared" si="93"/>
        <v>Planet Fun</v>
      </c>
      <c r="BC487" s="208" t="str">
        <f t="shared" si="88"/>
        <v>美国</v>
      </c>
    </row>
    <row r="488" s="194" customFormat="1" customHeight="1" spans="1:55">
      <c r="A488" s="208">
        <v>46142</v>
      </c>
      <c r="B488" s="208" t="str">
        <f ca="1" t="shared" si="90"/>
        <v/>
      </c>
      <c r="C488" s="211" t="str">
        <f>VLOOKUP(H488,名称!A:E,4,0)</f>
        <v>三代</v>
      </c>
      <c r="D488" s="220" t="s">
        <v>1402</v>
      </c>
      <c r="E488" s="220" t="s">
        <v>1224</v>
      </c>
      <c r="F488" s="220">
        <v>12358</v>
      </c>
      <c r="G488" s="220" t="s">
        <v>805</v>
      </c>
      <c r="H488" s="220" t="s">
        <v>88</v>
      </c>
      <c r="I488" s="211"/>
      <c r="J488" s="270">
        <v>2712</v>
      </c>
      <c r="K488" s="223">
        <f>VLOOKUP(H488,名称!A:C,2,0)</f>
        <v>5</v>
      </c>
      <c r="L488" s="212">
        <f t="shared" si="91"/>
        <v>13560</v>
      </c>
      <c r="M488" s="211">
        <f>VLOOKUP(H488,名称!A:E,3,0)</f>
        <v>24</v>
      </c>
      <c r="N488" s="212">
        <f t="shared" si="82"/>
        <v>113</v>
      </c>
      <c r="O488" s="271">
        <v>46188</v>
      </c>
      <c r="P488" s="208">
        <v>46199</v>
      </c>
      <c r="Q488" s="208">
        <v>46199</v>
      </c>
      <c r="R488" s="241" t="s">
        <v>1241</v>
      </c>
      <c r="S488" s="208" t="s">
        <v>1133</v>
      </c>
      <c r="T488" s="211"/>
      <c r="U488" s="211"/>
      <c r="V488" s="211"/>
      <c r="W488" s="208"/>
      <c r="X488" s="257" t="s">
        <v>1133</v>
      </c>
      <c r="Y488" s="257" t="s">
        <v>1133</v>
      </c>
      <c r="Z488" s="213" t="s">
        <v>1249</v>
      </c>
      <c r="AA488" s="214">
        <v>46154</v>
      </c>
      <c r="AB488" s="213">
        <v>46157</v>
      </c>
      <c r="AC488" s="257" t="s">
        <v>1133</v>
      </c>
      <c r="AD488" s="257" t="s">
        <v>1133</v>
      </c>
      <c r="AE488" s="220" t="s">
        <v>510</v>
      </c>
      <c r="AF488" s="257" t="s">
        <v>1228</v>
      </c>
      <c r="AG488" s="257" t="s">
        <v>510</v>
      </c>
      <c r="AH488" s="257" t="s">
        <v>1133</v>
      </c>
      <c r="AI488" s="257" t="s">
        <v>1228</v>
      </c>
      <c r="AJ488" s="257" t="s">
        <v>1133</v>
      </c>
      <c r="AK488" s="257" t="s">
        <v>510</v>
      </c>
      <c r="AL488" s="257"/>
      <c r="AM488" s="257" t="s">
        <v>1506</v>
      </c>
      <c r="AN488" s="220"/>
      <c r="AO488" s="215">
        <v>0.81</v>
      </c>
      <c r="AP488" s="216">
        <f t="shared" si="85"/>
        <v>2196.72</v>
      </c>
      <c r="AQ488" s="216">
        <f t="shared" si="86"/>
        <v>17024.58</v>
      </c>
      <c r="AR488" s="269">
        <v>61409</v>
      </c>
      <c r="AS488" s="255">
        <v>46218</v>
      </c>
      <c r="AT488" s="208" t="s">
        <v>1310</v>
      </c>
      <c r="AU488" s="253"/>
      <c r="AV488" s="252">
        <f t="shared" si="92"/>
        <v>-2712</v>
      </c>
      <c r="AW488" s="208"/>
      <c r="AX488" s="256"/>
      <c r="AY488" s="208"/>
      <c r="AZ488" s="208"/>
      <c r="BA488" s="208"/>
      <c r="BB488" s="208" t="str">
        <f t="shared" si="93"/>
        <v>Planet Fun</v>
      </c>
      <c r="BC488" s="208" t="str">
        <f t="shared" si="88"/>
        <v>美国</v>
      </c>
    </row>
    <row r="489" s="194" customFormat="1" customHeight="1" spans="1:55">
      <c r="A489" s="208">
        <v>46142</v>
      </c>
      <c r="B489" s="208" t="str">
        <f ca="1" t="shared" si="90"/>
        <v/>
      </c>
      <c r="C489" s="211" t="str">
        <f>VLOOKUP(H489,名称!A:E,4,0)</f>
        <v>三代</v>
      </c>
      <c r="D489" s="220" t="s">
        <v>1402</v>
      </c>
      <c r="E489" s="220" t="s">
        <v>1224</v>
      </c>
      <c r="F489" s="220">
        <v>12358</v>
      </c>
      <c r="G489" s="220" t="s">
        <v>805</v>
      </c>
      <c r="H489" s="220" t="s">
        <v>92</v>
      </c>
      <c r="I489" s="211"/>
      <c r="J489" s="270">
        <v>1600</v>
      </c>
      <c r="K489" s="223">
        <f>VLOOKUP(H489,名称!A:C,2,0)</f>
        <v>7</v>
      </c>
      <c r="L489" s="212">
        <f t="shared" si="91"/>
        <v>11200</v>
      </c>
      <c r="M489" s="211">
        <f>VLOOKUP(H489,名称!A:E,3,0)</f>
        <v>16</v>
      </c>
      <c r="N489" s="212">
        <f t="shared" si="82"/>
        <v>100</v>
      </c>
      <c r="O489" s="271">
        <v>46188</v>
      </c>
      <c r="P489" s="208">
        <v>46199</v>
      </c>
      <c r="Q489" s="208">
        <v>46205</v>
      </c>
      <c r="R489" s="241" t="s">
        <v>1241</v>
      </c>
      <c r="S489" s="208" t="s">
        <v>1133</v>
      </c>
      <c r="T489" s="211"/>
      <c r="U489" s="211"/>
      <c r="V489" s="211"/>
      <c r="W489" s="208"/>
      <c r="X489" s="257" t="s">
        <v>1133</v>
      </c>
      <c r="Y489" s="257" t="s">
        <v>1133</v>
      </c>
      <c r="Z489" s="213" t="s">
        <v>1249</v>
      </c>
      <c r="AA489" s="214">
        <v>46154</v>
      </c>
      <c r="AB489" s="213">
        <v>46157</v>
      </c>
      <c r="AC489" s="257" t="s">
        <v>1284</v>
      </c>
      <c r="AD489" s="257" t="s">
        <v>1228</v>
      </c>
      <c r="AE489" s="220" t="s">
        <v>510</v>
      </c>
      <c r="AF489" s="257" t="s">
        <v>1228</v>
      </c>
      <c r="AG489" s="257" t="s">
        <v>510</v>
      </c>
      <c r="AH489" s="257" t="s">
        <v>1133</v>
      </c>
      <c r="AI489" s="257" t="s">
        <v>1228</v>
      </c>
      <c r="AJ489" s="257" t="s">
        <v>1133</v>
      </c>
      <c r="AK489" s="257" t="s">
        <v>1133</v>
      </c>
      <c r="AL489" s="257"/>
      <c r="AM489" s="257" t="s">
        <v>1506</v>
      </c>
      <c r="AN489" s="220"/>
      <c r="AO489" s="215">
        <v>0.88</v>
      </c>
      <c r="AP489" s="216">
        <f t="shared" si="85"/>
        <v>1408</v>
      </c>
      <c r="AQ489" s="216">
        <f t="shared" si="86"/>
        <v>10912</v>
      </c>
      <c r="AR489" s="269">
        <v>61409</v>
      </c>
      <c r="AS489" s="255">
        <v>46218</v>
      </c>
      <c r="AT489" s="208" t="s">
        <v>1220</v>
      </c>
      <c r="AU489" s="253">
        <v>1600</v>
      </c>
      <c r="AV489" s="252">
        <f t="shared" si="92"/>
        <v>0</v>
      </c>
      <c r="AW489" s="208"/>
      <c r="AX489" s="256" t="s">
        <v>1280</v>
      </c>
      <c r="AY489" s="208"/>
      <c r="AZ489" s="208"/>
      <c r="BA489" s="208"/>
      <c r="BB489" s="208" t="str">
        <f t="shared" si="93"/>
        <v>Planet Fun</v>
      </c>
      <c r="BC489" s="208" t="str">
        <f t="shared" si="88"/>
        <v>美国</v>
      </c>
    </row>
    <row r="490" s="194" customFormat="1" customHeight="1" spans="1:55">
      <c r="A490" s="208">
        <v>46142</v>
      </c>
      <c r="B490" s="208" t="str">
        <f ca="1" t="shared" si="90"/>
        <v/>
      </c>
      <c r="C490" s="211" t="str">
        <f>VLOOKUP(H490,名称!A:E,4,0)</f>
        <v>三代</v>
      </c>
      <c r="D490" s="220" t="s">
        <v>1402</v>
      </c>
      <c r="E490" s="220" t="s">
        <v>1224</v>
      </c>
      <c r="F490" s="220">
        <v>12358</v>
      </c>
      <c r="G490" s="220" t="s">
        <v>805</v>
      </c>
      <c r="H490" s="220" t="s">
        <v>94</v>
      </c>
      <c r="I490" s="211"/>
      <c r="J490" s="270">
        <v>2016</v>
      </c>
      <c r="K490" s="223">
        <f>VLOOKUP(H490,名称!A:C,2,0)</f>
        <v>5</v>
      </c>
      <c r="L490" s="212">
        <f t="shared" si="91"/>
        <v>10080</v>
      </c>
      <c r="M490" s="211">
        <f>VLOOKUP(H490,名称!A:E,3,0)</f>
        <v>24</v>
      </c>
      <c r="N490" s="212">
        <f t="shared" si="82"/>
        <v>84</v>
      </c>
      <c r="O490" s="271">
        <v>46188</v>
      </c>
      <c r="P490" s="208">
        <v>46199</v>
      </c>
      <c r="Q490" s="208">
        <v>46202</v>
      </c>
      <c r="R490" s="241" t="s">
        <v>1241</v>
      </c>
      <c r="S490" s="208" t="s">
        <v>1133</v>
      </c>
      <c r="T490" s="211"/>
      <c r="U490" s="211"/>
      <c r="V490" s="211"/>
      <c r="W490" s="208"/>
      <c r="X490" s="257" t="s">
        <v>1133</v>
      </c>
      <c r="Y490" s="257" t="s">
        <v>1133</v>
      </c>
      <c r="Z490" s="213" t="s">
        <v>1249</v>
      </c>
      <c r="AA490" s="214">
        <v>46154</v>
      </c>
      <c r="AB490" s="213">
        <v>46157</v>
      </c>
      <c r="AC490" s="257" t="s">
        <v>1133</v>
      </c>
      <c r="AD490" s="257" t="s">
        <v>1133</v>
      </c>
      <c r="AE490" s="220" t="s">
        <v>510</v>
      </c>
      <c r="AF490" s="257" t="s">
        <v>1228</v>
      </c>
      <c r="AG490" s="257" t="s">
        <v>510</v>
      </c>
      <c r="AH490" s="257" t="s">
        <v>1133</v>
      </c>
      <c r="AI490" s="257" t="s">
        <v>1228</v>
      </c>
      <c r="AJ490" s="257" t="s">
        <v>1133</v>
      </c>
      <c r="AK490" s="257" t="s">
        <v>510</v>
      </c>
      <c r="AL490" s="257"/>
      <c r="AM490" s="257" t="s">
        <v>1506</v>
      </c>
      <c r="AN490" s="220"/>
      <c r="AO490" s="215">
        <v>0.64</v>
      </c>
      <c r="AP490" s="216">
        <f t="shared" si="85"/>
        <v>1290.24</v>
      </c>
      <c r="AQ490" s="216">
        <f t="shared" si="86"/>
        <v>9999.36</v>
      </c>
      <c r="AR490" s="269">
        <v>61409</v>
      </c>
      <c r="AS490" s="255">
        <v>46218</v>
      </c>
      <c r="AT490" s="208" t="s">
        <v>1220</v>
      </c>
      <c r="AU490" s="253">
        <v>2016</v>
      </c>
      <c r="AV490" s="252">
        <f t="shared" si="92"/>
        <v>0</v>
      </c>
      <c r="AW490" s="208"/>
      <c r="AX490" s="256" t="s">
        <v>1280</v>
      </c>
      <c r="AY490" s="208"/>
      <c r="AZ490" s="208"/>
      <c r="BA490" s="208"/>
      <c r="BB490" s="208" t="str">
        <f t="shared" si="93"/>
        <v>Planet Fun</v>
      </c>
      <c r="BC490" s="208" t="str">
        <f t="shared" si="88"/>
        <v>美国</v>
      </c>
    </row>
    <row r="491" s="194" customFormat="1" customHeight="1" spans="1:55">
      <c r="A491" s="208">
        <v>46109</v>
      </c>
      <c r="B491" s="208" t="str">
        <f ca="1" t="shared" si="90"/>
        <v/>
      </c>
      <c r="C491" s="211" t="str">
        <f>VLOOKUP(H491,名称!A:E,4,0)</f>
        <v>蛋糕</v>
      </c>
      <c r="D491" s="210" t="s">
        <v>1393</v>
      </c>
      <c r="E491" s="210" t="s">
        <v>1394</v>
      </c>
      <c r="F491" s="211" t="s">
        <v>582</v>
      </c>
      <c r="G491" s="211" t="s">
        <v>583</v>
      </c>
      <c r="H491" s="211" t="s">
        <v>50</v>
      </c>
      <c r="I491" s="211"/>
      <c r="J491" s="212">
        <v>40500</v>
      </c>
      <c r="K491" s="223">
        <f>VLOOKUP(H491,名称!A:C,2,0)</f>
        <v>0</v>
      </c>
      <c r="L491" s="212">
        <f t="shared" si="91"/>
        <v>0</v>
      </c>
      <c r="M491" s="211">
        <f>VLOOKUP(H491,名称!A:E,3,0)</f>
        <v>18</v>
      </c>
      <c r="N491" s="212">
        <f t="shared" si="82"/>
        <v>2250</v>
      </c>
      <c r="O491" s="208">
        <v>46154</v>
      </c>
      <c r="P491" s="208">
        <v>46198</v>
      </c>
      <c r="Q491" s="208">
        <v>46199</v>
      </c>
      <c r="R491" s="241" t="s">
        <v>1241</v>
      </c>
      <c r="S491" s="256" t="s">
        <v>1133</v>
      </c>
      <c r="T491" s="211"/>
      <c r="U491" s="211"/>
      <c r="V491" s="211"/>
      <c r="W491" s="208"/>
      <c r="X491" s="211" t="s">
        <v>1133</v>
      </c>
      <c r="Y491" s="211" t="s">
        <v>1133</v>
      </c>
      <c r="Z491" s="213">
        <v>46139</v>
      </c>
      <c r="AA491" s="214">
        <v>46139</v>
      </c>
      <c r="AB491" s="213">
        <v>46141</v>
      </c>
      <c r="AC491" s="211" t="s">
        <v>1133</v>
      </c>
      <c r="AD491" s="211" t="s">
        <v>1133</v>
      </c>
      <c r="AE491" s="211" t="s">
        <v>584</v>
      </c>
      <c r="AF491" s="211" t="s">
        <v>1228</v>
      </c>
      <c r="AG491" s="211" t="s">
        <v>510</v>
      </c>
      <c r="AH491" s="211" t="s">
        <v>1133</v>
      </c>
      <c r="AI491" s="211" t="s">
        <v>1228</v>
      </c>
      <c r="AJ491" s="211" t="s">
        <v>1133</v>
      </c>
      <c r="AK491" s="211" t="s">
        <v>1833</v>
      </c>
      <c r="AL491" s="211"/>
      <c r="AM491" s="267" t="s">
        <v>1834</v>
      </c>
      <c r="AN491" s="212" t="s">
        <v>1668</v>
      </c>
      <c r="AO491" s="215">
        <v>1.08</v>
      </c>
      <c r="AP491" s="216">
        <f t="shared" si="85"/>
        <v>43740</v>
      </c>
      <c r="AQ491" s="216">
        <f t="shared" si="86"/>
        <v>338985</v>
      </c>
      <c r="AR491" s="269">
        <v>61410</v>
      </c>
      <c r="AS491" s="255">
        <v>46218</v>
      </c>
      <c r="AT491" s="208" t="s">
        <v>1313</v>
      </c>
      <c r="AU491" s="208"/>
      <c r="AV491" s="208"/>
      <c r="AW491" s="208"/>
      <c r="AX491" s="208"/>
      <c r="AY491" s="208"/>
      <c r="AZ491" s="208"/>
      <c r="BA491" s="208"/>
      <c r="BB491" s="208" t="str">
        <f t="shared" si="93"/>
        <v>BOTI</v>
      </c>
      <c r="BC491" s="208" t="str">
        <f t="shared" si="88"/>
        <v>比利时</v>
      </c>
    </row>
    <row r="492" s="194" customFormat="1" customHeight="1" spans="1:55">
      <c r="A492" s="208">
        <v>46114</v>
      </c>
      <c r="B492" s="208" t="str">
        <f ca="1" t="shared" si="90"/>
        <v/>
      </c>
      <c r="C492" s="211" t="str">
        <f>VLOOKUP(H492,名称!A:E,4,0)</f>
        <v>蛋糕</v>
      </c>
      <c r="D492" s="210" t="s">
        <v>1459</v>
      </c>
      <c r="E492" s="210" t="s">
        <v>1835</v>
      </c>
      <c r="F492" s="211" t="s">
        <v>613</v>
      </c>
      <c r="G492" s="211" t="s">
        <v>614</v>
      </c>
      <c r="H492" s="211" t="s">
        <v>50</v>
      </c>
      <c r="I492" s="211"/>
      <c r="J492" s="212">
        <v>3006</v>
      </c>
      <c r="K492" s="223">
        <f>VLOOKUP(H492,名称!A:C,2,0)</f>
        <v>0</v>
      </c>
      <c r="L492" s="212">
        <f t="shared" si="91"/>
        <v>0</v>
      </c>
      <c r="M492" s="211">
        <f>VLOOKUP(H492,名称!A:E,3,0)</f>
        <v>18</v>
      </c>
      <c r="N492" s="212">
        <f t="shared" si="82"/>
        <v>167</v>
      </c>
      <c r="O492" s="208">
        <v>46183</v>
      </c>
      <c r="P492" s="208">
        <v>46202</v>
      </c>
      <c r="Q492" s="208">
        <v>46206</v>
      </c>
      <c r="R492" s="241" t="s">
        <v>1241</v>
      </c>
      <c r="S492" s="256">
        <v>46206</v>
      </c>
      <c r="T492" s="241" t="s">
        <v>1241</v>
      </c>
      <c r="U492" s="211"/>
      <c r="V492" s="211"/>
      <c r="W492" s="208"/>
      <c r="X492" s="220" t="s">
        <v>1248</v>
      </c>
      <c r="Y492" s="211" t="s">
        <v>1836</v>
      </c>
      <c r="Z492" s="211" t="s">
        <v>1249</v>
      </c>
      <c r="AA492" s="214">
        <v>46157</v>
      </c>
      <c r="AB492" s="213">
        <v>46160</v>
      </c>
      <c r="AC492" s="211" t="s">
        <v>1133</v>
      </c>
      <c r="AD492" s="211" t="s">
        <v>1133</v>
      </c>
      <c r="AE492" s="211" t="s">
        <v>334</v>
      </c>
      <c r="AF492" s="211" t="s">
        <v>1228</v>
      </c>
      <c r="AG492" s="220" t="s">
        <v>1837</v>
      </c>
      <c r="AH492" s="211" t="s">
        <v>1133</v>
      </c>
      <c r="AI492" s="211" t="s">
        <v>1228</v>
      </c>
      <c r="AJ492" s="211" t="s">
        <v>1133</v>
      </c>
      <c r="AK492" s="211" t="s">
        <v>1228</v>
      </c>
      <c r="AL492" s="211"/>
      <c r="AM492" s="257" t="s">
        <v>1517</v>
      </c>
      <c r="AN492" s="212" t="s">
        <v>1838</v>
      </c>
      <c r="AO492" s="215">
        <v>1.08</v>
      </c>
      <c r="AP492" s="216">
        <f t="shared" si="85"/>
        <v>3246.48</v>
      </c>
      <c r="AQ492" s="216">
        <f t="shared" si="86"/>
        <v>25160.22</v>
      </c>
      <c r="AR492" s="269">
        <v>61411</v>
      </c>
      <c r="AS492" s="255">
        <v>46218</v>
      </c>
      <c r="AT492" s="208" t="s">
        <v>1220</v>
      </c>
      <c r="AU492" s="208"/>
      <c r="AV492" s="208"/>
      <c r="AW492" s="273" t="s">
        <v>1228</v>
      </c>
      <c r="AX492" s="208"/>
      <c r="AY492" s="208"/>
      <c r="AZ492" s="208"/>
      <c r="BA492" s="208"/>
      <c r="BB492" s="208" t="str">
        <f t="shared" si="93"/>
        <v>Proxy (Far East) Limited</v>
      </c>
      <c r="BC492" s="208" t="str">
        <f t="shared" si="88"/>
        <v>丹麦</v>
      </c>
    </row>
    <row r="493" s="194" customFormat="1" customHeight="1" spans="1:55">
      <c r="A493" s="208">
        <v>46114</v>
      </c>
      <c r="B493" s="208" t="str">
        <f ca="1" t="shared" si="90"/>
        <v/>
      </c>
      <c r="C493" s="211" t="str">
        <f>VLOOKUP(H493,名称!A:E,4,0)</f>
        <v>三代</v>
      </c>
      <c r="D493" s="210" t="s">
        <v>1459</v>
      </c>
      <c r="E493" s="210" t="s">
        <v>1835</v>
      </c>
      <c r="F493" s="211" t="s">
        <v>613</v>
      </c>
      <c r="G493" s="211" t="s">
        <v>614</v>
      </c>
      <c r="H493" s="211" t="s">
        <v>109</v>
      </c>
      <c r="I493" s="211"/>
      <c r="J493" s="212">
        <v>3000</v>
      </c>
      <c r="K493" s="223">
        <f>VLOOKUP(H493,名称!A:C,2,0)</f>
        <v>0</v>
      </c>
      <c r="L493" s="212">
        <f t="shared" si="91"/>
        <v>0</v>
      </c>
      <c r="M493" s="211">
        <f>VLOOKUP(H493,名称!A:E,3,0)</f>
        <v>24</v>
      </c>
      <c r="N493" s="212">
        <f t="shared" si="82"/>
        <v>125</v>
      </c>
      <c r="O493" s="208">
        <v>46183</v>
      </c>
      <c r="P493" s="256">
        <v>46202</v>
      </c>
      <c r="Q493" s="256">
        <v>46204</v>
      </c>
      <c r="R493" s="241" t="s">
        <v>1241</v>
      </c>
      <c r="S493" s="256">
        <v>46204</v>
      </c>
      <c r="T493" s="241" t="s">
        <v>1241</v>
      </c>
      <c r="U493" s="211"/>
      <c r="V493" s="211"/>
      <c r="W493" s="208"/>
      <c r="X493" s="211" t="s">
        <v>1248</v>
      </c>
      <c r="Y493" s="211" t="s">
        <v>1228</v>
      </c>
      <c r="Z493" s="257" t="s">
        <v>1249</v>
      </c>
      <c r="AA493" s="214">
        <v>46157</v>
      </c>
      <c r="AB493" s="213">
        <v>46160</v>
      </c>
      <c r="AC493" s="257" t="s">
        <v>1133</v>
      </c>
      <c r="AD493" s="257" t="s">
        <v>1133</v>
      </c>
      <c r="AE493" s="211" t="s">
        <v>334</v>
      </c>
      <c r="AF493" s="257" t="s">
        <v>1228</v>
      </c>
      <c r="AG493" s="257" t="s">
        <v>510</v>
      </c>
      <c r="AH493" s="257" t="s">
        <v>1133</v>
      </c>
      <c r="AI493" s="257" t="s">
        <v>1228</v>
      </c>
      <c r="AJ493" s="257" t="s">
        <v>1133</v>
      </c>
      <c r="AK493" s="211" t="s">
        <v>510</v>
      </c>
      <c r="AL493" s="267" t="s">
        <v>1228</v>
      </c>
      <c r="AM493" s="257" t="s">
        <v>1839</v>
      </c>
      <c r="AN493" s="212" t="s">
        <v>1251</v>
      </c>
      <c r="AO493" s="215">
        <v>0.59</v>
      </c>
      <c r="AP493" s="216">
        <f t="shared" si="85"/>
        <v>1770</v>
      </c>
      <c r="AQ493" s="216">
        <f t="shared" si="86"/>
        <v>13717.5</v>
      </c>
      <c r="AR493" s="269">
        <v>61411</v>
      </c>
      <c r="AS493" s="255">
        <v>46218</v>
      </c>
      <c r="AT493" s="208" t="s">
        <v>1220</v>
      </c>
      <c r="AU493" s="253"/>
      <c r="AV493" s="252">
        <f t="shared" ref="AV493:AV506" si="95">AU493-J493</f>
        <v>-3000</v>
      </c>
      <c r="AW493" s="252"/>
      <c r="AX493" s="256"/>
      <c r="AY493" s="208"/>
      <c r="AZ493" s="208"/>
      <c r="BA493" s="208"/>
      <c r="BB493" s="208" t="str">
        <f t="shared" si="93"/>
        <v>Proxy (Far East) Limited</v>
      </c>
      <c r="BC493" s="208" t="str">
        <f t="shared" si="88"/>
        <v>丹麦</v>
      </c>
    </row>
    <row r="494" s="194" customFormat="1" customHeight="1" spans="1:55">
      <c r="A494" s="208">
        <v>46114</v>
      </c>
      <c r="B494" s="208" t="str">
        <f ca="1" t="shared" si="90"/>
        <v/>
      </c>
      <c r="C494" s="211" t="str">
        <f>VLOOKUP(H494,名称!A:E,4,0)</f>
        <v>三代</v>
      </c>
      <c r="D494" s="210" t="s">
        <v>1459</v>
      </c>
      <c r="E494" s="210" t="s">
        <v>1835</v>
      </c>
      <c r="F494" s="211" t="s">
        <v>613</v>
      </c>
      <c r="G494" s="211" t="s">
        <v>614</v>
      </c>
      <c r="H494" s="211" t="s">
        <v>121</v>
      </c>
      <c r="I494" s="211"/>
      <c r="J494" s="212">
        <v>12012</v>
      </c>
      <c r="K494" s="223">
        <f>VLOOKUP(H494,名称!A:C,2,0)</f>
        <v>7</v>
      </c>
      <c r="L494" s="212">
        <f t="shared" si="91"/>
        <v>84084</v>
      </c>
      <c r="M494" s="211">
        <f>VLOOKUP(H494,名称!A:E,3,0)</f>
        <v>12</v>
      </c>
      <c r="N494" s="212">
        <f t="shared" si="82"/>
        <v>1001</v>
      </c>
      <c r="O494" s="208">
        <v>46183</v>
      </c>
      <c r="P494" s="256">
        <v>46202</v>
      </c>
      <c r="Q494" s="256">
        <v>46202</v>
      </c>
      <c r="R494" s="241" t="s">
        <v>1241</v>
      </c>
      <c r="S494" s="256">
        <v>46204</v>
      </c>
      <c r="T494" s="267" t="s">
        <v>1241</v>
      </c>
      <c r="U494" s="211"/>
      <c r="V494" s="211"/>
      <c r="W494" s="208"/>
      <c r="X494" s="211" t="s">
        <v>1133</v>
      </c>
      <c r="Y494" s="211" t="s">
        <v>1133</v>
      </c>
      <c r="Z494" s="257" t="s">
        <v>1249</v>
      </c>
      <c r="AA494" s="214">
        <v>46157</v>
      </c>
      <c r="AB494" s="213">
        <v>46160</v>
      </c>
      <c r="AC494" s="257" t="s">
        <v>1318</v>
      </c>
      <c r="AD494" s="257" t="s">
        <v>1228</v>
      </c>
      <c r="AE494" s="212" t="s">
        <v>334</v>
      </c>
      <c r="AF494" s="259" t="s">
        <v>1228</v>
      </c>
      <c r="AG494" s="257" t="s">
        <v>1464</v>
      </c>
      <c r="AH494" s="257" t="s">
        <v>1464</v>
      </c>
      <c r="AI494" s="257" t="s">
        <v>1228</v>
      </c>
      <c r="AJ494" s="257" t="s">
        <v>1133</v>
      </c>
      <c r="AK494" s="211" t="s">
        <v>1133</v>
      </c>
      <c r="AL494" s="267" t="s">
        <v>1228</v>
      </c>
      <c r="AM494" s="257" t="s">
        <v>1840</v>
      </c>
      <c r="AN494" s="212"/>
      <c r="AO494" s="215">
        <v>0.79</v>
      </c>
      <c r="AP494" s="216">
        <f t="shared" si="85"/>
        <v>9489.48</v>
      </c>
      <c r="AQ494" s="216">
        <f t="shared" si="86"/>
        <v>73543.47</v>
      </c>
      <c r="AR494" s="269">
        <v>61411</v>
      </c>
      <c r="AS494" s="255">
        <v>46218</v>
      </c>
      <c r="AT494" s="208" t="s">
        <v>1220</v>
      </c>
      <c r="AU494" s="253">
        <v>12012</v>
      </c>
      <c r="AV494" s="252">
        <f t="shared" si="95"/>
        <v>0</v>
      </c>
      <c r="AW494" s="252"/>
      <c r="AX494" s="274" t="s">
        <v>1280</v>
      </c>
      <c r="AY494" s="208"/>
      <c r="AZ494" s="208"/>
      <c r="BA494" s="208"/>
      <c r="BB494" s="208" t="str">
        <f t="shared" si="93"/>
        <v>Proxy (Far East) Limited</v>
      </c>
      <c r="BC494" s="208" t="str">
        <f t="shared" si="88"/>
        <v>丹麦</v>
      </c>
    </row>
    <row r="495" s="194" customFormat="1" customHeight="1" spans="1:55">
      <c r="A495" s="208">
        <v>46114</v>
      </c>
      <c r="B495" s="208" t="str">
        <f ca="1" t="shared" si="90"/>
        <v/>
      </c>
      <c r="C495" s="211" t="str">
        <f>VLOOKUP(H495,名称!A:E,4,0)</f>
        <v>三代</v>
      </c>
      <c r="D495" s="210" t="s">
        <v>1459</v>
      </c>
      <c r="E495" s="210" t="s">
        <v>1835</v>
      </c>
      <c r="F495" s="211" t="s">
        <v>613</v>
      </c>
      <c r="G495" s="211" t="s">
        <v>614</v>
      </c>
      <c r="H495" s="211" t="s">
        <v>59</v>
      </c>
      <c r="I495" s="211"/>
      <c r="J495" s="212">
        <v>23016</v>
      </c>
      <c r="K495" s="223">
        <f>VLOOKUP(H495,名称!A:C,2,0)</f>
        <v>5</v>
      </c>
      <c r="L495" s="212">
        <f t="shared" si="91"/>
        <v>115080</v>
      </c>
      <c r="M495" s="211">
        <f>VLOOKUP(H495,名称!A:E,3,0)</f>
        <v>24</v>
      </c>
      <c r="N495" s="212">
        <f t="shared" ref="N495:N506" si="96">J495/M495</f>
        <v>959</v>
      </c>
      <c r="O495" s="208">
        <v>46183</v>
      </c>
      <c r="P495" s="256">
        <v>46202</v>
      </c>
      <c r="Q495" s="256">
        <v>46202</v>
      </c>
      <c r="R495" s="267" t="s">
        <v>1241</v>
      </c>
      <c r="S495" s="256">
        <v>46204</v>
      </c>
      <c r="T495" s="267" t="s">
        <v>1241</v>
      </c>
      <c r="U495" s="211"/>
      <c r="V495" s="211" t="s">
        <v>1841</v>
      </c>
      <c r="W495" s="208"/>
      <c r="X495" s="211" t="s">
        <v>1133</v>
      </c>
      <c r="Y495" s="211" t="s">
        <v>1133</v>
      </c>
      <c r="Z495" s="257" t="s">
        <v>1249</v>
      </c>
      <c r="AA495" s="214">
        <v>46157</v>
      </c>
      <c r="AB495" s="213">
        <v>46160</v>
      </c>
      <c r="AC495" s="257" t="s">
        <v>1133</v>
      </c>
      <c r="AD495" s="257" t="s">
        <v>1133</v>
      </c>
      <c r="AE495" s="211" t="s">
        <v>510</v>
      </c>
      <c r="AF495" s="257" t="s">
        <v>1228</v>
      </c>
      <c r="AG495" s="257" t="s">
        <v>510</v>
      </c>
      <c r="AH495" s="257" t="s">
        <v>1133</v>
      </c>
      <c r="AI495" s="257" t="s">
        <v>1228</v>
      </c>
      <c r="AJ495" s="257" t="s">
        <v>1133</v>
      </c>
      <c r="AK495" s="211" t="s">
        <v>1464</v>
      </c>
      <c r="AL495" s="267" t="s">
        <v>1228</v>
      </c>
      <c r="AM495" s="257" t="s">
        <v>1842</v>
      </c>
      <c r="AN495" s="212"/>
      <c r="AO495" s="215">
        <v>0.62</v>
      </c>
      <c r="AP495" s="216">
        <f t="shared" si="85"/>
        <v>14269.92</v>
      </c>
      <c r="AQ495" s="216">
        <f t="shared" si="86"/>
        <v>110591.88</v>
      </c>
      <c r="AR495" s="269">
        <v>61411</v>
      </c>
      <c r="AS495" s="255">
        <v>46218</v>
      </c>
      <c r="AT495" s="208" t="s">
        <v>1220</v>
      </c>
      <c r="AU495" s="253">
        <f>22992+24</f>
        <v>23016</v>
      </c>
      <c r="AV495" s="252">
        <f t="shared" si="95"/>
        <v>0</v>
      </c>
      <c r="AW495" s="252"/>
      <c r="AX495" s="274" t="s">
        <v>1280</v>
      </c>
      <c r="AY495" s="208"/>
      <c r="AZ495" s="208"/>
      <c r="BA495" s="208"/>
      <c r="BB495" s="208" t="str">
        <f t="shared" si="93"/>
        <v>Proxy (Far East) Limited</v>
      </c>
      <c r="BC495" s="208" t="str">
        <f t="shared" si="88"/>
        <v>丹麦</v>
      </c>
    </row>
    <row r="496" s="194" customFormat="1" customHeight="1" spans="1:55">
      <c r="A496" s="208">
        <v>46114</v>
      </c>
      <c r="B496" s="208" t="str">
        <f ca="1" t="shared" si="90"/>
        <v/>
      </c>
      <c r="C496" s="211" t="str">
        <f>VLOOKUP(H496,名称!A:E,4,0)</f>
        <v>三代</v>
      </c>
      <c r="D496" s="210" t="s">
        <v>1459</v>
      </c>
      <c r="E496" s="210" t="s">
        <v>1835</v>
      </c>
      <c r="F496" s="211" t="s">
        <v>613</v>
      </c>
      <c r="G496" s="211" t="s">
        <v>614</v>
      </c>
      <c r="H496" s="211" t="s">
        <v>66</v>
      </c>
      <c r="I496" s="211"/>
      <c r="J496" s="212">
        <v>10008</v>
      </c>
      <c r="K496" s="223">
        <f>VLOOKUP(H496,名称!A:C,2,0)</f>
        <v>12</v>
      </c>
      <c r="L496" s="212">
        <f t="shared" si="91"/>
        <v>120096</v>
      </c>
      <c r="M496" s="211">
        <f>VLOOKUP(H496,名称!A:E,3,0)</f>
        <v>6</v>
      </c>
      <c r="N496" s="212">
        <f t="shared" si="96"/>
        <v>1668</v>
      </c>
      <c r="O496" s="208">
        <v>46183</v>
      </c>
      <c r="P496" s="256">
        <v>46202</v>
      </c>
      <c r="Q496" s="256">
        <v>46202</v>
      </c>
      <c r="R496" s="241" t="s">
        <v>1241</v>
      </c>
      <c r="S496" s="256">
        <v>46204</v>
      </c>
      <c r="T496" s="241" t="s">
        <v>1241</v>
      </c>
      <c r="U496" s="211"/>
      <c r="V496" s="211"/>
      <c r="W496" s="208"/>
      <c r="X496" s="211" t="s">
        <v>1133</v>
      </c>
      <c r="Y496" s="211" t="s">
        <v>1133</v>
      </c>
      <c r="Z496" s="257" t="s">
        <v>1249</v>
      </c>
      <c r="AA496" s="214">
        <v>46157</v>
      </c>
      <c r="AB496" s="213">
        <v>46160</v>
      </c>
      <c r="AC496" s="257" t="s">
        <v>1318</v>
      </c>
      <c r="AD496" s="257" t="s">
        <v>1228</v>
      </c>
      <c r="AE496" s="212" t="s">
        <v>334</v>
      </c>
      <c r="AF496" s="257" t="s">
        <v>1228</v>
      </c>
      <c r="AG496" s="257" t="s">
        <v>1464</v>
      </c>
      <c r="AH496" s="257" t="s">
        <v>1464</v>
      </c>
      <c r="AI496" s="257" t="s">
        <v>1228</v>
      </c>
      <c r="AJ496" s="257" t="s">
        <v>1422</v>
      </c>
      <c r="AK496" s="211" t="s">
        <v>1133</v>
      </c>
      <c r="AL496" s="267" t="s">
        <v>1228</v>
      </c>
      <c r="AM496" s="257" t="s">
        <v>1843</v>
      </c>
      <c r="AN496" s="212"/>
      <c r="AO496" s="215">
        <v>2.02</v>
      </c>
      <c r="AP496" s="216">
        <f t="shared" si="85"/>
        <v>20216.16</v>
      </c>
      <c r="AQ496" s="216">
        <f t="shared" si="86"/>
        <v>156675.24</v>
      </c>
      <c r="AR496" s="269">
        <v>61411</v>
      </c>
      <c r="AS496" s="255">
        <v>46218</v>
      </c>
      <c r="AT496" s="208" t="s">
        <v>1220</v>
      </c>
      <c r="AU496" s="253">
        <f>7920+2088</f>
        <v>10008</v>
      </c>
      <c r="AV496" s="252">
        <f t="shared" si="95"/>
        <v>0</v>
      </c>
      <c r="AW496" s="252"/>
      <c r="AX496" s="256" t="s">
        <v>1280</v>
      </c>
      <c r="AY496" s="208"/>
      <c r="AZ496" s="208"/>
      <c r="BA496" s="208"/>
      <c r="BB496" s="208" t="str">
        <f t="shared" si="93"/>
        <v>Proxy (Far East) Limited</v>
      </c>
      <c r="BC496" s="208" t="str">
        <f t="shared" si="88"/>
        <v>丹麦</v>
      </c>
    </row>
    <row r="497" s="194" customFormat="1" customHeight="1" spans="1:55">
      <c r="A497" s="208">
        <v>46114</v>
      </c>
      <c r="B497" s="208" t="str">
        <f ca="1" t="shared" si="90"/>
        <v/>
      </c>
      <c r="C497" s="211" t="str">
        <f>VLOOKUP(H497,名称!A:E,4,0)</f>
        <v>三代</v>
      </c>
      <c r="D497" s="210" t="s">
        <v>1459</v>
      </c>
      <c r="E497" s="210" t="s">
        <v>1835</v>
      </c>
      <c r="F497" s="211" t="s">
        <v>613</v>
      </c>
      <c r="G497" s="211" t="s">
        <v>614</v>
      </c>
      <c r="H497" s="211" t="s">
        <v>68</v>
      </c>
      <c r="I497" s="211"/>
      <c r="J497" s="212">
        <v>6500</v>
      </c>
      <c r="K497" s="223">
        <f>VLOOKUP(H497,名称!A:C,2,0)</f>
        <v>32</v>
      </c>
      <c r="L497" s="212">
        <f t="shared" si="91"/>
        <v>208000</v>
      </c>
      <c r="M497" s="211">
        <f>VLOOKUP(H497,名称!A:E,3,0)</f>
        <v>4</v>
      </c>
      <c r="N497" s="212">
        <f t="shared" si="96"/>
        <v>1625</v>
      </c>
      <c r="O497" s="208">
        <v>46183</v>
      </c>
      <c r="P497" s="256">
        <v>46202</v>
      </c>
      <c r="Q497" s="256">
        <v>46202</v>
      </c>
      <c r="R497" s="267" t="s">
        <v>1241</v>
      </c>
      <c r="S497" s="256">
        <v>46204</v>
      </c>
      <c r="T497" s="267" t="s">
        <v>1241</v>
      </c>
      <c r="U497" s="211"/>
      <c r="V497" s="211"/>
      <c r="W497" s="208"/>
      <c r="X497" s="211" t="s">
        <v>1133</v>
      </c>
      <c r="Y497" s="211" t="s">
        <v>1133</v>
      </c>
      <c r="Z497" s="257" t="s">
        <v>1249</v>
      </c>
      <c r="AA497" s="214">
        <v>46157</v>
      </c>
      <c r="AB497" s="213">
        <v>46160</v>
      </c>
      <c r="AC497" s="257" t="s">
        <v>1133</v>
      </c>
      <c r="AD497" s="257" t="s">
        <v>1133</v>
      </c>
      <c r="AE497" s="212" t="s">
        <v>334</v>
      </c>
      <c r="AF497" s="257" t="s">
        <v>1228</v>
      </c>
      <c r="AG497" s="257" t="s">
        <v>1464</v>
      </c>
      <c r="AH497" s="257" t="s">
        <v>1844</v>
      </c>
      <c r="AI497" s="257" t="s">
        <v>1228</v>
      </c>
      <c r="AJ497" s="257" t="s">
        <v>1133</v>
      </c>
      <c r="AK497" s="211" t="s">
        <v>1133</v>
      </c>
      <c r="AL497" s="267" t="s">
        <v>1228</v>
      </c>
      <c r="AM497" s="257" t="s">
        <v>1845</v>
      </c>
      <c r="AN497" s="212"/>
      <c r="AO497" s="215">
        <v>3.09</v>
      </c>
      <c r="AP497" s="216">
        <f t="shared" si="85"/>
        <v>20085</v>
      </c>
      <c r="AQ497" s="216">
        <f t="shared" si="86"/>
        <v>155658.75</v>
      </c>
      <c r="AR497" s="224" t="s">
        <v>1846</v>
      </c>
      <c r="AS497" s="255">
        <v>46218</v>
      </c>
      <c r="AT497" s="208" t="s">
        <v>1220</v>
      </c>
      <c r="AU497" s="253">
        <f>3312+1104+2084</f>
        <v>6500</v>
      </c>
      <c r="AV497" s="252">
        <f t="shared" si="95"/>
        <v>0</v>
      </c>
      <c r="AW497" s="252"/>
      <c r="AX497" s="256" t="s">
        <v>1280</v>
      </c>
      <c r="AY497" s="208"/>
      <c r="AZ497" s="208"/>
      <c r="BA497" s="208"/>
      <c r="BB497" s="208" t="str">
        <f t="shared" si="93"/>
        <v>Proxy (Far East) Limited</v>
      </c>
      <c r="BC497" s="208" t="str">
        <f t="shared" si="88"/>
        <v>丹麦</v>
      </c>
    </row>
    <row r="498" s="194" customFormat="1" customHeight="1" spans="1:55">
      <c r="A498" s="208">
        <v>46114</v>
      </c>
      <c r="B498" s="208" t="str">
        <f ca="1" t="shared" si="90"/>
        <v/>
      </c>
      <c r="C498" s="211" t="str">
        <f>VLOOKUP(H498,名称!A:E,4,0)</f>
        <v>三代</v>
      </c>
      <c r="D498" s="210" t="s">
        <v>1459</v>
      </c>
      <c r="E498" s="210" t="s">
        <v>1835</v>
      </c>
      <c r="F498" s="211" t="s">
        <v>613</v>
      </c>
      <c r="G498" s="211" t="s">
        <v>614</v>
      </c>
      <c r="H498" s="211" t="s">
        <v>112</v>
      </c>
      <c r="I498" s="211"/>
      <c r="J498" s="212">
        <v>2000</v>
      </c>
      <c r="K498" s="223">
        <f>VLOOKUP(H498,名称!A:C,2,0)</f>
        <v>50</v>
      </c>
      <c r="L498" s="212">
        <f t="shared" si="91"/>
        <v>100000</v>
      </c>
      <c r="M498" s="211">
        <f>VLOOKUP(H498,名称!A:E,3,0)</f>
        <v>2</v>
      </c>
      <c r="N498" s="212">
        <f t="shared" si="96"/>
        <v>1000</v>
      </c>
      <c r="O498" s="208">
        <v>46183</v>
      </c>
      <c r="P498" s="256">
        <v>46202</v>
      </c>
      <c r="Q498" s="256">
        <v>46202</v>
      </c>
      <c r="R498" s="267" t="s">
        <v>1241</v>
      </c>
      <c r="S498" s="256">
        <v>46204</v>
      </c>
      <c r="T498" s="267" t="s">
        <v>1241</v>
      </c>
      <c r="U498" s="211"/>
      <c r="V498" s="211"/>
      <c r="W498" s="208"/>
      <c r="X498" s="211" t="s">
        <v>1248</v>
      </c>
      <c r="Y498" s="211" t="s">
        <v>1228</v>
      </c>
      <c r="Z498" s="257" t="s">
        <v>1249</v>
      </c>
      <c r="AA498" s="214">
        <v>46157</v>
      </c>
      <c r="AB498" s="213">
        <v>46160</v>
      </c>
      <c r="AC498" s="257" t="s">
        <v>1133</v>
      </c>
      <c r="AD498" s="257" t="s">
        <v>1133</v>
      </c>
      <c r="AE498" s="211" t="s">
        <v>334</v>
      </c>
      <c r="AF498" s="257" t="s">
        <v>1228</v>
      </c>
      <c r="AG498" s="257" t="s">
        <v>334</v>
      </c>
      <c r="AH498" s="257" t="s">
        <v>1133</v>
      </c>
      <c r="AI498" s="257" t="s">
        <v>1228</v>
      </c>
      <c r="AJ498" s="257" t="s">
        <v>1133</v>
      </c>
      <c r="AK498" s="211" t="s">
        <v>1356</v>
      </c>
      <c r="AL498" s="267" t="s">
        <v>1228</v>
      </c>
      <c r="AM498" s="257" t="s">
        <v>1847</v>
      </c>
      <c r="AN498" s="212" t="s">
        <v>1251</v>
      </c>
      <c r="AO498" s="215">
        <v>9.12</v>
      </c>
      <c r="AP498" s="216">
        <f t="shared" si="85"/>
        <v>18240</v>
      </c>
      <c r="AQ498" s="216">
        <f t="shared" si="86"/>
        <v>141360</v>
      </c>
      <c r="AR498" s="269">
        <v>61411</v>
      </c>
      <c r="AS498" s="255">
        <v>46218</v>
      </c>
      <c r="AT498" s="208" t="s">
        <v>1220</v>
      </c>
      <c r="AU498" s="253"/>
      <c r="AV498" s="252">
        <f t="shared" si="95"/>
        <v>-2000</v>
      </c>
      <c r="AW498" s="252"/>
      <c r="AX498" s="256"/>
      <c r="AY498" s="208"/>
      <c r="AZ498" s="208"/>
      <c r="BA498" s="208"/>
      <c r="BB498" s="208" t="str">
        <f t="shared" si="93"/>
        <v>Proxy (Far East) Limited</v>
      </c>
      <c r="BC498" s="208" t="str">
        <f t="shared" si="88"/>
        <v>丹麦</v>
      </c>
    </row>
    <row r="499" s="194" customFormat="1" customHeight="1" spans="1:55">
      <c r="A499" s="208">
        <v>46114</v>
      </c>
      <c r="B499" s="208" t="str">
        <f ca="1" t="shared" si="90"/>
        <v/>
      </c>
      <c r="C499" s="211" t="str">
        <f>VLOOKUP(H499,名称!A:E,4,0)</f>
        <v>三代</v>
      </c>
      <c r="D499" s="210" t="s">
        <v>1459</v>
      </c>
      <c r="E499" s="210" t="s">
        <v>1835</v>
      </c>
      <c r="F499" s="211" t="s">
        <v>613</v>
      </c>
      <c r="G499" s="211" t="s">
        <v>614</v>
      </c>
      <c r="H499" s="211" t="s">
        <v>84</v>
      </c>
      <c r="I499" s="211"/>
      <c r="J499" s="212">
        <v>18018</v>
      </c>
      <c r="K499" s="223">
        <f>VLOOKUP(H499,名称!A:C,2,0)</f>
        <v>5</v>
      </c>
      <c r="L499" s="212">
        <f t="shared" si="91"/>
        <v>90090</v>
      </c>
      <c r="M499" s="211">
        <f>VLOOKUP(H499,名称!A:E,3,0)</f>
        <v>18</v>
      </c>
      <c r="N499" s="212">
        <f t="shared" si="96"/>
        <v>1001</v>
      </c>
      <c r="O499" s="208">
        <v>46183</v>
      </c>
      <c r="P499" s="256">
        <v>46202</v>
      </c>
      <c r="Q499" s="256">
        <v>46202</v>
      </c>
      <c r="R499" s="241" t="s">
        <v>1425</v>
      </c>
      <c r="S499" s="256">
        <v>46204</v>
      </c>
      <c r="T499" s="267" t="s">
        <v>1241</v>
      </c>
      <c r="U499" s="211"/>
      <c r="V499" s="211" t="s">
        <v>1848</v>
      </c>
      <c r="W499" s="208"/>
      <c r="X499" s="211" t="s">
        <v>1133</v>
      </c>
      <c r="Y499" s="211" t="s">
        <v>1133</v>
      </c>
      <c r="Z499" s="257" t="s">
        <v>1249</v>
      </c>
      <c r="AA499" s="214">
        <v>46157</v>
      </c>
      <c r="AB499" s="213">
        <v>46160</v>
      </c>
      <c r="AC499" s="257" t="s">
        <v>1133</v>
      </c>
      <c r="AD499" s="257" t="s">
        <v>1133</v>
      </c>
      <c r="AE499" s="211" t="s">
        <v>334</v>
      </c>
      <c r="AF499" s="211" t="s">
        <v>1228</v>
      </c>
      <c r="AG499" s="211" t="s">
        <v>334</v>
      </c>
      <c r="AH499" s="211" t="s">
        <v>1133</v>
      </c>
      <c r="AI499" s="212" t="s">
        <v>1228</v>
      </c>
      <c r="AJ499" s="211" t="s">
        <v>1133</v>
      </c>
      <c r="AK499" s="211" t="s">
        <v>1464</v>
      </c>
      <c r="AL499" s="241" t="s">
        <v>1228</v>
      </c>
      <c r="AM499" s="257" t="s">
        <v>1849</v>
      </c>
      <c r="AN499" s="212"/>
      <c r="AO499" s="215">
        <v>0.88</v>
      </c>
      <c r="AP499" s="216">
        <f t="shared" si="85"/>
        <v>15855.84</v>
      </c>
      <c r="AQ499" s="216">
        <f t="shared" si="86"/>
        <v>122882.76</v>
      </c>
      <c r="AR499" s="269">
        <v>61411</v>
      </c>
      <c r="AS499" s="255">
        <v>46218</v>
      </c>
      <c r="AT499" s="208" t="s">
        <v>1310</v>
      </c>
      <c r="AU499" s="253"/>
      <c r="AV499" s="252">
        <f t="shared" si="95"/>
        <v>-18018</v>
      </c>
      <c r="AW499" s="252"/>
      <c r="AX499" s="256"/>
      <c r="AY499" s="208"/>
      <c r="AZ499" s="208"/>
      <c r="BA499" s="208"/>
      <c r="BB499" s="208" t="str">
        <f t="shared" si="93"/>
        <v>Proxy (Far East) Limited</v>
      </c>
      <c r="BC499" s="208" t="str">
        <f t="shared" si="88"/>
        <v>丹麦</v>
      </c>
    </row>
    <row r="500" s="194" customFormat="1" customHeight="1" spans="1:55">
      <c r="A500" s="208">
        <v>46114</v>
      </c>
      <c r="B500" s="208" t="str">
        <f ca="1" t="shared" si="90"/>
        <v/>
      </c>
      <c r="C500" s="211" t="str">
        <f>VLOOKUP(H500,名称!A:E,4,0)</f>
        <v>三代</v>
      </c>
      <c r="D500" s="210" t="s">
        <v>1459</v>
      </c>
      <c r="E500" s="210" t="s">
        <v>1835</v>
      </c>
      <c r="F500" s="211" t="s">
        <v>613</v>
      </c>
      <c r="G500" s="211" t="s">
        <v>614</v>
      </c>
      <c r="H500" s="211" t="s">
        <v>119</v>
      </c>
      <c r="I500" s="211"/>
      <c r="J500" s="212">
        <v>10008</v>
      </c>
      <c r="K500" s="223">
        <f>VLOOKUP(H500,名称!A:C,2,0)</f>
        <v>5</v>
      </c>
      <c r="L500" s="212">
        <f t="shared" si="91"/>
        <v>50040</v>
      </c>
      <c r="M500" s="211">
        <f>VLOOKUP(H500,名称!A:E,3,0)</f>
        <v>24</v>
      </c>
      <c r="N500" s="212">
        <f t="shared" si="96"/>
        <v>417</v>
      </c>
      <c r="O500" s="208">
        <v>46183</v>
      </c>
      <c r="P500" s="256">
        <v>46202</v>
      </c>
      <c r="Q500" s="256">
        <v>46203</v>
      </c>
      <c r="R500" s="241" t="s">
        <v>1241</v>
      </c>
      <c r="S500" s="256">
        <v>46204</v>
      </c>
      <c r="T500" s="241" t="s">
        <v>1241</v>
      </c>
      <c r="U500" s="211"/>
      <c r="V500" s="211" t="s">
        <v>1848</v>
      </c>
      <c r="W500" s="208"/>
      <c r="X500" s="211" t="s">
        <v>1133</v>
      </c>
      <c r="Y500" s="211" t="s">
        <v>1133</v>
      </c>
      <c r="Z500" s="257" t="s">
        <v>1249</v>
      </c>
      <c r="AA500" s="214">
        <v>46157</v>
      </c>
      <c r="AB500" s="213">
        <v>46160</v>
      </c>
      <c r="AC500" s="257" t="s">
        <v>1133</v>
      </c>
      <c r="AD500" s="257" t="s">
        <v>1133</v>
      </c>
      <c r="AE500" s="211" t="s">
        <v>334</v>
      </c>
      <c r="AF500" s="257" t="s">
        <v>1228</v>
      </c>
      <c r="AG500" s="257" t="s">
        <v>334</v>
      </c>
      <c r="AH500" s="257" t="s">
        <v>1133</v>
      </c>
      <c r="AI500" s="257" t="s">
        <v>1228</v>
      </c>
      <c r="AJ500" s="257" t="s">
        <v>1133</v>
      </c>
      <c r="AK500" s="211" t="s">
        <v>1464</v>
      </c>
      <c r="AL500" s="267" t="s">
        <v>1228</v>
      </c>
      <c r="AM500" s="257" t="s">
        <v>1850</v>
      </c>
      <c r="AN500" s="212"/>
      <c r="AO500" s="215">
        <v>0.61</v>
      </c>
      <c r="AP500" s="216">
        <f t="shared" si="85"/>
        <v>6104.88</v>
      </c>
      <c r="AQ500" s="216">
        <f t="shared" si="86"/>
        <v>47312.82</v>
      </c>
      <c r="AR500" s="269">
        <v>61411</v>
      </c>
      <c r="AS500" s="255">
        <v>46218</v>
      </c>
      <c r="AT500" s="208" t="s">
        <v>1220</v>
      </c>
      <c r="AU500" s="253">
        <f>9984+24</f>
        <v>10008</v>
      </c>
      <c r="AV500" s="252">
        <f t="shared" si="95"/>
        <v>0</v>
      </c>
      <c r="AW500" s="252"/>
      <c r="AX500" s="256" t="s">
        <v>1280</v>
      </c>
      <c r="AY500" s="208"/>
      <c r="AZ500" s="208"/>
      <c r="BA500" s="208"/>
      <c r="BB500" s="273" t="str">
        <f t="shared" si="93"/>
        <v>Proxy (Far East) Limited</v>
      </c>
      <c r="BC500" s="273" t="str">
        <f t="shared" si="88"/>
        <v>丹麦</v>
      </c>
    </row>
    <row r="501" s="194" customFormat="1" customHeight="1" spans="1:55">
      <c r="A501" s="208">
        <v>46114</v>
      </c>
      <c r="B501" s="208" t="str">
        <f ca="1" t="shared" si="90"/>
        <v/>
      </c>
      <c r="C501" s="211" t="str">
        <f>VLOOKUP(H501,名称!A:E,4,0)</f>
        <v>三代</v>
      </c>
      <c r="D501" s="210" t="s">
        <v>1459</v>
      </c>
      <c r="E501" s="210" t="s">
        <v>1835</v>
      </c>
      <c r="F501" s="211" t="s">
        <v>613</v>
      </c>
      <c r="G501" s="211" t="s">
        <v>614</v>
      </c>
      <c r="H501" s="211" t="s">
        <v>88</v>
      </c>
      <c r="I501" s="211"/>
      <c r="J501" s="212">
        <v>14016</v>
      </c>
      <c r="K501" s="223">
        <f>VLOOKUP(H501,名称!A:C,2,0)</f>
        <v>5</v>
      </c>
      <c r="L501" s="212">
        <f t="shared" si="91"/>
        <v>70080</v>
      </c>
      <c r="M501" s="211">
        <f>VLOOKUP(H501,名称!A:E,3,0)</f>
        <v>24</v>
      </c>
      <c r="N501" s="212">
        <f t="shared" si="96"/>
        <v>584</v>
      </c>
      <c r="O501" s="208">
        <v>46183</v>
      </c>
      <c r="P501" s="256">
        <v>46202</v>
      </c>
      <c r="Q501" s="256">
        <v>46204</v>
      </c>
      <c r="R501" s="241" t="s">
        <v>1425</v>
      </c>
      <c r="S501" s="256">
        <v>46204</v>
      </c>
      <c r="T501" s="241" t="s">
        <v>1241</v>
      </c>
      <c r="U501" s="211"/>
      <c r="V501" s="211" t="s">
        <v>1848</v>
      </c>
      <c r="W501" s="208"/>
      <c r="X501" s="211" t="s">
        <v>1133</v>
      </c>
      <c r="Y501" s="211" t="s">
        <v>1133</v>
      </c>
      <c r="Z501" s="257" t="s">
        <v>1249</v>
      </c>
      <c r="AA501" s="214">
        <v>46157</v>
      </c>
      <c r="AB501" s="213">
        <v>46160</v>
      </c>
      <c r="AC501" s="257" t="s">
        <v>1133</v>
      </c>
      <c r="AD501" s="257" t="s">
        <v>1133</v>
      </c>
      <c r="AE501" s="211" t="s">
        <v>334</v>
      </c>
      <c r="AF501" s="211" t="s">
        <v>1228</v>
      </c>
      <c r="AG501" s="211" t="s">
        <v>334</v>
      </c>
      <c r="AH501" s="211" t="s">
        <v>1133</v>
      </c>
      <c r="AI501" s="211" t="s">
        <v>1228</v>
      </c>
      <c r="AJ501" s="211" t="s">
        <v>1133</v>
      </c>
      <c r="AK501" s="211" t="s">
        <v>1464</v>
      </c>
      <c r="AL501" s="241" t="s">
        <v>1228</v>
      </c>
      <c r="AM501" s="257" t="s">
        <v>1851</v>
      </c>
      <c r="AN501" s="212"/>
      <c r="AO501" s="215">
        <v>0.8</v>
      </c>
      <c r="AP501" s="216">
        <f t="shared" si="85"/>
        <v>11212.8</v>
      </c>
      <c r="AQ501" s="216">
        <f t="shared" si="86"/>
        <v>86899.2</v>
      </c>
      <c r="AR501" s="269">
        <v>61411</v>
      </c>
      <c r="AS501" s="255">
        <v>46218</v>
      </c>
      <c r="AT501" s="208" t="s">
        <v>1310</v>
      </c>
      <c r="AU501" s="253"/>
      <c r="AV501" s="252">
        <f t="shared" si="95"/>
        <v>-14016</v>
      </c>
      <c r="AW501" s="252"/>
      <c r="AX501" s="256"/>
      <c r="AY501" s="208"/>
      <c r="AZ501" s="208"/>
      <c r="BA501" s="208"/>
      <c r="BB501" s="208" t="str">
        <f t="shared" si="93"/>
        <v>Proxy (Far East) Limited</v>
      </c>
      <c r="BC501" s="208" t="str">
        <f t="shared" si="88"/>
        <v>丹麦</v>
      </c>
    </row>
    <row r="502" s="194" customFormat="1" customHeight="1" spans="1:55">
      <c r="A502" s="208">
        <v>46114</v>
      </c>
      <c r="B502" s="208" t="str">
        <f ca="1" t="shared" si="90"/>
        <v/>
      </c>
      <c r="C502" s="211" t="str">
        <f>VLOOKUP(H502,名称!A:E,4,0)</f>
        <v>三代</v>
      </c>
      <c r="D502" s="210" t="s">
        <v>1459</v>
      </c>
      <c r="E502" s="210" t="s">
        <v>1835</v>
      </c>
      <c r="F502" s="211" t="s">
        <v>613</v>
      </c>
      <c r="G502" s="211" t="s">
        <v>614</v>
      </c>
      <c r="H502" s="211" t="s">
        <v>89</v>
      </c>
      <c r="I502" s="211"/>
      <c r="J502" s="212">
        <v>5004</v>
      </c>
      <c r="K502" s="223">
        <f>VLOOKUP(H502,名称!A:C,2,0)</f>
        <v>12</v>
      </c>
      <c r="L502" s="212">
        <f t="shared" si="91"/>
        <v>60048</v>
      </c>
      <c r="M502" s="211">
        <f>VLOOKUP(H502,名称!A:E,3,0)</f>
        <v>6</v>
      </c>
      <c r="N502" s="212">
        <f t="shared" si="96"/>
        <v>834</v>
      </c>
      <c r="O502" s="208">
        <v>46183</v>
      </c>
      <c r="P502" s="256">
        <v>46202</v>
      </c>
      <c r="Q502" s="256">
        <v>46206</v>
      </c>
      <c r="R502" s="241" t="s">
        <v>1241</v>
      </c>
      <c r="S502" s="256">
        <v>46206</v>
      </c>
      <c r="T502" s="241" t="s">
        <v>1241</v>
      </c>
      <c r="U502" s="211"/>
      <c r="V502" s="211" t="s">
        <v>1396</v>
      </c>
      <c r="W502" s="208"/>
      <c r="X502" s="211" t="s">
        <v>1133</v>
      </c>
      <c r="Y502" s="211" t="s">
        <v>1133</v>
      </c>
      <c r="Z502" s="257" t="s">
        <v>1249</v>
      </c>
      <c r="AA502" s="214">
        <v>46157</v>
      </c>
      <c r="AB502" s="213">
        <v>46160</v>
      </c>
      <c r="AC502" s="257" t="s">
        <v>1318</v>
      </c>
      <c r="AD502" s="257" t="s">
        <v>1228</v>
      </c>
      <c r="AE502" s="211" t="s">
        <v>334</v>
      </c>
      <c r="AF502" s="257" t="s">
        <v>1228</v>
      </c>
      <c r="AG502" s="257" t="s">
        <v>1464</v>
      </c>
      <c r="AH502" s="257" t="s">
        <v>1464</v>
      </c>
      <c r="AI502" s="257" t="s">
        <v>1228</v>
      </c>
      <c r="AJ502" s="257" t="s">
        <v>1422</v>
      </c>
      <c r="AK502" s="211" t="s">
        <v>1133</v>
      </c>
      <c r="AL502" s="267" t="s">
        <v>1228</v>
      </c>
      <c r="AM502" s="257" t="s">
        <v>1700</v>
      </c>
      <c r="AN502" s="212"/>
      <c r="AO502" s="215">
        <v>1.83</v>
      </c>
      <c r="AP502" s="216">
        <f t="shared" si="85"/>
        <v>9157.32</v>
      </c>
      <c r="AQ502" s="216">
        <f t="shared" si="86"/>
        <v>70969.23</v>
      </c>
      <c r="AR502" s="269">
        <v>61411</v>
      </c>
      <c r="AS502" s="255">
        <v>46218</v>
      </c>
      <c r="AT502" s="208" t="s">
        <v>1310</v>
      </c>
      <c r="AU502" s="253"/>
      <c r="AV502" s="252">
        <f t="shared" si="95"/>
        <v>-5004</v>
      </c>
      <c r="AW502" s="252"/>
      <c r="AX502" s="256"/>
      <c r="AY502" s="208"/>
      <c r="AZ502" s="208"/>
      <c r="BA502" s="208"/>
      <c r="BB502" s="208" t="str">
        <f t="shared" si="93"/>
        <v>Proxy (Far East) Limited</v>
      </c>
      <c r="BC502" s="208" t="str">
        <f t="shared" si="88"/>
        <v>丹麦</v>
      </c>
    </row>
    <row r="503" s="194" customFormat="1" customHeight="1" spans="1:55">
      <c r="A503" s="208">
        <v>46114</v>
      </c>
      <c r="B503" s="208" t="str">
        <f ca="1" t="shared" si="90"/>
        <v/>
      </c>
      <c r="C503" s="211" t="str">
        <f>VLOOKUP(H503,名称!A:E,4,0)</f>
        <v>三代</v>
      </c>
      <c r="D503" s="210" t="s">
        <v>1459</v>
      </c>
      <c r="E503" s="210" t="s">
        <v>1835</v>
      </c>
      <c r="F503" s="211" t="s">
        <v>613</v>
      </c>
      <c r="G503" s="211" t="s">
        <v>614</v>
      </c>
      <c r="H503" s="211" t="s">
        <v>122</v>
      </c>
      <c r="I503" s="211"/>
      <c r="J503" s="212">
        <v>5004</v>
      </c>
      <c r="K503" s="223">
        <f>VLOOKUP(H503,名称!A:C,2,0)</f>
        <v>12</v>
      </c>
      <c r="L503" s="212">
        <f t="shared" si="91"/>
        <v>60048</v>
      </c>
      <c r="M503" s="211">
        <f>VLOOKUP(H503,名称!A:E,3,0)</f>
        <v>12</v>
      </c>
      <c r="N503" s="212">
        <f t="shared" si="96"/>
        <v>417</v>
      </c>
      <c r="O503" s="208">
        <v>46183</v>
      </c>
      <c r="P503" s="256">
        <v>46202</v>
      </c>
      <c r="Q503" s="256">
        <v>46204</v>
      </c>
      <c r="R503" s="241" t="s">
        <v>1241</v>
      </c>
      <c r="S503" s="256">
        <v>46204</v>
      </c>
      <c r="T503" s="241" t="s">
        <v>1241</v>
      </c>
      <c r="U503" s="211"/>
      <c r="V503" s="211" t="s">
        <v>1396</v>
      </c>
      <c r="W503" s="208"/>
      <c r="X503" s="211" t="s">
        <v>1133</v>
      </c>
      <c r="Y503" s="211" t="s">
        <v>1133</v>
      </c>
      <c r="Z503" s="257" t="s">
        <v>1249</v>
      </c>
      <c r="AA503" s="214">
        <v>46157</v>
      </c>
      <c r="AB503" s="213">
        <v>46160</v>
      </c>
      <c r="AC503" s="257" t="s">
        <v>1302</v>
      </c>
      <c r="AD503" s="257" t="s">
        <v>1228</v>
      </c>
      <c r="AE503" s="211" t="s">
        <v>334</v>
      </c>
      <c r="AF503" s="257" t="s">
        <v>1228</v>
      </c>
      <c r="AG503" s="257" t="s">
        <v>1852</v>
      </c>
      <c r="AH503" s="257" t="s">
        <v>1464</v>
      </c>
      <c r="AI503" s="257" t="s">
        <v>1228</v>
      </c>
      <c r="AJ503" s="257" t="s">
        <v>1133</v>
      </c>
      <c r="AK503" s="211" t="s">
        <v>1133</v>
      </c>
      <c r="AL503" s="267" t="s">
        <v>1228</v>
      </c>
      <c r="AM503" s="257" t="s">
        <v>1853</v>
      </c>
      <c r="AN503" s="212"/>
      <c r="AO503" s="215">
        <v>1.52</v>
      </c>
      <c r="AP503" s="216">
        <f t="shared" si="85"/>
        <v>7606.08</v>
      </c>
      <c r="AQ503" s="216">
        <f t="shared" si="86"/>
        <v>58947.12</v>
      </c>
      <c r="AR503" s="269">
        <v>61411</v>
      </c>
      <c r="AS503" s="255">
        <v>46218</v>
      </c>
      <c r="AT503" s="208" t="s">
        <v>1220</v>
      </c>
      <c r="AU503" s="253"/>
      <c r="AV503" s="252">
        <f t="shared" si="95"/>
        <v>-5004</v>
      </c>
      <c r="AW503" s="252"/>
      <c r="AX503" s="256"/>
      <c r="AY503" s="208"/>
      <c r="AZ503" s="208"/>
      <c r="BA503" s="208"/>
      <c r="BB503" s="208" t="str">
        <f t="shared" si="93"/>
        <v>Proxy (Far East) Limited</v>
      </c>
      <c r="BC503" s="208" t="str">
        <f t="shared" si="88"/>
        <v>丹麦</v>
      </c>
    </row>
    <row r="504" s="194" customFormat="1" customHeight="1" spans="1:55">
      <c r="A504" s="208">
        <v>46114</v>
      </c>
      <c r="B504" s="208" t="str">
        <f ca="1" t="shared" si="90"/>
        <v/>
      </c>
      <c r="C504" s="211" t="str">
        <f>VLOOKUP(H504,名称!A:E,4,0)</f>
        <v>三代</v>
      </c>
      <c r="D504" s="210" t="s">
        <v>1459</v>
      </c>
      <c r="E504" s="210" t="s">
        <v>1835</v>
      </c>
      <c r="F504" s="211" t="s">
        <v>613</v>
      </c>
      <c r="G504" s="211" t="s">
        <v>614</v>
      </c>
      <c r="H504" s="211" t="s">
        <v>97</v>
      </c>
      <c r="I504" s="211"/>
      <c r="J504" s="212">
        <v>2016</v>
      </c>
      <c r="K504" s="223">
        <f>VLOOKUP(H504,名称!A:C,2,0)</f>
        <v>5</v>
      </c>
      <c r="L504" s="212">
        <f t="shared" si="91"/>
        <v>10080</v>
      </c>
      <c r="M504" s="211">
        <f>VLOOKUP(H504,名称!A:E,3,0)</f>
        <v>24</v>
      </c>
      <c r="N504" s="212">
        <f t="shared" si="96"/>
        <v>84</v>
      </c>
      <c r="O504" s="208">
        <v>46183</v>
      </c>
      <c r="P504" s="256">
        <v>46202</v>
      </c>
      <c r="Q504" s="256">
        <v>46202</v>
      </c>
      <c r="R504" s="241" t="s">
        <v>1241</v>
      </c>
      <c r="S504" s="256">
        <v>46204</v>
      </c>
      <c r="T504" s="241" t="s">
        <v>1241</v>
      </c>
      <c r="U504" s="211"/>
      <c r="V504" s="211" t="s">
        <v>1396</v>
      </c>
      <c r="W504" s="208"/>
      <c r="X504" s="211" t="s">
        <v>1248</v>
      </c>
      <c r="Y504" s="211" t="s">
        <v>1228</v>
      </c>
      <c r="Z504" s="257" t="s">
        <v>1249</v>
      </c>
      <c r="AA504" s="214">
        <v>46157</v>
      </c>
      <c r="AB504" s="213">
        <v>46160</v>
      </c>
      <c r="AC504" s="257" t="s">
        <v>1133</v>
      </c>
      <c r="AD504" s="257" t="s">
        <v>1133</v>
      </c>
      <c r="AE504" s="211" t="s">
        <v>510</v>
      </c>
      <c r="AF504" s="257" t="s">
        <v>1228</v>
      </c>
      <c r="AG504" s="257" t="s">
        <v>1464</v>
      </c>
      <c r="AH504" s="257" t="s">
        <v>1133</v>
      </c>
      <c r="AI504" s="257" t="s">
        <v>1228</v>
      </c>
      <c r="AJ504" s="257" t="s">
        <v>1133</v>
      </c>
      <c r="AK504" s="211" t="s">
        <v>510</v>
      </c>
      <c r="AL504" s="257" t="s">
        <v>1233</v>
      </c>
      <c r="AM504" s="257" t="s">
        <v>1854</v>
      </c>
      <c r="AN504" s="212" t="s">
        <v>1251</v>
      </c>
      <c r="AO504" s="215">
        <v>0.62</v>
      </c>
      <c r="AP504" s="216">
        <f t="shared" si="85"/>
        <v>1249.92</v>
      </c>
      <c r="AQ504" s="216">
        <f t="shared" si="86"/>
        <v>9686.88</v>
      </c>
      <c r="AR504" s="269">
        <v>61411</v>
      </c>
      <c r="AS504" s="255">
        <v>46218</v>
      </c>
      <c r="AT504" s="208" t="s">
        <v>1310</v>
      </c>
      <c r="AU504" s="253">
        <v>2016</v>
      </c>
      <c r="AV504" s="252">
        <f t="shared" si="95"/>
        <v>0</v>
      </c>
      <c r="AW504" s="252"/>
      <c r="AX504" s="256"/>
      <c r="AY504" s="208"/>
      <c r="AZ504" s="208"/>
      <c r="BA504" s="208"/>
      <c r="BB504" s="208" t="str">
        <f t="shared" si="93"/>
        <v>Proxy (Far East) Limited</v>
      </c>
      <c r="BC504" s="208" t="str">
        <f t="shared" si="88"/>
        <v>丹麦</v>
      </c>
    </row>
    <row r="505" s="194" customFormat="1" customHeight="1" spans="1:55">
      <c r="A505" s="208">
        <v>46114</v>
      </c>
      <c r="B505" s="208" t="str">
        <f ca="1" t="shared" si="90"/>
        <v/>
      </c>
      <c r="C505" s="211" t="str">
        <f>VLOOKUP(H505,名称!A:E,4,0)</f>
        <v>三代</v>
      </c>
      <c r="D505" s="210" t="s">
        <v>1459</v>
      </c>
      <c r="E505" s="210" t="s">
        <v>1835</v>
      </c>
      <c r="F505" s="211" t="s">
        <v>613</v>
      </c>
      <c r="G505" s="211" t="s">
        <v>614</v>
      </c>
      <c r="H505" s="211" t="s">
        <v>98</v>
      </c>
      <c r="I505" s="211"/>
      <c r="J505" s="212">
        <v>1008</v>
      </c>
      <c r="K505" s="223">
        <f>VLOOKUP(H505,名称!A:C,2,0)</f>
        <v>12</v>
      </c>
      <c r="L505" s="212">
        <f t="shared" si="91"/>
        <v>12096</v>
      </c>
      <c r="M505" s="211">
        <f>VLOOKUP(H505,名称!A:E,3,0)</f>
        <v>12</v>
      </c>
      <c r="N505" s="212">
        <f t="shared" si="96"/>
        <v>84</v>
      </c>
      <c r="O505" s="208">
        <v>46183</v>
      </c>
      <c r="P505" s="256">
        <v>46202</v>
      </c>
      <c r="Q505" s="256">
        <v>46202</v>
      </c>
      <c r="R505" s="241" t="s">
        <v>1241</v>
      </c>
      <c r="S505" s="256">
        <v>46206</v>
      </c>
      <c r="T505" s="241" t="s">
        <v>1282</v>
      </c>
      <c r="U505" s="211"/>
      <c r="V505" s="211"/>
      <c r="W505" s="208"/>
      <c r="X505" s="211" t="s">
        <v>1248</v>
      </c>
      <c r="Y505" s="211" t="s">
        <v>1228</v>
      </c>
      <c r="Z505" s="257" t="s">
        <v>1249</v>
      </c>
      <c r="AA505" s="214">
        <v>46157</v>
      </c>
      <c r="AB505" s="213">
        <v>46160</v>
      </c>
      <c r="AC505" s="257" t="s">
        <v>1302</v>
      </c>
      <c r="AD505" s="257" t="s">
        <v>1228</v>
      </c>
      <c r="AE505" s="211" t="s">
        <v>510</v>
      </c>
      <c r="AF505" s="257" t="s">
        <v>1228</v>
      </c>
      <c r="AG505" s="257" t="s">
        <v>510</v>
      </c>
      <c r="AH505" s="257" t="s">
        <v>1307</v>
      </c>
      <c r="AI505" s="257" t="s">
        <v>1228</v>
      </c>
      <c r="AJ505" s="257" t="s">
        <v>1133</v>
      </c>
      <c r="AK505" s="211" t="s">
        <v>1133</v>
      </c>
      <c r="AL505" s="257" t="s">
        <v>1233</v>
      </c>
      <c r="AM505" s="257" t="s">
        <v>1855</v>
      </c>
      <c r="AN505" s="212" t="s">
        <v>1251</v>
      </c>
      <c r="AO505" s="215">
        <v>1.58</v>
      </c>
      <c r="AP505" s="216">
        <f t="shared" si="85"/>
        <v>1592.64</v>
      </c>
      <c r="AQ505" s="216">
        <f t="shared" si="86"/>
        <v>12342.96</v>
      </c>
      <c r="AR505" s="269">
        <v>61411</v>
      </c>
      <c r="AS505" s="255">
        <v>46218</v>
      </c>
      <c r="AT505" s="208" t="s">
        <v>1310</v>
      </c>
      <c r="AU505" s="253">
        <v>1008</v>
      </c>
      <c r="AV505" s="252">
        <f t="shared" si="95"/>
        <v>0</v>
      </c>
      <c r="AW505" s="252"/>
      <c r="AX505" s="256"/>
      <c r="AY505" s="208"/>
      <c r="AZ505" s="208"/>
      <c r="BA505" s="208"/>
      <c r="BB505" s="208" t="str">
        <f t="shared" si="93"/>
        <v>Proxy (Far East) Limited</v>
      </c>
      <c r="BC505" s="208" t="str">
        <f t="shared" si="88"/>
        <v>丹麦</v>
      </c>
    </row>
    <row r="506" s="195" customFormat="1" customHeight="1" spans="1:55">
      <c r="A506" s="208">
        <v>46114</v>
      </c>
      <c r="B506" s="208" t="str">
        <f ca="1" t="shared" si="90"/>
        <v/>
      </c>
      <c r="C506" s="211" t="str">
        <f>VLOOKUP(H506,名称!A:E,4,0)</f>
        <v>三代</v>
      </c>
      <c r="D506" s="210" t="s">
        <v>1459</v>
      </c>
      <c r="E506" s="210" t="s">
        <v>1835</v>
      </c>
      <c r="F506" s="211" t="s">
        <v>615</v>
      </c>
      <c r="G506" s="211" t="s">
        <v>616</v>
      </c>
      <c r="H506" s="211" t="s">
        <v>71</v>
      </c>
      <c r="I506" s="211"/>
      <c r="J506" s="212">
        <v>2500</v>
      </c>
      <c r="K506" s="223">
        <f>VLOOKUP(H506,名称!A:C,2,0)</f>
        <v>50</v>
      </c>
      <c r="L506" s="212">
        <f t="shared" si="91"/>
        <v>125000</v>
      </c>
      <c r="M506" s="211">
        <f>VLOOKUP(H506,名称!A:E,3,0)</f>
        <v>4</v>
      </c>
      <c r="N506" s="212">
        <f t="shared" si="96"/>
        <v>625</v>
      </c>
      <c r="O506" s="208">
        <v>46183</v>
      </c>
      <c r="P506" s="256">
        <v>46202</v>
      </c>
      <c r="Q506" s="256">
        <v>46202</v>
      </c>
      <c r="R506" s="241" t="s">
        <v>1241</v>
      </c>
      <c r="S506" s="256">
        <v>46204</v>
      </c>
      <c r="T506" s="241" t="s">
        <v>1241</v>
      </c>
      <c r="U506" s="211"/>
      <c r="V506" s="211"/>
      <c r="W506" s="208"/>
      <c r="X506" s="211" t="s">
        <v>1248</v>
      </c>
      <c r="Y506" s="213">
        <v>46162</v>
      </c>
      <c r="Z506" s="257" t="s">
        <v>1249</v>
      </c>
      <c r="AA506" s="214">
        <v>46157</v>
      </c>
      <c r="AB506" s="213">
        <v>46160</v>
      </c>
      <c r="AC506" s="257" t="s">
        <v>1308</v>
      </c>
      <c r="AD506" s="257" t="s">
        <v>1228</v>
      </c>
      <c r="AE506" s="211" t="s">
        <v>334</v>
      </c>
      <c r="AF506" s="257" t="s">
        <v>1228</v>
      </c>
      <c r="AG506" s="257" t="s">
        <v>334</v>
      </c>
      <c r="AH506" s="257" t="s">
        <v>1692</v>
      </c>
      <c r="AI506" s="257" t="s">
        <v>1228</v>
      </c>
      <c r="AJ506" s="257" t="s">
        <v>1422</v>
      </c>
      <c r="AK506" s="211" t="s">
        <v>1133</v>
      </c>
      <c r="AL506" s="267" t="s">
        <v>1228</v>
      </c>
      <c r="AM506" s="257" t="s">
        <v>1856</v>
      </c>
      <c r="AN506" s="212" t="s">
        <v>1251</v>
      </c>
      <c r="AO506" s="215">
        <v>6.87</v>
      </c>
      <c r="AP506" s="216">
        <f t="shared" si="85"/>
        <v>17175</v>
      </c>
      <c r="AQ506" s="216">
        <f t="shared" si="86"/>
        <v>133106.25</v>
      </c>
      <c r="AR506" s="224" t="s">
        <v>1857</v>
      </c>
      <c r="AS506" s="283">
        <v>46218</v>
      </c>
      <c r="AT506" s="208" t="s">
        <v>1220</v>
      </c>
      <c r="AU506" s="253"/>
      <c r="AV506" s="252">
        <f t="shared" si="95"/>
        <v>-2500</v>
      </c>
      <c r="AW506" s="222" t="s">
        <v>1228</v>
      </c>
      <c r="AX506" s="256"/>
      <c r="AY506" s="208"/>
      <c r="AZ506" s="208"/>
      <c r="BA506" s="208"/>
      <c r="BB506" s="208" t="str">
        <f t="shared" si="93"/>
        <v>Proxy (Far East) Limited</v>
      </c>
      <c r="BC506" s="208" t="str">
        <f t="shared" si="88"/>
        <v>丹麦</v>
      </c>
    </row>
    <row r="507" s="197" customFormat="1" customHeight="1" spans="1:55">
      <c r="A507" s="271">
        <v>46148</v>
      </c>
      <c r="B507" s="208" t="str">
        <f ca="1" t="shared" si="90"/>
        <v/>
      </c>
      <c r="C507" s="211" t="str">
        <f>VLOOKUP(H507,名称!A:E,4,0)</f>
        <v>三代</v>
      </c>
      <c r="D507" s="220" t="s">
        <v>1489</v>
      </c>
      <c r="E507" s="220" t="s">
        <v>1858</v>
      </c>
      <c r="F507" s="220" t="s">
        <v>815</v>
      </c>
      <c r="G507" s="220" t="s">
        <v>816</v>
      </c>
      <c r="H507" s="220" t="s">
        <v>179</v>
      </c>
      <c r="I507" s="220"/>
      <c r="J507" s="270">
        <v>720</v>
      </c>
      <c r="K507" s="223">
        <f>VLOOKUP(H507,名称!A:C,2,0)</f>
        <v>0</v>
      </c>
      <c r="L507" s="212">
        <f t="shared" si="91"/>
        <v>0</v>
      </c>
      <c r="M507" s="211">
        <f>VLOOKUP(H507,名称!A:E,3,0)</f>
        <v>24</v>
      </c>
      <c r="N507" s="212">
        <f t="shared" ref="N495:N558" si="97">J507/M507</f>
        <v>30</v>
      </c>
      <c r="O507" s="271">
        <v>46195</v>
      </c>
      <c r="P507" s="271">
        <f t="shared" ref="P506:P528" si="98">O507</f>
        <v>46195</v>
      </c>
      <c r="Q507" s="256">
        <v>46209</v>
      </c>
      <c r="R507" s="268" t="s">
        <v>1241</v>
      </c>
      <c r="S507" s="220" t="s">
        <v>1133</v>
      </c>
      <c r="T507" s="257"/>
      <c r="U507" s="220"/>
      <c r="V507" s="220"/>
      <c r="W507" s="220"/>
      <c r="X507" s="220" t="s">
        <v>1248</v>
      </c>
      <c r="Y507" s="213">
        <v>46182</v>
      </c>
      <c r="Z507" s="211" t="s">
        <v>1249</v>
      </c>
      <c r="AA507" s="284">
        <v>46154</v>
      </c>
      <c r="AB507" s="284">
        <v>46167</v>
      </c>
      <c r="AC507" s="257" t="s">
        <v>1133</v>
      </c>
      <c r="AD507" s="257" t="s">
        <v>1133</v>
      </c>
      <c r="AE507" s="220" t="s">
        <v>510</v>
      </c>
      <c r="AF507" s="257" t="s">
        <v>1228</v>
      </c>
      <c r="AG507" s="257" t="s">
        <v>510</v>
      </c>
      <c r="AH507" s="257" t="s">
        <v>1133</v>
      </c>
      <c r="AI507" s="257" t="s">
        <v>1228</v>
      </c>
      <c r="AJ507" s="257" t="s">
        <v>1133</v>
      </c>
      <c r="AK507" s="257" t="s">
        <v>510</v>
      </c>
      <c r="AL507" s="220"/>
      <c r="AM507" s="257" t="s">
        <v>1506</v>
      </c>
      <c r="AN507" s="220" t="s">
        <v>1251</v>
      </c>
      <c r="AO507" s="215">
        <v>0.64</v>
      </c>
      <c r="AP507" s="216">
        <f t="shared" si="85"/>
        <v>460.8</v>
      </c>
      <c r="AQ507" s="216">
        <f t="shared" si="86"/>
        <v>3571.2</v>
      </c>
      <c r="AR507" s="269">
        <v>61418</v>
      </c>
      <c r="AS507" s="255">
        <v>46220</v>
      </c>
      <c r="AT507" s="220" t="s">
        <v>1310</v>
      </c>
      <c r="AU507" s="253">
        <v>720</v>
      </c>
      <c r="AV507" s="252">
        <f t="shared" ref="AV493:AV524" si="99">AU507-J507</f>
        <v>0</v>
      </c>
      <c r="AW507" s="267" t="s">
        <v>1228</v>
      </c>
      <c r="AX507" s="257"/>
      <c r="AY507" s="220"/>
      <c r="AZ507" s="220"/>
      <c r="BA507" s="220"/>
      <c r="BB507" s="211" t="str">
        <f t="shared" ref="BB502:BB565" si="100">D507</f>
        <v>Kidland</v>
      </c>
      <c r="BC507" s="211" t="str">
        <f t="shared" ref="BC502:BC527" si="101">E507</f>
        <v>埃及</v>
      </c>
    </row>
    <row r="508" s="197" customFormat="1" customHeight="1" spans="1:55">
      <c r="A508" s="271">
        <v>46148</v>
      </c>
      <c r="B508" s="208" t="str">
        <f ca="1" t="shared" si="90"/>
        <v/>
      </c>
      <c r="C508" s="211" t="str">
        <f>VLOOKUP(H508,名称!A:E,4,0)</f>
        <v>三代</v>
      </c>
      <c r="D508" s="220" t="s">
        <v>1489</v>
      </c>
      <c r="E508" s="220" t="s">
        <v>1858</v>
      </c>
      <c r="F508" s="220" t="s">
        <v>815</v>
      </c>
      <c r="G508" s="220" t="s">
        <v>816</v>
      </c>
      <c r="H508" s="220" t="s">
        <v>109</v>
      </c>
      <c r="I508" s="220"/>
      <c r="J508" s="270">
        <v>1200</v>
      </c>
      <c r="K508" s="223">
        <f>VLOOKUP(H508,名称!A:C,2,0)</f>
        <v>0</v>
      </c>
      <c r="L508" s="212">
        <f t="shared" si="91"/>
        <v>0</v>
      </c>
      <c r="M508" s="211">
        <f>VLOOKUP(H508,名称!A:E,3,0)</f>
        <v>24</v>
      </c>
      <c r="N508" s="212">
        <f t="shared" si="97"/>
        <v>50</v>
      </c>
      <c r="O508" s="271">
        <v>46195</v>
      </c>
      <c r="P508" s="271">
        <f t="shared" si="98"/>
        <v>46195</v>
      </c>
      <c r="Q508" s="271">
        <v>46205</v>
      </c>
      <c r="R508" s="268" t="s">
        <v>1241</v>
      </c>
      <c r="S508" s="220" t="s">
        <v>1133</v>
      </c>
      <c r="T508" s="220"/>
      <c r="U508" s="220"/>
      <c r="V508" s="220"/>
      <c r="W508" s="220"/>
      <c r="X508" s="257" t="s">
        <v>1248</v>
      </c>
      <c r="Y508" s="263">
        <v>46182</v>
      </c>
      <c r="Z508" s="211" t="s">
        <v>1249</v>
      </c>
      <c r="AA508" s="284">
        <v>46154</v>
      </c>
      <c r="AB508" s="284">
        <v>46167</v>
      </c>
      <c r="AC508" s="257" t="s">
        <v>1133</v>
      </c>
      <c r="AD508" s="257" t="s">
        <v>1133</v>
      </c>
      <c r="AE508" s="220" t="s">
        <v>510</v>
      </c>
      <c r="AF508" s="257" t="s">
        <v>1228</v>
      </c>
      <c r="AG508" s="257" t="s">
        <v>510</v>
      </c>
      <c r="AH508" s="257" t="s">
        <v>1133</v>
      </c>
      <c r="AI508" s="257" t="s">
        <v>1228</v>
      </c>
      <c r="AJ508" s="257" t="s">
        <v>1133</v>
      </c>
      <c r="AK508" s="257" t="s">
        <v>510</v>
      </c>
      <c r="AL508" s="257"/>
      <c r="AM508" s="257" t="s">
        <v>1506</v>
      </c>
      <c r="AN508" s="220" t="s">
        <v>1251</v>
      </c>
      <c r="AO508" s="215">
        <v>0.64</v>
      </c>
      <c r="AP508" s="216">
        <f t="shared" ref="AP508:AP571" si="102">J508*AO508</f>
        <v>768</v>
      </c>
      <c r="AQ508" s="216">
        <f t="shared" ref="AQ508:AQ571" si="103">AP508*7.75</f>
        <v>5952</v>
      </c>
      <c r="AR508" s="269">
        <v>61418</v>
      </c>
      <c r="AS508" s="255">
        <v>46220</v>
      </c>
      <c r="AT508" s="208" t="s">
        <v>1220</v>
      </c>
      <c r="AU508" s="253"/>
      <c r="AV508" s="252">
        <f t="shared" si="99"/>
        <v>-1200</v>
      </c>
      <c r="AW508" s="268" t="s">
        <v>1228</v>
      </c>
      <c r="AX508" s="257"/>
      <c r="AY508" s="220"/>
      <c r="AZ508" s="220"/>
      <c r="BA508" s="220"/>
      <c r="BB508" s="208" t="str">
        <f t="shared" si="100"/>
        <v>Kidland</v>
      </c>
      <c r="BC508" s="208" t="str">
        <f t="shared" si="101"/>
        <v>埃及</v>
      </c>
    </row>
    <row r="509" s="197" customFormat="1" customHeight="1" spans="1:55">
      <c r="A509" s="271">
        <v>46148</v>
      </c>
      <c r="B509" s="208" t="str">
        <f ca="1" t="shared" si="90"/>
        <v/>
      </c>
      <c r="C509" s="211" t="str">
        <f>VLOOKUP(H509,名称!A:E,4,0)</f>
        <v>三代</v>
      </c>
      <c r="D509" s="220" t="s">
        <v>1489</v>
      </c>
      <c r="E509" s="220" t="s">
        <v>1858</v>
      </c>
      <c r="F509" s="220" t="s">
        <v>815</v>
      </c>
      <c r="G509" s="220" t="s">
        <v>816</v>
      </c>
      <c r="H509" s="220" t="s">
        <v>121</v>
      </c>
      <c r="I509" s="220"/>
      <c r="J509" s="270">
        <v>1080</v>
      </c>
      <c r="K509" s="223">
        <f>VLOOKUP(H509,名称!A:C,2,0)</f>
        <v>7</v>
      </c>
      <c r="L509" s="212">
        <f t="shared" si="91"/>
        <v>7560</v>
      </c>
      <c r="M509" s="211">
        <f>VLOOKUP(H509,名称!A:E,3,0)</f>
        <v>12</v>
      </c>
      <c r="N509" s="212">
        <f t="shared" si="97"/>
        <v>90</v>
      </c>
      <c r="O509" s="271">
        <v>46195</v>
      </c>
      <c r="P509" s="271">
        <f t="shared" si="98"/>
        <v>46195</v>
      </c>
      <c r="Q509" s="256">
        <v>46203</v>
      </c>
      <c r="R509" s="268" t="s">
        <v>1241</v>
      </c>
      <c r="S509" s="220" t="s">
        <v>1133</v>
      </c>
      <c r="T509" s="220"/>
      <c r="U509" s="220"/>
      <c r="V509" s="220"/>
      <c r="W509" s="220"/>
      <c r="X509" s="257" t="s">
        <v>1248</v>
      </c>
      <c r="Y509" s="263">
        <v>46182</v>
      </c>
      <c r="Z509" s="211" t="s">
        <v>1249</v>
      </c>
      <c r="AA509" s="284">
        <v>46154</v>
      </c>
      <c r="AB509" s="284">
        <v>46167</v>
      </c>
      <c r="AC509" s="257" t="s">
        <v>1284</v>
      </c>
      <c r="AD509" s="257" t="s">
        <v>1228</v>
      </c>
      <c r="AE509" s="220" t="s">
        <v>510</v>
      </c>
      <c r="AF509" s="257" t="s">
        <v>1228</v>
      </c>
      <c r="AG509" s="257" t="s">
        <v>510</v>
      </c>
      <c r="AH509" s="257" t="s">
        <v>1307</v>
      </c>
      <c r="AI509" s="257" t="s">
        <v>1228</v>
      </c>
      <c r="AJ509" s="257" t="s">
        <v>1133</v>
      </c>
      <c r="AK509" s="257" t="s">
        <v>1133</v>
      </c>
      <c r="AL509" s="257" t="s">
        <v>1228</v>
      </c>
      <c r="AM509" s="257" t="s">
        <v>1506</v>
      </c>
      <c r="AN509" s="220" t="s">
        <v>1251</v>
      </c>
      <c r="AO509" s="215">
        <v>0.8</v>
      </c>
      <c r="AP509" s="216">
        <f t="shared" si="102"/>
        <v>864</v>
      </c>
      <c r="AQ509" s="216">
        <f t="shared" si="103"/>
        <v>6696</v>
      </c>
      <c r="AR509" s="269">
        <v>61418</v>
      </c>
      <c r="AS509" s="255">
        <v>46220</v>
      </c>
      <c r="AT509" s="208" t="s">
        <v>1220</v>
      </c>
      <c r="AU509" s="253">
        <v>1080</v>
      </c>
      <c r="AV509" s="252">
        <f t="shared" si="99"/>
        <v>0</v>
      </c>
      <c r="AW509" s="268" t="s">
        <v>1228</v>
      </c>
      <c r="AX509" s="257" t="s">
        <v>1280</v>
      </c>
      <c r="AY509" s="220"/>
      <c r="AZ509" s="220"/>
      <c r="BA509" s="220"/>
      <c r="BB509" s="208" t="str">
        <f t="shared" si="100"/>
        <v>Kidland</v>
      </c>
      <c r="BC509" s="208" t="str">
        <f t="shared" si="101"/>
        <v>埃及</v>
      </c>
    </row>
    <row r="510" s="197" customFormat="1" customHeight="1" spans="1:55">
      <c r="A510" s="271">
        <v>46148</v>
      </c>
      <c r="B510" s="208" t="str">
        <f ca="1" t="shared" si="90"/>
        <v/>
      </c>
      <c r="C510" s="211" t="str">
        <f>VLOOKUP(H510,名称!A:E,4,0)</f>
        <v>三代</v>
      </c>
      <c r="D510" s="220" t="s">
        <v>1489</v>
      </c>
      <c r="E510" s="220" t="s">
        <v>1858</v>
      </c>
      <c r="F510" s="220" t="s">
        <v>815</v>
      </c>
      <c r="G510" s="220" t="s">
        <v>816</v>
      </c>
      <c r="H510" s="220" t="s">
        <v>59</v>
      </c>
      <c r="I510" s="220"/>
      <c r="J510" s="270">
        <v>960</v>
      </c>
      <c r="K510" s="223">
        <f>VLOOKUP(H510,名称!A:C,2,0)</f>
        <v>5</v>
      </c>
      <c r="L510" s="212">
        <f t="shared" si="91"/>
        <v>4800</v>
      </c>
      <c r="M510" s="211">
        <f>VLOOKUP(H510,名称!A:E,3,0)</f>
        <v>24</v>
      </c>
      <c r="N510" s="212">
        <f t="shared" si="97"/>
        <v>40</v>
      </c>
      <c r="O510" s="271">
        <v>46195</v>
      </c>
      <c r="P510" s="271">
        <f t="shared" si="98"/>
        <v>46195</v>
      </c>
      <c r="Q510" s="256">
        <v>46203</v>
      </c>
      <c r="R510" s="267" t="s">
        <v>1241</v>
      </c>
      <c r="S510" s="220" t="s">
        <v>1133</v>
      </c>
      <c r="T510" s="220"/>
      <c r="U510" s="220"/>
      <c r="V510" s="220"/>
      <c r="W510" s="220"/>
      <c r="X510" s="257" t="s">
        <v>1248</v>
      </c>
      <c r="Y510" s="263">
        <v>46182</v>
      </c>
      <c r="Z510" s="211" t="s">
        <v>1249</v>
      </c>
      <c r="AA510" s="284">
        <v>46154</v>
      </c>
      <c r="AB510" s="284">
        <v>46167</v>
      </c>
      <c r="AC510" s="257" t="s">
        <v>1133</v>
      </c>
      <c r="AD510" s="257" t="s">
        <v>1133</v>
      </c>
      <c r="AE510" s="220" t="s">
        <v>510</v>
      </c>
      <c r="AF510" s="257" t="s">
        <v>1228</v>
      </c>
      <c r="AG510" s="257" t="s">
        <v>510</v>
      </c>
      <c r="AH510" s="257" t="s">
        <v>1133</v>
      </c>
      <c r="AI510" s="257" t="s">
        <v>1228</v>
      </c>
      <c r="AJ510" s="257" t="s">
        <v>1133</v>
      </c>
      <c r="AK510" s="257" t="s">
        <v>510</v>
      </c>
      <c r="AL510" s="257"/>
      <c r="AM510" s="257" t="s">
        <v>1506</v>
      </c>
      <c r="AN510" s="220" t="s">
        <v>1251</v>
      </c>
      <c r="AO510" s="215">
        <v>0.66</v>
      </c>
      <c r="AP510" s="216">
        <f t="shared" si="102"/>
        <v>633.6</v>
      </c>
      <c r="AQ510" s="216">
        <f t="shared" si="103"/>
        <v>4910.4</v>
      </c>
      <c r="AR510" s="269">
        <v>61418</v>
      </c>
      <c r="AS510" s="255">
        <v>46220</v>
      </c>
      <c r="AT510" s="208" t="s">
        <v>1220</v>
      </c>
      <c r="AU510" s="253"/>
      <c r="AV510" s="252">
        <f t="shared" si="99"/>
        <v>-960</v>
      </c>
      <c r="AW510" s="267" t="s">
        <v>1228</v>
      </c>
      <c r="AX510" s="256" t="s">
        <v>1280</v>
      </c>
      <c r="AY510" s="220"/>
      <c r="AZ510" s="220"/>
      <c r="BA510" s="220"/>
      <c r="BB510" s="208" t="str">
        <f t="shared" si="100"/>
        <v>Kidland</v>
      </c>
      <c r="BC510" s="208" t="str">
        <f t="shared" si="101"/>
        <v>埃及</v>
      </c>
    </row>
    <row r="511" s="197" customFormat="1" customHeight="1" spans="1:55">
      <c r="A511" s="271">
        <v>46148</v>
      </c>
      <c r="B511" s="208" t="str">
        <f ca="1" t="shared" si="90"/>
        <v/>
      </c>
      <c r="C511" s="211" t="str">
        <f>VLOOKUP(H511,名称!A:E,4,0)</f>
        <v>三代</v>
      </c>
      <c r="D511" s="220" t="s">
        <v>1489</v>
      </c>
      <c r="E511" s="220" t="s">
        <v>1858</v>
      </c>
      <c r="F511" s="220" t="s">
        <v>815</v>
      </c>
      <c r="G511" s="220" t="s">
        <v>816</v>
      </c>
      <c r="H511" s="220" t="s">
        <v>61</v>
      </c>
      <c r="I511" s="220"/>
      <c r="J511" s="270">
        <v>960</v>
      </c>
      <c r="K511" s="223">
        <f>VLOOKUP(H511,名称!A:C,2,0)</f>
        <v>5</v>
      </c>
      <c r="L511" s="212">
        <f t="shared" si="91"/>
        <v>4800</v>
      </c>
      <c r="M511" s="211">
        <f>VLOOKUP(H511,名称!A:E,3,0)</f>
        <v>24</v>
      </c>
      <c r="N511" s="212">
        <f t="shared" si="97"/>
        <v>40</v>
      </c>
      <c r="O511" s="271">
        <v>46195</v>
      </c>
      <c r="P511" s="271">
        <f t="shared" si="98"/>
        <v>46195</v>
      </c>
      <c r="Q511" s="256">
        <v>46203</v>
      </c>
      <c r="R511" s="268" t="s">
        <v>1241</v>
      </c>
      <c r="S511" s="220" t="s">
        <v>1133</v>
      </c>
      <c r="T511" s="220"/>
      <c r="U511" s="220"/>
      <c r="V511" s="220"/>
      <c r="W511" s="220"/>
      <c r="X511" s="257" t="s">
        <v>1248</v>
      </c>
      <c r="Y511" s="263">
        <v>46182</v>
      </c>
      <c r="Z511" s="211" t="s">
        <v>1249</v>
      </c>
      <c r="AA511" s="284">
        <v>46154</v>
      </c>
      <c r="AB511" s="284">
        <v>46167</v>
      </c>
      <c r="AC511" s="257" t="s">
        <v>1133</v>
      </c>
      <c r="AD511" s="257" t="s">
        <v>1133</v>
      </c>
      <c r="AE511" s="220" t="s">
        <v>510</v>
      </c>
      <c r="AF511" s="257" t="s">
        <v>1228</v>
      </c>
      <c r="AG511" s="257" t="s">
        <v>510</v>
      </c>
      <c r="AH511" s="257" t="s">
        <v>1133</v>
      </c>
      <c r="AI511" s="257" t="s">
        <v>1228</v>
      </c>
      <c r="AJ511" s="257" t="s">
        <v>1133</v>
      </c>
      <c r="AK511" s="257" t="s">
        <v>510</v>
      </c>
      <c r="AL511" s="257"/>
      <c r="AM511" s="257" t="s">
        <v>1506</v>
      </c>
      <c r="AN511" s="220" t="s">
        <v>1251</v>
      </c>
      <c r="AO511" s="215">
        <v>0.65</v>
      </c>
      <c r="AP511" s="216">
        <f t="shared" si="102"/>
        <v>624</v>
      </c>
      <c r="AQ511" s="216">
        <f t="shared" si="103"/>
        <v>4836</v>
      </c>
      <c r="AR511" s="269">
        <v>61418</v>
      </c>
      <c r="AS511" s="255">
        <v>46220</v>
      </c>
      <c r="AT511" s="220" t="s">
        <v>1220</v>
      </c>
      <c r="AU511" s="253">
        <v>960</v>
      </c>
      <c r="AV511" s="252">
        <f t="shared" si="99"/>
        <v>0</v>
      </c>
      <c r="AW511" s="267" t="s">
        <v>1228</v>
      </c>
      <c r="AX511" s="256" t="s">
        <v>1280</v>
      </c>
      <c r="AY511" s="220"/>
      <c r="AZ511" s="220"/>
      <c r="BA511" s="220"/>
      <c r="BB511" s="211" t="str">
        <f t="shared" si="100"/>
        <v>Kidland</v>
      </c>
      <c r="BC511" s="211" t="str">
        <f t="shared" si="101"/>
        <v>埃及</v>
      </c>
    </row>
    <row r="512" s="197" customFormat="1" customHeight="1" spans="1:55">
      <c r="A512" s="271">
        <v>46148</v>
      </c>
      <c r="B512" s="208" t="str">
        <f ca="1" t="shared" si="90"/>
        <v/>
      </c>
      <c r="C512" s="211" t="str">
        <f>VLOOKUP(H512,名称!A:E,4,0)</f>
        <v>三代</v>
      </c>
      <c r="D512" s="220" t="s">
        <v>1489</v>
      </c>
      <c r="E512" s="220" t="s">
        <v>1858</v>
      </c>
      <c r="F512" s="220" t="s">
        <v>815</v>
      </c>
      <c r="G512" s="220" t="s">
        <v>816</v>
      </c>
      <c r="H512" s="220" t="s">
        <v>63</v>
      </c>
      <c r="I512" s="220"/>
      <c r="J512" s="270">
        <v>720</v>
      </c>
      <c r="K512" s="223">
        <f>VLOOKUP(H512,名称!A:C,2,0)</f>
        <v>5</v>
      </c>
      <c r="L512" s="212">
        <f t="shared" si="91"/>
        <v>3600</v>
      </c>
      <c r="M512" s="211">
        <f>VLOOKUP(H512,名称!A:E,3,0)</f>
        <v>24</v>
      </c>
      <c r="N512" s="212">
        <f t="shared" si="97"/>
        <v>30</v>
      </c>
      <c r="O512" s="271">
        <v>46195</v>
      </c>
      <c r="P512" s="271">
        <f t="shared" si="98"/>
        <v>46195</v>
      </c>
      <c r="Q512" s="256">
        <v>46203</v>
      </c>
      <c r="R512" s="268" t="s">
        <v>1241</v>
      </c>
      <c r="S512" s="220" t="s">
        <v>1133</v>
      </c>
      <c r="T512" s="220"/>
      <c r="U512" s="220"/>
      <c r="V512" s="220"/>
      <c r="W512" s="220"/>
      <c r="X512" s="257" t="s">
        <v>1248</v>
      </c>
      <c r="Y512" s="263">
        <v>46182</v>
      </c>
      <c r="Z512" s="211" t="s">
        <v>1249</v>
      </c>
      <c r="AA512" s="284">
        <v>46154</v>
      </c>
      <c r="AB512" s="284">
        <v>46167</v>
      </c>
      <c r="AC512" s="257" t="s">
        <v>1133</v>
      </c>
      <c r="AD512" s="257" t="s">
        <v>1133</v>
      </c>
      <c r="AE512" s="220" t="s">
        <v>510</v>
      </c>
      <c r="AF512" s="257" t="s">
        <v>1228</v>
      </c>
      <c r="AG512" s="257" t="s">
        <v>510</v>
      </c>
      <c r="AH512" s="257" t="s">
        <v>1133</v>
      </c>
      <c r="AI512" s="257" t="s">
        <v>1228</v>
      </c>
      <c r="AJ512" s="257" t="s">
        <v>1133</v>
      </c>
      <c r="AK512" s="257" t="s">
        <v>510</v>
      </c>
      <c r="AL512" s="257"/>
      <c r="AM512" s="257" t="s">
        <v>1506</v>
      </c>
      <c r="AN512" s="220" t="s">
        <v>1251</v>
      </c>
      <c r="AO512" s="215">
        <v>0.66</v>
      </c>
      <c r="AP512" s="216">
        <f t="shared" si="102"/>
        <v>475.2</v>
      </c>
      <c r="AQ512" s="216">
        <f t="shared" si="103"/>
        <v>3682.8</v>
      </c>
      <c r="AR512" s="269">
        <v>61418</v>
      </c>
      <c r="AS512" s="255">
        <v>46220</v>
      </c>
      <c r="AT512" s="220" t="s">
        <v>1220</v>
      </c>
      <c r="AU512" s="253">
        <v>720</v>
      </c>
      <c r="AV512" s="252">
        <f t="shared" si="99"/>
        <v>0</v>
      </c>
      <c r="AW512" s="267" t="s">
        <v>1228</v>
      </c>
      <c r="AX512" s="267" t="s">
        <v>1280</v>
      </c>
      <c r="AY512" s="220"/>
      <c r="AZ512" s="220"/>
      <c r="BA512" s="220"/>
      <c r="BB512" s="211" t="str">
        <f t="shared" si="100"/>
        <v>Kidland</v>
      </c>
      <c r="BC512" s="211" t="str">
        <f t="shared" si="101"/>
        <v>埃及</v>
      </c>
    </row>
    <row r="513" s="197" customFormat="1" customHeight="1" spans="1:55">
      <c r="A513" s="271">
        <v>46148</v>
      </c>
      <c r="B513" s="208" t="str">
        <f ca="1" t="shared" si="90"/>
        <v/>
      </c>
      <c r="C513" s="211" t="str">
        <f>VLOOKUP(H513,名称!A:E,4,0)</f>
        <v>三代</v>
      </c>
      <c r="D513" s="220" t="s">
        <v>1489</v>
      </c>
      <c r="E513" s="220" t="s">
        <v>1858</v>
      </c>
      <c r="F513" s="220" t="s">
        <v>815</v>
      </c>
      <c r="G513" s="220" t="s">
        <v>816</v>
      </c>
      <c r="H513" s="220" t="s">
        <v>66</v>
      </c>
      <c r="I513" s="220"/>
      <c r="J513" s="270">
        <v>900</v>
      </c>
      <c r="K513" s="223">
        <f>VLOOKUP(H513,名称!A:C,2,0)</f>
        <v>12</v>
      </c>
      <c r="L513" s="212">
        <f t="shared" si="91"/>
        <v>10800</v>
      </c>
      <c r="M513" s="211">
        <f>VLOOKUP(H513,名称!A:E,3,0)</f>
        <v>6</v>
      </c>
      <c r="N513" s="212">
        <f t="shared" si="97"/>
        <v>150</v>
      </c>
      <c r="O513" s="271">
        <v>46195</v>
      </c>
      <c r="P513" s="271">
        <f t="shared" si="98"/>
        <v>46195</v>
      </c>
      <c r="Q513" s="256">
        <v>46203</v>
      </c>
      <c r="R513" s="267" t="s">
        <v>1241</v>
      </c>
      <c r="S513" s="220" t="s">
        <v>1133</v>
      </c>
      <c r="T513" s="220"/>
      <c r="U513" s="220"/>
      <c r="V513" s="220"/>
      <c r="W513" s="220"/>
      <c r="X513" s="257" t="s">
        <v>1248</v>
      </c>
      <c r="Y513" s="263">
        <v>46182</v>
      </c>
      <c r="Z513" s="211" t="s">
        <v>1249</v>
      </c>
      <c r="AA513" s="284">
        <v>46154</v>
      </c>
      <c r="AB513" s="284">
        <v>46167</v>
      </c>
      <c r="AC513" s="257" t="s">
        <v>1318</v>
      </c>
      <c r="AD513" s="257" t="s">
        <v>1228</v>
      </c>
      <c r="AE513" s="220" t="s">
        <v>510</v>
      </c>
      <c r="AF513" s="257" t="s">
        <v>1228</v>
      </c>
      <c r="AG513" s="257" t="s">
        <v>510</v>
      </c>
      <c r="AH513" s="257" t="s">
        <v>1307</v>
      </c>
      <c r="AI513" s="257" t="s">
        <v>1228</v>
      </c>
      <c r="AJ513" s="257" t="s">
        <v>510</v>
      </c>
      <c r="AK513" s="257" t="s">
        <v>1133</v>
      </c>
      <c r="AL513" s="257"/>
      <c r="AM513" s="257" t="s">
        <v>1506</v>
      </c>
      <c r="AN513" s="220" t="s">
        <v>1251</v>
      </c>
      <c r="AO513" s="215">
        <v>2.09</v>
      </c>
      <c r="AP513" s="216">
        <f t="shared" si="102"/>
        <v>1881</v>
      </c>
      <c r="AQ513" s="216">
        <f t="shared" si="103"/>
        <v>14577.75</v>
      </c>
      <c r="AR513" s="269">
        <v>61418</v>
      </c>
      <c r="AS513" s="255">
        <v>46220</v>
      </c>
      <c r="AT513" s="220" t="s">
        <v>1220</v>
      </c>
      <c r="AU513" s="253">
        <v>900</v>
      </c>
      <c r="AV513" s="252">
        <f t="shared" si="99"/>
        <v>0</v>
      </c>
      <c r="AW513" s="267" t="s">
        <v>1228</v>
      </c>
      <c r="AX513" s="257" t="s">
        <v>1280</v>
      </c>
      <c r="AY513" s="220"/>
      <c r="AZ513" s="220"/>
      <c r="BA513" s="220"/>
      <c r="BB513" s="211" t="str">
        <f t="shared" si="100"/>
        <v>Kidland</v>
      </c>
      <c r="BC513" s="211" t="str">
        <f t="shared" si="101"/>
        <v>埃及</v>
      </c>
    </row>
    <row r="514" s="197" customFormat="1" customHeight="1" spans="1:55">
      <c r="A514" s="271">
        <v>46148</v>
      </c>
      <c r="B514" s="208" t="str">
        <f ca="1" t="shared" si="90"/>
        <v/>
      </c>
      <c r="C514" s="211" t="str">
        <f>VLOOKUP(H514,名称!A:E,4,0)</f>
        <v>三代</v>
      </c>
      <c r="D514" s="220" t="s">
        <v>1489</v>
      </c>
      <c r="E514" s="220" t="s">
        <v>1858</v>
      </c>
      <c r="F514" s="220" t="s">
        <v>815</v>
      </c>
      <c r="G514" s="220" t="s">
        <v>816</v>
      </c>
      <c r="H514" s="220" t="s">
        <v>68</v>
      </c>
      <c r="I514" s="220"/>
      <c r="J514" s="270">
        <v>500</v>
      </c>
      <c r="K514" s="223">
        <f>VLOOKUP(H514,名称!A:C,2,0)</f>
        <v>32</v>
      </c>
      <c r="L514" s="212">
        <f t="shared" si="91"/>
        <v>16000</v>
      </c>
      <c r="M514" s="211">
        <f>VLOOKUP(H514,名称!A:E,3,0)</f>
        <v>4</v>
      </c>
      <c r="N514" s="212">
        <f t="shared" si="97"/>
        <v>125</v>
      </c>
      <c r="O514" s="271">
        <v>46195</v>
      </c>
      <c r="P514" s="271">
        <f t="shared" si="98"/>
        <v>46195</v>
      </c>
      <c r="Q514" s="256">
        <v>46203</v>
      </c>
      <c r="R514" s="268" t="s">
        <v>1241</v>
      </c>
      <c r="S514" s="220" t="s">
        <v>1133</v>
      </c>
      <c r="T514" s="220"/>
      <c r="U514" s="220"/>
      <c r="V514" s="220"/>
      <c r="W514" s="220"/>
      <c r="X514" s="257" t="s">
        <v>1248</v>
      </c>
      <c r="Y514" s="263">
        <v>46182</v>
      </c>
      <c r="Z514" s="211" t="s">
        <v>1249</v>
      </c>
      <c r="AA514" s="284">
        <v>46154</v>
      </c>
      <c r="AB514" s="284">
        <v>46167</v>
      </c>
      <c r="AC514" s="257" t="s">
        <v>1133</v>
      </c>
      <c r="AD514" s="257" t="s">
        <v>1133</v>
      </c>
      <c r="AE514" s="220" t="s">
        <v>510</v>
      </c>
      <c r="AF514" s="257" t="s">
        <v>1228</v>
      </c>
      <c r="AG514" s="257" t="s">
        <v>510</v>
      </c>
      <c r="AH514" s="257" t="s">
        <v>1307</v>
      </c>
      <c r="AI514" s="257" t="s">
        <v>1228</v>
      </c>
      <c r="AJ514" s="257" t="s">
        <v>1133</v>
      </c>
      <c r="AK514" s="257" t="s">
        <v>1133</v>
      </c>
      <c r="AL514" s="257"/>
      <c r="AM514" s="257" t="s">
        <v>1506</v>
      </c>
      <c r="AN514" s="220" t="s">
        <v>1251</v>
      </c>
      <c r="AO514" s="215">
        <v>3.23</v>
      </c>
      <c r="AP514" s="216">
        <f t="shared" si="102"/>
        <v>1615</v>
      </c>
      <c r="AQ514" s="216">
        <f t="shared" si="103"/>
        <v>12516.25</v>
      </c>
      <c r="AR514" s="224" t="s">
        <v>1859</v>
      </c>
      <c r="AS514" s="255">
        <v>46220</v>
      </c>
      <c r="AT514" s="208" t="s">
        <v>1220</v>
      </c>
      <c r="AU514" s="253">
        <v>500</v>
      </c>
      <c r="AV514" s="252">
        <f t="shared" si="99"/>
        <v>0</v>
      </c>
      <c r="AW514" s="267" t="s">
        <v>1228</v>
      </c>
      <c r="AX514" s="256" t="s">
        <v>1280</v>
      </c>
      <c r="AY514" s="220"/>
      <c r="AZ514" s="220"/>
      <c r="BA514" s="220"/>
      <c r="BB514" s="208" t="str">
        <f t="shared" si="100"/>
        <v>Kidland</v>
      </c>
      <c r="BC514" s="208" t="str">
        <f t="shared" si="101"/>
        <v>埃及</v>
      </c>
    </row>
    <row r="515" s="197" customFormat="1" customHeight="1" spans="1:55">
      <c r="A515" s="271">
        <v>46148</v>
      </c>
      <c r="B515" s="208" t="str">
        <f ca="1" t="shared" si="90"/>
        <v/>
      </c>
      <c r="C515" s="211" t="str">
        <f>VLOOKUP(H515,名称!A:E,4,0)</f>
        <v>三代</v>
      </c>
      <c r="D515" s="220" t="s">
        <v>1489</v>
      </c>
      <c r="E515" s="220" t="s">
        <v>1858</v>
      </c>
      <c r="F515" s="220" t="s">
        <v>815</v>
      </c>
      <c r="G515" s="220" t="s">
        <v>816</v>
      </c>
      <c r="H515" s="211" t="s">
        <v>112</v>
      </c>
      <c r="I515" s="220"/>
      <c r="J515" s="270">
        <v>450</v>
      </c>
      <c r="K515" s="223">
        <f>VLOOKUP(H515,名称!A:C,2,0)</f>
        <v>50</v>
      </c>
      <c r="L515" s="212">
        <f t="shared" si="91"/>
        <v>22500</v>
      </c>
      <c r="M515" s="211">
        <f>VLOOKUP(H515,名称!A:E,3,0)</f>
        <v>2</v>
      </c>
      <c r="N515" s="212">
        <f t="shared" si="97"/>
        <v>225</v>
      </c>
      <c r="O515" s="271">
        <v>46195</v>
      </c>
      <c r="P515" s="271">
        <f t="shared" si="98"/>
        <v>46195</v>
      </c>
      <c r="Q515" s="256">
        <v>46203</v>
      </c>
      <c r="R515" s="268" t="s">
        <v>1277</v>
      </c>
      <c r="S515" s="220" t="s">
        <v>1133</v>
      </c>
      <c r="T515" s="220"/>
      <c r="U515" s="220"/>
      <c r="V515" s="220"/>
      <c r="W515" s="220"/>
      <c r="X515" s="257" t="s">
        <v>1248</v>
      </c>
      <c r="Y515" s="263">
        <v>46182</v>
      </c>
      <c r="Z515" s="211" t="s">
        <v>1249</v>
      </c>
      <c r="AA515" s="284">
        <v>46154</v>
      </c>
      <c r="AB515" s="284">
        <v>46167</v>
      </c>
      <c r="AC515" s="257" t="s">
        <v>1133</v>
      </c>
      <c r="AD515" s="257" t="s">
        <v>1133</v>
      </c>
      <c r="AE515" s="220" t="s">
        <v>510</v>
      </c>
      <c r="AF515" s="257" t="s">
        <v>1228</v>
      </c>
      <c r="AG515" s="257" t="s">
        <v>510</v>
      </c>
      <c r="AH515" s="257" t="s">
        <v>1133</v>
      </c>
      <c r="AI515" s="257" t="s">
        <v>1228</v>
      </c>
      <c r="AJ515" s="257" t="s">
        <v>1133</v>
      </c>
      <c r="AK515" s="257" t="s">
        <v>1133</v>
      </c>
      <c r="AL515" s="257"/>
      <c r="AM515" s="257" t="s">
        <v>1506</v>
      </c>
      <c r="AN515" s="220" t="s">
        <v>1251</v>
      </c>
      <c r="AO515" s="215">
        <v>9.95</v>
      </c>
      <c r="AP515" s="216">
        <f t="shared" si="102"/>
        <v>4477.5</v>
      </c>
      <c r="AQ515" s="216">
        <f t="shared" si="103"/>
        <v>34700.63</v>
      </c>
      <c r="AR515" s="269">
        <v>61418</v>
      </c>
      <c r="AS515" s="255">
        <v>46220</v>
      </c>
      <c r="AT515" s="208" t="s">
        <v>1220</v>
      </c>
      <c r="AU515" s="253"/>
      <c r="AV515" s="252">
        <f t="shared" si="99"/>
        <v>-450</v>
      </c>
      <c r="AW515" s="267" t="s">
        <v>1228</v>
      </c>
      <c r="AX515" s="257"/>
      <c r="AY515" s="220"/>
      <c r="AZ515" s="220"/>
      <c r="BA515" s="220"/>
      <c r="BB515" s="208" t="str">
        <f t="shared" si="100"/>
        <v>Kidland</v>
      </c>
      <c r="BC515" s="208" t="str">
        <f t="shared" si="101"/>
        <v>埃及</v>
      </c>
    </row>
    <row r="516" s="197" customFormat="1" customHeight="1" spans="1:55">
      <c r="A516" s="285">
        <v>46148</v>
      </c>
      <c r="B516" s="286" t="str">
        <f ca="1" t="shared" si="90"/>
        <v/>
      </c>
      <c r="C516" s="287" t="str">
        <f>VLOOKUP(H516,名称!A:E,4,0)</f>
        <v>三代</v>
      </c>
      <c r="D516" s="288" t="s">
        <v>1489</v>
      </c>
      <c r="E516" s="288" t="s">
        <v>1858</v>
      </c>
      <c r="F516" s="288" t="s">
        <v>815</v>
      </c>
      <c r="G516" s="288" t="s">
        <v>816</v>
      </c>
      <c r="H516" s="288" t="s">
        <v>72</v>
      </c>
      <c r="I516" s="288"/>
      <c r="J516" s="289">
        <v>720</v>
      </c>
      <c r="K516" s="223">
        <f>VLOOKUP(H516,名称!A:C,2,0)</f>
        <v>12</v>
      </c>
      <c r="L516" s="212">
        <f t="shared" si="91"/>
        <v>8640</v>
      </c>
      <c r="M516" s="287">
        <f>VLOOKUP(H516,名称!A:E,3,0)</f>
        <v>12</v>
      </c>
      <c r="N516" s="290">
        <f t="shared" si="97"/>
        <v>60</v>
      </c>
      <c r="O516" s="285">
        <v>46195</v>
      </c>
      <c r="P516" s="285">
        <f t="shared" si="98"/>
        <v>46195</v>
      </c>
      <c r="Q516" s="291">
        <v>46204</v>
      </c>
      <c r="R516" s="268" t="s">
        <v>1241</v>
      </c>
      <c r="S516" s="288" t="s">
        <v>1133</v>
      </c>
      <c r="T516" s="288"/>
      <c r="U516" s="288"/>
      <c r="V516" s="288"/>
      <c r="W516" s="288"/>
      <c r="X516" s="292" t="s">
        <v>1248</v>
      </c>
      <c r="Y516" s="293">
        <v>46182</v>
      </c>
      <c r="Z516" s="287" t="s">
        <v>1249</v>
      </c>
      <c r="AA516" s="294">
        <v>46154</v>
      </c>
      <c r="AB516" s="294">
        <v>46167</v>
      </c>
      <c r="AC516" s="295" t="s">
        <v>1302</v>
      </c>
      <c r="AD516" s="292" t="s">
        <v>1228</v>
      </c>
      <c r="AE516" s="288" t="s">
        <v>510</v>
      </c>
      <c r="AF516" s="292" t="s">
        <v>1228</v>
      </c>
      <c r="AG516" s="292" t="s">
        <v>510</v>
      </c>
      <c r="AH516" s="292" t="s">
        <v>1307</v>
      </c>
      <c r="AI516" s="292" t="s">
        <v>1228</v>
      </c>
      <c r="AJ516" s="292" t="s">
        <v>1133</v>
      </c>
      <c r="AK516" s="292" t="s">
        <v>1133</v>
      </c>
      <c r="AL516" s="292"/>
      <c r="AM516" s="292" t="s">
        <v>1506</v>
      </c>
      <c r="AN516" s="288" t="s">
        <v>1251</v>
      </c>
      <c r="AO516" s="215">
        <v>1.65</v>
      </c>
      <c r="AP516" s="296">
        <f t="shared" si="102"/>
        <v>1188</v>
      </c>
      <c r="AQ516" s="296">
        <f t="shared" si="103"/>
        <v>9207</v>
      </c>
      <c r="AR516" s="269">
        <v>61418</v>
      </c>
      <c r="AS516" s="255">
        <v>46220</v>
      </c>
      <c r="AT516" s="288" t="s">
        <v>1220</v>
      </c>
      <c r="AU516" s="297">
        <v>720</v>
      </c>
      <c r="AV516" s="298">
        <f t="shared" si="99"/>
        <v>0</v>
      </c>
      <c r="AW516" s="299" t="s">
        <v>1228</v>
      </c>
      <c r="AX516" s="267" t="s">
        <v>1280</v>
      </c>
      <c r="AY516" s="288"/>
      <c r="AZ516" s="288"/>
      <c r="BA516" s="288"/>
      <c r="BB516" s="287" t="str">
        <f t="shared" si="100"/>
        <v>Kidland</v>
      </c>
      <c r="BC516" s="287" t="str">
        <f t="shared" si="101"/>
        <v>埃及</v>
      </c>
    </row>
    <row r="517" s="198" customFormat="1" customHeight="1" spans="1:55">
      <c r="A517" s="300">
        <v>46148</v>
      </c>
      <c r="B517" s="301" t="str">
        <f ca="1" t="shared" si="90"/>
        <v/>
      </c>
      <c r="C517" s="302" t="str">
        <f>VLOOKUP(H517,名称!A:E,4,0)</f>
        <v>三代</v>
      </c>
      <c r="D517" s="303" t="s">
        <v>1489</v>
      </c>
      <c r="E517" s="303" t="s">
        <v>1858</v>
      </c>
      <c r="F517" s="303" t="s">
        <v>815</v>
      </c>
      <c r="G517" s="303" t="s">
        <v>816</v>
      </c>
      <c r="H517" s="303" t="s">
        <v>116</v>
      </c>
      <c r="I517" s="303"/>
      <c r="J517" s="304">
        <v>600</v>
      </c>
      <c r="K517" s="305">
        <f>VLOOKUP(H517,名称!A:C,2,0)</f>
        <v>12</v>
      </c>
      <c r="L517" s="306">
        <f t="shared" si="91"/>
        <v>7200</v>
      </c>
      <c r="M517" s="302">
        <f>VLOOKUP(H517,名称!A:E,3,0)</f>
        <v>12</v>
      </c>
      <c r="N517" s="307">
        <f t="shared" si="97"/>
        <v>50</v>
      </c>
      <c r="O517" s="300">
        <v>46195</v>
      </c>
      <c r="P517" s="300">
        <f t="shared" si="98"/>
        <v>46195</v>
      </c>
      <c r="Q517" s="308">
        <v>46205</v>
      </c>
      <c r="R517" s="309" t="s">
        <v>1241</v>
      </c>
      <c r="S517" s="303" t="s">
        <v>1133</v>
      </c>
      <c r="T517" s="303"/>
      <c r="U517" s="303"/>
      <c r="V517" s="303"/>
      <c r="W517" s="303"/>
      <c r="X517" s="310" t="s">
        <v>1248</v>
      </c>
      <c r="Y517" s="311">
        <v>46182</v>
      </c>
      <c r="Z517" s="302" t="s">
        <v>1249</v>
      </c>
      <c r="AA517" s="312">
        <v>46154</v>
      </c>
      <c r="AB517" s="312">
        <v>46167</v>
      </c>
      <c r="AC517" s="310" t="s">
        <v>1302</v>
      </c>
      <c r="AD517" s="310" t="s">
        <v>1228</v>
      </c>
      <c r="AE517" s="303" t="s">
        <v>510</v>
      </c>
      <c r="AF517" s="310" t="s">
        <v>1228</v>
      </c>
      <c r="AG517" s="310" t="s">
        <v>510</v>
      </c>
      <c r="AH517" s="310" t="s">
        <v>1307</v>
      </c>
      <c r="AI517" s="310" t="s">
        <v>1228</v>
      </c>
      <c r="AJ517" s="310" t="s">
        <v>1133</v>
      </c>
      <c r="AK517" s="310" t="s">
        <v>1133</v>
      </c>
      <c r="AL517" s="310"/>
      <c r="AM517" s="310" t="s">
        <v>1506</v>
      </c>
      <c r="AN517" s="303" t="s">
        <v>1251</v>
      </c>
      <c r="AO517" s="215">
        <v>1.63</v>
      </c>
      <c r="AP517" s="313">
        <f t="shared" si="102"/>
        <v>978</v>
      </c>
      <c r="AQ517" s="313">
        <f t="shared" si="103"/>
        <v>7579.5</v>
      </c>
      <c r="AR517" s="269">
        <v>61418</v>
      </c>
      <c r="AS517" s="255">
        <v>46220</v>
      </c>
      <c r="AT517" s="303" t="s">
        <v>1220</v>
      </c>
      <c r="AU517" s="314">
        <v>600</v>
      </c>
      <c r="AV517" s="315">
        <f t="shared" si="99"/>
        <v>0</v>
      </c>
      <c r="AW517" s="309" t="s">
        <v>1228</v>
      </c>
      <c r="AX517" s="267" t="s">
        <v>1280</v>
      </c>
      <c r="AY517" s="303"/>
      <c r="AZ517" s="303"/>
      <c r="BA517" s="303"/>
      <c r="BB517" s="302" t="str">
        <f t="shared" si="100"/>
        <v>Kidland</v>
      </c>
      <c r="BC517" s="302" t="str">
        <f t="shared" si="101"/>
        <v>埃及</v>
      </c>
    </row>
    <row r="518" s="197" customFormat="1" customHeight="1" spans="1:55">
      <c r="A518" s="316">
        <v>46148</v>
      </c>
      <c r="B518" s="317" t="str">
        <f ca="1" t="shared" si="90"/>
        <v/>
      </c>
      <c r="C518" s="318" t="str">
        <f>VLOOKUP(H518,名称!A:E,4,0)</f>
        <v>三代</v>
      </c>
      <c r="D518" s="319" t="s">
        <v>1489</v>
      </c>
      <c r="E518" s="319" t="s">
        <v>1858</v>
      </c>
      <c r="F518" s="319" t="s">
        <v>815</v>
      </c>
      <c r="G518" s="319" t="s">
        <v>816</v>
      </c>
      <c r="H518" s="319" t="s">
        <v>85</v>
      </c>
      <c r="I518" s="319"/>
      <c r="J518" s="320">
        <v>960</v>
      </c>
      <c r="K518" s="223">
        <f>VLOOKUP(H518,名称!A:C,2,0)</f>
        <v>5</v>
      </c>
      <c r="L518" s="212">
        <f t="shared" si="91"/>
        <v>4800</v>
      </c>
      <c r="M518" s="318">
        <f>VLOOKUP(H518,名称!A:E,3,0)</f>
        <v>24</v>
      </c>
      <c r="N518" s="321">
        <f t="shared" si="97"/>
        <v>40</v>
      </c>
      <c r="O518" s="316">
        <v>46195</v>
      </c>
      <c r="P518" s="316">
        <f t="shared" si="98"/>
        <v>46195</v>
      </c>
      <c r="Q518" s="322">
        <v>46203</v>
      </c>
      <c r="R518" s="323" t="s">
        <v>1241</v>
      </c>
      <c r="S518" s="319" t="s">
        <v>1133</v>
      </c>
      <c r="T518" s="319"/>
      <c r="U518" s="319"/>
      <c r="V518" s="319"/>
      <c r="W518" s="319"/>
      <c r="X518" s="281" t="s">
        <v>1248</v>
      </c>
      <c r="Y518" s="324">
        <v>46182</v>
      </c>
      <c r="Z518" s="318" t="s">
        <v>1249</v>
      </c>
      <c r="AA518" s="325">
        <v>46154</v>
      </c>
      <c r="AB518" s="325">
        <v>46167</v>
      </c>
      <c r="AC518" s="281" t="s">
        <v>1133</v>
      </c>
      <c r="AD518" s="281" t="s">
        <v>1133</v>
      </c>
      <c r="AE518" s="319" t="s">
        <v>510</v>
      </c>
      <c r="AF518" s="281" t="s">
        <v>1228</v>
      </c>
      <c r="AG518" s="281" t="s">
        <v>510</v>
      </c>
      <c r="AH518" s="281" t="s">
        <v>1133</v>
      </c>
      <c r="AI518" s="281" t="s">
        <v>1228</v>
      </c>
      <c r="AJ518" s="281" t="s">
        <v>1133</v>
      </c>
      <c r="AK518" s="281" t="s">
        <v>510</v>
      </c>
      <c r="AL518" s="281"/>
      <c r="AM518" s="281" t="s">
        <v>1506</v>
      </c>
      <c r="AN518" s="323" t="s">
        <v>1395</v>
      </c>
      <c r="AO518" s="215">
        <v>0.91</v>
      </c>
      <c r="AP518" s="326">
        <f t="shared" si="102"/>
        <v>873.6</v>
      </c>
      <c r="AQ518" s="326">
        <f t="shared" si="103"/>
        <v>6770.4</v>
      </c>
      <c r="AR518" s="269">
        <v>61418</v>
      </c>
      <c r="AS518" s="255">
        <v>46220</v>
      </c>
      <c r="AT518" s="319" t="s">
        <v>1220</v>
      </c>
      <c r="AU518" s="327">
        <f>936+24</f>
        <v>960</v>
      </c>
      <c r="AV518" s="328">
        <f t="shared" si="99"/>
        <v>0</v>
      </c>
      <c r="AW518" s="329" t="s">
        <v>1228</v>
      </c>
      <c r="AX518" s="281" t="s">
        <v>1280</v>
      </c>
      <c r="AY518" s="319"/>
      <c r="AZ518" s="319"/>
      <c r="BA518" s="319"/>
      <c r="BB518" s="318" t="str">
        <f t="shared" si="100"/>
        <v>Kidland</v>
      </c>
      <c r="BC518" s="318" t="str">
        <f t="shared" si="101"/>
        <v>埃及</v>
      </c>
    </row>
    <row r="519" s="197" customFormat="1" customHeight="1" spans="1:55">
      <c r="A519" s="271">
        <v>46148</v>
      </c>
      <c r="B519" s="208" t="str">
        <f ca="1" t="shared" si="90"/>
        <v/>
      </c>
      <c r="C519" s="211" t="str">
        <f>VLOOKUP(H519,名称!A:E,4,0)</f>
        <v>三代</v>
      </c>
      <c r="D519" s="220" t="s">
        <v>1489</v>
      </c>
      <c r="E519" s="220" t="s">
        <v>1858</v>
      </c>
      <c r="F519" s="220" t="s">
        <v>815</v>
      </c>
      <c r="G519" s="220" t="s">
        <v>816</v>
      </c>
      <c r="H519" s="220" t="s">
        <v>119</v>
      </c>
      <c r="I519" s="220"/>
      <c r="J519" s="270">
        <v>720</v>
      </c>
      <c r="K519" s="223">
        <f>VLOOKUP(H519,名称!A:C,2,0)</f>
        <v>5</v>
      </c>
      <c r="L519" s="212">
        <f t="shared" si="91"/>
        <v>3600</v>
      </c>
      <c r="M519" s="211">
        <f>VLOOKUP(H519,名称!A:E,3,0)</f>
        <v>24</v>
      </c>
      <c r="N519" s="212">
        <f t="shared" si="97"/>
        <v>30</v>
      </c>
      <c r="O519" s="271">
        <v>46195</v>
      </c>
      <c r="P519" s="271">
        <f t="shared" si="98"/>
        <v>46195</v>
      </c>
      <c r="Q519" s="256">
        <v>46205</v>
      </c>
      <c r="R519" s="268" t="s">
        <v>1241</v>
      </c>
      <c r="S519" s="220" t="s">
        <v>1133</v>
      </c>
      <c r="T519" s="220"/>
      <c r="U519" s="220"/>
      <c r="V519" s="220"/>
      <c r="W519" s="220"/>
      <c r="X519" s="257" t="s">
        <v>1248</v>
      </c>
      <c r="Y519" s="263">
        <v>46182</v>
      </c>
      <c r="Z519" s="211" t="s">
        <v>1249</v>
      </c>
      <c r="AA519" s="284">
        <v>46154</v>
      </c>
      <c r="AB519" s="284">
        <v>46167</v>
      </c>
      <c r="AC519" s="257"/>
      <c r="AD519" s="257"/>
      <c r="AE519" s="220" t="s">
        <v>510</v>
      </c>
      <c r="AF519" s="257" t="s">
        <v>1228</v>
      </c>
      <c r="AG519" s="257" t="s">
        <v>510</v>
      </c>
      <c r="AH519" s="257" t="s">
        <v>1133</v>
      </c>
      <c r="AI519" s="257" t="s">
        <v>1228</v>
      </c>
      <c r="AJ519" s="257" t="s">
        <v>1133</v>
      </c>
      <c r="AK519" s="257" t="s">
        <v>510</v>
      </c>
      <c r="AL519" s="257"/>
      <c r="AM519" s="257" t="s">
        <v>1506</v>
      </c>
      <c r="AN519" s="220" t="s">
        <v>1251</v>
      </c>
      <c r="AO519" s="215">
        <v>0.65</v>
      </c>
      <c r="AP519" s="216">
        <f t="shared" si="102"/>
        <v>468</v>
      </c>
      <c r="AQ519" s="216">
        <f t="shared" si="103"/>
        <v>3627</v>
      </c>
      <c r="AR519" s="269">
        <v>61418</v>
      </c>
      <c r="AS519" s="255">
        <v>46220</v>
      </c>
      <c r="AT519" s="208" t="s">
        <v>1220</v>
      </c>
      <c r="AU519" s="253">
        <f>696+24</f>
        <v>720</v>
      </c>
      <c r="AV519" s="252">
        <f t="shared" si="99"/>
        <v>0</v>
      </c>
      <c r="AW519" s="267" t="s">
        <v>1228</v>
      </c>
      <c r="AX519" s="257" t="s">
        <v>1280</v>
      </c>
      <c r="AY519" s="220"/>
      <c r="AZ519" s="220"/>
      <c r="BA519" s="220"/>
      <c r="BB519" s="208" t="str">
        <f t="shared" si="100"/>
        <v>Kidland</v>
      </c>
      <c r="BC519" s="208" t="str">
        <f t="shared" si="101"/>
        <v>埃及</v>
      </c>
    </row>
    <row r="520" s="197" customFormat="1" customHeight="1" spans="1:55">
      <c r="A520" s="271">
        <v>46148</v>
      </c>
      <c r="B520" s="208" t="str">
        <f ca="1" t="shared" si="90"/>
        <v/>
      </c>
      <c r="C520" s="211" t="str">
        <f>VLOOKUP(H520,名称!A:E,4,0)</f>
        <v>三代</v>
      </c>
      <c r="D520" s="220" t="s">
        <v>1489</v>
      </c>
      <c r="E520" s="220" t="s">
        <v>1858</v>
      </c>
      <c r="F520" s="220" t="s">
        <v>815</v>
      </c>
      <c r="G520" s="220" t="s">
        <v>816</v>
      </c>
      <c r="H520" s="220" t="s">
        <v>92</v>
      </c>
      <c r="I520" s="220"/>
      <c r="J520" s="270">
        <v>480</v>
      </c>
      <c r="K520" s="223">
        <f>VLOOKUP(H520,名称!A:C,2,0)</f>
        <v>7</v>
      </c>
      <c r="L520" s="212">
        <f t="shared" si="91"/>
        <v>3360</v>
      </c>
      <c r="M520" s="211">
        <f>VLOOKUP(H520,名称!A:E,3,0)</f>
        <v>16</v>
      </c>
      <c r="N520" s="212">
        <f t="shared" si="97"/>
        <v>30</v>
      </c>
      <c r="O520" s="271">
        <v>46195</v>
      </c>
      <c r="P520" s="271">
        <f t="shared" si="98"/>
        <v>46195</v>
      </c>
      <c r="Q520" s="256">
        <v>46205</v>
      </c>
      <c r="R520" s="267" t="s">
        <v>1241</v>
      </c>
      <c r="S520" s="220" t="s">
        <v>1133</v>
      </c>
      <c r="T520" s="220"/>
      <c r="U520" s="220"/>
      <c r="V520" s="220"/>
      <c r="W520" s="220"/>
      <c r="X520" s="257" t="s">
        <v>1248</v>
      </c>
      <c r="Y520" s="263">
        <v>46182</v>
      </c>
      <c r="Z520" s="211" t="s">
        <v>1249</v>
      </c>
      <c r="AA520" s="284">
        <v>46154</v>
      </c>
      <c r="AB520" s="284">
        <v>46167</v>
      </c>
      <c r="AC520" s="257" t="s">
        <v>1284</v>
      </c>
      <c r="AD520" s="257" t="s">
        <v>1228</v>
      </c>
      <c r="AE520" s="220" t="s">
        <v>510</v>
      </c>
      <c r="AF520" s="257" t="s">
        <v>1228</v>
      </c>
      <c r="AG520" s="257" t="s">
        <v>510</v>
      </c>
      <c r="AH520" s="257" t="s">
        <v>1307</v>
      </c>
      <c r="AI520" s="257" t="s">
        <v>1228</v>
      </c>
      <c r="AJ520" s="257" t="s">
        <v>1133</v>
      </c>
      <c r="AK520" s="257" t="s">
        <v>1133</v>
      </c>
      <c r="AL520" s="257"/>
      <c r="AM520" s="257" t="s">
        <v>1506</v>
      </c>
      <c r="AN520" s="220" t="s">
        <v>1251</v>
      </c>
      <c r="AO520" s="215">
        <v>0.91</v>
      </c>
      <c r="AP520" s="216">
        <f t="shared" si="102"/>
        <v>436.8</v>
      </c>
      <c r="AQ520" s="216">
        <f t="shared" si="103"/>
        <v>3385.2</v>
      </c>
      <c r="AR520" s="269">
        <v>61418</v>
      </c>
      <c r="AS520" s="255">
        <v>46220</v>
      </c>
      <c r="AT520" s="220" t="s">
        <v>1220</v>
      </c>
      <c r="AU520" s="253">
        <v>480</v>
      </c>
      <c r="AV520" s="252">
        <f t="shared" si="99"/>
        <v>0</v>
      </c>
      <c r="AW520" s="267" t="s">
        <v>1228</v>
      </c>
      <c r="AX520" s="256" t="s">
        <v>1280</v>
      </c>
      <c r="AY520" s="220"/>
      <c r="AZ520" s="220"/>
      <c r="BA520" s="220"/>
      <c r="BB520" s="211" t="str">
        <f t="shared" si="100"/>
        <v>Kidland</v>
      </c>
      <c r="BC520" s="211" t="str">
        <f t="shared" si="101"/>
        <v>埃及</v>
      </c>
    </row>
    <row r="521" s="197" customFormat="1" customHeight="1" spans="1:55">
      <c r="A521" s="271">
        <v>46148</v>
      </c>
      <c r="B521" s="208" t="str">
        <f ca="1" t="shared" si="90"/>
        <v/>
      </c>
      <c r="C521" s="211" t="str">
        <f>VLOOKUP(H521,名称!A:E,4,0)</f>
        <v>三代</v>
      </c>
      <c r="D521" s="220" t="s">
        <v>1489</v>
      </c>
      <c r="E521" s="220" t="s">
        <v>1858</v>
      </c>
      <c r="F521" s="220" t="s">
        <v>815</v>
      </c>
      <c r="G521" s="220" t="s">
        <v>816</v>
      </c>
      <c r="H521" s="220" t="s">
        <v>94</v>
      </c>
      <c r="I521" s="220"/>
      <c r="J521" s="270">
        <v>720</v>
      </c>
      <c r="K521" s="223">
        <f>VLOOKUP(H521,名称!A:C,2,0)</f>
        <v>5</v>
      </c>
      <c r="L521" s="212">
        <f t="shared" si="91"/>
        <v>3600</v>
      </c>
      <c r="M521" s="211">
        <f>VLOOKUP(H521,名称!A:E,3,0)</f>
        <v>24</v>
      </c>
      <c r="N521" s="212">
        <f t="shared" si="97"/>
        <v>30</v>
      </c>
      <c r="O521" s="271">
        <v>46195</v>
      </c>
      <c r="P521" s="271">
        <f t="shared" si="98"/>
        <v>46195</v>
      </c>
      <c r="Q521" s="256">
        <v>46204</v>
      </c>
      <c r="R521" s="268" t="s">
        <v>1241</v>
      </c>
      <c r="S521" s="220" t="s">
        <v>1133</v>
      </c>
      <c r="T521" s="220"/>
      <c r="U521" s="220"/>
      <c r="V521" s="220"/>
      <c r="W521" s="220"/>
      <c r="X521" s="257" t="s">
        <v>1248</v>
      </c>
      <c r="Y521" s="263">
        <v>46182</v>
      </c>
      <c r="Z521" s="211" t="s">
        <v>1249</v>
      </c>
      <c r="AA521" s="284">
        <v>46154</v>
      </c>
      <c r="AB521" s="284">
        <v>46167</v>
      </c>
      <c r="AC521" s="257" t="s">
        <v>1133</v>
      </c>
      <c r="AD521" s="257" t="s">
        <v>1133</v>
      </c>
      <c r="AE521" s="220" t="s">
        <v>510</v>
      </c>
      <c r="AF521" s="257" t="s">
        <v>1228</v>
      </c>
      <c r="AG521" s="257" t="s">
        <v>510</v>
      </c>
      <c r="AH521" s="257" t="s">
        <v>1133</v>
      </c>
      <c r="AI521" s="257" t="s">
        <v>1228</v>
      </c>
      <c r="AJ521" s="257" t="s">
        <v>1133</v>
      </c>
      <c r="AK521" s="257" t="s">
        <v>510</v>
      </c>
      <c r="AL521" s="257"/>
      <c r="AM521" s="257" t="s">
        <v>1506</v>
      </c>
      <c r="AN521" s="220" t="s">
        <v>1251</v>
      </c>
      <c r="AO521" s="215">
        <v>0.66</v>
      </c>
      <c r="AP521" s="216">
        <f t="shared" si="102"/>
        <v>475.2</v>
      </c>
      <c r="AQ521" s="216">
        <f t="shared" si="103"/>
        <v>3682.8</v>
      </c>
      <c r="AR521" s="269">
        <v>61418</v>
      </c>
      <c r="AS521" s="255">
        <v>46220</v>
      </c>
      <c r="AT521" s="220" t="s">
        <v>1220</v>
      </c>
      <c r="AU521" s="253">
        <v>720</v>
      </c>
      <c r="AV521" s="252">
        <f t="shared" si="99"/>
        <v>0</v>
      </c>
      <c r="AW521" s="267" t="s">
        <v>1228</v>
      </c>
      <c r="AX521" s="256" t="s">
        <v>1280</v>
      </c>
      <c r="AY521" s="220"/>
      <c r="AZ521" s="220"/>
      <c r="BA521" s="220"/>
      <c r="BB521" s="211" t="str">
        <f t="shared" si="100"/>
        <v>Kidland</v>
      </c>
      <c r="BC521" s="211" t="str">
        <f t="shared" si="101"/>
        <v>埃及</v>
      </c>
    </row>
    <row r="522" s="197" customFormat="1" customHeight="1" spans="1:55">
      <c r="A522" s="271">
        <v>46148</v>
      </c>
      <c r="B522" s="208" t="str">
        <f ca="1" t="shared" si="90"/>
        <v/>
      </c>
      <c r="C522" s="211" t="str">
        <f>VLOOKUP(H522,名称!A:E,4,0)</f>
        <v>三代</v>
      </c>
      <c r="D522" s="220" t="s">
        <v>1489</v>
      </c>
      <c r="E522" s="220" t="s">
        <v>1858</v>
      </c>
      <c r="F522" s="220" t="s">
        <v>815</v>
      </c>
      <c r="G522" s="220" t="s">
        <v>816</v>
      </c>
      <c r="H522" s="220" t="s">
        <v>95</v>
      </c>
      <c r="I522" s="220"/>
      <c r="J522" s="270">
        <v>360</v>
      </c>
      <c r="K522" s="223">
        <f>VLOOKUP(H522,名称!A:C,2,0)</f>
        <v>32</v>
      </c>
      <c r="L522" s="212">
        <f t="shared" si="91"/>
        <v>11520</v>
      </c>
      <c r="M522" s="211">
        <f>VLOOKUP(H522,名称!A:E,3,0)</f>
        <v>4</v>
      </c>
      <c r="N522" s="212">
        <f t="shared" si="97"/>
        <v>90</v>
      </c>
      <c r="O522" s="271">
        <v>46195</v>
      </c>
      <c r="P522" s="271">
        <f t="shared" si="98"/>
        <v>46195</v>
      </c>
      <c r="Q522" s="256">
        <v>46204</v>
      </c>
      <c r="R522" s="268" t="s">
        <v>1241</v>
      </c>
      <c r="S522" s="220" t="s">
        <v>1133</v>
      </c>
      <c r="T522" s="220"/>
      <c r="U522" s="220"/>
      <c r="V522" s="220"/>
      <c r="W522" s="220"/>
      <c r="X522" s="257" t="s">
        <v>1248</v>
      </c>
      <c r="Y522" s="263">
        <v>46182</v>
      </c>
      <c r="Z522" s="211" t="s">
        <v>1249</v>
      </c>
      <c r="AA522" s="284">
        <v>46154</v>
      </c>
      <c r="AB522" s="284">
        <v>46167</v>
      </c>
      <c r="AC522" s="257" t="s">
        <v>1133</v>
      </c>
      <c r="AD522" s="257" t="s">
        <v>1133</v>
      </c>
      <c r="AE522" s="220" t="s">
        <v>510</v>
      </c>
      <c r="AF522" s="257" t="s">
        <v>1228</v>
      </c>
      <c r="AG522" s="257" t="s">
        <v>510</v>
      </c>
      <c r="AH522" s="257" t="s">
        <v>1307</v>
      </c>
      <c r="AI522" s="257" t="s">
        <v>1228</v>
      </c>
      <c r="AJ522" s="257" t="s">
        <v>1133</v>
      </c>
      <c r="AK522" s="257" t="s">
        <v>1133</v>
      </c>
      <c r="AL522" s="257"/>
      <c r="AM522" s="257" t="s">
        <v>1506</v>
      </c>
      <c r="AN522" s="220" t="s">
        <v>1251</v>
      </c>
      <c r="AO522" s="215">
        <v>3.23</v>
      </c>
      <c r="AP522" s="216">
        <f t="shared" si="102"/>
        <v>1162.8</v>
      </c>
      <c r="AQ522" s="216">
        <f t="shared" si="103"/>
        <v>9011.7</v>
      </c>
      <c r="AR522" s="269">
        <v>61418</v>
      </c>
      <c r="AS522" s="255">
        <v>46220</v>
      </c>
      <c r="AT522" s="220" t="s">
        <v>1220</v>
      </c>
      <c r="AU522" s="253">
        <v>360</v>
      </c>
      <c r="AV522" s="252">
        <f t="shared" si="99"/>
        <v>0</v>
      </c>
      <c r="AW522" s="267" t="s">
        <v>1228</v>
      </c>
      <c r="AX522" s="267" t="s">
        <v>1280</v>
      </c>
      <c r="AY522" s="220"/>
      <c r="AZ522" s="220"/>
      <c r="BA522" s="220"/>
      <c r="BB522" s="211" t="str">
        <f t="shared" si="100"/>
        <v>Kidland</v>
      </c>
      <c r="BC522" s="211" t="str">
        <f t="shared" si="101"/>
        <v>埃及</v>
      </c>
    </row>
    <row r="523" s="197" customFormat="1" customHeight="1" spans="1:55">
      <c r="A523" s="271">
        <v>46148</v>
      </c>
      <c r="B523" s="208" t="str">
        <f ca="1" t="shared" si="90"/>
        <v/>
      </c>
      <c r="C523" s="211" t="str">
        <f>VLOOKUP(H523,名称!A:E,4,0)</f>
        <v>三代</v>
      </c>
      <c r="D523" s="220" t="s">
        <v>1489</v>
      </c>
      <c r="E523" s="220" t="s">
        <v>1858</v>
      </c>
      <c r="F523" s="220" t="s">
        <v>815</v>
      </c>
      <c r="G523" s="220" t="s">
        <v>816</v>
      </c>
      <c r="H523" s="220" t="s">
        <v>97</v>
      </c>
      <c r="I523" s="220"/>
      <c r="J523" s="270">
        <v>480</v>
      </c>
      <c r="K523" s="223">
        <f>VLOOKUP(H523,名称!A:C,2,0)</f>
        <v>5</v>
      </c>
      <c r="L523" s="212">
        <f t="shared" si="91"/>
        <v>2400</v>
      </c>
      <c r="M523" s="211">
        <f>VLOOKUP(H523,名称!A:E,3,0)</f>
        <v>24</v>
      </c>
      <c r="N523" s="212">
        <f t="shared" si="97"/>
        <v>20</v>
      </c>
      <c r="O523" s="271">
        <v>46195</v>
      </c>
      <c r="P523" s="271">
        <f t="shared" si="98"/>
        <v>46195</v>
      </c>
      <c r="Q523" s="256">
        <v>46203</v>
      </c>
      <c r="R523" s="268" t="s">
        <v>1241</v>
      </c>
      <c r="S523" s="220" t="s">
        <v>1133</v>
      </c>
      <c r="T523" s="220"/>
      <c r="U523" s="220"/>
      <c r="V523" s="220"/>
      <c r="W523" s="220"/>
      <c r="X523" s="257" t="s">
        <v>1248</v>
      </c>
      <c r="Y523" s="263">
        <v>46182</v>
      </c>
      <c r="Z523" s="211" t="s">
        <v>1249</v>
      </c>
      <c r="AA523" s="284">
        <v>46154</v>
      </c>
      <c r="AB523" s="284">
        <v>46167</v>
      </c>
      <c r="AC523" s="257" t="s">
        <v>1133</v>
      </c>
      <c r="AD523" s="257" t="s">
        <v>1133</v>
      </c>
      <c r="AE523" s="220" t="s">
        <v>510</v>
      </c>
      <c r="AF523" s="257" t="s">
        <v>1228</v>
      </c>
      <c r="AG523" s="257" t="s">
        <v>510</v>
      </c>
      <c r="AH523" s="257" t="s">
        <v>1133</v>
      </c>
      <c r="AI523" s="257" t="s">
        <v>1228</v>
      </c>
      <c r="AJ523" s="257" t="s">
        <v>1133</v>
      </c>
      <c r="AK523" s="257" t="s">
        <v>510</v>
      </c>
      <c r="AL523" s="257"/>
      <c r="AM523" s="257" t="s">
        <v>1506</v>
      </c>
      <c r="AN523" s="220" t="s">
        <v>1251</v>
      </c>
      <c r="AO523" s="215">
        <v>0.66</v>
      </c>
      <c r="AP523" s="216">
        <f t="shared" si="102"/>
        <v>316.8</v>
      </c>
      <c r="AQ523" s="216">
        <f t="shared" si="103"/>
        <v>2455.2</v>
      </c>
      <c r="AR523" s="269">
        <v>61418</v>
      </c>
      <c r="AS523" s="255">
        <v>46220</v>
      </c>
      <c r="AT523" s="220" t="s">
        <v>1220</v>
      </c>
      <c r="AU523" s="253">
        <v>480</v>
      </c>
      <c r="AV523" s="252">
        <f t="shared" si="99"/>
        <v>0</v>
      </c>
      <c r="AW523" s="267" t="s">
        <v>1228</v>
      </c>
      <c r="AX523" s="274" t="s">
        <v>1280</v>
      </c>
      <c r="AY523" s="220"/>
      <c r="AZ523" s="220"/>
      <c r="BA523" s="220"/>
      <c r="BB523" s="211" t="str">
        <f t="shared" si="100"/>
        <v>Kidland</v>
      </c>
      <c r="BC523" s="211" t="str">
        <f t="shared" si="101"/>
        <v>埃及</v>
      </c>
    </row>
    <row r="524" s="197" customFormat="1" customHeight="1" spans="1:55">
      <c r="A524" s="271">
        <v>46148</v>
      </c>
      <c r="B524" s="208" t="str">
        <f ca="1" t="shared" si="90"/>
        <v/>
      </c>
      <c r="C524" s="211" t="str">
        <f>VLOOKUP(H524,名称!A:E,4,0)</f>
        <v>三代</v>
      </c>
      <c r="D524" s="220" t="s">
        <v>1489</v>
      </c>
      <c r="E524" s="220" t="s">
        <v>1858</v>
      </c>
      <c r="F524" s="220" t="s">
        <v>815</v>
      </c>
      <c r="G524" s="220" t="s">
        <v>816</v>
      </c>
      <c r="H524" s="220" t="s">
        <v>98</v>
      </c>
      <c r="I524" s="220"/>
      <c r="J524" s="270">
        <v>360</v>
      </c>
      <c r="K524" s="223">
        <f>VLOOKUP(H524,名称!A:C,2,0)</f>
        <v>12</v>
      </c>
      <c r="L524" s="212">
        <f t="shared" si="91"/>
        <v>4320</v>
      </c>
      <c r="M524" s="211">
        <f>VLOOKUP(H524,名称!A:E,3,0)</f>
        <v>12</v>
      </c>
      <c r="N524" s="212">
        <f t="shared" si="97"/>
        <v>30</v>
      </c>
      <c r="O524" s="271">
        <v>46195</v>
      </c>
      <c r="P524" s="271">
        <f t="shared" si="98"/>
        <v>46195</v>
      </c>
      <c r="Q524" s="256">
        <v>46203</v>
      </c>
      <c r="R524" s="267" t="s">
        <v>1241</v>
      </c>
      <c r="S524" s="220" t="s">
        <v>1133</v>
      </c>
      <c r="T524" s="220"/>
      <c r="U524" s="220"/>
      <c r="V524" s="220"/>
      <c r="W524" s="220"/>
      <c r="X524" s="257" t="s">
        <v>1248</v>
      </c>
      <c r="Y524" s="263">
        <v>46182</v>
      </c>
      <c r="Z524" s="211" t="s">
        <v>1249</v>
      </c>
      <c r="AA524" s="284">
        <v>46154</v>
      </c>
      <c r="AB524" s="284">
        <v>46167</v>
      </c>
      <c r="AC524" s="257" t="s">
        <v>1302</v>
      </c>
      <c r="AD524" s="257" t="s">
        <v>1228</v>
      </c>
      <c r="AE524" s="220" t="s">
        <v>510</v>
      </c>
      <c r="AF524" s="257" t="s">
        <v>1228</v>
      </c>
      <c r="AG524" s="257" t="s">
        <v>510</v>
      </c>
      <c r="AH524" s="257" t="s">
        <v>1307</v>
      </c>
      <c r="AI524" s="257" t="s">
        <v>1228</v>
      </c>
      <c r="AJ524" s="257" t="s">
        <v>1133</v>
      </c>
      <c r="AK524" s="257" t="s">
        <v>1133</v>
      </c>
      <c r="AL524" s="257"/>
      <c r="AM524" s="257" t="s">
        <v>1506</v>
      </c>
      <c r="AN524" s="220" t="s">
        <v>1251</v>
      </c>
      <c r="AO524" s="215">
        <v>1.65</v>
      </c>
      <c r="AP524" s="216">
        <f t="shared" si="102"/>
        <v>594</v>
      </c>
      <c r="AQ524" s="216">
        <f t="shared" si="103"/>
        <v>4603.5</v>
      </c>
      <c r="AR524" s="269">
        <v>61418</v>
      </c>
      <c r="AS524" s="255">
        <v>46220</v>
      </c>
      <c r="AT524" s="220" t="s">
        <v>1220</v>
      </c>
      <c r="AU524" s="253">
        <v>360</v>
      </c>
      <c r="AV524" s="252">
        <f t="shared" si="99"/>
        <v>0</v>
      </c>
      <c r="AW524" s="267" t="s">
        <v>1228</v>
      </c>
      <c r="AX524" s="257"/>
      <c r="AY524" s="220"/>
      <c r="AZ524" s="220"/>
      <c r="BA524" s="220"/>
      <c r="BB524" s="211" t="str">
        <f t="shared" si="100"/>
        <v>Kidland</v>
      </c>
      <c r="BC524" s="211" t="str">
        <f t="shared" si="101"/>
        <v>埃及</v>
      </c>
    </row>
    <row r="525" s="194" customFormat="1" customHeight="1" spans="1:55">
      <c r="A525" s="271">
        <v>46148</v>
      </c>
      <c r="B525" s="208" t="str">
        <f ca="1" t="shared" si="90"/>
        <v/>
      </c>
      <c r="C525" s="211" t="str">
        <f>VLOOKUP(H525,名称!A:E,4,0)</f>
        <v>蛋糕</v>
      </c>
      <c r="D525" s="220" t="s">
        <v>1489</v>
      </c>
      <c r="E525" s="220" t="s">
        <v>1858</v>
      </c>
      <c r="F525" s="220" t="s">
        <v>815</v>
      </c>
      <c r="G525" s="220" t="s">
        <v>816</v>
      </c>
      <c r="H525" s="220" t="s">
        <v>123</v>
      </c>
      <c r="I525" s="211"/>
      <c r="J525" s="270">
        <v>960</v>
      </c>
      <c r="K525" s="223">
        <f>VLOOKUP(H525,名称!A:C,2,0)</f>
        <v>0</v>
      </c>
      <c r="L525" s="212">
        <f t="shared" si="91"/>
        <v>0</v>
      </c>
      <c r="M525" s="211">
        <f>VLOOKUP(H525,名称!A:E,3,0)</f>
        <v>24</v>
      </c>
      <c r="N525" s="212">
        <f t="shared" si="97"/>
        <v>40</v>
      </c>
      <c r="O525" s="271">
        <v>46195</v>
      </c>
      <c r="P525" s="271">
        <f t="shared" si="98"/>
        <v>46195</v>
      </c>
      <c r="Q525" s="271">
        <v>46209</v>
      </c>
      <c r="R525" s="241" t="s">
        <v>1241</v>
      </c>
      <c r="S525" s="256" t="s">
        <v>1133</v>
      </c>
      <c r="T525" s="211"/>
      <c r="U525" s="211"/>
      <c r="V525" s="211"/>
      <c r="W525" s="208"/>
      <c r="X525" s="220" t="s">
        <v>1248</v>
      </c>
      <c r="Y525" s="263">
        <v>46182</v>
      </c>
      <c r="Z525" s="211" t="s">
        <v>1249</v>
      </c>
      <c r="AA525" s="214">
        <v>46154</v>
      </c>
      <c r="AB525" s="214">
        <v>46167</v>
      </c>
      <c r="AC525" s="211" t="s">
        <v>1133</v>
      </c>
      <c r="AD525" s="211" t="s">
        <v>1133</v>
      </c>
      <c r="AE525" s="220" t="s">
        <v>510</v>
      </c>
      <c r="AF525" s="211" t="s">
        <v>1228</v>
      </c>
      <c r="AG525" s="220" t="s">
        <v>510</v>
      </c>
      <c r="AH525" s="211" t="s">
        <v>1133</v>
      </c>
      <c r="AI525" s="211" t="s">
        <v>1228</v>
      </c>
      <c r="AJ525" s="211" t="s">
        <v>1133</v>
      </c>
      <c r="AK525" s="211" t="s">
        <v>1228</v>
      </c>
      <c r="AL525" s="211"/>
      <c r="AM525" s="257" t="s">
        <v>1506</v>
      </c>
      <c r="AN525" s="220" t="s">
        <v>1507</v>
      </c>
      <c r="AO525" s="215">
        <v>0.81</v>
      </c>
      <c r="AP525" s="216">
        <f t="shared" si="102"/>
        <v>777.6</v>
      </c>
      <c r="AQ525" s="216">
        <f t="shared" si="103"/>
        <v>6026.4</v>
      </c>
      <c r="AR525" s="269">
        <v>61418</v>
      </c>
      <c r="AS525" s="255">
        <v>46220</v>
      </c>
      <c r="AT525" s="208" t="s">
        <v>1220</v>
      </c>
      <c r="AU525" s="208"/>
      <c r="AV525" s="208"/>
      <c r="AW525" s="241" t="s">
        <v>1228</v>
      </c>
      <c r="AX525" s="208"/>
      <c r="AY525" s="208"/>
      <c r="AZ525" s="208"/>
      <c r="BA525" s="208"/>
      <c r="BB525" s="208" t="str">
        <f t="shared" si="100"/>
        <v>Kidland</v>
      </c>
      <c r="BC525" s="208" t="str">
        <f t="shared" si="101"/>
        <v>埃及</v>
      </c>
    </row>
    <row r="526" s="194" customFormat="1" customHeight="1" spans="1:55">
      <c r="A526" s="271">
        <v>46148</v>
      </c>
      <c r="B526" s="208" t="str">
        <f ca="1" t="shared" si="90"/>
        <v/>
      </c>
      <c r="C526" s="211" t="str">
        <f>VLOOKUP(H526,名称!A:E,4,0)</f>
        <v>蛋糕</v>
      </c>
      <c r="D526" s="220" t="s">
        <v>1489</v>
      </c>
      <c r="E526" s="220" t="s">
        <v>1858</v>
      </c>
      <c r="F526" s="220" t="s">
        <v>815</v>
      </c>
      <c r="G526" s="220" t="s">
        <v>816</v>
      </c>
      <c r="H526" s="220" t="s">
        <v>50</v>
      </c>
      <c r="I526" s="211"/>
      <c r="J526" s="270">
        <v>720</v>
      </c>
      <c r="K526" s="223">
        <f>VLOOKUP(H526,名称!A:C,2,0)</f>
        <v>0</v>
      </c>
      <c r="L526" s="212">
        <f t="shared" si="91"/>
        <v>0</v>
      </c>
      <c r="M526" s="211">
        <f>VLOOKUP(H526,名称!A:E,3,0)</f>
        <v>18</v>
      </c>
      <c r="N526" s="212">
        <f t="shared" si="97"/>
        <v>40</v>
      </c>
      <c r="O526" s="271">
        <v>46195</v>
      </c>
      <c r="P526" s="271">
        <f t="shared" si="98"/>
        <v>46195</v>
      </c>
      <c r="Q526" s="256">
        <v>46209</v>
      </c>
      <c r="R526" s="267" t="s">
        <v>1241</v>
      </c>
      <c r="S526" s="256" t="s">
        <v>1133</v>
      </c>
      <c r="T526" s="211"/>
      <c r="U526" s="211"/>
      <c r="V526" s="211"/>
      <c r="W526" s="208"/>
      <c r="X526" s="220" t="s">
        <v>1248</v>
      </c>
      <c r="Y526" s="263">
        <v>46182</v>
      </c>
      <c r="Z526" s="211" t="s">
        <v>1249</v>
      </c>
      <c r="AA526" s="214">
        <v>46154</v>
      </c>
      <c r="AB526" s="214">
        <v>46167</v>
      </c>
      <c r="AC526" s="211" t="s">
        <v>1133</v>
      </c>
      <c r="AD526" s="211" t="s">
        <v>1133</v>
      </c>
      <c r="AE526" s="220" t="s">
        <v>510</v>
      </c>
      <c r="AF526" s="211" t="s">
        <v>1228</v>
      </c>
      <c r="AG526" s="220" t="s">
        <v>510</v>
      </c>
      <c r="AH526" s="211" t="s">
        <v>1133</v>
      </c>
      <c r="AI526" s="211" t="s">
        <v>1228</v>
      </c>
      <c r="AJ526" s="211" t="s">
        <v>1133</v>
      </c>
      <c r="AK526" s="211" t="s">
        <v>1228</v>
      </c>
      <c r="AL526" s="211"/>
      <c r="AM526" s="257" t="s">
        <v>1506</v>
      </c>
      <c r="AN526" s="220" t="s">
        <v>1507</v>
      </c>
      <c r="AO526" s="215">
        <v>1.15</v>
      </c>
      <c r="AP526" s="216">
        <f t="shared" si="102"/>
        <v>828</v>
      </c>
      <c r="AQ526" s="216">
        <f t="shared" si="103"/>
        <v>6417</v>
      </c>
      <c r="AR526" s="269">
        <v>61418</v>
      </c>
      <c r="AS526" s="255">
        <v>46220</v>
      </c>
      <c r="AT526" s="208" t="s">
        <v>1220</v>
      </c>
      <c r="AU526" s="208"/>
      <c r="AV526" s="208"/>
      <c r="AW526" s="241" t="s">
        <v>1228</v>
      </c>
      <c r="AX526" s="208"/>
      <c r="AY526" s="208"/>
      <c r="AZ526" s="208"/>
      <c r="BA526" s="208"/>
      <c r="BB526" s="208" t="str">
        <f t="shared" si="100"/>
        <v>Kidland</v>
      </c>
      <c r="BC526" s="208" t="str">
        <f t="shared" si="101"/>
        <v>埃及</v>
      </c>
    </row>
    <row r="527" s="194" customFormat="1" customHeight="1" spans="1:55">
      <c r="A527" s="271">
        <v>46148</v>
      </c>
      <c r="B527" s="208" t="str">
        <f ca="1" t="shared" si="90"/>
        <v/>
      </c>
      <c r="C527" s="211" t="str">
        <f>VLOOKUP(H527,名称!A:E,4,0)</f>
        <v>蛋糕</v>
      </c>
      <c r="D527" s="220" t="s">
        <v>1489</v>
      </c>
      <c r="E527" s="220" t="s">
        <v>1858</v>
      </c>
      <c r="F527" s="220" t="s">
        <v>815</v>
      </c>
      <c r="G527" s="220" t="s">
        <v>816</v>
      </c>
      <c r="H527" s="220" t="s">
        <v>52</v>
      </c>
      <c r="I527" s="211"/>
      <c r="J527" s="270">
        <v>600</v>
      </c>
      <c r="K527" s="223">
        <f>VLOOKUP(H527,名称!A:C,2,0)</f>
        <v>0</v>
      </c>
      <c r="L527" s="212">
        <f t="shared" si="91"/>
        <v>0</v>
      </c>
      <c r="M527" s="211">
        <f>VLOOKUP(H527,名称!A:E,3,0)</f>
        <v>4</v>
      </c>
      <c r="N527" s="212">
        <f t="shared" si="97"/>
        <v>150</v>
      </c>
      <c r="O527" s="271">
        <v>46195</v>
      </c>
      <c r="P527" s="271">
        <f t="shared" si="98"/>
        <v>46195</v>
      </c>
      <c r="Q527" s="256">
        <v>46209</v>
      </c>
      <c r="R527" s="267" t="s">
        <v>1241</v>
      </c>
      <c r="S527" s="256" t="s">
        <v>1133</v>
      </c>
      <c r="T527" s="211"/>
      <c r="U527" s="211"/>
      <c r="V527" s="211"/>
      <c r="W527" s="208"/>
      <c r="X527" s="220" t="s">
        <v>1248</v>
      </c>
      <c r="Y527" s="263">
        <v>46182</v>
      </c>
      <c r="Z527" s="211" t="s">
        <v>1249</v>
      </c>
      <c r="AA527" s="214">
        <v>46154</v>
      </c>
      <c r="AB527" s="214">
        <v>46167</v>
      </c>
      <c r="AC527" s="211" t="s">
        <v>1133</v>
      </c>
      <c r="AD527" s="211" t="s">
        <v>1133</v>
      </c>
      <c r="AE527" s="211" t="s">
        <v>510</v>
      </c>
      <c r="AF527" s="211" t="s">
        <v>1228</v>
      </c>
      <c r="AG527" s="211" t="s">
        <v>510</v>
      </c>
      <c r="AH527" s="211" t="s">
        <v>1133</v>
      </c>
      <c r="AI527" s="211" t="s">
        <v>1228</v>
      </c>
      <c r="AJ527" s="211" t="s">
        <v>1133</v>
      </c>
      <c r="AK527" s="211" t="s">
        <v>1228</v>
      </c>
      <c r="AL527" s="211"/>
      <c r="AM527" s="257" t="s">
        <v>1506</v>
      </c>
      <c r="AN527" s="220" t="s">
        <v>1507</v>
      </c>
      <c r="AO527" s="215">
        <v>2.93</v>
      </c>
      <c r="AP527" s="216">
        <f t="shared" si="102"/>
        <v>1758</v>
      </c>
      <c r="AQ527" s="216">
        <f t="shared" si="103"/>
        <v>13624.5</v>
      </c>
      <c r="AR527" s="269">
        <v>61418</v>
      </c>
      <c r="AS527" s="255">
        <v>46220</v>
      </c>
      <c r="AT527" s="208" t="s">
        <v>1220</v>
      </c>
      <c r="AU527" s="208"/>
      <c r="AV527" s="208"/>
      <c r="AW527" s="241" t="s">
        <v>1228</v>
      </c>
      <c r="AX527" s="208"/>
      <c r="AY527" s="208"/>
      <c r="AZ527" s="208"/>
      <c r="BA527" s="208"/>
      <c r="BB527" s="208" t="str">
        <f t="shared" si="100"/>
        <v>Kidland</v>
      </c>
      <c r="BC527" s="208" t="str">
        <f t="shared" si="101"/>
        <v>埃及</v>
      </c>
    </row>
    <row r="528" s="194" customFormat="1" customHeight="1" spans="1:55">
      <c r="A528" s="248">
        <v>46148</v>
      </c>
      <c r="B528" s="208" t="str">
        <f ca="1" t="shared" si="90"/>
        <v/>
      </c>
      <c r="C528" s="209" t="str">
        <f>VLOOKUP(H528,名称!A:E,4,0)</f>
        <v>二代</v>
      </c>
      <c r="D528" s="268" t="s">
        <v>1489</v>
      </c>
      <c r="E528" s="268" t="s">
        <v>1858</v>
      </c>
      <c r="F528" s="268" t="s">
        <v>815</v>
      </c>
      <c r="G528" s="268" t="s">
        <v>816</v>
      </c>
      <c r="H528" s="268" t="s">
        <v>65</v>
      </c>
      <c r="I528" s="211"/>
      <c r="J528" s="272">
        <v>1080</v>
      </c>
      <c r="K528" s="223">
        <f>VLOOKUP(H528,名称!A:C,2,0)</f>
        <v>5</v>
      </c>
      <c r="L528" s="212">
        <f t="shared" si="91"/>
        <v>5400</v>
      </c>
      <c r="M528" s="211">
        <f>VLOOKUP(H528,名称!A:E,3,0)</f>
        <v>24</v>
      </c>
      <c r="N528" s="212">
        <f t="shared" si="97"/>
        <v>45</v>
      </c>
      <c r="O528" s="248">
        <v>46195</v>
      </c>
      <c r="P528" s="248">
        <f t="shared" si="98"/>
        <v>46195</v>
      </c>
      <c r="Q528" s="274">
        <v>46212</v>
      </c>
      <c r="R528" s="241" t="s">
        <v>1241</v>
      </c>
      <c r="S528" s="208" t="s">
        <v>1133</v>
      </c>
      <c r="T528" s="211"/>
      <c r="U528" s="211"/>
      <c r="V528" s="211"/>
      <c r="W528" s="208"/>
      <c r="X528" s="268" t="s">
        <v>1248</v>
      </c>
      <c r="Y528" s="213">
        <v>46182</v>
      </c>
      <c r="Z528" s="211" t="s">
        <v>1249</v>
      </c>
      <c r="AA528" s="214">
        <v>46156</v>
      </c>
      <c r="AB528" s="213">
        <v>46170</v>
      </c>
      <c r="AC528" s="211" t="s">
        <v>1133</v>
      </c>
      <c r="AD528" s="211" t="s">
        <v>1133</v>
      </c>
      <c r="AE528" s="268" t="s">
        <v>327</v>
      </c>
      <c r="AF528" s="268" t="s">
        <v>1228</v>
      </c>
      <c r="AG528" s="268" t="s">
        <v>327</v>
      </c>
      <c r="AH528" s="211" t="s">
        <v>1133</v>
      </c>
      <c r="AI528" s="211" t="s">
        <v>1133</v>
      </c>
      <c r="AJ528" s="211" t="s">
        <v>1133</v>
      </c>
      <c r="AK528" s="211" t="s">
        <v>327</v>
      </c>
      <c r="AL528" s="211" t="s">
        <v>1228</v>
      </c>
      <c r="AM528" s="211" t="s">
        <v>1506</v>
      </c>
      <c r="AN528" s="268" t="s">
        <v>1251</v>
      </c>
      <c r="AO528" s="215">
        <v>0.65</v>
      </c>
      <c r="AP528" s="216">
        <f t="shared" si="102"/>
        <v>702</v>
      </c>
      <c r="AQ528" s="216">
        <f t="shared" si="103"/>
        <v>5440.5</v>
      </c>
      <c r="AR528" s="269">
        <v>61418</v>
      </c>
      <c r="AS528" s="255">
        <v>46220</v>
      </c>
      <c r="AT528" s="208" t="s">
        <v>1220</v>
      </c>
      <c r="AU528" s="208"/>
      <c r="AV528" s="253"/>
      <c r="AW528" s="253">
        <f>AV528-J528</f>
        <v>-1080</v>
      </c>
      <c r="AX528" s="208"/>
      <c r="AY528" s="208"/>
      <c r="AZ528" s="208"/>
      <c r="BA528" s="208"/>
      <c r="BB528" s="212" t="str">
        <f t="shared" si="100"/>
        <v>Kidland</v>
      </c>
      <c r="BC528" s="212" t="str">
        <f>IFERROR(E528,"")</f>
        <v>埃及</v>
      </c>
    </row>
    <row r="529" s="194" customFormat="1" customHeight="1" spans="1:55">
      <c r="A529" s="208">
        <v>46107</v>
      </c>
      <c r="B529" s="208" t="str">
        <f ca="1" t="shared" si="90"/>
        <v/>
      </c>
      <c r="C529" s="211" t="str">
        <f>VLOOKUP(H529,名称!A:E,4,0)</f>
        <v>三代</v>
      </c>
      <c r="D529" s="210" t="s">
        <v>1556</v>
      </c>
      <c r="E529" s="210" t="s">
        <v>1557</v>
      </c>
      <c r="F529" s="211"/>
      <c r="G529" s="211" t="s">
        <v>581</v>
      </c>
      <c r="H529" s="211" t="s">
        <v>59</v>
      </c>
      <c r="I529" s="211"/>
      <c r="J529" s="212">
        <v>12072</v>
      </c>
      <c r="K529" s="223">
        <f>VLOOKUP(H529,名称!A:C,2,0)</f>
        <v>5</v>
      </c>
      <c r="L529" s="212">
        <f t="shared" si="91"/>
        <v>60360</v>
      </c>
      <c r="M529" s="211">
        <f>VLOOKUP(H529,名称!A:E,3,0)</f>
        <v>24</v>
      </c>
      <c r="N529" s="212">
        <f t="shared" si="97"/>
        <v>503</v>
      </c>
      <c r="O529" s="208">
        <v>46161</v>
      </c>
      <c r="P529" s="256">
        <v>46211</v>
      </c>
      <c r="Q529" s="256">
        <v>46211</v>
      </c>
      <c r="R529" s="241" t="s">
        <v>1241</v>
      </c>
      <c r="S529" s="256" t="s">
        <v>1133</v>
      </c>
      <c r="T529" s="211" t="s">
        <v>1860</v>
      </c>
      <c r="U529" s="211"/>
      <c r="V529" s="211"/>
      <c r="W529" s="208"/>
      <c r="X529" s="211" t="s">
        <v>1248</v>
      </c>
      <c r="Y529" s="213">
        <v>46150</v>
      </c>
      <c r="Z529" s="257" t="s">
        <v>1249</v>
      </c>
      <c r="AA529" s="264">
        <v>46112</v>
      </c>
      <c r="AB529" s="214">
        <v>46168</v>
      </c>
      <c r="AC529" s="257" t="s">
        <v>1133</v>
      </c>
      <c r="AD529" s="257" t="s">
        <v>1133</v>
      </c>
      <c r="AE529" s="211" t="s">
        <v>510</v>
      </c>
      <c r="AF529" s="257" t="s">
        <v>1228</v>
      </c>
      <c r="AG529" s="257" t="s">
        <v>510</v>
      </c>
      <c r="AH529" s="257" t="s">
        <v>1133</v>
      </c>
      <c r="AI529" s="257" t="s">
        <v>1228</v>
      </c>
      <c r="AJ529" s="257" t="s">
        <v>1133</v>
      </c>
      <c r="AK529" s="211" t="s">
        <v>510</v>
      </c>
      <c r="AL529" s="257"/>
      <c r="AM529" s="211" t="s">
        <v>1279</v>
      </c>
      <c r="AN529" s="212" t="s">
        <v>1251</v>
      </c>
      <c r="AO529" s="215">
        <v>0.62</v>
      </c>
      <c r="AP529" s="216">
        <f t="shared" si="102"/>
        <v>7484.64</v>
      </c>
      <c r="AQ529" s="216">
        <f t="shared" si="103"/>
        <v>58005.96</v>
      </c>
      <c r="AR529" s="269">
        <v>61419</v>
      </c>
      <c r="AS529" s="255">
        <v>46220</v>
      </c>
      <c r="AT529" s="208" t="s">
        <v>1220</v>
      </c>
      <c r="AU529" s="253">
        <f>12048+24</f>
        <v>12072</v>
      </c>
      <c r="AV529" s="252">
        <f t="shared" ref="AV529:AV557" si="104">AU529-J529</f>
        <v>0</v>
      </c>
      <c r="AW529" s="252"/>
      <c r="AX529" s="256" t="s">
        <v>1280</v>
      </c>
      <c r="AY529" s="208" t="s">
        <v>1262</v>
      </c>
      <c r="AZ529" s="208" t="s">
        <v>1256</v>
      </c>
      <c r="BA529" s="208"/>
      <c r="BB529" s="208" t="str">
        <f t="shared" si="100"/>
        <v>Orbico Sp. z o.o.</v>
      </c>
      <c r="BC529" s="208" t="str">
        <f t="shared" ref="BC529:BC560" si="105">E529</f>
        <v>波兰</v>
      </c>
    </row>
    <row r="530" s="194" customFormat="1" customHeight="1" spans="1:55">
      <c r="A530" s="208">
        <v>46107</v>
      </c>
      <c r="B530" s="208" t="str">
        <f ca="1" t="shared" si="90"/>
        <v/>
      </c>
      <c r="C530" s="211" t="str">
        <f>VLOOKUP(H530,名称!A:E,4,0)</f>
        <v>三代</v>
      </c>
      <c r="D530" s="210" t="s">
        <v>1556</v>
      </c>
      <c r="E530" s="210" t="s">
        <v>1557</v>
      </c>
      <c r="F530" s="211"/>
      <c r="G530" s="211" t="s">
        <v>581</v>
      </c>
      <c r="H530" s="211" t="s">
        <v>66</v>
      </c>
      <c r="I530" s="211"/>
      <c r="J530" s="212">
        <v>5430</v>
      </c>
      <c r="K530" s="223">
        <f>VLOOKUP(H530,名称!A:C,2,0)</f>
        <v>12</v>
      </c>
      <c r="L530" s="212">
        <f t="shared" si="91"/>
        <v>65160</v>
      </c>
      <c r="M530" s="211">
        <f>VLOOKUP(H530,名称!A:E,3,0)</f>
        <v>6</v>
      </c>
      <c r="N530" s="212">
        <f t="shared" si="97"/>
        <v>905</v>
      </c>
      <c r="O530" s="208">
        <v>46161</v>
      </c>
      <c r="P530" s="256">
        <v>46211</v>
      </c>
      <c r="Q530" s="256">
        <v>46211</v>
      </c>
      <c r="R530" s="241" t="s">
        <v>1241</v>
      </c>
      <c r="S530" s="256" t="s">
        <v>1133</v>
      </c>
      <c r="T530" s="211" t="s">
        <v>1860</v>
      </c>
      <c r="U530" s="211"/>
      <c r="V530" s="211" t="s">
        <v>1861</v>
      </c>
      <c r="W530" s="208"/>
      <c r="X530" s="211" t="s">
        <v>1248</v>
      </c>
      <c r="Y530" s="213">
        <v>46150</v>
      </c>
      <c r="Z530" s="257" t="s">
        <v>1249</v>
      </c>
      <c r="AA530" s="264">
        <v>46112</v>
      </c>
      <c r="AB530" s="214">
        <v>46168</v>
      </c>
      <c r="AC530" s="257" t="s">
        <v>1318</v>
      </c>
      <c r="AD530" s="257" t="s">
        <v>1228</v>
      </c>
      <c r="AE530" s="211" t="s">
        <v>510</v>
      </c>
      <c r="AF530" s="257" t="s">
        <v>1228</v>
      </c>
      <c r="AG530" s="257" t="s">
        <v>510</v>
      </c>
      <c r="AH530" s="257" t="s">
        <v>1307</v>
      </c>
      <c r="AI530" s="257" t="s">
        <v>1228</v>
      </c>
      <c r="AJ530" s="257" t="s">
        <v>510</v>
      </c>
      <c r="AK530" s="211" t="s">
        <v>1133</v>
      </c>
      <c r="AL530" s="257"/>
      <c r="AM530" s="211" t="s">
        <v>1279</v>
      </c>
      <c r="AN530" s="212" t="s">
        <v>1251</v>
      </c>
      <c r="AO530" s="215">
        <v>2.02</v>
      </c>
      <c r="AP530" s="216">
        <f t="shared" si="102"/>
        <v>10968.6</v>
      </c>
      <c r="AQ530" s="216">
        <f t="shared" si="103"/>
        <v>85006.65</v>
      </c>
      <c r="AR530" s="269">
        <v>61419</v>
      </c>
      <c r="AS530" s="255">
        <v>46220</v>
      </c>
      <c r="AT530" s="208" t="s">
        <v>1220</v>
      </c>
      <c r="AU530" s="253">
        <v>5430</v>
      </c>
      <c r="AV530" s="252">
        <f t="shared" si="104"/>
        <v>0</v>
      </c>
      <c r="AW530" s="252"/>
      <c r="AX530" s="256" t="s">
        <v>1280</v>
      </c>
      <c r="AY530" s="208" t="s">
        <v>1262</v>
      </c>
      <c r="AZ530" s="208" t="s">
        <v>1256</v>
      </c>
      <c r="BA530" s="208"/>
      <c r="BB530" s="208" t="str">
        <f t="shared" si="100"/>
        <v>Orbico Sp. z o.o.</v>
      </c>
      <c r="BC530" s="208" t="str">
        <f t="shared" si="105"/>
        <v>波兰</v>
      </c>
    </row>
    <row r="531" s="194" customFormat="1" customHeight="1" spans="1:55">
      <c r="A531" s="208">
        <v>46107</v>
      </c>
      <c r="B531" s="208" t="str">
        <f ca="1" t="shared" ref="B531:B594" si="106">IF(TODAY()-5&gt;=A531,IF(AB531="","异常",""),"")</f>
        <v/>
      </c>
      <c r="C531" s="211" t="str">
        <f>VLOOKUP(H531,名称!A:E,4,0)</f>
        <v>三代</v>
      </c>
      <c r="D531" s="210" t="s">
        <v>1556</v>
      </c>
      <c r="E531" s="210" t="s">
        <v>1557</v>
      </c>
      <c r="F531" s="211"/>
      <c r="G531" s="211" t="s">
        <v>581</v>
      </c>
      <c r="H531" s="211" t="s">
        <v>68</v>
      </c>
      <c r="I531" s="211"/>
      <c r="J531" s="212">
        <v>4020</v>
      </c>
      <c r="K531" s="223">
        <f>VLOOKUP(H531,名称!A:C,2,0)</f>
        <v>32</v>
      </c>
      <c r="L531" s="212">
        <f t="shared" ref="L531:L560" si="107">J531*K531</f>
        <v>128640</v>
      </c>
      <c r="M531" s="211">
        <f>VLOOKUP(H531,名称!A:E,3,0)</f>
        <v>4</v>
      </c>
      <c r="N531" s="212">
        <f t="shared" si="97"/>
        <v>1005</v>
      </c>
      <c r="O531" s="208">
        <v>46161</v>
      </c>
      <c r="P531" s="256">
        <v>46211</v>
      </c>
      <c r="Q531" s="256">
        <v>46211</v>
      </c>
      <c r="R531" s="241" t="s">
        <v>1241</v>
      </c>
      <c r="S531" s="256" t="s">
        <v>1133</v>
      </c>
      <c r="T531" s="211" t="s">
        <v>1860</v>
      </c>
      <c r="U531" s="211"/>
      <c r="V531" s="211" t="s">
        <v>1862</v>
      </c>
      <c r="W531" s="208"/>
      <c r="X531" s="211" t="s">
        <v>1248</v>
      </c>
      <c r="Y531" s="213">
        <v>46150</v>
      </c>
      <c r="Z531" s="257" t="s">
        <v>1249</v>
      </c>
      <c r="AA531" s="264">
        <v>46112</v>
      </c>
      <c r="AB531" s="214">
        <v>46168</v>
      </c>
      <c r="AC531" s="257" t="s">
        <v>1133</v>
      </c>
      <c r="AD531" s="257" t="s">
        <v>1133</v>
      </c>
      <c r="AE531" s="211" t="s">
        <v>510</v>
      </c>
      <c r="AF531" s="257" t="s">
        <v>1228</v>
      </c>
      <c r="AG531" s="257" t="s">
        <v>510</v>
      </c>
      <c r="AH531" s="257" t="s">
        <v>1307</v>
      </c>
      <c r="AI531" s="257" t="s">
        <v>1228</v>
      </c>
      <c r="AJ531" s="257" t="s">
        <v>1133</v>
      </c>
      <c r="AK531" s="211" t="s">
        <v>1133</v>
      </c>
      <c r="AL531" s="257"/>
      <c r="AM531" s="211" t="s">
        <v>1279</v>
      </c>
      <c r="AN531" s="212" t="s">
        <v>1251</v>
      </c>
      <c r="AO531" s="215">
        <v>3.09</v>
      </c>
      <c r="AP531" s="216">
        <f t="shared" si="102"/>
        <v>12421.8</v>
      </c>
      <c r="AQ531" s="216">
        <f t="shared" si="103"/>
        <v>96268.95</v>
      </c>
      <c r="AR531" s="224" t="s">
        <v>1863</v>
      </c>
      <c r="AS531" s="255">
        <v>46220</v>
      </c>
      <c r="AT531" s="208" t="s">
        <v>1220</v>
      </c>
      <c r="AU531" s="253">
        <v>4020</v>
      </c>
      <c r="AV531" s="252">
        <f t="shared" si="104"/>
        <v>0</v>
      </c>
      <c r="AW531" s="252"/>
      <c r="AX531" s="256" t="s">
        <v>1280</v>
      </c>
      <c r="AY531" s="208" t="s">
        <v>1262</v>
      </c>
      <c r="AZ531" s="208" t="s">
        <v>1256</v>
      </c>
      <c r="BA531" s="208"/>
      <c r="BB531" s="208" t="str">
        <f t="shared" si="100"/>
        <v>Orbico Sp. z o.o.</v>
      </c>
      <c r="BC531" s="208" t="str">
        <f t="shared" si="105"/>
        <v>波兰</v>
      </c>
    </row>
    <row r="532" s="194" customFormat="1" customHeight="1" spans="1:55">
      <c r="A532" s="208">
        <v>46107</v>
      </c>
      <c r="B532" s="208" t="str">
        <f ca="1" t="shared" si="106"/>
        <v/>
      </c>
      <c r="C532" s="211" t="str">
        <f>VLOOKUP(H532,名称!A:E,4,0)</f>
        <v>三代</v>
      </c>
      <c r="D532" s="210" t="s">
        <v>1556</v>
      </c>
      <c r="E532" s="210" t="s">
        <v>1557</v>
      </c>
      <c r="F532" s="211"/>
      <c r="G532" s="211" t="s">
        <v>581</v>
      </c>
      <c r="H532" s="211" t="s">
        <v>112</v>
      </c>
      <c r="I532" s="211"/>
      <c r="J532" s="212">
        <v>804</v>
      </c>
      <c r="K532" s="223">
        <f>VLOOKUP(H532,名称!A:C,2,0)</f>
        <v>50</v>
      </c>
      <c r="L532" s="212">
        <f t="shared" si="107"/>
        <v>40200</v>
      </c>
      <c r="M532" s="211">
        <f>VLOOKUP(H532,名称!A:E,3,0)</f>
        <v>2</v>
      </c>
      <c r="N532" s="212">
        <f t="shared" si="97"/>
        <v>402</v>
      </c>
      <c r="O532" s="208">
        <v>46161</v>
      </c>
      <c r="P532" s="256">
        <v>46211</v>
      </c>
      <c r="Q532" s="256">
        <v>46211</v>
      </c>
      <c r="R532" s="241" t="s">
        <v>1241</v>
      </c>
      <c r="S532" s="256" t="s">
        <v>1133</v>
      </c>
      <c r="T532" s="211" t="s">
        <v>1860</v>
      </c>
      <c r="U532" s="211"/>
      <c r="V532" s="211" t="s">
        <v>1864</v>
      </c>
      <c r="W532" s="208"/>
      <c r="X532" s="211" t="s">
        <v>1248</v>
      </c>
      <c r="Y532" s="211" t="s">
        <v>1228</v>
      </c>
      <c r="Z532" s="257" t="s">
        <v>1249</v>
      </c>
      <c r="AA532" s="264">
        <v>46112</v>
      </c>
      <c r="AB532" s="214">
        <v>46168</v>
      </c>
      <c r="AC532" s="257" t="s">
        <v>1133</v>
      </c>
      <c r="AD532" s="257" t="s">
        <v>1133</v>
      </c>
      <c r="AE532" s="211" t="s">
        <v>510</v>
      </c>
      <c r="AF532" s="257" t="s">
        <v>1228</v>
      </c>
      <c r="AG532" s="257" t="s">
        <v>510</v>
      </c>
      <c r="AH532" s="257" t="s">
        <v>1133</v>
      </c>
      <c r="AI532" s="257" t="s">
        <v>1228</v>
      </c>
      <c r="AJ532" s="257" t="s">
        <v>1133</v>
      </c>
      <c r="AK532" s="211" t="s">
        <v>1356</v>
      </c>
      <c r="AL532" s="257"/>
      <c r="AM532" s="211" t="s">
        <v>1279</v>
      </c>
      <c r="AN532" s="212" t="s">
        <v>1251</v>
      </c>
      <c r="AO532" s="215">
        <v>9.12</v>
      </c>
      <c r="AP532" s="216">
        <f t="shared" si="102"/>
        <v>7332.48</v>
      </c>
      <c r="AQ532" s="216">
        <f t="shared" si="103"/>
        <v>56826.72</v>
      </c>
      <c r="AR532" s="269">
        <v>61419</v>
      </c>
      <c r="AS532" s="255">
        <v>46220</v>
      </c>
      <c r="AT532" s="208" t="s">
        <v>1220</v>
      </c>
      <c r="AU532" s="253"/>
      <c r="AV532" s="252">
        <f t="shared" si="104"/>
        <v>-804</v>
      </c>
      <c r="AW532" s="252"/>
      <c r="AX532" s="256"/>
      <c r="AY532" s="208" t="s">
        <v>1262</v>
      </c>
      <c r="AZ532" s="208" t="s">
        <v>1256</v>
      </c>
      <c r="BA532" s="208"/>
      <c r="BB532" s="208" t="str">
        <f t="shared" si="100"/>
        <v>Orbico Sp. z o.o.</v>
      </c>
      <c r="BC532" s="208" t="str">
        <f t="shared" si="105"/>
        <v>波兰</v>
      </c>
    </row>
    <row r="533" s="194" customFormat="1" customHeight="1" spans="1:55">
      <c r="A533" s="208">
        <v>46107</v>
      </c>
      <c r="B533" s="208" t="str">
        <f ca="1" t="shared" si="106"/>
        <v/>
      </c>
      <c r="C533" s="211" t="str">
        <f>VLOOKUP(H533,名称!A:E,4,0)</f>
        <v>三代</v>
      </c>
      <c r="D533" s="210" t="s">
        <v>1556</v>
      </c>
      <c r="E533" s="210" t="s">
        <v>1557</v>
      </c>
      <c r="F533" s="211"/>
      <c r="G533" s="211" t="s">
        <v>581</v>
      </c>
      <c r="H533" s="211" t="s">
        <v>55</v>
      </c>
      <c r="I533" s="211"/>
      <c r="J533" s="212">
        <v>12064</v>
      </c>
      <c r="K533" s="223">
        <f>VLOOKUP(H533,名称!A:C,2,0)</f>
        <v>7</v>
      </c>
      <c r="L533" s="212">
        <f t="shared" si="107"/>
        <v>84448</v>
      </c>
      <c r="M533" s="211">
        <f>VLOOKUP(H533,名称!A:E,3,0)</f>
        <v>16</v>
      </c>
      <c r="N533" s="212">
        <f t="shared" si="97"/>
        <v>754</v>
      </c>
      <c r="O533" s="208">
        <v>46161</v>
      </c>
      <c r="P533" s="256">
        <v>46211</v>
      </c>
      <c r="Q533" s="256">
        <v>46216</v>
      </c>
      <c r="R533" s="241" t="s">
        <v>1241</v>
      </c>
      <c r="S533" s="256" t="s">
        <v>1133</v>
      </c>
      <c r="T533" s="211" t="s">
        <v>1860</v>
      </c>
      <c r="U533" s="211"/>
      <c r="V533" s="211"/>
      <c r="W533" s="208"/>
      <c r="X533" s="211" t="s">
        <v>1248</v>
      </c>
      <c r="Y533" s="213">
        <v>46150</v>
      </c>
      <c r="Z533" s="257" t="s">
        <v>1249</v>
      </c>
      <c r="AA533" s="264">
        <v>46112</v>
      </c>
      <c r="AB533" s="214">
        <v>46168</v>
      </c>
      <c r="AC533" s="257" t="s">
        <v>1284</v>
      </c>
      <c r="AD533" s="257" t="s">
        <v>1228</v>
      </c>
      <c r="AE533" s="211" t="s">
        <v>510</v>
      </c>
      <c r="AF533" s="257" t="s">
        <v>1228</v>
      </c>
      <c r="AG533" s="257" t="s">
        <v>1865</v>
      </c>
      <c r="AH533" s="257" t="s">
        <v>1866</v>
      </c>
      <c r="AI533" s="257" t="s">
        <v>1228</v>
      </c>
      <c r="AJ533" s="257" t="s">
        <v>1133</v>
      </c>
      <c r="AK533" s="211" t="s">
        <v>1133</v>
      </c>
      <c r="AL533" s="257"/>
      <c r="AM533" s="211" t="s">
        <v>1279</v>
      </c>
      <c r="AN533" s="212"/>
      <c r="AO533" s="215">
        <v>0.88</v>
      </c>
      <c r="AP533" s="216">
        <f t="shared" si="102"/>
        <v>10616.32</v>
      </c>
      <c r="AQ533" s="216">
        <f t="shared" si="103"/>
        <v>82276.48</v>
      </c>
      <c r="AR533" s="269">
        <v>61419</v>
      </c>
      <c r="AS533" s="255">
        <v>46220</v>
      </c>
      <c r="AT533" s="208" t="s">
        <v>1220</v>
      </c>
      <c r="AU533" s="253">
        <f>9600+2464</f>
        <v>12064</v>
      </c>
      <c r="AV533" s="252">
        <f t="shared" si="104"/>
        <v>0</v>
      </c>
      <c r="AW533" s="252"/>
      <c r="AX533" s="256" t="s">
        <v>1280</v>
      </c>
      <c r="AY533" s="208" t="s">
        <v>1262</v>
      </c>
      <c r="AZ533" s="208" t="s">
        <v>1256</v>
      </c>
      <c r="BA533" s="208"/>
      <c r="BB533" s="208" t="str">
        <f t="shared" si="100"/>
        <v>Orbico Sp. z o.o.</v>
      </c>
      <c r="BC533" s="208" t="str">
        <f t="shared" si="105"/>
        <v>波兰</v>
      </c>
    </row>
    <row r="534" s="194" customFormat="1" customHeight="1" spans="1:55">
      <c r="A534" s="208">
        <v>46107</v>
      </c>
      <c r="B534" s="208" t="str">
        <f ca="1" t="shared" si="106"/>
        <v/>
      </c>
      <c r="C534" s="211" t="str">
        <f>VLOOKUP(H534,名称!A:E,4,0)</f>
        <v>三代</v>
      </c>
      <c r="D534" s="210" t="s">
        <v>1556</v>
      </c>
      <c r="E534" s="210" t="s">
        <v>1557</v>
      </c>
      <c r="F534" s="211"/>
      <c r="G534" s="211" t="s">
        <v>581</v>
      </c>
      <c r="H534" s="211" t="s">
        <v>85</v>
      </c>
      <c r="I534" s="211"/>
      <c r="J534" s="212">
        <v>4824</v>
      </c>
      <c r="K534" s="223">
        <f>VLOOKUP(H534,名称!A:C,2,0)</f>
        <v>5</v>
      </c>
      <c r="L534" s="212">
        <f t="shared" si="107"/>
        <v>24120</v>
      </c>
      <c r="M534" s="211">
        <f>VLOOKUP(H534,名称!A:E,3,0)</f>
        <v>24</v>
      </c>
      <c r="N534" s="212">
        <f t="shared" si="97"/>
        <v>201</v>
      </c>
      <c r="O534" s="208">
        <v>46161</v>
      </c>
      <c r="P534" s="256">
        <v>46211</v>
      </c>
      <c r="Q534" s="256">
        <v>46216</v>
      </c>
      <c r="R534" s="241" t="s">
        <v>1277</v>
      </c>
      <c r="S534" s="256" t="s">
        <v>1133</v>
      </c>
      <c r="T534" s="211" t="s">
        <v>1860</v>
      </c>
      <c r="U534" s="211"/>
      <c r="V534" s="211" t="s">
        <v>1864</v>
      </c>
      <c r="W534" s="208"/>
      <c r="X534" s="211" t="s">
        <v>1248</v>
      </c>
      <c r="Y534" s="211" t="s">
        <v>1228</v>
      </c>
      <c r="Z534" s="257" t="s">
        <v>1249</v>
      </c>
      <c r="AA534" s="264">
        <v>46112</v>
      </c>
      <c r="AB534" s="214">
        <v>46168</v>
      </c>
      <c r="AC534" s="257" t="s">
        <v>1133</v>
      </c>
      <c r="AD534" s="257" t="s">
        <v>1133</v>
      </c>
      <c r="AE534" s="211" t="s">
        <v>510</v>
      </c>
      <c r="AF534" s="257" t="s">
        <v>1228</v>
      </c>
      <c r="AG534" s="257" t="s">
        <v>510</v>
      </c>
      <c r="AH534" s="257" t="s">
        <v>1133</v>
      </c>
      <c r="AI534" s="257" t="s">
        <v>1228</v>
      </c>
      <c r="AJ534" s="257" t="s">
        <v>1133</v>
      </c>
      <c r="AK534" s="211" t="s">
        <v>510</v>
      </c>
      <c r="AL534" s="257"/>
      <c r="AM534" s="211" t="s">
        <v>1279</v>
      </c>
      <c r="AN534" s="212" t="s">
        <v>1251</v>
      </c>
      <c r="AO534" s="215">
        <v>0.88</v>
      </c>
      <c r="AP534" s="216">
        <f t="shared" si="102"/>
        <v>4245.12</v>
      </c>
      <c r="AQ534" s="216">
        <f t="shared" si="103"/>
        <v>32899.68</v>
      </c>
      <c r="AR534" s="269">
        <v>61419</v>
      </c>
      <c r="AS534" s="255">
        <v>46220</v>
      </c>
      <c r="AT534" s="208" t="s">
        <v>1220</v>
      </c>
      <c r="AU534" s="251">
        <v>4824</v>
      </c>
      <c r="AV534" s="252">
        <f t="shared" si="104"/>
        <v>0</v>
      </c>
      <c r="AW534" s="252"/>
      <c r="AX534" s="256" t="s">
        <v>1280</v>
      </c>
      <c r="AY534" s="208" t="s">
        <v>1262</v>
      </c>
      <c r="AZ534" s="208" t="s">
        <v>1256</v>
      </c>
      <c r="BA534" s="208"/>
      <c r="BB534" s="208" t="str">
        <f t="shared" si="100"/>
        <v>Orbico Sp. z o.o.</v>
      </c>
      <c r="BC534" s="208" t="str">
        <f t="shared" si="105"/>
        <v>波兰</v>
      </c>
    </row>
    <row r="535" s="194" customFormat="1" customHeight="1" spans="1:55">
      <c r="A535" s="208">
        <v>46139</v>
      </c>
      <c r="B535" s="208" t="str">
        <f ca="1" t="shared" si="106"/>
        <v/>
      </c>
      <c r="C535" s="211" t="str">
        <f>VLOOKUP(H535,名称!A:E,4,0)</f>
        <v>三代</v>
      </c>
      <c r="D535" s="220" t="s">
        <v>1420</v>
      </c>
      <c r="E535" s="220" t="s">
        <v>1421</v>
      </c>
      <c r="F535" s="270">
        <v>21011783</v>
      </c>
      <c r="G535" s="220" t="s">
        <v>782</v>
      </c>
      <c r="H535" s="220" t="s">
        <v>88</v>
      </c>
      <c r="I535" s="211"/>
      <c r="J535" s="270">
        <v>28008</v>
      </c>
      <c r="K535" s="223">
        <f>VLOOKUP(H535,名称!A:C,2,0)</f>
        <v>5</v>
      </c>
      <c r="L535" s="212">
        <f t="shared" si="107"/>
        <v>140040</v>
      </c>
      <c r="M535" s="211">
        <f>VLOOKUP(H535,名称!A:E,3,0)</f>
        <v>24</v>
      </c>
      <c r="N535" s="212">
        <f t="shared" si="97"/>
        <v>1167</v>
      </c>
      <c r="O535" s="208">
        <v>46197</v>
      </c>
      <c r="P535" s="256">
        <f t="shared" ref="P535:P539" si="108">O535</f>
        <v>46197</v>
      </c>
      <c r="Q535" s="256">
        <v>46211</v>
      </c>
      <c r="R535" s="241" t="s">
        <v>1241</v>
      </c>
      <c r="S535" s="256" t="s">
        <v>1133</v>
      </c>
      <c r="T535" s="211"/>
      <c r="U535" s="211"/>
      <c r="V535" s="213">
        <v>46218</v>
      </c>
      <c r="W535" s="208"/>
      <c r="X535" s="220" t="s">
        <v>1248</v>
      </c>
      <c r="Y535" s="211" t="s">
        <v>1228</v>
      </c>
      <c r="Z535" s="263">
        <v>46142</v>
      </c>
      <c r="AA535" s="264">
        <v>46148</v>
      </c>
      <c r="AB535" s="263">
        <v>46163</v>
      </c>
      <c r="AC535" s="257" t="s">
        <v>1133</v>
      </c>
      <c r="AD535" s="257" t="s">
        <v>1133</v>
      </c>
      <c r="AE535" s="220" t="s">
        <v>510</v>
      </c>
      <c r="AF535" s="257" t="s">
        <v>1228</v>
      </c>
      <c r="AG535" s="257" t="s">
        <v>510</v>
      </c>
      <c r="AH535" s="257" t="s">
        <v>1133</v>
      </c>
      <c r="AI535" s="257" t="s">
        <v>1228</v>
      </c>
      <c r="AJ535" s="257" t="s">
        <v>1133</v>
      </c>
      <c r="AK535" s="257" t="s">
        <v>510</v>
      </c>
      <c r="AL535" s="257"/>
      <c r="AM535" s="257" t="s">
        <v>1292</v>
      </c>
      <c r="AN535" s="220" t="s">
        <v>1251</v>
      </c>
      <c r="AO535" s="215">
        <v>0.8</v>
      </c>
      <c r="AP535" s="216">
        <f t="shared" si="102"/>
        <v>22406.4</v>
      </c>
      <c r="AQ535" s="216">
        <f t="shared" si="103"/>
        <v>173649.6</v>
      </c>
      <c r="AR535" s="269">
        <v>61420</v>
      </c>
      <c r="AS535" s="255">
        <v>46220</v>
      </c>
      <c r="AT535" s="208" t="s">
        <v>1310</v>
      </c>
      <c r="AU535" s="253"/>
      <c r="AV535" s="252">
        <f t="shared" si="104"/>
        <v>-28008</v>
      </c>
      <c r="AW535" s="252"/>
      <c r="AX535" s="256"/>
      <c r="AY535" s="208"/>
      <c r="AZ535" s="208"/>
      <c r="BA535" s="208"/>
      <c r="BB535" s="208" t="str">
        <f t="shared" si="100"/>
        <v>Banter Toys</v>
      </c>
      <c r="BC535" s="208" t="str">
        <f t="shared" si="105"/>
        <v>澳大利亚</v>
      </c>
    </row>
    <row r="536" s="194" customFormat="1" customHeight="1" spans="1:55">
      <c r="A536" s="208">
        <v>46139</v>
      </c>
      <c r="B536" s="208" t="str">
        <f ca="1" t="shared" si="106"/>
        <v/>
      </c>
      <c r="C536" s="211" t="str">
        <f>VLOOKUP(H536,名称!A:E,4,0)</f>
        <v>三代</v>
      </c>
      <c r="D536" s="220" t="s">
        <v>1420</v>
      </c>
      <c r="E536" s="220" t="s">
        <v>1421</v>
      </c>
      <c r="F536" s="270">
        <v>21011783</v>
      </c>
      <c r="G536" s="220" t="s">
        <v>782</v>
      </c>
      <c r="H536" s="220" t="s">
        <v>122</v>
      </c>
      <c r="I536" s="211"/>
      <c r="J536" s="270">
        <v>3024</v>
      </c>
      <c r="K536" s="223">
        <f>VLOOKUP(H536,名称!A:C,2,0)</f>
        <v>12</v>
      </c>
      <c r="L536" s="212">
        <f t="shared" si="107"/>
        <v>36288</v>
      </c>
      <c r="M536" s="211">
        <f>VLOOKUP(H536,名称!A:E,3,0)</f>
        <v>12</v>
      </c>
      <c r="N536" s="212">
        <f t="shared" si="97"/>
        <v>252</v>
      </c>
      <c r="O536" s="208">
        <v>46197</v>
      </c>
      <c r="P536" s="256">
        <f t="shared" si="108"/>
        <v>46197</v>
      </c>
      <c r="Q536" s="256">
        <v>46216</v>
      </c>
      <c r="R536" s="267" t="s">
        <v>1241</v>
      </c>
      <c r="S536" s="256" t="s">
        <v>1133</v>
      </c>
      <c r="T536" s="211"/>
      <c r="U536" s="211"/>
      <c r="V536" s="263">
        <v>46218</v>
      </c>
      <c r="W536" s="208"/>
      <c r="X536" s="220" t="s">
        <v>1248</v>
      </c>
      <c r="Y536" s="211" t="s">
        <v>1228</v>
      </c>
      <c r="Z536" s="263">
        <v>46142</v>
      </c>
      <c r="AA536" s="264">
        <v>46148</v>
      </c>
      <c r="AB536" s="263">
        <v>46163</v>
      </c>
      <c r="AC536" s="257" t="s">
        <v>1302</v>
      </c>
      <c r="AD536" s="257" t="s">
        <v>1228</v>
      </c>
      <c r="AE536" s="220" t="s">
        <v>510</v>
      </c>
      <c r="AF536" s="257" t="s">
        <v>1228</v>
      </c>
      <c r="AG536" s="257" t="s">
        <v>510</v>
      </c>
      <c r="AH536" s="257" t="s">
        <v>1133</v>
      </c>
      <c r="AI536" s="257" t="s">
        <v>1228</v>
      </c>
      <c r="AJ536" s="257" t="s">
        <v>1133</v>
      </c>
      <c r="AK536" s="257" t="s">
        <v>1133</v>
      </c>
      <c r="AL536" s="257"/>
      <c r="AM536" s="257" t="s">
        <v>1292</v>
      </c>
      <c r="AN536" s="220" t="s">
        <v>1251</v>
      </c>
      <c r="AO536" s="215">
        <v>1.52</v>
      </c>
      <c r="AP536" s="216">
        <f t="shared" si="102"/>
        <v>4596.48</v>
      </c>
      <c r="AQ536" s="216">
        <f t="shared" si="103"/>
        <v>35622.72</v>
      </c>
      <c r="AR536" s="269">
        <v>61420</v>
      </c>
      <c r="AS536" s="255">
        <v>46220</v>
      </c>
      <c r="AT536" s="208" t="s">
        <v>1220</v>
      </c>
      <c r="AU536" s="253"/>
      <c r="AV536" s="252">
        <f t="shared" si="104"/>
        <v>-3024</v>
      </c>
      <c r="AW536" s="252"/>
      <c r="AX536" s="256"/>
      <c r="AY536" s="208"/>
      <c r="AZ536" s="208"/>
      <c r="BA536" s="208"/>
      <c r="BB536" s="208" t="str">
        <f t="shared" si="100"/>
        <v>Banter Toys</v>
      </c>
      <c r="BC536" s="208" t="str">
        <f t="shared" si="105"/>
        <v>澳大利亚</v>
      </c>
    </row>
    <row r="537" s="194" customFormat="1" customHeight="1" spans="1:55">
      <c r="A537" s="208">
        <v>46139</v>
      </c>
      <c r="B537" s="208" t="str">
        <f ca="1" t="shared" si="106"/>
        <v/>
      </c>
      <c r="C537" s="211" t="str">
        <f>VLOOKUP(H537,名称!A:E,4,0)</f>
        <v>三代</v>
      </c>
      <c r="D537" s="220" t="s">
        <v>1420</v>
      </c>
      <c r="E537" s="220" t="s">
        <v>1421</v>
      </c>
      <c r="F537" s="270">
        <v>21011783</v>
      </c>
      <c r="G537" s="220" t="s">
        <v>782</v>
      </c>
      <c r="H537" s="220" t="s">
        <v>89</v>
      </c>
      <c r="I537" s="211"/>
      <c r="J537" s="270">
        <v>16002</v>
      </c>
      <c r="K537" s="223">
        <f>VLOOKUP(H537,名称!A:C,2,0)</f>
        <v>12</v>
      </c>
      <c r="L537" s="212">
        <f t="shared" si="107"/>
        <v>192024</v>
      </c>
      <c r="M537" s="211">
        <f>VLOOKUP(H537,名称!A:E,3,0)</f>
        <v>6</v>
      </c>
      <c r="N537" s="212">
        <f t="shared" si="97"/>
        <v>2667</v>
      </c>
      <c r="O537" s="208">
        <v>46197</v>
      </c>
      <c r="P537" s="256">
        <f t="shared" si="108"/>
        <v>46197</v>
      </c>
      <c r="Q537" s="256">
        <v>46218</v>
      </c>
      <c r="R537" s="267" t="s">
        <v>1241</v>
      </c>
      <c r="S537" s="256" t="s">
        <v>1133</v>
      </c>
      <c r="T537" s="211"/>
      <c r="U537" s="211"/>
      <c r="V537" s="263">
        <v>46218</v>
      </c>
      <c r="W537" s="208"/>
      <c r="X537" s="220" t="s">
        <v>1248</v>
      </c>
      <c r="Y537" s="211" t="s">
        <v>1228</v>
      </c>
      <c r="Z537" s="263">
        <v>46142</v>
      </c>
      <c r="AA537" s="264">
        <v>46148</v>
      </c>
      <c r="AB537" s="263">
        <v>46163</v>
      </c>
      <c r="AC537" s="257" t="s">
        <v>1318</v>
      </c>
      <c r="AD537" s="257" t="s">
        <v>1228</v>
      </c>
      <c r="AE537" s="220" t="s">
        <v>510</v>
      </c>
      <c r="AF537" s="257" t="s">
        <v>1228</v>
      </c>
      <c r="AG537" s="257" t="s">
        <v>510</v>
      </c>
      <c r="AH537" s="257" t="s">
        <v>1133</v>
      </c>
      <c r="AI537" s="257" t="s">
        <v>1228</v>
      </c>
      <c r="AJ537" s="257" t="s">
        <v>510</v>
      </c>
      <c r="AK537" s="257" t="s">
        <v>1133</v>
      </c>
      <c r="AL537" s="257"/>
      <c r="AM537" s="257" t="s">
        <v>1292</v>
      </c>
      <c r="AN537" s="220" t="s">
        <v>1251</v>
      </c>
      <c r="AO537" s="215">
        <v>1.83</v>
      </c>
      <c r="AP537" s="216">
        <f t="shared" si="102"/>
        <v>29283.66</v>
      </c>
      <c r="AQ537" s="216">
        <f t="shared" si="103"/>
        <v>226948.37</v>
      </c>
      <c r="AR537" s="269">
        <v>61420</v>
      </c>
      <c r="AS537" s="255">
        <v>46220</v>
      </c>
      <c r="AT537" s="208" t="s">
        <v>1220</v>
      </c>
      <c r="AU537" s="253"/>
      <c r="AV537" s="252">
        <f t="shared" si="104"/>
        <v>-16002</v>
      </c>
      <c r="AW537" s="252"/>
      <c r="AX537" s="256"/>
      <c r="AY537" s="208"/>
      <c r="AZ537" s="208"/>
      <c r="BA537" s="208"/>
      <c r="BB537" s="208" t="str">
        <f t="shared" si="100"/>
        <v>Banter Toys</v>
      </c>
      <c r="BC537" s="208" t="str">
        <f t="shared" si="105"/>
        <v>澳大利亚</v>
      </c>
    </row>
    <row r="538" s="194" customFormat="1" customHeight="1" spans="1:55">
      <c r="A538" s="208">
        <v>46160</v>
      </c>
      <c r="B538" s="208" t="str">
        <f ca="1" t="shared" si="106"/>
        <v/>
      </c>
      <c r="C538" s="211" t="str">
        <f>VLOOKUP(H538,名称!A:E,4,0)</f>
        <v>三代</v>
      </c>
      <c r="D538" s="220" t="s">
        <v>1257</v>
      </c>
      <c r="E538" s="220" t="s">
        <v>1258</v>
      </c>
      <c r="F538" s="220" t="s">
        <v>852</v>
      </c>
      <c r="G538" s="220" t="s">
        <v>853</v>
      </c>
      <c r="H538" s="220" t="s">
        <v>84</v>
      </c>
      <c r="I538" s="211"/>
      <c r="J538" s="270">
        <f>36000-8640</f>
        <v>27360</v>
      </c>
      <c r="K538" s="223">
        <f>VLOOKUP(H538,名称!A:C,2,0)</f>
        <v>5</v>
      </c>
      <c r="L538" s="212">
        <f t="shared" si="107"/>
        <v>136800</v>
      </c>
      <c r="M538" s="257">
        <f>VLOOKUP(H538,名称!A:E,3,0)</f>
        <v>18</v>
      </c>
      <c r="N538" s="259">
        <f t="shared" si="97"/>
        <v>1520</v>
      </c>
      <c r="O538" s="271">
        <v>46208</v>
      </c>
      <c r="P538" s="271">
        <f t="shared" si="108"/>
        <v>46208</v>
      </c>
      <c r="Q538" s="208">
        <v>46209</v>
      </c>
      <c r="R538" s="241" t="s">
        <v>1241</v>
      </c>
      <c r="S538" s="256">
        <v>46209</v>
      </c>
      <c r="T538" s="267" t="s">
        <v>1241</v>
      </c>
      <c r="U538" s="211"/>
      <c r="V538" s="213">
        <v>46217</v>
      </c>
      <c r="W538" s="208"/>
      <c r="X538" s="220" t="s">
        <v>1133</v>
      </c>
      <c r="Y538" s="220" t="s">
        <v>1133</v>
      </c>
      <c r="Z538" s="213" t="s">
        <v>1249</v>
      </c>
      <c r="AA538" s="214">
        <v>46161</v>
      </c>
      <c r="AB538" s="214">
        <v>46162</v>
      </c>
      <c r="AC538" s="257" t="s">
        <v>1133</v>
      </c>
      <c r="AD538" s="257" t="s">
        <v>1133</v>
      </c>
      <c r="AE538" s="220" t="s">
        <v>334</v>
      </c>
      <c r="AF538" s="257" t="s">
        <v>1228</v>
      </c>
      <c r="AG538" s="220" t="s">
        <v>334</v>
      </c>
      <c r="AH538" s="257" t="s">
        <v>1133</v>
      </c>
      <c r="AI538" s="257" t="s">
        <v>1228</v>
      </c>
      <c r="AJ538" s="257" t="s">
        <v>1133</v>
      </c>
      <c r="AK538" s="257" t="s">
        <v>334</v>
      </c>
      <c r="AL538" s="241" t="s">
        <v>1228</v>
      </c>
      <c r="AM538" s="281" t="s">
        <v>1824</v>
      </c>
      <c r="AN538" s="268" t="s">
        <v>1349</v>
      </c>
      <c r="AO538" s="215">
        <v>0.88</v>
      </c>
      <c r="AP538" s="216">
        <f t="shared" si="102"/>
        <v>24076.8</v>
      </c>
      <c r="AQ538" s="216">
        <f t="shared" si="103"/>
        <v>186595.2</v>
      </c>
      <c r="AR538" s="269">
        <v>61421</v>
      </c>
      <c r="AS538" s="255">
        <v>46220</v>
      </c>
      <c r="AT538" s="208" t="s">
        <v>1310</v>
      </c>
      <c r="AU538" s="252">
        <f>12096+23904</f>
        <v>36000</v>
      </c>
      <c r="AV538" s="252">
        <f t="shared" si="104"/>
        <v>8640</v>
      </c>
      <c r="AW538" s="208"/>
      <c r="AX538" s="256"/>
      <c r="AY538" s="208" t="s">
        <v>1262</v>
      </c>
      <c r="AZ538" s="208" t="s">
        <v>1372</v>
      </c>
      <c r="BA538" s="208"/>
      <c r="BB538" s="208" t="str">
        <f t="shared" si="100"/>
        <v>Character Options</v>
      </c>
      <c r="BC538" s="208" t="str">
        <f t="shared" si="105"/>
        <v>英国</v>
      </c>
    </row>
    <row r="539" s="194" customFormat="1" customHeight="1" spans="1:55">
      <c r="A539" s="208">
        <v>46142</v>
      </c>
      <c r="B539" s="208" t="str">
        <f ca="1" t="shared" si="106"/>
        <v/>
      </c>
      <c r="C539" s="211" t="str">
        <f>VLOOKUP(H539,名称!A:E,4,0)</f>
        <v>三代</v>
      </c>
      <c r="D539" s="220" t="s">
        <v>1257</v>
      </c>
      <c r="E539" s="220" t="s">
        <v>1258</v>
      </c>
      <c r="F539" s="220" t="s">
        <v>810</v>
      </c>
      <c r="G539" s="220" t="s">
        <v>811</v>
      </c>
      <c r="H539" s="220" t="s">
        <v>104</v>
      </c>
      <c r="I539" s="211"/>
      <c r="J539" s="270">
        <v>6000</v>
      </c>
      <c r="K539" s="223">
        <f>VLOOKUP(H539,名称!A:C,2,0)</f>
        <v>12</v>
      </c>
      <c r="L539" s="212">
        <f t="shared" si="107"/>
        <v>72000</v>
      </c>
      <c r="M539" s="211">
        <f>VLOOKUP(H539,名称!A:E,3,0)</f>
        <v>6</v>
      </c>
      <c r="N539" s="212">
        <f t="shared" si="97"/>
        <v>1000</v>
      </c>
      <c r="O539" s="271">
        <v>46213</v>
      </c>
      <c r="P539" s="208">
        <f t="shared" si="108"/>
        <v>46213</v>
      </c>
      <c r="Q539" s="208">
        <v>46218</v>
      </c>
      <c r="R539" s="241" t="s">
        <v>1241</v>
      </c>
      <c r="S539" s="208">
        <v>46218</v>
      </c>
      <c r="T539" s="241" t="s">
        <v>1241</v>
      </c>
      <c r="U539" s="211"/>
      <c r="V539" s="213">
        <v>46217</v>
      </c>
      <c r="W539" s="208"/>
      <c r="X539" s="257" t="s">
        <v>1133</v>
      </c>
      <c r="Y539" s="257" t="s">
        <v>1133</v>
      </c>
      <c r="Z539" s="211" t="s">
        <v>1249</v>
      </c>
      <c r="AA539" s="214">
        <v>46156</v>
      </c>
      <c r="AB539" s="214">
        <v>46156</v>
      </c>
      <c r="AC539" s="257" t="s">
        <v>1302</v>
      </c>
      <c r="AD539" s="257" t="s">
        <v>1228</v>
      </c>
      <c r="AE539" s="220" t="s">
        <v>334</v>
      </c>
      <c r="AF539" s="257" t="s">
        <v>1228</v>
      </c>
      <c r="AG539" s="257" t="s">
        <v>334</v>
      </c>
      <c r="AH539" s="257" t="s">
        <v>1361</v>
      </c>
      <c r="AI539" s="257" t="s">
        <v>1228</v>
      </c>
      <c r="AJ539" s="257" t="s">
        <v>1133</v>
      </c>
      <c r="AK539" s="257" t="s">
        <v>1133</v>
      </c>
      <c r="AL539" s="267" t="s">
        <v>1228</v>
      </c>
      <c r="AM539" s="257" t="s">
        <v>1867</v>
      </c>
      <c r="AN539" s="220"/>
      <c r="AO539" s="215">
        <v>1.56</v>
      </c>
      <c r="AP539" s="216">
        <f t="shared" si="102"/>
        <v>9360</v>
      </c>
      <c r="AQ539" s="216">
        <f t="shared" si="103"/>
        <v>72540</v>
      </c>
      <c r="AR539" s="269">
        <v>61422</v>
      </c>
      <c r="AS539" s="255">
        <v>46220</v>
      </c>
      <c r="AT539" s="208" t="s">
        <v>1310</v>
      </c>
      <c r="AU539" s="253">
        <v>6000</v>
      </c>
      <c r="AV539" s="252">
        <f t="shared" si="104"/>
        <v>0</v>
      </c>
      <c r="AW539" s="208"/>
      <c r="AX539" s="256"/>
      <c r="AY539" s="208"/>
      <c r="AZ539" s="208"/>
      <c r="BA539" s="208"/>
      <c r="BB539" s="208" t="str">
        <f t="shared" si="100"/>
        <v>Character Options</v>
      </c>
      <c r="BC539" s="208" t="str">
        <f t="shared" si="105"/>
        <v>英国</v>
      </c>
    </row>
    <row r="540" s="194" customFormat="1" customHeight="1" spans="1:55">
      <c r="A540" s="208">
        <v>46121</v>
      </c>
      <c r="B540" s="208" t="str">
        <f ca="1" t="shared" si="106"/>
        <v/>
      </c>
      <c r="C540" s="211" t="str">
        <f>VLOOKUP(H540,名称!A:E,4,0)</f>
        <v>三代</v>
      </c>
      <c r="D540" s="210" t="s">
        <v>1257</v>
      </c>
      <c r="E540" s="210" t="s">
        <v>1258</v>
      </c>
      <c r="F540" s="211" t="s">
        <v>699</v>
      </c>
      <c r="G540" s="211" t="s">
        <v>700</v>
      </c>
      <c r="H540" s="211" t="s">
        <v>104</v>
      </c>
      <c r="I540" s="211"/>
      <c r="J540" s="212">
        <v>8004</v>
      </c>
      <c r="K540" s="223">
        <f>VLOOKUP(H540,名称!A:C,2,0)</f>
        <v>12</v>
      </c>
      <c r="L540" s="212">
        <f t="shared" si="107"/>
        <v>96048</v>
      </c>
      <c r="M540" s="211">
        <f>VLOOKUP(H540,名称!A:E,3,0)</f>
        <v>6</v>
      </c>
      <c r="N540" s="212">
        <f t="shared" si="97"/>
        <v>1334</v>
      </c>
      <c r="O540" s="208">
        <v>46157</v>
      </c>
      <c r="P540" s="208">
        <v>46209</v>
      </c>
      <c r="Q540" s="208">
        <v>46216</v>
      </c>
      <c r="R540" s="267" t="s">
        <v>1241</v>
      </c>
      <c r="S540" s="208">
        <v>46218</v>
      </c>
      <c r="T540" s="267" t="s">
        <v>1241</v>
      </c>
      <c r="U540" s="211"/>
      <c r="V540" s="213">
        <v>46217</v>
      </c>
      <c r="W540" s="208"/>
      <c r="X540" s="211" t="s">
        <v>1133</v>
      </c>
      <c r="Y540" s="211" t="s">
        <v>1133</v>
      </c>
      <c r="Z540" s="263">
        <v>46125</v>
      </c>
      <c r="AA540" s="264">
        <v>46129</v>
      </c>
      <c r="AB540" s="264">
        <v>46140</v>
      </c>
      <c r="AC540" s="257" t="s">
        <v>1302</v>
      </c>
      <c r="AD540" s="257" t="s">
        <v>1228</v>
      </c>
      <c r="AE540" s="211" t="s">
        <v>334</v>
      </c>
      <c r="AF540" s="257" t="s">
        <v>1228</v>
      </c>
      <c r="AG540" s="257" t="s">
        <v>334</v>
      </c>
      <c r="AH540" s="257" t="s">
        <v>1361</v>
      </c>
      <c r="AI540" s="257" t="s">
        <v>1228</v>
      </c>
      <c r="AJ540" s="257" t="s">
        <v>1133</v>
      </c>
      <c r="AK540" s="211" t="s">
        <v>1133</v>
      </c>
      <c r="AL540" s="267" t="s">
        <v>1228</v>
      </c>
      <c r="AM540" s="257" t="s">
        <v>1868</v>
      </c>
      <c r="AN540" s="212"/>
      <c r="AO540" s="215">
        <v>1.56</v>
      </c>
      <c r="AP540" s="216">
        <f t="shared" si="102"/>
        <v>12486.24</v>
      </c>
      <c r="AQ540" s="216">
        <f t="shared" si="103"/>
        <v>96768.36</v>
      </c>
      <c r="AR540" s="269">
        <v>61423</v>
      </c>
      <c r="AS540" s="255">
        <v>46220</v>
      </c>
      <c r="AT540" s="208" t="s">
        <v>1310</v>
      </c>
      <c r="AU540" s="253">
        <f>4320+3684</f>
        <v>8004</v>
      </c>
      <c r="AV540" s="252">
        <f t="shared" si="104"/>
        <v>0</v>
      </c>
      <c r="AW540" s="252"/>
      <c r="AX540" s="256"/>
      <c r="AY540" s="208"/>
      <c r="AZ540" s="208"/>
      <c r="BA540" s="208"/>
      <c r="BB540" s="208" t="str">
        <f t="shared" si="100"/>
        <v>Character Options</v>
      </c>
      <c r="BC540" s="208" t="str">
        <f t="shared" si="105"/>
        <v>英国</v>
      </c>
    </row>
    <row r="541" s="194" customFormat="1" customHeight="1" spans="1:55">
      <c r="A541" s="208">
        <v>46151</v>
      </c>
      <c r="B541" s="208" t="str">
        <f ca="1" t="shared" si="106"/>
        <v/>
      </c>
      <c r="C541" s="211" t="str">
        <f>VLOOKUP(H541,名称!A:E,4,0)</f>
        <v>三代</v>
      </c>
      <c r="D541" s="220" t="s">
        <v>1430</v>
      </c>
      <c r="E541" s="220" t="s">
        <v>1431</v>
      </c>
      <c r="F541" s="220" t="s">
        <v>837</v>
      </c>
      <c r="G541" s="220" t="s">
        <v>838</v>
      </c>
      <c r="H541" s="220" t="s">
        <v>68</v>
      </c>
      <c r="I541" s="211"/>
      <c r="J541" s="270">
        <v>252</v>
      </c>
      <c r="K541" s="223">
        <f>VLOOKUP(H541,名称!A:C,2,0)</f>
        <v>32</v>
      </c>
      <c r="L541" s="212">
        <f t="shared" si="107"/>
        <v>8064</v>
      </c>
      <c r="M541" s="211">
        <f>VLOOKUP(H541,名称!A:E,3,0)</f>
        <v>4</v>
      </c>
      <c r="N541" s="212">
        <f t="shared" si="97"/>
        <v>63</v>
      </c>
      <c r="O541" s="271">
        <v>46204</v>
      </c>
      <c r="P541" s="271">
        <f t="shared" ref="P541:P560" si="109">O541</f>
        <v>46204</v>
      </c>
      <c r="Q541" s="256">
        <v>46216</v>
      </c>
      <c r="R541" s="241" t="s">
        <v>1241</v>
      </c>
      <c r="S541" s="208" t="s">
        <v>1133</v>
      </c>
      <c r="T541" s="211"/>
      <c r="U541" s="267" t="s">
        <v>1869</v>
      </c>
      <c r="V541" s="211" t="s">
        <v>1870</v>
      </c>
      <c r="W541" s="208"/>
      <c r="X541" s="220" t="s">
        <v>1248</v>
      </c>
      <c r="Y541" s="213">
        <v>46178</v>
      </c>
      <c r="Z541" s="213">
        <v>46162</v>
      </c>
      <c r="AA541" s="214">
        <v>46170</v>
      </c>
      <c r="AB541" s="264">
        <v>46189</v>
      </c>
      <c r="AC541" s="257" t="s">
        <v>1133</v>
      </c>
      <c r="AD541" s="257" t="s">
        <v>1133</v>
      </c>
      <c r="AE541" s="220" t="s">
        <v>510</v>
      </c>
      <c r="AF541" s="257" t="s">
        <v>1228</v>
      </c>
      <c r="AG541" s="257" t="s">
        <v>510</v>
      </c>
      <c r="AH541" s="257" t="s">
        <v>1307</v>
      </c>
      <c r="AI541" s="257" t="s">
        <v>1228</v>
      </c>
      <c r="AJ541" s="257" t="s">
        <v>1133</v>
      </c>
      <c r="AK541" s="257" t="s">
        <v>1133</v>
      </c>
      <c r="AL541" s="257"/>
      <c r="AM541" s="281" t="s">
        <v>1506</v>
      </c>
      <c r="AN541" s="268" t="s">
        <v>1871</v>
      </c>
      <c r="AO541" s="215">
        <v>3.23</v>
      </c>
      <c r="AP541" s="216">
        <f t="shared" si="102"/>
        <v>813.96</v>
      </c>
      <c r="AQ541" s="216">
        <f t="shared" si="103"/>
        <v>6308.19</v>
      </c>
      <c r="AR541" s="224" t="s">
        <v>1872</v>
      </c>
      <c r="AS541" s="255">
        <v>46220</v>
      </c>
      <c r="AT541" s="208" t="s">
        <v>1220</v>
      </c>
      <c r="AU541" s="252">
        <v>252</v>
      </c>
      <c r="AV541" s="252">
        <f t="shared" si="104"/>
        <v>0</v>
      </c>
      <c r="AW541" s="208"/>
      <c r="AX541" s="256" t="s">
        <v>1280</v>
      </c>
      <c r="AY541" s="208"/>
      <c r="AZ541" s="208"/>
      <c r="BA541" s="208"/>
      <c r="BB541" s="208" t="str">
        <f t="shared" si="100"/>
        <v>Grasper Global Private Limited</v>
      </c>
      <c r="BC541" s="208" t="str">
        <f t="shared" si="105"/>
        <v>佛山市</v>
      </c>
    </row>
    <row r="542" s="194" customFormat="1" customHeight="1" spans="1:55">
      <c r="A542" s="208">
        <v>46151</v>
      </c>
      <c r="B542" s="208" t="str">
        <f ca="1" t="shared" si="106"/>
        <v/>
      </c>
      <c r="C542" s="211" t="str">
        <f>VLOOKUP(H542,名称!A:E,4,0)</f>
        <v>三代</v>
      </c>
      <c r="D542" s="220" t="s">
        <v>1430</v>
      </c>
      <c r="E542" s="220" t="s">
        <v>1431</v>
      </c>
      <c r="F542" s="220" t="s">
        <v>837</v>
      </c>
      <c r="G542" s="220" t="s">
        <v>838</v>
      </c>
      <c r="H542" s="220" t="s">
        <v>182</v>
      </c>
      <c r="I542" s="211"/>
      <c r="J542" s="270">
        <v>3072</v>
      </c>
      <c r="K542" s="223">
        <f>VLOOKUP(H542,名称!A:C,2,0)</f>
        <v>5</v>
      </c>
      <c r="L542" s="212">
        <f t="shared" si="107"/>
        <v>15360</v>
      </c>
      <c r="M542" s="211">
        <f>VLOOKUP(H542,名称!A:E,3,0)</f>
        <v>192</v>
      </c>
      <c r="N542" s="212">
        <f t="shared" si="97"/>
        <v>16</v>
      </c>
      <c r="O542" s="271">
        <v>46204</v>
      </c>
      <c r="P542" s="271">
        <f t="shared" si="109"/>
        <v>46204</v>
      </c>
      <c r="Q542" s="256">
        <v>46217</v>
      </c>
      <c r="R542" s="267" t="s">
        <v>1241</v>
      </c>
      <c r="S542" s="208" t="s">
        <v>1133</v>
      </c>
      <c r="T542" s="211"/>
      <c r="U542" s="267" t="s">
        <v>1873</v>
      </c>
      <c r="V542" s="211" t="s">
        <v>1874</v>
      </c>
      <c r="W542" s="208"/>
      <c r="X542" s="220" t="s">
        <v>1248</v>
      </c>
      <c r="Y542" s="213">
        <v>46178</v>
      </c>
      <c r="Z542" s="213">
        <v>46162</v>
      </c>
      <c r="AA542" s="214">
        <v>46170</v>
      </c>
      <c r="AB542" s="264">
        <v>46189</v>
      </c>
      <c r="AC542" s="257" t="s">
        <v>1133</v>
      </c>
      <c r="AD542" s="257" t="s">
        <v>1133</v>
      </c>
      <c r="AE542" s="220" t="s">
        <v>510</v>
      </c>
      <c r="AF542" s="257" t="s">
        <v>1228</v>
      </c>
      <c r="AG542" s="257" t="s">
        <v>1442</v>
      </c>
      <c r="AH542" s="257" t="s">
        <v>1133</v>
      </c>
      <c r="AI542" s="257" t="s">
        <v>1228</v>
      </c>
      <c r="AJ542" s="257" t="s">
        <v>1133</v>
      </c>
      <c r="AK542" s="257" t="s">
        <v>510</v>
      </c>
      <c r="AL542" s="257"/>
      <c r="AM542" s="281" t="s">
        <v>1506</v>
      </c>
      <c r="AN542" s="268" t="s">
        <v>1871</v>
      </c>
      <c r="AO542" s="215">
        <v>0.55</v>
      </c>
      <c r="AP542" s="216">
        <f t="shared" si="102"/>
        <v>1689.6</v>
      </c>
      <c r="AQ542" s="216">
        <f t="shared" si="103"/>
        <v>13094.4</v>
      </c>
      <c r="AR542" s="269">
        <v>61424</v>
      </c>
      <c r="AS542" s="255">
        <v>46220</v>
      </c>
      <c r="AT542" s="273" t="s">
        <v>1220</v>
      </c>
      <c r="AU542" s="252">
        <f>1536+1536</f>
        <v>3072</v>
      </c>
      <c r="AV542" s="252">
        <f t="shared" si="104"/>
        <v>0</v>
      </c>
      <c r="AW542" s="208"/>
      <c r="AX542" s="274" t="s">
        <v>1280</v>
      </c>
      <c r="AY542" s="208"/>
      <c r="AZ542" s="208"/>
      <c r="BA542" s="208"/>
      <c r="BB542" s="273" t="str">
        <f t="shared" si="100"/>
        <v>Grasper Global Private Limited</v>
      </c>
      <c r="BC542" s="273" t="str">
        <f t="shared" si="105"/>
        <v>佛山市</v>
      </c>
    </row>
    <row r="543" s="194" customFormat="1" customHeight="1" spans="1:55">
      <c r="A543" s="208">
        <v>46151</v>
      </c>
      <c r="B543" s="208" t="str">
        <f ca="1" t="shared" si="106"/>
        <v/>
      </c>
      <c r="C543" s="211" t="str">
        <f>VLOOKUP(H543,名称!A:E,4,0)</f>
        <v>三代</v>
      </c>
      <c r="D543" s="220" t="s">
        <v>1430</v>
      </c>
      <c r="E543" s="220" t="s">
        <v>1431</v>
      </c>
      <c r="F543" s="220" t="s">
        <v>837</v>
      </c>
      <c r="G543" s="220" t="s">
        <v>838</v>
      </c>
      <c r="H543" s="220" t="s">
        <v>191</v>
      </c>
      <c r="I543" s="211"/>
      <c r="J543" s="270">
        <v>1788</v>
      </c>
      <c r="K543" s="223">
        <f>VLOOKUP(H543,名称!A:C,2,0)</f>
        <v>7</v>
      </c>
      <c r="L543" s="212">
        <f t="shared" si="107"/>
        <v>12516</v>
      </c>
      <c r="M543" s="211">
        <f>VLOOKUP(H543,名称!A:E,3,0)</f>
        <v>12</v>
      </c>
      <c r="N543" s="212">
        <f t="shared" si="97"/>
        <v>149</v>
      </c>
      <c r="O543" s="271">
        <v>46204</v>
      </c>
      <c r="P543" s="271">
        <f t="shared" si="109"/>
        <v>46204</v>
      </c>
      <c r="Q543" s="208">
        <v>46218</v>
      </c>
      <c r="R543" s="211"/>
      <c r="S543" s="208" t="s">
        <v>1133</v>
      </c>
      <c r="T543" s="211"/>
      <c r="U543" s="241" t="s">
        <v>1875</v>
      </c>
      <c r="V543" s="211" t="s">
        <v>1432</v>
      </c>
      <c r="W543" s="208"/>
      <c r="X543" s="257" t="s">
        <v>1248</v>
      </c>
      <c r="Y543" s="263">
        <v>46178</v>
      </c>
      <c r="Z543" s="213">
        <v>46162</v>
      </c>
      <c r="AA543" s="214">
        <v>46170</v>
      </c>
      <c r="AB543" s="214">
        <v>46189</v>
      </c>
      <c r="AC543" s="257" t="s">
        <v>1284</v>
      </c>
      <c r="AD543" s="257" t="s">
        <v>1228</v>
      </c>
      <c r="AE543" s="220" t="s">
        <v>510</v>
      </c>
      <c r="AF543" s="257" t="s">
        <v>1228</v>
      </c>
      <c r="AG543" s="257" t="s">
        <v>510</v>
      </c>
      <c r="AH543" s="257" t="s">
        <v>1307</v>
      </c>
      <c r="AI543" s="257" t="s">
        <v>1228</v>
      </c>
      <c r="AJ543" s="257" t="s">
        <v>1133</v>
      </c>
      <c r="AK543" s="257" t="s">
        <v>1133</v>
      </c>
      <c r="AL543" s="257" t="s">
        <v>1228</v>
      </c>
      <c r="AM543" s="281" t="s">
        <v>1506</v>
      </c>
      <c r="AN543" s="268" t="s">
        <v>1871</v>
      </c>
      <c r="AO543" s="215">
        <v>0.8</v>
      </c>
      <c r="AP543" s="216">
        <f t="shared" si="102"/>
        <v>1430.4</v>
      </c>
      <c r="AQ543" s="216">
        <f t="shared" si="103"/>
        <v>11085.6</v>
      </c>
      <c r="AR543" s="269">
        <v>61424</v>
      </c>
      <c r="AS543" s="255">
        <v>46220</v>
      </c>
      <c r="AT543" s="273" t="s">
        <v>1220</v>
      </c>
      <c r="AU543" s="252">
        <f>1764+24</f>
        <v>1788</v>
      </c>
      <c r="AV543" s="252">
        <f t="shared" si="104"/>
        <v>0</v>
      </c>
      <c r="AW543" s="208"/>
      <c r="AX543" s="274" t="s">
        <v>1280</v>
      </c>
      <c r="AY543" s="208"/>
      <c r="AZ543" s="208"/>
      <c r="BA543" s="208"/>
      <c r="BB543" s="273" t="str">
        <f t="shared" si="100"/>
        <v>Grasper Global Private Limited</v>
      </c>
      <c r="BC543" s="273" t="str">
        <f t="shared" si="105"/>
        <v>佛山市</v>
      </c>
    </row>
    <row r="544" s="194" customFormat="1" customHeight="1" spans="1:55">
      <c r="A544" s="208">
        <v>46151</v>
      </c>
      <c r="B544" s="208" t="str">
        <f ca="1" t="shared" si="106"/>
        <v/>
      </c>
      <c r="C544" s="211" t="str">
        <f>VLOOKUP(H544,名称!A:E,4,0)</f>
        <v>三代</v>
      </c>
      <c r="D544" s="220" t="s">
        <v>1430</v>
      </c>
      <c r="E544" s="220" t="s">
        <v>1431</v>
      </c>
      <c r="F544" s="220" t="s">
        <v>837</v>
      </c>
      <c r="G544" s="220" t="s">
        <v>838</v>
      </c>
      <c r="H544" s="220" t="s">
        <v>192</v>
      </c>
      <c r="I544" s="211"/>
      <c r="J544" s="270">
        <v>1716</v>
      </c>
      <c r="K544" s="223">
        <f>VLOOKUP(H544,名称!A:C,2,0)</f>
        <v>7</v>
      </c>
      <c r="L544" s="212">
        <f t="shared" si="107"/>
        <v>12012</v>
      </c>
      <c r="M544" s="211">
        <f>VLOOKUP(H544,名称!A:E,3,0)</f>
        <v>12</v>
      </c>
      <c r="N544" s="212">
        <f t="shared" si="97"/>
        <v>143</v>
      </c>
      <c r="O544" s="271">
        <v>46204</v>
      </c>
      <c r="P544" s="271">
        <f t="shared" si="109"/>
        <v>46204</v>
      </c>
      <c r="Q544" s="256">
        <v>46218</v>
      </c>
      <c r="R544" s="211"/>
      <c r="S544" s="208" t="s">
        <v>1133</v>
      </c>
      <c r="T544" s="211"/>
      <c r="U544" s="267" t="s">
        <v>1875</v>
      </c>
      <c r="V544" s="211" t="s">
        <v>1435</v>
      </c>
      <c r="W544" s="208"/>
      <c r="X544" s="257" t="s">
        <v>1248</v>
      </c>
      <c r="Y544" s="263">
        <v>46178</v>
      </c>
      <c r="Z544" s="213">
        <v>46162</v>
      </c>
      <c r="AA544" s="214">
        <v>46170</v>
      </c>
      <c r="AB544" s="264">
        <v>46189</v>
      </c>
      <c r="AC544" s="257" t="s">
        <v>1284</v>
      </c>
      <c r="AD544" s="257" t="s">
        <v>1228</v>
      </c>
      <c r="AE544" s="220" t="s">
        <v>510</v>
      </c>
      <c r="AF544" s="257" t="s">
        <v>1228</v>
      </c>
      <c r="AG544" s="257" t="s">
        <v>510</v>
      </c>
      <c r="AH544" s="257" t="s">
        <v>1307</v>
      </c>
      <c r="AI544" s="257" t="s">
        <v>1228</v>
      </c>
      <c r="AJ544" s="257" t="s">
        <v>1133</v>
      </c>
      <c r="AK544" s="257" t="s">
        <v>1133</v>
      </c>
      <c r="AL544" s="257" t="s">
        <v>1228</v>
      </c>
      <c r="AM544" s="281" t="s">
        <v>1506</v>
      </c>
      <c r="AN544" s="268" t="s">
        <v>1871</v>
      </c>
      <c r="AO544" s="215">
        <v>0.8</v>
      </c>
      <c r="AP544" s="216">
        <f t="shared" si="102"/>
        <v>1372.8</v>
      </c>
      <c r="AQ544" s="216">
        <f t="shared" si="103"/>
        <v>10639.2</v>
      </c>
      <c r="AR544" s="269">
        <v>61424</v>
      </c>
      <c r="AS544" s="255">
        <v>46220</v>
      </c>
      <c r="AT544" s="273" t="s">
        <v>1220</v>
      </c>
      <c r="AU544" s="252">
        <f>1704+12</f>
        <v>1716</v>
      </c>
      <c r="AV544" s="252">
        <f t="shared" si="104"/>
        <v>0</v>
      </c>
      <c r="AW544" s="208"/>
      <c r="AX544" s="274" t="s">
        <v>1280</v>
      </c>
      <c r="AY544" s="208"/>
      <c r="AZ544" s="208"/>
      <c r="BA544" s="208"/>
      <c r="BB544" s="273" t="str">
        <f t="shared" si="100"/>
        <v>Grasper Global Private Limited</v>
      </c>
      <c r="BC544" s="273" t="str">
        <f t="shared" si="105"/>
        <v>佛山市</v>
      </c>
    </row>
    <row r="545" s="194" customFormat="1" customHeight="1" spans="1:55">
      <c r="A545" s="208">
        <v>46151</v>
      </c>
      <c r="B545" s="208" t="str">
        <f ca="1" t="shared" si="106"/>
        <v/>
      </c>
      <c r="C545" s="211" t="str">
        <f>VLOOKUP(H545,名称!A:E,4,0)</f>
        <v>三代</v>
      </c>
      <c r="D545" s="220" t="s">
        <v>1430</v>
      </c>
      <c r="E545" s="220" t="s">
        <v>1431</v>
      </c>
      <c r="F545" s="220" t="s">
        <v>837</v>
      </c>
      <c r="G545" s="220" t="s">
        <v>838</v>
      </c>
      <c r="H545" s="220" t="s">
        <v>193</v>
      </c>
      <c r="I545" s="211"/>
      <c r="J545" s="270">
        <v>1536</v>
      </c>
      <c r="K545" s="223">
        <f>VLOOKUP(H545,名称!A:C,2,0)</f>
        <v>7</v>
      </c>
      <c r="L545" s="212">
        <f t="shared" si="107"/>
        <v>10752</v>
      </c>
      <c r="M545" s="211">
        <f>VLOOKUP(H545,名称!A:E,3,0)</f>
        <v>12</v>
      </c>
      <c r="N545" s="212">
        <f t="shared" si="97"/>
        <v>128</v>
      </c>
      <c r="O545" s="271">
        <v>46204</v>
      </c>
      <c r="P545" s="271">
        <f t="shared" si="109"/>
        <v>46204</v>
      </c>
      <c r="Q545" s="256">
        <v>46218</v>
      </c>
      <c r="R545" s="211"/>
      <c r="S545" s="208" t="s">
        <v>1133</v>
      </c>
      <c r="T545" s="211"/>
      <c r="U545" s="267" t="s">
        <v>1875</v>
      </c>
      <c r="V545" s="211" t="s">
        <v>1436</v>
      </c>
      <c r="W545" s="208"/>
      <c r="X545" s="257" t="s">
        <v>1248</v>
      </c>
      <c r="Y545" s="263">
        <v>46178</v>
      </c>
      <c r="Z545" s="213">
        <v>46162</v>
      </c>
      <c r="AA545" s="214">
        <v>46170</v>
      </c>
      <c r="AB545" s="264">
        <v>46189</v>
      </c>
      <c r="AC545" s="257" t="s">
        <v>1284</v>
      </c>
      <c r="AD545" s="257" t="s">
        <v>1228</v>
      </c>
      <c r="AE545" s="220" t="s">
        <v>510</v>
      </c>
      <c r="AF545" s="257" t="s">
        <v>1228</v>
      </c>
      <c r="AG545" s="257" t="s">
        <v>510</v>
      </c>
      <c r="AH545" s="257" t="s">
        <v>1307</v>
      </c>
      <c r="AI545" s="257" t="s">
        <v>1228</v>
      </c>
      <c r="AJ545" s="257" t="s">
        <v>1133</v>
      </c>
      <c r="AK545" s="257" t="s">
        <v>1133</v>
      </c>
      <c r="AL545" s="257" t="s">
        <v>1228</v>
      </c>
      <c r="AM545" s="281" t="s">
        <v>1506</v>
      </c>
      <c r="AN545" s="268" t="s">
        <v>1871</v>
      </c>
      <c r="AO545" s="215">
        <v>0.8</v>
      </c>
      <c r="AP545" s="216">
        <f t="shared" si="102"/>
        <v>1228.8</v>
      </c>
      <c r="AQ545" s="216">
        <f t="shared" si="103"/>
        <v>9523.2</v>
      </c>
      <c r="AR545" s="269">
        <v>61424</v>
      </c>
      <c r="AS545" s="255">
        <v>46220</v>
      </c>
      <c r="AT545" s="273" t="s">
        <v>1220</v>
      </c>
      <c r="AU545" s="252">
        <f>1500+36</f>
        <v>1536</v>
      </c>
      <c r="AV545" s="252">
        <f t="shared" si="104"/>
        <v>0</v>
      </c>
      <c r="AW545" s="208"/>
      <c r="AX545" s="274" t="s">
        <v>1280</v>
      </c>
      <c r="AY545" s="208"/>
      <c r="AZ545" s="208"/>
      <c r="BA545" s="208"/>
      <c r="BB545" s="273" t="str">
        <f t="shared" si="100"/>
        <v>Grasper Global Private Limited</v>
      </c>
      <c r="BC545" s="273" t="str">
        <f t="shared" si="105"/>
        <v>佛山市</v>
      </c>
    </row>
    <row r="546" s="194" customFormat="1" customHeight="1" spans="1:55">
      <c r="A546" s="208">
        <v>46151</v>
      </c>
      <c r="B546" s="208" t="str">
        <f ca="1" t="shared" si="106"/>
        <v/>
      </c>
      <c r="C546" s="211" t="str">
        <f>VLOOKUP(H546,名称!A:E,4,0)</f>
        <v>三代</v>
      </c>
      <c r="D546" s="220" t="s">
        <v>1430</v>
      </c>
      <c r="E546" s="220" t="s">
        <v>1431</v>
      </c>
      <c r="F546" s="220" t="s">
        <v>837</v>
      </c>
      <c r="G546" s="220" t="s">
        <v>838</v>
      </c>
      <c r="H546" s="220" t="s">
        <v>194</v>
      </c>
      <c r="I546" s="211"/>
      <c r="J546" s="270">
        <v>276</v>
      </c>
      <c r="K546" s="223">
        <f>VLOOKUP(H546,名称!A:C,2,0)</f>
        <v>7</v>
      </c>
      <c r="L546" s="212">
        <f t="shared" si="107"/>
        <v>1932</v>
      </c>
      <c r="M546" s="211">
        <f>VLOOKUP(H546,名称!A:E,3,0)</f>
        <v>12</v>
      </c>
      <c r="N546" s="212">
        <f t="shared" si="97"/>
        <v>23</v>
      </c>
      <c r="O546" s="271">
        <v>46204</v>
      </c>
      <c r="P546" s="271">
        <f t="shared" si="109"/>
        <v>46204</v>
      </c>
      <c r="Q546" s="256">
        <v>46218</v>
      </c>
      <c r="R546" s="211"/>
      <c r="S546" s="208" t="s">
        <v>1133</v>
      </c>
      <c r="T546" s="211"/>
      <c r="U546" s="267" t="s">
        <v>1875</v>
      </c>
      <c r="V546" s="211" t="s">
        <v>1437</v>
      </c>
      <c r="W546" s="208"/>
      <c r="X546" s="257" t="s">
        <v>1248</v>
      </c>
      <c r="Y546" s="263">
        <v>46178</v>
      </c>
      <c r="Z546" s="213">
        <v>46162</v>
      </c>
      <c r="AA546" s="214">
        <v>46170</v>
      </c>
      <c r="AB546" s="264">
        <v>46189</v>
      </c>
      <c r="AC546" s="257" t="s">
        <v>1284</v>
      </c>
      <c r="AD546" s="257" t="s">
        <v>1228</v>
      </c>
      <c r="AE546" s="220" t="s">
        <v>510</v>
      </c>
      <c r="AF546" s="257" t="s">
        <v>1228</v>
      </c>
      <c r="AG546" s="257" t="s">
        <v>510</v>
      </c>
      <c r="AH546" s="257" t="s">
        <v>1307</v>
      </c>
      <c r="AI546" s="257" t="s">
        <v>1228</v>
      </c>
      <c r="AJ546" s="257" t="s">
        <v>1133</v>
      </c>
      <c r="AK546" s="257" t="s">
        <v>1133</v>
      </c>
      <c r="AL546" s="257" t="s">
        <v>1228</v>
      </c>
      <c r="AM546" s="281" t="s">
        <v>1506</v>
      </c>
      <c r="AN546" s="268" t="s">
        <v>1871</v>
      </c>
      <c r="AO546" s="215">
        <v>0.8</v>
      </c>
      <c r="AP546" s="216">
        <f t="shared" si="102"/>
        <v>220.8</v>
      </c>
      <c r="AQ546" s="216">
        <f t="shared" si="103"/>
        <v>1711.2</v>
      </c>
      <c r="AR546" s="269">
        <v>61424</v>
      </c>
      <c r="AS546" s="255">
        <v>46220</v>
      </c>
      <c r="AT546" s="273" t="s">
        <v>1220</v>
      </c>
      <c r="AU546" s="252">
        <f>264+12</f>
        <v>276</v>
      </c>
      <c r="AV546" s="252">
        <f t="shared" si="104"/>
        <v>0</v>
      </c>
      <c r="AW546" s="208"/>
      <c r="AX546" s="274" t="s">
        <v>1280</v>
      </c>
      <c r="AY546" s="208"/>
      <c r="AZ546" s="208"/>
      <c r="BA546" s="208"/>
      <c r="BB546" s="273" t="str">
        <f t="shared" si="100"/>
        <v>Grasper Global Private Limited</v>
      </c>
      <c r="BC546" s="273" t="str">
        <f t="shared" si="105"/>
        <v>佛山市</v>
      </c>
    </row>
    <row r="547" s="194" customFormat="1" customHeight="1" spans="1:55">
      <c r="A547" s="208">
        <v>46151</v>
      </c>
      <c r="B547" s="208" t="str">
        <f ca="1" t="shared" si="106"/>
        <v/>
      </c>
      <c r="C547" s="211" t="str">
        <f>VLOOKUP(H547,名称!A:E,4,0)</f>
        <v>三代</v>
      </c>
      <c r="D547" s="220" t="s">
        <v>1430</v>
      </c>
      <c r="E547" s="220" t="s">
        <v>1431</v>
      </c>
      <c r="F547" s="220" t="s">
        <v>837</v>
      </c>
      <c r="G547" s="220" t="s">
        <v>838</v>
      </c>
      <c r="H547" s="220" t="s">
        <v>195</v>
      </c>
      <c r="I547" s="211"/>
      <c r="J547" s="270">
        <v>1668</v>
      </c>
      <c r="K547" s="223">
        <f>VLOOKUP(H547,名称!A:C,2,0)</f>
        <v>7</v>
      </c>
      <c r="L547" s="212">
        <f t="shared" si="107"/>
        <v>11676</v>
      </c>
      <c r="M547" s="211">
        <f>VLOOKUP(H547,名称!A:E,3,0)</f>
        <v>12</v>
      </c>
      <c r="N547" s="212">
        <f t="shared" si="97"/>
        <v>139</v>
      </c>
      <c r="O547" s="271">
        <v>46204</v>
      </c>
      <c r="P547" s="271">
        <f t="shared" si="109"/>
        <v>46204</v>
      </c>
      <c r="Q547" s="256">
        <v>46218</v>
      </c>
      <c r="R547" s="211"/>
      <c r="S547" s="208" t="s">
        <v>1133</v>
      </c>
      <c r="T547" s="211"/>
      <c r="U547" s="267" t="s">
        <v>1875</v>
      </c>
      <c r="V547" s="211" t="s">
        <v>1438</v>
      </c>
      <c r="W547" s="208"/>
      <c r="X547" s="257" t="s">
        <v>1248</v>
      </c>
      <c r="Y547" s="263">
        <v>46178</v>
      </c>
      <c r="Z547" s="213">
        <v>46162</v>
      </c>
      <c r="AA547" s="214">
        <v>46170</v>
      </c>
      <c r="AB547" s="264">
        <v>46189</v>
      </c>
      <c r="AC547" s="257" t="s">
        <v>1284</v>
      </c>
      <c r="AD547" s="257" t="s">
        <v>1228</v>
      </c>
      <c r="AE547" s="220" t="s">
        <v>510</v>
      </c>
      <c r="AF547" s="257" t="s">
        <v>1228</v>
      </c>
      <c r="AG547" s="257" t="s">
        <v>510</v>
      </c>
      <c r="AH547" s="257" t="s">
        <v>1307</v>
      </c>
      <c r="AI547" s="257" t="s">
        <v>1228</v>
      </c>
      <c r="AJ547" s="257" t="s">
        <v>1133</v>
      </c>
      <c r="AK547" s="257" t="s">
        <v>1133</v>
      </c>
      <c r="AL547" s="257" t="s">
        <v>1228</v>
      </c>
      <c r="AM547" s="281" t="s">
        <v>1506</v>
      </c>
      <c r="AN547" s="268" t="s">
        <v>1871</v>
      </c>
      <c r="AO547" s="215">
        <v>0.8</v>
      </c>
      <c r="AP547" s="216">
        <f t="shared" si="102"/>
        <v>1334.4</v>
      </c>
      <c r="AQ547" s="216">
        <f t="shared" si="103"/>
        <v>10341.6</v>
      </c>
      <c r="AR547" s="269">
        <v>61424</v>
      </c>
      <c r="AS547" s="255">
        <v>46220</v>
      </c>
      <c r="AT547" s="273" t="s">
        <v>1220</v>
      </c>
      <c r="AU547" s="252">
        <v>1668</v>
      </c>
      <c r="AV547" s="252">
        <f t="shared" si="104"/>
        <v>0</v>
      </c>
      <c r="AW547" s="208"/>
      <c r="AX547" s="274" t="s">
        <v>1280</v>
      </c>
      <c r="AY547" s="208"/>
      <c r="AZ547" s="208"/>
      <c r="BA547" s="208"/>
      <c r="BB547" s="273" t="str">
        <f t="shared" si="100"/>
        <v>Grasper Global Private Limited</v>
      </c>
      <c r="BC547" s="273" t="str">
        <f t="shared" si="105"/>
        <v>佛山市</v>
      </c>
    </row>
    <row r="548" s="194" customFormat="1" customHeight="1" spans="1:55">
      <c r="A548" s="208">
        <v>46151</v>
      </c>
      <c r="B548" s="208" t="str">
        <f ca="1" t="shared" si="106"/>
        <v/>
      </c>
      <c r="C548" s="211" t="str">
        <f>VLOOKUP(H548,名称!A:E,4,0)</f>
        <v>三代</v>
      </c>
      <c r="D548" s="220" t="s">
        <v>1430</v>
      </c>
      <c r="E548" s="220" t="s">
        <v>1431</v>
      </c>
      <c r="F548" s="220" t="s">
        <v>837</v>
      </c>
      <c r="G548" s="220" t="s">
        <v>838</v>
      </c>
      <c r="H548" s="220" t="s">
        <v>196</v>
      </c>
      <c r="I548" s="211"/>
      <c r="J548" s="270">
        <v>1572</v>
      </c>
      <c r="K548" s="223">
        <f>VLOOKUP(H548,名称!A:C,2,0)</f>
        <v>7</v>
      </c>
      <c r="L548" s="212">
        <f t="shared" si="107"/>
        <v>11004</v>
      </c>
      <c r="M548" s="211">
        <f>VLOOKUP(H548,名称!A:E,3,0)</f>
        <v>12</v>
      </c>
      <c r="N548" s="212">
        <f t="shared" si="97"/>
        <v>131</v>
      </c>
      <c r="O548" s="271">
        <v>46204</v>
      </c>
      <c r="P548" s="271">
        <f t="shared" si="109"/>
        <v>46204</v>
      </c>
      <c r="Q548" s="256">
        <v>46218</v>
      </c>
      <c r="R548" s="211"/>
      <c r="S548" s="208" t="s">
        <v>1133</v>
      </c>
      <c r="T548" s="211"/>
      <c r="U548" s="267" t="s">
        <v>1875</v>
      </c>
      <c r="V548" s="211" t="s">
        <v>1439</v>
      </c>
      <c r="W548" s="208"/>
      <c r="X548" s="257" t="s">
        <v>1248</v>
      </c>
      <c r="Y548" s="263">
        <v>46178</v>
      </c>
      <c r="Z548" s="213">
        <v>46162</v>
      </c>
      <c r="AA548" s="214">
        <v>46170</v>
      </c>
      <c r="AB548" s="264">
        <v>46189</v>
      </c>
      <c r="AC548" s="257" t="s">
        <v>1284</v>
      </c>
      <c r="AD548" s="257" t="s">
        <v>1228</v>
      </c>
      <c r="AE548" s="220" t="s">
        <v>510</v>
      </c>
      <c r="AF548" s="257" t="s">
        <v>1228</v>
      </c>
      <c r="AG548" s="257" t="s">
        <v>510</v>
      </c>
      <c r="AH548" s="257" t="s">
        <v>1307</v>
      </c>
      <c r="AI548" s="257" t="s">
        <v>1228</v>
      </c>
      <c r="AJ548" s="257" t="s">
        <v>1133</v>
      </c>
      <c r="AK548" s="257" t="s">
        <v>1133</v>
      </c>
      <c r="AL548" s="257" t="s">
        <v>1228</v>
      </c>
      <c r="AM548" s="281" t="s">
        <v>1506</v>
      </c>
      <c r="AN548" s="268" t="s">
        <v>1871</v>
      </c>
      <c r="AO548" s="215">
        <v>0.8</v>
      </c>
      <c r="AP548" s="216">
        <f t="shared" si="102"/>
        <v>1257.6</v>
      </c>
      <c r="AQ548" s="216">
        <f t="shared" si="103"/>
        <v>9746.4</v>
      </c>
      <c r="AR548" s="269">
        <v>61424</v>
      </c>
      <c r="AS548" s="255">
        <v>46220</v>
      </c>
      <c r="AT548" s="273" t="s">
        <v>1220</v>
      </c>
      <c r="AU548" s="252">
        <v>1572</v>
      </c>
      <c r="AV548" s="252">
        <f t="shared" si="104"/>
        <v>0</v>
      </c>
      <c r="AW548" s="208"/>
      <c r="AX548" s="274" t="s">
        <v>1280</v>
      </c>
      <c r="AY548" s="208"/>
      <c r="AZ548" s="208"/>
      <c r="BA548" s="208"/>
      <c r="BB548" s="273" t="str">
        <f t="shared" si="100"/>
        <v>Grasper Global Private Limited</v>
      </c>
      <c r="BC548" s="273" t="str">
        <f t="shared" si="105"/>
        <v>佛山市</v>
      </c>
    </row>
    <row r="549" s="194" customFormat="1" customHeight="1" spans="1:55">
      <c r="A549" s="208">
        <v>46151</v>
      </c>
      <c r="B549" s="208" t="str">
        <f ca="1" t="shared" si="106"/>
        <v/>
      </c>
      <c r="C549" s="211" t="str">
        <f>VLOOKUP(H549,名称!A:E,4,0)</f>
        <v>三代</v>
      </c>
      <c r="D549" s="220" t="s">
        <v>1430</v>
      </c>
      <c r="E549" s="220" t="s">
        <v>1431</v>
      </c>
      <c r="F549" s="220" t="s">
        <v>837</v>
      </c>
      <c r="G549" s="220" t="s">
        <v>838</v>
      </c>
      <c r="H549" s="220" t="s">
        <v>66</v>
      </c>
      <c r="I549" s="211"/>
      <c r="J549" s="270">
        <v>3000</v>
      </c>
      <c r="K549" s="223">
        <f>VLOOKUP(H549,名称!A:C,2,0)</f>
        <v>12</v>
      </c>
      <c r="L549" s="212">
        <f t="shared" si="107"/>
        <v>36000</v>
      </c>
      <c r="M549" s="211">
        <f>VLOOKUP(H549,名称!A:E,3,0)</f>
        <v>6</v>
      </c>
      <c r="N549" s="212">
        <f t="shared" si="97"/>
        <v>500</v>
      </c>
      <c r="O549" s="271">
        <v>46204</v>
      </c>
      <c r="P549" s="271">
        <f t="shared" si="109"/>
        <v>46204</v>
      </c>
      <c r="Q549" s="256">
        <v>46216</v>
      </c>
      <c r="R549" s="241" t="s">
        <v>1241</v>
      </c>
      <c r="S549" s="208" t="s">
        <v>1133</v>
      </c>
      <c r="T549" s="211"/>
      <c r="U549" s="267" t="s">
        <v>1869</v>
      </c>
      <c r="V549" s="241" t="s">
        <v>1876</v>
      </c>
      <c r="W549" s="208"/>
      <c r="X549" s="257" t="s">
        <v>1248</v>
      </c>
      <c r="Y549" s="263">
        <v>46178</v>
      </c>
      <c r="Z549" s="213">
        <v>46162</v>
      </c>
      <c r="AA549" s="214">
        <v>46170</v>
      </c>
      <c r="AB549" s="264">
        <v>46189</v>
      </c>
      <c r="AC549" s="257" t="s">
        <v>1318</v>
      </c>
      <c r="AD549" s="257" t="s">
        <v>1228</v>
      </c>
      <c r="AE549" s="220" t="s">
        <v>510</v>
      </c>
      <c r="AF549" s="257" t="s">
        <v>1228</v>
      </c>
      <c r="AG549" s="257" t="s">
        <v>510</v>
      </c>
      <c r="AH549" s="257" t="s">
        <v>1307</v>
      </c>
      <c r="AI549" s="257" t="s">
        <v>1228</v>
      </c>
      <c r="AJ549" s="257" t="s">
        <v>510</v>
      </c>
      <c r="AK549" s="257" t="s">
        <v>1133</v>
      </c>
      <c r="AL549" s="257"/>
      <c r="AM549" s="281" t="s">
        <v>1506</v>
      </c>
      <c r="AN549" s="268" t="s">
        <v>1871</v>
      </c>
      <c r="AO549" s="215">
        <v>2.09</v>
      </c>
      <c r="AP549" s="216">
        <f t="shared" si="102"/>
        <v>6270</v>
      </c>
      <c r="AQ549" s="216">
        <f t="shared" si="103"/>
        <v>48592.5</v>
      </c>
      <c r="AR549" s="269">
        <v>61424</v>
      </c>
      <c r="AS549" s="255">
        <v>46220</v>
      </c>
      <c r="AT549" s="208" t="s">
        <v>1220</v>
      </c>
      <c r="AU549" s="252">
        <v>3000</v>
      </c>
      <c r="AV549" s="252">
        <f t="shared" si="104"/>
        <v>0</v>
      </c>
      <c r="AW549" s="208"/>
      <c r="AX549" s="274" t="s">
        <v>1280</v>
      </c>
      <c r="AY549" s="208"/>
      <c r="AZ549" s="208"/>
      <c r="BA549" s="208"/>
      <c r="BB549" s="208" t="str">
        <f t="shared" si="100"/>
        <v>Grasper Global Private Limited</v>
      </c>
      <c r="BC549" s="208" t="str">
        <f t="shared" si="105"/>
        <v>佛山市</v>
      </c>
    </row>
    <row r="550" s="194" customFormat="1" customHeight="1" spans="1:55">
      <c r="A550" s="208">
        <v>46151</v>
      </c>
      <c r="B550" s="208" t="str">
        <f ca="1" t="shared" si="106"/>
        <v/>
      </c>
      <c r="C550" s="211" t="str">
        <f>VLOOKUP(H550,名称!A:E,4,0)</f>
        <v>三代</v>
      </c>
      <c r="D550" s="220" t="s">
        <v>1430</v>
      </c>
      <c r="E550" s="220" t="s">
        <v>1431</v>
      </c>
      <c r="F550" s="220" t="s">
        <v>837</v>
      </c>
      <c r="G550" s="220" t="s">
        <v>838</v>
      </c>
      <c r="H550" s="220" t="s">
        <v>185</v>
      </c>
      <c r="I550" s="211"/>
      <c r="J550" s="270">
        <v>1836</v>
      </c>
      <c r="K550" s="223">
        <f>VLOOKUP(H550,名称!A:C,2,0)</f>
        <v>12</v>
      </c>
      <c r="L550" s="212">
        <f t="shared" si="107"/>
        <v>22032</v>
      </c>
      <c r="M550" s="211">
        <f>VLOOKUP(H550,名称!A:E,3,0)</f>
        <v>6</v>
      </c>
      <c r="N550" s="212">
        <f t="shared" si="97"/>
        <v>306</v>
      </c>
      <c r="O550" s="271">
        <v>46204</v>
      </c>
      <c r="P550" s="271">
        <f t="shared" si="109"/>
        <v>46204</v>
      </c>
      <c r="Q550" s="256">
        <v>46218</v>
      </c>
      <c r="R550" s="211"/>
      <c r="S550" s="208" t="s">
        <v>1133</v>
      </c>
      <c r="T550" s="211"/>
      <c r="U550" s="267" t="s">
        <v>1877</v>
      </c>
      <c r="V550" s="211" t="s">
        <v>1432</v>
      </c>
      <c r="W550" s="208"/>
      <c r="X550" s="257" t="s">
        <v>1248</v>
      </c>
      <c r="Y550" s="263">
        <v>46178</v>
      </c>
      <c r="Z550" s="213">
        <v>46162</v>
      </c>
      <c r="AA550" s="214">
        <v>46170</v>
      </c>
      <c r="AB550" s="264">
        <v>46189</v>
      </c>
      <c r="AC550" s="257" t="s">
        <v>1284</v>
      </c>
      <c r="AD550" s="259" t="s">
        <v>1228</v>
      </c>
      <c r="AE550" s="220" t="s">
        <v>510</v>
      </c>
      <c r="AF550" s="257" t="s">
        <v>1228</v>
      </c>
      <c r="AG550" s="257" t="s">
        <v>510</v>
      </c>
      <c r="AH550" s="257" t="s">
        <v>1307</v>
      </c>
      <c r="AI550" s="257" t="s">
        <v>1228</v>
      </c>
      <c r="AJ550" s="257" t="s">
        <v>1133</v>
      </c>
      <c r="AK550" s="257" t="s">
        <v>1133</v>
      </c>
      <c r="AL550" s="257"/>
      <c r="AM550" s="281" t="s">
        <v>1506</v>
      </c>
      <c r="AN550" s="268" t="s">
        <v>1871</v>
      </c>
      <c r="AO550" s="215">
        <v>1.52</v>
      </c>
      <c r="AP550" s="216">
        <f t="shared" si="102"/>
        <v>2790.72</v>
      </c>
      <c r="AQ550" s="216">
        <f t="shared" si="103"/>
        <v>21628.08</v>
      </c>
      <c r="AR550" s="269">
        <v>61424</v>
      </c>
      <c r="AS550" s="255">
        <v>46220</v>
      </c>
      <c r="AT550" s="273" t="s">
        <v>1220</v>
      </c>
      <c r="AU550" s="252">
        <v>1836</v>
      </c>
      <c r="AV550" s="252">
        <f t="shared" si="104"/>
        <v>0</v>
      </c>
      <c r="AW550" s="208"/>
      <c r="AX550" s="267" t="s">
        <v>1280</v>
      </c>
      <c r="AY550" s="208"/>
      <c r="AZ550" s="208"/>
      <c r="BA550" s="208"/>
      <c r="BB550" s="273" t="str">
        <f t="shared" si="100"/>
        <v>Grasper Global Private Limited</v>
      </c>
      <c r="BC550" s="273" t="str">
        <f t="shared" si="105"/>
        <v>佛山市</v>
      </c>
    </row>
    <row r="551" s="194" customFormat="1" customHeight="1" spans="1:55">
      <c r="A551" s="208">
        <v>46151</v>
      </c>
      <c r="B551" s="208" t="str">
        <f ca="1" t="shared" si="106"/>
        <v/>
      </c>
      <c r="C551" s="211" t="str">
        <f>VLOOKUP(H551,名称!A:E,4,0)</f>
        <v>三代</v>
      </c>
      <c r="D551" s="220" t="s">
        <v>1430</v>
      </c>
      <c r="E551" s="220" t="s">
        <v>1431</v>
      </c>
      <c r="F551" s="220" t="s">
        <v>837</v>
      </c>
      <c r="G551" s="220" t="s">
        <v>838</v>
      </c>
      <c r="H551" s="220" t="s">
        <v>186</v>
      </c>
      <c r="I551" s="211"/>
      <c r="J551" s="270">
        <v>564</v>
      </c>
      <c r="K551" s="223">
        <f>VLOOKUP(H551,名称!A:C,2,0)</f>
        <v>12</v>
      </c>
      <c r="L551" s="212">
        <f t="shared" si="107"/>
        <v>6768</v>
      </c>
      <c r="M551" s="211">
        <f>VLOOKUP(H551,名称!A:E,3,0)</f>
        <v>6</v>
      </c>
      <c r="N551" s="212">
        <f t="shared" si="97"/>
        <v>94</v>
      </c>
      <c r="O551" s="271">
        <v>46204</v>
      </c>
      <c r="P551" s="271">
        <f t="shared" si="109"/>
        <v>46204</v>
      </c>
      <c r="Q551" s="256">
        <v>46218</v>
      </c>
      <c r="R551" s="211"/>
      <c r="S551" s="208" t="s">
        <v>1133</v>
      </c>
      <c r="T551" s="211"/>
      <c r="U551" s="267" t="s">
        <v>1877</v>
      </c>
      <c r="V551" s="211" t="s">
        <v>1435</v>
      </c>
      <c r="W551" s="208"/>
      <c r="X551" s="257" t="s">
        <v>1248</v>
      </c>
      <c r="Y551" s="263">
        <v>46178</v>
      </c>
      <c r="Z551" s="213">
        <v>46162</v>
      </c>
      <c r="AA551" s="214">
        <v>46170</v>
      </c>
      <c r="AB551" s="264">
        <v>46189</v>
      </c>
      <c r="AC551" s="257" t="s">
        <v>1284</v>
      </c>
      <c r="AD551" s="259" t="s">
        <v>1228</v>
      </c>
      <c r="AE551" s="220" t="s">
        <v>510</v>
      </c>
      <c r="AF551" s="257" t="s">
        <v>1228</v>
      </c>
      <c r="AG551" s="257" t="s">
        <v>510</v>
      </c>
      <c r="AH551" s="257" t="s">
        <v>1307</v>
      </c>
      <c r="AI551" s="257" t="s">
        <v>1228</v>
      </c>
      <c r="AJ551" s="257" t="s">
        <v>1133</v>
      </c>
      <c r="AK551" s="257" t="s">
        <v>1133</v>
      </c>
      <c r="AL551" s="257"/>
      <c r="AM551" s="281" t="s">
        <v>1506</v>
      </c>
      <c r="AN551" s="268" t="s">
        <v>1871</v>
      </c>
      <c r="AO551" s="215">
        <v>1.52</v>
      </c>
      <c r="AP551" s="216">
        <f t="shared" si="102"/>
        <v>857.28</v>
      </c>
      <c r="AQ551" s="216">
        <f t="shared" si="103"/>
        <v>6643.92</v>
      </c>
      <c r="AR551" s="269">
        <v>61424</v>
      </c>
      <c r="AS551" s="255">
        <v>46220</v>
      </c>
      <c r="AT551" s="273" t="s">
        <v>1220</v>
      </c>
      <c r="AU551" s="252">
        <v>564</v>
      </c>
      <c r="AV551" s="252">
        <f t="shared" si="104"/>
        <v>0</v>
      </c>
      <c r="AW551" s="208"/>
      <c r="AX551" s="267" t="s">
        <v>1280</v>
      </c>
      <c r="AY551" s="208"/>
      <c r="AZ551" s="208"/>
      <c r="BA551" s="208"/>
      <c r="BB551" s="273" t="str">
        <f t="shared" si="100"/>
        <v>Grasper Global Private Limited</v>
      </c>
      <c r="BC551" s="273" t="str">
        <f t="shared" si="105"/>
        <v>佛山市</v>
      </c>
    </row>
    <row r="552" s="194" customFormat="1" customHeight="1" spans="1:55">
      <c r="A552" s="208">
        <v>46151</v>
      </c>
      <c r="B552" s="208" t="str">
        <f ca="1" t="shared" si="106"/>
        <v/>
      </c>
      <c r="C552" s="211" t="str">
        <f>VLOOKUP(H552,名称!A:E,4,0)</f>
        <v>三代</v>
      </c>
      <c r="D552" s="220" t="s">
        <v>1430</v>
      </c>
      <c r="E552" s="220" t="s">
        <v>1431</v>
      </c>
      <c r="F552" s="220" t="s">
        <v>837</v>
      </c>
      <c r="G552" s="220" t="s">
        <v>838</v>
      </c>
      <c r="H552" s="220" t="s">
        <v>187</v>
      </c>
      <c r="I552" s="211"/>
      <c r="J552" s="270">
        <v>1356</v>
      </c>
      <c r="K552" s="223">
        <f>VLOOKUP(H552,名称!A:C,2,0)</f>
        <v>12</v>
      </c>
      <c r="L552" s="212">
        <f t="shared" si="107"/>
        <v>16272</v>
      </c>
      <c r="M552" s="211">
        <f>VLOOKUP(H552,名称!A:E,3,0)</f>
        <v>6</v>
      </c>
      <c r="N552" s="212">
        <f t="shared" si="97"/>
        <v>226</v>
      </c>
      <c r="O552" s="271">
        <v>46204</v>
      </c>
      <c r="P552" s="271">
        <f t="shared" si="109"/>
        <v>46204</v>
      </c>
      <c r="Q552" s="256">
        <v>46218</v>
      </c>
      <c r="R552" s="211"/>
      <c r="S552" s="208" t="s">
        <v>1133</v>
      </c>
      <c r="T552" s="211"/>
      <c r="U552" s="267" t="s">
        <v>1877</v>
      </c>
      <c r="V552" s="211" t="s">
        <v>1436</v>
      </c>
      <c r="W552" s="208"/>
      <c r="X552" s="257" t="s">
        <v>1248</v>
      </c>
      <c r="Y552" s="263">
        <v>46178</v>
      </c>
      <c r="Z552" s="213">
        <v>46162</v>
      </c>
      <c r="AA552" s="214">
        <v>46170</v>
      </c>
      <c r="AB552" s="264">
        <v>46189</v>
      </c>
      <c r="AC552" s="257" t="s">
        <v>1284</v>
      </c>
      <c r="AD552" s="259" t="s">
        <v>1228</v>
      </c>
      <c r="AE552" s="220" t="s">
        <v>510</v>
      </c>
      <c r="AF552" s="257" t="s">
        <v>1228</v>
      </c>
      <c r="AG552" s="257" t="s">
        <v>510</v>
      </c>
      <c r="AH552" s="257" t="s">
        <v>1307</v>
      </c>
      <c r="AI552" s="257" t="s">
        <v>1228</v>
      </c>
      <c r="AJ552" s="257" t="s">
        <v>1133</v>
      </c>
      <c r="AK552" s="257" t="s">
        <v>1133</v>
      </c>
      <c r="AL552" s="257"/>
      <c r="AM552" s="281" t="s">
        <v>1506</v>
      </c>
      <c r="AN552" s="268" t="s">
        <v>1871</v>
      </c>
      <c r="AO552" s="215">
        <v>1.52</v>
      </c>
      <c r="AP552" s="216">
        <f t="shared" si="102"/>
        <v>2061.12</v>
      </c>
      <c r="AQ552" s="216">
        <f t="shared" si="103"/>
        <v>15973.68</v>
      </c>
      <c r="AR552" s="269">
        <v>61424</v>
      </c>
      <c r="AS552" s="255">
        <v>46220</v>
      </c>
      <c r="AT552" s="273" t="s">
        <v>1220</v>
      </c>
      <c r="AU552" s="252">
        <f>1254+102</f>
        <v>1356</v>
      </c>
      <c r="AV552" s="252">
        <f t="shared" si="104"/>
        <v>0</v>
      </c>
      <c r="AW552" s="208"/>
      <c r="AX552" s="267" t="s">
        <v>1280</v>
      </c>
      <c r="AY552" s="208"/>
      <c r="AZ552" s="208"/>
      <c r="BA552" s="208"/>
      <c r="BB552" s="273" t="str">
        <f t="shared" si="100"/>
        <v>Grasper Global Private Limited</v>
      </c>
      <c r="BC552" s="273" t="str">
        <f t="shared" si="105"/>
        <v>佛山市</v>
      </c>
    </row>
    <row r="553" s="194" customFormat="1" customHeight="1" spans="1:55">
      <c r="A553" s="208">
        <v>46151</v>
      </c>
      <c r="B553" s="208" t="str">
        <f ca="1" t="shared" si="106"/>
        <v/>
      </c>
      <c r="C553" s="211" t="str">
        <f>VLOOKUP(H553,名称!A:E,4,0)</f>
        <v>三代</v>
      </c>
      <c r="D553" s="220" t="s">
        <v>1430</v>
      </c>
      <c r="E553" s="220" t="s">
        <v>1431</v>
      </c>
      <c r="F553" s="220" t="s">
        <v>837</v>
      </c>
      <c r="G553" s="220" t="s">
        <v>838</v>
      </c>
      <c r="H553" s="220" t="s">
        <v>188</v>
      </c>
      <c r="I553" s="211"/>
      <c r="J553" s="270">
        <v>300</v>
      </c>
      <c r="K553" s="223">
        <f>VLOOKUP(H553,名称!A:C,2,0)</f>
        <v>12</v>
      </c>
      <c r="L553" s="212">
        <f t="shared" si="107"/>
        <v>3600</v>
      </c>
      <c r="M553" s="211">
        <f>VLOOKUP(H553,名称!A:E,3,0)</f>
        <v>6</v>
      </c>
      <c r="N553" s="212">
        <f t="shared" si="97"/>
        <v>50</v>
      </c>
      <c r="O553" s="271">
        <v>46204</v>
      </c>
      <c r="P553" s="271">
        <f t="shared" si="109"/>
        <v>46204</v>
      </c>
      <c r="Q553" s="256">
        <v>46218</v>
      </c>
      <c r="R553" s="211"/>
      <c r="S553" s="208" t="s">
        <v>1133</v>
      </c>
      <c r="T553" s="211"/>
      <c r="U553" s="267" t="s">
        <v>1877</v>
      </c>
      <c r="V553" s="211" t="s">
        <v>1437</v>
      </c>
      <c r="W553" s="208"/>
      <c r="X553" s="257" t="s">
        <v>1248</v>
      </c>
      <c r="Y553" s="263">
        <v>46178</v>
      </c>
      <c r="Z553" s="213">
        <v>46162</v>
      </c>
      <c r="AA553" s="214">
        <v>46170</v>
      </c>
      <c r="AB553" s="264">
        <v>46189</v>
      </c>
      <c r="AC553" s="257" t="s">
        <v>1284</v>
      </c>
      <c r="AD553" s="259" t="s">
        <v>1228</v>
      </c>
      <c r="AE553" s="220" t="s">
        <v>510</v>
      </c>
      <c r="AF553" s="257" t="s">
        <v>1228</v>
      </c>
      <c r="AG553" s="257" t="s">
        <v>510</v>
      </c>
      <c r="AH553" s="257" t="s">
        <v>1307</v>
      </c>
      <c r="AI553" s="257" t="s">
        <v>1228</v>
      </c>
      <c r="AJ553" s="257" t="s">
        <v>1133</v>
      </c>
      <c r="AK553" s="257" t="s">
        <v>1133</v>
      </c>
      <c r="AL553" s="257"/>
      <c r="AM553" s="281" t="s">
        <v>1506</v>
      </c>
      <c r="AN553" s="268" t="s">
        <v>1871</v>
      </c>
      <c r="AO553" s="215">
        <v>1.52</v>
      </c>
      <c r="AP553" s="216">
        <f t="shared" si="102"/>
        <v>456</v>
      </c>
      <c r="AQ553" s="216">
        <f t="shared" si="103"/>
        <v>3534</v>
      </c>
      <c r="AR553" s="269">
        <v>61424</v>
      </c>
      <c r="AS553" s="255">
        <v>46220</v>
      </c>
      <c r="AT553" s="273" t="s">
        <v>1220</v>
      </c>
      <c r="AU553" s="252">
        <v>300</v>
      </c>
      <c r="AV553" s="252">
        <f t="shared" si="104"/>
        <v>0</v>
      </c>
      <c r="AW553" s="208"/>
      <c r="AX553" s="267" t="s">
        <v>1280</v>
      </c>
      <c r="AY553" s="208"/>
      <c r="AZ553" s="208"/>
      <c r="BA553" s="208"/>
      <c r="BB553" s="273" t="str">
        <f t="shared" si="100"/>
        <v>Grasper Global Private Limited</v>
      </c>
      <c r="BC553" s="273" t="str">
        <f t="shared" si="105"/>
        <v>佛山市</v>
      </c>
    </row>
    <row r="554" s="194" customFormat="1" customHeight="1" spans="1:55">
      <c r="A554" s="208">
        <v>46151</v>
      </c>
      <c r="B554" s="208" t="str">
        <f ca="1" t="shared" si="106"/>
        <v/>
      </c>
      <c r="C554" s="211" t="str">
        <f>VLOOKUP(H554,名称!A:E,4,0)</f>
        <v>三代</v>
      </c>
      <c r="D554" s="220" t="s">
        <v>1430</v>
      </c>
      <c r="E554" s="220" t="s">
        <v>1431</v>
      </c>
      <c r="F554" s="220" t="s">
        <v>837</v>
      </c>
      <c r="G554" s="220" t="s">
        <v>838</v>
      </c>
      <c r="H554" s="220" t="s">
        <v>189</v>
      </c>
      <c r="I554" s="211"/>
      <c r="J554" s="270">
        <v>1032</v>
      </c>
      <c r="K554" s="223">
        <f>VLOOKUP(H554,名称!A:C,2,0)</f>
        <v>12</v>
      </c>
      <c r="L554" s="212">
        <f t="shared" si="107"/>
        <v>12384</v>
      </c>
      <c r="M554" s="211">
        <f>VLOOKUP(H554,名称!A:E,3,0)</f>
        <v>6</v>
      </c>
      <c r="N554" s="212">
        <f t="shared" si="97"/>
        <v>172</v>
      </c>
      <c r="O554" s="271">
        <v>46204</v>
      </c>
      <c r="P554" s="271">
        <f t="shared" si="109"/>
        <v>46204</v>
      </c>
      <c r="Q554" s="256">
        <v>46218</v>
      </c>
      <c r="R554" s="211"/>
      <c r="S554" s="208" t="s">
        <v>1133</v>
      </c>
      <c r="T554" s="211"/>
      <c r="U554" s="267" t="s">
        <v>1877</v>
      </c>
      <c r="V554" s="211" t="s">
        <v>1438</v>
      </c>
      <c r="W554" s="208"/>
      <c r="X554" s="257" t="s">
        <v>1248</v>
      </c>
      <c r="Y554" s="263">
        <v>46178</v>
      </c>
      <c r="Z554" s="213">
        <v>46162</v>
      </c>
      <c r="AA554" s="214">
        <v>46170</v>
      </c>
      <c r="AB554" s="264">
        <v>46189</v>
      </c>
      <c r="AC554" s="257" t="s">
        <v>1284</v>
      </c>
      <c r="AD554" s="259" t="s">
        <v>1228</v>
      </c>
      <c r="AE554" s="220" t="s">
        <v>510</v>
      </c>
      <c r="AF554" s="257" t="s">
        <v>1228</v>
      </c>
      <c r="AG554" s="257" t="s">
        <v>510</v>
      </c>
      <c r="AH554" s="257" t="s">
        <v>1307</v>
      </c>
      <c r="AI554" s="257" t="s">
        <v>1228</v>
      </c>
      <c r="AJ554" s="257" t="s">
        <v>1133</v>
      </c>
      <c r="AK554" s="257" t="s">
        <v>1133</v>
      </c>
      <c r="AL554" s="257"/>
      <c r="AM554" s="281" t="s">
        <v>1506</v>
      </c>
      <c r="AN554" s="268" t="s">
        <v>1871</v>
      </c>
      <c r="AO554" s="215">
        <v>1.52</v>
      </c>
      <c r="AP554" s="216">
        <f t="shared" si="102"/>
        <v>1568.64</v>
      </c>
      <c r="AQ554" s="216">
        <f t="shared" si="103"/>
        <v>12156.96</v>
      </c>
      <c r="AR554" s="269">
        <v>61424</v>
      </c>
      <c r="AS554" s="255">
        <v>46220</v>
      </c>
      <c r="AT554" s="273" t="s">
        <v>1220</v>
      </c>
      <c r="AU554" s="252">
        <v>1032</v>
      </c>
      <c r="AV554" s="252">
        <f t="shared" si="104"/>
        <v>0</v>
      </c>
      <c r="AW554" s="208"/>
      <c r="AX554" s="267" t="s">
        <v>1280</v>
      </c>
      <c r="AY554" s="208"/>
      <c r="AZ554" s="208"/>
      <c r="BA554" s="208"/>
      <c r="BB554" s="273" t="str">
        <f t="shared" si="100"/>
        <v>Grasper Global Private Limited</v>
      </c>
      <c r="BC554" s="273" t="str">
        <f t="shared" si="105"/>
        <v>佛山市</v>
      </c>
    </row>
    <row r="555" s="194" customFormat="1" customHeight="1" spans="1:55">
      <c r="A555" s="208">
        <v>46151</v>
      </c>
      <c r="B555" s="208" t="str">
        <f ca="1" t="shared" si="106"/>
        <v/>
      </c>
      <c r="C555" s="211" t="str">
        <f>VLOOKUP(H555,名称!A:E,4,0)</f>
        <v>三代</v>
      </c>
      <c r="D555" s="220" t="s">
        <v>1430</v>
      </c>
      <c r="E555" s="220" t="s">
        <v>1431</v>
      </c>
      <c r="F555" s="220" t="s">
        <v>837</v>
      </c>
      <c r="G555" s="220" t="s">
        <v>838</v>
      </c>
      <c r="H555" s="220" t="s">
        <v>190</v>
      </c>
      <c r="I555" s="211"/>
      <c r="J555" s="270">
        <v>1248</v>
      </c>
      <c r="K555" s="223">
        <f>VLOOKUP(H555,名称!A:C,2,0)</f>
        <v>12</v>
      </c>
      <c r="L555" s="212">
        <f t="shared" si="107"/>
        <v>14976</v>
      </c>
      <c r="M555" s="211">
        <f>VLOOKUP(H555,名称!A:E,3,0)</f>
        <v>6</v>
      </c>
      <c r="N555" s="212">
        <f t="shared" si="97"/>
        <v>208</v>
      </c>
      <c r="O555" s="271">
        <v>46204</v>
      </c>
      <c r="P555" s="271">
        <f t="shared" si="109"/>
        <v>46204</v>
      </c>
      <c r="Q555" s="256">
        <v>46218</v>
      </c>
      <c r="R555" s="211"/>
      <c r="S555" s="208" t="s">
        <v>1133</v>
      </c>
      <c r="T555" s="211"/>
      <c r="U555" s="267" t="s">
        <v>1877</v>
      </c>
      <c r="V555" s="211" t="s">
        <v>1439</v>
      </c>
      <c r="W555" s="208"/>
      <c r="X555" s="257" t="s">
        <v>1248</v>
      </c>
      <c r="Y555" s="263">
        <v>46178</v>
      </c>
      <c r="Z555" s="213">
        <v>46162</v>
      </c>
      <c r="AA555" s="214">
        <v>46170</v>
      </c>
      <c r="AB555" s="264">
        <v>46189</v>
      </c>
      <c r="AC555" s="257" t="s">
        <v>1284</v>
      </c>
      <c r="AD555" s="259" t="s">
        <v>1228</v>
      </c>
      <c r="AE555" s="220" t="s">
        <v>510</v>
      </c>
      <c r="AF555" s="257" t="s">
        <v>1228</v>
      </c>
      <c r="AG555" s="257" t="s">
        <v>510</v>
      </c>
      <c r="AH555" s="257" t="s">
        <v>1307</v>
      </c>
      <c r="AI555" s="257" t="s">
        <v>1228</v>
      </c>
      <c r="AJ555" s="257" t="s">
        <v>1133</v>
      </c>
      <c r="AK555" s="257" t="s">
        <v>1133</v>
      </c>
      <c r="AL555" s="257"/>
      <c r="AM555" s="281" t="s">
        <v>1506</v>
      </c>
      <c r="AN555" s="268" t="s">
        <v>1871</v>
      </c>
      <c r="AO555" s="215">
        <v>1.52</v>
      </c>
      <c r="AP555" s="216">
        <f t="shared" si="102"/>
        <v>1896.96</v>
      </c>
      <c r="AQ555" s="216">
        <f t="shared" si="103"/>
        <v>14701.44</v>
      </c>
      <c r="AR555" s="269">
        <v>61424</v>
      </c>
      <c r="AS555" s="255">
        <v>46220</v>
      </c>
      <c r="AT555" s="273" t="s">
        <v>1220</v>
      </c>
      <c r="AU555" s="252">
        <f>1038+210</f>
        <v>1248</v>
      </c>
      <c r="AV555" s="252">
        <f t="shared" si="104"/>
        <v>0</v>
      </c>
      <c r="AW555" s="208"/>
      <c r="AX555" s="267" t="s">
        <v>1280</v>
      </c>
      <c r="AY555" s="208"/>
      <c r="AZ555" s="208"/>
      <c r="BA555" s="208"/>
      <c r="BB555" s="273" t="str">
        <f t="shared" si="100"/>
        <v>Grasper Global Private Limited</v>
      </c>
      <c r="BC555" s="273" t="str">
        <f t="shared" si="105"/>
        <v>佛山市</v>
      </c>
    </row>
    <row r="556" s="194" customFormat="1" customHeight="1" spans="1:55">
      <c r="A556" s="208">
        <v>46151</v>
      </c>
      <c r="B556" s="208" t="str">
        <f ca="1" t="shared" si="106"/>
        <v/>
      </c>
      <c r="C556" s="211" t="str">
        <f>VLOOKUP(H556,名称!A:E,4,0)</f>
        <v>三代</v>
      </c>
      <c r="D556" s="220" t="s">
        <v>1430</v>
      </c>
      <c r="E556" s="220" t="s">
        <v>1431</v>
      </c>
      <c r="F556" s="220" t="s">
        <v>837</v>
      </c>
      <c r="G556" s="220" t="s">
        <v>838</v>
      </c>
      <c r="H556" s="220" t="s">
        <v>181</v>
      </c>
      <c r="I556" s="211"/>
      <c r="J556" s="270">
        <f>4900-100</f>
        <v>4800</v>
      </c>
      <c r="K556" s="223">
        <f>VLOOKUP(H556,名称!A:C,2,0)</f>
        <v>5</v>
      </c>
      <c r="L556" s="212">
        <f t="shared" si="107"/>
        <v>24000</v>
      </c>
      <c r="M556" s="211">
        <f>VLOOKUP(H556,名称!A:E,3,0)</f>
        <v>100</v>
      </c>
      <c r="N556" s="212">
        <f t="shared" si="97"/>
        <v>48</v>
      </c>
      <c r="O556" s="271">
        <v>46204</v>
      </c>
      <c r="P556" s="271">
        <f t="shared" si="109"/>
        <v>46204</v>
      </c>
      <c r="Q556" s="256">
        <v>46218</v>
      </c>
      <c r="R556" s="241" t="s">
        <v>1241</v>
      </c>
      <c r="S556" s="208" t="s">
        <v>1133</v>
      </c>
      <c r="T556" s="211"/>
      <c r="U556" s="267" t="s">
        <v>1873</v>
      </c>
      <c r="V556" s="211" t="s">
        <v>1878</v>
      </c>
      <c r="W556" s="208"/>
      <c r="X556" s="257" t="s">
        <v>1248</v>
      </c>
      <c r="Y556" s="263">
        <v>46178</v>
      </c>
      <c r="Z556" s="213">
        <v>46162</v>
      </c>
      <c r="AA556" s="214">
        <v>46170</v>
      </c>
      <c r="AB556" s="264">
        <v>46189</v>
      </c>
      <c r="AC556" s="257" t="s">
        <v>1133</v>
      </c>
      <c r="AD556" s="257" t="s">
        <v>1133</v>
      </c>
      <c r="AE556" s="220" t="s">
        <v>510</v>
      </c>
      <c r="AF556" s="257" t="s">
        <v>1228</v>
      </c>
      <c r="AG556" s="257" t="s">
        <v>1879</v>
      </c>
      <c r="AH556" s="257" t="s">
        <v>1133</v>
      </c>
      <c r="AI556" s="257" t="s">
        <v>1228</v>
      </c>
      <c r="AJ556" s="257" t="s">
        <v>1133</v>
      </c>
      <c r="AK556" s="257" t="s">
        <v>510</v>
      </c>
      <c r="AL556" s="257"/>
      <c r="AM556" s="281" t="s">
        <v>1506</v>
      </c>
      <c r="AN556" s="268" t="s">
        <v>1880</v>
      </c>
      <c r="AO556" s="215">
        <v>0.78</v>
      </c>
      <c r="AP556" s="216">
        <f t="shared" si="102"/>
        <v>3744</v>
      </c>
      <c r="AQ556" s="216">
        <f t="shared" si="103"/>
        <v>29016</v>
      </c>
      <c r="AR556" s="269">
        <v>61424</v>
      </c>
      <c r="AS556" s="255">
        <v>46220</v>
      </c>
      <c r="AT556" s="273" t="s">
        <v>1220</v>
      </c>
      <c r="AU556" s="252">
        <f>4700+100</f>
        <v>4800</v>
      </c>
      <c r="AV556" s="252">
        <f t="shared" si="104"/>
        <v>0</v>
      </c>
      <c r="AW556" s="208"/>
      <c r="AX556" s="256"/>
      <c r="AY556" s="208"/>
      <c r="AZ556" s="208"/>
      <c r="BA556" s="208"/>
      <c r="BB556" s="273" t="str">
        <f t="shared" si="100"/>
        <v>Grasper Global Private Limited</v>
      </c>
      <c r="BC556" s="273" t="str">
        <f t="shared" si="105"/>
        <v>佛山市</v>
      </c>
    </row>
    <row r="557" s="194" customFormat="1" customHeight="1" spans="1:55">
      <c r="A557" s="208">
        <v>46142</v>
      </c>
      <c r="B557" s="208" t="str">
        <f ca="1" t="shared" si="106"/>
        <v/>
      </c>
      <c r="C557" s="211" t="str">
        <f>VLOOKUP(H557,名称!A:E,4,0)</f>
        <v>三代</v>
      </c>
      <c r="D557" s="268" t="s">
        <v>1881</v>
      </c>
      <c r="E557" s="268" t="s">
        <v>1403</v>
      </c>
      <c r="F557" s="220">
        <v>12389</v>
      </c>
      <c r="G557" s="220" t="s">
        <v>804</v>
      </c>
      <c r="H557" s="220" t="s">
        <v>179</v>
      </c>
      <c r="I557" s="211"/>
      <c r="J557" s="270">
        <v>1920</v>
      </c>
      <c r="K557" s="223">
        <f>VLOOKUP(H557,名称!A:C,2,0)</f>
        <v>0</v>
      </c>
      <c r="L557" s="212">
        <f t="shared" si="107"/>
        <v>0</v>
      </c>
      <c r="M557" s="211">
        <f>VLOOKUP(H557,名称!A:E,3,0)</f>
        <v>24</v>
      </c>
      <c r="N557" s="212">
        <f t="shared" si="97"/>
        <v>80</v>
      </c>
      <c r="O557" s="271">
        <v>46213</v>
      </c>
      <c r="P557" s="208">
        <f t="shared" si="109"/>
        <v>46213</v>
      </c>
      <c r="Q557" s="208">
        <v>46217</v>
      </c>
      <c r="R557" s="241" t="s">
        <v>1241</v>
      </c>
      <c r="S557" s="208" t="s">
        <v>1133</v>
      </c>
      <c r="T557" s="211"/>
      <c r="U557" s="211"/>
      <c r="V557" s="213">
        <v>46213</v>
      </c>
      <c r="W557" s="208"/>
      <c r="X557" s="220" t="s">
        <v>1133</v>
      </c>
      <c r="Y557" s="220" t="s">
        <v>1133</v>
      </c>
      <c r="Z557" s="263">
        <v>46141</v>
      </c>
      <c r="AA557" s="264">
        <v>46155</v>
      </c>
      <c r="AB557" s="264">
        <v>46157</v>
      </c>
      <c r="AC557" s="257" t="s">
        <v>1133</v>
      </c>
      <c r="AD557" s="257" t="s">
        <v>1133</v>
      </c>
      <c r="AE557" s="220" t="s">
        <v>510</v>
      </c>
      <c r="AF557" s="257" t="s">
        <v>1228</v>
      </c>
      <c r="AG557" s="257" t="s">
        <v>510</v>
      </c>
      <c r="AH557" s="257" t="s">
        <v>1133</v>
      </c>
      <c r="AI557" s="257" t="s">
        <v>1228</v>
      </c>
      <c r="AJ557" s="257" t="s">
        <v>1133</v>
      </c>
      <c r="AK557" s="257" t="s">
        <v>510</v>
      </c>
      <c r="AL557" s="257"/>
      <c r="AM557" s="267"/>
      <c r="AN557" s="220"/>
      <c r="AO557" s="215">
        <v>0.64</v>
      </c>
      <c r="AP557" s="216">
        <f t="shared" si="102"/>
        <v>1228.8</v>
      </c>
      <c r="AQ557" s="216">
        <f t="shared" si="103"/>
        <v>9523.2</v>
      </c>
      <c r="AR557" s="269">
        <v>61425</v>
      </c>
      <c r="AS557" s="255">
        <v>46220</v>
      </c>
      <c r="AT557" s="208" t="s">
        <v>1310</v>
      </c>
      <c r="AU557" s="253">
        <v>1920</v>
      </c>
      <c r="AV557" s="252">
        <f t="shared" si="104"/>
        <v>0</v>
      </c>
      <c r="AW557" s="208"/>
      <c r="AX557" s="256"/>
      <c r="AY557" s="208"/>
      <c r="AZ557" s="208"/>
      <c r="BA557" s="208"/>
      <c r="BB557" s="208" t="str">
        <f t="shared" si="100"/>
        <v>Planet Fun Limited
</v>
      </c>
      <c r="BC557" s="208" t="str">
        <f t="shared" si="105"/>
        <v>新西兰</v>
      </c>
    </row>
    <row r="558" s="194" customFormat="1" customHeight="1" spans="1:55">
      <c r="A558" s="208">
        <v>46161</v>
      </c>
      <c r="B558" s="208" t="str">
        <f ca="1" t="shared" si="106"/>
        <v/>
      </c>
      <c r="C558" s="211" t="str">
        <f>VLOOKUP(H558,名称!A:E,4,0)</f>
        <v>蛋糕</v>
      </c>
      <c r="D558" s="210" t="s">
        <v>1496</v>
      </c>
      <c r="E558" s="210" t="s">
        <v>1497</v>
      </c>
      <c r="F558" s="211" t="s">
        <v>856</v>
      </c>
      <c r="G558" s="211" t="s">
        <v>857</v>
      </c>
      <c r="H558" s="211" t="s">
        <v>123</v>
      </c>
      <c r="I558" s="211"/>
      <c r="J558" s="270">
        <v>2928</v>
      </c>
      <c r="K558" s="223">
        <f>VLOOKUP(H558,名称!A:C,2,0)</f>
        <v>0</v>
      </c>
      <c r="L558" s="212">
        <f t="shared" si="107"/>
        <v>0</v>
      </c>
      <c r="M558" s="211">
        <f>VLOOKUP(H558,[2]名称!A:E,3,0)</f>
        <v>24</v>
      </c>
      <c r="N558" s="212">
        <f t="shared" si="97"/>
        <v>122</v>
      </c>
      <c r="O558" s="208">
        <v>46217</v>
      </c>
      <c r="P558" s="271">
        <f t="shared" si="109"/>
        <v>46217</v>
      </c>
      <c r="Q558" s="271">
        <v>46218</v>
      </c>
      <c r="R558" s="241" t="s">
        <v>1241</v>
      </c>
      <c r="S558" s="256" t="s">
        <v>1133</v>
      </c>
      <c r="T558" s="211"/>
      <c r="U558" s="211"/>
      <c r="V558" s="213">
        <v>46219</v>
      </c>
      <c r="W558" s="208"/>
      <c r="X558" s="257" t="s">
        <v>1248</v>
      </c>
      <c r="Y558" s="213">
        <v>46177</v>
      </c>
      <c r="Z558" s="211" t="s">
        <v>1249</v>
      </c>
      <c r="AA558" s="214">
        <v>46164</v>
      </c>
      <c r="AB558" s="214">
        <v>46168</v>
      </c>
      <c r="AC558" s="211" t="s">
        <v>1133</v>
      </c>
      <c r="AD558" s="211" t="s">
        <v>1133</v>
      </c>
      <c r="AE558" s="211" t="s">
        <v>510</v>
      </c>
      <c r="AF558" s="211" t="s">
        <v>1228</v>
      </c>
      <c r="AG558" s="211" t="s">
        <v>510</v>
      </c>
      <c r="AH558" s="211" t="s">
        <v>1133</v>
      </c>
      <c r="AI558" s="211" t="s">
        <v>1228</v>
      </c>
      <c r="AJ558" s="211" t="s">
        <v>1133</v>
      </c>
      <c r="AK558" s="211" t="s">
        <v>1523</v>
      </c>
      <c r="AL558" s="211"/>
      <c r="AM558" s="257" t="s">
        <v>1882</v>
      </c>
      <c r="AN558" s="282" t="s">
        <v>1524</v>
      </c>
      <c r="AO558" s="215">
        <v>0.81</v>
      </c>
      <c r="AP558" s="216">
        <f t="shared" si="102"/>
        <v>2371.68</v>
      </c>
      <c r="AQ558" s="216">
        <f t="shared" si="103"/>
        <v>18380.52</v>
      </c>
      <c r="AR558" s="269">
        <v>61426</v>
      </c>
      <c r="AS558" s="255">
        <v>46223</v>
      </c>
      <c r="AT558" s="208" t="s">
        <v>1220</v>
      </c>
      <c r="AU558" s="208"/>
      <c r="AV558" s="208"/>
      <c r="AW558" s="208"/>
      <c r="AX558" s="208"/>
      <c r="AY558" s="208" t="s">
        <v>1317</v>
      </c>
      <c r="AZ558" s="208"/>
      <c r="BA558" s="208"/>
      <c r="BB558" s="208" t="str">
        <f t="shared" si="100"/>
        <v>Kade Ltd.</v>
      </c>
      <c r="BC558" s="208" t="str">
        <f t="shared" si="105"/>
        <v>香港</v>
      </c>
    </row>
    <row r="559" s="194" customFormat="1" customHeight="1" spans="1:55">
      <c r="A559" s="208">
        <v>46161</v>
      </c>
      <c r="B559" s="208" t="str">
        <f ca="1" t="shared" si="106"/>
        <v/>
      </c>
      <c r="C559" s="211" t="str">
        <f>VLOOKUP(H559,名称!A:E,4,0)</f>
        <v>蛋糕</v>
      </c>
      <c r="D559" s="210" t="s">
        <v>1496</v>
      </c>
      <c r="E559" s="210" t="s">
        <v>1497</v>
      </c>
      <c r="F559" s="211" t="s">
        <v>856</v>
      </c>
      <c r="G559" s="211" t="s">
        <v>857</v>
      </c>
      <c r="H559" s="211" t="s">
        <v>50</v>
      </c>
      <c r="I559" s="211"/>
      <c r="J559" s="270">
        <v>1674</v>
      </c>
      <c r="K559" s="223">
        <f>VLOOKUP(H559,名称!A:C,2,0)</f>
        <v>0</v>
      </c>
      <c r="L559" s="212">
        <f t="shared" si="107"/>
        <v>0</v>
      </c>
      <c r="M559" s="211">
        <f>VLOOKUP(H559,[2]名称!A:E,3,0)</f>
        <v>18</v>
      </c>
      <c r="N559" s="212">
        <f t="shared" ref="N559:N622" si="110">J559/M559</f>
        <v>93</v>
      </c>
      <c r="O559" s="208">
        <v>46217</v>
      </c>
      <c r="P559" s="271">
        <f t="shared" si="109"/>
        <v>46217</v>
      </c>
      <c r="Q559" s="271">
        <v>46220</v>
      </c>
      <c r="R559" s="241" t="s">
        <v>1241</v>
      </c>
      <c r="S559" s="256" t="s">
        <v>1133</v>
      </c>
      <c r="T559" s="211"/>
      <c r="U559" s="211"/>
      <c r="V559" s="263">
        <v>46219</v>
      </c>
      <c r="W559" s="208"/>
      <c r="X559" s="257" t="s">
        <v>1248</v>
      </c>
      <c r="Y559" s="213">
        <v>46177</v>
      </c>
      <c r="Z559" s="211" t="s">
        <v>1249</v>
      </c>
      <c r="AA559" s="214">
        <v>46164</v>
      </c>
      <c r="AB559" s="214">
        <v>46168</v>
      </c>
      <c r="AC559" s="211" t="s">
        <v>1133</v>
      </c>
      <c r="AD559" s="211" t="s">
        <v>1133</v>
      </c>
      <c r="AE559" s="211" t="s">
        <v>510</v>
      </c>
      <c r="AF559" s="211" t="s">
        <v>1228</v>
      </c>
      <c r="AG559" s="211" t="s">
        <v>510</v>
      </c>
      <c r="AH559" s="211" t="s">
        <v>1133</v>
      </c>
      <c r="AI559" s="211" t="s">
        <v>1228</v>
      </c>
      <c r="AJ559" s="211" t="s">
        <v>1133</v>
      </c>
      <c r="AK559" s="211" t="s">
        <v>1523</v>
      </c>
      <c r="AL559" s="211"/>
      <c r="AM559" s="257" t="s">
        <v>1882</v>
      </c>
      <c r="AN559" s="212" t="s">
        <v>1524</v>
      </c>
      <c r="AO559" s="215">
        <v>1.15</v>
      </c>
      <c r="AP559" s="216">
        <f t="shared" si="102"/>
        <v>1925.1</v>
      </c>
      <c r="AQ559" s="216">
        <f t="shared" si="103"/>
        <v>14919.53</v>
      </c>
      <c r="AR559" s="269">
        <v>61426</v>
      </c>
      <c r="AS559" s="255">
        <v>46223</v>
      </c>
      <c r="AT559" s="208" t="s">
        <v>1220</v>
      </c>
      <c r="AU559" s="208"/>
      <c r="AV559" s="208"/>
      <c r="AW559" s="208"/>
      <c r="AX559" s="208"/>
      <c r="AY559" s="208" t="s">
        <v>1317</v>
      </c>
      <c r="AZ559" s="208"/>
      <c r="BA559" s="208"/>
      <c r="BB559" s="208" t="str">
        <f t="shared" si="100"/>
        <v>Kade Ltd.</v>
      </c>
      <c r="BC559" s="208" t="str">
        <f t="shared" si="105"/>
        <v>香港</v>
      </c>
    </row>
    <row r="560" s="194" customFormat="1" customHeight="1" spans="1:55">
      <c r="A560" s="208">
        <v>46161</v>
      </c>
      <c r="B560" s="208" t="str">
        <f ca="1" t="shared" si="106"/>
        <v/>
      </c>
      <c r="C560" s="211" t="str">
        <f>VLOOKUP(H560,名称!A:E,4,0)</f>
        <v>蛋糕</v>
      </c>
      <c r="D560" s="210" t="s">
        <v>1496</v>
      </c>
      <c r="E560" s="210" t="s">
        <v>1497</v>
      </c>
      <c r="F560" s="211" t="s">
        <v>856</v>
      </c>
      <c r="G560" s="211" t="s">
        <v>857</v>
      </c>
      <c r="H560" s="211" t="s">
        <v>52</v>
      </c>
      <c r="I560" s="211"/>
      <c r="J560" s="270">
        <v>1008</v>
      </c>
      <c r="K560" s="223">
        <f>VLOOKUP(H560,名称!A:C,2,0)</f>
        <v>0</v>
      </c>
      <c r="L560" s="212">
        <f t="shared" si="107"/>
        <v>0</v>
      </c>
      <c r="M560" s="211">
        <f>VLOOKUP(H560,[2]名称!A:E,3,0)</f>
        <v>4</v>
      </c>
      <c r="N560" s="212">
        <f t="shared" si="110"/>
        <v>252</v>
      </c>
      <c r="O560" s="208">
        <v>46217</v>
      </c>
      <c r="P560" s="271">
        <f t="shared" si="109"/>
        <v>46217</v>
      </c>
      <c r="Q560" s="256">
        <v>46218</v>
      </c>
      <c r="R560" s="241" t="s">
        <v>1241</v>
      </c>
      <c r="S560" s="256" t="s">
        <v>1133</v>
      </c>
      <c r="T560" s="211"/>
      <c r="U560" s="211"/>
      <c r="V560" s="263">
        <v>46219</v>
      </c>
      <c r="W560" s="208"/>
      <c r="X560" s="257" t="s">
        <v>1248</v>
      </c>
      <c r="Y560" s="213">
        <v>46177</v>
      </c>
      <c r="Z560" s="211" t="s">
        <v>1249</v>
      </c>
      <c r="AA560" s="214">
        <v>46164</v>
      </c>
      <c r="AB560" s="214">
        <v>46168</v>
      </c>
      <c r="AC560" s="211" t="s">
        <v>1133</v>
      </c>
      <c r="AD560" s="211" t="s">
        <v>1133</v>
      </c>
      <c r="AE560" s="211" t="s">
        <v>510</v>
      </c>
      <c r="AF560" s="211" t="s">
        <v>1228</v>
      </c>
      <c r="AG560" s="211" t="s">
        <v>510</v>
      </c>
      <c r="AH560" s="211" t="s">
        <v>1133</v>
      </c>
      <c r="AI560" s="211" t="s">
        <v>1228</v>
      </c>
      <c r="AJ560" s="211" t="s">
        <v>1133</v>
      </c>
      <c r="AK560" s="211" t="s">
        <v>1228</v>
      </c>
      <c r="AL560" s="211"/>
      <c r="AM560" s="257" t="s">
        <v>1882</v>
      </c>
      <c r="AN560" s="212" t="s">
        <v>1524</v>
      </c>
      <c r="AO560" s="215">
        <v>2.93</v>
      </c>
      <c r="AP560" s="216">
        <f t="shared" si="102"/>
        <v>2953.44</v>
      </c>
      <c r="AQ560" s="216">
        <f t="shared" si="103"/>
        <v>22889.16</v>
      </c>
      <c r="AR560" s="269">
        <v>61426</v>
      </c>
      <c r="AS560" s="255">
        <v>46223</v>
      </c>
      <c r="AT560" s="208" t="s">
        <v>1220</v>
      </c>
      <c r="AU560" s="208"/>
      <c r="AV560" s="208"/>
      <c r="AW560" s="208"/>
      <c r="AX560" s="208"/>
      <c r="AY560" s="208" t="s">
        <v>1317</v>
      </c>
      <c r="AZ560" s="208"/>
      <c r="BA560" s="208"/>
      <c r="BB560" s="208" t="str">
        <f t="shared" si="100"/>
        <v>Kade Ltd.</v>
      </c>
      <c r="BC560" s="208" t="str">
        <f t="shared" si="105"/>
        <v>香港</v>
      </c>
    </row>
    <row r="561" s="194" customFormat="1" customHeight="1" spans="1:55">
      <c r="A561" s="208">
        <v>46115</v>
      </c>
      <c r="B561" s="208" t="str">
        <f ca="1" t="shared" si="106"/>
        <v/>
      </c>
      <c r="C561" s="209" t="str">
        <f>VLOOKUP(H561,名称!A:E,4,0)</f>
        <v>二代</v>
      </c>
      <c r="D561" s="210" t="s">
        <v>1223</v>
      </c>
      <c r="E561" s="210" t="s">
        <v>1224</v>
      </c>
      <c r="F561" s="211" t="s">
        <v>624</v>
      </c>
      <c r="G561" s="211" t="s">
        <v>625</v>
      </c>
      <c r="H561" s="211" t="s">
        <v>44</v>
      </c>
      <c r="I561" s="211"/>
      <c r="J561" s="212">
        <v>1800</v>
      </c>
      <c r="K561" s="223">
        <f>VLOOKUP(H561,名称!A:C,2,0)</f>
        <v>5</v>
      </c>
      <c r="L561" s="223">
        <f>K561*J561</f>
        <v>9000</v>
      </c>
      <c r="M561" s="211">
        <f>VLOOKUP(H561,名称!A:E,3,0)</f>
        <v>24</v>
      </c>
      <c r="N561" s="212">
        <f t="shared" si="110"/>
        <v>75</v>
      </c>
      <c r="O561" s="208">
        <v>46194</v>
      </c>
      <c r="P561" s="208">
        <v>46194</v>
      </c>
      <c r="Q561" s="208">
        <v>46195</v>
      </c>
      <c r="R561" s="241" t="s">
        <v>1241</v>
      </c>
      <c r="S561" s="208">
        <v>46203</v>
      </c>
      <c r="T561" s="241" t="s">
        <v>1241</v>
      </c>
      <c r="U561" s="211"/>
      <c r="V561" s="213">
        <v>46220</v>
      </c>
      <c r="W561" s="208" t="s">
        <v>1651</v>
      </c>
      <c r="X561" s="211" t="s">
        <v>1133</v>
      </c>
      <c r="Y561" s="211" t="s">
        <v>1133</v>
      </c>
      <c r="Z561" s="213">
        <v>46106</v>
      </c>
      <c r="AA561" s="214">
        <v>46109</v>
      </c>
      <c r="AB561" s="213">
        <v>46120</v>
      </c>
      <c r="AC561" s="211" t="s">
        <v>1133</v>
      </c>
      <c r="AD561" s="211" t="s">
        <v>1133</v>
      </c>
      <c r="AE561" s="211" t="s">
        <v>253</v>
      </c>
      <c r="AF561" s="211" t="s">
        <v>1228</v>
      </c>
      <c r="AG561" s="211" t="s">
        <v>253</v>
      </c>
      <c r="AH561" s="211" t="s">
        <v>1133</v>
      </c>
      <c r="AI561" s="211" t="s">
        <v>1228</v>
      </c>
      <c r="AJ561" s="211" t="s">
        <v>1133</v>
      </c>
      <c r="AK561" s="211" t="s">
        <v>253</v>
      </c>
      <c r="AL561" s="211" t="s">
        <v>1228</v>
      </c>
      <c r="AM561" s="211" t="s">
        <v>1230</v>
      </c>
      <c r="AN561" s="212" t="s">
        <v>1234</v>
      </c>
      <c r="AO561" s="215">
        <v>0.65</v>
      </c>
      <c r="AP561" s="216">
        <f t="shared" si="102"/>
        <v>1170</v>
      </c>
      <c r="AQ561" s="216">
        <f t="shared" si="103"/>
        <v>9067.5</v>
      </c>
      <c r="AR561" s="269">
        <v>61427</v>
      </c>
      <c r="AS561" s="255">
        <v>46223</v>
      </c>
      <c r="AT561" s="208" t="s">
        <v>1220</v>
      </c>
      <c r="AU561" s="221"/>
      <c r="AV561" s="222"/>
      <c r="AW561" s="208"/>
      <c r="AX561" s="208"/>
      <c r="AY561" s="208" t="s">
        <v>1232</v>
      </c>
      <c r="AZ561" s="208" t="s">
        <v>1222</v>
      </c>
      <c r="BA561" s="208"/>
      <c r="BB561" s="212" t="str">
        <f t="shared" si="100"/>
        <v>JAZWARES INTERNATIONAL</v>
      </c>
      <c r="BC561" s="212" t="str">
        <f>IFERROR(E561,"")</f>
        <v>美国</v>
      </c>
    </row>
    <row r="562" s="194" customFormat="1" customHeight="1" spans="1:55">
      <c r="A562" s="208">
        <v>46157</v>
      </c>
      <c r="B562" s="208" t="str">
        <f ca="1" t="shared" si="106"/>
        <v/>
      </c>
      <c r="C562" s="211" t="str">
        <f>VLOOKUP(H562,名称!A:E,4,0)</f>
        <v>三代</v>
      </c>
      <c r="D562" s="220" t="s">
        <v>1883</v>
      </c>
      <c r="E562" s="220" t="s">
        <v>1224</v>
      </c>
      <c r="F562" s="220" t="s">
        <v>850</v>
      </c>
      <c r="G562" s="220" t="s">
        <v>851</v>
      </c>
      <c r="H562" s="220" t="s">
        <v>85</v>
      </c>
      <c r="I562" s="211"/>
      <c r="J562" s="270">
        <v>14016</v>
      </c>
      <c r="K562" s="223">
        <f>VLOOKUP(H562,名称!A:C,2,0)</f>
        <v>5</v>
      </c>
      <c r="L562" s="212">
        <f t="shared" ref="L562:L625" si="111">J562*K562</f>
        <v>70080</v>
      </c>
      <c r="M562" s="211">
        <f>VLOOKUP(H562,名称!A:E,3,0)</f>
        <v>24</v>
      </c>
      <c r="N562" s="212">
        <f t="shared" si="110"/>
        <v>584</v>
      </c>
      <c r="O562" s="271">
        <v>46218</v>
      </c>
      <c r="P562" s="256">
        <f t="shared" ref="P562:P568" si="112">O562</f>
        <v>46218</v>
      </c>
      <c r="Q562" s="256">
        <v>46223</v>
      </c>
      <c r="R562" s="211"/>
      <c r="S562" s="256">
        <v>46223</v>
      </c>
      <c r="T562" s="211"/>
      <c r="U562" s="211" t="s">
        <v>1762</v>
      </c>
      <c r="V562" s="213">
        <v>46224</v>
      </c>
      <c r="W562" s="208"/>
      <c r="X562" s="257" t="s">
        <v>1133</v>
      </c>
      <c r="Y562" s="257" t="s">
        <v>1133</v>
      </c>
      <c r="Z562" s="213">
        <v>46178</v>
      </c>
      <c r="AA562" s="214">
        <v>46181</v>
      </c>
      <c r="AB562" s="214">
        <v>46181</v>
      </c>
      <c r="AC562" s="257" t="s">
        <v>1133</v>
      </c>
      <c r="AD562" s="257" t="s">
        <v>1133</v>
      </c>
      <c r="AE562" s="220" t="s">
        <v>270</v>
      </c>
      <c r="AF562" s="257" t="s">
        <v>1228</v>
      </c>
      <c r="AG562" s="257" t="s">
        <v>270</v>
      </c>
      <c r="AH562" s="257" t="s">
        <v>1133</v>
      </c>
      <c r="AI562" s="257" t="s">
        <v>1228</v>
      </c>
      <c r="AJ562" s="257" t="s">
        <v>1133</v>
      </c>
      <c r="AK562" s="211" t="s">
        <v>270</v>
      </c>
      <c r="AL562" s="257"/>
      <c r="AM562" s="257" t="s">
        <v>1506</v>
      </c>
      <c r="AN562" s="268" t="s">
        <v>1884</v>
      </c>
      <c r="AO562" s="215">
        <v>0.89</v>
      </c>
      <c r="AP562" s="216">
        <f t="shared" si="102"/>
        <v>12474.24</v>
      </c>
      <c r="AQ562" s="216">
        <f t="shared" si="103"/>
        <v>96675.36</v>
      </c>
      <c r="AR562" s="224">
        <v>61428</v>
      </c>
      <c r="AS562" s="330">
        <v>46224</v>
      </c>
      <c r="AT562" s="208" t="s">
        <v>1220</v>
      </c>
      <c r="AU562" s="252"/>
      <c r="AV562" s="252">
        <f t="shared" ref="AV562:AV571" si="113">AU562-J562</f>
        <v>-14016</v>
      </c>
      <c r="AW562" s="331"/>
      <c r="AX562" s="256" t="s">
        <v>1280</v>
      </c>
      <c r="AY562" s="208" t="s">
        <v>1255</v>
      </c>
      <c r="AZ562" s="208" t="s">
        <v>1256</v>
      </c>
      <c r="BA562" s="208"/>
      <c r="BB562" s="208" t="str">
        <f t="shared" si="100"/>
        <v>JAZWARES - KELLYTOY DOM</v>
      </c>
      <c r="BC562" s="208" t="str">
        <f t="shared" ref="BC562:BC625" si="114">E562</f>
        <v>美国</v>
      </c>
    </row>
    <row r="563" s="194" customFormat="1" customHeight="1" spans="1:55">
      <c r="A563" s="208">
        <v>46163</v>
      </c>
      <c r="B563" s="208" t="str">
        <f ca="1" t="shared" si="106"/>
        <v/>
      </c>
      <c r="C563" s="211" t="str">
        <f>VLOOKUP(H563,名称!A:E,4,0)</f>
        <v>三代</v>
      </c>
      <c r="D563" s="220" t="s">
        <v>1883</v>
      </c>
      <c r="E563" s="220" t="s">
        <v>1224</v>
      </c>
      <c r="F563" s="220" t="s">
        <v>877</v>
      </c>
      <c r="G563" s="220" t="s">
        <v>878</v>
      </c>
      <c r="H563" s="220" t="s">
        <v>59</v>
      </c>
      <c r="I563" s="211"/>
      <c r="J563" s="270">
        <v>15000</v>
      </c>
      <c r="K563" s="223">
        <f>VLOOKUP(H563,名称!A:C,2,0)</f>
        <v>5</v>
      </c>
      <c r="L563" s="212">
        <f t="shared" si="111"/>
        <v>75000</v>
      </c>
      <c r="M563" s="257">
        <f>VLOOKUP(H563,名称!A:E,3,0)</f>
        <v>24</v>
      </c>
      <c r="N563" s="259">
        <f t="shared" si="110"/>
        <v>625</v>
      </c>
      <c r="O563" s="271">
        <v>46213</v>
      </c>
      <c r="P563" s="271">
        <f t="shared" si="112"/>
        <v>46213</v>
      </c>
      <c r="Q563" s="208">
        <v>46216</v>
      </c>
      <c r="R563" s="241" t="s">
        <v>1291</v>
      </c>
      <c r="S563" s="256">
        <v>46220</v>
      </c>
      <c r="T563" s="241" t="s">
        <v>1282</v>
      </c>
      <c r="U563" s="211" t="s">
        <v>1762</v>
      </c>
      <c r="V563" s="213">
        <v>46224</v>
      </c>
      <c r="W563" s="208"/>
      <c r="X563" s="220" t="s">
        <v>1133</v>
      </c>
      <c r="Y563" s="268" t="s">
        <v>1133</v>
      </c>
      <c r="Z563" s="213">
        <v>46178</v>
      </c>
      <c r="AA563" s="214">
        <v>46181</v>
      </c>
      <c r="AB563" s="214">
        <v>46181</v>
      </c>
      <c r="AC563" s="257" t="s">
        <v>1133</v>
      </c>
      <c r="AD563" s="257" t="s">
        <v>1133</v>
      </c>
      <c r="AE563" s="220" t="s">
        <v>270</v>
      </c>
      <c r="AF563" s="257" t="s">
        <v>1228</v>
      </c>
      <c r="AG563" s="257" t="s">
        <v>270</v>
      </c>
      <c r="AH563" s="257"/>
      <c r="AI563" s="257"/>
      <c r="AJ563" s="257" t="s">
        <v>1133</v>
      </c>
      <c r="AK563" s="257" t="s">
        <v>270</v>
      </c>
      <c r="AL563" s="257"/>
      <c r="AM563" s="281" t="s">
        <v>1506</v>
      </c>
      <c r="AN563" s="268" t="s">
        <v>1762</v>
      </c>
      <c r="AO563" s="215">
        <v>0.64</v>
      </c>
      <c r="AP563" s="216">
        <f t="shared" si="102"/>
        <v>9600</v>
      </c>
      <c r="AQ563" s="216">
        <f t="shared" si="103"/>
        <v>74400</v>
      </c>
      <c r="AR563" s="224">
        <v>61429</v>
      </c>
      <c r="AS563" s="330">
        <v>46224</v>
      </c>
      <c r="AT563" s="208" t="s">
        <v>1220</v>
      </c>
      <c r="AU563" s="252">
        <f>14928+72</f>
        <v>15000</v>
      </c>
      <c r="AV563" s="252">
        <f t="shared" si="113"/>
        <v>0</v>
      </c>
      <c r="AW563" s="331"/>
      <c r="AX563" s="274" t="s">
        <v>1280</v>
      </c>
      <c r="AY563" s="208" t="s">
        <v>1255</v>
      </c>
      <c r="AZ563" s="208" t="s">
        <v>1256</v>
      </c>
      <c r="BA563" s="208"/>
      <c r="BB563" s="208" t="str">
        <f t="shared" si="100"/>
        <v>JAZWARES - KELLYTOY DOM</v>
      </c>
      <c r="BC563" s="208" t="str">
        <f t="shared" si="114"/>
        <v>美国</v>
      </c>
    </row>
    <row r="564" s="194" customFormat="1" customHeight="1" spans="1:55">
      <c r="A564" s="208">
        <v>46031</v>
      </c>
      <c r="B564" s="208" t="str">
        <f ca="1" t="shared" si="106"/>
        <v/>
      </c>
      <c r="C564" s="211" t="str">
        <f>VLOOKUP(H564,名称!A:E,4,0)</f>
        <v>三代</v>
      </c>
      <c r="D564" s="210" t="s">
        <v>1276</v>
      </c>
      <c r="E564" s="210" t="s">
        <v>1224</v>
      </c>
      <c r="F564" s="211" t="s">
        <v>414</v>
      </c>
      <c r="G564" s="211" t="s">
        <v>415</v>
      </c>
      <c r="H564" s="211" t="s">
        <v>61</v>
      </c>
      <c r="I564" s="211"/>
      <c r="J564" s="212">
        <v>21000</v>
      </c>
      <c r="K564" s="223">
        <f>VLOOKUP(H564,名称!A:C,2,0)</f>
        <v>5</v>
      </c>
      <c r="L564" s="212">
        <f t="shared" si="111"/>
        <v>105000</v>
      </c>
      <c r="M564" s="211">
        <f>VLOOKUP(H564,名称!A:E,3,0)</f>
        <v>24</v>
      </c>
      <c r="N564" s="212">
        <f t="shared" si="110"/>
        <v>875</v>
      </c>
      <c r="O564" s="208">
        <v>46157</v>
      </c>
      <c r="P564" s="208">
        <v>46164</v>
      </c>
      <c r="Q564" s="208">
        <v>46164</v>
      </c>
      <c r="R564" s="211" t="s">
        <v>1241</v>
      </c>
      <c r="S564" s="208">
        <v>46164</v>
      </c>
      <c r="T564" s="241" t="s">
        <v>1241</v>
      </c>
      <c r="U564" s="211"/>
      <c r="V564" s="213">
        <v>46223</v>
      </c>
      <c r="W564" s="208"/>
      <c r="X564" s="211" t="s">
        <v>1133</v>
      </c>
      <c r="Y564" s="211" t="s">
        <v>1133</v>
      </c>
      <c r="Z564" s="213">
        <v>46059</v>
      </c>
      <c r="AA564" s="214">
        <v>46079</v>
      </c>
      <c r="AB564" s="213">
        <v>46080</v>
      </c>
      <c r="AC564" s="211" t="s">
        <v>1133</v>
      </c>
      <c r="AD564" s="211" t="s">
        <v>1133</v>
      </c>
      <c r="AE564" s="211" t="s">
        <v>270</v>
      </c>
      <c r="AF564" s="211" t="s">
        <v>1228</v>
      </c>
      <c r="AG564" s="211" t="s">
        <v>270</v>
      </c>
      <c r="AH564" s="211" t="s">
        <v>1133</v>
      </c>
      <c r="AI564" s="211" t="s">
        <v>1228</v>
      </c>
      <c r="AJ564" s="211" t="s">
        <v>1133</v>
      </c>
      <c r="AK564" s="211" t="s">
        <v>270</v>
      </c>
      <c r="AL564" s="211"/>
      <c r="AM564" s="211" t="s">
        <v>1296</v>
      </c>
      <c r="AN564" s="212"/>
      <c r="AO564" s="215">
        <v>0.61</v>
      </c>
      <c r="AP564" s="216">
        <f t="shared" si="102"/>
        <v>12810</v>
      </c>
      <c r="AQ564" s="216">
        <f t="shared" si="103"/>
        <v>99277.5</v>
      </c>
      <c r="AR564" s="224">
        <v>61430</v>
      </c>
      <c r="AS564" s="330">
        <v>46224</v>
      </c>
      <c r="AT564" s="208" t="s">
        <v>1220</v>
      </c>
      <c r="AU564" s="251">
        <f>20976+24</f>
        <v>21000</v>
      </c>
      <c r="AV564" s="252">
        <f t="shared" si="113"/>
        <v>0</v>
      </c>
      <c r="AW564" s="252"/>
      <c r="AX564" s="208" t="s">
        <v>1280</v>
      </c>
      <c r="AY564" s="208"/>
      <c r="AZ564" s="208"/>
      <c r="BA564" s="208"/>
      <c r="BB564" s="208" t="str">
        <f t="shared" si="100"/>
        <v>Jazwares- TARGET US DOM</v>
      </c>
      <c r="BC564" s="208" t="str">
        <f t="shared" si="114"/>
        <v>美国</v>
      </c>
    </row>
    <row r="565" s="194" customFormat="1" customHeight="1" spans="1:55">
      <c r="A565" s="208">
        <v>46035</v>
      </c>
      <c r="B565" s="208" t="str">
        <f ca="1" t="shared" si="106"/>
        <v/>
      </c>
      <c r="C565" s="211" t="str">
        <f>VLOOKUP(H565,名称!A:E,4,0)</f>
        <v>三代</v>
      </c>
      <c r="D565" s="210" t="s">
        <v>1240</v>
      </c>
      <c r="E565" s="210" t="s">
        <v>1224</v>
      </c>
      <c r="F565" s="211" t="s">
        <v>443</v>
      </c>
      <c r="G565" s="211" t="s">
        <v>444</v>
      </c>
      <c r="H565" s="211" t="s">
        <v>61</v>
      </c>
      <c r="I565" s="211"/>
      <c r="J565" s="212">
        <v>12504</v>
      </c>
      <c r="K565" s="223">
        <f>VLOOKUP(H565,名称!A:C,2,0)</f>
        <v>5</v>
      </c>
      <c r="L565" s="212">
        <f t="shared" si="111"/>
        <v>62520</v>
      </c>
      <c r="M565" s="211">
        <f>VLOOKUP(H565,名称!A:E,3,0)</f>
        <v>24</v>
      </c>
      <c r="N565" s="212">
        <f t="shared" si="110"/>
        <v>521</v>
      </c>
      <c r="O565" s="208">
        <v>46157</v>
      </c>
      <c r="P565" s="208">
        <v>46167</v>
      </c>
      <c r="Q565" s="208">
        <v>46167</v>
      </c>
      <c r="R565" s="208" t="s">
        <v>1241</v>
      </c>
      <c r="S565" s="208">
        <v>46167</v>
      </c>
      <c r="T565" s="208" t="s">
        <v>1241</v>
      </c>
      <c r="U565" s="208"/>
      <c r="V565" s="213">
        <v>46223</v>
      </c>
      <c r="W565" s="208"/>
      <c r="X565" s="211" t="s">
        <v>1133</v>
      </c>
      <c r="Y565" s="211" t="s">
        <v>1133</v>
      </c>
      <c r="Z565" s="213">
        <v>46059</v>
      </c>
      <c r="AA565" s="214">
        <v>46079</v>
      </c>
      <c r="AB565" s="213">
        <v>46080</v>
      </c>
      <c r="AC565" s="211" t="s">
        <v>1133</v>
      </c>
      <c r="AD565" s="211" t="s">
        <v>1133</v>
      </c>
      <c r="AE565" s="211" t="s">
        <v>270</v>
      </c>
      <c r="AF565" s="211" t="s">
        <v>1228</v>
      </c>
      <c r="AG565" s="211" t="s">
        <v>270</v>
      </c>
      <c r="AH565" s="211" t="s">
        <v>1133</v>
      </c>
      <c r="AI565" s="211" t="s">
        <v>1228</v>
      </c>
      <c r="AJ565" s="211" t="s">
        <v>1133</v>
      </c>
      <c r="AK565" s="211" t="s">
        <v>270</v>
      </c>
      <c r="AL565" s="211"/>
      <c r="AM565" s="211" t="s">
        <v>1296</v>
      </c>
      <c r="AN565" s="212"/>
      <c r="AO565" s="215">
        <v>0.61</v>
      </c>
      <c r="AP565" s="216">
        <f t="shared" si="102"/>
        <v>7627.44</v>
      </c>
      <c r="AQ565" s="216">
        <f t="shared" si="103"/>
        <v>59112.66</v>
      </c>
      <c r="AR565" s="224">
        <v>61431</v>
      </c>
      <c r="AS565" s="330">
        <v>46224</v>
      </c>
      <c r="AT565" s="208" t="s">
        <v>1220</v>
      </c>
      <c r="AU565" s="251">
        <f>12480+24</f>
        <v>12504</v>
      </c>
      <c r="AV565" s="252">
        <f t="shared" si="113"/>
        <v>0</v>
      </c>
      <c r="AW565" s="252"/>
      <c r="AX565" s="208" t="s">
        <v>1280</v>
      </c>
      <c r="AY565" s="208"/>
      <c r="AZ565" s="208"/>
      <c r="BA565" s="208"/>
      <c r="BB565" s="208" t="str">
        <f t="shared" si="100"/>
        <v>JAZWARES - TARGET US DOM</v>
      </c>
      <c r="BC565" s="208" t="str">
        <f t="shared" si="114"/>
        <v>美国</v>
      </c>
    </row>
    <row r="566" s="194" customFormat="1" customHeight="1" spans="1:55">
      <c r="A566" s="271">
        <v>46127</v>
      </c>
      <c r="B566" s="208" t="str">
        <f ca="1" t="shared" si="106"/>
        <v/>
      </c>
      <c r="C566" s="211" t="str">
        <f>VLOOKUP(H566,名称!A:E,4,0)</f>
        <v>三代</v>
      </c>
      <c r="D566" s="220" t="s">
        <v>1761</v>
      </c>
      <c r="E566" s="220" t="s">
        <v>1224</v>
      </c>
      <c r="F566" s="220" t="s">
        <v>733</v>
      </c>
      <c r="G566" s="220" t="s">
        <v>734</v>
      </c>
      <c r="H566" s="220" t="s">
        <v>124</v>
      </c>
      <c r="I566" s="211"/>
      <c r="J566" s="270">
        <v>24996</v>
      </c>
      <c r="K566" s="223">
        <f>VLOOKUP(H566,名称!A:C,2,0)</f>
        <v>0</v>
      </c>
      <c r="L566" s="212">
        <f t="shared" si="111"/>
        <v>0</v>
      </c>
      <c r="M566" s="211">
        <f>VLOOKUP(H566,名称!A:E,3,0)</f>
        <v>12</v>
      </c>
      <c r="N566" s="212">
        <f t="shared" si="110"/>
        <v>2083</v>
      </c>
      <c r="O566" s="271">
        <v>46228</v>
      </c>
      <c r="P566" s="208">
        <v>46213</v>
      </c>
      <c r="Q566" s="208">
        <v>46223</v>
      </c>
      <c r="R566" s="211" t="s">
        <v>1291</v>
      </c>
      <c r="S566" s="271">
        <v>46223</v>
      </c>
      <c r="T566" s="211" t="s">
        <v>1282</v>
      </c>
      <c r="U566" s="241" t="s">
        <v>1885</v>
      </c>
      <c r="V566" s="332">
        <v>46223</v>
      </c>
      <c r="W566" s="208"/>
      <c r="X566" s="211" t="s">
        <v>1133</v>
      </c>
      <c r="Y566" s="211" t="s">
        <v>1133</v>
      </c>
      <c r="Z566" s="263">
        <v>46134</v>
      </c>
      <c r="AA566" s="264">
        <v>46149</v>
      </c>
      <c r="AB566" s="264">
        <v>46160</v>
      </c>
      <c r="AC566" s="257" t="s">
        <v>1133</v>
      </c>
      <c r="AD566" s="257" t="s">
        <v>1133</v>
      </c>
      <c r="AE566" s="220" t="s">
        <v>270</v>
      </c>
      <c r="AF566" s="257" t="s">
        <v>1228</v>
      </c>
      <c r="AG566" s="257" t="s">
        <v>270</v>
      </c>
      <c r="AH566" s="257" t="s">
        <v>1133</v>
      </c>
      <c r="AI566" s="257" t="s">
        <v>1228</v>
      </c>
      <c r="AJ566" s="257" t="s">
        <v>1133</v>
      </c>
      <c r="AK566" s="257" t="s">
        <v>270</v>
      </c>
      <c r="AL566" s="257"/>
      <c r="AM566" s="257" t="s">
        <v>1323</v>
      </c>
      <c r="AN566" s="268" t="s">
        <v>1762</v>
      </c>
      <c r="AO566" s="215">
        <v>0.59</v>
      </c>
      <c r="AP566" s="216">
        <f t="shared" si="102"/>
        <v>14747.64</v>
      </c>
      <c r="AQ566" s="216">
        <f t="shared" si="103"/>
        <v>114294.21</v>
      </c>
      <c r="AR566" s="224">
        <v>61432</v>
      </c>
      <c r="AS566" s="330">
        <v>46224</v>
      </c>
      <c r="AT566" s="208" t="s">
        <v>1310</v>
      </c>
      <c r="AU566" s="253">
        <f>9156+3240+3864+8640+96</f>
        <v>24996</v>
      </c>
      <c r="AV566" s="252">
        <f t="shared" si="113"/>
        <v>0</v>
      </c>
      <c r="AW566" s="252"/>
      <c r="AX566" s="256"/>
      <c r="AY566" s="208"/>
      <c r="AZ566" s="208"/>
      <c r="BA566" s="208"/>
      <c r="BB566" s="208" t="str">
        <f t="shared" ref="BB566:BB629" si="115">D566</f>
        <v>Jazwares- CLAIRE'S DOM</v>
      </c>
      <c r="BC566" s="208" t="str">
        <f t="shared" si="114"/>
        <v>美国</v>
      </c>
    </row>
    <row r="567" s="194" customFormat="1" customHeight="1" spans="1:55">
      <c r="A567" s="208">
        <v>46134</v>
      </c>
      <c r="B567" s="208" t="str">
        <f ca="1" t="shared" si="106"/>
        <v/>
      </c>
      <c r="C567" s="211" t="str">
        <f>VLOOKUP(H567,名称!A:E,4,0)</f>
        <v>三代</v>
      </c>
      <c r="D567" s="220" t="s">
        <v>1328</v>
      </c>
      <c r="E567" s="220" t="s">
        <v>1224</v>
      </c>
      <c r="F567" s="220" t="s">
        <v>755</v>
      </c>
      <c r="G567" s="220" t="s">
        <v>756</v>
      </c>
      <c r="H567" s="220" t="s">
        <v>59</v>
      </c>
      <c r="I567" s="211"/>
      <c r="J567" s="270">
        <v>2016</v>
      </c>
      <c r="K567" s="223">
        <f>VLOOKUP(H567,名称!A:C,2,0)</f>
        <v>5</v>
      </c>
      <c r="L567" s="212">
        <f t="shared" si="111"/>
        <v>10080</v>
      </c>
      <c r="M567" s="211">
        <f>VLOOKUP(H567,名称!A:E,3,0)</f>
        <v>24</v>
      </c>
      <c r="N567" s="212">
        <f t="shared" si="110"/>
        <v>84</v>
      </c>
      <c r="O567" s="271">
        <v>46209</v>
      </c>
      <c r="P567" s="256">
        <f t="shared" si="112"/>
        <v>46209</v>
      </c>
      <c r="Q567" s="256">
        <v>46211</v>
      </c>
      <c r="R567" s="241" t="s">
        <v>1277</v>
      </c>
      <c r="S567" s="256">
        <v>46218</v>
      </c>
      <c r="T567" s="241" t="s">
        <v>1241</v>
      </c>
      <c r="U567" s="211"/>
      <c r="V567" s="213">
        <v>46223</v>
      </c>
      <c r="W567" s="208"/>
      <c r="X567" s="220" t="s">
        <v>1133</v>
      </c>
      <c r="Y567" s="211" t="s">
        <v>1133</v>
      </c>
      <c r="Z567" s="263">
        <v>46178</v>
      </c>
      <c r="AA567" s="264">
        <v>46181</v>
      </c>
      <c r="AB567" s="264">
        <v>46181</v>
      </c>
      <c r="AC567" s="257" t="s">
        <v>1133</v>
      </c>
      <c r="AD567" s="257" t="s">
        <v>1133</v>
      </c>
      <c r="AE567" s="220" t="s">
        <v>270</v>
      </c>
      <c r="AF567" s="257" t="s">
        <v>1228</v>
      </c>
      <c r="AG567" s="257" t="s">
        <v>270</v>
      </c>
      <c r="AH567" s="257" t="s">
        <v>1133</v>
      </c>
      <c r="AI567" s="257" t="s">
        <v>1228</v>
      </c>
      <c r="AJ567" s="257" t="s">
        <v>1133</v>
      </c>
      <c r="AK567" s="257" t="s">
        <v>270</v>
      </c>
      <c r="AL567" s="257"/>
      <c r="AM567" s="257" t="s">
        <v>1506</v>
      </c>
      <c r="AN567" s="211" t="s">
        <v>1762</v>
      </c>
      <c r="AO567" s="215">
        <v>0.62</v>
      </c>
      <c r="AP567" s="216">
        <f t="shared" si="102"/>
        <v>1249.92</v>
      </c>
      <c r="AQ567" s="216">
        <f t="shared" si="103"/>
        <v>9686.88</v>
      </c>
      <c r="AR567" s="224">
        <v>61433</v>
      </c>
      <c r="AS567" s="330">
        <v>46224</v>
      </c>
      <c r="AT567" s="208" t="s">
        <v>1220</v>
      </c>
      <c r="AU567" s="253">
        <f>1992+24</f>
        <v>2016</v>
      </c>
      <c r="AV567" s="252">
        <f t="shared" si="113"/>
        <v>0</v>
      </c>
      <c r="AW567" s="252"/>
      <c r="AX567" s="256" t="s">
        <v>1280</v>
      </c>
      <c r="AY567" s="208"/>
      <c r="AZ567" s="208"/>
      <c r="BA567" s="208"/>
      <c r="BB567" s="256" t="str">
        <f t="shared" si="115"/>
        <v>JAZWARES - KROGER DOM</v>
      </c>
      <c r="BC567" s="256" t="str">
        <f t="shared" si="114"/>
        <v>美国</v>
      </c>
    </row>
    <row r="568" s="194" customFormat="1" customHeight="1" spans="1:55">
      <c r="A568" s="208">
        <v>46155</v>
      </c>
      <c r="B568" s="208" t="str">
        <f ca="1" t="shared" si="106"/>
        <v/>
      </c>
      <c r="C568" s="211" t="str">
        <f>VLOOKUP(H568,名称!A:E,4,0)</f>
        <v>三代</v>
      </c>
      <c r="D568" s="220" t="s">
        <v>1761</v>
      </c>
      <c r="E568" s="220" t="s">
        <v>1224</v>
      </c>
      <c r="F568" s="220" t="s">
        <v>844</v>
      </c>
      <c r="G568" s="220" t="s">
        <v>845</v>
      </c>
      <c r="H568" s="220" t="s">
        <v>116</v>
      </c>
      <c r="I568" s="211"/>
      <c r="J568" s="270">
        <v>7992</v>
      </c>
      <c r="K568" s="223">
        <f>VLOOKUP(H568,名称!A:C,2,0)</f>
        <v>12</v>
      </c>
      <c r="L568" s="212">
        <f t="shared" si="111"/>
        <v>95904</v>
      </c>
      <c r="M568" s="257">
        <f>VLOOKUP(H568,名称!A:E,3,0)</f>
        <v>12</v>
      </c>
      <c r="N568" s="259">
        <f t="shared" si="110"/>
        <v>666</v>
      </c>
      <c r="O568" s="271">
        <v>46213</v>
      </c>
      <c r="P568" s="271">
        <f t="shared" si="112"/>
        <v>46213</v>
      </c>
      <c r="Q568" s="208">
        <v>46216</v>
      </c>
      <c r="R568" s="241" t="s">
        <v>1241</v>
      </c>
      <c r="S568" s="208">
        <v>46218</v>
      </c>
      <c r="T568" s="241" t="s">
        <v>1241</v>
      </c>
      <c r="U568" s="241" t="s">
        <v>1886</v>
      </c>
      <c r="V568" s="213">
        <v>46223</v>
      </c>
      <c r="W568" s="208"/>
      <c r="X568" s="220" t="s">
        <v>1133</v>
      </c>
      <c r="Y568" s="220" t="s">
        <v>1133</v>
      </c>
      <c r="Z568" s="213">
        <v>46183</v>
      </c>
      <c r="AA568" s="214">
        <v>46183</v>
      </c>
      <c r="AB568" s="214">
        <v>46183</v>
      </c>
      <c r="AC568" s="257" t="s">
        <v>1302</v>
      </c>
      <c r="AD568" s="257" t="s">
        <v>1133</v>
      </c>
      <c r="AE568" s="220" t="s">
        <v>270</v>
      </c>
      <c r="AF568" s="257" t="s">
        <v>1228</v>
      </c>
      <c r="AG568" s="257" t="s">
        <v>270</v>
      </c>
      <c r="AH568" s="257" t="s">
        <v>1285</v>
      </c>
      <c r="AI568" s="257" t="s">
        <v>1228</v>
      </c>
      <c r="AJ568" s="257" t="s">
        <v>1133</v>
      </c>
      <c r="AK568" s="257" t="s">
        <v>1133</v>
      </c>
      <c r="AL568" s="257"/>
      <c r="AM568" s="267" t="s">
        <v>1506</v>
      </c>
      <c r="AN568" s="211" t="s">
        <v>1764</v>
      </c>
      <c r="AO568" s="215">
        <v>1.56</v>
      </c>
      <c r="AP568" s="216">
        <f t="shared" si="102"/>
        <v>12467.52</v>
      </c>
      <c r="AQ568" s="216">
        <f t="shared" si="103"/>
        <v>96623.28</v>
      </c>
      <c r="AR568" s="224">
        <v>61434</v>
      </c>
      <c r="AS568" s="330">
        <v>46224</v>
      </c>
      <c r="AT568" s="208" t="s">
        <v>1220</v>
      </c>
      <c r="AU568" s="252">
        <f>2592+5184+216</f>
        <v>7992</v>
      </c>
      <c r="AV568" s="252">
        <f t="shared" si="113"/>
        <v>0</v>
      </c>
      <c r="AW568" s="331"/>
      <c r="AX568" s="256"/>
      <c r="AY568" s="208" t="s">
        <v>1255</v>
      </c>
      <c r="AZ568" s="208" t="s">
        <v>1256</v>
      </c>
      <c r="BA568" s="208"/>
      <c r="BB568" s="208" t="str">
        <f t="shared" si="115"/>
        <v>Jazwares- CLAIRE'S DOM</v>
      </c>
      <c r="BC568" s="208" t="str">
        <f t="shared" si="114"/>
        <v>美国</v>
      </c>
    </row>
    <row r="569" s="194" customFormat="1" customHeight="1" spans="1:55">
      <c r="A569" s="271">
        <v>46150</v>
      </c>
      <c r="B569" s="208" t="str">
        <f ca="1" t="shared" si="106"/>
        <v/>
      </c>
      <c r="C569" s="211" t="str">
        <f>VLOOKUP(H569,名称!A:E,4,0)</f>
        <v>三代</v>
      </c>
      <c r="D569" s="210" t="s">
        <v>1754</v>
      </c>
      <c r="E569" s="210" t="s">
        <v>1755</v>
      </c>
      <c r="F569" s="211"/>
      <c r="G569" s="211" t="s">
        <v>832</v>
      </c>
      <c r="H569" s="211" t="s">
        <v>119</v>
      </c>
      <c r="I569" s="211"/>
      <c r="J569" s="270">
        <v>1680</v>
      </c>
      <c r="K569" s="223">
        <f>VLOOKUP(H569,名称!A:C,2,0)</f>
        <v>5</v>
      </c>
      <c r="L569" s="212">
        <f t="shared" si="111"/>
        <v>8400</v>
      </c>
      <c r="M569" s="211">
        <f>VLOOKUP(H569,名称!A:E,3,0)</f>
        <v>24</v>
      </c>
      <c r="N569" s="212">
        <f t="shared" si="110"/>
        <v>70</v>
      </c>
      <c r="O569" s="208">
        <v>46210</v>
      </c>
      <c r="P569" s="271">
        <f t="shared" ref="P569:P573" si="116">O569</f>
        <v>46210</v>
      </c>
      <c r="Q569" s="208">
        <f>P569</f>
        <v>46210</v>
      </c>
      <c r="R569" s="241" t="s">
        <v>1241</v>
      </c>
      <c r="S569" s="208" t="s">
        <v>1133</v>
      </c>
      <c r="T569" s="211"/>
      <c r="U569" s="211"/>
      <c r="V569" s="213">
        <v>46219</v>
      </c>
      <c r="W569" s="208"/>
      <c r="X569" s="220" t="s">
        <v>1248</v>
      </c>
      <c r="Y569" s="213">
        <v>46177</v>
      </c>
      <c r="Z569" s="211" t="s">
        <v>1249</v>
      </c>
      <c r="AA569" s="214">
        <v>46155</v>
      </c>
      <c r="AB569" s="214">
        <v>46176</v>
      </c>
      <c r="AC569" s="257"/>
      <c r="AD569" s="257"/>
      <c r="AE569" s="220" t="s">
        <v>510</v>
      </c>
      <c r="AF569" s="257" t="s">
        <v>1228</v>
      </c>
      <c r="AG569" s="257" t="s">
        <v>510</v>
      </c>
      <c r="AH569" s="257" t="s">
        <v>1133</v>
      </c>
      <c r="AI569" s="257" t="s">
        <v>1228</v>
      </c>
      <c r="AJ569" s="257" t="s">
        <v>1133</v>
      </c>
      <c r="AK569" s="257" t="s">
        <v>510</v>
      </c>
      <c r="AL569" s="241" t="s">
        <v>1228</v>
      </c>
      <c r="AM569" s="257" t="s">
        <v>1506</v>
      </c>
      <c r="AN569" s="220" t="s">
        <v>1251</v>
      </c>
      <c r="AO569" s="215">
        <v>0.65</v>
      </c>
      <c r="AP569" s="216">
        <f t="shared" si="102"/>
        <v>1092</v>
      </c>
      <c r="AQ569" s="216">
        <f t="shared" si="103"/>
        <v>8463</v>
      </c>
      <c r="AR569" s="224">
        <v>61435</v>
      </c>
      <c r="AS569" s="330">
        <v>46233</v>
      </c>
      <c r="AT569" s="208" t="s">
        <v>1220</v>
      </c>
      <c r="AU569" s="253">
        <v>1680</v>
      </c>
      <c r="AV569" s="252">
        <f t="shared" si="113"/>
        <v>0</v>
      </c>
      <c r="AW569" s="333" t="s">
        <v>1228</v>
      </c>
      <c r="AX569" s="256" t="s">
        <v>1280</v>
      </c>
      <c r="AY569" s="208"/>
      <c r="AZ569" s="208"/>
      <c r="BA569" s="208"/>
      <c r="BB569" s="208" t="str">
        <f t="shared" si="115"/>
        <v>Anvol</v>
      </c>
      <c r="BC569" s="208" t="str">
        <f t="shared" si="114"/>
        <v>爱沙尼亚</v>
      </c>
    </row>
    <row r="570" s="194" customFormat="1" customHeight="1" spans="1:55">
      <c r="A570" s="271">
        <v>46150</v>
      </c>
      <c r="B570" s="208" t="str">
        <f ca="1" t="shared" si="106"/>
        <v/>
      </c>
      <c r="C570" s="211" t="str">
        <f>VLOOKUP(H570,名称!A:E,4,0)</f>
        <v>三代</v>
      </c>
      <c r="D570" s="210" t="s">
        <v>1754</v>
      </c>
      <c r="E570" s="210" t="s">
        <v>1755</v>
      </c>
      <c r="F570" s="211"/>
      <c r="G570" s="211" t="s">
        <v>832</v>
      </c>
      <c r="H570" s="211" t="s">
        <v>94</v>
      </c>
      <c r="I570" s="211"/>
      <c r="J570" s="270">
        <v>1200</v>
      </c>
      <c r="K570" s="223">
        <f>VLOOKUP(H570,名称!A:C,2,0)</f>
        <v>5</v>
      </c>
      <c r="L570" s="212">
        <f t="shared" si="111"/>
        <v>6000</v>
      </c>
      <c r="M570" s="211">
        <f>VLOOKUP(H570,名称!A:E,3,0)</f>
        <v>24</v>
      </c>
      <c r="N570" s="212">
        <f t="shared" si="110"/>
        <v>50</v>
      </c>
      <c r="O570" s="208">
        <v>46210</v>
      </c>
      <c r="P570" s="271">
        <f t="shared" si="116"/>
        <v>46210</v>
      </c>
      <c r="Q570" s="208">
        <f>P570</f>
        <v>46210</v>
      </c>
      <c r="R570" s="241" t="s">
        <v>1241</v>
      </c>
      <c r="S570" s="208" t="s">
        <v>1133</v>
      </c>
      <c r="T570" s="211"/>
      <c r="U570" s="211"/>
      <c r="V570" s="263">
        <v>46219</v>
      </c>
      <c r="W570" s="208"/>
      <c r="X570" s="220" t="s">
        <v>1248</v>
      </c>
      <c r="Y570" s="213">
        <v>46177</v>
      </c>
      <c r="Z570" s="211" t="s">
        <v>1249</v>
      </c>
      <c r="AA570" s="214">
        <v>46155</v>
      </c>
      <c r="AB570" s="214">
        <v>46176</v>
      </c>
      <c r="AC570" s="257" t="s">
        <v>1133</v>
      </c>
      <c r="AD570" s="257" t="s">
        <v>1133</v>
      </c>
      <c r="AE570" s="220" t="s">
        <v>510</v>
      </c>
      <c r="AF570" s="257" t="s">
        <v>1228</v>
      </c>
      <c r="AG570" s="257" t="s">
        <v>510</v>
      </c>
      <c r="AH570" s="257" t="s">
        <v>1133</v>
      </c>
      <c r="AI570" s="257" t="s">
        <v>1228</v>
      </c>
      <c r="AJ570" s="257" t="s">
        <v>1133</v>
      </c>
      <c r="AK570" s="257" t="s">
        <v>510</v>
      </c>
      <c r="AL570" s="241" t="s">
        <v>1228</v>
      </c>
      <c r="AM570" s="257" t="s">
        <v>1506</v>
      </c>
      <c r="AN570" s="220" t="s">
        <v>1251</v>
      </c>
      <c r="AO570" s="215">
        <v>0.66</v>
      </c>
      <c r="AP570" s="216">
        <f t="shared" si="102"/>
        <v>792</v>
      </c>
      <c r="AQ570" s="216">
        <f t="shared" si="103"/>
        <v>6138</v>
      </c>
      <c r="AR570" s="224">
        <v>61435</v>
      </c>
      <c r="AS570" s="330">
        <v>46233</v>
      </c>
      <c r="AT570" s="208" t="s">
        <v>1310</v>
      </c>
      <c r="AU570" s="253">
        <v>1200</v>
      </c>
      <c r="AV570" s="252">
        <f t="shared" si="113"/>
        <v>0</v>
      </c>
      <c r="AW570" s="333" t="s">
        <v>1228</v>
      </c>
      <c r="AX570" s="256"/>
      <c r="AY570" s="208"/>
      <c r="AZ570" s="208"/>
      <c r="BA570" s="208"/>
      <c r="BB570" s="208" t="str">
        <f t="shared" si="115"/>
        <v>Anvol</v>
      </c>
      <c r="BC570" s="208" t="str">
        <f t="shared" si="114"/>
        <v>爱沙尼亚</v>
      </c>
    </row>
    <row r="571" s="194" customFormat="1" customHeight="1" spans="1:55">
      <c r="A571" s="271">
        <v>46150</v>
      </c>
      <c r="B571" s="208" t="str">
        <f ca="1" t="shared" si="106"/>
        <v/>
      </c>
      <c r="C571" s="211" t="str">
        <f>VLOOKUP(H571,名称!A:E,4,0)</f>
        <v>三代</v>
      </c>
      <c r="D571" s="210" t="s">
        <v>1754</v>
      </c>
      <c r="E571" s="210" t="s">
        <v>1755</v>
      </c>
      <c r="F571" s="211"/>
      <c r="G571" s="211" t="s">
        <v>832</v>
      </c>
      <c r="H571" s="211" t="s">
        <v>125</v>
      </c>
      <c r="I571" s="211"/>
      <c r="J571" s="270">
        <v>720</v>
      </c>
      <c r="K571" s="223">
        <f>VLOOKUP(H571,名称!A:C,2,0)</f>
        <v>12</v>
      </c>
      <c r="L571" s="212">
        <f t="shared" si="111"/>
        <v>8640</v>
      </c>
      <c r="M571" s="211">
        <f>VLOOKUP(H571,名称!A:E,3,0)</f>
        <v>12</v>
      </c>
      <c r="N571" s="212">
        <f t="shared" si="110"/>
        <v>60</v>
      </c>
      <c r="O571" s="208">
        <v>46210</v>
      </c>
      <c r="P571" s="271">
        <f t="shared" si="116"/>
        <v>46210</v>
      </c>
      <c r="Q571" s="208">
        <v>46213</v>
      </c>
      <c r="R571" s="267" t="s">
        <v>1241</v>
      </c>
      <c r="S571" s="208" t="s">
        <v>1133</v>
      </c>
      <c r="T571" s="211"/>
      <c r="U571" s="211"/>
      <c r="V571" s="263">
        <v>46219</v>
      </c>
      <c r="W571" s="208"/>
      <c r="X571" s="220" t="s">
        <v>1248</v>
      </c>
      <c r="Y571" s="213">
        <v>46177</v>
      </c>
      <c r="Z571" s="211" t="s">
        <v>1249</v>
      </c>
      <c r="AA571" s="214">
        <v>46155</v>
      </c>
      <c r="AB571" s="214">
        <v>46176</v>
      </c>
      <c r="AC571" s="257" t="s">
        <v>1302</v>
      </c>
      <c r="AD571" s="257" t="s">
        <v>1228</v>
      </c>
      <c r="AE571" s="220" t="s">
        <v>510</v>
      </c>
      <c r="AF571" s="257" t="s">
        <v>1228</v>
      </c>
      <c r="AG571" s="257" t="s">
        <v>510</v>
      </c>
      <c r="AH571" s="257" t="s">
        <v>1307</v>
      </c>
      <c r="AI571" s="257" t="s">
        <v>1228</v>
      </c>
      <c r="AJ571" s="257" t="s">
        <v>1133</v>
      </c>
      <c r="AK571" s="257" t="s">
        <v>1133</v>
      </c>
      <c r="AL571" s="267" t="s">
        <v>1228</v>
      </c>
      <c r="AM571" s="257" t="s">
        <v>1506</v>
      </c>
      <c r="AN571" s="220" t="s">
        <v>1251</v>
      </c>
      <c r="AO571" s="215">
        <v>1.65</v>
      </c>
      <c r="AP571" s="216">
        <f t="shared" si="102"/>
        <v>1188</v>
      </c>
      <c r="AQ571" s="216">
        <f t="shared" si="103"/>
        <v>9207</v>
      </c>
      <c r="AR571" s="224">
        <v>61435</v>
      </c>
      <c r="AS571" s="330">
        <v>46233</v>
      </c>
      <c r="AT571" s="273" t="s">
        <v>1220</v>
      </c>
      <c r="AU571" s="253">
        <v>720</v>
      </c>
      <c r="AV571" s="252">
        <f t="shared" si="113"/>
        <v>0</v>
      </c>
      <c r="AW571" s="333" t="s">
        <v>1228</v>
      </c>
      <c r="AX571" s="274" t="s">
        <v>1280</v>
      </c>
      <c r="AY571" s="208"/>
      <c r="AZ571" s="208"/>
      <c r="BA571" s="208"/>
      <c r="BB571" s="273" t="str">
        <f t="shared" si="115"/>
        <v>Anvol</v>
      </c>
      <c r="BC571" s="273" t="str">
        <f t="shared" si="114"/>
        <v>爱沙尼亚</v>
      </c>
    </row>
    <row r="572" s="194" customFormat="1" customHeight="1" spans="1:55">
      <c r="A572" s="271">
        <v>46150</v>
      </c>
      <c r="B572" s="208" t="str">
        <f ca="1" t="shared" si="106"/>
        <v/>
      </c>
      <c r="C572" s="211" t="str">
        <f>VLOOKUP(H572,名称!A:E,4,0)</f>
        <v>蛋糕</v>
      </c>
      <c r="D572" s="210" t="s">
        <v>1754</v>
      </c>
      <c r="E572" s="210" t="s">
        <v>1755</v>
      </c>
      <c r="F572" s="211"/>
      <c r="G572" s="211" t="s">
        <v>832</v>
      </c>
      <c r="H572" s="211" t="s">
        <v>50</v>
      </c>
      <c r="I572" s="211"/>
      <c r="J572" s="270">
        <v>2700</v>
      </c>
      <c r="K572" s="223">
        <f>VLOOKUP(H572,名称!A:C,2,0)</f>
        <v>0</v>
      </c>
      <c r="L572" s="212">
        <f t="shared" si="111"/>
        <v>0</v>
      </c>
      <c r="M572" s="211">
        <f>VLOOKUP(H572,名称!A:E,3,0)</f>
        <v>18</v>
      </c>
      <c r="N572" s="212">
        <f t="shared" si="110"/>
        <v>150</v>
      </c>
      <c r="O572" s="208">
        <v>46210</v>
      </c>
      <c r="P572" s="271">
        <f t="shared" si="116"/>
        <v>46210</v>
      </c>
      <c r="Q572" s="271">
        <v>46224</v>
      </c>
      <c r="R572" s="241" t="s">
        <v>1241</v>
      </c>
      <c r="S572" s="256" t="s">
        <v>1133</v>
      </c>
      <c r="T572" s="211"/>
      <c r="U572" s="211"/>
      <c r="V572" s="213">
        <v>46219</v>
      </c>
      <c r="W572" s="208"/>
      <c r="X572" s="220" t="s">
        <v>1248</v>
      </c>
      <c r="Y572" s="213">
        <v>46176</v>
      </c>
      <c r="Z572" s="211" t="s">
        <v>1249</v>
      </c>
      <c r="AA572" s="214">
        <v>46155</v>
      </c>
      <c r="AB572" s="214">
        <v>46176</v>
      </c>
      <c r="AC572" s="211" t="s">
        <v>1133</v>
      </c>
      <c r="AD572" s="211" t="s">
        <v>1133</v>
      </c>
      <c r="AE572" s="220" t="s">
        <v>510</v>
      </c>
      <c r="AF572" s="211" t="s">
        <v>1228</v>
      </c>
      <c r="AG572" s="220" t="s">
        <v>510</v>
      </c>
      <c r="AH572" s="211" t="s">
        <v>1133</v>
      </c>
      <c r="AI572" s="211" t="s">
        <v>1228</v>
      </c>
      <c r="AJ572" s="211" t="s">
        <v>1133</v>
      </c>
      <c r="AK572" s="211" t="s">
        <v>1228</v>
      </c>
      <c r="AL572" s="211"/>
      <c r="AM572" s="267" t="s">
        <v>1887</v>
      </c>
      <c r="AN572" s="220" t="s">
        <v>1507</v>
      </c>
      <c r="AO572" s="215">
        <v>1.15</v>
      </c>
      <c r="AP572" s="216">
        <f t="shared" ref="AP572:AP582" si="117">J572*AO572</f>
        <v>3105</v>
      </c>
      <c r="AQ572" s="216">
        <f t="shared" ref="AQ572:AQ582" si="118">AP572*7.75</f>
        <v>24063.75</v>
      </c>
      <c r="AR572" s="224">
        <v>61435</v>
      </c>
      <c r="AS572" s="330">
        <v>46233</v>
      </c>
      <c r="AT572" s="208" t="s">
        <v>1220</v>
      </c>
      <c r="AU572" s="208"/>
      <c r="AV572" s="208"/>
      <c r="AW572" s="208"/>
      <c r="AX572" s="208"/>
      <c r="AY572" s="208"/>
      <c r="AZ572" s="208"/>
      <c r="BA572" s="208"/>
      <c r="BB572" s="208" t="str">
        <f t="shared" si="115"/>
        <v>Anvol</v>
      </c>
      <c r="BC572" s="208" t="str">
        <f t="shared" si="114"/>
        <v>爱沙尼亚</v>
      </c>
    </row>
    <row r="573" s="199" customFormat="1" customHeight="1" spans="1:55">
      <c r="A573" s="271">
        <v>46150</v>
      </c>
      <c r="B573" s="208" t="str">
        <f ca="1" t="shared" si="106"/>
        <v/>
      </c>
      <c r="C573" s="211" t="str">
        <f>VLOOKUP(H573,名称!A:E,4,0)</f>
        <v>蛋糕</v>
      </c>
      <c r="D573" s="210" t="s">
        <v>1754</v>
      </c>
      <c r="E573" s="210" t="s">
        <v>1755</v>
      </c>
      <c r="F573" s="211"/>
      <c r="G573" s="211" t="s">
        <v>832</v>
      </c>
      <c r="H573" s="211" t="s">
        <v>52</v>
      </c>
      <c r="I573" s="211"/>
      <c r="J573" s="270">
        <v>1080</v>
      </c>
      <c r="K573" s="223">
        <f>VLOOKUP(H573,名称!A:C,2,0)</f>
        <v>0</v>
      </c>
      <c r="L573" s="212">
        <f t="shared" si="111"/>
        <v>0</v>
      </c>
      <c r="M573" s="211">
        <f>VLOOKUP(H573,名称!A:E,3,0)</f>
        <v>4</v>
      </c>
      <c r="N573" s="212">
        <f t="shared" si="110"/>
        <v>270</v>
      </c>
      <c r="O573" s="208">
        <v>46210</v>
      </c>
      <c r="P573" s="271">
        <f t="shared" si="116"/>
        <v>46210</v>
      </c>
      <c r="Q573" s="271">
        <v>46217</v>
      </c>
      <c r="R573" s="241" t="s">
        <v>1241</v>
      </c>
      <c r="S573" s="256" t="s">
        <v>1133</v>
      </c>
      <c r="T573" s="211"/>
      <c r="U573" s="211"/>
      <c r="V573" s="263">
        <v>46219</v>
      </c>
      <c r="W573" s="208"/>
      <c r="X573" s="220" t="s">
        <v>1248</v>
      </c>
      <c r="Y573" s="213">
        <v>46176</v>
      </c>
      <c r="Z573" s="211" t="s">
        <v>1249</v>
      </c>
      <c r="AA573" s="214">
        <v>46155</v>
      </c>
      <c r="AB573" s="214">
        <v>46176</v>
      </c>
      <c r="AC573" s="211" t="s">
        <v>1133</v>
      </c>
      <c r="AD573" s="211" t="s">
        <v>1133</v>
      </c>
      <c r="AE573" s="220" t="s">
        <v>510</v>
      </c>
      <c r="AF573" s="211" t="s">
        <v>1228</v>
      </c>
      <c r="AG573" s="220" t="s">
        <v>510</v>
      </c>
      <c r="AH573" s="211" t="s">
        <v>1133</v>
      </c>
      <c r="AI573" s="211" t="s">
        <v>1228</v>
      </c>
      <c r="AJ573" s="211" t="s">
        <v>1133</v>
      </c>
      <c r="AK573" s="211" t="s">
        <v>1228</v>
      </c>
      <c r="AL573" s="211"/>
      <c r="AM573" s="267" t="s">
        <v>1887</v>
      </c>
      <c r="AN573" s="220" t="s">
        <v>1507</v>
      </c>
      <c r="AO573" s="215">
        <v>2.93</v>
      </c>
      <c r="AP573" s="216">
        <f t="shared" si="117"/>
        <v>3164.4</v>
      </c>
      <c r="AQ573" s="216">
        <f t="shared" si="118"/>
        <v>24524.1</v>
      </c>
      <c r="AR573" s="224">
        <v>61435</v>
      </c>
      <c r="AS573" s="330">
        <v>46233</v>
      </c>
      <c r="AT573" s="208" t="s">
        <v>1220</v>
      </c>
      <c r="AU573" s="208"/>
      <c r="AV573" s="208"/>
      <c r="AW573" s="208"/>
      <c r="AX573" s="208"/>
      <c r="AY573" s="208"/>
      <c r="AZ573" s="208"/>
      <c r="BA573" s="208"/>
      <c r="BB573" s="208" t="str">
        <f t="shared" si="115"/>
        <v>Anvol</v>
      </c>
      <c r="BC573" s="208" t="str">
        <f t="shared" si="114"/>
        <v>爱沙尼亚</v>
      </c>
    </row>
    <row r="574" s="194" customFormat="1" customHeight="1" spans="1:55">
      <c r="A574" s="208">
        <v>46113</v>
      </c>
      <c r="B574" s="208" t="str">
        <f ca="1" t="shared" si="106"/>
        <v/>
      </c>
      <c r="C574" s="211" t="str">
        <f>VLOOKUP(H574,名称!A:E,4,0)</f>
        <v>三代</v>
      </c>
      <c r="D574" s="210" t="s">
        <v>1257</v>
      </c>
      <c r="E574" s="210" t="s">
        <v>1258</v>
      </c>
      <c r="F574" s="211" t="s">
        <v>609</v>
      </c>
      <c r="G574" s="211" t="s">
        <v>610</v>
      </c>
      <c r="H574" s="211" t="s">
        <v>71</v>
      </c>
      <c r="I574" s="211"/>
      <c r="J574" s="212">
        <v>3204</v>
      </c>
      <c r="K574" s="223">
        <f>VLOOKUP(H574,名称!A:C,2,0)</f>
        <v>50</v>
      </c>
      <c r="L574" s="212">
        <f t="shared" si="111"/>
        <v>160200</v>
      </c>
      <c r="M574" s="211">
        <f>VLOOKUP(H574,名称!A:E,3,0)</f>
        <v>4</v>
      </c>
      <c r="N574" s="212">
        <f t="shared" si="110"/>
        <v>801</v>
      </c>
      <c r="O574" s="208">
        <v>46216</v>
      </c>
      <c r="P574" s="256">
        <v>46214</v>
      </c>
      <c r="Q574" s="256">
        <v>46216</v>
      </c>
      <c r="R574" s="241" t="s">
        <v>1241</v>
      </c>
      <c r="S574" s="256">
        <v>46216</v>
      </c>
      <c r="T574" s="241" t="s">
        <v>1241</v>
      </c>
      <c r="U574" s="211"/>
      <c r="V574" s="213">
        <v>46225</v>
      </c>
      <c r="W574" s="208"/>
      <c r="X574" s="211" t="s">
        <v>1133</v>
      </c>
      <c r="Y574" s="211" t="s">
        <v>1133</v>
      </c>
      <c r="Z574" s="263">
        <v>46133</v>
      </c>
      <c r="AA574" s="264">
        <v>46134</v>
      </c>
      <c r="AB574" s="264">
        <v>46148</v>
      </c>
      <c r="AC574" s="257" t="s">
        <v>1308</v>
      </c>
      <c r="AD574" s="257" t="s">
        <v>1228</v>
      </c>
      <c r="AE574" s="211" t="s">
        <v>1691</v>
      </c>
      <c r="AF574" s="263">
        <v>46139</v>
      </c>
      <c r="AG574" s="257" t="s">
        <v>334</v>
      </c>
      <c r="AH574" s="257" t="s">
        <v>1692</v>
      </c>
      <c r="AI574" s="257" t="s">
        <v>1228</v>
      </c>
      <c r="AJ574" s="257" t="s">
        <v>1422</v>
      </c>
      <c r="AK574" s="211" t="s">
        <v>1133</v>
      </c>
      <c r="AL574" s="267" t="s">
        <v>1228</v>
      </c>
      <c r="AM574" s="211" t="s">
        <v>1800</v>
      </c>
      <c r="AN574" s="212"/>
      <c r="AO574" s="215">
        <v>7.34</v>
      </c>
      <c r="AP574" s="216">
        <f t="shared" si="117"/>
        <v>23517.36</v>
      </c>
      <c r="AQ574" s="216">
        <f t="shared" si="118"/>
        <v>182259.54</v>
      </c>
      <c r="AR574" s="224" t="s">
        <v>1888</v>
      </c>
      <c r="AS574" s="330">
        <v>46233</v>
      </c>
      <c r="AT574" s="208" t="s">
        <v>1220</v>
      </c>
      <c r="AU574" s="253"/>
      <c r="AV574" s="252">
        <f t="shared" ref="AV574:AV578" si="119">AU574-J574</f>
        <v>-3204</v>
      </c>
      <c r="AW574" s="252"/>
      <c r="AX574" s="256"/>
      <c r="AY574" s="208"/>
      <c r="AZ574" s="208"/>
      <c r="BA574" s="208"/>
      <c r="BB574" s="208" t="str">
        <f t="shared" si="115"/>
        <v>Character Options</v>
      </c>
      <c r="BC574" s="208" t="str">
        <f t="shared" si="114"/>
        <v>英国</v>
      </c>
    </row>
    <row r="575" s="194" customFormat="1" customHeight="1" spans="1:55">
      <c r="A575" s="208">
        <v>46093</v>
      </c>
      <c r="B575" s="208" t="str">
        <f ca="1" t="shared" si="106"/>
        <v/>
      </c>
      <c r="C575" s="211" t="str">
        <f>VLOOKUP(H575,名称!A:E,4,0)</f>
        <v>三代</v>
      </c>
      <c r="D575" s="210" t="s">
        <v>1300</v>
      </c>
      <c r="E575" s="210" t="s">
        <v>1224</v>
      </c>
      <c r="F575" s="211" t="s">
        <v>557</v>
      </c>
      <c r="G575" s="211" t="s">
        <v>558</v>
      </c>
      <c r="H575" s="211" t="s">
        <v>107</v>
      </c>
      <c r="I575" s="211"/>
      <c r="J575" s="212">
        <f>570+2430</f>
        <v>3000</v>
      </c>
      <c r="K575" s="223">
        <f>VLOOKUP(H575,名称!A:C,2,0)</f>
        <v>12</v>
      </c>
      <c r="L575" s="212">
        <f t="shared" si="111"/>
        <v>36000</v>
      </c>
      <c r="M575" s="211">
        <f>VLOOKUP(H575,名称!A:E,3,0)</f>
        <v>5</v>
      </c>
      <c r="N575" s="212">
        <f t="shared" si="110"/>
        <v>600</v>
      </c>
      <c r="O575" s="208">
        <v>46204</v>
      </c>
      <c r="P575" s="208">
        <v>46205</v>
      </c>
      <c r="Q575" s="208">
        <v>46210</v>
      </c>
      <c r="R575" s="241" t="s">
        <v>1241</v>
      </c>
      <c r="S575" s="273" t="s">
        <v>1889</v>
      </c>
      <c r="T575" s="241" t="s">
        <v>1241</v>
      </c>
      <c r="U575" s="211"/>
      <c r="V575" s="213">
        <v>46223</v>
      </c>
      <c r="W575" s="208"/>
      <c r="X575" s="211" t="s">
        <v>1133</v>
      </c>
      <c r="Y575" s="211" t="s">
        <v>1133</v>
      </c>
      <c r="Z575" s="263">
        <v>46113</v>
      </c>
      <c r="AA575" s="264">
        <v>46120</v>
      </c>
      <c r="AB575" s="264">
        <v>46121</v>
      </c>
      <c r="AC575" s="211" t="s">
        <v>1302</v>
      </c>
      <c r="AD575" s="211" t="s">
        <v>1228</v>
      </c>
      <c r="AE575" s="211" t="s">
        <v>253</v>
      </c>
      <c r="AF575" s="257" t="s">
        <v>1228</v>
      </c>
      <c r="AG575" s="211" t="s">
        <v>253</v>
      </c>
      <c r="AH575" s="211" t="s">
        <v>253</v>
      </c>
      <c r="AI575" s="211" t="s">
        <v>1228</v>
      </c>
      <c r="AJ575" s="211" t="s">
        <v>253</v>
      </c>
      <c r="AK575" s="211" t="s">
        <v>1133</v>
      </c>
      <c r="AL575" s="211"/>
      <c r="AM575" s="211" t="s">
        <v>1303</v>
      </c>
      <c r="AN575" s="212" t="s">
        <v>1231</v>
      </c>
      <c r="AO575" s="215">
        <v>2.19</v>
      </c>
      <c r="AP575" s="216">
        <f t="shared" si="117"/>
        <v>6570</v>
      </c>
      <c r="AQ575" s="216">
        <f t="shared" si="118"/>
        <v>50917.5</v>
      </c>
      <c r="AR575" s="224">
        <v>61437</v>
      </c>
      <c r="AS575" s="330">
        <v>46233</v>
      </c>
      <c r="AT575" s="208" t="s">
        <v>1220</v>
      </c>
      <c r="AU575" s="251">
        <v>3000</v>
      </c>
      <c r="AV575" s="252">
        <f t="shared" si="119"/>
        <v>0</v>
      </c>
      <c r="AW575" s="252"/>
      <c r="AX575" s="256" t="s">
        <v>1280</v>
      </c>
      <c r="AY575" s="208"/>
      <c r="AZ575" s="208"/>
      <c r="BA575" s="208"/>
      <c r="BB575" s="208" t="str">
        <f t="shared" si="115"/>
        <v>JAZWARES - WALMART CANADA (IMPORT)</v>
      </c>
      <c r="BC575" s="208" t="str">
        <f t="shared" si="114"/>
        <v>美国</v>
      </c>
    </row>
    <row r="576" s="194" customFormat="1" customHeight="1" spans="1:55">
      <c r="A576" s="208">
        <v>46120</v>
      </c>
      <c r="B576" s="208" t="str">
        <f ca="1" t="shared" si="106"/>
        <v/>
      </c>
      <c r="C576" s="211" t="str">
        <f>VLOOKUP(H576,名称!A:E,4,0)</f>
        <v>三代</v>
      </c>
      <c r="D576" s="210" t="s">
        <v>1311</v>
      </c>
      <c r="E576" s="210" t="s">
        <v>1224</v>
      </c>
      <c r="F576" s="211" t="s">
        <v>683</v>
      </c>
      <c r="G576" s="211" t="s">
        <v>684</v>
      </c>
      <c r="H576" s="211" t="s">
        <v>102</v>
      </c>
      <c r="I576" s="211"/>
      <c r="J576" s="212">
        <v>1008</v>
      </c>
      <c r="K576" s="223">
        <f>VLOOKUP(H576,名称!A:C,2,0)</f>
        <v>5</v>
      </c>
      <c r="L576" s="212">
        <f t="shared" si="111"/>
        <v>5040</v>
      </c>
      <c r="M576" s="211">
        <f>VLOOKUP(H576,名称!A:E,3,0)</f>
        <v>12</v>
      </c>
      <c r="N576" s="212">
        <f t="shared" si="110"/>
        <v>84</v>
      </c>
      <c r="O576" s="208">
        <v>46204</v>
      </c>
      <c r="P576" s="208">
        <f t="shared" ref="P576:P579" si="120">O576</f>
        <v>46204</v>
      </c>
      <c r="Q576" s="208">
        <v>46210</v>
      </c>
      <c r="R576" s="241" t="s">
        <v>1241</v>
      </c>
      <c r="S576" s="274" t="s">
        <v>1889</v>
      </c>
      <c r="T576" s="241" t="s">
        <v>1241</v>
      </c>
      <c r="U576" s="211"/>
      <c r="V576" s="213">
        <v>46223</v>
      </c>
      <c r="W576" s="208"/>
      <c r="X576" s="211" t="s">
        <v>1133</v>
      </c>
      <c r="Y576" s="211" t="s">
        <v>1133</v>
      </c>
      <c r="Z576" s="263">
        <v>46119</v>
      </c>
      <c r="AA576" s="264">
        <v>46120</v>
      </c>
      <c r="AB576" s="263">
        <v>46121</v>
      </c>
      <c r="AC576" s="211" t="s">
        <v>1133</v>
      </c>
      <c r="AD576" s="211" t="s">
        <v>1133</v>
      </c>
      <c r="AE576" s="211" t="s">
        <v>253</v>
      </c>
      <c r="AF576" s="257" t="s">
        <v>1228</v>
      </c>
      <c r="AG576" s="257" t="s">
        <v>253</v>
      </c>
      <c r="AH576" s="211" t="s">
        <v>1133</v>
      </c>
      <c r="AI576" s="211" t="s">
        <v>1228</v>
      </c>
      <c r="AJ576" s="211" t="s">
        <v>1133</v>
      </c>
      <c r="AK576" s="211" t="s">
        <v>253</v>
      </c>
      <c r="AL576" s="211"/>
      <c r="AM576" s="257" t="s">
        <v>1303</v>
      </c>
      <c r="AN576" s="212" t="s">
        <v>1234</v>
      </c>
      <c r="AO576" s="215">
        <v>0.64</v>
      </c>
      <c r="AP576" s="216">
        <f t="shared" si="117"/>
        <v>645.12</v>
      </c>
      <c r="AQ576" s="216">
        <f t="shared" si="118"/>
        <v>4999.68</v>
      </c>
      <c r="AR576" s="224">
        <v>61438</v>
      </c>
      <c r="AS576" s="330">
        <v>46233</v>
      </c>
      <c r="AT576" s="208" t="s">
        <v>1220</v>
      </c>
      <c r="AU576" s="253">
        <v>1008</v>
      </c>
      <c r="AV576" s="252">
        <f t="shared" si="119"/>
        <v>0</v>
      </c>
      <c r="AW576" s="252"/>
      <c r="AX576" s="256" t="s">
        <v>1280</v>
      </c>
      <c r="AY576" s="208"/>
      <c r="AZ576" s="208"/>
      <c r="BA576" s="208"/>
      <c r="BB576" s="208" t="str">
        <f t="shared" si="115"/>
        <v>JAZWARES - WALMART CA</v>
      </c>
      <c r="BC576" s="208" t="str">
        <f t="shared" si="114"/>
        <v>美国</v>
      </c>
    </row>
    <row r="577" s="194" customFormat="1" customHeight="1" spans="1:55">
      <c r="A577" s="208">
        <v>46119</v>
      </c>
      <c r="B577" s="208" t="str">
        <f ca="1" t="shared" si="106"/>
        <v/>
      </c>
      <c r="C577" s="211" t="str">
        <f>VLOOKUP(H577,名称!A:E,4,0)</f>
        <v>三代</v>
      </c>
      <c r="D577" s="210" t="s">
        <v>1311</v>
      </c>
      <c r="E577" s="210" t="s">
        <v>1224</v>
      </c>
      <c r="F577" s="211" t="s">
        <v>657</v>
      </c>
      <c r="G577" s="211" t="s">
        <v>658</v>
      </c>
      <c r="H577" s="211" t="s">
        <v>60</v>
      </c>
      <c r="I577" s="211"/>
      <c r="J577" s="212">
        <v>1800</v>
      </c>
      <c r="K577" s="223">
        <f>VLOOKUP(H577,名称!A:C,2,0)</f>
        <v>5</v>
      </c>
      <c r="L577" s="212">
        <f t="shared" si="111"/>
        <v>9000</v>
      </c>
      <c r="M577" s="211">
        <f>VLOOKUP(H577,名称!A:E,3,0)</f>
        <v>12</v>
      </c>
      <c r="N577" s="212">
        <f t="shared" si="110"/>
        <v>150</v>
      </c>
      <c r="O577" s="208">
        <v>46204</v>
      </c>
      <c r="P577" s="208">
        <f t="shared" si="120"/>
        <v>46204</v>
      </c>
      <c r="Q577" s="208">
        <v>46210</v>
      </c>
      <c r="R577" s="241" t="s">
        <v>1277</v>
      </c>
      <c r="S577" s="274" t="s">
        <v>1889</v>
      </c>
      <c r="T577" s="241" t="s">
        <v>1241</v>
      </c>
      <c r="U577" s="211"/>
      <c r="V577" s="213">
        <v>46223</v>
      </c>
      <c r="W577" s="208"/>
      <c r="X577" s="211" t="s">
        <v>1133</v>
      </c>
      <c r="Y577" s="211" t="s">
        <v>1133</v>
      </c>
      <c r="Z577" s="263">
        <v>46119</v>
      </c>
      <c r="AA577" s="264">
        <v>46120</v>
      </c>
      <c r="AB577" s="263">
        <v>46121</v>
      </c>
      <c r="AC577" s="211" t="s">
        <v>1133</v>
      </c>
      <c r="AD577" s="211" t="s">
        <v>1133</v>
      </c>
      <c r="AE577" s="211" t="s">
        <v>253</v>
      </c>
      <c r="AF577" s="257" t="s">
        <v>1228</v>
      </c>
      <c r="AG577" s="257" t="s">
        <v>253</v>
      </c>
      <c r="AH577" s="211" t="s">
        <v>1133</v>
      </c>
      <c r="AI577" s="211" t="s">
        <v>1228</v>
      </c>
      <c r="AJ577" s="211" t="s">
        <v>1133</v>
      </c>
      <c r="AK577" s="211" t="s">
        <v>253</v>
      </c>
      <c r="AL577" s="211"/>
      <c r="AM577" s="257" t="s">
        <v>1303</v>
      </c>
      <c r="AN577" s="212" t="s">
        <v>1234</v>
      </c>
      <c r="AO577" s="215">
        <v>0.63</v>
      </c>
      <c r="AP577" s="216">
        <f t="shared" si="117"/>
        <v>1134</v>
      </c>
      <c r="AQ577" s="216">
        <f t="shared" si="118"/>
        <v>8788.5</v>
      </c>
      <c r="AR577" s="224">
        <v>61439</v>
      </c>
      <c r="AS577" s="330">
        <v>46233</v>
      </c>
      <c r="AT577" s="208" t="s">
        <v>1220</v>
      </c>
      <c r="AU577" s="253">
        <v>1800</v>
      </c>
      <c r="AV577" s="252">
        <f t="shared" si="119"/>
        <v>0</v>
      </c>
      <c r="AW577" s="252"/>
      <c r="AX577" s="256" t="s">
        <v>1280</v>
      </c>
      <c r="AY577" s="208"/>
      <c r="AZ577" s="208"/>
      <c r="BA577" s="208"/>
      <c r="BB577" s="208" t="str">
        <f t="shared" si="115"/>
        <v>JAZWARES - WALMART CA</v>
      </c>
      <c r="BC577" s="208" t="str">
        <f t="shared" si="114"/>
        <v>美国</v>
      </c>
    </row>
    <row r="578" s="194" customFormat="1" customHeight="1" spans="1:55">
      <c r="A578" s="208">
        <v>46141</v>
      </c>
      <c r="B578" s="208" t="str">
        <f ca="1" t="shared" si="106"/>
        <v/>
      </c>
      <c r="C578" s="211" t="str">
        <f>VLOOKUP(H578,名称!A:E,4,0)</f>
        <v>三代</v>
      </c>
      <c r="D578" s="220" t="s">
        <v>1257</v>
      </c>
      <c r="E578" s="220" t="s">
        <v>1258</v>
      </c>
      <c r="F578" s="220" t="s">
        <v>793</v>
      </c>
      <c r="G578" s="220" t="s">
        <v>794</v>
      </c>
      <c r="H578" s="220" t="s">
        <v>117</v>
      </c>
      <c r="I578" s="211"/>
      <c r="J578" s="270">
        <v>5400</v>
      </c>
      <c r="K578" s="223">
        <f>VLOOKUP(H578,名称!A:C,2,0)</f>
        <v>50</v>
      </c>
      <c r="L578" s="212">
        <f t="shared" si="111"/>
        <v>270000</v>
      </c>
      <c r="M578" s="211">
        <f>VLOOKUP(H578,名称!A:E,3,0)</f>
        <v>2</v>
      </c>
      <c r="N578" s="212">
        <f t="shared" si="110"/>
        <v>2700</v>
      </c>
      <c r="O578" s="271">
        <v>46195</v>
      </c>
      <c r="P578" s="256">
        <f t="shared" si="120"/>
        <v>46195</v>
      </c>
      <c r="Q578" s="256">
        <v>46224</v>
      </c>
      <c r="R578" s="241" t="s">
        <v>1241</v>
      </c>
      <c r="S578" s="256">
        <v>46224</v>
      </c>
      <c r="T578" s="241" t="s">
        <v>1241</v>
      </c>
      <c r="U578" s="211"/>
      <c r="V578" s="211"/>
      <c r="W578" s="208"/>
      <c r="X578" s="257" t="s">
        <v>1133</v>
      </c>
      <c r="Y578" s="257" t="s">
        <v>1133</v>
      </c>
      <c r="Z578" s="257" t="s">
        <v>1249</v>
      </c>
      <c r="AA578" s="264">
        <v>46157</v>
      </c>
      <c r="AB578" s="264">
        <v>46170</v>
      </c>
      <c r="AC578" s="257" t="s">
        <v>1133</v>
      </c>
      <c r="AD578" s="257" t="s">
        <v>1133</v>
      </c>
      <c r="AE578" s="220" t="s">
        <v>334</v>
      </c>
      <c r="AF578" s="257" t="s">
        <v>1228</v>
      </c>
      <c r="AG578" s="257" t="s">
        <v>334</v>
      </c>
      <c r="AH578" s="257" t="s">
        <v>1133</v>
      </c>
      <c r="AI578" s="257" t="s">
        <v>1228</v>
      </c>
      <c r="AJ578" s="257" t="s">
        <v>1133</v>
      </c>
      <c r="AK578" s="257" t="s">
        <v>1356</v>
      </c>
      <c r="AL578" s="267" t="s">
        <v>1228</v>
      </c>
      <c r="AM578" s="257" t="s">
        <v>1890</v>
      </c>
      <c r="AN578" s="220" t="s">
        <v>1261</v>
      </c>
      <c r="AO578" s="215">
        <v>8.45</v>
      </c>
      <c r="AP578" s="216">
        <f t="shared" si="117"/>
        <v>45630</v>
      </c>
      <c r="AQ578" s="216">
        <f t="shared" si="118"/>
        <v>353632.5</v>
      </c>
      <c r="AR578" s="224">
        <v>61440</v>
      </c>
      <c r="AS578" s="330">
        <v>46233</v>
      </c>
      <c r="AT578" s="208" t="s">
        <v>1310</v>
      </c>
      <c r="AU578" s="253"/>
      <c r="AV578" s="252">
        <f t="shared" si="119"/>
        <v>-5400</v>
      </c>
      <c r="AW578" s="331"/>
      <c r="AX578" s="256"/>
      <c r="AY578" s="208"/>
      <c r="AZ578" s="208"/>
      <c r="BA578" s="208"/>
      <c r="BB578" s="208" t="str">
        <f t="shared" si="115"/>
        <v>Character Options</v>
      </c>
      <c r="BC578" s="208" t="str">
        <f t="shared" si="114"/>
        <v>英国</v>
      </c>
    </row>
    <row r="579" s="194" customFormat="1" customHeight="1" spans="1:55">
      <c r="A579" s="208">
        <v>46136</v>
      </c>
      <c r="B579" s="208" t="str">
        <f ca="1" t="shared" si="106"/>
        <v/>
      </c>
      <c r="C579" s="211" t="str">
        <f>VLOOKUP(H579,名称!A:E,4,0)</f>
        <v>蛋糕</v>
      </c>
      <c r="D579" s="210" t="s">
        <v>1891</v>
      </c>
      <c r="E579" s="220" t="s">
        <v>1224</v>
      </c>
      <c r="F579" s="211" t="s">
        <v>774</v>
      </c>
      <c r="G579" s="211" t="s">
        <v>775</v>
      </c>
      <c r="H579" s="211" t="s">
        <v>50</v>
      </c>
      <c r="I579" s="211"/>
      <c r="J579" s="212">
        <v>1188</v>
      </c>
      <c r="K579" s="223">
        <f>VLOOKUP(H579,名称!A:C,2,0)</f>
        <v>0</v>
      </c>
      <c r="L579" s="212">
        <f t="shared" si="111"/>
        <v>0</v>
      </c>
      <c r="M579" s="211">
        <f>VLOOKUP(H579,名称!A:E,3,0)</f>
        <v>18</v>
      </c>
      <c r="N579" s="212">
        <f t="shared" si="110"/>
        <v>66</v>
      </c>
      <c r="O579" s="208">
        <v>46215</v>
      </c>
      <c r="P579" s="208">
        <f t="shared" si="120"/>
        <v>46215</v>
      </c>
      <c r="Q579" s="208">
        <v>46218</v>
      </c>
      <c r="R579" s="241" t="s">
        <v>1241</v>
      </c>
      <c r="S579" s="256"/>
      <c r="T579" s="211"/>
      <c r="U579" s="211"/>
      <c r="V579" s="213">
        <v>46226</v>
      </c>
      <c r="W579" s="208"/>
      <c r="X579" s="220" t="s">
        <v>1332</v>
      </c>
      <c r="Y579" s="211" t="s">
        <v>1228</v>
      </c>
      <c r="Z579" s="211" t="s">
        <v>1503</v>
      </c>
      <c r="AA579" s="214">
        <v>46136</v>
      </c>
      <c r="AB579" s="214">
        <v>46136</v>
      </c>
      <c r="AC579" s="211" t="s">
        <v>1133</v>
      </c>
      <c r="AD579" s="211" t="s">
        <v>1133</v>
      </c>
      <c r="AE579" s="220" t="s">
        <v>510</v>
      </c>
      <c r="AF579" s="211" t="s">
        <v>1228</v>
      </c>
      <c r="AG579" s="220" t="s">
        <v>510</v>
      </c>
      <c r="AH579" s="211" t="s">
        <v>1133</v>
      </c>
      <c r="AI579" s="211" t="s">
        <v>1228</v>
      </c>
      <c r="AJ579" s="211" t="s">
        <v>1133</v>
      </c>
      <c r="AK579" s="211" t="s">
        <v>1228</v>
      </c>
      <c r="AL579" s="211"/>
      <c r="AM579" s="267" t="s">
        <v>1506</v>
      </c>
      <c r="AN579" s="212" t="s">
        <v>1504</v>
      </c>
      <c r="AO579" s="215">
        <v>1.06</v>
      </c>
      <c r="AP579" s="216">
        <f t="shared" si="117"/>
        <v>1259.28</v>
      </c>
      <c r="AQ579" s="216">
        <f t="shared" si="118"/>
        <v>9759.42</v>
      </c>
      <c r="AR579" s="224">
        <v>61441</v>
      </c>
      <c r="AS579" s="330">
        <v>46233</v>
      </c>
      <c r="AT579" s="208" t="s">
        <v>1220</v>
      </c>
      <c r="AU579" s="208"/>
      <c r="AV579" s="208"/>
      <c r="AW579" s="208"/>
      <c r="AX579" s="208"/>
      <c r="AY579" s="208"/>
      <c r="AZ579" s="208"/>
      <c r="BA579" s="208"/>
      <c r="BB579" s="208" t="str">
        <f t="shared" si="115"/>
        <v>Target</v>
      </c>
      <c r="BC579" s="208" t="str">
        <f t="shared" si="114"/>
        <v>美国</v>
      </c>
    </row>
    <row r="580" s="194" customFormat="1" customHeight="1" spans="1:55">
      <c r="A580" s="208">
        <v>46139</v>
      </c>
      <c r="B580" s="208" t="str">
        <f ca="1" t="shared" si="106"/>
        <v/>
      </c>
      <c r="C580" s="211" t="str">
        <f>VLOOKUP(H580,名称!A:E,4,0)</f>
        <v>三代</v>
      </c>
      <c r="D580" s="220" t="s">
        <v>1330</v>
      </c>
      <c r="E580" s="220" t="s">
        <v>1336</v>
      </c>
      <c r="F580" s="220" t="s">
        <v>787</v>
      </c>
      <c r="G580" s="220" t="s">
        <v>788</v>
      </c>
      <c r="H580" s="220" t="s">
        <v>166</v>
      </c>
      <c r="I580" s="211"/>
      <c r="J580" s="272">
        <f>1728-3</f>
        <v>1725</v>
      </c>
      <c r="K580" s="223">
        <f>VLOOKUP(H580,名称!A:C,2,0)</f>
        <v>5</v>
      </c>
      <c r="L580" s="212">
        <f t="shared" si="111"/>
        <v>8625</v>
      </c>
      <c r="M580" s="211">
        <v>75</v>
      </c>
      <c r="N580" s="212">
        <f t="shared" si="110"/>
        <v>23</v>
      </c>
      <c r="O580" s="271">
        <v>46199</v>
      </c>
      <c r="P580" s="274">
        <v>46214</v>
      </c>
      <c r="Q580" s="256">
        <v>46214</v>
      </c>
      <c r="R580" s="241" t="s">
        <v>1241</v>
      </c>
      <c r="S580" s="256" t="s">
        <v>1133</v>
      </c>
      <c r="T580" s="211"/>
      <c r="U580" s="211"/>
      <c r="V580" s="211"/>
      <c r="W580" s="208"/>
      <c r="X580" s="268" t="s">
        <v>1892</v>
      </c>
      <c r="Y580" s="332" t="s">
        <v>1228</v>
      </c>
      <c r="Z580" s="263">
        <v>46163</v>
      </c>
      <c r="AA580" s="264">
        <v>46172</v>
      </c>
      <c r="AB580" s="263">
        <v>46189</v>
      </c>
      <c r="AC580" s="267" t="s">
        <v>1133</v>
      </c>
      <c r="AD580" s="267" t="s">
        <v>1133</v>
      </c>
      <c r="AE580" s="220" t="s">
        <v>510</v>
      </c>
      <c r="AF580" s="257" t="s">
        <v>1228</v>
      </c>
      <c r="AG580" s="257" t="s">
        <v>1133</v>
      </c>
      <c r="AH580" s="257" t="s">
        <v>1133</v>
      </c>
      <c r="AI580" s="257" t="s">
        <v>1133</v>
      </c>
      <c r="AJ580" s="257" t="s">
        <v>1133</v>
      </c>
      <c r="AK580" s="257" t="s">
        <v>510</v>
      </c>
      <c r="AL580" s="257"/>
      <c r="AM580" s="257" t="s">
        <v>1334</v>
      </c>
      <c r="AN580" s="268" t="s">
        <v>1893</v>
      </c>
      <c r="AO580" s="215">
        <v>1.39</v>
      </c>
      <c r="AP580" s="216">
        <f t="shared" si="117"/>
        <v>2397.75</v>
      </c>
      <c r="AQ580" s="216">
        <f t="shared" si="118"/>
        <v>18582.56</v>
      </c>
      <c r="AR580" s="224">
        <v>61442</v>
      </c>
      <c r="AS580" s="330">
        <v>46233</v>
      </c>
      <c r="AT580" s="208" t="s">
        <v>1310</v>
      </c>
      <c r="AU580" s="253"/>
      <c r="AV580" s="252">
        <f t="shared" ref="AV580:AV594" si="121">AU580-J580</f>
        <v>-1725</v>
      </c>
      <c r="AW580" s="222" t="s">
        <v>1228</v>
      </c>
      <c r="AX580" s="256"/>
      <c r="AY580" s="208"/>
      <c r="AZ580" s="208"/>
      <c r="BA580" s="208"/>
      <c r="BB580" s="208" t="str">
        <f t="shared" si="115"/>
        <v>Amazon</v>
      </c>
      <c r="BC580" s="208" t="str">
        <f t="shared" si="114"/>
        <v>美国(空运)</v>
      </c>
    </row>
    <row r="581" s="194" customFormat="1" customHeight="1" spans="1:55">
      <c r="A581" s="208">
        <v>46139</v>
      </c>
      <c r="B581" s="208" t="str">
        <f ca="1" t="shared" si="106"/>
        <v/>
      </c>
      <c r="C581" s="211" t="str">
        <f>VLOOKUP(H581,名称!A:E,4,0)</f>
        <v>三代</v>
      </c>
      <c r="D581" s="220" t="s">
        <v>1330</v>
      </c>
      <c r="E581" s="220" t="s">
        <v>1336</v>
      </c>
      <c r="F581" s="220" t="s">
        <v>787</v>
      </c>
      <c r="G581" s="220" t="s">
        <v>788</v>
      </c>
      <c r="H581" s="220" t="s">
        <v>171</v>
      </c>
      <c r="I581" s="211"/>
      <c r="J581" s="270">
        <v>288</v>
      </c>
      <c r="K581" s="223">
        <f>VLOOKUP(H581,名称!A:C,2,0)</f>
        <v>7</v>
      </c>
      <c r="L581" s="212">
        <f t="shared" si="111"/>
        <v>2016</v>
      </c>
      <c r="M581" s="211">
        <f>VLOOKUP(H581,名称!A:E,3,0)</f>
        <v>144</v>
      </c>
      <c r="N581" s="212">
        <f t="shared" si="110"/>
        <v>2</v>
      </c>
      <c r="O581" s="271">
        <v>46199</v>
      </c>
      <c r="P581" s="256">
        <v>46216</v>
      </c>
      <c r="Q581" s="256">
        <v>46216</v>
      </c>
      <c r="R581" s="241" t="s">
        <v>1241</v>
      </c>
      <c r="S581" s="256" t="s">
        <v>1133</v>
      </c>
      <c r="T581" s="211"/>
      <c r="U581" s="211"/>
      <c r="V581" s="211"/>
      <c r="W581" s="208"/>
      <c r="X581" s="268" t="s">
        <v>1892</v>
      </c>
      <c r="Y581" s="241" t="s">
        <v>1228</v>
      </c>
      <c r="Z581" s="263">
        <v>46163</v>
      </c>
      <c r="AA581" s="264">
        <v>46172</v>
      </c>
      <c r="AB581" s="263">
        <v>46189</v>
      </c>
      <c r="AC581" s="257" t="s">
        <v>1333</v>
      </c>
      <c r="AD581" s="257" t="s">
        <v>1228</v>
      </c>
      <c r="AE581" s="220" t="s">
        <v>510</v>
      </c>
      <c r="AF581" s="257" t="s">
        <v>1228</v>
      </c>
      <c r="AG581" s="257" t="s">
        <v>341</v>
      </c>
      <c r="AH581" s="257" t="s">
        <v>1133</v>
      </c>
      <c r="AI581" s="257" t="s">
        <v>1228</v>
      </c>
      <c r="AJ581" s="257" t="s">
        <v>1133</v>
      </c>
      <c r="AK581" s="257" t="s">
        <v>1133</v>
      </c>
      <c r="AL581" s="257"/>
      <c r="AM581" s="257" t="s">
        <v>1334</v>
      </c>
      <c r="AN581" s="268" t="s">
        <v>1893</v>
      </c>
      <c r="AO581" s="215">
        <v>0.63</v>
      </c>
      <c r="AP581" s="216">
        <f t="shared" si="117"/>
        <v>181.44</v>
      </c>
      <c r="AQ581" s="216">
        <f t="shared" si="118"/>
        <v>1406.16</v>
      </c>
      <c r="AR581" s="224">
        <v>61442</v>
      </c>
      <c r="AS581" s="330">
        <v>46233</v>
      </c>
      <c r="AT581" s="208" t="s">
        <v>1310</v>
      </c>
      <c r="AU581" s="253">
        <v>288</v>
      </c>
      <c r="AV581" s="252">
        <f t="shared" si="121"/>
        <v>0</v>
      </c>
      <c r="AW581" s="222" t="s">
        <v>1228</v>
      </c>
      <c r="AX581" s="256"/>
      <c r="AY581" s="208"/>
      <c r="AZ581" s="208"/>
      <c r="BA581" s="208"/>
      <c r="BB581" s="208" t="str">
        <f t="shared" si="115"/>
        <v>Amazon</v>
      </c>
      <c r="BC581" s="208" t="str">
        <f t="shared" si="114"/>
        <v>美国(空运)</v>
      </c>
    </row>
    <row r="582" s="194" customFormat="1" customHeight="1" spans="1:55">
      <c r="A582" s="208">
        <v>46139</v>
      </c>
      <c r="B582" s="208" t="str">
        <f ca="1" t="shared" si="106"/>
        <v/>
      </c>
      <c r="C582" s="211" t="str">
        <f>VLOOKUP(H582,名称!A:E,4,0)</f>
        <v>三代</v>
      </c>
      <c r="D582" s="220" t="s">
        <v>1330</v>
      </c>
      <c r="E582" s="220" t="s">
        <v>1336</v>
      </c>
      <c r="F582" s="220" t="s">
        <v>787</v>
      </c>
      <c r="G582" s="220" t="s">
        <v>788</v>
      </c>
      <c r="H582" s="220" t="s">
        <v>172</v>
      </c>
      <c r="I582" s="211"/>
      <c r="J582" s="270">
        <v>288</v>
      </c>
      <c r="K582" s="223">
        <f>VLOOKUP(H582,名称!A:C,2,0)</f>
        <v>7</v>
      </c>
      <c r="L582" s="212">
        <f t="shared" si="111"/>
        <v>2016</v>
      </c>
      <c r="M582" s="211">
        <f>VLOOKUP(H582,名称!A:E,3,0)</f>
        <v>144</v>
      </c>
      <c r="N582" s="212">
        <f t="shared" si="110"/>
        <v>2</v>
      </c>
      <c r="O582" s="271">
        <v>46199</v>
      </c>
      <c r="P582" s="256">
        <v>46216</v>
      </c>
      <c r="Q582" s="256">
        <v>46216</v>
      </c>
      <c r="R582" s="241" t="s">
        <v>1241</v>
      </c>
      <c r="S582" s="256" t="s">
        <v>1133</v>
      </c>
      <c r="T582" s="211"/>
      <c r="U582" s="211"/>
      <c r="V582" s="211"/>
      <c r="W582" s="208"/>
      <c r="X582" s="268" t="s">
        <v>1892</v>
      </c>
      <c r="Y582" s="241" t="s">
        <v>1228</v>
      </c>
      <c r="Z582" s="263">
        <v>46163</v>
      </c>
      <c r="AA582" s="264">
        <v>46172</v>
      </c>
      <c r="AB582" s="263">
        <v>46189</v>
      </c>
      <c r="AC582" s="257" t="s">
        <v>1333</v>
      </c>
      <c r="AD582" s="257" t="s">
        <v>1228</v>
      </c>
      <c r="AE582" s="220" t="s">
        <v>510</v>
      </c>
      <c r="AF582" s="257" t="s">
        <v>1228</v>
      </c>
      <c r="AG582" s="257" t="s">
        <v>341</v>
      </c>
      <c r="AH582" s="257" t="s">
        <v>1133</v>
      </c>
      <c r="AI582" s="257" t="s">
        <v>1228</v>
      </c>
      <c r="AJ582" s="257" t="s">
        <v>1133</v>
      </c>
      <c r="AK582" s="257" t="s">
        <v>1133</v>
      </c>
      <c r="AL582" s="257"/>
      <c r="AM582" s="257" t="s">
        <v>1334</v>
      </c>
      <c r="AN582" s="268" t="s">
        <v>1893</v>
      </c>
      <c r="AO582" s="215">
        <v>0.63</v>
      </c>
      <c r="AP582" s="216">
        <f t="shared" si="117"/>
        <v>181.44</v>
      </c>
      <c r="AQ582" s="216">
        <f t="shared" si="118"/>
        <v>1406.16</v>
      </c>
      <c r="AR582" s="224">
        <v>61442</v>
      </c>
      <c r="AS582" s="330">
        <v>46233</v>
      </c>
      <c r="AT582" s="208" t="s">
        <v>1310</v>
      </c>
      <c r="AU582" s="253">
        <v>288</v>
      </c>
      <c r="AV582" s="252">
        <f t="shared" si="121"/>
        <v>0</v>
      </c>
      <c r="AW582" s="222" t="s">
        <v>1228</v>
      </c>
      <c r="AX582" s="256"/>
      <c r="AY582" s="208"/>
      <c r="AZ582" s="208"/>
      <c r="BA582" s="208"/>
      <c r="BB582" s="208" t="str">
        <f t="shared" si="115"/>
        <v>Amazon</v>
      </c>
      <c r="BC582" s="208" t="str">
        <f t="shared" si="114"/>
        <v>美国(空运)</v>
      </c>
    </row>
    <row r="583" s="194" customFormat="1" customHeight="1" spans="1:55">
      <c r="A583" s="208">
        <v>46139</v>
      </c>
      <c r="B583" s="208" t="str">
        <f ca="1" t="shared" si="106"/>
        <v/>
      </c>
      <c r="C583" s="211" t="str">
        <f>VLOOKUP(H583,名称!A:E,4,0)</f>
        <v>三代</v>
      </c>
      <c r="D583" s="220" t="s">
        <v>1330</v>
      </c>
      <c r="E583" s="220" t="s">
        <v>1336</v>
      </c>
      <c r="F583" s="220" t="s">
        <v>787</v>
      </c>
      <c r="G583" s="220" t="s">
        <v>788</v>
      </c>
      <c r="H583" s="220" t="s">
        <v>173</v>
      </c>
      <c r="I583" s="211"/>
      <c r="J583" s="270">
        <v>288</v>
      </c>
      <c r="K583" s="223">
        <f>VLOOKUP(H583,名称!A:C,2,0)</f>
        <v>7</v>
      </c>
      <c r="L583" s="212">
        <f t="shared" si="111"/>
        <v>2016</v>
      </c>
      <c r="M583" s="211">
        <f>VLOOKUP(H583,名称!A:E,3,0)</f>
        <v>144</v>
      </c>
      <c r="N583" s="212">
        <f t="shared" si="110"/>
        <v>2</v>
      </c>
      <c r="O583" s="271">
        <v>46199</v>
      </c>
      <c r="P583" s="256">
        <v>46216</v>
      </c>
      <c r="Q583" s="256">
        <v>46216</v>
      </c>
      <c r="R583" s="241" t="s">
        <v>1241</v>
      </c>
      <c r="S583" s="256" t="s">
        <v>1133</v>
      </c>
      <c r="T583" s="211"/>
      <c r="U583" s="211"/>
      <c r="V583" s="211"/>
      <c r="W583" s="208"/>
      <c r="X583" s="268" t="s">
        <v>1892</v>
      </c>
      <c r="Y583" s="241" t="s">
        <v>1228</v>
      </c>
      <c r="Z583" s="263">
        <v>46163</v>
      </c>
      <c r="AA583" s="264">
        <v>46172</v>
      </c>
      <c r="AB583" s="263">
        <v>46189</v>
      </c>
      <c r="AC583" s="257" t="s">
        <v>1333</v>
      </c>
      <c r="AD583" s="257" t="s">
        <v>1228</v>
      </c>
      <c r="AE583" s="220" t="s">
        <v>510</v>
      </c>
      <c r="AF583" s="257" t="s">
        <v>1228</v>
      </c>
      <c r="AG583" s="257" t="s">
        <v>341</v>
      </c>
      <c r="AH583" s="257" t="s">
        <v>1133</v>
      </c>
      <c r="AI583" s="257" t="s">
        <v>1228</v>
      </c>
      <c r="AJ583" s="257" t="s">
        <v>1133</v>
      </c>
      <c r="AK583" s="257" t="s">
        <v>1133</v>
      </c>
      <c r="AL583" s="257"/>
      <c r="AM583" s="257" t="s">
        <v>1334</v>
      </c>
      <c r="AN583" s="268" t="s">
        <v>1893</v>
      </c>
      <c r="AO583" s="215">
        <v>0.63</v>
      </c>
      <c r="AP583" s="216">
        <f t="shared" ref="AP583:AP645" si="122">J583*AO583</f>
        <v>181.44</v>
      </c>
      <c r="AQ583" s="216">
        <f t="shared" ref="AQ583:AQ645" si="123">AP583*7.75</f>
        <v>1406.16</v>
      </c>
      <c r="AR583" s="224">
        <v>61442</v>
      </c>
      <c r="AS583" s="330">
        <v>46233</v>
      </c>
      <c r="AT583" s="208" t="s">
        <v>1310</v>
      </c>
      <c r="AU583" s="253">
        <v>288</v>
      </c>
      <c r="AV583" s="252">
        <f t="shared" si="121"/>
        <v>0</v>
      </c>
      <c r="AW583" s="222" t="s">
        <v>1228</v>
      </c>
      <c r="AX583" s="256"/>
      <c r="AY583" s="208"/>
      <c r="AZ583" s="208"/>
      <c r="BA583" s="208"/>
      <c r="BB583" s="208" t="str">
        <f t="shared" si="115"/>
        <v>Amazon</v>
      </c>
      <c r="BC583" s="208" t="str">
        <f t="shared" si="114"/>
        <v>美国(空运)</v>
      </c>
    </row>
    <row r="584" s="194" customFormat="1" customHeight="1" spans="1:55">
      <c r="A584" s="208">
        <v>46139</v>
      </c>
      <c r="B584" s="208" t="str">
        <f ca="1" t="shared" si="106"/>
        <v/>
      </c>
      <c r="C584" s="211" t="str">
        <f>VLOOKUP(H584,名称!A:E,4,0)</f>
        <v>三代</v>
      </c>
      <c r="D584" s="220" t="s">
        <v>1330</v>
      </c>
      <c r="E584" s="220" t="s">
        <v>1336</v>
      </c>
      <c r="F584" s="220" t="s">
        <v>787</v>
      </c>
      <c r="G584" s="220" t="s">
        <v>788</v>
      </c>
      <c r="H584" s="220" t="s">
        <v>174</v>
      </c>
      <c r="I584" s="211"/>
      <c r="J584" s="270">
        <v>240</v>
      </c>
      <c r="K584" s="223">
        <f>VLOOKUP(H584,名称!A:C,2,0)</f>
        <v>32</v>
      </c>
      <c r="L584" s="212">
        <f t="shared" si="111"/>
        <v>7680</v>
      </c>
      <c r="M584" s="211">
        <f>VLOOKUP(H584,名称!A:E,3,0)</f>
        <v>60</v>
      </c>
      <c r="N584" s="212">
        <f t="shared" si="110"/>
        <v>4</v>
      </c>
      <c r="O584" s="271">
        <v>46199</v>
      </c>
      <c r="P584" s="256">
        <v>46216</v>
      </c>
      <c r="Q584" s="256">
        <v>46216</v>
      </c>
      <c r="R584" s="241" t="s">
        <v>1241</v>
      </c>
      <c r="S584" s="256" t="s">
        <v>1133</v>
      </c>
      <c r="T584" s="211"/>
      <c r="U584" s="211"/>
      <c r="V584" s="211"/>
      <c r="W584" s="208"/>
      <c r="X584" s="268" t="s">
        <v>1894</v>
      </c>
      <c r="Y584" s="241" t="s">
        <v>1228</v>
      </c>
      <c r="Z584" s="263">
        <v>46163</v>
      </c>
      <c r="AA584" s="264">
        <v>46172</v>
      </c>
      <c r="AB584" s="263">
        <v>46189</v>
      </c>
      <c r="AC584" s="257" t="s">
        <v>1333</v>
      </c>
      <c r="AD584" s="267" t="s">
        <v>1228</v>
      </c>
      <c r="AE584" s="220" t="s">
        <v>510</v>
      </c>
      <c r="AF584" s="257" t="s">
        <v>1228</v>
      </c>
      <c r="AG584" s="257" t="s">
        <v>341</v>
      </c>
      <c r="AH584" s="257" t="s">
        <v>1133</v>
      </c>
      <c r="AI584" s="257" t="s">
        <v>1228</v>
      </c>
      <c r="AJ584" s="257" t="s">
        <v>1133</v>
      </c>
      <c r="AK584" s="257" t="s">
        <v>1133</v>
      </c>
      <c r="AL584" s="257"/>
      <c r="AM584" s="257" t="s">
        <v>1334</v>
      </c>
      <c r="AN584" s="268" t="s">
        <v>1895</v>
      </c>
      <c r="AO584" s="215">
        <v>2.57</v>
      </c>
      <c r="AP584" s="216">
        <f t="shared" si="122"/>
        <v>616.8</v>
      </c>
      <c r="AQ584" s="216">
        <f t="shared" si="123"/>
        <v>4780.2</v>
      </c>
      <c r="AR584" s="224">
        <v>61442</v>
      </c>
      <c r="AS584" s="330">
        <v>46233</v>
      </c>
      <c r="AT584" s="208" t="s">
        <v>1310</v>
      </c>
      <c r="AU584" s="253">
        <v>240</v>
      </c>
      <c r="AV584" s="252">
        <f t="shared" si="121"/>
        <v>0</v>
      </c>
      <c r="AW584" s="252"/>
      <c r="AX584" s="256"/>
      <c r="AY584" s="208"/>
      <c r="AZ584" s="208"/>
      <c r="BA584" s="208"/>
      <c r="BB584" s="208" t="str">
        <f t="shared" si="115"/>
        <v>Amazon</v>
      </c>
      <c r="BC584" s="208" t="str">
        <f t="shared" si="114"/>
        <v>美国(空运)</v>
      </c>
    </row>
    <row r="585" s="194" customFormat="1" customHeight="1" spans="1:55">
      <c r="A585" s="208">
        <v>46139</v>
      </c>
      <c r="B585" s="208" t="str">
        <f ca="1" t="shared" si="106"/>
        <v/>
      </c>
      <c r="C585" s="211" t="str">
        <f>VLOOKUP(H585,名称!A:E,4,0)</f>
        <v>三代</v>
      </c>
      <c r="D585" s="220" t="s">
        <v>1330</v>
      </c>
      <c r="E585" s="220" t="s">
        <v>1336</v>
      </c>
      <c r="F585" s="220" t="s">
        <v>787</v>
      </c>
      <c r="G585" s="220" t="s">
        <v>788</v>
      </c>
      <c r="H585" s="220" t="s">
        <v>168</v>
      </c>
      <c r="I585" s="211"/>
      <c r="J585" s="270">
        <v>1056</v>
      </c>
      <c r="K585" s="223">
        <f>VLOOKUP(H585,名称!A:C,2,0)</f>
        <v>12</v>
      </c>
      <c r="L585" s="212">
        <f t="shared" si="111"/>
        <v>12672</v>
      </c>
      <c r="M585" s="211">
        <v>6</v>
      </c>
      <c r="N585" s="212">
        <f t="shared" si="110"/>
        <v>176</v>
      </c>
      <c r="O585" s="271">
        <v>46199</v>
      </c>
      <c r="P585" s="256">
        <v>46207</v>
      </c>
      <c r="Q585" s="256">
        <v>46207</v>
      </c>
      <c r="R585" s="241" t="s">
        <v>1241</v>
      </c>
      <c r="S585" s="256" t="s">
        <v>1133</v>
      </c>
      <c r="T585" s="257"/>
      <c r="U585" s="211"/>
      <c r="V585" s="213">
        <v>46212</v>
      </c>
      <c r="W585" s="208"/>
      <c r="X585" s="268" t="s">
        <v>1896</v>
      </c>
      <c r="Y585" s="241" t="s">
        <v>1228</v>
      </c>
      <c r="Z585" s="263">
        <v>46163</v>
      </c>
      <c r="AA585" s="264">
        <v>46172</v>
      </c>
      <c r="AB585" s="263">
        <v>46189</v>
      </c>
      <c r="AC585" s="211" t="s">
        <v>1333</v>
      </c>
      <c r="AD585" s="211" t="s">
        <v>1228</v>
      </c>
      <c r="AE585" s="220" t="s">
        <v>510</v>
      </c>
      <c r="AF585" s="211" t="s">
        <v>1228</v>
      </c>
      <c r="AG585" s="257" t="s">
        <v>341</v>
      </c>
      <c r="AH585" s="211" t="s">
        <v>1133</v>
      </c>
      <c r="AI585" s="257" t="s">
        <v>1228</v>
      </c>
      <c r="AJ585" s="257" t="s">
        <v>1133</v>
      </c>
      <c r="AK585" s="257" t="s">
        <v>1133</v>
      </c>
      <c r="AL585" s="211"/>
      <c r="AM585" s="257" t="s">
        <v>1334</v>
      </c>
      <c r="AN585" s="268" t="s">
        <v>1897</v>
      </c>
      <c r="AO585" s="215">
        <v>1.33</v>
      </c>
      <c r="AP585" s="216">
        <f t="shared" si="122"/>
        <v>1404.48</v>
      </c>
      <c r="AQ585" s="216">
        <f t="shared" si="123"/>
        <v>10884.72</v>
      </c>
      <c r="AR585" s="224">
        <v>61442</v>
      </c>
      <c r="AS585" s="330">
        <v>46233</v>
      </c>
      <c r="AT585" s="208" t="s">
        <v>1310</v>
      </c>
      <c r="AU585" s="253"/>
      <c r="AV585" s="252">
        <f t="shared" si="121"/>
        <v>-1056</v>
      </c>
      <c r="AW585" s="252"/>
      <c r="AX585" s="256"/>
      <c r="AY585" s="208"/>
      <c r="AZ585" s="208"/>
      <c r="BA585" s="208"/>
      <c r="BB585" s="208" t="str">
        <f t="shared" si="115"/>
        <v>Amazon</v>
      </c>
      <c r="BC585" s="208" t="str">
        <f t="shared" si="114"/>
        <v>美国(空运)</v>
      </c>
    </row>
    <row r="586" s="194" customFormat="1" customHeight="1" spans="1:55">
      <c r="A586" s="208">
        <v>46139</v>
      </c>
      <c r="B586" s="208" t="str">
        <f ca="1" t="shared" si="106"/>
        <v/>
      </c>
      <c r="C586" s="211" t="str">
        <f>VLOOKUP(H586,名称!A:E,4,0)</f>
        <v>三代</v>
      </c>
      <c r="D586" s="220" t="s">
        <v>1330</v>
      </c>
      <c r="E586" s="220" t="s">
        <v>1336</v>
      </c>
      <c r="F586" s="220" t="s">
        <v>787</v>
      </c>
      <c r="G586" s="220" t="s">
        <v>788</v>
      </c>
      <c r="H586" s="220" t="s">
        <v>169</v>
      </c>
      <c r="I586" s="211"/>
      <c r="J586" s="270">
        <v>1056</v>
      </c>
      <c r="K586" s="223">
        <f>VLOOKUP(H586,名称!A:C,2,0)</f>
        <v>12</v>
      </c>
      <c r="L586" s="212">
        <f t="shared" si="111"/>
        <v>12672</v>
      </c>
      <c r="M586" s="211">
        <v>6</v>
      </c>
      <c r="N586" s="212">
        <f t="shared" si="110"/>
        <v>176</v>
      </c>
      <c r="O586" s="271">
        <v>46199</v>
      </c>
      <c r="P586" s="256">
        <v>46207</v>
      </c>
      <c r="Q586" s="256">
        <v>46207</v>
      </c>
      <c r="R586" s="241" t="s">
        <v>1241</v>
      </c>
      <c r="S586" s="256" t="s">
        <v>1133</v>
      </c>
      <c r="T586" s="257"/>
      <c r="U586" s="211"/>
      <c r="V586" s="263">
        <v>46212</v>
      </c>
      <c r="W586" s="208"/>
      <c r="X586" s="268" t="s">
        <v>1896</v>
      </c>
      <c r="Y586" s="241" t="s">
        <v>1228</v>
      </c>
      <c r="Z586" s="263">
        <v>46163</v>
      </c>
      <c r="AA586" s="264">
        <v>46172</v>
      </c>
      <c r="AB586" s="263">
        <v>46189</v>
      </c>
      <c r="AC586" s="211" t="s">
        <v>1333</v>
      </c>
      <c r="AD586" s="211" t="s">
        <v>1228</v>
      </c>
      <c r="AE586" s="220" t="s">
        <v>510</v>
      </c>
      <c r="AF586" s="211" t="s">
        <v>1228</v>
      </c>
      <c r="AG586" s="257" t="s">
        <v>341</v>
      </c>
      <c r="AH586" s="211" t="s">
        <v>1133</v>
      </c>
      <c r="AI586" s="257" t="s">
        <v>1228</v>
      </c>
      <c r="AJ586" s="257" t="s">
        <v>1133</v>
      </c>
      <c r="AK586" s="257" t="s">
        <v>1133</v>
      </c>
      <c r="AL586" s="211"/>
      <c r="AM586" s="257" t="s">
        <v>1334</v>
      </c>
      <c r="AN586" s="268" t="s">
        <v>1897</v>
      </c>
      <c r="AO586" s="215">
        <v>1.33</v>
      </c>
      <c r="AP586" s="216">
        <f t="shared" si="122"/>
        <v>1404.48</v>
      </c>
      <c r="AQ586" s="216">
        <f t="shared" si="123"/>
        <v>10884.72</v>
      </c>
      <c r="AR586" s="224">
        <v>61442</v>
      </c>
      <c r="AS586" s="330">
        <v>46233</v>
      </c>
      <c r="AT586" s="208" t="s">
        <v>1310</v>
      </c>
      <c r="AU586" s="253"/>
      <c r="AV586" s="252">
        <f t="shared" si="121"/>
        <v>-1056</v>
      </c>
      <c r="AW586" s="252"/>
      <c r="AX586" s="256"/>
      <c r="AY586" s="208"/>
      <c r="AZ586" s="208"/>
      <c r="BA586" s="208"/>
      <c r="BB586" s="208" t="str">
        <f t="shared" si="115"/>
        <v>Amazon</v>
      </c>
      <c r="BC586" s="208" t="str">
        <f t="shared" si="114"/>
        <v>美国(空运)</v>
      </c>
    </row>
    <row r="587" s="194" customFormat="1" customHeight="1" spans="1:55">
      <c r="A587" s="208">
        <v>46139</v>
      </c>
      <c r="B587" s="208" t="str">
        <f ca="1" t="shared" si="106"/>
        <v/>
      </c>
      <c r="C587" s="211" t="str">
        <f>VLOOKUP(H587,名称!A:E,4,0)</f>
        <v>三代</v>
      </c>
      <c r="D587" s="220" t="s">
        <v>1330</v>
      </c>
      <c r="E587" s="220" t="s">
        <v>1336</v>
      </c>
      <c r="F587" s="220" t="s">
        <v>787</v>
      </c>
      <c r="G587" s="220" t="s">
        <v>788</v>
      </c>
      <c r="H587" s="220" t="s">
        <v>170</v>
      </c>
      <c r="I587" s="211"/>
      <c r="J587" s="270">
        <v>1056</v>
      </c>
      <c r="K587" s="223">
        <f>VLOOKUP(H587,名称!A:C,2,0)</f>
        <v>12</v>
      </c>
      <c r="L587" s="212">
        <f t="shared" si="111"/>
        <v>12672</v>
      </c>
      <c r="M587" s="211">
        <v>6</v>
      </c>
      <c r="N587" s="212">
        <f t="shared" si="110"/>
        <v>176</v>
      </c>
      <c r="O587" s="271">
        <v>46199</v>
      </c>
      <c r="P587" s="256">
        <v>46207</v>
      </c>
      <c r="Q587" s="256">
        <v>46207</v>
      </c>
      <c r="R587" s="241" t="s">
        <v>1241</v>
      </c>
      <c r="S587" s="256" t="s">
        <v>1133</v>
      </c>
      <c r="T587" s="257"/>
      <c r="U587" s="211"/>
      <c r="V587" s="263">
        <v>46212</v>
      </c>
      <c r="W587" s="208"/>
      <c r="X587" s="268" t="s">
        <v>1896</v>
      </c>
      <c r="Y587" s="241" t="s">
        <v>1228</v>
      </c>
      <c r="Z587" s="263">
        <v>46163</v>
      </c>
      <c r="AA587" s="264">
        <v>46172</v>
      </c>
      <c r="AB587" s="263">
        <v>46189</v>
      </c>
      <c r="AC587" s="211" t="s">
        <v>1333</v>
      </c>
      <c r="AD587" s="211" t="s">
        <v>1228</v>
      </c>
      <c r="AE587" s="220" t="s">
        <v>510</v>
      </c>
      <c r="AF587" s="211" t="s">
        <v>1228</v>
      </c>
      <c r="AG587" s="257" t="s">
        <v>341</v>
      </c>
      <c r="AH587" s="211" t="s">
        <v>1133</v>
      </c>
      <c r="AI587" s="257" t="s">
        <v>1228</v>
      </c>
      <c r="AJ587" s="257" t="s">
        <v>1133</v>
      </c>
      <c r="AK587" s="257" t="s">
        <v>1133</v>
      </c>
      <c r="AL587" s="211"/>
      <c r="AM587" s="257" t="s">
        <v>1334</v>
      </c>
      <c r="AN587" s="268" t="s">
        <v>1897</v>
      </c>
      <c r="AO587" s="215">
        <v>1.33</v>
      </c>
      <c r="AP587" s="216">
        <f t="shared" si="122"/>
        <v>1404.48</v>
      </c>
      <c r="AQ587" s="216">
        <f t="shared" si="123"/>
        <v>10884.72</v>
      </c>
      <c r="AR587" s="224">
        <v>61442</v>
      </c>
      <c r="AS587" s="330">
        <v>46233</v>
      </c>
      <c r="AT587" s="208" t="s">
        <v>1310</v>
      </c>
      <c r="AU587" s="253"/>
      <c r="AV587" s="252">
        <f t="shared" si="121"/>
        <v>-1056</v>
      </c>
      <c r="AW587" s="252"/>
      <c r="AX587" s="256"/>
      <c r="AY587" s="208"/>
      <c r="AZ587" s="208"/>
      <c r="BA587" s="208"/>
      <c r="BB587" s="208" t="str">
        <f t="shared" si="115"/>
        <v>Amazon</v>
      </c>
      <c r="BC587" s="208" t="str">
        <f t="shared" si="114"/>
        <v>美国(空运)</v>
      </c>
    </row>
    <row r="588" s="194" customFormat="1" customHeight="1" spans="1:55">
      <c r="A588" s="208">
        <v>46139</v>
      </c>
      <c r="B588" s="208" t="str">
        <f ca="1" t="shared" si="106"/>
        <v/>
      </c>
      <c r="C588" s="211" t="str">
        <f>VLOOKUP(H588,名称!A:E,4,0)</f>
        <v>三代</v>
      </c>
      <c r="D588" s="220" t="s">
        <v>1330</v>
      </c>
      <c r="E588" s="220" t="s">
        <v>1336</v>
      </c>
      <c r="F588" s="220" t="s">
        <v>787</v>
      </c>
      <c r="G588" s="220" t="s">
        <v>788</v>
      </c>
      <c r="H588" s="220" t="s">
        <v>136</v>
      </c>
      <c r="I588" s="211"/>
      <c r="J588" s="270">
        <v>576</v>
      </c>
      <c r="K588" s="223">
        <f>VLOOKUP(H588,名称!A:C,2,0)</f>
        <v>5</v>
      </c>
      <c r="L588" s="212">
        <f t="shared" si="111"/>
        <v>2880</v>
      </c>
      <c r="M588" s="211">
        <f>VLOOKUP(H588,名称!A:E,3,0)</f>
        <v>144</v>
      </c>
      <c r="N588" s="212">
        <f t="shared" si="110"/>
        <v>4</v>
      </c>
      <c r="O588" s="271">
        <v>46199</v>
      </c>
      <c r="P588" s="256">
        <v>46207</v>
      </c>
      <c r="Q588" s="256">
        <v>46207</v>
      </c>
      <c r="R588" s="241" t="s">
        <v>1241</v>
      </c>
      <c r="S588" s="256" t="s">
        <v>1133</v>
      </c>
      <c r="T588" s="211"/>
      <c r="U588" s="211"/>
      <c r="V588" s="257"/>
      <c r="W588" s="208"/>
      <c r="X588" s="268" t="s">
        <v>1896</v>
      </c>
      <c r="Y588" s="241" t="s">
        <v>1228</v>
      </c>
      <c r="Z588" s="263">
        <v>46163</v>
      </c>
      <c r="AA588" s="264">
        <v>46172</v>
      </c>
      <c r="AB588" s="263">
        <v>46189</v>
      </c>
      <c r="AC588" s="257" t="s">
        <v>1333</v>
      </c>
      <c r="AD588" s="257" t="s">
        <v>1228</v>
      </c>
      <c r="AE588" s="220" t="s">
        <v>510</v>
      </c>
      <c r="AF588" s="257" t="s">
        <v>1228</v>
      </c>
      <c r="AG588" s="257" t="s">
        <v>341</v>
      </c>
      <c r="AH588" s="257" t="s">
        <v>1133</v>
      </c>
      <c r="AI588" s="257" t="s">
        <v>1228</v>
      </c>
      <c r="AJ588" s="257" t="s">
        <v>1133</v>
      </c>
      <c r="AK588" s="257" t="s">
        <v>1133</v>
      </c>
      <c r="AL588" s="257" t="s">
        <v>1233</v>
      </c>
      <c r="AM588" s="257" t="s">
        <v>1334</v>
      </c>
      <c r="AN588" s="268" t="s">
        <v>1897</v>
      </c>
      <c r="AO588" s="215">
        <v>0.63</v>
      </c>
      <c r="AP588" s="216">
        <f t="shared" si="122"/>
        <v>362.88</v>
      </c>
      <c r="AQ588" s="216">
        <f t="shared" si="123"/>
        <v>2812.32</v>
      </c>
      <c r="AR588" s="224">
        <v>61442</v>
      </c>
      <c r="AS588" s="330">
        <v>46233</v>
      </c>
      <c r="AT588" s="273" t="s">
        <v>1220</v>
      </c>
      <c r="AU588" s="253">
        <v>576</v>
      </c>
      <c r="AV588" s="252">
        <f t="shared" si="121"/>
        <v>0</v>
      </c>
      <c r="AW588" s="252"/>
      <c r="AX588" s="274" t="s">
        <v>1280</v>
      </c>
      <c r="AY588" s="208"/>
      <c r="AZ588" s="208"/>
      <c r="BA588" s="208"/>
      <c r="BB588" s="273" t="str">
        <f t="shared" si="115"/>
        <v>Amazon</v>
      </c>
      <c r="BC588" s="273" t="str">
        <f t="shared" si="114"/>
        <v>美国(空运)</v>
      </c>
    </row>
    <row r="589" s="194" customFormat="1" customHeight="1" spans="1:55">
      <c r="A589" s="208">
        <v>46139</v>
      </c>
      <c r="B589" s="208" t="str">
        <f ca="1" t="shared" si="106"/>
        <v/>
      </c>
      <c r="C589" s="211" t="str">
        <f>VLOOKUP(H589,名称!A:E,4,0)</f>
        <v>三代</v>
      </c>
      <c r="D589" s="220" t="s">
        <v>1330</v>
      </c>
      <c r="E589" s="220" t="s">
        <v>1336</v>
      </c>
      <c r="F589" s="220" t="s">
        <v>787</v>
      </c>
      <c r="G589" s="220" t="s">
        <v>788</v>
      </c>
      <c r="H589" s="220" t="s">
        <v>137</v>
      </c>
      <c r="I589" s="211"/>
      <c r="J589" s="270">
        <v>720</v>
      </c>
      <c r="K589" s="223">
        <f>VLOOKUP(H589,名称!A:C,2,0)</f>
        <v>5</v>
      </c>
      <c r="L589" s="212">
        <f t="shared" si="111"/>
        <v>3600</v>
      </c>
      <c r="M589" s="211">
        <f>VLOOKUP(H589,名称!A:E,3,0)</f>
        <v>144</v>
      </c>
      <c r="N589" s="212">
        <f t="shared" si="110"/>
        <v>5</v>
      </c>
      <c r="O589" s="271">
        <v>46199</v>
      </c>
      <c r="P589" s="256">
        <v>46207</v>
      </c>
      <c r="Q589" s="256">
        <v>46207</v>
      </c>
      <c r="R589" s="267" t="s">
        <v>1241</v>
      </c>
      <c r="S589" s="256" t="s">
        <v>1133</v>
      </c>
      <c r="T589" s="211"/>
      <c r="U589" s="211"/>
      <c r="V589" s="257"/>
      <c r="W589" s="208"/>
      <c r="X589" s="268" t="s">
        <v>1896</v>
      </c>
      <c r="Y589" s="241" t="s">
        <v>1228</v>
      </c>
      <c r="Z589" s="263">
        <v>46163</v>
      </c>
      <c r="AA589" s="264">
        <v>46172</v>
      </c>
      <c r="AB589" s="263">
        <v>46189</v>
      </c>
      <c r="AC589" s="257" t="s">
        <v>1333</v>
      </c>
      <c r="AD589" s="257" t="s">
        <v>1228</v>
      </c>
      <c r="AE589" s="220" t="s">
        <v>510</v>
      </c>
      <c r="AF589" s="257" t="s">
        <v>1228</v>
      </c>
      <c r="AG589" s="257" t="s">
        <v>341</v>
      </c>
      <c r="AH589" s="257" t="s">
        <v>1133</v>
      </c>
      <c r="AI589" s="257" t="s">
        <v>1228</v>
      </c>
      <c r="AJ589" s="257" t="s">
        <v>1133</v>
      </c>
      <c r="AK589" s="257" t="s">
        <v>1133</v>
      </c>
      <c r="AL589" s="257" t="s">
        <v>1233</v>
      </c>
      <c r="AM589" s="257" t="s">
        <v>1334</v>
      </c>
      <c r="AN589" s="268" t="s">
        <v>1897</v>
      </c>
      <c r="AO589" s="215">
        <v>0.63</v>
      </c>
      <c r="AP589" s="216">
        <f t="shared" si="122"/>
        <v>453.6</v>
      </c>
      <c r="AQ589" s="216">
        <f t="shared" si="123"/>
        <v>3515.4</v>
      </c>
      <c r="AR589" s="224">
        <v>61442</v>
      </c>
      <c r="AS589" s="330">
        <v>46233</v>
      </c>
      <c r="AT589" s="273" t="s">
        <v>1220</v>
      </c>
      <c r="AU589" s="253">
        <v>720</v>
      </c>
      <c r="AV589" s="252">
        <f t="shared" si="121"/>
        <v>0</v>
      </c>
      <c r="AW589" s="252"/>
      <c r="AX589" s="274" t="s">
        <v>1280</v>
      </c>
      <c r="AY589" s="208"/>
      <c r="AZ589" s="208"/>
      <c r="BA589" s="208"/>
      <c r="BB589" s="273" t="str">
        <f t="shared" si="115"/>
        <v>Amazon</v>
      </c>
      <c r="BC589" s="273" t="str">
        <f t="shared" si="114"/>
        <v>美国(空运)</v>
      </c>
    </row>
    <row r="590" s="194" customFormat="1" customHeight="1" spans="1:55">
      <c r="A590" s="208">
        <v>46139</v>
      </c>
      <c r="B590" s="208" t="str">
        <f ca="1" t="shared" si="106"/>
        <v/>
      </c>
      <c r="C590" s="211" t="str">
        <f>VLOOKUP(H590,名称!A:E,4,0)</f>
        <v>三代</v>
      </c>
      <c r="D590" s="220" t="s">
        <v>1330</v>
      </c>
      <c r="E590" s="220" t="s">
        <v>1336</v>
      </c>
      <c r="F590" s="220" t="s">
        <v>787</v>
      </c>
      <c r="G590" s="220" t="s">
        <v>788</v>
      </c>
      <c r="H590" s="220" t="s">
        <v>138</v>
      </c>
      <c r="I590" s="211"/>
      <c r="J590" s="270">
        <v>432</v>
      </c>
      <c r="K590" s="223">
        <f>VLOOKUP(H590,名称!A:C,2,0)</f>
        <v>5</v>
      </c>
      <c r="L590" s="212">
        <f t="shared" si="111"/>
        <v>2160</v>
      </c>
      <c r="M590" s="211">
        <f>VLOOKUP(H590,名称!A:E,3,0)</f>
        <v>144</v>
      </c>
      <c r="N590" s="212">
        <f t="shared" si="110"/>
        <v>3</v>
      </c>
      <c r="O590" s="271">
        <v>46199</v>
      </c>
      <c r="P590" s="256">
        <v>46207</v>
      </c>
      <c r="Q590" s="256">
        <v>46207</v>
      </c>
      <c r="R590" s="241" t="s">
        <v>1241</v>
      </c>
      <c r="S590" s="256" t="s">
        <v>1133</v>
      </c>
      <c r="T590" s="211"/>
      <c r="U590" s="211"/>
      <c r="V590" s="211"/>
      <c r="W590" s="208"/>
      <c r="X590" s="268" t="s">
        <v>1896</v>
      </c>
      <c r="Y590" s="241" t="s">
        <v>1228</v>
      </c>
      <c r="Z590" s="263">
        <v>46163</v>
      </c>
      <c r="AA590" s="264">
        <v>46172</v>
      </c>
      <c r="AB590" s="263">
        <v>46189</v>
      </c>
      <c r="AC590" s="211" t="s">
        <v>1333</v>
      </c>
      <c r="AD590" s="211" t="s">
        <v>1228</v>
      </c>
      <c r="AE590" s="220" t="s">
        <v>510</v>
      </c>
      <c r="AF590" s="211" t="s">
        <v>1228</v>
      </c>
      <c r="AG590" s="257" t="s">
        <v>341</v>
      </c>
      <c r="AH590" s="211" t="s">
        <v>1133</v>
      </c>
      <c r="AI590" s="257" t="s">
        <v>1228</v>
      </c>
      <c r="AJ590" s="257" t="s">
        <v>1133</v>
      </c>
      <c r="AK590" s="257" t="s">
        <v>1133</v>
      </c>
      <c r="AL590" s="211" t="s">
        <v>1233</v>
      </c>
      <c r="AM590" s="257" t="s">
        <v>1334</v>
      </c>
      <c r="AN590" s="268" t="s">
        <v>1898</v>
      </c>
      <c r="AO590" s="215">
        <v>0.63</v>
      </c>
      <c r="AP590" s="216">
        <f t="shared" si="122"/>
        <v>272.16</v>
      </c>
      <c r="AQ590" s="216">
        <f t="shared" si="123"/>
        <v>2109.24</v>
      </c>
      <c r="AR590" s="224">
        <v>61442</v>
      </c>
      <c r="AS590" s="330">
        <v>46233</v>
      </c>
      <c r="AT590" s="273" t="s">
        <v>1220</v>
      </c>
      <c r="AU590" s="253">
        <v>432</v>
      </c>
      <c r="AV590" s="252">
        <f t="shared" si="121"/>
        <v>0</v>
      </c>
      <c r="AW590" s="252"/>
      <c r="AX590" s="274" t="s">
        <v>1280</v>
      </c>
      <c r="AY590" s="208"/>
      <c r="AZ590" s="208"/>
      <c r="BA590" s="208"/>
      <c r="BB590" s="273" t="str">
        <f t="shared" si="115"/>
        <v>Amazon</v>
      </c>
      <c r="BC590" s="273" t="str">
        <f t="shared" si="114"/>
        <v>美国(空运)</v>
      </c>
    </row>
    <row r="591" s="194" customFormat="1" customHeight="1" spans="1:55">
      <c r="A591" s="208">
        <v>46139</v>
      </c>
      <c r="B591" s="208" t="str">
        <f ca="1" t="shared" si="106"/>
        <v/>
      </c>
      <c r="C591" s="211" t="str">
        <f>VLOOKUP(H591,名称!A:E,4,0)</f>
        <v>三代</v>
      </c>
      <c r="D591" s="220" t="s">
        <v>1330</v>
      </c>
      <c r="E591" s="220" t="s">
        <v>1336</v>
      </c>
      <c r="F591" s="220" t="s">
        <v>787</v>
      </c>
      <c r="G591" s="220" t="s">
        <v>788</v>
      </c>
      <c r="H591" s="220" t="s">
        <v>139</v>
      </c>
      <c r="I591" s="211"/>
      <c r="J591" s="270">
        <v>288</v>
      </c>
      <c r="K591" s="223">
        <f>VLOOKUP(H591,名称!A:C,2,0)</f>
        <v>5</v>
      </c>
      <c r="L591" s="212">
        <f t="shared" si="111"/>
        <v>1440</v>
      </c>
      <c r="M591" s="211">
        <f>VLOOKUP(H591,名称!A:E,3,0)</f>
        <v>144</v>
      </c>
      <c r="N591" s="212">
        <f t="shared" si="110"/>
        <v>2</v>
      </c>
      <c r="O591" s="271">
        <v>46199</v>
      </c>
      <c r="P591" s="256">
        <v>46207</v>
      </c>
      <c r="Q591" s="256">
        <v>46207</v>
      </c>
      <c r="R591" s="241" t="s">
        <v>1241</v>
      </c>
      <c r="S591" s="256" t="s">
        <v>1133</v>
      </c>
      <c r="T591" s="211"/>
      <c r="U591" s="211"/>
      <c r="V591" s="211"/>
      <c r="W591" s="208"/>
      <c r="X591" s="268" t="s">
        <v>1896</v>
      </c>
      <c r="Y591" s="241" t="s">
        <v>1228</v>
      </c>
      <c r="Z591" s="263">
        <v>46163</v>
      </c>
      <c r="AA591" s="264">
        <v>46172</v>
      </c>
      <c r="AB591" s="263">
        <v>46189</v>
      </c>
      <c r="AC591" s="211" t="s">
        <v>1333</v>
      </c>
      <c r="AD591" s="211" t="s">
        <v>1228</v>
      </c>
      <c r="AE591" s="220" t="s">
        <v>510</v>
      </c>
      <c r="AF591" s="211" t="s">
        <v>1228</v>
      </c>
      <c r="AG591" s="257" t="s">
        <v>341</v>
      </c>
      <c r="AH591" s="211" t="s">
        <v>1133</v>
      </c>
      <c r="AI591" s="257" t="s">
        <v>1228</v>
      </c>
      <c r="AJ591" s="257" t="s">
        <v>1133</v>
      </c>
      <c r="AK591" s="257" t="s">
        <v>1133</v>
      </c>
      <c r="AL591" s="211" t="s">
        <v>1233</v>
      </c>
      <c r="AM591" s="257" t="s">
        <v>1334</v>
      </c>
      <c r="AN591" s="268" t="s">
        <v>1898</v>
      </c>
      <c r="AO591" s="215">
        <v>0.63</v>
      </c>
      <c r="AP591" s="216">
        <f t="shared" si="122"/>
        <v>181.44</v>
      </c>
      <c r="AQ591" s="216">
        <f t="shared" si="123"/>
        <v>1406.16</v>
      </c>
      <c r="AR591" s="224">
        <v>61442</v>
      </c>
      <c r="AS591" s="330">
        <v>46233</v>
      </c>
      <c r="AT591" s="273" t="s">
        <v>1220</v>
      </c>
      <c r="AU591" s="253">
        <v>288</v>
      </c>
      <c r="AV591" s="252">
        <f t="shared" si="121"/>
        <v>0</v>
      </c>
      <c r="AW591" s="252"/>
      <c r="AX591" s="274" t="s">
        <v>1280</v>
      </c>
      <c r="AY591" s="208"/>
      <c r="AZ591" s="208"/>
      <c r="BA591" s="208"/>
      <c r="BB591" s="273" t="str">
        <f t="shared" si="115"/>
        <v>Amazon</v>
      </c>
      <c r="BC591" s="273" t="str">
        <f t="shared" si="114"/>
        <v>美国(空运)</v>
      </c>
    </row>
    <row r="592" s="194" customFormat="1" customHeight="1" spans="1:55">
      <c r="A592" s="208">
        <v>46139</v>
      </c>
      <c r="B592" s="208" t="str">
        <f ca="1" t="shared" si="106"/>
        <v/>
      </c>
      <c r="C592" s="211" t="str">
        <f>VLOOKUP(H592,名称!A:E,4,0)</f>
        <v>三代</v>
      </c>
      <c r="D592" s="220" t="s">
        <v>1330</v>
      </c>
      <c r="E592" s="220" t="s">
        <v>1336</v>
      </c>
      <c r="F592" s="220" t="s">
        <v>787</v>
      </c>
      <c r="G592" s="220" t="s">
        <v>788</v>
      </c>
      <c r="H592" s="220" t="s">
        <v>140</v>
      </c>
      <c r="I592" s="211"/>
      <c r="J592" s="270">
        <v>576</v>
      </c>
      <c r="K592" s="223">
        <f>VLOOKUP(H592,名称!A:C,2,0)</f>
        <v>5</v>
      </c>
      <c r="L592" s="212">
        <f t="shared" si="111"/>
        <v>2880</v>
      </c>
      <c r="M592" s="211">
        <f>VLOOKUP(H592,名称!A:E,3,0)</f>
        <v>144</v>
      </c>
      <c r="N592" s="212">
        <f t="shared" si="110"/>
        <v>4</v>
      </c>
      <c r="O592" s="271">
        <v>46199</v>
      </c>
      <c r="P592" s="256">
        <v>46207</v>
      </c>
      <c r="Q592" s="256">
        <v>46207</v>
      </c>
      <c r="R592" s="241" t="s">
        <v>1241</v>
      </c>
      <c r="S592" s="256" t="s">
        <v>1133</v>
      </c>
      <c r="T592" s="211"/>
      <c r="U592" s="211"/>
      <c r="V592" s="211"/>
      <c r="W592" s="208"/>
      <c r="X592" s="268" t="s">
        <v>1896</v>
      </c>
      <c r="Y592" s="241" t="s">
        <v>1228</v>
      </c>
      <c r="Z592" s="263">
        <v>46163</v>
      </c>
      <c r="AA592" s="264">
        <v>46172</v>
      </c>
      <c r="AB592" s="263">
        <v>46189</v>
      </c>
      <c r="AC592" s="211" t="s">
        <v>1333</v>
      </c>
      <c r="AD592" s="211" t="s">
        <v>1228</v>
      </c>
      <c r="AE592" s="220" t="s">
        <v>510</v>
      </c>
      <c r="AF592" s="211" t="s">
        <v>1228</v>
      </c>
      <c r="AG592" s="257" t="s">
        <v>341</v>
      </c>
      <c r="AH592" s="211" t="s">
        <v>1133</v>
      </c>
      <c r="AI592" s="257" t="s">
        <v>1228</v>
      </c>
      <c r="AJ592" s="257" t="s">
        <v>1133</v>
      </c>
      <c r="AK592" s="257" t="s">
        <v>1133</v>
      </c>
      <c r="AL592" s="211" t="s">
        <v>1233</v>
      </c>
      <c r="AM592" s="257" t="s">
        <v>1334</v>
      </c>
      <c r="AN592" s="268" t="s">
        <v>1898</v>
      </c>
      <c r="AO592" s="215">
        <v>0.63</v>
      </c>
      <c r="AP592" s="216">
        <f t="shared" si="122"/>
        <v>362.88</v>
      </c>
      <c r="AQ592" s="216">
        <f t="shared" si="123"/>
        <v>2812.32</v>
      </c>
      <c r="AR592" s="224">
        <v>61442</v>
      </c>
      <c r="AS592" s="330">
        <v>46233</v>
      </c>
      <c r="AT592" s="273" t="s">
        <v>1220</v>
      </c>
      <c r="AU592" s="253">
        <v>576</v>
      </c>
      <c r="AV592" s="252">
        <f t="shared" si="121"/>
        <v>0</v>
      </c>
      <c r="AW592" s="252"/>
      <c r="AX592" s="274" t="s">
        <v>1280</v>
      </c>
      <c r="AY592" s="208"/>
      <c r="AZ592" s="208"/>
      <c r="BA592" s="208"/>
      <c r="BB592" s="273" t="str">
        <f t="shared" si="115"/>
        <v>Amazon</v>
      </c>
      <c r="BC592" s="273" t="str">
        <f t="shared" si="114"/>
        <v>美国(空运)</v>
      </c>
    </row>
    <row r="593" s="194" customFormat="1" customHeight="1" spans="1:55">
      <c r="A593" s="208">
        <v>46139</v>
      </c>
      <c r="B593" s="208" t="str">
        <f ca="1" t="shared" si="106"/>
        <v/>
      </c>
      <c r="C593" s="211" t="str">
        <f>VLOOKUP(H593,名称!A:E,4,0)</f>
        <v>三代</v>
      </c>
      <c r="D593" s="220" t="s">
        <v>1330</v>
      </c>
      <c r="E593" s="220" t="s">
        <v>1336</v>
      </c>
      <c r="F593" s="220" t="s">
        <v>787</v>
      </c>
      <c r="G593" s="220" t="s">
        <v>788</v>
      </c>
      <c r="H593" s="220" t="s">
        <v>141</v>
      </c>
      <c r="I593" s="211"/>
      <c r="J593" s="270">
        <v>432</v>
      </c>
      <c r="K593" s="223">
        <f>VLOOKUP(H593,名称!A:C,2,0)</f>
        <v>5</v>
      </c>
      <c r="L593" s="212">
        <f t="shared" si="111"/>
        <v>2160</v>
      </c>
      <c r="M593" s="211">
        <f>VLOOKUP(H593,名称!A:E,3,0)</f>
        <v>144</v>
      </c>
      <c r="N593" s="212">
        <f t="shared" si="110"/>
        <v>3</v>
      </c>
      <c r="O593" s="271">
        <v>46199</v>
      </c>
      <c r="P593" s="256">
        <v>46207</v>
      </c>
      <c r="Q593" s="256">
        <v>46207</v>
      </c>
      <c r="R593" s="241" t="s">
        <v>1241</v>
      </c>
      <c r="S593" s="256" t="s">
        <v>1133</v>
      </c>
      <c r="T593" s="211"/>
      <c r="U593" s="211"/>
      <c r="V593" s="211"/>
      <c r="W593" s="208"/>
      <c r="X593" s="268" t="s">
        <v>1896</v>
      </c>
      <c r="Y593" s="241" t="s">
        <v>1228</v>
      </c>
      <c r="Z593" s="263">
        <v>46163</v>
      </c>
      <c r="AA593" s="264">
        <v>46172</v>
      </c>
      <c r="AB593" s="263">
        <v>46189</v>
      </c>
      <c r="AC593" s="211" t="s">
        <v>1333</v>
      </c>
      <c r="AD593" s="211" t="s">
        <v>1228</v>
      </c>
      <c r="AE593" s="220" t="s">
        <v>510</v>
      </c>
      <c r="AF593" s="211" t="s">
        <v>1228</v>
      </c>
      <c r="AG593" s="257" t="s">
        <v>341</v>
      </c>
      <c r="AH593" s="211" t="s">
        <v>1133</v>
      </c>
      <c r="AI593" s="257" t="s">
        <v>1228</v>
      </c>
      <c r="AJ593" s="257" t="s">
        <v>1133</v>
      </c>
      <c r="AK593" s="257" t="s">
        <v>1133</v>
      </c>
      <c r="AL593" s="211" t="s">
        <v>1233</v>
      </c>
      <c r="AM593" s="257" t="s">
        <v>1334</v>
      </c>
      <c r="AN593" s="268" t="s">
        <v>1898</v>
      </c>
      <c r="AO593" s="215">
        <v>0.63</v>
      </c>
      <c r="AP593" s="216">
        <f t="shared" si="122"/>
        <v>272.16</v>
      </c>
      <c r="AQ593" s="216">
        <f t="shared" si="123"/>
        <v>2109.24</v>
      </c>
      <c r="AR593" s="224">
        <v>61442</v>
      </c>
      <c r="AS593" s="330">
        <v>46233</v>
      </c>
      <c r="AT593" s="273" t="s">
        <v>1220</v>
      </c>
      <c r="AU593" s="253">
        <v>432</v>
      </c>
      <c r="AV593" s="252">
        <f t="shared" si="121"/>
        <v>0</v>
      </c>
      <c r="AW593" s="252"/>
      <c r="AX593" s="274" t="s">
        <v>1280</v>
      </c>
      <c r="AY593" s="208"/>
      <c r="AZ593" s="208"/>
      <c r="BA593" s="208"/>
      <c r="BB593" s="273" t="str">
        <f t="shared" si="115"/>
        <v>Amazon</v>
      </c>
      <c r="BC593" s="273" t="str">
        <f t="shared" si="114"/>
        <v>美国(空运)</v>
      </c>
    </row>
    <row r="594" s="194" customFormat="1" customHeight="1" spans="1:55">
      <c r="A594" s="208">
        <v>46139</v>
      </c>
      <c r="B594" s="208" t="str">
        <f ca="1" t="shared" si="106"/>
        <v/>
      </c>
      <c r="C594" s="211" t="str">
        <f>VLOOKUP(H594,名称!A:E,4,0)</f>
        <v>三代</v>
      </c>
      <c r="D594" s="220" t="s">
        <v>1330</v>
      </c>
      <c r="E594" s="220" t="s">
        <v>1899</v>
      </c>
      <c r="F594" s="220" t="s">
        <v>787</v>
      </c>
      <c r="G594" s="220" t="s">
        <v>788</v>
      </c>
      <c r="H594" s="220" t="s">
        <v>142</v>
      </c>
      <c r="I594" s="211"/>
      <c r="J594" s="270">
        <v>3648</v>
      </c>
      <c r="K594" s="223">
        <f>VLOOKUP(H594,名称!A:C,2,0)</f>
        <v>12</v>
      </c>
      <c r="L594" s="212">
        <f t="shared" si="111"/>
        <v>43776</v>
      </c>
      <c r="M594" s="211">
        <f>VLOOKUP(H594,名称!A:E,3,0)</f>
        <v>24</v>
      </c>
      <c r="N594" s="212">
        <f t="shared" si="110"/>
        <v>152</v>
      </c>
      <c r="O594" s="271">
        <v>46199</v>
      </c>
      <c r="P594" s="256">
        <v>46207</v>
      </c>
      <c r="Q594" s="256">
        <v>46207</v>
      </c>
      <c r="R594" s="241" t="s">
        <v>1241</v>
      </c>
      <c r="S594" s="256" t="s">
        <v>1133</v>
      </c>
      <c r="T594" s="211"/>
      <c r="U594" s="211"/>
      <c r="V594" s="211"/>
      <c r="W594" s="208"/>
      <c r="X594" s="268" t="s">
        <v>1896</v>
      </c>
      <c r="Y594" s="241" t="s">
        <v>1228</v>
      </c>
      <c r="Z594" s="263">
        <v>46163</v>
      </c>
      <c r="AA594" s="264">
        <v>46172</v>
      </c>
      <c r="AB594" s="263">
        <v>46189</v>
      </c>
      <c r="AC594" s="211" t="s">
        <v>1333</v>
      </c>
      <c r="AD594" s="211" t="s">
        <v>1228</v>
      </c>
      <c r="AE594" s="220" t="s">
        <v>510</v>
      </c>
      <c r="AF594" s="211" t="s">
        <v>1228</v>
      </c>
      <c r="AG594" s="257" t="s">
        <v>341</v>
      </c>
      <c r="AH594" s="211" t="s">
        <v>1133</v>
      </c>
      <c r="AI594" s="257" t="s">
        <v>1228</v>
      </c>
      <c r="AJ594" s="257" t="s">
        <v>510</v>
      </c>
      <c r="AK594" s="257" t="s">
        <v>1133</v>
      </c>
      <c r="AL594" s="211"/>
      <c r="AM594" s="257" t="s">
        <v>1334</v>
      </c>
      <c r="AN594" s="268" t="s">
        <v>1898</v>
      </c>
      <c r="AO594" s="215">
        <v>1.65</v>
      </c>
      <c r="AP594" s="216">
        <f t="shared" si="122"/>
        <v>6019.2</v>
      </c>
      <c r="AQ594" s="216">
        <f t="shared" si="123"/>
        <v>46648.8</v>
      </c>
      <c r="AR594" s="224">
        <v>61442</v>
      </c>
      <c r="AS594" s="330">
        <v>46233</v>
      </c>
      <c r="AT594" s="273" t="s">
        <v>1220</v>
      </c>
      <c r="AU594" s="253">
        <v>3648</v>
      </c>
      <c r="AV594" s="252">
        <f t="shared" si="121"/>
        <v>0</v>
      </c>
      <c r="AW594" s="252"/>
      <c r="AX594" s="274" t="s">
        <v>1280</v>
      </c>
      <c r="AY594" s="208"/>
      <c r="AZ594" s="208"/>
      <c r="BA594" s="208"/>
      <c r="BB594" s="273" t="str">
        <f t="shared" si="115"/>
        <v>Amazon</v>
      </c>
      <c r="BC594" s="273" t="str">
        <f t="shared" si="114"/>
        <v>美国(空运）</v>
      </c>
    </row>
    <row r="595" s="194" customFormat="1" customHeight="1" spans="1:55">
      <c r="A595" s="208">
        <v>46139</v>
      </c>
      <c r="B595" s="208" t="str">
        <f ca="1" t="shared" ref="B595:B645" si="124">IF(TODAY()-5&gt;=A595,IF(AB595="","异常",""),"")</f>
        <v/>
      </c>
      <c r="C595" s="211" t="str">
        <f>VLOOKUP(H595,名称!A:E,4,0)</f>
        <v>蛋糕</v>
      </c>
      <c r="D595" s="220" t="s">
        <v>1330</v>
      </c>
      <c r="E595" s="220" t="s">
        <v>1900</v>
      </c>
      <c r="F595" s="220" t="s">
        <v>789</v>
      </c>
      <c r="G595" s="220" t="s">
        <v>790</v>
      </c>
      <c r="H595" s="220" t="s">
        <v>129</v>
      </c>
      <c r="I595" s="211"/>
      <c r="J595" s="272">
        <f>1332-12</f>
        <v>1320</v>
      </c>
      <c r="K595" s="223">
        <f>VLOOKUP(H595,名称!A:C,2,0)</f>
        <v>0</v>
      </c>
      <c r="L595" s="212">
        <f t="shared" si="111"/>
        <v>0</v>
      </c>
      <c r="M595" s="211">
        <v>30</v>
      </c>
      <c r="N595" s="212">
        <f t="shared" si="110"/>
        <v>44</v>
      </c>
      <c r="O595" s="271">
        <v>46200</v>
      </c>
      <c r="P595" s="208">
        <v>46209</v>
      </c>
      <c r="Q595" s="208">
        <v>46209</v>
      </c>
      <c r="R595" s="334" t="s">
        <v>1241</v>
      </c>
      <c r="S595" s="256" t="s">
        <v>1133</v>
      </c>
      <c r="T595" s="211"/>
      <c r="U595" s="211"/>
      <c r="V595" s="211"/>
      <c r="W595" s="208"/>
      <c r="X595" s="268" t="s">
        <v>1509</v>
      </c>
      <c r="Y595" s="241" t="s">
        <v>1228</v>
      </c>
      <c r="Z595" s="213">
        <v>46163</v>
      </c>
      <c r="AA595" s="214">
        <v>46172</v>
      </c>
      <c r="AB595" s="213">
        <v>46189</v>
      </c>
      <c r="AC595" s="211" t="s">
        <v>1133</v>
      </c>
      <c r="AD595" s="211" t="s">
        <v>1133</v>
      </c>
      <c r="AE595" s="220" t="s">
        <v>510</v>
      </c>
      <c r="AF595" s="211" t="s">
        <v>1228</v>
      </c>
      <c r="AG595" s="220" t="s">
        <v>510</v>
      </c>
      <c r="AH595" s="211" t="s">
        <v>1133</v>
      </c>
      <c r="AI595" s="211" t="s">
        <v>1228</v>
      </c>
      <c r="AJ595" s="211" t="s">
        <v>1133</v>
      </c>
      <c r="AK595" s="211" t="s">
        <v>1228</v>
      </c>
      <c r="AL595" s="211"/>
      <c r="AM595" s="257" t="s">
        <v>1506</v>
      </c>
      <c r="AN595" s="268" t="s">
        <v>1901</v>
      </c>
      <c r="AO595" s="215">
        <v>1.57</v>
      </c>
      <c r="AP595" s="216">
        <f t="shared" si="122"/>
        <v>2072.4</v>
      </c>
      <c r="AQ595" s="216">
        <f t="shared" si="123"/>
        <v>16061.1</v>
      </c>
      <c r="AR595" s="224">
        <v>61443</v>
      </c>
      <c r="AS595" s="330">
        <v>46233</v>
      </c>
      <c r="AT595" s="208" t="s">
        <v>1310</v>
      </c>
      <c r="AU595" s="208"/>
      <c r="AV595" s="208"/>
      <c r="AW595" s="273" t="s">
        <v>1228</v>
      </c>
      <c r="AX595" s="208"/>
      <c r="AY595" s="208"/>
      <c r="AZ595" s="208"/>
      <c r="BA595" s="208"/>
      <c r="BB595" s="208" t="str">
        <f t="shared" si="115"/>
        <v>Amazon</v>
      </c>
      <c r="BC595" s="208" t="str">
        <f t="shared" si="114"/>
        <v>美国-海运FBA</v>
      </c>
    </row>
    <row r="596" s="194" customFormat="1" customHeight="1" spans="1:55">
      <c r="A596" s="208">
        <v>46139</v>
      </c>
      <c r="B596" s="208" t="str">
        <f ca="1" t="shared" si="124"/>
        <v/>
      </c>
      <c r="C596" s="211" t="str">
        <f>VLOOKUP(H596,名称!A:E,4,0)</f>
        <v>蛋糕</v>
      </c>
      <c r="D596" s="220" t="s">
        <v>1330</v>
      </c>
      <c r="E596" s="220" t="s">
        <v>1224</v>
      </c>
      <c r="F596" s="220" t="s">
        <v>789</v>
      </c>
      <c r="G596" s="220" t="s">
        <v>790</v>
      </c>
      <c r="H596" s="220" t="s">
        <v>130</v>
      </c>
      <c r="I596" s="211"/>
      <c r="J596" s="272">
        <f>1332-12</f>
        <v>1320</v>
      </c>
      <c r="K596" s="223">
        <f>VLOOKUP(H596,名称!A:C,2,0)</f>
        <v>0</v>
      </c>
      <c r="L596" s="212">
        <f t="shared" si="111"/>
        <v>0</v>
      </c>
      <c r="M596" s="211">
        <v>30</v>
      </c>
      <c r="N596" s="212">
        <f t="shared" si="110"/>
        <v>44</v>
      </c>
      <c r="O596" s="271">
        <v>46200</v>
      </c>
      <c r="P596" s="208">
        <v>46209</v>
      </c>
      <c r="Q596" s="208">
        <v>46209</v>
      </c>
      <c r="R596" s="334" t="s">
        <v>1241</v>
      </c>
      <c r="S596" s="256" t="s">
        <v>1133</v>
      </c>
      <c r="T596" s="211"/>
      <c r="U596" s="211"/>
      <c r="V596" s="211"/>
      <c r="W596" s="208"/>
      <c r="X596" s="268" t="s">
        <v>1509</v>
      </c>
      <c r="Y596" s="241" t="s">
        <v>1228</v>
      </c>
      <c r="Z596" s="213">
        <v>46163</v>
      </c>
      <c r="AA596" s="214">
        <v>46172</v>
      </c>
      <c r="AB596" s="213">
        <v>46189</v>
      </c>
      <c r="AC596" s="211" t="s">
        <v>1133</v>
      </c>
      <c r="AD596" s="211" t="s">
        <v>1133</v>
      </c>
      <c r="AE596" s="220" t="s">
        <v>510</v>
      </c>
      <c r="AF596" s="211" t="s">
        <v>1228</v>
      </c>
      <c r="AG596" s="220" t="s">
        <v>510</v>
      </c>
      <c r="AH596" s="211" t="s">
        <v>1133</v>
      </c>
      <c r="AI596" s="211" t="s">
        <v>1228</v>
      </c>
      <c r="AJ596" s="211" t="s">
        <v>1133</v>
      </c>
      <c r="AK596" s="211" t="s">
        <v>1228</v>
      </c>
      <c r="AL596" s="211"/>
      <c r="AM596" s="257" t="s">
        <v>1506</v>
      </c>
      <c r="AN596" s="268" t="s">
        <v>1901</v>
      </c>
      <c r="AO596" s="215">
        <v>1.57</v>
      </c>
      <c r="AP596" s="216">
        <f t="shared" si="122"/>
        <v>2072.4</v>
      </c>
      <c r="AQ596" s="216">
        <f t="shared" si="123"/>
        <v>16061.1</v>
      </c>
      <c r="AR596" s="224">
        <v>61443</v>
      </c>
      <c r="AS596" s="330">
        <v>46233</v>
      </c>
      <c r="AT596" s="208" t="s">
        <v>1310</v>
      </c>
      <c r="AU596" s="208"/>
      <c r="AV596" s="208"/>
      <c r="AW596" s="273" t="s">
        <v>1228</v>
      </c>
      <c r="AX596" s="208"/>
      <c r="AY596" s="208"/>
      <c r="AZ596" s="208"/>
      <c r="BA596" s="208"/>
      <c r="BB596" s="208" t="str">
        <f t="shared" si="115"/>
        <v>Amazon</v>
      </c>
      <c r="BC596" s="208" t="str">
        <f t="shared" si="114"/>
        <v>美国</v>
      </c>
    </row>
    <row r="597" s="194" customFormat="1" customHeight="1" spans="1:55">
      <c r="A597" s="208">
        <v>46139</v>
      </c>
      <c r="B597" s="208" t="str">
        <f ca="1" t="shared" si="124"/>
        <v/>
      </c>
      <c r="C597" s="211" t="str">
        <f>VLOOKUP(H597,名称!A:E,4,0)</f>
        <v>蛋糕</v>
      </c>
      <c r="D597" s="220" t="s">
        <v>1330</v>
      </c>
      <c r="E597" s="220" t="s">
        <v>1224</v>
      </c>
      <c r="F597" s="220" t="s">
        <v>789</v>
      </c>
      <c r="G597" s="220" t="s">
        <v>790</v>
      </c>
      <c r="H597" s="220" t="s">
        <v>131</v>
      </c>
      <c r="I597" s="211"/>
      <c r="J597" s="272">
        <f>1044+6</f>
        <v>1050</v>
      </c>
      <c r="K597" s="223">
        <f>VLOOKUP(H597,名称!A:C,2,0)</f>
        <v>0</v>
      </c>
      <c r="L597" s="212">
        <f t="shared" si="111"/>
        <v>0</v>
      </c>
      <c r="M597" s="211">
        <v>30</v>
      </c>
      <c r="N597" s="212">
        <f t="shared" si="110"/>
        <v>35</v>
      </c>
      <c r="O597" s="271">
        <v>46200</v>
      </c>
      <c r="P597" s="208">
        <v>46209</v>
      </c>
      <c r="Q597" s="208">
        <v>46209</v>
      </c>
      <c r="R597" s="334" t="s">
        <v>1241</v>
      </c>
      <c r="S597" s="256" t="s">
        <v>1133</v>
      </c>
      <c r="T597" s="211"/>
      <c r="U597" s="211"/>
      <c r="V597" s="211"/>
      <c r="W597" s="208"/>
      <c r="X597" s="268" t="s">
        <v>1509</v>
      </c>
      <c r="Y597" s="241" t="s">
        <v>1228</v>
      </c>
      <c r="Z597" s="213">
        <v>46163</v>
      </c>
      <c r="AA597" s="214">
        <v>46172</v>
      </c>
      <c r="AB597" s="213">
        <v>46189</v>
      </c>
      <c r="AC597" s="211" t="s">
        <v>1133</v>
      </c>
      <c r="AD597" s="211" t="s">
        <v>1133</v>
      </c>
      <c r="AE597" s="220" t="s">
        <v>510</v>
      </c>
      <c r="AF597" s="211" t="s">
        <v>1228</v>
      </c>
      <c r="AG597" s="220" t="s">
        <v>510</v>
      </c>
      <c r="AH597" s="211" t="s">
        <v>1133</v>
      </c>
      <c r="AI597" s="211" t="s">
        <v>1228</v>
      </c>
      <c r="AJ597" s="211" t="s">
        <v>1133</v>
      </c>
      <c r="AK597" s="211" t="s">
        <v>1228</v>
      </c>
      <c r="AL597" s="211"/>
      <c r="AM597" s="257" t="s">
        <v>1506</v>
      </c>
      <c r="AN597" s="268" t="s">
        <v>1901</v>
      </c>
      <c r="AO597" s="215">
        <v>1.57</v>
      </c>
      <c r="AP597" s="216">
        <f t="shared" si="122"/>
        <v>1648.5</v>
      </c>
      <c r="AQ597" s="216">
        <f t="shared" si="123"/>
        <v>12775.88</v>
      </c>
      <c r="AR597" s="224">
        <v>61443</v>
      </c>
      <c r="AS597" s="330">
        <v>46233</v>
      </c>
      <c r="AT597" s="208" t="s">
        <v>1310</v>
      </c>
      <c r="AU597" s="208"/>
      <c r="AV597" s="208"/>
      <c r="AW597" s="273" t="s">
        <v>1228</v>
      </c>
      <c r="AX597" s="208"/>
      <c r="AY597" s="208"/>
      <c r="AZ597" s="208"/>
      <c r="BA597" s="208"/>
      <c r="BB597" s="208" t="str">
        <f t="shared" si="115"/>
        <v>Amazon</v>
      </c>
      <c r="BC597" s="208" t="str">
        <f t="shared" si="114"/>
        <v>美国</v>
      </c>
    </row>
    <row r="598" s="194" customFormat="1" customHeight="1" spans="1:55">
      <c r="A598" s="208">
        <v>46139</v>
      </c>
      <c r="B598" s="208" t="str">
        <f ca="1" t="shared" si="124"/>
        <v/>
      </c>
      <c r="C598" s="211" t="str">
        <f>VLOOKUP(H598,名称!A:E,4,0)</f>
        <v>三代</v>
      </c>
      <c r="D598" s="220" t="s">
        <v>1330</v>
      </c>
      <c r="E598" s="220" t="s">
        <v>1338</v>
      </c>
      <c r="F598" s="220" t="s">
        <v>789</v>
      </c>
      <c r="G598" s="220" t="s">
        <v>790</v>
      </c>
      <c r="H598" s="220" t="s">
        <v>155</v>
      </c>
      <c r="I598" s="211"/>
      <c r="J598" s="270">
        <f>1134-9</f>
        <v>1125</v>
      </c>
      <c r="K598" s="223">
        <f>VLOOKUP(H598,名称!A:C,2,0)</f>
        <v>5</v>
      </c>
      <c r="L598" s="212">
        <f t="shared" si="111"/>
        <v>5625</v>
      </c>
      <c r="M598" s="211">
        <f>VLOOKUP(H598,名称!A:E,3,0)</f>
        <v>75</v>
      </c>
      <c r="N598" s="212">
        <f t="shared" si="110"/>
        <v>15</v>
      </c>
      <c r="O598" s="271">
        <v>46200</v>
      </c>
      <c r="P598" s="256">
        <v>46220</v>
      </c>
      <c r="Q598" s="256">
        <v>46220</v>
      </c>
      <c r="R598" s="334" t="s">
        <v>1241</v>
      </c>
      <c r="S598" s="256" t="s">
        <v>1133</v>
      </c>
      <c r="T598" s="211"/>
      <c r="U598" s="211"/>
      <c r="V598" s="211"/>
      <c r="W598" s="208"/>
      <c r="X598" s="268" t="s">
        <v>1902</v>
      </c>
      <c r="Y598" s="241" t="s">
        <v>1228</v>
      </c>
      <c r="Z598" s="263">
        <v>46163</v>
      </c>
      <c r="AA598" s="264">
        <v>46172</v>
      </c>
      <c r="AB598" s="335">
        <v>46196</v>
      </c>
      <c r="AC598" s="257" t="s">
        <v>1333</v>
      </c>
      <c r="AD598" s="257" t="s">
        <v>1228</v>
      </c>
      <c r="AE598" s="220" t="s">
        <v>510</v>
      </c>
      <c r="AF598" s="257" t="s">
        <v>1228</v>
      </c>
      <c r="AG598" s="257" t="s">
        <v>341</v>
      </c>
      <c r="AH598" s="257" t="s">
        <v>1133</v>
      </c>
      <c r="AI598" s="257" t="s">
        <v>1228</v>
      </c>
      <c r="AJ598" s="257" t="s">
        <v>1133</v>
      </c>
      <c r="AK598" s="257" t="s">
        <v>1133</v>
      </c>
      <c r="AL598" s="257"/>
      <c r="AM598" s="257" t="s">
        <v>1334</v>
      </c>
      <c r="AN598" s="268" t="s">
        <v>1903</v>
      </c>
      <c r="AO598" s="215">
        <v>1.56</v>
      </c>
      <c r="AP598" s="216">
        <f t="shared" si="122"/>
        <v>1755</v>
      </c>
      <c r="AQ598" s="216">
        <f t="shared" si="123"/>
        <v>13601.25</v>
      </c>
      <c r="AR598" s="224">
        <v>61443</v>
      </c>
      <c r="AS598" s="330">
        <v>46233</v>
      </c>
      <c r="AT598" s="208" t="s">
        <v>1310</v>
      </c>
      <c r="AU598" s="253">
        <v>1125</v>
      </c>
      <c r="AV598" s="252">
        <f t="shared" ref="AV598:AV608" si="125">AU598-J598</f>
        <v>0</v>
      </c>
      <c r="AW598" s="222" t="s">
        <v>1228</v>
      </c>
      <c r="AX598" s="256"/>
      <c r="AY598" s="208"/>
      <c r="AZ598" s="208"/>
      <c r="BA598" s="208"/>
      <c r="BB598" s="208" t="str">
        <f t="shared" si="115"/>
        <v>Amazon</v>
      </c>
      <c r="BC598" s="208" t="str">
        <f t="shared" si="114"/>
        <v>美国FBA</v>
      </c>
    </row>
    <row r="599" s="194" customFormat="1" customHeight="1" spans="1:55">
      <c r="A599" s="208">
        <v>46139</v>
      </c>
      <c r="B599" s="208" t="str">
        <f ca="1" t="shared" si="124"/>
        <v/>
      </c>
      <c r="C599" s="211" t="str">
        <f>VLOOKUP(H599,名称!A:E,4,0)</f>
        <v>三代</v>
      </c>
      <c r="D599" s="220" t="s">
        <v>1330</v>
      </c>
      <c r="E599" s="220" t="s">
        <v>1338</v>
      </c>
      <c r="F599" s="220" t="s">
        <v>789</v>
      </c>
      <c r="G599" s="220" t="s">
        <v>790</v>
      </c>
      <c r="H599" s="220" t="s">
        <v>156</v>
      </c>
      <c r="I599" s="211"/>
      <c r="J599" s="270">
        <f>1386-36</f>
        <v>1350</v>
      </c>
      <c r="K599" s="223">
        <f>VLOOKUP(H599,名称!A:C,2,0)</f>
        <v>5</v>
      </c>
      <c r="L599" s="212">
        <f t="shared" si="111"/>
        <v>6750</v>
      </c>
      <c r="M599" s="211">
        <f>VLOOKUP(H599,名称!A:E,3,0)</f>
        <v>75</v>
      </c>
      <c r="N599" s="212">
        <f t="shared" si="110"/>
        <v>18</v>
      </c>
      <c r="O599" s="271">
        <v>46200</v>
      </c>
      <c r="P599" s="256">
        <v>46220</v>
      </c>
      <c r="Q599" s="256">
        <v>46220</v>
      </c>
      <c r="R599" s="241" t="s">
        <v>1241</v>
      </c>
      <c r="S599" s="256" t="s">
        <v>1133</v>
      </c>
      <c r="T599" s="211"/>
      <c r="U599" s="211"/>
      <c r="V599" s="211"/>
      <c r="W599" s="208"/>
      <c r="X599" s="267" t="s">
        <v>1902</v>
      </c>
      <c r="Y599" s="267" t="s">
        <v>1228</v>
      </c>
      <c r="Z599" s="263">
        <v>46163</v>
      </c>
      <c r="AA599" s="264">
        <v>46172</v>
      </c>
      <c r="AB599" s="335">
        <v>46196</v>
      </c>
      <c r="AC599" s="257" t="s">
        <v>1333</v>
      </c>
      <c r="AD599" s="257" t="s">
        <v>1228</v>
      </c>
      <c r="AE599" s="220" t="s">
        <v>510</v>
      </c>
      <c r="AF599" s="257" t="s">
        <v>1228</v>
      </c>
      <c r="AG599" s="257" t="s">
        <v>341</v>
      </c>
      <c r="AH599" s="257" t="s">
        <v>1133</v>
      </c>
      <c r="AI599" s="257" t="s">
        <v>1228</v>
      </c>
      <c r="AJ599" s="257" t="s">
        <v>1133</v>
      </c>
      <c r="AK599" s="257" t="s">
        <v>1133</v>
      </c>
      <c r="AL599" s="257"/>
      <c r="AM599" s="257" t="s">
        <v>1334</v>
      </c>
      <c r="AN599" s="268" t="s">
        <v>1903</v>
      </c>
      <c r="AO599" s="215">
        <v>1.56</v>
      </c>
      <c r="AP599" s="216">
        <f t="shared" si="122"/>
        <v>2106</v>
      </c>
      <c r="AQ599" s="216">
        <f t="shared" si="123"/>
        <v>16321.5</v>
      </c>
      <c r="AR599" s="224">
        <v>61443</v>
      </c>
      <c r="AS599" s="330">
        <v>46233</v>
      </c>
      <c r="AT599" s="208" t="s">
        <v>1310</v>
      </c>
      <c r="AU599" s="253">
        <v>1350</v>
      </c>
      <c r="AV599" s="252">
        <f t="shared" si="125"/>
        <v>0</v>
      </c>
      <c r="AW599" s="222" t="s">
        <v>1228</v>
      </c>
      <c r="AX599" s="256"/>
      <c r="AY599" s="208"/>
      <c r="AZ599" s="208"/>
      <c r="BA599" s="208"/>
      <c r="BB599" s="208" t="str">
        <f t="shared" si="115"/>
        <v>Amazon</v>
      </c>
      <c r="BC599" s="208" t="str">
        <f t="shared" si="114"/>
        <v>美国FBA</v>
      </c>
    </row>
    <row r="600" s="194" customFormat="1" customHeight="1" spans="1:55">
      <c r="A600" s="208">
        <v>46139</v>
      </c>
      <c r="B600" s="208" t="str">
        <f ca="1" t="shared" si="124"/>
        <v/>
      </c>
      <c r="C600" s="211" t="str">
        <f>VLOOKUP(H600,名称!A:E,4,0)</f>
        <v>三代</v>
      </c>
      <c r="D600" s="220" t="s">
        <v>1330</v>
      </c>
      <c r="E600" s="220" t="s">
        <v>1338</v>
      </c>
      <c r="F600" s="220" t="s">
        <v>789</v>
      </c>
      <c r="G600" s="220" t="s">
        <v>790</v>
      </c>
      <c r="H600" s="220" t="s">
        <v>157</v>
      </c>
      <c r="I600" s="211"/>
      <c r="J600" s="270">
        <f>1134-9</f>
        <v>1125</v>
      </c>
      <c r="K600" s="223">
        <f>VLOOKUP(H600,名称!A:C,2,0)</f>
        <v>5</v>
      </c>
      <c r="L600" s="212">
        <f t="shared" si="111"/>
        <v>5625</v>
      </c>
      <c r="M600" s="211">
        <f>VLOOKUP(H600,名称!A:E,3,0)</f>
        <v>75</v>
      </c>
      <c r="N600" s="212">
        <f t="shared" si="110"/>
        <v>15</v>
      </c>
      <c r="O600" s="271">
        <v>46200</v>
      </c>
      <c r="P600" s="256">
        <v>46220</v>
      </c>
      <c r="Q600" s="256">
        <v>46220</v>
      </c>
      <c r="R600" s="241" t="s">
        <v>1241</v>
      </c>
      <c r="S600" s="256" t="s">
        <v>1133</v>
      </c>
      <c r="T600" s="211"/>
      <c r="U600" s="211"/>
      <c r="V600" s="211"/>
      <c r="W600" s="208"/>
      <c r="X600" s="268" t="s">
        <v>1902</v>
      </c>
      <c r="Y600" s="241" t="s">
        <v>1228</v>
      </c>
      <c r="Z600" s="263">
        <v>46163</v>
      </c>
      <c r="AA600" s="264">
        <v>46172</v>
      </c>
      <c r="AB600" s="335">
        <v>46196</v>
      </c>
      <c r="AC600" s="257" t="s">
        <v>1333</v>
      </c>
      <c r="AD600" s="257" t="s">
        <v>1228</v>
      </c>
      <c r="AE600" s="220" t="s">
        <v>510</v>
      </c>
      <c r="AF600" s="257" t="s">
        <v>1228</v>
      </c>
      <c r="AG600" s="257" t="s">
        <v>341</v>
      </c>
      <c r="AH600" s="257" t="s">
        <v>1133</v>
      </c>
      <c r="AI600" s="257" t="s">
        <v>1228</v>
      </c>
      <c r="AJ600" s="257" t="s">
        <v>1133</v>
      </c>
      <c r="AK600" s="257" t="s">
        <v>1133</v>
      </c>
      <c r="AL600" s="257"/>
      <c r="AM600" s="257" t="s">
        <v>1334</v>
      </c>
      <c r="AN600" s="268" t="s">
        <v>1903</v>
      </c>
      <c r="AO600" s="215">
        <v>1.56</v>
      </c>
      <c r="AP600" s="216">
        <f t="shared" si="122"/>
        <v>1755</v>
      </c>
      <c r="AQ600" s="216">
        <f t="shared" si="123"/>
        <v>13601.25</v>
      </c>
      <c r="AR600" s="224">
        <v>61443</v>
      </c>
      <c r="AS600" s="330">
        <v>46233</v>
      </c>
      <c r="AT600" s="208" t="s">
        <v>1310</v>
      </c>
      <c r="AU600" s="253">
        <v>1125</v>
      </c>
      <c r="AV600" s="252">
        <f t="shared" si="125"/>
        <v>0</v>
      </c>
      <c r="AW600" s="222" t="s">
        <v>1228</v>
      </c>
      <c r="AX600" s="256"/>
      <c r="AY600" s="208"/>
      <c r="AZ600" s="208"/>
      <c r="BA600" s="208"/>
      <c r="BB600" s="208" t="str">
        <f t="shared" si="115"/>
        <v>Amazon</v>
      </c>
      <c r="BC600" s="208" t="str">
        <f t="shared" si="114"/>
        <v>美国FBA</v>
      </c>
    </row>
    <row r="601" s="194" customFormat="1" customHeight="1" spans="1:55">
      <c r="A601" s="208">
        <v>46139</v>
      </c>
      <c r="B601" s="208" t="str">
        <f ca="1" t="shared" si="124"/>
        <v/>
      </c>
      <c r="C601" s="211" t="str">
        <f>VLOOKUP(H601,名称!A:E,4,0)</f>
        <v>三代</v>
      </c>
      <c r="D601" s="220" t="s">
        <v>1330</v>
      </c>
      <c r="E601" s="220" t="s">
        <v>1338</v>
      </c>
      <c r="F601" s="220" t="s">
        <v>789</v>
      </c>
      <c r="G601" s="220" t="s">
        <v>790</v>
      </c>
      <c r="H601" s="220" t="s">
        <v>158</v>
      </c>
      <c r="I601" s="211"/>
      <c r="J601" s="270">
        <f>1638+12</f>
        <v>1650</v>
      </c>
      <c r="K601" s="223">
        <f>VLOOKUP(H601,名称!A:C,2,0)</f>
        <v>5</v>
      </c>
      <c r="L601" s="212">
        <f t="shared" si="111"/>
        <v>8250</v>
      </c>
      <c r="M601" s="211">
        <f>VLOOKUP(H601,名称!A:E,3,0)</f>
        <v>75</v>
      </c>
      <c r="N601" s="212">
        <f t="shared" si="110"/>
        <v>22</v>
      </c>
      <c r="O601" s="271">
        <v>46200</v>
      </c>
      <c r="P601" s="256">
        <v>46220</v>
      </c>
      <c r="Q601" s="256">
        <v>46220</v>
      </c>
      <c r="R601" s="241" t="s">
        <v>1241</v>
      </c>
      <c r="S601" s="256" t="s">
        <v>1133</v>
      </c>
      <c r="T601" s="211"/>
      <c r="U601" s="211"/>
      <c r="V601" s="211"/>
      <c r="W601" s="208"/>
      <c r="X601" s="267" t="s">
        <v>1902</v>
      </c>
      <c r="Y601" s="267" t="s">
        <v>1228</v>
      </c>
      <c r="Z601" s="263">
        <v>46163</v>
      </c>
      <c r="AA601" s="264">
        <v>46172</v>
      </c>
      <c r="AB601" s="335">
        <v>46196</v>
      </c>
      <c r="AC601" s="257" t="s">
        <v>1333</v>
      </c>
      <c r="AD601" s="257" t="s">
        <v>1228</v>
      </c>
      <c r="AE601" s="220" t="s">
        <v>510</v>
      </c>
      <c r="AF601" s="257" t="s">
        <v>1228</v>
      </c>
      <c r="AG601" s="257" t="s">
        <v>341</v>
      </c>
      <c r="AH601" s="257" t="s">
        <v>1133</v>
      </c>
      <c r="AI601" s="257" t="s">
        <v>1228</v>
      </c>
      <c r="AJ601" s="257" t="s">
        <v>1133</v>
      </c>
      <c r="AK601" s="257" t="s">
        <v>1133</v>
      </c>
      <c r="AL601" s="257"/>
      <c r="AM601" s="257" t="s">
        <v>1334</v>
      </c>
      <c r="AN601" s="268" t="s">
        <v>1903</v>
      </c>
      <c r="AO601" s="215">
        <v>1.56</v>
      </c>
      <c r="AP601" s="216">
        <f t="shared" si="122"/>
        <v>2574</v>
      </c>
      <c r="AQ601" s="216">
        <f t="shared" si="123"/>
        <v>19948.5</v>
      </c>
      <c r="AR601" s="224">
        <v>61443</v>
      </c>
      <c r="AS601" s="330">
        <v>46233</v>
      </c>
      <c r="AT601" s="208" t="s">
        <v>1310</v>
      </c>
      <c r="AU601" s="253">
        <v>1650</v>
      </c>
      <c r="AV601" s="252">
        <f t="shared" si="125"/>
        <v>0</v>
      </c>
      <c r="AW601" s="222" t="s">
        <v>1228</v>
      </c>
      <c r="AX601" s="256"/>
      <c r="AY601" s="208"/>
      <c r="AZ601" s="208"/>
      <c r="BA601" s="208"/>
      <c r="BB601" s="208" t="str">
        <f t="shared" si="115"/>
        <v>Amazon</v>
      </c>
      <c r="BC601" s="208" t="str">
        <f t="shared" si="114"/>
        <v>美国FBA</v>
      </c>
    </row>
    <row r="602" s="194" customFormat="1" customHeight="1" spans="1:55">
      <c r="A602" s="208">
        <v>46139</v>
      </c>
      <c r="B602" s="208" t="str">
        <f ca="1" t="shared" si="124"/>
        <v/>
      </c>
      <c r="C602" s="211" t="str">
        <f>VLOOKUP(H602,名称!A:E,4,0)</f>
        <v>三代</v>
      </c>
      <c r="D602" s="220" t="s">
        <v>1330</v>
      </c>
      <c r="E602" s="220" t="s">
        <v>1338</v>
      </c>
      <c r="F602" s="220" t="s">
        <v>789</v>
      </c>
      <c r="G602" s="220" t="s">
        <v>790</v>
      </c>
      <c r="H602" s="220" t="s">
        <v>159</v>
      </c>
      <c r="I602" s="211"/>
      <c r="J602" s="270">
        <f>1386-36</f>
        <v>1350</v>
      </c>
      <c r="K602" s="223">
        <f>VLOOKUP(H602,名称!A:C,2,0)</f>
        <v>5</v>
      </c>
      <c r="L602" s="212">
        <f t="shared" si="111"/>
        <v>6750</v>
      </c>
      <c r="M602" s="211">
        <f>VLOOKUP(H602,名称!A:E,3,0)</f>
        <v>75</v>
      </c>
      <c r="N602" s="212">
        <f t="shared" si="110"/>
        <v>18</v>
      </c>
      <c r="O602" s="271">
        <v>46200</v>
      </c>
      <c r="P602" s="256">
        <v>46220</v>
      </c>
      <c r="Q602" s="256">
        <v>46220</v>
      </c>
      <c r="R602" s="241" t="s">
        <v>1241</v>
      </c>
      <c r="S602" s="256" t="s">
        <v>1133</v>
      </c>
      <c r="T602" s="211"/>
      <c r="U602" s="211"/>
      <c r="V602" s="211"/>
      <c r="W602" s="208"/>
      <c r="X602" s="268" t="s">
        <v>1902</v>
      </c>
      <c r="Y602" s="241" t="s">
        <v>1228</v>
      </c>
      <c r="Z602" s="263">
        <v>46163</v>
      </c>
      <c r="AA602" s="264">
        <v>46172</v>
      </c>
      <c r="AB602" s="335">
        <v>46196</v>
      </c>
      <c r="AC602" s="257" t="s">
        <v>1333</v>
      </c>
      <c r="AD602" s="257" t="s">
        <v>1228</v>
      </c>
      <c r="AE602" s="220" t="s">
        <v>510</v>
      </c>
      <c r="AF602" s="257" t="s">
        <v>1228</v>
      </c>
      <c r="AG602" s="257" t="s">
        <v>341</v>
      </c>
      <c r="AH602" s="257" t="s">
        <v>1133</v>
      </c>
      <c r="AI602" s="257" t="s">
        <v>1228</v>
      </c>
      <c r="AJ602" s="257" t="s">
        <v>1133</v>
      </c>
      <c r="AK602" s="257" t="s">
        <v>1133</v>
      </c>
      <c r="AL602" s="257"/>
      <c r="AM602" s="257" t="s">
        <v>1334</v>
      </c>
      <c r="AN602" s="268" t="s">
        <v>1903</v>
      </c>
      <c r="AO602" s="215">
        <v>1.56</v>
      </c>
      <c r="AP602" s="216">
        <f t="shared" si="122"/>
        <v>2106</v>
      </c>
      <c r="AQ602" s="216">
        <f t="shared" si="123"/>
        <v>16321.5</v>
      </c>
      <c r="AR602" s="224">
        <v>61443</v>
      </c>
      <c r="AS602" s="330">
        <v>46233</v>
      </c>
      <c r="AT602" s="208" t="s">
        <v>1310</v>
      </c>
      <c r="AU602" s="253">
        <v>1350</v>
      </c>
      <c r="AV602" s="252">
        <f t="shared" si="125"/>
        <v>0</v>
      </c>
      <c r="AW602" s="222" t="s">
        <v>1228</v>
      </c>
      <c r="AX602" s="256"/>
      <c r="AY602" s="208"/>
      <c r="AZ602" s="208"/>
      <c r="BA602" s="208"/>
      <c r="BB602" s="208" t="str">
        <f t="shared" si="115"/>
        <v>Amazon</v>
      </c>
      <c r="BC602" s="208" t="str">
        <f t="shared" si="114"/>
        <v>美国FBA</v>
      </c>
    </row>
    <row r="603" s="194" customFormat="1" customHeight="1" spans="1:55">
      <c r="A603" s="208">
        <v>46139</v>
      </c>
      <c r="B603" s="208" t="str">
        <f ca="1" t="shared" si="124"/>
        <v/>
      </c>
      <c r="C603" s="211" t="str">
        <f>VLOOKUP(H603,名称!A:E,4,0)</f>
        <v>三代</v>
      </c>
      <c r="D603" s="220" t="s">
        <v>1330</v>
      </c>
      <c r="E603" s="220" t="s">
        <v>1904</v>
      </c>
      <c r="F603" s="220" t="s">
        <v>789</v>
      </c>
      <c r="G603" s="220" t="s">
        <v>790</v>
      </c>
      <c r="H603" s="220" t="s">
        <v>168</v>
      </c>
      <c r="I603" s="211"/>
      <c r="J603" s="270">
        <v>3264</v>
      </c>
      <c r="K603" s="223">
        <f>VLOOKUP(H603,名称!A:C,2,0)</f>
        <v>12</v>
      </c>
      <c r="L603" s="212">
        <f t="shared" si="111"/>
        <v>39168</v>
      </c>
      <c r="M603" s="211">
        <v>6</v>
      </c>
      <c r="N603" s="212">
        <f t="shared" si="110"/>
        <v>544</v>
      </c>
      <c r="O603" s="271">
        <v>46200</v>
      </c>
      <c r="P603" s="256">
        <v>46220</v>
      </c>
      <c r="Q603" s="256">
        <v>46220</v>
      </c>
      <c r="R603" s="241" t="s">
        <v>1241</v>
      </c>
      <c r="S603" s="256" t="s">
        <v>1133</v>
      </c>
      <c r="T603" s="211"/>
      <c r="U603" s="211"/>
      <c r="V603" s="211"/>
      <c r="W603" s="208"/>
      <c r="X603" s="268" t="s">
        <v>1905</v>
      </c>
      <c r="Y603" s="241" t="s">
        <v>1228</v>
      </c>
      <c r="Z603" s="263">
        <v>46163</v>
      </c>
      <c r="AA603" s="264">
        <v>46172</v>
      </c>
      <c r="AB603" s="263">
        <v>46189</v>
      </c>
      <c r="AC603" s="257" t="s">
        <v>1333</v>
      </c>
      <c r="AD603" s="257" t="s">
        <v>1228</v>
      </c>
      <c r="AE603" s="220" t="s">
        <v>510</v>
      </c>
      <c r="AF603" s="257" t="s">
        <v>1228</v>
      </c>
      <c r="AG603" s="257" t="s">
        <v>341</v>
      </c>
      <c r="AH603" s="257" t="s">
        <v>1133</v>
      </c>
      <c r="AI603" s="257" t="s">
        <v>1228</v>
      </c>
      <c r="AJ603" s="257" t="s">
        <v>1133</v>
      </c>
      <c r="AK603" s="257" t="s">
        <v>1133</v>
      </c>
      <c r="AL603" s="257"/>
      <c r="AM603" s="257" t="s">
        <v>1334</v>
      </c>
      <c r="AN603" s="268" t="s">
        <v>1903</v>
      </c>
      <c r="AO603" s="215">
        <v>1.33</v>
      </c>
      <c r="AP603" s="216">
        <f t="shared" si="122"/>
        <v>4341.12</v>
      </c>
      <c r="AQ603" s="216">
        <f t="shared" si="123"/>
        <v>33643.68</v>
      </c>
      <c r="AR603" s="224">
        <v>61443</v>
      </c>
      <c r="AS603" s="330">
        <v>46233</v>
      </c>
      <c r="AT603" s="208" t="s">
        <v>1310</v>
      </c>
      <c r="AU603" s="253"/>
      <c r="AV603" s="252">
        <f t="shared" si="125"/>
        <v>-3264</v>
      </c>
      <c r="AW603" s="222" t="s">
        <v>1228</v>
      </c>
      <c r="AX603" s="256"/>
      <c r="AY603" s="208"/>
      <c r="AZ603" s="208"/>
      <c r="BA603" s="208"/>
      <c r="BB603" s="208" t="str">
        <f t="shared" si="115"/>
        <v>Amazon</v>
      </c>
      <c r="BC603" s="208" t="str">
        <f t="shared" si="114"/>
        <v>美国（FBA）</v>
      </c>
    </row>
    <row r="604" s="194" customFormat="1" customHeight="1" spans="1:55">
      <c r="A604" s="208">
        <v>46139</v>
      </c>
      <c r="B604" s="208" t="str">
        <f ca="1" t="shared" si="124"/>
        <v/>
      </c>
      <c r="C604" s="211" t="str">
        <f>VLOOKUP(H604,名称!A:E,4,0)</f>
        <v>三代</v>
      </c>
      <c r="D604" s="220" t="s">
        <v>1330</v>
      </c>
      <c r="E604" s="220" t="s">
        <v>1904</v>
      </c>
      <c r="F604" s="220" t="s">
        <v>789</v>
      </c>
      <c r="G604" s="220" t="s">
        <v>790</v>
      </c>
      <c r="H604" s="220" t="s">
        <v>169</v>
      </c>
      <c r="I604" s="211"/>
      <c r="J604" s="270">
        <v>3264</v>
      </c>
      <c r="K604" s="223">
        <f>VLOOKUP(H604,名称!A:C,2,0)</f>
        <v>12</v>
      </c>
      <c r="L604" s="212">
        <f t="shared" si="111"/>
        <v>39168</v>
      </c>
      <c r="M604" s="211">
        <v>6</v>
      </c>
      <c r="N604" s="212">
        <f t="shared" si="110"/>
        <v>544</v>
      </c>
      <c r="O604" s="271">
        <v>46200</v>
      </c>
      <c r="P604" s="256">
        <v>46220</v>
      </c>
      <c r="Q604" s="256">
        <v>46220</v>
      </c>
      <c r="R604" s="241" t="s">
        <v>1241</v>
      </c>
      <c r="S604" s="256" t="s">
        <v>1133</v>
      </c>
      <c r="T604" s="211"/>
      <c r="U604" s="211"/>
      <c r="V604" s="211"/>
      <c r="W604" s="208"/>
      <c r="X604" s="267" t="s">
        <v>1905</v>
      </c>
      <c r="Y604" s="257" t="s">
        <v>1233</v>
      </c>
      <c r="Z604" s="263">
        <v>46163</v>
      </c>
      <c r="AA604" s="264">
        <v>46172</v>
      </c>
      <c r="AB604" s="263">
        <v>46189</v>
      </c>
      <c r="AC604" s="257" t="s">
        <v>1333</v>
      </c>
      <c r="AD604" s="257" t="s">
        <v>1228</v>
      </c>
      <c r="AE604" s="220" t="s">
        <v>510</v>
      </c>
      <c r="AF604" s="257" t="s">
        <v>1228</v>
      </c>
      <c r="AG604" s="257" t="s">
        <v>341</v>
      </c>
      <c r="AH604" s="257" t="s">
        <v>1133</v>
      </c>
      <c r="AI604" s="257" t="s">
        <v>1228</v>
      </c>
      <c r="AJ604" s="257" t="s">
        <v>1133</v>
      </c>
      <c r="AK604" s="257" t="s">
        <v>1133</v>
      </c>
      <c r="AL604" s="257"/>
      <c r="AM604" s="257" t="s">
        <v>1334</v>
      </c>
      <c r="AN604" s="268" t="s">
        <v>1903</v>
      </c>
      <c r="AO604" s="215">
        <v>1.33</v>
      </c>
      <c r="AP604" s="216">
        <f t="shared" si="122"/>
        <v>4341.12</v>
      </c>
      <c r="AQ604" s="216">
        <f t="shared" si="123"/>
        <v>33643.68</v>
      </c>
      <c r="AR604" s="224">
        <v>61443</v>
      </c>
      <c r="AS604" s="330">
        <v>46233</v>
      </c>
      <c r="AT604" s="208" t="s">
        <v>1310</v>
      </c>
      <c r="AU604" s="253"/>
      <c r="AV604" s="252">
        <f t="shared" si="125"/>
        <v>-3264</v>
      </c>
      <c r="AW604" s="222" t="s">
        <v>1228</v>
      </c>
      <c r="AX604" s="256"/>
      <c r="AY604" s="208"/>
      <c r="AZ604" s="208"/>
      <c r="BA604" s="208"/>
      <c r="BB604" s="208" t="str">
        <f t="shared" si="115"/>
        <v>Amazon</v>
      </c>
      <c r="BC604" s="208" t="str">
        <f t="shared" si="114"/>
        <v>美国（FBA）</v>
      </c>
    </row>
    <row r="605" s="194" customFormat="1" customHeight="1" spans="1:55">
      <c r="A605" s="208">
        <v>46139</v>
      </c>
      <c r="B605" s="208" t="str">
        <f ca="1" t="shared" si="124"/>
        <v/>
      </c>
      <c r="C605" s="211" t="str">
        <f>VLOOKUP(H605,名称!A:E,4,0)</f>
        <v>三代</v>
      </c>
      <c r="D605" s="220" t="s">
        <v>1330</v>
      </c>
      <c r="E605" s="220" t="s">
        <v>1904</v>
      </c>
      <c r="F605" s="220" t="s">
        <v>789</v>
      </c>
      <c r="G605" s="220" t="s">
        <v>790</v>
      </c>
      <c r="H605" s="220" t="s">
        <v>170</v>
      </c>
      <c r="I605" s="211"/>
      <c r="J605" s="270">
        <v>3264</v>
      </c>
      <c r="K605" s="223">
        <f>VLOOKUP(H605,名称!A:C,2,0)</f>
        <v>12</v>
      </c>
      <c r="L605" s="212">
        <f t="shared" si="111"/>
        <v>39168</v>
      </c>
      <c r="M605" s="211">
        <v>6</v>
      </c>
      <c r="N605" s="212">
        <f t="shared" si="110"/>
        <v>544</v>
      </c>
      <c r="O605" s="271">
        <v>46200</v>
      </c>
      <c r="P605" s="256">
        <v>46220</v>
      </c>
      <c r="Q605" s="256">
        <v>46220</v>
      </c>
      <c r="R605" s="241" t="s">
        <v>1241</v>
      </c>
      <c r="S605" s="256" t="s">
        <v>1133</v>
      </c>
      <c r="T605" s="211"/>
      <c r="U605" s="211"/>
      <c r="V605" s="211"/>
      <c r="W605" s="208"/>
      <c r="X605" s="268" t="s">
        <v>1905</v>
      </c>
      <c r="Y605" s="241" t="s">
        <v>1228</v>
      </c>
      <c r="Z605" s="263">
        <v>46163</v>
      </c>
      <c r="AA605" s="264">
        <v>46172</v>
      </c>
      <c r="AB605" s="263">
        <v>46189</v>
      </c>
      <c r="AC605" s="257" t="s">
        <v>1333</v>
      </c>
      <c r="AD605" s="257" t="s">
        <v>1228</v>
      </c>
      <c r="AE605" s="220" t="s">
        <v>510</v>
      </c>
      <c r="AF605" s="257" t="s">
        <v>1228</v>
      </c>
      <c r="AG605" s="257" t="s">
        <v>341</v>
      </c>
      <c r="AH605" s="257" t="s">
        <v>1133</v>
      </c>
      <c r="AI605" s="257" t="s">
        <v>1233</v>
      </c>
      <c r="AJ605" s="257" t="s">
        <v>1133</v>
      </c>
      <c r="AK605" s="257" t="s">
        <v>1133</v>
      </c>
      <c r="AL605" s="257"/>
      <c r="AM605" s="257" t="s">
        <v>1334</v>
      </c>
      <c r="AN605" s="268" t="s">
        <v>1903</v>
      </c>
      <c r="AO605" s="215">
        <v>1.33</v>
      </c>
      <c r="AP605" s="216">
        <f t="shared" si="122"/>
        <v>4341.12</v>
      </c>
      <c r="AQ605" s="216">
        <f t="shared" si="123"/>
        <v>33643.68</v>
      </c>
      <c r="AR605" s="224">
        <v>61443</v>
      </c>
      <c r="AS605" s="330">
        <v>46233</v>
      </c>
      <c r="AT605" s="208" t="s">
        <v>1310</v>
      </c>
      <c r="AU605" s="253"/>
      <c r="AV605" s="252">
        <f t="shared" si="125"/>
        <v>-3264</v>
      </c>
      <c r="AW605" s="222" t="s">
        <v>1228</v>
      </c>
      <c r="AX605" s="256"/>
      <c r="AY605" s="208"/>
      <c r="AZ605" s="208"/>
      <c r="BA605" s="208"/>
      <c r="BB605" s="208" t="str">
        <f t="shared" si="115"/>
        <v>Amazon</v>
      </c>
      <c r="BC605" s="208" t="str">
        <f t="shared" si="114"/>
        <v>美国（FBA）</v>
      </c>
    </row>
    <row r="606" s="194" customFormat="1" customHeight="1" spans="1:55">
      <c r="A606" s="208">
        <v>46139</v>
      </c>
      <c r="B606" s="208" t="str">
        <f ca="1" t="shared" si="124"/>
        <v/>
      </c>
      <c r="C606" s="211" t="str">
        <f>VLOOKUP(H606,名称!A:E,4,0)</f>
        <v>三代</v>
      </c>
      <c r="D606" s="220" t="s">
        <v>1330</v>
      </c>
      <c r="E606" s="220" t="s">
        <v>1338</v>
      </c>
      <c r="F606" s="220" t="s">
        <v>789</v>
      </c>
      <c r="G606" s="220" t="s">
        <v>790</v>
      </c>
      <c r="H606" s="220" t="s">
        <v>136</v>
      </c>
      <c r="I606" s="211"/>
      <c r="J606" s="270">
        <v>1872</v>
      </c>
      <c r="K606" s="223">
        <f>VLOOKUP(H606,名称!A:C,2,0)</f>
        <v>5</v>
      </c>
      <c r="L606" s="212">
        <f t="shared" si="111"/>
        <v>9360</v>
      </c>
      <c r="M606" s="211">
        <f>VLOOKUP(H606,名称!A:E,3,0)</f>
        <v>144</v>
      </c>
      <c r="N606" s="212">
        <f t="shared" si="110"/>
        <v>13</v>
      </c>
      <c r="O606" s="271">
        <v>46200</v>
      </c>
      <c r="P606" s="256">
        <v>46207</v>
      </c>
      <c r="Q606" s="256">
        <v>46207</v>
      </c>
      <c r="R606" s="334" t="s">
        <v>1241</v>
      </c>
      <c r="S606" s="256" t="s">
        <v>1133</v>
      </c>
      <c r="T606" s="211"/>
      <c r="U606" s="211"/>
      <c r="V606" s="211"/>
      <c r="W606" s="208"/>
      <c r="X606" s="268" t="s">
        <v>1906</v>
      </c>
      <c r="Y606" s="241" t="s">
        <v>1228</v>
      </c>
      <c r="Z606" s="263">
        <v>46163</v>
      </c>
      <c r="AA606" s="264">
        <v>46172</v>
      </c>
      <c r="AB606" s="263">
        <v>46189</v>
      </c>
      <c r="AC606" s="211" t="s">
        <v>1333</v>
      </c>
      <c r="AD606" s="211" t="s">
        <v>1228</v>
      </c>
      <c r="AE606" s="220" t="s">
        <v>510</v>
      </c>
      <c r="AF606" s="257" t="s">
        <v>1228</v>
      </c>
      <c r="AG606" s="257" t="s">
        <v>341</v>
      </c>
      <c r="AH606" s="211" t="s">
        <v>1133</v>
      </c>
      <c r="AI606" s="257" t="s">
        <v>1228</v>
      </c>
      <c r="AJ606" s="257" t="s">
        <v>1133</v>
      </c>
      <c r="AK606" s="257" t="s">
        <v>1133</v>
      </c>
      <c r="AL606" s="211" t="s">
        <v>1233</v>
      </c>
      <c r="AM606" s="257" t="s">
        <v>1334</v>
      </c>
      <c r="AN606" s="268" t="s">
        <v>1903</v>
      </c>
      <c r="AO606" s="215">
        <v>0.63</v>
      </c>
      <c r="AP606" s="216">
        <f t="shared" si="122"/>
        <v>1179.36</v>
      </c>
      <c r="AQ606" s="216">
        <f t="shared" si="123"/>
        <v>9140.04</v>
      </c>
      <c r="AR606" s="224">
        <v>61443</v>
      </c>
      <c r="AS606" s="330">
        <v>46233</v>
      </c>
      <c r="AT606" s="273" t="s">
        <v>1220</v>
      </c>
      <c r="AU606" s="253">
        <v>1872</v>
      </c>
      <c r="AV606" s="252">
        <f t="shared" si="125"/>
        <v>0</v>
      </c>
      <c r="AW606" s="222" t="s">
        <v>1228</v>
      </c>
      <c r="AX606" s="274" t="s">
        <v>1280</v>
      </c>
      <c r="AY606" s="208"/>
      <c r="AZ606" s="208"/>
      <c r="BA606" s="208"/>
      <c r="BB606" s="273" t="str">
        <f t="shared" si="115"/>
        <v>Amazon</v>
      </c>
      <c r="BC606" s="273" t="str">
        <f t="shared" si="114"/>
        <v>美国FBA</v>
      </c>
    </row>
    <row r="607" s="194" customFormat="1" customHeight="1" spans="1:55">
      <c r="A607" s="208">
        <v>46139</v>
      </c>
      <c r="B607" s="208" t="str">
        <f ca="1" t="shared" si="124"/>
        <v/>
      </c>
      <c r="C607" s="211" t="str">
        <f>VLOOKUP(H607,名称!A:E,4,0)</f>
        <v>三代</v>
      </c>
      <c r="D607" s="220" t="s">
        <v>1330</v>
      </c>
      <c r="E607" s="220" t="s">
        <v>1338</v>
      </c>
      <c r="F607" s="220" t="s">
        <v>789</v>
      </c>
      <c r="G607" s="220" t="s">
        <v>790</v>
      </c>
      <c r="H607" s="220" t="s">
        <v>141</v>
      </c>
      <c r="I607" s="211"/>
      <c r="J607" s="270">
        <v>1440</v>
      </c>
      <c r="K607" s="223">
        <f>VLOOKUP(H607,名称!A:C,2,0)</f>
        <v>5</v>
      </c>
      <c r="L607" s="212">
        <f t="shared" si="111"/>
        <v>7200</v>
      </c>
      <c r="M607" s="211">
        <f>VLOOKUP(H607,名称!A:E,3,0)</f>
        <v>144</v>
      </c>
      <c r="N607" s="212">
        <f t="shared" si="110"/>
        <v>10</v>
      </c>
      <c r="O607" s="271">
        <v>46200</v>
      </c>
      <c r="P607" s="256">
        <v>46216</v>
      </c>
      <c r="Q607" s="256">
        <v>46216</v>
      </c>
      <c r="R607" s="334" t="s">
        <v>1241</v>
      </c>
      <c r="S607" s="256" t="s">
        <v>1133</v>
      </c>
      <c r="T607" s="211"/>
      <c r="U607" s="211"/>
      <c r="V607" s="211"/>
      <c r="W607" s="208"/>
      <c r="X607" s="267" t="s">
        <v>1906</v>
      </c>
      <c r="Y607" s="267" t="s">
        <v>1228</v>
      </c>
      <c r="Z607" s="263">
        <v>46163</v>
      </c>
      <c r="AA607" s="264">
        <v>46172</v>
      </c>
      <c r="AB607" s="263">
        <v>46189</v>
      </c>
      <c r="AC607" s="257" t="s">
        <v>1333</v>
      </c>
      <c r="AD607" s="257" t="s">
        <v>1228</v>
      </c>
      <c r="AE607" s="220" t="s">
        <v>510</v>
      </c>
      <c r="AF607" s="257" t="s">
        <v>1228</v>
      </c>
      <c r="AG607" s="257" t="s">
        <v>341</v>
      </c>
      <c r="AH607" s="257" t="s">
        <v>1133</v>
      </c>
      <c r="AI607" s="257" t="s">
        <v>1228</v>
      </c>
      <c r="AJ607" s="257" t="s">
        <v>1133</v>
      </c>
      <c r="AK607" s="257" t="s">
        <v>1133</v>
      </c>
      <c r="AL607" s="257" t="s">
        <v>1233</v>
      </c>
      <c r="AM607" s="257" t="s">
        <v>1334</v>
      </c>
      <c r="AN607" s="268" t="s">
        <v>1903</v>
      </c>
      <c r="AO607" s="215">
        <v>0.63</v>
      </c>
      <c r="AP607" s="216">
        <f t="shared" si="122"/>
        <v>907.2</v>
      </c>
      <c r="AQ607" s="216">
        <f t="shared" si="123"/>
        <v>7030.8</v>
      </c>
      <c r="AR607" s="224">
        <v>61443</v>
      </c>
      <c r="AS607" s="330">
        <v>46233</v>
      </c>
      <c r="AT607" s="273" t="s">
        <v>1220</v>
      </c>
      <c r="AU607" s="253">
        <v>1440</v>
      </c>
      <c r="AV607" s="252">
        <f t="shared" si="125"/>
        <v>0</v>
      </c>
      <c r="AW607" s="333" t="s">
        <v>1228</v>
      </c>
      <c r="AX607" s="274" t="s">
        <v>1280</v>
      </c>
      <c r="AY607" s="208"/>
      <c r="AZ607" s="208"/>
      <c r="BA607" s="208"/>
      <c r="BB607" s="273" t="str">
        <f t="shared" si="115"/>
        <v>Amazon</v>
      </c>
      <c r="BC607" s="273" t="str">
        <f t="shared" si="114"/>
        <v>美国FBA</v>
      </c>
    </row>
    <row r="608" s="194" customFormat="1" customHeight="1" spans="1:55">
      <c r="A608" s="208">
        <v>46139</v>
      </c>
      <c r="B608" s="208" t="str">
        <f ca="1" t="shared" si="124"/>
        <v/>
      </c>
      <c r="C608" s="211" t="str">
        <f>VLOOKUP(H608,名称!A:E,4,0)</f>
        <v>三代</v>
      </c>
      <c r="D608" s="220" t="s">
        <v>1330</v>
      </c>
      <c r="E608" s="220" t="s">
        <v>1338</v>
      </c>
      <c r="F608" s="220" t="s">
        <v>789</v>
      </c>
      <c r="G608" s="220" t="s">
        <v>790</v>
      </c>
      <c r="H608" s="220" t="s">
        <v>142</v>
      </c>
      <c r="I608" s="211"/>
      <c r="J608" s="270">
        <v>10968</v>
      </c>
      <c r="K608" s="223">
        <f>VLOOKUP(H608,名称!A:C,2,0)</f>
        <v>12</v>
      </c>
      <c r="L608" s="212">
        <f t="shared" si="111"/>
        <v>131616</v>
      </c>
      <c r="M608" s="211">
        <f>VLOOKUP(H608,名称!A:E,3,0)</f>
        <v>24</v>
      </c>
      <c r="N608" s="212">
        <f t="shared" si="110"/>
        <v>457</v>
      </c>
      <c r="O608" s="271">
        <v>46200</v>
      </c>
      <c r="P608" s="256">
        <v>46219</v>
      </c>
      <c r="Q608" s="256">
        <v>46219</v>
      </c>
      <c r="R608" s="334" t="s">
        <v>1331</v>
      </c>
      <c r="S608" s="256" t="s">
        <v>1133</v>
      </c>
      <c r="T608" s="211"/>
      <c r="U608" s="211"/>
      <c r="V608" s="211"/>
      <c r="W608" s="208"/>
      <c r="X608" s="257" t="s">
        <v>1332</v>
      </c>
      <c r="Y608" s="257" t="s">
        <v>1233</v>
      </c>
      <c r="Z608" s="263">
        <v>46163</v>
      </c>
      <c r="AA608" s="264">
        <v>46172</v>
      </c>
      <c r="AB608" s="263">
        <v>46189</v>
      </c>
      <c r="AC608" s="257" t="s">
        <v>1333</v>
      </c>
      <c r="AD608" s="257" t="s">
        <v>1228</v>
      </c>
      <c r="AE608" s="220" t="s">
        <v>510</v>
      </c>
      <c r="AF608" s="257" t="s">
        <v>1228</v>
      </c>
      <c r="AG608" s="257" t="s">
        <v>341</v>
      </c>
      <c r="AH608" s="257" t="s">
        <v>1133</v>
      </c>
      <c r="AI608" s="257" t="s">
        <v>1228</v>
      </c>
      <c r="AJ608" s="257" t="s">
        <v>510</v>
      </c>
      <c r="AK608" s="257" t="s">
        <v>1133</v>
      </c>
      <c r="AL608" s="257"/>
      <c r="AM608" s="257" t="s">
        <v>1334</v>
      </c>
      <c r="AN608" s="220"/>
      <c r="AO608" s="215">
        <v>1.65</v>
      </c>
      <c r="AP608" s="216">
        <f t="shared" si="122"/>
        <v>18097.2</v>
      </c>
      <c r="AQ608" s="216">
        <f t="shared" si="123"/>
        <v>140253.3</v>
      </c>
      <c r="AR608" s="224">
        <v>61443</v>
      </c>
      <c r="AS608" s="330">
        <v>46233</v>
      </c>
      <c r="AT608" s="273" t="s">
        <v>1220</v>
      </c>
      <c r="AU608" s="253">
        <f>7080+3888</f>
        <v>10968</v>
      </c>
      <c r="AV608" s="252">
        <f t="shared" si="125"/>
        <v>0</v>
      </c>
      <c r="AW608" s="336" t="s">
        <v>1228</v>
      </c>
      <c r="AX608" s="274" t="s">
        <v>1280</v>
      </c>
      <c r="AY608" s="208"/>
      <c r="AZ608" s="208"/>
      <c r="BA608" s="208"/>
      <c r="BB608" s="273" t="str">
        <f t="shared" si="115"/>
        <v>Amazon</v>
      </c>
      <c r="BC608" s="273" t="str">
        <f t="shared" si="114"/>
        <v>美国FBA</v>
      </c>
    </row>
    <row r="609" s="194" customFormat="1" customHeight="1" spans="1:55">
      <c r="A609" s="208">
        <v>46135</v>
      </c>
      <c r="B609" s="208" t="str">
        <f ca="1" t="shared" si="124"/>
        <v/>
      </c>
      <c r="C609" s="211" t="str">
        <f>VLOOKUP(H609,名称!A:E,4,0)</f>
        <v>蛋糕</v>
      </c>
      <c r="D609" s="220" t="s">
        <v>1502</v>
      </c>
      <c r="E609" s="220" t="s">
        <v>1224</v>
      </c>
      <c r="F609" s="220" t="s">
        <v>761</v>
      </c>
      <c r="G609" s="220" t="s">
        <v>762</v>
      </c>
      <c r="H609" s="220" t="s">
        <v>50</v>
      </c>
      <c r="I609" s="211"/>
      <c r="J609" s="270">
        <v>4662</v>
      </c>
      <c r="K609" s="223">
        <f>VLOOKUP(H609,名称!A:C,2,0)</f>
        <v>0</v>
      </c>
      <c r="L609" s="212">
        <f t="shared" si="111"/>
        <v>0</v>
      </c>
      <c r="M609" s="211">
        <f>VLOOKUP(H609,名称!A:E,3,0)</f>
        <v>18</v>
      </c>
      <c r="N609" s="212">
        <f t="shared" si="110"/>
        <v>259</v>
      </c>
      <c r="O609" s="271">
        <v>46208</v>
      </c>
      <c r="P609" s="208">
        <v>46209</v>
      </c>
      <c r="Q609" s="208">
        <v>46209</v>
      </c>
      <c r="R609" s="241" t="s">
        <v>1241</v>
      </c>
      <c r="S609" s="274" t="s">
        <v>1133</v>
      </c>
      <c r="T609" s="211"/>
      <c r="U609" s="211"/>
      <c r="V609" s="213">
        <v>46228</v>
      </c>
      <c r="W609" s="208"/>
      <c r="X609" s="220" t="s">
        <v>1332</v>
      </c>
      <c r="Y609" s="211" t="s">
        <v>1228</v>
      </c>
      <c r="Z609" s="211" t="s">
        <v>1503</v>
      </c>
      <c r="AA609" s="214">
        <v>46135</v>
      </c>
      <c r="AB609" s="214">
        <v>46135</v>
      </c>
      <c r="AC609" s="211" t="s">
        <v>1133</v>
      </c>
      <c r="AD609" s="211" t="s">
        <v>1133</v>
      </c>
      <c r="AE609" s="220" t="s">
        <v>510</v>
      </c>
      <c r="AF609" s="211" t="s">
        <v>1228</v>
      </c>
      <c r="AG609" s="220" t="s">
        <v>510</v>
      </c>
      <c r="AH609" s="211" t="s">
        <v>1133</v>
      </c>
      <c r="AI609" s="211" t="s">
        <v>1228</v>
      </c>
      <c r="AJ609" s="211" t="s">
        <v>1133</v>
      </c>
      <c r="AK609" s="211" t="s">
        <v>1228</v>
      </c>
      <c r="AL609" s="211"/>
      <c r="AM609" s="257" t="s">
        <v>1506</v>
      </c>
      <c r="AN609" s="212" t="s">
        <v>1504</v>
      </c>
      <c r="AO609" s="215">
        <v>1.08</v>
      </c>
      <c r="AP609" s="216">
        <f t="shared" si="122"/>
        <v>5034.96</v>
      </c>
      <c r="AQ609" s="216">
        <f t="shared" si="123"/>
        <v>39020.94</v>
      </c>
      <c r="AR609" s="224">
        <v>61444</v>
      </c>
      <c r="AS609" s="330">
        <v>46233</v>
      </c>
      <c r="AT609" s="208" t="s">
        <v>1220</v>
      </c>
      <c r="AU609" s="208"/>
      <c r="AV609" s="208"/>
      <c r="AW609" s="208"/>
      <c r="AX609" s="208"/>
      <c r="AY609" s="208"/>
      <c r="AZ609" s="208"/>
      <c r="BA609" s="208"/>
      <c r="BB609" s="208" t="str">
        <f t="shared" si="115"/>
        <v>Target Corporation</v>
      </c>
      <c r="BC609" s="208" t="str">
        <f t="shared" si="114"/>
        <v>美国</v>
      </c>
    </row>
    <row r="610" s="194" customFormat="1" customHeight="1" spans="1:55">
      <c r="A610" s="208">
        <v>46150</v>
      </c>
      <c r="B610" s="208" t="str">
        <f ca="1" t="shared" si="124"/>
        <v/>
      </c>
      <c r="C610" s="211" t="str">
        <f>VLOOKUP(H610,名称!A:E,4,0)</f>
        <v>三代</v>
      </c>
      <c r="D610" s="220" t="s">
        <v>1420</v>
      </c>
      <c r="E610" s="220" t="s">
        <v>1421</v>
      </c>
      <c r="F610" s="220" t="s">
        <v>827</v>
      </c>
      <c r="G610" s="220" t="s">
        <v>828</v>
      </c>
      <c r="H610" s="220" t="s">
        <v>109</v>
      </c>
      <c r="I610" s="211"/>
      <c r="J610" s="270">
        <v>13200</v>
      </c>
      <c r="K610" s="223">
        <f>VLOOKUP(H610,名称!A:C,2,0)</f>
        <v>0</v>
      </c>
      <c r="L610" s="212">
        <f t="shared" si="111"/>
        <v>0</v>
      </c>
      <c r="M610" s="211">
        <f>VLOOKUP(H610,名称!A:E,3,0)</f>
        <v>24</v>
      </c>
      <c r="N610" s="212">
        <f t="shared" si="110"/>
        <v>550</v>
      </c>
      <c r="O610" s="271">
        <v>46203</v>
      </c>
      <c r="P610" s="271">
        <f t="shared" ref="P610:P613" si="126">O610</f>
        <v>46203</v>
      </c>
      <c r="Q610" s="208">
        <v>46223</v>
      </c>
      <c r="R610" s="241" t="s">
        <v>1241</v>
      </c>
      <c r="S610" s="208" t="s">
        <v>1133</v>
      </c>
      <c r="T610" s="211"/>
      <c r="U610" s="211"/>
      <c r="V610" s="213">
        <v>46227</v>
      </c>
      <c r="W610" s="208"/>
      <c r="X610" s="257" t="s">
        <v>1248</v>
      </c>
      <c r="Y610" s="257" t="s">
        <v>1228</v>
      </c>
      <c r="Z610" s="211" t="s">
        <v>1249</v>
      </c>
      <c r="AA610" s="214">
        <v>46158</v>
      </c>
      <c r="AB610" s="213">
        <v>46161</v>
      </c>
      <c r="AC610" s="257" t="s">
        <v>1133</v>
      </c>
      <c r="AD610" s="257" t="s">
        <v>1133</v>
      </c>
      <c r="AE610" s="220" t="s">
        <v>510</v>
      </c>
      <c r="AF610" s="257" t="s">
        <v>1228</v>
      </c>
      <c r="AG610" s="257" t="s">
        <v>510</v>
      </c>
      <c r="AH610" s="257" t="s">
        <v>1133</v>
      </c>
      <c r="AI610" s="257" t="s">
        <v>1228</v>
      </c>
      <c r="AJ610" s="257" t="s">
        <v>1133</v>
      </c>
      <c r="AK610" s="257" t="s">
        <v>510</v>
      </c>
      <c r="AL610" s="257"/>
      <c r="AM610" s="257" t="s">
        <v>1506</v>
      </c>
      <c r="AN610" s="220" t="s">
        <v>1251</v>
      </c>
      <c r="AO610" s="215">
        <v>0.59</v>
      </c>
      <c r="AP610" s="216">
        <f t="shared" si="122"/>
        <v>7788</v>
      </c>
      <c r="AQ610" s="216">
        <f t="shared" si="123"/>
        <v>60357</v>
      </c>
      <c r="AR610" s="224">
        <v>61445</v>
      </c>
      <c r="AS610" s="330">
        <v>46233</v>
      </c>
      <c r="AT610" s="208" t="s">
        <v>1220</v>
      </c>
      <c r="AU610" s="252"/>
      <c r="AV610" s="252">
        <f t="shared" ref="AV610:AV614" si="127">AU610-J610</f>
        <v>-13200</v>
      </c>
      <c r="AW610" s="331"/>
      <c r="AX610" s="256"/>
      <c r="AY610" s="208"/>
      <c r="AZ610" s="208"/>
      <c r="BA610" s="208"/>
      <c r="BB610" s="208" t="str">
        <f t="shared" si="115"/>
        <v>Banter Toys</v>
      </c>
      <c r="BC610" s="208" t="str">
        <f t="shared" si="114"/>
        <v>澳大利亚</v>
      </c>
    </row>
    <row r="611" s="194" customFormat="1" customHeight="1" spans="1:55">
      <c r="A611" s="208">
        <v>46150</v>
      </c>
      <c r="B611" s="208" t="str">
        <f ca="1" t="shared" si="124"/>
        <v/>
      </c>
      <c r="C611" s="211" t="str">
        <f>VLOOKUP(H611,名称!A:E,4,0)</f>
        <v>三代</v>
      </c>
      <c r="D611" s="220" t="s">
        <v>1420</v>
      </c>
      <c r="E611" s="220" t="s">
        <v>1421</v>
      </c>
      <c r="F611" s="220" t="s">
        <v>827</v>
      </c>
      <c r="G611" s="220" t="s">
        <v>828</v>
      </c>
      <c r="H611" s="220" t="s">
        <v>99</v>
      </c>
      <c r="I611" s="211"/>
      <c r="J611" s="270">
        <v>15600</v>
      </c>
      <c r="K611" s="223">
        <f>VLOOKUP(H611,名称!A:C,2,0)</f>
        <v>7</v>
      </c>
      <c r="L611" s="212">
        <f t="shared" si="111"/>
        <v>109200</v>
      </c>
      <c r="M611" s="211">
        <f>VLOOKUP(H611,名称!A:E,3,0)</f>
        <v>24</v>
      </c>
      <c r="N611" s="212">
        <f t="shared" si="110"/>
        <v>650</v>
      </c>
      <c r="O611" s="271">
        <v>46203</v>
      </c>
      <c r="P611" s="271">
        <f t="shared" si="126"/>
        <v>46203</v>
      </c>
      <c r="Q611" s="256">
        <v>46223</v>
      </c>
      <c r="R611" s="241" t="s">
        <v>1241</v>
      </c>
      <c r="S611" s="208" t="s">
        <v>1133</v>
      </c>
      <c r="T611" s="211"/>
      <c r="U611" s="211"/>
      <c r="V611" s="263">
        <v>46227</v>
      </c>
      <c r="W611" s="208"/>
      <c r="X611" s="257" t="s">
        <v>1248</v>
      </c>
      <c r="Y611" s="257" t="s">
        <v>1228</v>
      </c>
      <c r="Z611" s="211" t="s">
        <v>1249</v>
      </c>
      <c r="AA611" s="214">
        <v>46158</v>
      </c>
      <c r="AB611" s="213">
        <v>46161</v>
      </c>
      <c r="AC611" s="257" t="s">
        <v>1284</v>
      </c>
      <c r="AD611" s="257" t="s">
        <v>1228</v>
      </c>
      <c r="AE611" s="220" t="s">
        <v>510</v>
      </c>
      <c r="AF611" s="257" t="s">
        <v>1228</v>
      </c>
      <c r="AG611" s="257" t="s">
        <v>510</v>
      </c>
      <c r="AH611" s="257" t="s">
        <v>1307</v>
      </c>
      <c r="AI611" s="257" t="s">
        <v>1228</v>
      </c>
      <c r="AJ611" s="257" t="s">
        <v>1133</v>
      </c>
      <c r="AK611" s="257" t="s">
        <v>1133</v>
      </c>
      <c r="AL611" s="257" t="s">
        <v>1228</v>
      </c>
      <c r="AM611" s="257" t="s">
        <v>1506</v>
      </c>
      <c r="AN611" s="220" t="s">
        <v>1251</v>
      </c>
      <c r="AO611" s="215">
        <v>0.87</v>
      </c>
      <c r="AP611" s="216">
        <f t="shared" si="122"/>
        <v>13572</v>
      </c>
      <c r="AQ611" s="216">
        <f t="shared" si="123"/>
        <v>105183</v>
      </c>
      <c r="AR611" s="224">
        <v>61445</v>
      </c>
      <c r="AS611" s="330">
        <v>46233</v>
      </c>
      <c r="AT611" s="208" t="s">
        <v>1220</v>
      </c>
      <c r="AU611" s="252">
        <f>10800+4800</f>
        <v>15600</v>
      </c>
      <c r="AV611" s="252">
        <f t="shared" si="127"/>
        <v>0</v>
      </c>
      <c r="AW611" s="331"/>
      <c r="AX611" s="256" t="s">
        <v>1280</v>
      </c>
      <c r="AY611" s="208"/>
      <c r="AZ611" s="208"/>
      <c r="BA611" s="208"/>
      <c r="BB611" s="208" t="str">
        <f t="shared" si="115"/>
        <v>Banter Toys</v>
      </c>
      <c r="BC611" s="208" t="str">
        <f t="shared" si="114"/>
        <v>澳大利亚</v>
      </c>
    </row>
    <row r="612" s="194" customFormat="1" customHeight="1" spans="1:55">
      <c r="A612" s="208">
        <v>46150</v>
      </c>
      <c r="B612" s="208" t="str">
        <f ca="1" t="shared" si="124"/>
        <v/>
      </c>
      <c r="C612" s="211" t="str">
        <f>VLOOKUP(H612,名称!A:E,4,0)</f>
        <v>三代</v>
      </c>
      <c r="D612" s="220" t="s">
        <v>1420</v>
      </c>
      <c r="E612" s="220" t="s">
        <v>1421</v>
      </c>
      <c r="F612" s="220" t="s">
        <v>827</v>
      </c>
      <c r="G612" s="220" t="s">
        <v>828</v>
      </c>
      <c r="H612" s="220" t="s">
        <v>66</v>
      </c>
      <c r="I612" s="211"/>
      <c r="J612" s="270">
        <v>5100</v>
      </c>
      <c r="K612" s="223">
        <f>VLOOKUP(H612,名称!A:C,2,0)</f>
        <v>12</v>
      </c>
      <c r="L612" s="212">
        <f t="shared" si="111"/>
        <v>61200</v>
      </c>
      <c r="M612" s="211">
        <f>VLOOKUP(H612,名称!A:E,3,0)</f>
        <v>6</v>
      </c>
      <c r="N612" s="212">
        <f t="shared" si="110"/>
        <v>850</v>
      </c>
      <c r="O612" s="271">
        <v>46203</v>
      </c>
      <c r="P612" s="271">
        <f t="shared" si="126"/>
        <v>46203</v>
      </c>
      <c r="Q612" s="256">
        <v>46223</v>
      </c>
      <c r="R612" s="267" t="s">
        <v>1241</v>
      </c>
      <c r="S612" s="208" t="s">
        <v>1133</v>
      </c>
      <c r="T612" s="211"/>
      <c r="U612" s="211"/>
      <c r="V612" s="263">
        <v>46227</v>
      </c>
      <c r="W612" s="208"/>
      <c r="X612" s="257" t="s">
        <v>1248</v>
      </c>
      <c r="Y612" s="257" t="s">
        <v>1228</v>
      </c>
      <c r="Z612" s="211" t="s">
        <v>1249</v>
      </c>
      <c r="AA612" s="214">
        <v>46158</v>
      </c>
      <c r="AB612" s="213">
        <v>46161</v>
      </c>
      <c r="AC612" s="257" t="s">
        <v>1318</v>
      </c>
      <c r="AD612" s="257" t="s">
        <v>1228</v>
      </c>
      <c r="AE612" s="220" t="s">
        <v>510</v>
      </c>
      <c r="AF612" s="257" t="s">
        <v>1228</v>
      </c>
      <c r="AG612" s="257" t="s">
        <v>510</v>
      </c>
      <c r="AH612" s="257" t="s">
        <v>1307</v>
      </c>
      <c r="AI612" s="257" t="s">
        <v>1228</v>
      </c>
      <c r="AJ612" s="257" t="s">
        <v>510</v>
      </c>
      <c r="AK612" s="257" t="s">
        <v>1133</v>
      </c>
      <c r="AL612" s="257"/>
      <c r="AM612" s="257" t="s">
        <v>1506</v>
      </c>
      <c r="AN612" s="220" t="s">
        <v>1251</v>
      </c>
      <c r="AO612" s="215">
        <v>2.02</v>
      </c>
      <c r="AP612" s="216">
        <f t="shared" si="122"/>
        <v>10302</v>
      </c>
      <c r="AQ612" s="216">
        <f t="shared" si="123"/>
        <v>79840.5</v>
      </c>
      <c r="AR612" s="224">
        <v>61445</v>
      </c>
      <c r="AS612" s="330">
        <v>46233</v>
      </c>
      <c r="AT612" s="208" t="s">
        <v>1220</v>
      </c>
      <c r="AU612" s="252">
        <v>5100</v>
      </c>
      <c r="AV612" s="252">
        <f t="shared" si="127"/>
        <v>0</v>
      </c>
      <c r="AW612" s="331"/>
      <c r="AX612" s="257" t="s">
        <v>1280</v>
      </c>
      <c r="AY612" s="208"/>
      <c r="AZ612" s="208"/>
      <c r="BA612" s="208"/>
      <c r="BB612" s="208" t="str">
        <f t="shared" si="115"/>
        <v>Banter Toys</v>
      </c>
      <c r="BC612" s="208" t="str">
        <f t="shared" si="114"/>
        <v>澳大利亚</v>
      </c>
    </row>
    <row r="613" s="194" customFormat="1" customHeight="1" spans="1:55">
      <c r="A613" s="208">
        <v>46150</v>
      </c>
      <c r="B613" s="208" t="str">
        <f ca="1" t="shared" si="124"/>
        <v/>
      </c>
      <c r="C613" s="211" t="str">
        <f>VLOOKUP(H613,名称!A:E,4,0)</f>
        <v>三代</v>
      </c>
      <c r="D613" s="220" t="s">
        <v>1420</v>
      </c>
      <c r="E613" s="220" t="s">
        <v>1421</v>
      </c>
      <c r="F613" s="220" t="s">
        <v>827</v>
      </c>
      <c r="G613" s="220" t="s">
        <v>828</v>
      </c>
      <c r="H613" s="220" t="s">
        <v>68</v>
      </c>
      <c r="I613" s="211"/>
      <c r="J613" s="270">
        <v>1700</v>
      </c>
      <c r="K613" s="223">
        <f>VLOOKUP(H613,名称!A:C,2,0)</f>
        <v>32</v>
      </c>
      <c r="L613" s="212">
        <f t="shared" si="111"/>
        <v>54400</v>
      </c>
      <c r="M613" s="211">
        <f>VLOOKUP(H613,名称!A:E,3,0)</f>
        <v>4</v>
      </c>
      <c r="N613" s="212">
        <f t="shared" si="110"/>
        <v>425</v>
      </c>
      <c r="O613" s="271">
        <v>46203</v>
      </c>
      <c r="P613" s="271">
        <f t="shared" si="126"/>
        <v>46203</v>
      </c>
      <c r="Q613" s="256">
        <v>46223</v>
      </c>
      <c r="R613" s="267" t="s">
        <v>1241</v>
      </c>
      <c r="S613" s="208" t="s">
        <v>1133</v>
      </c>
      <c r="T613" s="211"/>
      <c r="U613" s="211"/>
      <c r="V613" s="263">
        <v>46227</v>
      </c>
      <c r="W613" s="208"/>
      <c r="X613" s="257" t="s">
        <v>1248</v>
      </c>
      <c r="Y613" s="257" t="s">
        <v>1228</v>
      </c>
      <c r="Z613" s="211" t="s">
        <v>1249</v>
      </c>
      <c r="AA613" s="214">
        <v>46158</v>
      </c>
      <c r="AB613" s="213">
        <v>46161</v>
      </c>
      <c r="AC613" s="257" t="s">
        <v>1133</v>
      </c>
      <c r="AD613" s="257" t="s">
        <v>1133</v>
      </c>
      <c r="AE613" s="220" t="s">
        <v>510</v>
      </c>
      <c r="AF613" s="257" t="s">
        <v>1228</v>
      </c>
      <c r="AG613" s="257" t="s">
        <v>510</v>
      </c>
      <c r="AH613" s="257" t="s">
        <v>1307</v>
      </c>
      <c r="AI613" s="257" t="s">
        <v>1228</v>
      </c>
      <c r="AJ613" s="257" t="s">
        <v>1133</v>
      </c>
      <c r="AK613" s="257" t="s">
        <v>1133</v>
      </c>
      <c r="AL613" s="257"/>
      <c r="AM613" s="257" t="s">
        <v>1506</v>
      </c>
      <c r="AN613" s="220" t="s">
        <v>1251</v>
      </c>
      <c r="AO613" s="215">
        <v>3.09</v>
      </c>
      <c r="AP613" s="216">
        <f t="shared" si="122"/>
        <v>5253</v>
      </c>
      <c r="AQ613" s="216">
        <f t="shared" si="123"/>
        <v>40710.75</v>
      </c>
      <c r="AR613" s="224" t="s">
        <v>1907</v>
      </c>
      <c r="AS613" s="330">
        <v>46233</v>
      </c>
      <c r="AT613" s="208" t="s">
        <v>1220</v>
      </c>
      <c r="AU613" s="252">
        <v>1700</v>
      </c>
      <c r="AV613" s="252">
        <f t="shared" si="127"/>
        <v>0</v>
      </c>
      <c r="AW613" s="331"/>
      <c r="AX613" s="256" t="s">
        <v>1280</v>
      </c>
      <c r="AY613" s="208"/>
      <c r="AZ613" s="208"/>
      <c r="BA613" s="208"/>
      <c r="BB613" s="208" t="str">
        <f t="shared" si="115"/>
        <v>Banter Toys</v>
      </c>
      <c r="BC613" s="208" t="str">
        <f t="shared" si="114"/>
        <v>澳大利亚</v>
      </c>
    </row>
    <row r="614" s="194" customFormat="1" customHeight="1" spans="1:55">
      <c r="A614" s="208">
        <v>46150</v>
      </c>
      <c r="B614" s="208" t="str">
        <f ca="1" t="shared" si="124"/>
        <v/>
      </c>
      <c r="C614" s="211" t="str">
        <f>VLOOKUP(H614,名称!A:E,4,0)</f>
        <v>三代</v>
      </c>
      <c r="D614" s="220" t="s">
        <v>1420</v>
      </c>
      <c r="E614" s="220" t="s">
        <v>1421</v>
      </c>
      <c r="F614" s="220" t="s">
        <v>827</v>
      </c>
      <c r="G614" s="220" t="s">
        <v>828</v>
      </c>
      <c r="H614" s="220" t="s">
        <v>85</v>
      </c>
      <c r="I614" s="211"/>
      <c r="J614" s="270">
        <v>12000</v>
      </c>
      <c r="K614" s="223">
        <f>VLOOKUP(H614,名称!A:C,2,0)</f>
        <v>5</v>
      </c>
      <c r="L614" s="212">
        <f t="shared" si="111"/>
        <v>60000</v>
      </c>
      <c r="M614" s="211">
        <f>VLOOKUP(H614,名称!A:E,3,0)</f>
        <v>24</v>
      </c>
      <c r="N614" s="212">
        <f t="shared" si="110"/>
        <v>500</v>
      </c>
      <c r="O614" s="271">
        <v>46203</v>
      </c>
      <c r="P614" s="271">
        <v>46219</v>
      </c>
      <c r="Q614" s="256">
        <v>46226</v>
      </c>
      <c r="R614" s="211"/>
      <c r="S614" s="208" t="s">
        <v>1133</v>
      </c>
      <c r="T614" s="211"/>
      <c r="U614" s="211"/>
      <c r="V614" s="213">
        <v>46227</v>
      </c>
      <c r="W614" s="208"/>
      <c r="X614" s="257" t="s">
        <v>1248</v>
      </c>
      <c r="Y614" s="257" t="s">
        <v>1228</v>
      </c>
      <c r="Z614" s="211" t="s">
        <v>1249</v>
      </c>
      <c r="AA614" s="214">
        <v>46158</v>
      </c>
      <c r="AB614" s="214">
        <v>46161</v>
      </c>
      <c r="AC614" s="257" t="s">
        <v>1133</v>
      </c>
      <c r="AD614" s="257" t="s">
        <v>1133</v>
      </c>
      <c r="AE614" s="220" t="s">
        <v>510</v>
      </c>
      <c r="AF614" s="257" t="s">
        <v>1228</v>
      </c>
      <c r="AG614" s="257" t="s">
        <v>510</v>
      </c>
      <c r="AH614" s="257" t="s">
        <v>1133</v>
      </c>
      <c r="AI614" s="257" t="s">
        <v>1228</v>
      </c>
      <c r="AJ614" s="257" t="s">
        <v>1133</v>
      </c>
      <c r="AK614" s="257" t="s">
        <v>510</v>
      </c>
      <c r="AL614" s="257"/>
      <c r="AM614" s="257" t="s">
        <v>1506</v>
      </c>
      <c r="AN614" s="220" t="s">
        <v>1395</v>
      </c>
      <c r="AO614" s="215">
        <v>0.88</v>
      </c>
      <c r="AP614" s="216">
        <f t="shared" si="122"/>
        <v>10560</v>
      </c>
      <c r="AQ614" s="216">
        <f t="shared" si="123"/>
        <v>81840</v>
      </c>
      <c r="AR614" s="224">
        <v>61445</v>
      </c>
      <c r="AS614" s="330">
        <v>46233</v>
      </c>
      <c r="AT614" s="208" t="s">
        <v>1220</v>
      </c>
      <c r="AU614" s="252"/>
      <c r="AV614" s="252">
        <f t="shared" si="127"/>
        <v>-12000</v>
      </c>
      <c r="AW614" s="331"/>
      <c r="AX614" s="257" t="s">
        <v>1280</v>
      </c>
      <c r="AY614" s="208"/>
      <c r="AZ614" s="208"/>
      <c r="BA614" s="208"/>
      <c r="BB614" s="208" t="str">
        <f t="shared" si="115"/>
        <v>Banter Toys</v>
      </c>
      <c r="BC614" s="208" t="str">
        <f t="shared" si="114"/>
        <v>澳大利亚</v>
      </c>
    </row>
    <row r="615" s="194" customFormat="1" customHeight="1" spans="1:55">
      <c r="A615" s="208">
        <v>46161</v>
      </c>
      <c r="B615" s="208" t="str">
        <f ca="1" t="shared" si="124"/>
        <v/>
      </c>
      <c r="C615" s="211" t="str">
        <f>VLOOKUP(H615,名称!A:E,4,0)</f>
        <v>蛋糕</v>
      </c>
      <c r="D615" s="210" t="s">
        <v>1387</v>
      </c>
      <c r="E615" s="210" t="s">
        <v>1388</v>
      </c>
      <c r="F615" s="211" t="s">
        <v>854</v>
      </c>
      <c r="G615" s="211" t="s">
        <v>855</v>
      </c>
      <c r="H615" s="211" t="s">
        <v>50</v>
      </c>
      <c r="I615" s="211"/>
      <c r="J615" s="270">
        <v>9000</v>
      </c>
      <c r="K615" s="223">
        <f>VLOOKUP(H615,名称!A:C,2,0)</f>
        <v>0</v>
      </c>
      <c r="L615" s="212">
        <f t="shared" si="111"/>
        <v>0</v>
      </c>
      <c r="M615" s="211">
        <f>VLOOKUP(H615,[2]名称!A:E,3,0)</f>
        <v>18</v>
      </c>
      <c r="N615" s="212">
        <f t="shared" si="110"/>
        <v>500</v>
      </c>
      <c r="O615" s="208">
        <v>46217</v>
      </c>
      <c r="P615" s="271">
        <f t="shared" ref="P615:P626" si="128">O615</f>
        <v>46217</v>
      </c>
      <c r="Q615" s="271">
        <v>46228</v>
      </c>
      <c r="R615" s="241" t="s">
        <v>1241</v>
      </c>
      <c r="S615" s="256" t="s">
        <v>1133</v>
      </c>
      <c r="T615" s="211"/>
      <c r="U615" s="211"/>
      <c r="V615" s="213">
        <v>46231</v>
      </c>
      <c r="W615" s="208"/>
      <c r="X615" s="257" t="s">
        <v>1133</v>
      </c>
      <c r="Y615" s="211" t="s">
        <v>1133</v>
      </c>
      <c r="Z615" s="211" t="s">
        <v>1249</v>
      </c>
      <c r="AA615" s="214">
        <v>46164</v>
      </c>
      <c r="AB615" s="214">
        <v>46167</v>
      </c>
      <c r="AC615" s="211" t="s">
        <v>1133</v>
      </c>
      <c r="AD615" s="211" t="s">
        <v>1133</v>
      </c>
      <c r="AE615" s="211" t="s">
        <v>510</v>
      </c>
      <c r="AF615" s="211" t="s">
        <v>1228</v>
      </c>
      <c r="AG615" s="211" t="s">
        <v>510</v>
      </c>
      <c r="AH615" s="211" t="s">
        <v>1133</v>
      </c>
      <c r="AI615" s="211" t="s">
        <v>1228</v>
      </c>
      <c r="AJ615" s="211" t="s">
        <v>1133</v>
      </c>
      <c r="AK615" s="211" t="s">
        <v>1523</v>
      </c>
      <c r="AL615" s="211"/>
      <c r="AM615" s="267" t="s">
        <v>1887</v>
      </c>
      <c r="AN615" s="212" t="s">
        <v>1524</v>
      </c>
      <c r="AO615" s="215">
        <v>1.1</v>
      </c>
      <c r="AP615" s="216">
        <f t="shared" si="122"/>
        <v>9900</v>
      </c>
      <c r="AQ615" s="216">
        <f t="shared" si="123"/>
        <v>76725</v>
      </c>
      <c r="AR615" s="224">
        <v>61446</v>
      </c>
      <c r="AS615" s="330">
        <v>46233</v>
      </c>
      <c r="AT615" s="208" t="s">
        <v>1220</v>
      </c>
      <c r="AU615" s="208"/>
      <c r="AV615" s="208"/>
      <c r="AW615" s="208"/>
      <c r="AX615" s="208"/>
      <c r="AY615" s="208" t="s">
        <v>1317</v>
      </c>
      <c r="AZ615" s="208"/>
      <c r="BA615" s="208"/>
      <c r="BB615" s="208" t="str">
        <f t="shared" si="115"/>
        <v>Sheng Tai_Camtec</v>
      </c>
      <c r="BC615" s="208" t="str">
        <f t="shared" si="114"/>
        <v>新加坡</v>
      </c>
    </row>
    <row r="616" s="194" customFormat="1" customHeight="1" spans="1:55">
      <c r="A616" s="208">
        <v>46161</v>
      </c>
      <c r="B616" s="208" t="str">
        <f ca="1" t="shared" si="124"/>
        <v/>
      </c>
      <c r="C616" s="211" t="str">
        <f>VLOOKUP(H616,名称!A:E,4,0)</f>
        <v>蛋糕</v>
      </c>
      <c r="D616" s="210" t="s">
        <v>1387</v>
      </c>
      <c r="E616" s="210" t="s">
        <v>1388</v>
      </c>
      <c r="F616" s="211" t="s">
        <v>854</v>
      </c>
      <c r="G616" s="211" t="s">
        <v>855</v>
      </c>
      <c r="H616" s="211" t="s">
        <v>52</v>
      </c>
      <c r="I616" s="211"/>
      <c r="J616" s="270">
        <v>1200</v>
      </c>
      <c r="K616" s="223">
        <f>VLOOKUP(H616,名称!A:C,2,0)</f>
        <v>0</v>
      </c>
      <c r="L616" s="212">
        <f t="shared" si="111"/>
        <v>0</v>
      </c>
      <c r="M616" s="211">
        <f>VLOOKUP(H616,[2]名称!A:E,3,0)</f>
        <v>4</v>
      </c>
      <c r="N616" s="212">
        <f t="shared" si="110"/>
        <v>300</v>
      </c>
      <c r="O616" s="208">
        <v>46217</v>
      </c>
      <c r="P616" s="271">
        <f t="shared" si="128"/>
        <v>46217</v>
      </c>
      <c r="Q616" s="271">
        <v>46219</v>
      </c>
      <c r="R616" s="241" t="s">
        <v>1241</v>
      </c>
      <c r="S616" s="256" t="s">
        <v>1133</v>
      </c>
      <c r="T616" s="211"/>
      <c r="U616" s="211"/>
      <c r="V616" s="263">
        <v>46231</v>
      </c>
      <c r="W616" s="208"/>
      <c r="X616" s="257" t="s">
        <v>1133</v>
      </c>
      <c r="Y616" s="211" t="s">
        <v>1133</v>
      </c>
      <c r="Z616" s="211" t="s">
        <v>1249</v>
      </c>
      <c r="AA616" s="214">
        <v>46164</v>
      </c>
      <c r="AB616" s="214">
        <v>46167</v>
      </c>
      <c r="AC616" s="211" t="s">
        <v>1133</v>
      </c>
      <c r="AD616" s="211" t="s">
        <v>1133</v>
      </c>
      <c r="AE616" s="211" t="s">
        <v>510</v>
      </c>
      <c r="AF616" s="211" t="s">
        <v>1228</v>
      </c>
      <c r="AG616" s="211" t="s">
        <v>510</v>
      </c>
      <c r="AH616" s="211" t="s">
        <v>1133</v>
      </c>
      <c r="AI616" s="211" t="s">
        <v>1228</v>
      </c>
      <c r="AJ616" s="211" t="s">
        <v>1133</v>
      </c>
      <c r="AK616" s="211" t="s">
        <v>1228</v>
      </c>
      <c r="AL616" s="211"/>
      <c r="AM616" s="267" t="s">
        <v>1887</v>
      </c>
      <c r="AN616" s="212" t="s">
        <v>1524</v>
      </c>
      <c r="AO616" s="215">
        <v>2.82</v>
      </c>
      <c r="AP616" s="216">
        <f t="shared" si="122"/>
        <v>3384</v>
      </c>
      <c r="AQ616" s="216">
        <f t="shared" si="123"/>
        <v>26226</v>
      </c>
      <c r="AR616" s="224">
        <v>61446</v>
      </c>
      <c r="AS616" s="330">
        <v>46233</v>
      </c>
      <c r="AT616" s="208" t="s">
        <v>1220</v>
      </c>
      <c r="AU616" s="208"/>
      <c r="AV616" s="208"/>
      <c r="AW616" s="208"/>
      <c r="AX616" s="208"/>
      <c r="AY616" s="208" t="s">
        <v>1317</v>
      </c>
      <c r="AZ616" s="208"/>
      <c r="BA616" s="208"/>
      <c r="BB616" s="208" t="str">
        <f t="shared" si="115"/>
        <v>Sheng Tai_Camtec</v>
      </c>
      <c r="BC616" s="208" t="str">
        <f t="shared" si="114"/>
        <v>新加坡</v>
      </c>
    </row>
    <row r="617" s="194" customFormat="1" customHeight="1" spans="1:55">
      <c r="A617" s="208">
        <v>46167</v>
      </c>
      <c r="B617" s="208" t="str">
        <f ca="1" t="shared" si="124"/>
        <v/>
      </c>
      <c r="C617" s="211" t="str">
        <f>VLOOKUP(H617,名称!A:E,4,0)</f>
        <v>三代</v>
      </c>
      <c r="D617" s="220" t="s">
        <v>1624</v>
      </c>
      <c r="E617" s="220" t="s">
        <v>1625</v>
      </c>
      <c r="F617" s="220"/>
      <c r="G617" s="220" t="s">
        <v>886</v>
      </c>
      <c r="H617" s="220" t="s">
        <v>66</v>
      </c>
      <c r="I617" s="211"/>
      <c r="J617" s="270">
        <v>1302</v>
      </c>
      <c r="K617" s="223">
        <f>VLOOKUP(H617,名称!A:C,2,0)</f>
        <v>12</v>
      </c>
      <c r="L617" s="212">
        <f t="shared" si="111"/>
        <v>15624</v>
      </c>
      <c r="M617" s="257">
        <f>VLOOKUP(H617,名称!A:E,3,0)</f>
        <v>6</v>
      </c>
      <c r="N617" s="259">
        <f t="shared" si="110"/>
        <v>217</v>
      </c>
      <c r="O617" s="271">
        <v>46218</v>
      </c>
      <c r="P617" s="271">
        <v>46218</v>
      </c>
      <c r="Q617" s="208">
        <v>46223</v>
      </c>
      <c r="R617" s="241" t="s">
        <v>1425</v>
      </c>
      <c r="S617" s="271" t="s">
        <v>1133</v>
      </c>
      <c r="T617" s="211"/>
      <c r="U617" s="211"/>
      <c r="V617" s="213">
        <v>46228</v>
      </c>
      <c r="W617" s="208"/>
      <c r="X617" s="257" t="s">
        <v>1133</v>
      </c>
      <c r="Y617" s="257" t="s">
        <v>1133</v>
      </c>
      <c r="Z617" s="211" t="s">
        <v>1249</v>
      </c>
      <c r="AA617" s="214">
        <v>46175</v>
      </c>
      <c r="AB617" s="214">
        <v>46184</v>
      </c>
      <c r="AC617" s="257" t="s">
        <v>1318</v>
      </c>
      <c r="AD617" s="257" t="s">
        <v>1228</v>
      </c>
      <c r="AE617" s="220" t="s">
        <v>510</v>
      </c>
      <c r="AF617" s="257" t="s">
        <v>1228</v>
      </c>
      <c r="AG617" s="257" t="s">
        <v>510</v>
      </c>
      <c r="AH617" s="257" t="s">
        <v>1307</v>
      </c>
      <c r="AI617" s="257" t="s">
        <v>1228</v>
      </c>
      <c r="AJ617" s="257" t="s">
        <v>510</v>
      </c>
      <c r="AK617" s="257" t="s">
        <v>1133</v>
      </c>
      <c r="AL617" s="257"/>
      <c r="AM617" s="267" t="s">
        <v>1292</v>
      </c>
      <c r="AN617" s="220"/>
      <c r="AO617" s="215">
        <v>2.09</v>
      </c>
      <c r="AP617" s="216">
        <f t="shared" si="122"/>
        <v>2721.18</v>
      </c>
      <c r="AQ617" s="216">
        <f t="shared" si="123"/>
        <v>21089.15</v>
      </c>
      <c r="AR617" s="224">
        <v>61447</v>
      </c>
      <c r="AS617" s="330">
        <v>46233</v>
      </c>
      <c r="AT617" s="208" t="s">
        <v>1220</v>
      </c>
      <c r="AU617" s="252">
        <v>1302</v>
      </c>
      <c r="AV617" s="252">
        <f t="shared" ref="AV617:AV625" si="129">AU617-J617</f>
        <v>0</v>
      </c>
      <c r="AW617" s="331"/>
      <c r="AX617" s="257" t="s">
        <v>1280</v>
      </c>
      <c r="AY617" s="208" t="s">
        <v>1317</v>
      </c>
      <c r="AZ617" s="208" t="s">
        <v>1256</v>
      </c>
      <c r="BA617" s="208"/>
      <c r="BB617" s="208" t="str">
        <f t="shared" si="115"/>
        <v>Viet Tinh Anh</v>
      </c>
      <c r="BC617" s="208" t="str">
        <f t="shared" si="114"/>
        <v>越南</v>
      </c>
    </row>
    <row r="618" s="194" customFormat="1" customHeight="1" spans="1:55">
      <c r="A618" s="208">
        <v>46167</v>
      </c>
      <c r="B618" s="208" t="str">
        <f ca="1" t="shared" si="124"/>
        <v/>
      </c>
      <c r="C618" s="211" t="str">
        <f>VLOOKUP(H618,名称!A:E,4,0)</f>
        <v>三代</v>
      </c>
      <c r="D618" s="220" t="s">
        <v>1624</v>
      </c>
      <c r="E618" s="220" t="s">
        <v>1625</v>
      </c>
      <c r="F618" s="220"/>
      <c r="G618" s="220" t="s">
        <v>886</v>
      </c>
      <c r="H618" s="220" t="s">
        <v>85</v>
      </c>
      <c r="I618" s="211"/>
      <c r="J618" s="270">
        <v>2976</v>
      </c>
      <c r="K618" s="223">
        <f>VLOOKUP(H618,名称!A:C,2,0)</f>
        <v>5</v>
      </c>
      <c r="L618" s="212">
        <f t="shared" si="111"/>
        <v>14880</v>
      </c>
      <c r="M618" s="257">
        <f>VLOOKUP(H618,名称!A:E,3,0)</f>
        <v>24</v>
      </c>
      <c r="N618" s="259">
        <f t="shared" si="110"/>
        <v>124</v>
      </c>
      <c r="O618" s="271">
        <v>46218</v>
      </c>
      <c r="P618" s="271">
        <v>46218</v>
      </c>
      <c r="Q618" s="274">
        <v>46224</v>
      </c>
      <c r="R618" s="241" t="s">
        <v>1241</v>
      </c>
      <c r="S618" s="271" t="s">
        <v>1133</v>
      </c>
      <c r="T618" s="211"/>
      <c r="U618" s="211"/>
      <c r="V618" s="263">
        <v>46228</v>
      </c>
      <c r="W618" s="208"/>
      <c r="X618" s="257" t="s">
        <v>1133</v>
      </c>
      <c r="Y618" s="257" t="s">
        <v>1133</v>
      </c>
      <c r="Z618" s="211" t="s">
        <v>1249</v>
      </c>
      <c r="AA618" s="214">
        <v>46175</v>
      </c>
      <c r="AB618" s="214">
        <v>46184</v>
      </c>
      <c r="AC618" s="257" t="s">
        <v>1133</v>
      </c>
      <c r="AD618" s="257" t="s">
        <v>1133</v>
      </c>
      <c r="AE618" s="220" t="s">
        <v>510</v>
      </c>
      <c r="AF618" s="257" t="s">
        <v>1228</v>
      </c>
      <c r="AG618" s="257" t="s">
        <v>510</v>
      </c>
      <c r="AH618" s="257" t="s">
        <v>1133</v>
      </c>
      <c r="AI618" s="257" t="s">
        <v>1228</v>
      </c>
      <c r="AJ618" s="257" t="s">
        <v>1133</v>
      </c>
      <c r="AK618" s="257" t="s">
        <v>510</v>
      </c>
      <c r="AL618" s="257"/>
      <c r="AM618" s="267" t="s">
        <v>1292</v>
      </c>
      <c r="AN618" s="220" t="s">
        <v>1349</v>
      </c>
      <c r="AO618" s="215">
        <v>0.91</v>
      </c>
      <c r="AP618" s="216">
        <f t="shared" si="122"/>
        <v>2708.16</v>
      </c>
      <c r="AQ618" s="216">
        <f t="shared" si="123"/>
        <v>20988.24</v>
      </c>
      <c r="AR618" s="224">
        <v>61447</v>
      </c>
      <c r="AS618" s="330">
        <v>46233</v>
      </c>
      <c r="AT618" s="208" t="s">
        <v>1220</v>
      </c>
      <c r="AU618" s="252">
        <v>2976</v>
      </c>
      <c r="AV618" s="252">
        <f t="shared" si="129"/>
        <v>0</v>
      </c>
      <c r="AW618" s="331"/>
      <c r="AX618" s="256" t="s">
        <v>1280</v>
      </c>
      <c r="AY618" s="208" t="s">
        <v>1317</v>
      </c>
      <c r="AZ618" s="208" t="s">
        <v>1256</v>
      </c>
      <c r="BA618" s="208"/>
      <c r="BB618" s="208" t="str">
        <f t="shared" si="115"/>
        <v>Viet Tinh Anh</v>
      </c>
      <c r="BC618" s="208" t="str">
        <f t="shared" si="114"/>
        <v>越南</v>
      </c>
    </row>
    <row r="619" s="194" customFormat="1" customHeight="1" spans="1:55">
      <c r="A619" s="208">
        <v>46150</v>
      </c>
      <c r="B619" s="208" t="str">
        <f ca="1" t="shared" si="124"/>
        <v/>
      </c>
      <c r="C619" s="211" t="str">
        <f>VLOOKUP(H619,名称!A:E,4,0)</f>
        <v>三代</v>
      </c>
      <c r="D619" s="220" t="s">
        <v>1459</v>
      </c>
      <c r="E619" s="220" t="s">
        <v>1460</v>
      </c>
      <c r="F619" s="220"/>
      <c r="G619" s="220" t="s">
        <v>829</v>
      </c>
      <c r="H619" s="220" t="s">
        <v>59</v>
      </c>
      <c r="I619" s="211"/>
      <c r="J619" s="270">
        <v>10008</v>
      </c>
      <c r="K619" s="223">
        <f>VLOOKUP(H619,名称!A:C,2,0)</f>
        <v>5</v>
      </c>
      <c r="L619" s="212">
        <f t="shared" si="111"/>
        <v>50040</v>
      </c>
      <c r="M619" s="211">
        <f>VLOOKUP(H619,名称!A:E,3,0)</f>
        <v>24</v>
      </c>
      <c r="N619" s="212">
        <f t="shared" si="110"/>
        <v>417</v>
      </c>
      <c r="O619" s="271">
        <v>46213</v>
      </c>
      <c r="P619" s="271">
        <f t="shared" si="128"/>
        <v>46213</v>
      </c>
      <c r="Q619" s="208">
        <v>46216</v>
      </c>
      <c r="R619" s="241" t="s">
        <v>1241</v>
      </c>
      <c r="S619" s="256">
        <v>46220</v>
      </c>
      <c r="T619" s="241" t="s">
        <v>1241</v>
      </c>
      <c r="U619" s="211"/>
      <c r="V619" s="213">
        <v>46230</v>
      </c>
      <c r="W619" s="208"/>
      <c r="X619" s="220" t="s">
        <v>1133</v>
      </c>
      <c r="Y619" s="220" t="s">
        <v>1133</v>
      </c>
      <c r="Z619" s="211" t="s">
        <v>1249</v>
      </c>
      <c r="AA619" s="214">
        <v>46157</v>
      </c>
      <c r="AB619" s="214">
        <v>46161</v>
      </c>
      <c r="AC619" s="257" t="s">
        <v>1133</v>
      </c>
      <c r="AD619" s="257" t="s">
        <v>1133</v>
      </c>
      <c r="AE619" s="220" t="s">
        <v>334</v>
      </c>
      <c r="AF619" s="257" t="s">
        <v>1228</v>
      </c>
      <c r="AG619" s="257" t="s">
        <v>510</v>
      </c>
      <c r="AH619" s="257" t="s">
        <v>1133</v>
      </c>
      <c r="AI619" s="257" t="s">
        <v>1228</v>
      </c>
      <c r="AJ619" s="257" t="s">
        <v>1133</v>
      </c>
      <c r="AK619" s="257" t="s">
        <v>1464</v>
      </c>
      <c r="AL619" s="267" t="s">
        <v>1228</v>
      </c>
      <c r="AM619" s="257" t="s">
        <v>1908</v>
      </c>
      <c r="AN619" s="220"/>
      <c r="AO619" s="215">
        <v>0.66</v>
      </c>
      <c r="AP619" s="216">
        <f t="shared" si="122"/>
        <v>6605.28</v>
      </c>
      <c r="AQ619" s="216">
        <f t="shared" si="123"/>
        <v>51190.92</v>
      </c>
      <c r="AR619" s="224">
        <v>61448</v>
      </c>
      <c r="AS619" s="330">
        <v>46233</v>
      </c>
      <c r="AT619" s="208" t="s">
        <v>1220</v>
      </c>
      <c r="AU619" s="253">
        <f>9984+24</f>
        <v>10008</v>
      </c>
      <c r="AV619" s="252">
        <f t="shared" si="129"/>
        <v>0</v>
      </c>
      <c r="AW619" s="331"/>
      <c r="AX619" s="274" t="s">
        <v>1280</v>
      </c>
      <c r="AY619" s="208"/>
      <c r="AZ619" s="208"/>
      <c r="BA619" s="208"/>
      <c r="BB619" s="208" t="str">
        <f t="shared" si="115"/>
        <v>Proxy (Far East) Limited</v>
      </c>
      <c r="BC619" s="208" t="str">
        <f t="shared" si="114"/>
        <v>瑞典</v>
      </c>
    </row>
    <row r="620" s="194" customFormat="1" customHeight="1" spans="1:55">
      <c r="A620" s="208">
        <v>46150</v>
      </c>
      <c r="B620" s="208" t="str">
        <f ca="1" t="shared" si="124"/>
        <v/>
      </c>
      <c r="C620" s="211" t="str">
        <f>VLOOKUP(H620,名称!A:E,4,0)</f>
        <v>三代</v>
      </c>
      <c r="D620" s="220" t="s">
        <v>1459</v>
      </c>
      <c r="E620" s="220" t="s">
        <v>1460</v>
      </c>
      <c r="F620" s="220"/>
      <c r="G620" s="220" t="s">
        <v>829</v>
      </c>
      <c r="H620" s="220" t="s">
        <v>89</v>
      </c>
      <c r="I620" s="211"/>
      <c r="J620" s="270">
        <v>2004</v>
      </c>
      <c r="K620" s="223">
        <f>VLOOKUP(H620,名称!A:C,2,0)</f>
        <v>12</v>
      </c>
      <c r="L620" s="212">
        <f t="shared" si="111"/>
        <v>24048</v>
      </c>
      <c r="M620" s="211">
        <f>VLOOKUP(H620,名称!A:E,3,0)</f>
        <v>6</v>
      </c>
      <c r="N620" s="212">
        <f t="shared" si="110"/>
        <v>334</v>
      </c>
      <c r="O620" s="271">
        <v>46213</v>
      </c>
      <c r="P620" s="271">
        <f t="shared" si="128"/>
        <v>46213</v>
      </c>
      <c r="Q620" s="208">
        <v>46216</v>
      </c>
      <c r="R620" s="267" t="s">
        <v>1241</v>
      </c>
      <c r="S620" s="256">
        <v>46220</v>
      </c>
      <c r="T620" s="267" t="s">
        <v>1241</v>
      </c>
      <c r="U620" s="211"/>
      <c r="V620" s="263">
        <v>46230</v>
      </c>
      <c r="W620" s="208"/>
      <c r="X620" s="220" t="s">
        <v>1133</v>
      </c>
      <c r="Y620" s="220" t="s">
        <v>1133</v>
      </c>
      <c r="Z620" s="211" t="s">
        <v>1249</v>
      </c>
      <c r="AA620" s="214">
        <v>46157</v>
      </c>
      <c r="AB620" s="214">
        <v>46161</v>
      </c>
      <c r="AC620" s="257" t="s">
        <v>1318</v>
      </c>
      <c r="AD620" s="257" t="s">
        <v>1228</v>
      </c>
      <c r="AE620" s="220" t="s">
        <v>334</v>
      </c>
      <c r="AF620" s="257" t="s">
        <v>1228</v>
      </c>
      <c r="AG620" s="257" t="s">
        <v>1464</v>
      </c>
      <c r="AH620" s="257" t="s">
        <v>1464</v>
      </c>
      <c r="AI620" s="257" t="s">
        <v>1228</v>
      </c>
      <c r="AJ620" s="257" t="s">
        <v>1422</v>
      </c>
      <c r="AK620" s="257" t="s">
        <v>1133</v>
      </c>
      <c r="AL620" s="267" t="s">
        <v>1228</v>
      </c>
      <c r="AM620" s="257" t="s">
        <v>1909</v>
      </c>
      <c r="AN620" s="220" t="s">
        <v>1261</v>
      </c>
      <c r="AO620" s="215">
        <v>1.9</v>
      </c>
      <c r="AP620" s="216">
        <f t="shared" si="122"/>
        <v>3807.6</v>
      </c>
      <c r="AQ620" s="216">
        <f t="shared" si="123"/>
        <v>29508.9</v>
      </c>
      <c r="AR620" s="224">
        <v>61448</v>
      </c>
      <c r="AS620" s="330">
        <v>46233</v>
      </c>
      <c r="AT620" s="208" t="s">
        <v>1313</v>
      </c>
      <c r="AU620" s="253"/>
      <c r="AV620" s="252">
        <f t="shared" si="129"/>
        <v>-2004</v>
      </c>
      <c r="AW620" s="331"/>
      <c r="AX620" s="256"/>
      <c r="AY620" s="208"/>
      <c r="AZ620" s="208"/>
      <c r="BA620" s="208"/>
      <c r="BB620" s="208" t="str">
        <f t="shared" si="115"/>
        <v>Proxy (Far East) Limited</v>
      </c>
      <c r="BC620" s="208" t="str">
        <f t="shared" si="114"/>
        <v>瑞典</v>
      </c>
    </row>
    <row r="621" s="194" customFormat="1" customHeight="1" spans="1:55">
      <c r="A621" s="208">
        <v>46150</v>
      </c>
      <c r="B621" s="208" t="str">
        <f ca="1" t="shared" si="124"/>
        <v/>
      </c>
      <c r="C621" s="211" t="str">
        <f>VLOOKUP(H621,名称!A:E,4,0)</f>
        <v>三代</v>
      </c>
      <c r="D621" s="220" t="s">
        <v>1459</v>
      </c>
      <c r="E621" s="220" t="s">
        <v>1460</v>
      </c>
      <c r="F621" s="220"/>
      <c r="G621" s="220" t="s">
        <v>829</v>
      </c>
      <c r="H621" s="220" t="s">
        <v>84</v>
      </c>
      <c r="I621" s="211"/>
      <c r="J621" s="270">
        <v>3006</v>
      </c>
      <c r="K621" s="223">
        <f>VLOOKUP(H621,名称!A:C,2,0)</f>
        <v>5</v>
      </c>
      <c r="L621" s="212">
        <f t="shared" si="111"/>
        <v>15030</v>
      </c>
      <c r="M621" s="211">
        <f>VLOOKUP(H621,名称!A:E,3,0)</f>
        <v>18</v>
      </c>
      <c r="N621" s="212">
        <f t="shared" si="110"/>
        <v>167</v>
      </c>
      <c r="O621" s="271">
        <v>46213</v>
      </c>
      <c r="P621" s="271">
        <f t="shared" si="128"/>
        <v>46213</v>
      </c>
      <c r="Q621" s="208">
        <v>46217</v>
      </c>
      <c r="R621" s="241" t="s">
        <v>1241</v>
      </c>
      <c r="S621" s="256">
        <v>46220</v>
      </c>
      <c r="T621" s="241" t="s">
        <v>1241</v>
      </c>
      <c r="U621" s="211"/>
      <c r="V621" s="263">
        <v>46230</v>
      </c>
      <c r="W621" s="208"/>
      <c r="X621" s="220" t="s">
        <v>1133</v>
      </c>
      <c r="Y621" s="220" t="s">
        <v>1133</v>
      </c>
      <c r="Z621" s="211" t="s">
        <v>1249</v>
      </c>
      <c r="AA621" s="214">
        <v>46157</v>
      </c>
      <c r="AB621" s="214">
        <v>46161</v>
      </c>
      <c r="AC621" s="257" t="s">
        <v>1133</v>
      </c>
      <c r="AD621" s="257" t="s">
        <v>1133</v>
      </c>
      <c r="AE621" s="220" t="s">
        <v>334</v>
      </c>
      <c r="AF621" s="257" t="s">
        <v>1228</v>
      </c>
      <c r="AG621" s="257" t="s">
        <v>334</v>
      </c>
      <c r="AH621" s="257" t="s">
        <v>1133</v>
      </c>
      <c r="AI621" s="257" t="s">
        <v>1228</v>
      </c>
      <c r="AJ621" s="257" t="s">
        <v>1133</v>
      </c>
      <c r="AK621" s="257" t="s">
        <v>1464</v>
      </c>
      <c r="AL621" s="267" t="s">
        <v>1228</v>
      </c>
      <c r="AM621" s="257" t="s">
        <v>1910</v>
      </c>
      <c r="AN621" s="268" t="s">
        <v>1349</v>
      </c>
      <c r="AO621" s="215">
        <v>0.91</v>
      </c>
      <c r="AP621" s="216">
        <f t="shared" si="122"/>
        <v>2735.46</v>
      </c>
      <c r="AQ621" s="216">
        <f t="shared" si="123"/>
        <v>21199.82</v>
      </c>
      <c r="AR621" s="224">
        <v>61448</v>
      </c>
      <c r="AS621" s="330">
        <v>46233</v>
      </c>
      <c r="AT621" s="208" t="s">
        <v>1310</v>
      </c>
      <c r="AU621" s="253">
        <v>3006</v>
      </c>
      <c r="AV621" s="252">
        <f t="shared" si="129"/>
        <v>0</v>
      </c>
      <c r="AW621" s="331"/>
      <c r="AX621" s="256"/>
      <c r="AY621" s="208"/>
      <c r="AZ621" s="208"/>
      <c r="BA621" s="208"/>
      <c r="BB621" s="208" t="str">
        <f t="shared" si="115"/>
        <v>Proxy (Far East) Limited</v>
      </c>
      <c r="BC621" s="208" t="str">
        <f t="shared" si="114"/>
        <v>瑞典</v>
      </c>
    </row>
    <row r="622" s="194" customFormat="1" customHeight="1" spans="1:55">
      <c r="A622" s="208">
        <v>46150</v>
      </c>
      <c r="B622" s="208" t="str">
        <f ca="1" t="shared" si="124"/>
        <v/>
      </c>
      <c r="C622" s="211" t="str">
        <f>VLOOKUP(H622,名称!A:E,4,0)</f>
        <v>三代</v>
      </c>
      <c r="D622" s="220" t="s">
        <v>1459</v>
      </c>
      <c r="E622" s="220" t="s">
        <v>1460</v>
      </c>
      <c r="F622" s="220"/>
      <c r="G622" s="220" t="s">
        <v>829</v>
      </c>
      <c r="H622" s="220" t="s">
        <v>121</v>
      </c>
      <c r="I622" s="211"/>
      <c r="J622" s="270">
        <v>5004</v>
      </c>
      <c r="K622" s="223">
        <f>VLOOKUP(H622,名称!A:C,2,0)</f>
        <v>7</v>
      </c>
      <c r="L622" s="212">
        <f t="shared" si="111"/>
        <v>35028</v>
      </c>
      <c r="M622" s="211">
        <f>VLOOKUP(H622,名称!A:E,3,0)</f>
        <v>12</v>
      </c>
      <c r="N622" s="212">
        <f t="shared" si="110"/>
        <v>417</v>
      </c>
      <c r="O622" s="271">
        <v>46213</v>
      </c>
      <c r="P622" s="271">
        <f t="shared" si="128"/>
        <v>46213</v>
      </c>
      <c r="Q622" s="208">
        <v>46223</v>
      </c>
      <c r="R622" s="211" t="s">
        <v>1241</v>
      </c>
      <c r="S622" s="208">
        <v>46224</v>
      </c>
      <c r="T622" s="241" t="s">
        <v>1241</v>
      </c>
      <c r="U622" s="211"/>
      <c r="V622" s="263">
        <v>46230</v>
      </c>
      <c r="W622" s="208"/>
      <c r="X622" s="257" t="s">
        <v>1133</v>
      </c>
      <c r="Y622" s="257" t="s">
        <v>1133</v>
      </c>
      <c r="Z622" s="211" t="s">
        <v>1249</v>
      </c>
      <c r="AA622" s="214">
        <v>46157</v>
      </c>
      <c r="AB622" s="214">
        <v>46161</v>
      </c>
      <c r="AC622" s="257" t="s">
        <v>1318</v>
      </c>
      <c r="AD622" s="257" t="s">
        <v>1228</v>
      </c>
      <c r="AE622" s="220" t="s">
        <v>334</v>
      </c>
      <c r="AF622" s="257" t="s">
        <v>1228</v>
      </c>
      <c r="AG622" s="257" t="s">
        <v>1464</v>
      </c>
      <c r="AH622" s="257" t="s">
        <v>1464</v>
      </c>
      <c r="AI622" s="257" t="s">
        <v>1228</v>
      </c>
      <c r="AJ622" s="257" t="s">
        <v>1133</v>
      </c>
      <c r="AK622" s="257" t="s">
        <v>1133</v>
      </c>
      <c r="AL622" s="257" t="s">
        <v>1228</v>
      </c>
      <c r="AM622" s="267" t="s">
        <v>1911</v>
      </c>
      <c r="AN622" s="220"/>
      <c r="AO622" s="215">
        <v>0.8</v>
      </c>
      <c r="AP622" s="216">
        <f t="shared" si="122"/>
        <v>4003.2</v>
      </c>
      <c r="AQ622" s="216">
        <f t="shared" si="123"/>
        <v>31024.8</v>
      </c>
      <c r="AR622" s="224">
        <v>61448</v>
      </c>
      <c r="AS622" s="330">
        <v>46233</v>
      </c>
      <c r="AT622" s="208" t="s">
        <v>1220</v>
      </c>
      <c r="AU622" s="253">
        <v>5004</v>
      </c>
      <c r="AV622" s="252">
        <f t="shared" si="129"/>
        <v>0</v>
      </c>
      <c r="AW622" s="331"/>
      <c r="AX622" s="274" t="s">
        <v>1280</v>
      </c>
      <c r="AY622" s="208"/>
      <c r="AZ622" s="208"/>
      <c r="BA622" s="208"/>
      <c r="BB622" s="208" t="str">
        <f t="shared" si="115"/>
        <v>Proxy (Far East) Limited</v>
      </c>
      <c r="BC622" s="208" t="str">
        <f t="shared" si="114"/>
        <v>瑞典</v>
      </c>
    </row>
    <row r="623" s="194" customFormat="1" customHeight="1" spans="1:55">
      <c r="A623" s="208">
        <v>46150</v>
      </c>
      <c r="B623" s="208" t="str">
        <f ca="1" t="shared" si="124"/>
        <v/>
      </c>
      <c r="C623" s="211" t="str">
        <f>VLOOKUP(H623,名称!A:E,4,0)</f>
        <v>三代</v>
      </c>
      <c r="D623" s="220" t="s">
        <v>1459</v>
      </c>
      <c r="E623" s="220" t="s">
        <v>1460</v>
      </c>
      <c r="F623" s="220"/>
      <c r="G623" s="220" t="s">
        <v>829</v>
      </c>
      <c r="H623" s="220" t="s">
        <v>125</v>
      </c>
      <c r="I623" s="211"/>
      <c r="J623" s="270">
        <v>1500</v>
      </c>
      <c r="K623" s="223">
        <f>VLOOKUP(H623,名称!A:C,2,0)</f>
        <v>12</v>
      </c>
      <c r="L623" s="212">
        <f t="shared" si="111"/>
        <v>18000</v>
      </c>
      <c r="M623" s="211">
        <f>VLOOKUP(H623,名称!A:E,3,0)</f>
        <v>12</v>
      </c>
      <c r="N623" s="212">
        <f t="shared" ref="N623:N645" si="130">J623/M623</f>
        <v>125</v>
      </c>
      <c r="O623" s="271">
        <v>46213</v>
      </c>
      <c r="P623" s="271">
        <f t="shared" si="128"/>
        <v>46213</v>
      </c>
      <c r="Q623" s="208">
        <v>46223</v>
      </c>
      <c r="R623" s="241" t="s">
        <v>1425</v>
      </c>
      <c r="S623" s="256">
        <v>46224</v>
      </c>
      <c r="T623" s="267" t="s">
        <v>1241</v>
      </c>
      <c r="U623" s="211"/>
      <c r="V623" s="263">
        <v>46230</v>
      </c>
      <c r="W623" s="208"/>
      <c r="X623" s="257" t="s">
        <v>1248</v>
      </c>
      <c r="Y623" s="263">
        <v>46210</v>
      </c>
      <c r="Z623" s="211" t="s">
        <v>1249</v>
      </c>
      <c r="AA623" s="214">
        <v>46157</v>
      </c>
      <c r="AB623" s="214">
        <v>46161</v>
      </c>
      <c r="AC623" s="257" t="s">
        <v>1302</v>
      </c>
      <c r="AD623" s="257" t="s">
        <v>1228</v>
      </c>
      <c r="AE623" s="220" t="s">
        <v>334</v>
      </c>
      <c r="AF623" s="257" t="s">
        <v>1228</v>
      </c>
      <c r="AG623" s="267" t="s">
        <v>1270</v>
      </c>
      <c r="AH623" s="257" t="s">
        <v>1361</v>
      </c>
      <c r="AI623" s="257" t="s">
        <v>1228</v>
      </c>
      <c r="AJ623" s="257" t="s">
        <v>1133</v>
      </c>
      <c r="AK623" s="257" t="s">
        <v>1133</v>
      </c>
      <c r="AL623" s="267" t="s">
        <v>1228</v>
      </c>
      <c r="AM623" s="267" t="s">
        <v>1912</v>
      </c>
      <c r="AN623" s="220"/>
      <c r="AO623" s="215">
        <v>1.65</v>
      </c>
      <c r="AP623" s="216">
        <f t="shared" si="122"/>
        <v>2475</v>
      </c>
      <c r="AQ623" s="216">
        <f t="shared" si="123"/>
        <v>19181.25</v>
      </c>
      <c r="AR623" s="224">
        <v>61448</v>
      </c>
      <c r="AS623" s="330">
        <v>46233</v>
      </c>
      <c r="AT623" s="273" t="s">
        <v>1220</v>
      </c>
      <c r="AU623" s="253">
        <v>1500</v>
      </c>
      <c r="AV623" s="252">
        <f t="shared" si="129"/>
        <v>0</v>
      </c>
      <c r="AW623" s="331"/>
      <c r="AX623" s="274" t="s">
        <v>1280</v>
      </c>
      <c r="AY623" s="208"/>
      <c r="AZ623" s="208"/>
      <c r="BA623" s="208"/>
      <c r="BB623" s="273" t="str">
        <f t="shared" si="115"/>
        <v>Proxy (Far East) Limited</v>
      </c>
      <c r="BC623" s="273" t="str">
        <f t="shared" si="114"/>
        <v>瑞典</v>
      </c>
    </row>
    <row r="624" s="194" customFormat="1" customHeight="1" spans="1:55">
      <c r="A624" s="208">
        <v>46150</v>
      </c>
      <c r="B624" s="208" t="str">
        <f ca="1" t="shared" si="124"/>
        <v/>
      </c>
      <c r="C624" s="211" t="str">
        <f>VLOOKUP(H624,名称!A:E,4,0)</f>
        <v>三代</v>
      </c>
      <c r="D624" s="220" t="s">
        <v>1459</v>
      </c>
      <c r="E624" s="220" t="s">
        <v>1460</v>
      </c>
      <c r="F624" s="220"/>
      <c r="G624" s="220" t="s">
        <v>829</v>
      </c>
      <c r="H624" s="220" t="s">
        <v>66</v>
      </c>
      <c r="I624" s="211"/>
      <c r="J624" s="270">
        <v>3000</v>
      </c>
      <c r="K624" s="223">
        <f>VLOOKUP(H624,名称!A:C,2,0)</f>
        <v>12</v>
      </c>
      <c r="L624" s="212">
        <f t="shared" si="111"/>
        <v>36000</v>
      </c>
      <c r="M624" s="211">
        <f>VLOOKUP(H624,名称!A:E,3,0)</f>
        <v>6</v>
      </c>
      <c r="N624" s="212">
        <f t="shared" si="130"/>
        <v>500</v>
      </c>
      <c r="O624" s="271">
        <v>46213</v>
      </c>
      <c r="P624" s="271">
        <f t="shared" si="128"/>
        <v>46213</v>
      </c>
      <c r="Q624" s="208">
        <v>46220</v>
      </c>
      <c r="R624" s="241" t="s">
        <v>1241</v>
      </c>
      <c r="S624" s="256">
        <v>46220</v>
      </c>
      <c r="T624" s="241" t="s">
        <v>1241</v>
      </c>
      <c r="U624" s="211"/>
      <c r="V624" s="263">
        <v>46230</v>
      </c>
      <c r="W624" s="208"/>
      <c r="X624" s="257" t="s">
        <v>1133</v>
      </c>
      <c r="Y624" s="257" t="s">
        <v>1133</v>
      </c>
      <c r="Z624" s="211" t="s">
        <v>1249</v>
      </c>
      <c r="AA624" s="214">
        <v>46157</v>
      </c>
      <c r="AB624" s="214">
        <v>46161</v>
      </c>
      <c r="AC624" s="257" t="s">
        <v>1318</v>
      </c>
      <c r="AD624" s="257" t="s">
        <v>1228</v>
      </c>
      <c r="AE624" s="220" t="s">
        <v>334</v>
      </c>
      <c r="AF624" s="257" t="s">
        <v>1228</v>
      </c>
      <c r="AG624" s="257" t="s">
        <v>1464</v>
      </c>
      <c r="AH624" s="257" t="s">
        <v>1464</v>
      </c>
      <c r="AI624" s="257" t="s">
        <v>1228</v>
      </c>
      <c r="AJ624" s="257" t="s">
        <v>1422</v>
      </c>
      <c r="AK624" s="257" t="s">
        <v>1133</v>
      </c>
      <c r="AL624" s="267" t="s">
        <v>1228</v>
      </c>
      <c r="AM624" s="257" t="s">
        <v>1913</v>
      </c>
      <c r="AN624" s="220" t="s">
        <v>1261</v>
      </c>
      <c r="AO624" s="215">
        <v>2.09</v>
      </c>
      <c r="AP624" s="216">
        <f t="shared" si="122"/>
        <v>6270</v>
      </c>
      <c r="AQ624" s="216">
        <f t="shared" si="123"/>
        <v>48592.5</v>
      </c>
      <c r="AR624" s="224">
        <v>61448</v>
      </c>
      <c r="AS624" s="330">
        <v>46233</v>
      </c>
      <c r="AT624" s="208" t="s">
        <v>1220</v>
      </c>
      <c r="AU624" s="253">
        <f>2994+6</f>
        <v>3000</v>
      </c>
      <c r="AV624" s="252">
        <f t="shared" si="129"/>
        <v>0</v>
      </c>
      <c r="AW624" s="331"/>
      <c r="AX624" s="274" t="s">
        <v>1280</v>
      </c>
      <c r="AY624" s="208"/>
      <c r="AZ624" s="208"/>
      <c r="BA624" s="208"/>
      <c r="BB624" s="208" t="str">
        <f t="shared" si="115"/>
        <v>Proxy (Far East) Limited</v>
      </c>
      <c r="BC624" s="208" t="str">
        <f t="shared" si="114"/>
        <v>瑞典</v>
      </c>
    </row>
    <row r="625" s="194" customFormat="1" customHeight="1" spans="1:55">
      <c r="A625" s="208">
        <v>46150</v>
      </c>
      <c r="B625" s="208" t="str">
        <f ca="1" t="shared" si="124"/>
        <v/>
      </c>
      <c r="C625" s="211" t="str">
        <f>VLOOKUP(H625,名称!A:E,4,0)</f>
        <v>三代</v>
      </c>
      <c r="D625" s="220" t="s">
        <v>1459</v>
      </c>
      <c r="E625" s="220" t="s">
        <v>1460</v>
      </c>
      <c r="F625" s="220"/>
      <c r="G625" s="220" t="s">
        <v>829</v>
      </c>
      <c r="H625" s="220" t="s">
        <v>88</v>
      </c>
      <c r="I625" s="211"/>
      <c r="J625" s="270">
        <v>5016</v>
      </c>
      <c r="K625" s="223">
        <f>VLOOKUP(H625,名称!A:C,2,0)</f>
        <v>5</v>
      </c>
      <c r="L625" s="212">
        <f t="shared" si="111"/>
        <v>25080</v>
      </c>
      <c r="M625" s="211">
        <f>VLOOKUP(H625,名称!A:E,3,0)</f>
        <v>24</v>
      </c>
      <c r="N625" s="212">
        <f t="shared" si="130"/>
        <v>209</v>
      </c>
      <c r="O625" s="271">
        <v>46213</v>
      </c>
      <c r="P625" s="271">
        <f t="shared" si="128"/>
        <v>46213</v>
      </c>
      <c r="Q625" s="208">
        <v>46226</v>
      </c>
      <c r="R625" s="241" t="s">
        <v>1241</v>
      </c>
      <c r="S625" s="256">
        <v>46226</v>
      </c>
      <c r="T625" s="241" t="s">
        <v>1241</v>
      </c>
      <c r="U625" s="211"/>
      <c r="V625" s="263">
        <v>46230</v>
      </c>
      <c r="W625" s="208"/>
      <c r="X625" s="257" t="s">
        <v>1133</v>
      </c>
      <c r="Y625" s="257" t="s">
        <v>1133</v>
      </c>
      <c r="Z625" s="211" t="s">
        <v>1249</v>
      </c>
      <c r="AA625" s="214">
        <v>46157</v>
      </c>
      <c r="AB625" s="214">
        <v>46161</v>
      </c>
      <c r="AC625" s="257" t="s">
        <v>1133</v>
      </c>
      <c r="AD625" s="257" t="s">
        <v>1228</v>
      </c>
      <c r="AE625" s="220" t="s">
        <v>334</v>
      </c>
      <c r="AF625" s="257" t="s">
        <v>1228</v>
      </c>
      <c r="AG625" s="257" t="s">
        <v>334</v>
      </c>
      <c r="AH625" s="257" t="s">
        <v>1133</v>
      </c>
      <c r="AI625" s="257" t="s">
        <v>1228</v>
      </c>
      <c r="AJ625" s="257" t="s">
        <v>1133</v>
      </c>
      <c r="AK625" s="257" t="s">
        <v>1464</v>
      </c>
      <c r="AL625" s="267" t="s">
        <v>1228</v>
      </c>
      <c r="AM625" s="257" t="s">
        <v>1914</v>
      </c>
      <c r="AN625" s="337"/>
      <c r="AO625" s="215">
        <v>0.83</v>
      </c>
      <c r="AP625" s="216">
        <f t="shared" si="122"/>
        <v>4163.28</v>
      </c>
      <c r="AQ625" s="216">
        <f t="shared" si="123"/>
        <v>32265.42</v>
      </c>
      <c r="AR625" s="224">
        <v>61448</v>
      </c>
      <c r="AS625" s="330">
        <v>46233</v>
      </c>
      <c r="AT625" s="208" t="s">
        <v>1310</v>
      </c>
      <c r="AU625" s="252"/>
      <c r="AV625" s="252">
        <f t="shared" si="129"/>
        <v>-5016</v>
      </c>
      <c r="AW625" s="331"/>
      <c r="AX625" s="256"/>
      <c r="AY625" s="208"/>
      <c r="AZ625" s="208"/>
      <c r="BA625" s="208"/>
      <c r="BB625" s="208" t="str">
        <f t="shared" si="115"/>
        <v>Proxy (Far East) Limited</v>
      </c>
      <c r="BC625" s="208" t="str">
        <f t="shared" si="114"/>
        <v>瑞典</v>
      </c>
    </row>
    <row r="626" s="194" customFormat="1" customHeight="1" spans="1:55">
      <c r="A626" s="208">
        <v>46150</v>
      </c>
      <c r="B626" s="208" t="str">
        <f ca="1" t="shared" si="124"/>
        <v/>
      </c>
      <c r="C626" s="211" t="str">
        <f>VLOOKUP(H626,名称!A:E,4,0)</f>
        <v>蛋糕</v>
      </c>
      <c r="D626" s="220" t="s">
        <v>1459</v>
      </c>
      <c r="E626" s="220" t="s">
        <v>1460</v>
      </c>
      <c r="F626" s="220"/>
      <c r="G626" s="220" t="s">
        <v>829</v>
      </c>
      <c r="H626" s="220" t="s">
        <v>50</v>
      </c>
      <c r="I626" s="211"/>
      <c r="J626" s="270">
        <v>6012</v>
      </c>
      <c r="K626" s="223">
        <f>VLOOKUP(H626,名称!A:C,2,0)</f>
        <v>0</v>
      </c>
      <c r="L626" s="212">
        <f t="shared" ref="L626:L631" si="131">J626*K626</f>
        <v>0</v>
      </c>
      <c r="M626" s="211">
        <f>VLOOKUP(H626,名称!A:E,3,0)</f>
        <v>18</v>
      </c>
      <c r="N626" s="212">
        <f t="shared" si="130"/>
        <v>334</v>
      </c>
      <c r="O626" s="271">
        <v>46213</v>
      </c>
      <c r="P626" s="271">
        <f t="shared" si="128"/>
        <v>46213</v>
      </c>
      <c r="Q626" s="208">
        <v>46226</v>
      </c>
      <c r="R626" s="211"/>
      <c r="S626" s="256">
        <v>46226</v>
      </c>
      <c r="T626" s="211"/>
      <c r="U626" s="211"/>
      <c r="V626" s="213">
        <v>46230</v>
      </c>
      <c r="W626" s="208"/>
      <c r="X626" s="268" t="s">
        <v>1526</v>
      </c>
      <c r="Y626" s="241" t="s">
        <v>1915</v>
      </c>
      <c r="Z626" s="211" t="s">
        <v>1249</v>
      </c>
      <c r="AA626" s="214">
        <v>46158</v>
      </c>
      <c r="AB626" s="214">
        <v>46161</v>
      </c>
      <c r="AC626" s="211" t="s">
        <v>1133</v>
      </c>
      <c r="AD626" s="211" t="s">
        <v>1133</v>
      </c>
      <c r="AE626" s="220" t="s">
        <v>334</v>
      </c>
      <c r="AF626" s="220"/>
      <c r="AG626" s="220" t="s">
        <v>1837</v>
      </c>
      <c r="AH626" s="211" t="s">
        <v>1133</v>
      </c>
      <c r="AI626" s="211" t="s">
        <v>1228</v>
      </c>
      <c r="AJ626" s="211" t="s">
        <v>1133</v>
      </c>
      <c r="AK626" s="211" t="s">
        <v>1464</v>
      </c>
      <c r="AL626" s="211"/>
      <c r="AM626" s="257" t="s">
        <v>1916</v>
      </c>
      <c r="AN626" s="220" t="s">
        <v>1507</v>
      </c>
      <c r="AO626" s="215">
        <v>1.15</v>
      </c>
      <c r="AP626" s="216">
        <f t="shared" si="122"/>
        <v>6913.8</v>
      </c>
      <c r="AQ626" s="216">
        <f t="shared" si="123"/>
        <v>53581.95</v>
      </c>
      <c r="AR626" s="224">
        <v>61448</v>
      </c>
      <c r="AS626" s="330">
        <v>46233</v>
      </c>
      <c r="AT626" s="208" t="s">
        <v>1220</v>
      </c>
      <c r="AU626" s="208"/>
      <c r="AV626" s="208"/>
      <c r="AW626" s="208"/>
      <c r="AX626" s="208"/>
      <c r="AY626" s="208"/>
      <c r="AZ626" s="208"/>
      <c r="BA626" s="208"/>
      <c r="BB626" s="208" t="str">
        <f t="shared" si="115"/>
        <v>Proxy (Far East) Limited</v>
      </c>
      <c r="BC626" s="208" t="str">
        <f t="shared" ref="BC626:BC650" si="132">E626</f>
        <v>瑞典</v>
      </c>
    </row>
    <row r="627" s="194" customFormat="1" customHeight="1" spans="1:55">
      <c r="A627" s="208">
        <v>46114</v>
      </c>
      <c r="B627" s="208" t="str">
        <f ca="1" t="shared" si="124"/>
        <v/>
      </c>
      <c r="C627" s="211" t="str">
        <f>VLOOKUP(H627,名称!A:E,4,0)</f>
        <v>三代</v>
      </c>
      <c r="D627" s="210" t="s">
        <v>1459</v>
      </c>
      <c r="E627" s="210" t="s">
        <v>1835</v>
      </c>
      <c r="F627" s="211" t="s">
        <v>613</v>
      </c>
      <c r="G627" s="211" t="s">
        <v>614</v>
      </c>
      <c r="H627" s="211" t="s">
        <v>125</v>
      </c>
      <c r="I627" s="211"/>
      <c r="J627" s="212">
        <v>3504</v>
      </c>
      <c r="K627" s="223">
        <f>VLOOKUP(H627,名称!A:C,2,0)</f>
        <v>12</v>
      </c>
      <c r="L627" s="212">
        <f t="shared" si="131"/>
        <v>42048</v>
      </c>
      <c r="M627" s="211">
        <f>VLOOKUP(H627,名称!A:E,3,0)</f>
        <v>12</v>
      </c>
      <c r="N627" s="212">
        <f t="shared" si="130"/>
        <v>292</v>
      </c>
      <c r="O627" s="208">
        <v>46183</v>
      </c>
      <c r="P627" s="256">
        <v>46219</v>
      </c>
      <c r="Q627" s="256">
        <v>46220</v>
      </c>
      <c r="R627" s="241" t="s">
        <v>1241</v>
      </c>
      <c r="S627" s="256">
        <v>46220</v>
      </c>
      <c r="T627" s="241" t="s">
        <v>1241</v>
      </c>
      <c r="U627" s="211"/>
      <c r="V627" s="241" t="s">
        <v>1917</v>
      </c>
      <c r="W627" s="208"/>
      <c r="X627" s="257" t="s">
        <v>1248</v>
      </c>
      <c r="Y627" s="263">
        <v>46199</v>
      </c>
      <c r="Z627" s="257" t="s">
        <v>1249</v>
      </c>
      <c r="AA627" s="264">
        <v>46157</v>
      </c>
      <c r="AB627" s="264">
        <v>46160</v>
      </c>
      <c r="AC627" s="257" t="s">
        <v>1302</v>
      </c>
      <c r="AD627" s="257" t="s">
        <v>1228</v>
      </c>
      <c r="AE627" s="211" t="s">
        <v>334</v>
      </c>
      <c r="AF627" s="257" t="s">
        <v>1228</v>
      </c>
      <c r="AG627" s="267" t="s">
        <v>1270</v>
      </c>
      <c r="AH627" s="257" t="s">
        <v>1361</v>
      </c>
      <c r="AI627" s="257" t="s">
        <v>1228</v>
      </c>
      <c r="AJ627" s="257" t="s">
        <v>1133</v>
      </c>
      <c r="AK627" s="211" t="s">
        <v>1133</v>
      </c>
      <c r="AL627" s="267" t="s">
        <v>1228</v>
      </c>
      <c r="AM627" s="257" t="s">
        <v>1918</v>
      </c>
      <c r="AN627" s="212"/>
      <c r="AO627" s="215">
        <v>1.65</v>
      </c>
      <c r="AP627" s="216">
        <f t="shared" si="122"/>
        <v>5781.6</v>
      </c>
      <c r="AQ627" s="216">
        <f t="shared" si="123"/>
        <v>44807.4</v>
      </c>
      <c r="AR627" s="224">
        <v>61449</v>
      </c>
      <c r="AS627" s="330">
        <v>46233</v>
      </c>
      <c r="AT627" s="273" t="s">
        <v>1220</v>
      </c>
      <c r="AU627" s="253">
        <f>3420+84</f>
        <v>3504</v>
      </c>
      <c r="AV627" s="252">
        <f t="shared" ref="AV627:AV631" si="133">AU627-J627</f>
        <v>0</v>
      </c>
      <c r="AW627" s="252"/>
      <c r="AX627" s="274" t="s">
        <v>1280</v>
      </c>
      <c r="AY627" s="208"/>
      <c r="AZ627" s="208"/>
      <c r="BA627" s="208"/>
      <c r="BB627" s="208" t="str">
        <f t="shared" si="115"/>
        <v>Proxy (Far East) Limited</v>
      </c>
      <c r="BC627" s="208" t="str">
        <f t="shared" si="132"/>
        <v>丹麦</v>
      </c>
    </row>
    <row r="628" s="194" customFormat="1" customHeight="1" spans="1:55">
      <c r="A628" s="208">
        <v>46164</v>
      </c>
      <c r="B628" s="208" t="str">
        <f ca="1" t="shared" si="124"/>
        <v/>
      </c>
      <c r="C628" s="211" t="str">
        <f>VLOOKUP(H628,名称!A:E,4,0)</f>
        <v>三代</v>
      </c>
      <c r="D628" s="220" t="s">
        <v>1919</v>
      </c>
      <c r="E628" s="220" t="s">
        <v>1398</v>
      </c>
      <c r="F628" s="220"/>
      <c r="G628" s="220" t="s">
        <v>884</v>
      </c>
      <c r="H628" s="220" t="s">
        <v>55</v>
      </c>
      <c r="I628" s="211"/>
      <c r="J628" s="270">
        <v>5488</v>
      </c>
      <c r="K628" s="223">
        <f>VLOOKUP(H628,名称!A:C,2,0)</f>
        <v>7</v>
      </c>
      <c r="L628" s="212">
        <f t="shared" si="131"/>
        <v>38416</v>
      </c>
      <c r="M628" s="257">
        <f>VLOOKUP(H628,名称!A:E,3,0)</f>
        <v>16</v>
      </c>
      <c r="N628" s="259">
        <f t="shared" si="130"/>
        <v>343</v>
      </c>
      <c r="O628" s="271">
        <v>46211</v>
      </c>
      <c r="P628" s="271">
        <v>46220</v>
      </c>
      <c r="Q628" s="271">
        <v>46230</v>
      </c>
      <c r="R628" s="241" t="s">
        <v>1241</v>
      </c>
      <c r="S628" s="208" t="s">
        <v>1133</v>
      </c>
      <c r="T628" s="211"/>
      <c r="U628" s="211"/>
      <c r="V628" s="213">
        <v>46230</v>
      </c>
      <c r="W628" s="208"/>
      <c r="X628" s="257" t="s">
        <v>1248</v>
      </c>
      <c r="Y628" s="263"/>
      <c r="Z628" s="335">
        <v>46191</v>
      </c>
      <c r="AA628" s="214">
        <v>46197</v>
      </c>
      <c r="AB628" s="214">
        <v>46197</v>
      </c>
      <c r="AC628" s="257" t="s">
        <v>1284</v>
      </c>
      <c r="AD628" s="257" t="s">
        <v>1228</v>
      </c>
      <c r="AE628" s="220" t="s">
        <v>510</v>
      </c>
      <c r="AF628" s="257" t="s">
        <v>1228</v>
      </c>
      <c r="AG628" s="257" t="s">
        <v>510</v>
      </c>
      <c r="AH628" s="257" t="s">
        <v>1307</v>
      </c>
      <c r="AI628" s="257" t="s">
        <v>1228</v>
      </c>
      <c r="AJ628" s="257" t="s">
        <v>1133</v>
      </c>
      <c r="AK628" s="257" t="s">
        <v>1133</v>
      </c>
      <c r="AL628" s="257" t="s">
        <v>1228</v>
      </c>
      <c r="AM628" s="338" t="s">
        <v>1920</v>
      </c>
      <c r="AN628" s="220"/>
      <c r="AO628" s="215">
        <v>0.9</v>
      </c>
      <c r="AP628" s="216">
        <f t="shared" si="122"/>
        <v>4939.2</v>
      </c>
      <c r="AQ628" s="216">
        <f t="shared" si="123"/>
        <v>38278.8</v>
      </c>
      <c r="AR628" s="224">
        <v>61451</v>
      </c>
      <c r="AS628" s="330">
        <v>46233</v>
      </c>
      <c r="AT628" s="208" t="s">
        <v>1220</v>
      </c>
      <c r="AU628" s="252">
        <v>5488</v>
      </c>
      <c r="AV628" s="252">
        <f t="shared" si="133"/>
        <v>0</v>
      </c>
      <c r="AW628" s="331"/>
      <c r="AX628" s="274" t="s">
        <v>1280</v>
      </c>
      <c r="AY628" s="208" t="s">
        <v>1262</v>
      </c>
      <c r="AZ628" s="208" t="s">
        <v>1372</v>
      </c>
      <c r="BA628" s="208"/>
      <c r="BB628" s="208" t="str">
        <f t="shared" si="115"/>
        <v>CORPORACION EL ROSADO S.A</v>
      </c>
      <c r="BC628" s="208" t="str">
        <f t="shared" si="132"/>
        <v>厄瓜多尔</v>
      </c>
    </row>
    <row r="629" s="194" customFormat="1" customHeight="1" spans="1:55">
      <c r="A629" s="208">
        <v>46164</v>
      </c>
      <c r="B629" s="208" t="str">
        <f ca="1" t="shared" si="124"/>
        <v/>
      </c>
      <c r="C629" s="211" t="str">
        <f>VLOOKUP(H629,名称!A:E,4,0)</f>
        <v>三代</v>
      </c>
      <c r="D629" s="220" t="s">
        <v>1919</v>
      </c>
      <c r="E629" s="220" t="s">
        <v>1398</v>
      </c>
      <c r="F629" s="220"/>
      <c r="G629" s="220" t="s">
        <v>884</v>
      </c>
      <c r="H629" s="220" t="s">
        <v>66</v>
      </c>
      <c r="I629" s="211"/>
      <c r="J629" s="270">
        <f>4400-2</f>
        <v>4398</v>
      </c>
      <c r="K629" s="223">
        <f>VLOOKUP(H629,名称!A:C,2,0)</f>
        <v>12</v>
      </c>
      <c r="L629" s="212">
        <f t="shared" si="131"/>
        <v>52776</v>
      </c>
      <c r="M629" s="257">
        <f>VLOOKUP(H629,名称!A:E,3,0)</f>
        <v>6</v>
      </c>
      <c r="N629" s="259">
        <f t="shared" si="130"/>
        <v>733</v>
      </c>
      <c r="O629" s="271">
        <v>46211</v>
      </c>
      <c r="P629" s="271">
        <v>46220</v>
      </c>
      <c r="Q629" s="256">
        <v>46227</v>
      </c>
      <c r="R629" s="241" t="s">
        <v>1241</v>
      </c>
      <c r="S629" s="256" t="s">
        <v>1133</v>
      </c>
      <c r="T629" s="211"/>
      <c r="U629" s="211"/>
      <c r="V629" s="263">
        <v>46230</v>
      </c>
      <c r="W629" s="208"/>
      <c r="X629" s="257" t="s">
        <v>1248</v>
      </c>
      <c r="Y629" s="263"/>
      <c r="Z629" s="335">
        <v>46191</v>
      </c>
      <c r="AA629" s="264">
        <v>46197</v>
      </c>
      <c r="AB629" s="264">
        <v>46197</v>
      </c>
      <c r="AC629" s="257" t="s">
        <v>1318</v>
      </c>
      <c r="AD629" s="257" t="s">
        <v>1228</v>
      </c>
      <c r="AE629" s="220" t="s">
        <v>510</v>
      </c>
      <c r="AF629" s="257" t="s">
        <v>1228</v>
      </c>
      <c r="AG629" s="257" t="s">
        <v>510</v>
      </c>
      <c r="AH629" s="257" t="s">
        <v>1307</v>
      </c>
      <c r="AI629" s="257" t="s">
        <v>1228</v>
      </c>
      <c r="AJ629" s="257" t="s">
        <v>510</v>
      </c>
      <c r="AK629" s="257" t="s">
        <v>1133</v>
      </c>
      <c r="AL629" s="267" t="s">
        <v>1228</v>
      </c>
      <c r="AM629" s="338" t="s">
        <v>1920</v>
      </c>
      <c r="AN629" s="220"/>
      <c r="AO629" s="215">
        <v>2.04</v>
      </c>
      <c r="AP629" s="216">
        <f t="shared" si="122"/>
        <v>8971.92</v>
      </c>
      <c r="AQ629" s="216">
        <f t="shared" si="123"/>
        <v>69532.38</v>
      </c>
      <c r="AR629" s="224">
        <v>61451</v>
      </c>
      <c r="AS629" s="330">
        <v>46233</v>
      </c>
      <c r="AT629" s="208" t="s">
        <v>1220</v>
      </c>
      <c r="AU629" s="252">
        <v>4398</v>
      </c>
      <c r="AV629" s="252">
        <f t="shared" si="133"/>
        <v>0</v>
      </c>
      <c r="AW629" s="331"/>
      <c r="AX629" s="257" t="s">
        <v>1280</v>
      </c>
      <c r="AY629" s="208" t="s">
        <v>1262</v>
      </c>
      <c r="AZ629" s="208" t="s">
        <v>1372</v>
      </c>
      <c r="BA629" s="208"/>
      <c r="BB629" s="208" t="str">
        <f t="shared" si="115"/>
        <v>CORPORACION EL ROSADO S.A</v>
      </c>
      <c r="BC629" s="208" t="str">
        <f t="shared" si="132"/>
        <v>厄瓜多尔</v>
      </c>
    </row>
    <row r="630" s="194" customFormat="1" customHeight="1" spans="1:55">
      <c r="A630" s="208">
        <v>46164</v>
      </c>
      <c r="B630" s="208" t="str">
        <f ca="1" t="shared" si="124"/>
        <v/>
      </c>
      <c r="C630" s="211" t="str">
        <f>VLOOKUP(H630,名称!A:E,4,0)</f>
        <v>三代</v>
      </c>
      <c r="D630" s="220" t="s">
        <v>1919</v>
      </c>
      <c r="E630" s="220" t="s">
        <v>1398</v>
      </c>
      <c r="F630" s="220"/>
      <c r="G630" s="220" t="s">
        <v>884</v>
      </c>
      <c r="H630" s="220" t="s">
        <v>85</v>
      </c>
      <c r="I630" s="211"/>
      <c r="J630" s="270">
        <f>5500-4</f>
        <v>5496</v>
      </c>
      <c r="K630" s="223">
        <f>VLOOKUP(H630,名称!A:C,2,0)</f>
        <v>5</v>
      </c>
      <c r="L630" s="212">
        <f t="shared" si="131"/>
        <v>27480</v>
      </c>
      <c r="M630" s="257">
        <f>VLOOKUP(H630,名称!A:E,3,0)</f>
        <v>24</v>
      </c>
      <c r="N630" s="259">
        <f t="shared" si="130"/>
        <v>229</v>
      </c>
      <c r="O630" s="271">
        <v>46211</v>
      </c>
      <c r="P630" s="271">
        <v>46220</v>
      </c>
      <c r="Q630" s="256">
        <v>46230</v>
      </c>
      <c r="R630" s="241" t="s">
        <v>1241</v>
      </c>
      <c r="S630" s="256" t="s">
        <v>1133</v>
      </c>
      <c r="T630" s="211"/>
      <c r="U630" s="211"/>
      <c r="V630" s="263">
        <v>46230</v>
      </c>
      <c r="W630" s="208"/>
      <c r="X630" s="257" t="s">
        <v>1248</v>
      </c>
      <c r="Y630" s="263"/>
      <c r="Z630" s="335">
        <v>46191</v>
      </c>
      <c r="AA630" s="264">
        <v>46197</v>
      </c>
      <c r="AB630" s="264">
        <v>46197</v>
      </c>
      <c r="AC630" s="257" t="s">
        <v>1133</v>
      </c>
      <c r="AD630" s="257" t="s">
        <v>1133</v>
      </c>
      <c r="AE630" s="220" t="s">
        <v>510</v>
      </c>
      <c r="AF630" s="257" t="s">
        <v>1228</v>
      </c>
      <c r="AG630" s="257" t="s">
        <v>510</v>
      </c>
      <c r="AH630" s="257" t="s">
        <v>1133</v>
      </c>
      <c r="AI630" s="257" t="s">
        <v>1228</v>
      </c>
      <c r="AJ630" s="257" t="s">
        <v>1133</v>
      </c>
      <c r="AK630" s="257" t="s">
        <v>510</v>
      </c>
      <c r="AL630" s="267" t="s">
        <v>1228</v>
      </c>
      <c r="AM630" s="338" t="s">
        <v>1920</v>
      </c>
      <c r="AN630" s="220" t="s">
        <v>1349</v>
      </c>
      <c r="AO630" s="215">
        <v>0.89</v>
      </c>
      <c r="AP630" s="216">
        <f t="shared" si="122"/>
        <v>4891.44</v>
      </c>
      <c r="AQ630" s="216">
        <f t="shared" si="123"/>
        <v>37908.66</v>
      </c>
      <c r="AR630" s="224">
        <v>61451</v>
      </c>
      <c r="AS630" s="330">
        <v>46233</v>
      </c>
      <c r="AT630" s="208" t="s">
        <v>1220</v>
      </c>
      <c r="AU630" s="252">
        <v>5496</v>
      </c>
      <c r="AV630" s="252">
        <f t="shared" si="133"/>
        <v>0</v>
      </c>
      <c r="AW630" s="331"/>
      <c r="AX630" s="256" t="s">
        <v>1280</v>
      </c>
      <c r="AY630" s="208" t="s">
        <v>1262</v>
      </c>
      <c r="AZ630" s="208" t="s">
        <v>1372</v>
      </c>
      <c r="BA630" s="208"/>
      <c r="BB630" s="208" t="str">
        <f t="shared" ref="BB630:BB645" si="134">D630</f>
        <v>CORPORACION EL ROSADO S.A</v>
      </c>
      <c r="BC630" s="208" t="str">
        <f t="shared" si="132"/>
        <v>厄瓜多尔</v>
      </c>
    </row>
    <row r="631" s="194" customFormat="1" customHeight="1" spans="1:55">
      <c r="A631" s="208">
        <v>46164</v>
      </c>
      <c r="B631" s="208" t="str">
        <f ca="1" t="shared" si="124"/>
        <v/>
      </c>
      <c r="C631" s="211" t="str">
        <f>VLOOKUP(H631,名称!A:E,4,0)</f>
        <v>三代</v>
      </c>
      <c r="D631" s="220" t="s">
        <v>1919</v>
      </c>
      <c r="E631" s="220" t="s">
        <v>1398</v>
      </c>
      <c r="F631" s="220"/>
      <c r="G631" s="268" t="s">
        <v>885</v>
      </c>
      <c r="H631" s="220" t="s">
        <v>61</v>
      </c>
      <c r="I631" s="211"/>
      <c r="J631" s="270">
        <f>4400-8</f>
        <v>4392</v>
      </c>
      <c r="K631" s="223">
        <f>VLOOKUP(H631,名称!A:C,2,0)</f>
        <v>5</v>
      </c>
      <c r="L631" s="212">
        <f t="shared" si="131"/>
        <v>21960</v>
      </c>
      <c r="M631" s="257">
        <f>VLOOKUP(H631,名称!A:E,3,0)</f>
        <v>24</v>
      </c>
      <c r="N631" s="259">
        <f t="shared" si="130"/>
        <v>183</v>
      </c>
      <c r="O631" s="271">
        <v>46220</v>
      </c>
      <c r="P631" s="271">
        <v>46220</v>
      </c>
      <c r="Q631" s="256">
        <v>46227</v>
      </c>
      <c r="R631" s="241" t="s">
        <v>1241</v>
      </c>
      <c r="S631" s="256" t="s">
        <v>1133</v>
      </c>
      <c r="T631" s="211"/>
      <c r="U631" s="211"/>
      <c r="V631" s="213">
        <v>46230</v>
      </c>
      <c r="W631" s="208"/>
      <c r="X631" s="257" t="s">
        <v>1248</v>
      </c>
      <c r="Y631" s="263"/>
      <c r="Z631" s="335">
        <v>46191</v>
      </c>
      <c r="AA631" s="214">
        <v>46197</v>
      </c>
      <c r="AB631" s="214">
        <v>46197</v>
      </c>
      <c r="AC631" s="257" t="s">
        <v>1133</v>
      </c>
      <c r="AD631" s="257" t="s">
        <v>1133</v>
      </c>
      <c r="AE631" s="220" t="s">
        <v>510</v>
      </c>
      <c r="AF631" s="257" t="s">
        <v>1228</v>
      </c>
      <c r="AG631" s="257" t="s">
        <v>510</v>
      </c>
      <c r="AH631" s="257" t="s">
        <v>1133</v>
      </c>
      <c r="AI631" s="257" t="s">
        <v>1228</v>
      </c>
      <c r="AJ631" s="257" t="s">
        <v>1133</v>
      </c>
      <c r="AK631" s="257" t="s">
        <v>510</v>
      </c>
      <c r="AL631" s="267" t="s">
        <v>1228</v>
      </c>
      <c r="AM631" s="338" t="s">
        <v>1920</v>
      </c>
      <c r="AN631" s="220"/>
      <c r="AO631" s="215">
        <v>0.63</v>
      </c>
      <c r="AP631" s="216">
        <f t="shared" si="122"/>
        <v>2766.96</v>
      </c>
      <c r="AQ631" s="216">
        <f t="shared" si="123"/>
        <v>21443.94</v>
      </c>
      <c r="AR631" s="224">
        <v>61452</v>
      </c>
      <c r="AS631" s="330">
        <v>46233</v>
      </c>
      <c r="AT631" s="208" t="s">
        <v>1220</v>
      </c>
      <c r="AU631" s="252">
        <f>4392</f>
        <v>4392</v>
      </c>
      <c r="AV631" s="252">
        <f t="shared" si="133"/>
        <v>0</v>
      </c>
      <c r="AW631" s="331"/>
      <c r="AX631" s="256" t="s">
        <v>1280</v>
      </c>
      <c r="AY631" s="208" t="s">
        <v>1262</v>
      </c>
      <c r="AZ631" s="208" t="s">
        <v>1372</v>
      </c>
      <c r="BA631" s="208"/>
      <c r="BB631" s="208" t="str">
        <f t="shared" si="134"/>
        <v>CORPORACION EL ROSADO S.A</v>
      </c>
      <c r="BC631" s="208" t="str">
        <f t="shared" si="132"/>
        <v>厄瓜多尔</v>
      </c>
    </row>
    <row r="632" s="194" customFormat="1" customHeight="1" spans="1:55">
      <c r="A632" s="208">
        <v>46164</v>
      </c>
      <c r="B632" s="208" t="str">
        <f ca="1" t="shared" si="124"/>
        <v/>
      </c>
      <c r="C632" s="211" t="str">
        <f>VLOOKUP(H632,名称!A:E,4,0)</f>
        <v>蛋糕</v>
      </c>
      <c r="D632" s="220" t="s">
        <v>1652</v>
      </c>
      <c r="E632" s="220" t="s">
        <v>1653</v>
      </c>
      <c r="F632" s="220"/>
      <c r="G632" s="220" t="s">
        <v>883</v>
      </c>
      <c r="H632" s="220" t="s">
        <v>52</v>
      </c>
      <c r="I632" s="211"/>
      <c r="J632" s="270">
        <v>1200</v>
      </c>
      <c r="K632" s="223"/>
      <c r="L632" s="212"/>
      <c r="M632" s="211">
        <f>VLOOKUP(H632,名称!A:E,3,0)</f>
        <v>4</v>
      </c>
      <c r="N632" s="212">
        <f t="shared" si="130"/>
        <v>300</v>
      </c>
      <c r="O632" s="271">
        <v>46219</v>
      </c>
      <c r="P632" s="271">
        <f t="shared" ref="P632:P634" si="135">O632</f>
        <v>46219</v>
      </c>
      <c r="Q632" s="271">
        <f>P632</f>
        <v>46219</v>
      </c>
      <c r="R632" s="241" t="s">
        <v>1241</v>
      </c>
      <c r="S632" s="208" t="s">
        <v>1133</v>
      </c>
      <c r="T632" s="211"/>
      <c r="U632" s="211"/>
      <c r="V632" s="213">
        <v>46228</v>
      </c>
      <c r="W632" s="208"/>
      <c r="X632" s="257" t="s">
        <v>1248</v>
      </c>
      <c r="Y632" s="213">
        <v>46170</v>
      </c>
      <c r="Z632" s="211" t="s">
        <v>1249</v>
      </c>
      <c r="AA632" s="214">
        <v>46169</v>
      </c>
      <c r="AB632" s="213">
        <v>46170</v>
      </c>
      <c r="AC632" s="211" t="s">
        <v>1133</v>
      </c>
      <c r="AD632" s="211" t="s">
        <v>1133</v>
      </c>
      <c r="AE632" s="220" t="s">
        <v>510</v>
      </c>
      <c r="AF632" s="211" t="s">
        <v>1228</v>
      </c>
      <c r="AG632" s="220" t="s">
        <v>1523</v>
      </c>
      <c r="AH632" s="211" t="s">
        <v>1133</v>
      </c>
      <c r="AI632" s="211" t="s">
        <v>1228</v>
      </c>
      <c r="AJ632" s="211" t="s">
        <v>1133</v>
      </c>
      <c r="AK632" s="211" t="s">
        <v>1228</v>
      </c>
      <c r="AL632" s="211"/>
      <c r="AM632" s="267" t="s">
        <v>1887</v>
      </c>
      <c r="AN632" s="220" t="s">
        <v>1921</v>
      </c>
      <c r="AO632" s="215">
        <v>2.93</v>
      </c>
      <c r="AP632" s="216">
        <f t="shared" si="122"/>
        <v>3516</v>
      </c>
      <c r="AQ632" s="216">
        <f t="shared" si="123"/>
        <v>27249</v>
      </c>
      <c r="AR632" s="224">
        <v>61453</v>
      </c>
      <c r="AS632" s="330">
        <v>46233</v>
      </c>
      <c r="AT632" s="208" t="s">
        <v>1220</v>
      </c>
      <c r="AU632" s="212"/>
      <c r="AV632" s="208"/>
      <c r="AW632" s="208"/>
      <c r="AX632" s="208"/>
      <c r="AY632" s="208" t="s">
        <v>1262</v>
      </c>
      <c r="AZ632" s="208"/>
      <c r="BA632" s="208"/>
      <c r="BB632" s="208" t="str">
        <f t="shared" si="134"/>
        <v>Litt Tak SDN. BHD.</v>
      </c>
      <c r="BC632" s="208" t="str">
        <f t="shared" si="132"/>
        <v>马来西亚</v>
      </c>
    </row>
    <row r="633" s="194" customFormat="1" customHeight="1" spans="1:55">
      <c r="A633" s="208">
        <v>46164</v>
      </c>
      <c r="B633" s="208" t="str">
        <f ca="1" t="shared" si="124"/>
        <v/>
      </c>
      <c r="C633" s="211" t="str">
        <f>VLOOKUP(H633,名称!A:E,4,0)</f>
        <v>蛋糕</v>
      </c>
      <c r="D633" s="220" t="s">
        <v>1652</v>
      </c>
      <c r="E633" s="220" t="s">
        <v>1653</v>
      </c>
      <c r="F633" s="220"/>
      <c r="G633" s="220" t="s">
        <v>883</v>
      </c>
      <c r="H633" s="220" t="s">
        <v>50</v>
      </c>
      <c r="I633" s="211"/>
      <c r="J633" s="270">
        <v>2430</v>
      </c>
      <c r="K633" s="223"/>
      <c r="L633" s="212"/>
      <c r="M633" s="211">
        <f>VLOOKUP(H633,名称!A:E,3,0)</f>
        <v>18</v>
      </c>
      <c r="N633" s="212">
        <f t="shared" si="130"/>
        <v>135</v>
      </c>
      <c r="O633" s="271">
        <v>46219</v>
      </c>
      <c r="P633" s="271">
        <f t="shared" si="135"/>
        <v>46219</v>
      </c>
      <c r="Q633" s="271">
        <v>46230</v>
      </c>
      <c r="R633" s="241" t="s">
        <v>1241</v>
      </c>
      <c r="S633" s="208" t="s">
        <v>1133</v>
      </c>
      <c r="T633" s="211"/>
      <c r="U633" s="211"/>
      <c r="V633" s="263">
        <v>46228</v>
      </c>
      <c r="W633" s="208"/>
      <c r="X633" s="257" t="s">
        <v>1248</v>
      </c>
      <c r="Y633" s="213">
        <v>46170</v>
      </c>
      <c r="Z633" s="211" t="s">
        <v>1249</v>
      </c>
      <c r="AA633" s="214">
        <v>46169</v>
      </c>
      <c r="AB633" s="213">
        <v>46170</v>
      </c>
      <c r="AC633" s="211" t="s">
        <v>1133</v>
      </c>
      <c r="AD633" s="211" t="s">
        <v>1133</v>
      </c>
      <c r="AE633" s="220" t="s">
        <v>510</v>
      </c>
      <c r="AF633" s="211" t="s">
        <v>1228</v>
      </c>
      <c r="AG633" s="257" t="s">
        <v>510</v>
      </c>
      <c r="AH633" s="211" t="s">
        <v>1133</v>
      </c>
      <c r="AI633" s="211" t="s">
        <v>1228</v>
      </c>
      <c r="AJ633" s="211" t="s">
        <v>1133</v>
      </c>
      <c r="AK633" s="257" t="s">
        <v>1523</v>
      </c>
      <c r="AL633" s="211"/>
      <c r="AM633" s="267" t="s">
        <v>1887</v>
      </c>
      <c r="AN633" s="220" t="s">
        <v>1921</v>
      </c>
      <c r="AO633" s="215">
        <v>1.15</v>
      </c>
      <c r="AP633" s="216">
        <f t="shared" si="122"/>
        <v>2794.5</v>
      </c>
      <c r="AQ633" s="216">
        <f t="shared" si="123"/>
        <v>21657.38</v>
      </c>
      <c r="AR633" s="224">
        <v>61453</v>
      </c>
      <c r="AS633" s="330">
        <v>46233</v>
      </c>
      <c r="AT633" s="208" t="s">
        <v>1220</v>
      </c>
      <c r="AU633" s="212"/>
      <c r="AV633" s="208"/>
      <c r="AW633" s="208"/>
      <c r="AX633" s="208"/>
      <c r="AY633" s="208" t="s">
        <v>1262</v>
      </c>
      <c r="AZ633" s="208"/>
      <c r="BA633" s="208"/>
      <c r="BB633" s="208" t="str">
        <f t="shared" si="134"/>
        <v>Litt Tak SDN. BHD.</v>
      </c>
      <c r="BC633" s="208" t="str">
        <f t="shared" si="132"/>
        <v>马来西亚</v>
      </c>
    </row>
    <row r="634" s="194" customFormat="1" customHeight="1" spans="1:55">
      <c r="A634" s="208">
        <v>46141</v>
      </c>
      <c r="B634" s="208" t="str">
        <f ca="1" t="shared" si="124"/>
        <v/>
      </c>
      <c r="C634" s="211" t="str">
        <f>VLOOKUP(H634,名称!A:E,4,0)</f>
        <v>三代</v>
      </c>
      <c r="D634" s="220" t="s">
        <v>1257</v>
      </c>
      <c r="E634" s="220" t="s">
        <v>1389</v>
      </c>
      <c r="F634" s="220" t="s">
        <v>796</v>
      </c>
      <c r="G634" s="220" t="s">
        <v>797</v>
      </c>
      <c r="H634" s="220" t="s">
        <v>117</v>
      </c>
      <c r="I634" s="211"/>
      <c r="J634" s="270">
        <v>2250</v>
      </c>
      <c r="K634" s="223">
        <f>VLOOKUP(H634,名称!A:C,2,0)</f>
        <v>50</v>
      </c>
      <c r="L634" s="212">
        <f t="shared" ref="L634:L645" si="136">J634*K634</f>
        <v>112500</v>
      </c>
      <c r="M634" s="211">
        <f>VLOOKUP(H634,名称!A:E,3,0)</f>
        <v>2</v>
      </c>
      <c r="N634" s="212">
        <f t="shared" si="130"/>
        <v>1125</v>
      </c>
      <c r="O634" s="271">
        <v>46223</v>
      </c>
      <c r="P634" s="256">
        <f t="shared" si="135"/>
        <v>46223</v>
      </c>
      <c r="Q634" s="256">
        <v>46230</v>
      </c>
      <c r="R634" s="241" t="s">
        <v>1241</v>
      </c>
      <c r="S634" s="256">
        <v>46230</v>
      </c>
      <c r="T634" s="241" t="s">
        <v>1133</v>
      </c>
      <c r="U634" s="211"/>
      <c r="V634" s="213">
        <v>46230</v>
      </c>
      <c r="W634" s="208"/>
      <c r="X634" s="257" t="s">
        <v>1133</v>
      </c>
      <c r="Y634" s="257" t="s">
        <v>1133</v>
      </c>
      <c r="Z634" s="257" t="s">
        <v>1249</v>
      </c>
      <c r="AA634" s="264">
        <v>46157</v>
      </c>
      <c r="AB634" s="264">
        <v>46170</v>
      </c>
      <c r="AC634" s="257" t="s">
        <v>1133</v>
      </c>
      <c r="AD634" s="257" t="s">
        <v>1133</v>
      </c>
      <c r="AE634" s="220" t="s">
        <v>334</v>
      </c>
      <c r="AF634" s="257" t="s">
        <v>1228</v>
      </c>
      <c r="AG634" s="257" t="s">
        <v>334</v>
      </c>
      <c r="AH634" s="257" t="s">
        <v>1133</v>
      </c>
      <c r="AI634" s="257" t="s">
        <v>1228</v>
      </c>
      <c r="AJ634" s="257" t="s">
        <v>1133</v>
      </c>
      <c r="AK634" s="257" t="s">
        <v>1356</v>
      </c>
      <c r="AL634" s="257"/>
      <c r="AM634" s="257" t="s">
        <v>1922</v>
      </c>
      <c r="AN634" s="220" t="s">
        <v>1261</v>
      </c>
      <c r="AO634" s="215">
        <v>9.28</v>
      </c>
      <c r="AP634" s="216">
        <f t="shared" si="122"/>
        <v>20880</v>
      </c>
      <c r="AQ634" s="216">
        <f t="shared" si="123"/>
        <v>161820</v>
      </c>
      <c r="AR634" s="224">
        <v>61454</v>
      </c>
      <c r="AS634" s="330">
        <v>46233</v>
      </c>
      <c r="AT634" s="273" t="s">
        <v>1220</v>
      </c>
      <c r="AU634" s="253"/>
      <c r="AV634" s="252">
        <f>AU634-J634</f>
        <v>-2250</v>
      </c>
      <c r="AW634" s="331"/>
      <c r="AX634" s="256"/>
      <c r="AY634" s="208"/>
      <c r="AZ634" s="208"/>
      <c r="BA634" s="208"/>
      <c r="BB634" s="208" t="str">
        <f t="shared" si="134"/>
        <v>Character Options</v>
      </c>
      <c r="BC634" s="208" t="str">
        <f t="shared" si="132"/>
        <v>爱尔兰</v>
      </c>
    </row>
    <row r="635" s="194" customFormat="1" customHeight="1" spans="1:55">
      <c r="A635" s="271">
        <v>46128</v>
      </c>
      <c r="B635" s="208" t="str">
        <f ca="1" t="shared" si="124"/>
        <v/>
      </c>
      <c r="C635" s="211" t="str">
        <f>VLOOKUP(H635,名称!A:E,4,0)</f>
        <v>三代</v>
      </c>
      <c r="D635" s="210" t="s">
        <v>1320</v>
      </c>
      <c r="E635" s="210" t="s">
        <v>1224</v>
      </c>
      <c r="F635" s="211">
        <v>247400000</v>
      </c>
      <c r="G635" s="211" t="s">
        <v>741</v>
      </c>
      <c r="H635" s="211" t="s">
        <v>88</v>
      </c>
      <c r="I635" s="211"/>
      <c r="J635" s="212">
        <v>6696</v>
      </c>
      <c r="K635" s="223">
        <f>VLOOKUP(H635,名称!A:C,2,0)</f>
        <v>5</v>
      </c>
      <c r="L635" s="212">
        <f t="shared" si="136"/>
        <v>33480</v>
      </c>
      <c r="M635" s="211">
        <f>VLOOKUP(H635,名称!A:E,3,0)</f>
        <v>24</v>
      </c>
      <c r="N635" s="212">
        <f t="shared" si="130"/>
        <v>279</v>
      </c>
      <c r="O635" s="208">
        <v>46204</v>
      </c>
      <c r="P635" s="208">
        <v>46213</v>
      </c>
      <c r="Q635" s="208">
        <v>46224</v>
      </c>
      <c r="R635" s="241" t="s">
        <v>1241</v>
      </c>
      <c r="S635" s="256" t="s">
        <v>1133</v>
      </c>
      <c r="T635" s="211"/>
      <c r="U635" s="211"/>
      <c r="V635" s="213">
        <v>46233</v>
      </c>
      <c r="W635" s="208"/>
      <c r="X635" s="257" t="s">
        <v>1321</v>
      </c>
      <c r="Y635" s="257" t="s">
        <v>1228</v>
      </c>
      <c r="Z635" s="263">
        <v>46150</v>
      </c>
      <c r="AA635" s="264">
        <v>46155</v>
      </c>
      <c r="AB635" s="264">
        <v>46155</v>
      </c>
      <c r="AC635" s="257" t="s">
        <v>1133</v>
      </c>
      <c r="AD635" s="257" t="s">
        <v>1133</v>
      </c>
      <c r="AE635" s="211" t="s">
        <v>510</v>
      </c>
      <c r="AF635" s="257" t="s">
        <v>1228</v>
      </c>
      <c r="AG635" s="257" t="s">
        <v>510</v>
      </c>
      <c r="AH635" s="257" t="s">
        <v>1133</v>
      </c>
      <c r="AI635" s="257" t="s">
        <v>1228</v>
      </c>
      <c r="AJ635" s="257" t="s">
        <v>1133</v>
      </c>
      <c r="AK635" s="257" t="s">
        <v>510</v>
      </c>
      <c r="AL635" s="257"/>
      <c r="AM635" s="257" t="s">
        <v>1303</v>
      </c>
      <c r="AN635" s="212" t="s">
        <v>1251</v>
      </c>
      <c r="AO635" s="215">
        <v>0.8</v>
      </c>
      <c r="AP635" s="216">
        <f t="shared" si="122"/>
        <v>5356.8</v>
      </c>
      <c r="AQ635" s="216">
        <f t="shared" si="123"/>
        <v>41515.2</v>
      </c>
      <c r="AR635" s="224">
        <v>61455</v>
      </c>
      <c r="AS635" s="330">
        <v>46233</v>
      </c>
      <c r="AT635" s="208" t="s">
        <v>1310</v>
      </c>
      <c r="AU635" s="253"/>
      <c r="AV635" s="252">
        <f>AU635-J635</f>
        <v>-6696</v>
      </c>
      <c r="AW635" s="252"/>
      <c r="AX635" s="256"/>
      <c r="AY635" s="208"/>
      <c r="AZ635" s="208"/>
      <c r="BA635" s="208"/>
      <c r="BB635" s="208" t="str">
        <f t="shared" si="134"/>
        <v>PHAT MOJO</v>
      </c>
      <c r="BC635" s="208" t="str">
        <f t="shared" si="132"/>
        <v>美国</v>
      </c>
    </row>
    <row r="636" s="194" customFormat="1" customHeight="1" spans="1:55">
      <c r="A636" s="208">
        <v>46085</v>
      </c>
      <c r="B636" s="208" t="str">
        <f ca="1" t="shared" si="124"/>
        <v/>
      </c>
      <c r="C636" s="211" t="str">
        <f>VLOOKUP(H636,名称!A:E,4,0)</f>
        <v>蛋糕</v>
      </c>
      <c r="D636" s="210" t="s">
        <v>1502</v>
      </c>
      <c r="E636" s="210" t="s">
        <v>1224</v>
      </c>
      <c r="F636" s="211" t="s">
        <v>532</v>
      </c>
      <c r="G636" s="211" t="s">
        <v>533</v>
      </c>
      <c r="H636" s="211" t="s">
        <v>50</v>
      </c>
      <c r="I636" s="211"/>
      <c r="J636" s="212">
        <v>1980</v>
      </c>
      <c r="K636" s="223">
        <f>VLOOKUP(H636,名称!A:C,2,0)</f>
        <v>0</v>
      </c>
      <c r="L636" s="212">
        <f t="shared" si="136"/>
        <v>0</v>
      </c>
      <c r="M636" s="211">
        <f>VLOOKUP(H636,名称!A:E,3,0)</f>
        <v>18</v>
      </c>
      <c r="N636" s="212">
        <f t="shared" si="130"/>
        <v>110</v>
      </c>
      <c r="O636" s="208">
        <v>46208</v>
      </c>
      <c r="P636" s="208">
        <v>46208</v>
      </c>
      <c r="Q636" s="208">
        <v>46218</v>
      </c>
      <c r="R636" s="241" t="s">
        <v>1241</v>
      </c>
      <c r="S636" s="274" t="s">
        <v>1133</v>
      </c>
      <c r="T636" s="211"/>
      <c r="U636" s="211"/>
      <c r="V636" s="213">
        <v>46226</v>
      </c>
      <c r="W636" s="208"/>
      <c r="X636" s="220" t="s">
        <v>1332</v>
      </c>
      <c r="Y636" s="211" t="s">
        <v>1228</v>
      </c>
      <c r="Z636" s="211" t="s">
        <v>1503</v>
      </c>
      <c r="AA636" s="213">
        <v>46108</v>
      </c>
      <c r="AB636" s="213">
        <v>46108</v>
      </c>
      <c r="AC636" s="211" t="s">
        <v>1133</v>
      </c>
      <c r="AD636" s="211" t="s">
        <v>1133</v>
      </c>
      <c r="AE636" s="211" t="s">
        <v>510</v>
      </c>
      <c r="AF636" s="211" t="s">
        <v>1228</v>
      </c>
      <c r="AG636" s="211" t="s">
        <v>510</v>
      </c>
      <c r="AH636" s="211" t="s">
        <v>1133</v>
      </c>
      <c r="AI636" s="211" t="s">
        <v>1228</v>
      </c>
      <c r="AJ636" s="211" t="s">
        <v>1133</v>
      </c>
      <c r="AK636" s="211" t="s">
        <v>1228</v>
      </c>
      <c r="AL636" s="211"/>
      <c r="AM636" s="257" t="s">
        <v>1506</v>
      </c>
      <c r="AN636" s="212" t="s">
        <v>1504</v>
      </c>
      <c r="AO636" s="215">
        <v>1.06</v>
      </c>
      <c r="AP636" s="216">
        <f t="shared" si="122"/>
        <v>2098.8</v>
      </c>
      <c r="AQ636" s="216">
        <f t="shared" si="123"/>
        <v>16265.7</v>
      </c>
      <c r="AR636" s="224">
        <v>61456</v>
      </c>
      <c r="AS636" s="330">
        <v>46233</v>
      </c>
      <c r="AT636" s="208" t="s">
        <v>1220</v>
      </c>
      <c r="AU636" s="208"/>
      <c r="AV636" s="208"/>
      <c r="AW636" s="208"/>
      <c r="AX636" s="208"/>
      <c r="AY636" s="208"/>
      <c r="AZ636" s="208"/>
      <c r="BA636" s="208"/>
      <c r="BB636" s="208" t="str">
        <f t="shared" si="134"/>
        <v>Target Corporation</v>
      </c>
      <c r="BC636" s="208" t="str">
        <f t="shared" si="132"/>
        <v>美国</v>
      </c>
    </row>
    <row r="637" s="194" customFormat="1" customHeight="1" spans="1:55">
      <c r="A637" s="208">
        <v>46139</v>
      </c>
      <c r="B637" s="208" t="str">
        <f ca="1" t="shared" si="124"/>
        <v/>
      </c>
      <c r="C637" s="211" t="str">
        <f>VLOOKUP(H637,名称!A:E,4,0)</f>
        <v>蛋糕</v>
      </c>
      <c r="D637" s="220" t="s">
        <v>1330</v>
      </c>
      <c r="E637" s="220" t="s">
        <v>1923</v>
      </c>
      <c r="F637" s="220" t="s">
        <v>787</v>
      </c>
      <c r="G637" s="220" t="s">
        <v>788</v>
      </c>
      <c r="H637" s="220" t="s">
        <v>129</v>
      </c>
      <c r="I637" s="211"/>
      <c r="J637" s="272">
        <f>432-12</f>
        <v>420</v>
      </c>
      <c r="K637" s="223">
        <f>VLOOKUP(H637,名称!A:C,2,0)</f>
        <v>0</v>
      </c>
      <c r="L637" s="212">
        <f t="shared" si="136"/>
        <v>0</v>
      </c>
      <c r="M637" s="211">
        <v>30</v>
      </c>
      <c r="N637" s="212">
        <f t="shared" si="130"/>
        <v>14</v>
      </c>
      <c r="O637" s="271">
        <v>46199</v>
      </c>
      <c r="P637" s="208">
        <v>46209</v>
      </c>
      <c r="Q637" s="208">
        <v>46209</v>
      </c>
      <c r="R637" s="211"/>
      <c r="S637" s="256" t="s">
        <v>1133</v>
      </c>
      <c r="T637" s="211"/>
      <c r="U637" s="211"/>
      <c r="V637" s="211"/>
      <c r="W637" s="208"/>
      <c r="X637" s="268" t="s">
        <v>1924</v>
      </c>
      <c r="Y637" s="241" t="s">
        <v>1228</v>
      </c>
      <c r="Z637" s="213">
        <v>46163</v>
      </c>
      <c r="AA637" s="214">
        <v>46172</v>
      </c>
      <c r="AB637" s="213">
        <v>46189</v>
      </c>
      <c r="AC637" s="211" t="s">
        <v>1133</v>
      </c>
      <c r="AD637" s="211" t="s">
        <v>1133</v>
      </c>
      <c r="AE637" s="220" t="s">
        <v>510</v>
      </c>
      <c r="AF637" s="211" t="s">
        <v>1228</v>
      </c>
      <c r="AG637" s="220" t="s">
        <v>510</v>
      </c>
      <c r="AH637" s="211" t="s">
        <v>1133</v>
      </c>
      <c r="AI637" s="211" t="s">
        <v>1228</v>
      </c>
      <c r="AJ637" s="211" t="s">
        <v>1133</v>
      </c>
      <c r="AK637" s="211" t="s">
        <v>1228</v>
      </c>
      <c r="AL637" s="211"/>
      <c r="AM637" s="257" t="s">
        <v>1506</v>
      </c>
      <c r="AN637" s="268" t="s">
        <v>1925</v>
      </c>
      <c r="AO637" s="215">
        <v>1.57</v>
      </c>
      <c r="AP637" s="216">
        <f t="shared" si="122"/>
        <v>659.4</v>
      </c>
      <c r="AQ637" s="216">
        <f t="shared" si="123"/>
        <v>5110.35</v>
      </c>
      <c r="AR637" s="224">
        <v>61457</v>
      </c>
      <c r="AS637" s="330">
        <v>46233</v>
      </c>
      <c r="AT637" s="208" t="s">
        <v>1310</v>
      </c>
      <c r="AU637" s="208"/>
      <c r="AV637" s="208"/>
      <c r="AW637" s="273" t="s">
        <v>1228</v>
      </c>
      <c r="AX637" s="208"/>
      <c r="AY637" s="208"/>
      <c r="AZ637" s="208"/>
      <c r="BA637" s="208"/>
      <c r="BB637" s="208" t="str">
        <f t="shared" si="134"/>
        <v>Amazon</v>
      </c>
      <c r="BC637" s="208" t="str">
        <f t="shared" si="132"/>
        <v>美国-空运</v>
      </c>
    </row>
    <row r="638" s="194" customFormat="1" customHeight="1" spans="1:55">
      <c r="A638" s="208">
        <v>46139</v>
      </c>
      <c r="B638" s="208" t="str">
        <f ca="1" t="shared" si="124"/>
        <v/>
      </c>
      <c r="C638" s="211" t="str">
        <f>VLOOKUP(H638,名称!A:E,4,0)</f>
        <v>蛋糕</v>
      </c>
      <c r="D638" s="220" t="s">
        <v>1330</v>
      </c>
      <c r="E638" s="220" t="s">
        <v>1923</v>
      </c>
      <c r="F638" s="220" t="s">
        <v>787</v>
      </c>
      <c r="G638" s="220" t="s">
        <v>788</v>
      </c>
      <c r="H638" s="220" t="s">
        <v>130</v>
      </c>
      <c r="I638" s="211"/>
      <c r="J638" s="272">
        <f>432-12</f>
        <v>420</v>
      </c>
      <c r="K638" s="223">
        <f>VLOOKUP(H638,名称!A:C,2,0)</f>
        <v>0</v>
      </c>
      <c r="L638" s="212">
        <f t="shared" si="136"/>
        <v>0</v>
      </c>
      <c r="M638" s="211">
        <v>30</v>
      </c>
      <c r="N638" s="212">
        <f t="shared" si="130"/>
        <v>14</v>
      </c>
      <c r="O638" s="271">
        <v>46199</v>
      </c>
      <c r="P638" s="208">
        <v>46209</v>
      </c>
      <c r="Q638" s="256">
        <v>46209</v>
      </c>
      <c r="R638" s="211"/>
      <c r="S638" s="256" t="s">
        <v>1133</v>
      </c>
      <c r="T638" s="211"/>
      <c r="U638" s="211"/>
      <c r="V638" s="211"/>
      <c r="W638" s="208"/>
      <c r="X638" s="268" t="s">
        <v>1924</v>
      </c>
      <c r="Y638" s="241" t="s">
        <v>1228</v>
      </c>
      <c r="Z638" s="213">
        <v>46163</v>
      </c>
      <c r="AA638" s="214">
        <v>46172</v>
      </c>
      <c r="AB638" s="213">
        <v>46189</v>
      </c>
      <c r="AC638" s="211" t="s">
        <v>1133</v>
      </c>
      <c r="AD638" s="211" t="s">
        <v>1133</v>
      </c>
      <c r="AE638" s="220" t="s">
        <v>510</v>
      </c>
      <c r="AF638" s="211" t="s">
        <v>1228</v>
      </c>
      <c r="AG638" s="220" t="s">
        <v>510</v>
      </c>
      <c r="AH638" s="211" t="s">
        <v>1133</v>
      </c>
      <c r="AI638" s="211" t="s">
        <v>1228</v>
      </c>
      <c r="AJ638" s="211" t="s">
        <v>1133</v>
      </c>
      <c r="AK638" s="211" t="s">
        <v>1228</v>
      </c>
      <c r="AL638" s="211"/>
      <c r="AM638" s="257" t="s">
        <v>1506</v>
      </c>
      <c r="AN638" s="268" t="s">
        <v>1926</v>
      </c>
      <c r="AO638" s="215">
        <v>1.57</v>
      </c>
      <c r="AP638" s="216">
        <f t="shared" si="122"/>
        <v>659.4</v>
      </c>
      <c r="AQ638" s="216">
        <f t="shared" si="123"/>
        <v>5110.35</v>
      </c>
      <c r="AR638" s="224">
        <v>61457</v>
      </c>
      <c r="AS638" s="330">
        <v>46233</v>
      </c>
      <c r="AT638" s="208" t="s">
        <v>1310</v>
      </c>
      <c r="AU638" s="208"/>
      <c r="AV638" s="208"/>
      <c r="AW638" s="273" t="s">
        <v>1228</v>
      </c>
      <c r="AX638" s="208"/>
      <c r="AY638" s="208"/>
      <c r="AZ638" s="208"/>
      <c r="BA638" s="208"/>
      <c r="BB638" s="208" t="str">
        <f t="shared" si="134"/>
        <v>Amazon</v>
      </c>
      <c r="BC638" s="208" t="str">
        <f t="shared" si="132"/>
        <v>美国-空运</v>
      </c>
    </row>
    <row r="639" s="194" customFormat="1" customHeight="1" spans="1:55">
      <c r="A639" s="208">
        <v>46139</v>
      </c>
      <c r="B639" s="208" t="str">
        <f ca="1" t="shared" si="124"/>
        <v/>
      </c>
      <c r="C639" s="211" t="str">
        <f>VLOOKUP(H639,名称!A:E,4,0)</f>
        <v>蛋糕</v>
      </c>
      <c r="D639" s="220" t="s">
        <v>1330</v>
      </c>
      <c r="E639" s="220" t="s">
        <v>1923</v>
      </c>
      <c r="F639" s="220" t="s">
        <v>787</v>
      </c>
      <c r="G639" s="220" t="s">
        <v>788</v>
      </c>
      <c r="H639" s="220" t="s">
        <v>131</v>
      </c>
      <c r="I639" s="211"/>
      <c r="J639" s="272">
        <v>360</v>
      </c>
      <c r="K639" s="223">
        <f>VLOOKUP(H639,名称!A:C,2,0)</f>
        <v>0</v>
      </c>
      <c r="L639" s="212">
        <f t="shared" si="136"/>
        <v>0</v>
      </c>
      <c r="M639" s="211">
        <v>30</v>
      </c>
      <c r="N639" s="212">
        <f t="shared" si="130"/>
        <v>12</v>
      </c>
      <c r="O639" s="271">
        <v>46199</v>
      </c>
      <c r="P639" s="208">
        <v>46209</v>
      </c>
      <c r="Q639" s="256">
        <v>46209</v>
      </c>
      <c r="R639" s="211"/>
      <c r="S639" s="256" t="s">
        <v>1133</v>
      </c>
      <c r="T639" s="211"/>
      <c r="U639" s="211"/>
      <c r="V639" s="211"/>
      <c r="W639" s="208"/>
      <c r="X639" s="268" t="s">
        <v>1924</v>
      </c>
      <c r="Y639" s="241" t="s">
        <v>1228</v>
      </c>
      <c r="Z639" s="213">
        <v>46163</v>
      </c>
      <c r="AA639" s="214">
        <v>46172</v>
      </c>
      <c r="AB639" s="213">
        <v>46189</v>
      </c>
      <c r="AC639" s="211" t="s">
        <v>1133</v>
      </c>
      <c r="AD639" s="211" t="s">
        <v>1133</v>
      </c>
      <c r="AE639" s="220" t="s">
        <v>510</v>
      </c>
      <c r="AF639" s="211" t="s">
        <v>1228</v>
      </c>
      <c r="AG639" s="220" t="s">
        <v>510</v>
      </c>
      <c r="AH639" s="211" t="s">
        <v>1133</v>
      </c>
      <c r="AI639" s="211" t="s">
        <v>1228</v>
      </c>
      <c r="AJ639" s="211" t="s">
        <v>1133</v>
      </c>
      <c r="AK639" s="211" t="s">
        <v>1228</v>
      </c>
      <c r="AL639" s="211"/>
      <c r="AM639" s="257" t="s">
        <v>1506</v>
      </c>
      <c r="AN639" s="268" t="s">
        <v>1926</v>
      </c>
      <c r="AO639" s="215">
        <v>1.57</v>
      </c>
      <c r="AP639" s="216">
        <f t="shared" si="122"/>
        <v>565.2</v>
      </c>
      <c r="AQ639" s="216">
        <f t="shared" si="123"/>
        <v>4380.3</v>
      </c>
      <c r="AR639" s="224">
        <v>61457</v>
      </c>
      <c r="AS639" s="330">
        <v>46233</v>
      </c>
      <c r="AT639" s="208" t="s">
        <v>1310</v>
      </c>
      <c r="AU639" s="208"/>
      <c r="AV639" s="208"/>
      <c r="AW639" s="273" t="s">
        <v>1228</v>
      </c>
      <c r="AX639" s="208"/>
      <c r="AY639" s="208"/>
      <c r="AZ639" s="208"/>
      <c r="BA639" s="208"/>
      <c r="BB639" s="208" t="str">
        <f t="shared" si="134"/>
        <v>Amazon</v>
      </c>
      <c r="BC639" s="208" t="str">
        <f t="shared" si="132"/>
        <v>美国-空运</v>
      </c>
    </row>
    <row r="640" s="194" customFormat="1" customHeight="1" spans="1:55">
      <c r="A640" s="208">
        <v>46139</v>
      </c>
      <c r="B640" s="208" t="str">
        <f ca="1" t="shared" si="124"/>
        <v/>
      </c>
      <c r="C640" s="211" t="str">
        <f>VLOOKUP(H640,名称!A:E,4,0)</f>
        <v>三代</v>
      </c>
      <c r="D640" s="220" t="s">
        <v>1330</v>
      </c>
      <c r="E640" s="220" t="s">
        <v>1923</v>
      </c>
      <c r="F640" s="220" t="s">
        <v>787</v>
      </c>
      <c r="G640" s="220" t="s">
        <v>788</v>
      </c>
      <c r="H640" s="220" t="s">
        <v>155</v>
      </c>
      <c r="I640" s="211"/>
      <c r="J640" s="270">
        <f>378-3</f>
        <v>375</v>
      </c>
      <c r="K640" s="223">
        <f>VLOOKUP(H640,名称!A:C,2,0)</f>
        <v>5</v>
      </c>
      <c r="L640" s="212">
        <f t="shared" si="136"/>
        <v>1875</v>
      </c>
      <c r="M640" s="211">
        <f>VLOOKUP(H640,名称!A:E,3,0)</f>
        <v>75</v>
      </c>
      <c r="N640" s="212">
        <f t="shared" si="130"/>
        <v>5</v>
      </c>
      <c r="O640" s="271">
        <v>46199</v>
      </c>
      <c r="P640" s="256">
        <v>46211</v>
      </c>
      <c r="Q640" s="256">
        <v>46211</v>
      </c>
      <c r="R640" s="241" t="s">
        <v>1331</v>
      </c>
      <c r="S640" s="256" t="s">
        <v>1133</v>
      </c>
      <c r="T640" s="211"/>
      <c r="U640" s="211"/>
      <c r="V640" s="211"/>
      <c r="W640" s="208"/>
      <c r="X640" s="268" t="s">
        <v>1894</v>
      </c>
      <c r="Y640" s="241" t="s">
        <v>1228</v>
      </c>
      <c r="Z640" s="263">
        <v>46163</v>
      </c>
      <c r="AA640" s="264">
        <v>46172</v>
      </c>
      <c r="AB640" s="335">
        <v>46196</v>
      </c>
      <c r="AC640" s="257" t="s">
        <v>1333</v>
      </c>
      <c r="AD640" s="257" t="s">
        <v>1228</v>
      </c>
      <c r="AE640" s="220" t="s">
        <v>510</v>
      </c>
      <c r="AF640" s="257" t="s">
        <v>1228</v>
      </c>
      <c r="AG640" s="257" t="s">
        <v>341</v>
      </c>
      <c r="AH640" s="257" t="s">
        <v>1133</v>
      </c>
      <c r="AI640" s="257" t="s">
        <v>1228</v>
      </c>
      <c r="AJ640" s="257" t="s">
        <v>1133</v>
      </c>
      <c r="AK640" s="257" t="s">
        <v>1133</v>
      </c>
      <c r="AL640" s="257"/>
      <c r="AM640" s="257" t="s">
        <v>1334</v>
      </c>
      <c r="AN640" s="268" t="s">
        <v>1927</v>
      </c>
      <c r="AO640" s="215">
        <v>1.56</v>
      </c>
      <c r="AP640" s="216">
        <f t="shared" si="122"/>
        <v>585</v>
      </c>
      <c r="AQ640" s="216">
        <f t="shared" si="123"/>
        <v>4533.75</v>
      </c>
      <c r="AR640" s="224">
        <v>61457</v>
      </c>
      <c r="AS640" s="330">
        <v>46233</v>
      </c>
      <c r="AT640" s="208" t="s">
        <v>1310</v>
      </c>
      <c r="AU640" s="253">
        <v>375</v>
      </c>
      <c r="AV640" s="252">
        <f t="shared" ref="AV640:AV648" si="137">AU640-J640</f>
        <v>0</v>
      </c>
      <c r="AW640" s="222" t="s">
        <v>1228</v>
      </c>
      <c r="AX640" s="256"/>
      <c r="AY640" s="208"/>
      <c r="AZ640" s="208"/>
      <c r="BA640" s="208"/>
      <c r="BB640" s="208" t="str">
        <f t="shared" si="134"/>
        <v>Amazon</v>
      </c>
      <c r="BC640" s="208" t="str">
        <f t="shared" si="132"/>
        <v>美国-空运</v>
      </c>
    </row>
    <row r="641" s="194" customFormat="1" customHeight="1" spans="1:55">
      <c r="A641" s="208">
        <v>46139</v>
      </c>
      <c r="B641" s="208" t="str">
        <f ca="1" t="shared" si="124"/>
        <v/>
      </c>
      <c r="C641" s="211" t="str">
        <f>VLOOKUP(H641,名称!A:E,4,0)</f>
        <v>三代</v>
      </c>
      <c r="D641" s="220" t="s">
        <v>1330</v>
      </c>
      <c r="E641" s="220" t="s">
        <v>1923</v>
      </c>
      <c r="F641" s="220" t="s">
        <v>787</v>
      </c>
      <c r="G641" s="220" t="s">
        <v>788</v>
      </c>
      <c r="H641" s="220" t="s">
        <v>156</v>
      </c>
      <c r="I641" s="211"/>
      <c r="J641" s="270">
        <f t="shared" ref="J641:J644" si="138">504+21</f>
        <v>525</v>
      </c>
      <c r="K641" s="223">
        <f>VLOOKUP(H641,名称!A:C,2,0)</f>
        <v>5</v>
      </c>
      <c r="L641" s="212">
        <f t="shared" si="136"/>
        <v>2625</v>
      </c>
      <c r="M641" s="211">
        <f>VLOOKUP(H641,名称!A:E,3,0)</f>
        <v>75</v>
      </c>
      <c r="N641" s="212">
        <f t="shared" si="130"/>
        <v>7</v>
      </c>
      <c r="O641" s="271">
        <v>46199</v>
      </c>
      <c r="P641" s="256">
        <v>46211</v>
      </c>
      <c r="Q641" s="256">
        <v>46211</v>
      </c>
      <c r="R641" s="241" t="s">
        <v>1331</v>
      </c>
      <c r="S641" s="256" t="s">
        <v>1133</v>
      </c>
      <c r="T641" s="211"/>
      <c r="U641" s="211"/>
      <c r="V641" s="211"/>
      <c r="W641" s="208"/>
      <c r="X641" s="268" t="s">
        <v>1894</v>
      </c>
      <c r="Y641" s="241" t="s">
        <v>1228</v>
      </c>
      <c r="Z641" s="263">
        <v>46163</v>
      </c>
      <c r="AA641" s="264">
        <v>46172</v>
      </c>
      <c r="AB641" s="335">
        <v>46196</v>
      </c>
      <c r="AC641" s="257" t="s">
        <v>1333</v>
      </c>
      <c r="AD641" s="257" t="s">
        <v>1228</v>
      </c>
      <c r="AE641" s="220" t="s">
        <v>510</v>
      </c>
      <c r="AF641" s="257" t="s">
        <v>1228</v>
      </c>
      <c r="AG641" s="257" t="s">
        <v>341</v>
      </c>
      <c r="AH641" s="257" t="s">
        <v>1133</v>
      </c>
      <c r="AI641" s="257" t="s">
        <v>1228</v>
      </c>
      <c r="AJ641" s="257" t="s">
        <v>1133</v>
      </c>
      <c r="AK641" s="257" t="s">
        <v>1133</v>
      </c>
      <c r="AL641" s="257"/>
      <c r="AM641" s="257" t="s">
        <v>1334</v>
      </c>
      <c r="AN641" s="268" t="s">
        <v>1927</v>
      </c>
      <c r="AO641" s="215">
        <v>1.56</v>
      </c>
      <c r="AP641" s="216">
        <f t="shared" si="122"/>
        <v>819</v>
      </c>
      <c r="AQ641" s="216">
        <f t="shared" si="123"/>
        <v>6347.25</v>
      </c>
      <c r="AR641" s="224">
        <v>61457</v>
      </c>
      <c r="AS641" s="330">
        <v>46233</v>
      </c>
      <c r="AT641" s="208" t="s">
        <v>1310</v>
      </c>
      <c r="AU641" s="253">
        <v>525</v>
      </c>
      <c r="AV641" s="252">
        <f t="shared" si="137"/>
        <v>0</v>
      </c>
      <c r="AW641" s="222" t="s">
        <v>1228</v>
      </c>
      <c r="AX641" s="256"/>
      <c r="AY641" s="208"/>
      <c r="AZ641" s="208"/>
      <c r="BA641" s="208"/>
      <c r="BB641" s="208" t="str">
        <f t="shared" si="134"/>
        <v>Amazon</v>
      </c>
      <c r="BC641" s="208" t="str">
        <f t="shared" si="132"/>
        <v>美国-空运</v>
      </c>
    </row>
    <row r="642" s="194" customFormat="1" customHeight="1" spans="1:55">
      <c r="A642" s="208">
        <v>46139</v>
      </c>
      <c r="B642" s="208" t="str">
        <f ca="1" t="shared" si="124"/>
        <v/>
      </c>
      <c r="C642" s="211" t="str">
        <f>VLOOKUP(H642,名称!A:E,4,0)</f>
        <v>三代</v>
      </c>
      <c r="D642" s="220" t="s">
        <v>1330</v>
      </c>
      <c r="E642" s="220" t="s">
        <v>1923</v>
      </c>
      <c r="F642" s="220" t="s">
        <v>787</v>
      </c>
      <c r="G642" s="220" t="s">
        <v>788</v>
      </c>
      <c r="H642" s="220" t="s">
        <v>157</v>
      </c>
      <c r="I642" s="211"/>
      <c r="J642" s="270">
        <f>378-3</f>
        <v>375</v>
      </c>
      <c r="K642" s="223">
        <f>VLOOKUP(H642,名称!A:C,2,0)</f>
        <v>5</v>
      </c>
      <c r="L642" s="212">
        <f t="shared" si="136"/>
        <v>1875</v>
      </c>
      <c r="M642" s="211">
        <f>VLOOKUP(H642,名称!A:E,3,0)</f>
        <v>75</v>
      </c>
      <c r="N642" s="212">
        <f t="shared" si="130"/>
        <v>5</v>
      </c>
      <c r="O642" s="271">
        <v>46199</v>
      </c>
      <c r="P642" s="256">
        <v>46211</v>
      </c>
      <c r="Q642" s="256">
        <v>46211</v>
      </c>
      <c r="R642" s="241" t="s">
        <v>1331</v>
      </c>
      <c r="S642" s="256" t="s">
        <v>1133</v>
      </c>
      <c r="T642" s="211"/>
      <c r="U642" s="211"/>
      <c r="V642" s="211"/>
      <c r="W642" s="208"/>
      <c r="X642" s="268" t="s">
        <v>1894</v>
      </c>
      <c r="Y642" s="241" t="s">
        <v>1228</v>
      </c>
      <c r="Z642" s="263">
        <v>46163</v>
      </c>
      <c r="AA642" s="264">
        <v>46172</v>
      </c>
      <c r="AB642" s="335">
        <v>46196</v>
      </c>
      <c r="AC642" s="257" t="s">
        <v>1333</v>
      </c>
      <c r="AD642" s="257" t="s">
        <v>1228</v>
      </c>
      <c r="AE642" s="220" t="s">
        <v>510</v>
      </c>
      <c r="AF642" s="257" t="s">
        <v>1228</v>
      </c>
      <c r="AG642" s="257" t="s">
        <v>341</v>
      </c>
      <c r="AH642" s="257" t="s">
        <v>1133</v>
      </c>
      <c r="AI642" s="257" t="s">
        <v>1228</v>
      </c>
      <c r="AJ642" s="257" t="s">
        <v>1133</v>
      </c>
      <c r="AK642" s="257" t="s">
        <v>1133</v>
      </c>
      <c r="AL642" s="257"/>
      <c r="AM642" s="257" t="s">
        <v>1334</v>
      </c>
      <c r="AN642" s="268" t="s">
        <v>1927</v>
      </c>
      <c r="AO642" s="215">
        <v>1.56</v>
      </c>
      <c r="AP642" s="216">
        <f t="shared" si="122"/>
        <v>585</v>
      </c>
      <c r="AQ642" s="216">
        <f t="shared" si="123"/>
        <v>4533.75</v>
      </c>
      <c r="AR642" s="224">
        <v>61457</v>
      </c>
      <c r="AS642" s="330">
        <v>46233</v>
      </c>
      <c r="AT642" s="208" t="s">
        <v>1310</v>
      </c>
      <c r="AU642" s="253">
        <v>375</v>
      </c>
      <c r="AV642" s="252">
        <f t="shared" si="137"/>
        <v>0</v>
      </c>
      <c r="AW642" s="222" t="s">
        <v>1228</v>
      </c>
      <c r="AX642" s="256"/>
      <c r="AY642" s="208"/>
      <c r="AZ642" s="208"/>
      <c r="BA642" s="208"/>
      <c r="BB642" s="208" t="str">
        <f t="shared" si="134"/>
        <v>Amazon</v>
      </c>
      <c r="BC642" s="208" t="str">
        <f t="shared" si="132"/>
        <v>美国-空运</v>
      </c>
    </row>
    <row r="643" s="194" customFormat="1" customHeight="1" spans="1:55">
      <c r="A643" s="208">
        <v>46139</v>
      </c>
      <c r="B643" s="208" t="str">
        <f ca="1" t="shared" si="124"/>
        <v/>
      </c>
      <c r="C643" s="211" t="str">
        <f>VLOOKUP(H643,名称!A:E,4,0)</f>
        <v>三代</v>
      </c>
      <c r="D643" s="220" t="s">
        <v>1330</v>
      </c>
      <c r="E643" s="220" t="s">
        <v>1923</v>
      </c>
      <c r="F643" s="220" t="s">
        <v>787</v>
      </c>
      <c r="G643" s="220" t="s">
        <v>788</v>
      </c>
      <c r="H643" s="220" t="s">
        <v>158</v>
      </c>
      <c r="I643" s="211"/>
      <c r="J643" s="270">
        <f t="shared" si="138"/>
        <v>525</v>
      </c>
      <c r="K643" s="223">
        <f>VLOOKUP(H643,名称!A:C,2,0)</f>
        <v>5</v>
      </c>
      <c r="L643" s="212">
        <f t="shared" si="136"/>
        <v>2625</v>
      </c>
      <c r="M643" s="211">
        <f>VLOOKUP(H643,名称!A:E,3,0)</f>
        <v>75</v>
      </c>
      <c r="N643" s="212">
        <f t="shared" si="130"/>
        <v>7</v>
      </c>
      <c r="O643" s="271">
        <v>46199</v>
      </c>
      <c r="P643" s="256">
        <v>46211</v>
      </c>
      <c r="Q643" s="256">
        <v>46211</v>
      </c>
      <c r="R643" s="241" t="s">
        <v>1331</v>
      </c>
      <c r="S643" s="256" t="s">
        <v>1133</v>
      </c>
      <c r="T643" s="211"/>
      <c r="U643" s="211"/>
      <c r="V643" s="211"/>
      <c r="W643" s="208"/>
      <c r="X643" s="268" t="s">
        <v>1894</v>
      </c>
      <c r="Y643" s="241" t="s">
        <v>1228</v>
      </c>
      <c r="Z643" s="263">
        <v>46163</v>
      </c>
      <c r="AA643" s="264">
        <v>46172</v>
      </c>
      <c r="AB643" s="335">
        <v>46196</v>
      </c>
      <c r="AC643" s="257" t="s">
        <v>1333</v>
      </c>
      <c r="AD643" s="257" t="s">
        <v>1228</v>
      </c>
      <c r="AE643" s="220" t="s">
        <v>510</v>
      </c>
      <c r="AF643" s="257" t="s">
        <v>1228</v>
      </c>
      <c r="AG643" s="257" t="s">
        <v>341</v>
      </c>
      <c r="AH643" s="257" t="s">
        <v>1133</v>
      </c>
      <c r="AI643" s="257" t="s">
        <v>1228</v>
      </c>
      <c r="AJ643" s="257" t="s">
        <v>1133</v>
      </c>
      <c r="AK643" s="257" t="s">
        <v>1133</v>
      </c>
      <c r="AL643" s="257"/>
      <c r="AM643" s="257" t="s">
        <v>1334</v>
      </c>
      <c r="AN643" s="268" t="s">
        <v>1927</v>
      </c>
      <c r="AO643" s="215">
        <v>1.56</v>
      </c>
      <c r="AP643" s="216">
        <f t="shared" si="122"/>
        <v>819</v>
      </c>
      <c r="AQ643" s="216">
        <f t="shared" si="123"/>
        <v>6347.25</v>
      </c>
      <c r="AR643" s="224">
        <v>61457</v>
      </c>
      <c r="AS643" s="330">
        <v>46233</v>
      </c>
      <c r="AT643" s="208" t="s">
        <v>1310</v>
      </c>
      <c r="AU643" s="253">
        <v>525</v>
      </c>
      <c r="AV643" s="252">
        <f t="shared" si="137"/>
        <v>0</v>
      </c>
      <c r="AW643" s="222" t="s">
        <v>1228</v>
      </c>
      <c r="AX643" s="256"/>
      <c r="AY643" s="208"/>
      <c r="AZ643" s="208"/>
      <c r="BA643" s="208"/>
      <c r="BB643" s="208" t="str">
        <f t="shared" si="134"/>
        <v>Amazon</v>
      </c>
      <c r="BC643" s="208" t="str">
        <f t="shared" si="132"/>
        <v>美国-空运</v>
      </c>
    </row>
    <row r="644" s="194" customFormat="1" customHeight="1" spans="1:55">
      <c r="A644" s="208">
        <v>46139</v>
      </c>
      <c r="B644" s="208" t="str">
        <f ca="1" t="shared" si="124"/>
        <v/>
      </c>
      <c r="C644" s="211" t="str">
        <f>VLOOKUP(H644,名称!A:E,4,0)</f>
        <v>三代</v>
      </c>
      <c r="D644" s="220" t="s">
        <v>1330</v>
      </c>
      <c r="E644" s="220" t="s">
        <v>1923</v>
      </c>
      <c r="F644" s="220" t="s">
        <v>787</v>
      </c>
      <c r="G644" s="220" t="s">
        <v>788</v>
      </c>
      <c r="H644" s="220" t="s">
        <v>159</v>
      </c>
      <c r="I644" s="211"/>
      <c r="J644" s="259">
        <f t="shared" si="138"/>
        <v>525</v>
      </c>
      <c r="K644" s="223">
        <f>VLOOKUP(H644,名称!A:C,2,0)</f>
        <v>5</v>
      </c>
      <c r="L644" s="212">
        <f t="shared" si="136"/>
        <v>2625</v>
      </c>
      <c r="M644" s="211">
        <f>VLOOKUP(H644,名称!A:E,3,0)</f>
        <v>75</v>
      </c>
      <c r="N644" s="212">
        <f t="shared" si="130"/>
        <v>7</v>
      </c>
      <c r="O644" s="271">
        <v>46199</v>
      </c>
      <c r="P644" s="256">
        <v>46211</v>
      </c>
      <c r="Q644" s="256">
        <v>46211</v>
      </c>
      <c r="R644" s="241" t="s">
        <v>1331</v>
      </c>
      <c r="S644" s="256" t="s">
        <v>1133</v>
      </c>
      <c r="T644" s="211"/>
      <c r="U644" s="211"/>
      <c r="V644" s="211"/>
      <c r="W644" s="208"/>
      <c r="X644" s="268" t="s">
        <v>1894</v>
      </c>
      <c r="Y644" s="241" t="s">
        <v>1228</v>
      </c>
      <c r="Z644" s="263">
        <v>46163</v>
      </c>
      <c r="AA644" s="264">
        <v>46172</v>
      </c>
      <c r="AB644" s="335">
        <v>46196</v>
      </c>
      <c r="AC644" s="257" t="s">
        <v>1333</v>
      </c>
      <c r="AD644" s="257" t="s">
        <v>1228</v>
      </c>
      <c r="AE644" s="220" t="s">
        <v>510</v>
      </c>
      <c r="AF644" s="257" t="s">
        <v>1228</v>
      </c>
      <c r="AG644" s="257" t="s">
        <v>341</v>
      </c>
      <c r="AH644" s="257" t="s">
        <v>1133</v>
      </c>
      <c r="AI644" s="257" t="s">
        <v>1228</v>
      </c>
      <c r="AJ644" s="257" t="s">
        <v>1133</v>
      </c>
      <c r="AK644" s="257" t="s">
        <v>1133</v>
      </c>
      <c r="AL644" s="257"/>
      <c r="AM644" s="257" t="s">
        <v>1334</v>
      </c>
      <c r="AN644" s="268" t="s">
        <v>1927</v>
      </c>
      <c r="AO644" s="215">
        <v>1.56</v>
      </c>
      <c r="AP644" s="216">
        <f t="shared" si="122"/>
        <v>819</v>
      </c>
      <c r="AQ644" s="216">
        <f t="shared" si="123"/>
        <v>6347.25</v>
      </c>
      <c r="AR644" s="224">
        <v>61457</v>
      </c>
      <c r="AS644" s="330">
        <v>46233</v>
      </c>
      <c r="AT644" s="208" t="s">
        <v>1310</v>
      </c>
      <c r="AU644" s="253">
        <v>525</v>
      </c>
      <c r="AV644" s="252">
        <f t="shared" si="137"/>
        <v>0</v>
      </c>
      <c r="AW644" s="222" t="s">
        <v>1228</v>
      </c>
      <c r="AX644" s="256"/>
      <c r="AY644" s="208"/>
      <c r="AZ644" s="208"/>
      <c r="BA644" s="208"/>
      <c r="BB644" s="208" t="str">
        <f t="shared" si="134"/>
        <v>Amazon</v>
      </c>
      <c r="BC644" s="208" t="str">
        <f t="shared" si="132"/>
        <v>美国-空运</v>
      </c>
    </row>
    <row r="645" s="194" customFormat="1" customHeight="1" spans="1:55">
      <c r="A645" s="208">
        <v>46093</v>
      </c>
      <c r="B645" s="208" t="str">
        <f ca="1" t="shared" si="124"/>
        <v/>
      </c>
      <c r="C645" s="211" t="str">
        <f>VLOOKUP(H645,名称!A:E,4,0)</f>
        <v>三代</v>
      </c>
      <c r="D645" s="210" t="s">
        <v>1300</v>
      </c>
      <c r="E645" s="210" t="s">
        <v>1224</v>
      </c>
      <c r="F645" s="211" t="s">
        <v>559</v>
      </c>
      <c r="G645" s="211" t="s">
        <v>560</v>
      </c>
      <c r="H645" s="211" t="s">
        <v>107</v>
      </c>
      <c r="I645" s="211"/>
      <c r="J645" s="212">
        <f>1140+1860</f>
        <v>3000</v>
      </c>
      <c r="K645" s="223">
        <f>VLOOKUP(H645,名称!A:C,2,0)</f>
        <v>12</v>
      </c>
      <c r="L645" s="212">
        <f t="shared" si="136"/>
        <v>36000</v>
      </c>
      <c r="M645" s="211">
        <f>VLOOKUP(H645,名称!A:E,3,0)</f>
        <v>5</v>
      </c>
      <c r="N645" s="212">
        <f t="shared" si="130"/>
        <v>600</v>
      </c>
      <c r="O645" s="208">
        <v>46218</v>
      </c>
      <c r="P645" s="208">
        <v>46218</v>
      </c>
      <c r="Q645" s="208">
        <v>46223</v>
      </c>
      <c r="R645" s="241" t="s">
        <v>1241</v>
      </c>
      <c r="S645" s="256" t="s">
        <v>1928</v>
      </c>
      <c r="T645" s="241" t="s">
        <v>1241</v>
      </c>
      <c r="U645" s="211"/>
      <c r="V645" s="213">
        <v>46232</v>
      </c>
      <c r="W645" s="208"/>
      <c r="X645" s="257" t="s">
        <v>1133</v>
      </c>
      <c r="Y645" s="257" t="s">
        <v>1133</v>
      </c>
      <c r="Z645" s="263">
        <v>46113</v>
      </c>
      <c r="AA645" s="264">
        <v>46120</v>
      </c>
      <c r="AB645" s="264">
        <v>46121</v>
      </c>
      <c r="AC645" s="257" t="s">
        <v>1302</v>
      </c>
      <c r="AD645" s="257" t="s">
        <v>1228</v>
      </c>
      <c r="AE645" s="211" t="s">
        <v>253</v>
      </c>
      <c r="AF645" s="257" t="s">
        <v>1228</v>
      </c>
      <c r="AG645" s="257" t="s">
        <v>253</v>
      </c>
      <c r="AH645" s="257" t="s">
        <v>253</v>
      </c>
      <c r="AI645" s="257" t="s">
        <v>1228</v>
      </c>
      <c r="AJ645" s="257" t="s">
        <v>253</v>
      </c>
      <c r="AK645" s="211" t="s">
        <v>1133</v>
      </c>
      <c r="AL645" s="257"/>
      <c r="AM645" s="257" t="s">
        <v>1303</v>
      </c>
      <c r="AN645" s="212" t="s">
        <v>1231</v>
      </c>
      <c r="AO645" s="215">
        <v>2.19</v>
      </c>
      <c r="AP645" s="216">
        <f t="shared" si="122"/>
        <v>6570</v>
      </c>
      <c r="AQ645" s="216">
        <f t="shared" si="123"/>
        <v>50917.5</v>
      </c>
      <c r="AR645" s="224">
        <v>61462</v>
      </c>
      <c r="AS645" s="330">
        <v>46233</v>
      </c>
      <c r="AT645" s="208" t="s">
        <v>1220</v>
      </c>
      <c r="AU645" s="251">
        <v>3000</v>
      </c>
      <c r="AV645" s="252">
        <f t="shared" si="137"/>
        <v>0</v>
      </c>
      <c r="AW645" s="252"/>
      <c r="AX645" s="256" t="s">
        <v>1280</v>
      </c>
      <c r="AY645" s="208"/>
      <c r="AZ645" s="208"/>
      <c r="BA645" s="208"/>
      <c r="BB645" s="208" t="str">
        <f t="shared" si="134"/>
        <v>JAZWARES - WALMART CANADA (IMPORT)</v>
      </c>
      <c r="BC645" s="208" t="str">
        <f t="shared" si="132"/>
        <v>美国</v>
      </c>
    </row>
    <row r="646" s="194" customFormat="1" customHeight="1" spans="1:55">
      <c r="A646" s="208">
        <v>46115</v>
      </c>
      <c r="B646" s="208" t="str">
        <f ca="1" t="shared" ref="B646:B709" si="139">IF(TODAY()-5&gt;=A646,IF(AB646="","异常",""),"")</f>
        <v/>
      </c>
      <c r="C646" s="211" t="str">
        <f>VLOOKUP(H646,名称!A:E,4,0)</f>
        <v>三代</v>
      </c>
      <c r="D646" s="210" t="s">
        <v>1311</v>
      </c>
      <c r="E646" s="210" t="s">
        <v>1224</v>
      </c>
      <c r="F646" s="211" t="s">
        <v>634</v>
      </c>
      <c r="G646" s="211" t="s">
        <v>635</v>
      </c>
      <c r="H646" s="211" t="s">
        <v>83</v>
      </c>
      <c r="I646" s="211"/>
      <c r="J646" s="212">
        <v>1140</v>
      </c>
      <c r="K646" s="223">
        <f>VLOOKUP(H646,名称!A:C,2,0)</f>
        <v>5</v>
      </c>
      <c r="L646" s="212">
        <f t="shared" ref="L646:L709" si="140">J646*K646</f>
        <v>5700</v>
      </c>
      <c r="M646" s="211">
        <f>VLOOKUP(H646,名称!A:E,3,0)</f>
        <v>12</v>
      </c>
      <c r="N646" s="212">
        <f t="shared" ref="N646:N709" si="141">J646/M646</f>
        <v>95</v>
      </c>
      <c r="O646" s="208">
        <v>46218</v>
      </c>
      <c r="P646" s="256">
        <f t="shared" ref="P646:P651" si="142">O646</f>
        <v>46218</v>
      </c>
      <c r="Q646" s="256">
        <v>46224</v>
      </c>
      <c r="R646" s="241" t="s">
        <v>1241</v>
      </c>
      <c r="S646" s="256" t="s">
        <v>1928</v>
      </c>
      <c r="T646" s="241" t="s">
        <v>1241</v>
      </c>
      <c r="U646" s="211"/>
      <c r="V646" s="213">
        <v>46232</v>
      </c>
      <c r="W646" s="208"/>
      <c r="X646" s="257" t="s">
        <v>1133</v>
      </c>
      <c r="Y646" s="257" t="s">
        <v>1133</v>
      </c>
      <c r="Z646" s="263">
        <v>46119</v>
      </c>
      <c r="AA646" s="264">
        <v>46120</v>
      </c>
      <c r="AB646" s="264">
        <v>46123</v>
      </c>
      <c r="AC646" s="257" t="s">
        <v>1133</v>
      </c>
      <c r="AD646" s="257" t="s">
        <v>1133</v>
      </c>
      <c r="AE646" s="211" t="s">
        <v>253</v>
      </c>
      <c r="AF646" s="257" t="s">
        <v>1228</v>
      </c>
      <c r="AG646" s="257" t="s">
        <v>253</v>
      </c>
      <c r="AH646" s="257" t="s">
        <v>1133</v>
      </c>
      <c r="AI646" s="257" t="s">
        <v>1228</v>
      </c>
      <c r="AJ646" s="257" t="s">
        <v>1133</v>
      </c>
      <c r="AK646" s="211" t="s">
        <v>253</v>
      </c>
      <c r="AL646" s="257"/>
      <c r="AM646" s="257" t="s">
        <v>1303</v>
      </c>
      <c r="AN646" s="212" t="s">
        <v>1475</v>
      </c>
      <c r="AO646" s="215">
        <v>0.94</v>
      </c>
      <c r="AP646" s="216">
        <f t="shared" ref="AP646:AP709" si="143">J646*AO646</f>
        <v>1071.6</v>
      </c>
      <c r="AQ646" s="216">
        <f t="shared" ref="AQ646:AQ709" si="144">AP646*7.75</f>
        <v>8304.9</v>
      </c>
      <c r="AR646" s="224">
        <v>61463</v>
      </c>
      <c r="AS646" s="330">
        <v>46233</v>
      </c>
      <c r="AT646" s="208" t="s">
        <v>1310</v>
      </c>
      <c r="AU646" s="253">
        <v>1140</v>
      </c>
      <c r="AV646" s="252">
        <f t="shared" si="137"/>
        <v>0</v>
      </c>
      <c r="AW646" s="252"/>
      <c r="AX646" s="256"/>
      <c r="AY646" s="208"/>
      <c r="AZ646" s="208"/>
      <c r="BA646" s="208"/>
      <c r="BB646" s="208" t="str">
        <f t="shared" ref="BB646:BB709" si="145">D646</f>
        <v>JAZWARES - WALMART CA</v>
      </c>
      <c r="BC646" s="208" t="str">
        <f t="shared" si="132"/>
        <v>美国</v>
      </c>
    </row>
    <row r="647" s="194" customFormat="1" customHeight="1" spans="1:55">
      <c r="A647" s="208">
        <v>46120</v>
      </c>
      <c r="B647" s="208" t="str">
        <f ca="1" t="shared" si="139"/>
        <v/>
      </c>
      <c r="C647" s="211" t="str">
        <f>VLOOKUP(H647,名称!A:E,4,0)</f>
        <v>三代</v>
      </c>
      <c r="D647" s="210" t="s">
        <v>1311</v>
      </c>
      <c r="E647" s="210" t="s">
        <v>1224</v>
      </c>
      <c r="F647" s="211" t="s">
        <v>685</v>
      </c>
      <c r="G647" s="211" t="s">
        <v>686</v>
      </c>
      <c r="H647" s="211" t="s">
        <v>102</v>
      </c>
      <c r="I647" s="211"/>
      <c r="J647" s="212">
        <v>2004</v>
      </c>
      <c r="K647" s="223">
        <f>VLOOKUP(H647,名称!A:C,2,0)</f>
        <v>5</v>
      </c>
      <c r="L647" s="212">
        <f t="shared" si="140"/>
        <v>10020</v>
      </c>
      <c r="M647" s="211">
        <f>VLOOKUP(H647,名称!A:E,3,0)</f>
        <v>12</v>
      </c>
      <c r="N647" s="212">
        <f t="shared" si="141"/>
        <v>167</v>
      </c>
      <c r="O647" s="208">
        <v>46218</v>
      </c>
      <c r="P647" s="208">
        <f t="shared" si="142"/>
        <v>46218</v>
      </c>
      <c r="Q647" s="208">
        <v>46219</v>
      </c>
      <c r="R647" s="267" t="s">
        <v>1241</v>
      </c>
      <c r="S647" s="256" t="s">
        <v>1928</v>
      </c>
      <c r="T647" s="267" t="s">
        <v>1241</v>
      </c>
      <c r="U647" s="211"/>
      <c r="V647" s="213">
        <v>46232</v>
      </c>
      <c r="W647" s="208"/>
      <c r="X647" s="211" t="s">
        <v>1133</v>
      </c>
      <c r="Y647" s="211" t="s">
        <v>1133</v>
      </c>
      <c r="Z647" s="263">
        <v>46119</v>
      </c>
      <c r="AA647" s="264">
        <v>46120</v>
      </c>
      <c r="AB647" s="264">
        <v>46121</v>
      </c>
      <c r="AC647" s="257" t="s">
        <v>1133</v>
      </c>
      <c r="AD647" s="257" t="s">
        <v>1133</v>
      </c>
      <c r="AE647" s="211" t="s">
        <v>253</v>
      </c>
      <c r="AF647" s="257" t="s">
        <v>1228</v>
      </c>
      <c r="AG647" s="257" t="s">
        <v>253</v>
      </c>
      <c r="AH647" s="257" t="s">
        <v>1133</v>
      </c>
      <c r="AI647" s="257" t="s">
        <v>1228</v>
      </c>
      <c r="AJ647" s="257" t="s">
        <v>1133</v>
      </c>
      <c r="AK647" s="211" t="s">
        <v>253</v>
      </c>
      <c r="AL647" s="257"/>
      <c r="AM647" s="257" t="s">
        <v>1303</v>
      </c>
      <c r="AN647" s="212" t="s">
        <v>1234</v>
      </c>
      <c r="AO647" s="215">
        <v>0.64</v>
      </c>
      <c r="AP647" s="216">
        <f t="shared" si="143"/>
        <v>1282.56</v>
      </c>
      <c r="AQ647" s="216">
        <f t="shared" si="144"/>
        <v>9939.84</v>
      </c>
      <c r="AR647" s="224">
        <v>61464</v>
      </c>
      <c r="AS647" s="330">
        <v>46233</v>
      </c>
      <c r="AT647" s="208" t="s">
        <v>1220</v>
      </c>
      <c r="AU647" s="253">
        <v>2004</v>
      </c>
      <c r="AV647" s="252">
        <f t="shared" si="137"/>
        <v>0</v>
      </c>
      <c r="AW647" s="252"/>
      <c r="AX647" s="256" t="s">
        <v>1280</v>
      </c>
      <c r="AY647" s="208"/>
      <c r="AZ647" s="208"/>
      <c r="BA647" s="208"/>
      <c r="BB647" s="208" t="str">
        <f t="shared" si="145"/>
        <v>JAZWARES - WALMART CA</v>
      </c>
      <c r="BC647" s="208" t="str">
        <f t="shared" si="132"/>
        <v>美国</v>
      </c>
    </row>
    <row r="648" s="194" customFormat="1" customHeight="1" spans="1:55">
      <c r="A648" s="208">
        <v>46119</v>
      </c>
      <c r="B648" s="208" t="str">
        <f ca="1" t="shared" si="139"/>
        <v/>
      </c>
      <c r="C648" s="211" t="str">
        <f>VLOOKUP(H648,名称!A:E,4,0)</f>
        <v>三代</v>
      </c>
      <c r="D648" s="210" t="s">
        <v>1311</v>
      </c>
      <c r="E648" s="210" t="s">
        <v>1224</v>
      </c>
      <c r="F648" s="211" t="s">
        <v>659</v>
      </c>
      <c r="G648" s="211" t="s">
        <v>660</v>
      </c>
      <c r="H648" s="211" t="s">
        <v>60</v>
      </c>
      <c r="I648" s="211"/>
      <c r="J648" s="212">
        <v>1800</v>
      </c>
      <c r="K648" s="223">
        <f>VLOOKUP(H648,名称!A:C,2,0)</f>
        <v>5</v>
      </c>
      <c r="L648" s="212">
        <f t="shared" si="140"/>
        <v>9000</v>
      </c>
      <c r="M648" s="211">
        <f>VLOOKUP(H648,名称!A:E,3,0)</f>
        <v>12</v>
      </c>
      <c r="N648" s="212">
        <f t="shared" si="141"/>
        <v>150</v>
      </c>
      <c r="O648" s="208">
        <v>46218</v>
      </c>
      <c r="P648" s="208">
        <f t="shared" si="142"/>
        <v>46218</v>
      </c>
      <c r="Q648" s="208">
        <v>46218</v>
      </c>
      <c r="R648" s="241" t="s">
        <v>1241</v>
      </c>
      <c r="S648" s="256" t="s">
        <v>1928</v>
      </c>
      <c r="T648" s="241" t="s">
        <v>1241</v>
      </c>
      <c r="U648" s="211"/>
      <c r="V648" s="213">
        <v>46232</v>
      </c>
      <c r="W648" s="208"/>
      <c r="X648" s="257" t="s">
        <v>1133</v>
      </c>
      <c r="Y648" s="257" t="s">
        <v>1133</v>
      </c>
      <c r="Z648" s="263">
        <v>46119</v>
      </c>
      <c r="AA648" s="264">
        <v>46120</v>
      </c>
      <c r="AB648" s="264">
        <v>46121</v>
      </c>
      <c r="AC648" s="257" t="s">
        <v>1133</v>
      </c>
      <c r="AD648" s="257" t="s">
        <v>1133</v>
      </c>
      <c r="AE648" s="211" t="s">
        <v>253</v>
      </c>
      <c r="AF648" s="257" t="s">
        <v>1228</v>
      </c>
      <c r="AG648" s="257" t="s">
        <v>253</v>
      </c>
      <c r="AH648" s="257" t="s">
        <v>1133</v>
      </c>
      <c r="AI648" s="257" t="s">
        <v>1228</v>
      </c>
      <c r="AJ648" s="257" t="s">
        <v>1133</v>
      </c>
      <c r="AK648" s="211" t="s">
        <v>253</v>
      </c>
      <c r="AL648" s="257"/>
      <c r="AM648" s="257" t="s">
        <v>1303</v>
      </c>
      <c r="AN648" s="212" t="s">
        <v>1234</v>
      </c>
      <c r="AO648" s="215">
        <v>0.63</v>
      </c>
      <c r="AP648" s="216">
        <f t="shared" si="143"/>
        <v>1134</v>
      </c>
      <c r="AQ648" s="216">
        <f t="shared" si="144"/>
        <v>8788.5</v>
      </c>
      <c r="AR648" s="224">
        <v>61465</v>
      </c>
      <c r="AS648" s="330">
        <v>46233</v>
      </c>
      <c r="AT648" s="208" t="s">
        <v>1220</v>
      </c>
      <c r="AU648" s="253">
        <v>1800</v>
      </c>
      <c r="AV648" s="252">
        <f t="shared" si="137"/>
        <v>0</v>
      </c>
      <c r="AW648" s="252"/>
      <c r="AX648" s="256" t="s">
        <v>1280</v>
      </c>
      <c r="AY648" s="208"/>
      <c r="AZ648" s="208"/>
      <c r="BA648" s="208"/>
      <c r="BB648" s="208" t="str">
        <f t="shared" si="145"/>
        <v>JAZWARES - WALMART CA</v>
      </c>
      <c r="BC648" s="208" t="str">
        <f t="shared" si="132"/>
        <v>美国</v>
      </c>
    </row>
    <row r="649" s="194" customFormat="1" customHeight="1" spans="1:55">
      <c r="A649" s="208">
        <v>46169</v>
      </c>
      <c r="B649" s="208" t="str">
        <f ca="1" t="shared" si="139"/>
        <v/>
      </c>
      <c r="C649" s="211" t="str">
        <f>VLOOKUP(H649,名称!A:E,4,0)</f>
        <v>蛋糕</v>
      </c>
      <c r="D649" s="220" t="s">
        <v>1420</v>
      </c>
      <c r="E649" s="220" t="s">
        <v>1421</v>
      </c>
      <c r="F649" s="211">
        <v>21011796</v>
      </c>
      <c r="G649" s="220" t="s">
        <v>887</v>
      </c>
      <c r="H649" s="220" t="s">
        <v>50</v>
      </c>
      <c r="I649" s="211"/>
      <c r="J649" s="270">
        <v>7200</v>
      </c>
      <c r="K649" s="223">
        <f>VLOOKUP(H649,名称!A:C,2,0)</f>
        <v>0</v>
      </c>
      <c r="L649" s="212">
        <f t="shared" si="140"/>
        <v>0</v>
      </c>
      <c r="M649" s="211">
        <f>VLOOKUP(H649,名称!A:E,3,0)</f>
        <v>18</v>
      </c>
      <c r="N649" s="212">
        <f t="shared" si="141"/>
        <v>400</v>
      </c>
      <c r="O649" s="271">
        <v>46223</v>
      </c>
      <c r="P649" s="208">
        <f t="shared" si="142"/>
        <v>46223</v>
      </c>
      <c r="Q649" s="208">
        <v>46232</v>
      </c>
      <c r="R649" s="241" t="s">
        <v>1241</v>
      </c>
      <c r="S649" s="208" t="s">
        <v>1133</v>
      </c>
      <c r="T649" s="211"/>
      <c r="U649" s="211"/>
      <c r="V649" s="213">
        <v>46234</v>
      </c>
      <c r="W649" s="208"/>
      <c r="X649" s="257" t="s">
        <v>1248</v>
      </c>
      <c r="Y649" s="213">
        <v>46170</v>
      </c>
      <c r="Z649" s="211" t="s">
        <v>1249</v>
      </c>
      <c r="AA649" s="214">
        <v>46181</v>
      </c>
      <c r="AB649" s="264">
        <v>46188</v>
      </c>
      <c r="AC649" s="211" t="s">
        <v>1133</v>
      </c>
      <c r="AD649" s="211" t="s">
        <v>1133</v>
      </c>
      <c r="AE649" s="220" t="s">
        <v>510</v>
      </c>
      <c r="AF649" s="211" t="s">
        <v>1228</v>
      </c>
      <c r="AG649" s="257" t="s">
        <v>510</v>
      </c>
      <c r="AH649" s="211" t="s">
        <v>1133</v>
      </c>
      <c r="AI649" s="211" t="s">
        <v>1228</v>
      </c>
      <c r="AJ649" s="211" t="s">
        <v>1133</v>
      </c>
      <c r="AK649" s="257" t="s">
        <v>1133</v>
      </c>
      <c r="AL649" s="211"/>
      <c r="AM649" s="267" t="s">
        <v>1267</v>
      </c>
      <c r="AN649" s="220" t="s">
        <v>1790</v>
      </c>
      <c r="AO649" s="215">
        <v>1.1</v>
      </c>
      <c r="AP649" s="216">
        <f t="shared" si="143"/>
        <v>7920</v>
      </c>
      <c r="AQ649" s="216">
        <f t="shared" si="144"/>
        <v>61380</v>
      </c>
      <c r="AR649" s="224">
        <v>61466</v>
      </c>
      <c r="AS649" s="330">
        <v>46233</v>
      </c>
      <c r="AT649" s="208" t="s">
        <v>1220</v>
      </c>
      <c r="AU649" s="208"/>
      <c r="AV649" s="208"/>
      <c r="AW649" s="208"/>
      <c r="AX649" s="208"/>
      <c r="AY649" s="208" t="s">
        <v>1317</v>
      </c>
      <c r="AZ649" s="208" t="s">
        <v>1372</v>
      </c>
      <c r="BA649" s="208"/>
      <c r="BB649" s="208" t="str">
        <f t="shared" si="145"/>
        <v>Banter Toys</v>
      </c>
      <c r="BC649" s="208" t="str">
        <f t="shared" si="132"/>
        <v>澳大利亚</v>
      </c>
    </row>
    <row r="650" s="194" customFormat="1" customHeight="1" spans="1:55">
      <c r="A650" s="208">
        <v>46169</v>
      </c>
      <c r="B650" s="208" t="str">
        <f ca="1" t="shared" si="139"/>
        <v/>
      </c>
      <c r="C650" s="211" t="str">
        <f>VLOOKUP(H650,名称!A:E,4,0)</f>
        <v>蛋糕</v>
      </c>
      <c r="D650" s="220" t="s">
        <v>1420</v>
      </c>
      <c r="E650" s="220" t="s">
        <v>1421</v>
      </c>
      <c r="F650" s="211">
        <v>21011796</v>
      </c>
      <c r="G650" s="220" t="s">
        <v>887</v>
      </c>
      <c r="H650" s="220" t="s">
        <v>123</v>
      </c>
      <c r="I650" s="211"/>
      <c r="J650" s="270">
        <v>14016</v>
      </c>
      <c r="K650" s="223">
        <f>VLOOKUP(H650,名称!A:C,2,0)</f>
        <v>0</v>
      </c>
      <c r="L650" s="212">
        <f t="shared" si="140"/>
        <v>0</v>
      </c>
      <c r="M650" s="211">
        <f>VLOOKUP(H650,名称!A:E,3,0)</f>
        <v>24</v>
      </c>
      <c r="N650" s="212">
        <f t="shared" si="141"/>
        <v>584</v>
      </c>
      <c r="O650" s="271">
        <v>46223</v>
      </c>
      <c r="P650" s="208">
        <f t="shared" si="142"/>
        <v>46223</v>
      </c>
      <c r="Q650" s="208">
        <v>46226</v>
      </c>
      <c r="R650" s="241" t="s">
        <v>1241</v>
      </c>
      <c r="S650" s="208" t="s">
        <v>1133</v>
      </c>
      <c r="T650" s="211"/>
      <c r="U650" s="211"/>
      <c r="V650" s="263">
        <v>46234</v>
      </c>
      <c r="W650" s="208"/>
      <c r="X650" s="257" t="s">
        <v>1248</v>
      </c>
      <c r="Y650" s="213">
        <v>46170</v>
      </c>
      <c r="Z650" s="211" t="s">
        <v>1249</v>
      </c>
      <c r="AA650" s="214">
        <v>46181</v>
      </c>
      <c r="AB650" s="264">
        <v>46188</v>
      </c>
      <c r="AC650" s="211" t="s">
        <v>1133</v>
      </c>
      <c r="AD650" s="211" t="s">
        <v>1133</v>
      </c>
      <c r="AE650" s="220" t="s">
        <v>510</v>
      </c>
      <c r="AF650" s="211" t="s">
        <v>1228</v>
      </c>
      <c r="AG650" s="257" t="s">
        <v>510</v>
      </c>
      <c r="AH650" s="211" t="s">
        <v>1133</v>
      </c>
      <c r="AI650" s="211" t="s">
        <v>1228</v>
      </c>
      <c r="AJ650" s="211" t="s">
        <v>1133</v>
      </c>
      <c r="AK650" s="257" t="s">
        <v>1133</v>
      </c>
      <c r="AL650" s="211"/>
      <c r="AM650" s="267" t="s">
        <v>1267</v>
      </c>
      <c r="AN650" s="220" t="s">
        <v>1790</v>
      </c>
      <c r="AO650" s="215">
        <v>0.78</v>
      </c>
      <c r="AP650" s="216">
        <f t="shared" si="143"/>
        <v>10932.48</v>
      </c>
      <c r="AQ650" s="216">
        <f t="shared" si="144"/>
        <v>84726.72</v>
      </c>
      <c r="AR650" s="224">
        <v>61466</v>
      </c>
      <c r="AS650" s="330">
        <v>46233</v>
      </c>
      <c r="AT650" s="208" t="s">
        <v>1220</v>
      </c>
      <c r="AU650" s="208"/>
      <c r="AV650" s="208"/>
      <c r="AW650" s="208"/>
      <c r="AX650" s="208"/>
      <c r="AY650" s="208" t="s">
        <v>1317</v>
      </c>
      <c r="AZ650" s="208" t="s">
        <v>1372</v>
      </c>
      <c r="BA650" s="208"/>
      <c r="BB650" s="208" t="str">
        <f t="shared" si="145"/>
        <v>Banter Toys</v>
      </c>
      <c r="BC650" s="208" t="str">
        <f t="shared" si="132"/>
        <v>澳大利亚</v>
      </c>
    </row>
    <row r="651" s="194" customFormat="1" customHeight="1" spans="1:55">
      <c r="A651" s="248">
        <v>46148</v>
      </c>
      <c r="B651" s="208" t="str">
        <f ca="1" t="shared" si="139"/>
        <v/>
      </c>
      <c r="C651" s="209" t="str">
        <f>VLOOKUP(H651,名称!A:E,4,0)</f>
        <v>二代</v>
      </c>
      <c r="D651" s="268" t="s">
        <v>1489</v>
      </c>
      <c r="E651" s="268" t="s">
        <v>1929</v>
      </c>
      <c r="F651" s="268" t="s">
        <v>821</v>
      </c>
      <c r="G651" s="268" t="s">
        <v>822</v>
      </c>
      <c r="H651" s="268" t="s">
        <v>65</v>
      </c>
      <c r="I651" s="211"/>
      <c r="J651" s="272">
        <v>3120</v>
      </c>
      <c r="K651" s="223">
        <f>VLOOKUP(H651,名称!A:C,2,0)</f>
        <v>5</v>
      </c>
      <c r="L651" s="212">
        <f t="shared" si="140"/>
        <v>15600</v>
      </c>
      <c r="M651" s="211">
        <f>VLOOKUP(H651,名称!A:E,3,0)</f>
        <v>24</v>
      </c>
      <c r="N651" s="212">
        <f t="shared" si="141"/>
        <v>130</v>
      </c>
      <c r="O651" s="248">
        <v>46195</v>
      </c>
      <c r="P651" s="248">
        <f t="shared" si="142"/>
        <v>46195</v>
      </c>
      <c r="Q651" s="274">
        <v>46219</v>
      </c>
      <c r="R651" s="241" t="s">
        <v>1277</v>
      </c>
      <c r="S651" s="208" t="s">
        <v>1133</v>
      </c>
      <c r="T651" s="211"/>
      <c r="U651" s="211"/>
      <c r="V651" s="211"/>
      <c r="W651" s="208"/>
      <c r="X651" s="268" t="s">
        <v>1248</v>
      </c>
      <c r="Y651" s="335">
        <v>46193</v>
      </c>
      <c r="Z651" s="211" t="s">
        <v>1249</v>
      </c>
      <c r="AA651" s="214">
        <v>46156</v>
      </c>
      <c r="AB651" s="213">
        <v>46170</v>
      </c>
      <c r="AC651" s="211" t="s">
        <v>1133</v>
      </c>
      <c r="AD651" s="211" t="s">
        <v>1133</v>
      </c>
      <c r="AE651" s="268" t="s">
        <v>327</v>
      </c>
      <c r="AF651" s="268" t="s">
        <v>1228</v>
      </c>
      <c r="AG651" s="268" t="s">
        <v>327</v>
      </c>
      <c r="AH651" s="211" t="s">
        <v>1133</v>
      </c>
      <c r="AI651" s="211" t="s">
        <v>1133</v>
      </c>
      <c r="AJ651" s="211" t="s">
        <v>1133</v>
      </c>
      <c r="AK651" s="211" t="s">
        <v>327</v>
      </c>
      <c r="AL651" s="211" t="s">
        <v>1228</v>
      </c>
      <c r="AM651" s="211" t="s">
        <v>1506</v>
      </c>
      <c r="AN651" s="268" t="s">
        <v>1930</v>
      </c>
      <c r="AO651" s="215">
        <v>0.61</v>
      </c>
      <c r="AP651" s="216">
        <f t="shared" si="143"/>
        <v>1903.2</v>
      </c>
      <c r="AQ651" s="216">
        <f t="shared" si="144"/>
        <v>14749.8</v>
      </c>
      <c r="AR651" s="224">
        <v>61467</v>
      </c>
      <c r="AS651" s="330">
        <v>46233</v>
      </c>
      <c r="AT651" s="208" t="s">
        <v>1220</v>
      </c>
      <c r="AU651" s="253">
        <v>3120</v>
      </c>
      <c r="AV651" s="253">
        <f>AU651-I651</f>
        <v>3120</v>
      </c>
      <c r="AW651" s="253"/>
      <c r="AX651" s="208"/>
      <c r="AY651" s="208"/>
      <c r="AZ651" s="208"/>
      <c r="BA651" s="208"/>
      <c r="BB651" s="212" t="str">
        <f t="shared" si="145"/>
        <v>Kidland</v>
      </c>
      <c r="BC651" s="212" t="str">
        <f>IFERROR(E651,"")</f>
        <v>沙特阿拉伯</v>
      </c>
    </row>
    <row r="652" s="197" customFormat="1" customHeight="1" spans="1:55">
      <c r="A652" s="271">
        <v>46148</v>
      </c>
      <c r="B652" s="208" t="str">
        <f ca="1" t="shared" si="139"/>
        <v/>
      </c>
      <c r="C652" s="211" t="str">
        <f>VLOOKUP(H652,名称!A:E,4,0)</f>
        <v>三代</v>
      </c>
      <c r="D652" s="220" t="s">
        <v>1489</v>
      </c>
      <c r="E652" s="220" t="s">
        <v>1929</v>
      </c>
      <c r="F652" s="220" t="s">
        <v>821</v>
      </c>
      <c r="G652" s="220" t="s">
        <v>822</v>
      </c>
      <c r="H652" s="220" t="s">
        <v>109</v>
      </c>
      <c r="I652" s="220"/>
      <c r="J652" s="270">
        <v>2040</v>
      </c>
      <c r="K652" s="223">
        <f>VLOOKUP(H652,名称!A:C,2,0)</f>
        <v>0</v>
      </c>
      <c r="L652" s="212">
        <f t="shared" si="140"/>
        <v>0</v>
      </c>
      <c r="M652" s="211">
        <f>VLOOKUP(H652,名称!A:E,3,0)</f>
        <v>24</v>
      </c>
      <c r="N652" s="212">
        <f t="shared" si="141"/>
        <v>85</v>
      </c>
      <c r="O652" s="271">
        <v>46195</v>
      </c>
      <c r="P652" s="271">
        <f t="shared" ref="P652:P672" si="146">O652</f>
        <v>46195</v>
      </c>
      <c r="Q652" s="208">
        <v>46216</v>
      </c>
      <c r="R652" s="267" t="s">
        <v>1241</v>
      </c>
      <c r="S652" s="220" t="s">
        <v>1133</v>
      </c>
      <c r="T652" s="220"/>
      <c r="U652" s="220"/>
      <c r="V652" s="284">
        <v>46231</v>
      </c>
      <c r="W652" s="220"/>
      <c r="X652" s="220" t="s">
        <v>1248</v>
      </c>
      <c r="Y652" s="335">
        <v>46193</v>
      </c>
      <c r="Z652" s="257" t="s">
        <v>1249</v>
      </c>
      <c r="AA652" s="284">
        <v>46154</v>
      </c>
      <c r="AB652" s="284">
        <v>46170</v>
      </c>
      <c r="AC652" s="257" t="s">
        <v>1133</v>
      </c>
      <c r="AD652" s="257" t="s">
        <v>1133</v>
      </c>
      <c r="AE652" s="220" t="s">
        <v>510</v>
      </c>
      <c r="AF652" s="257" t="s">
        <v>1228</v>
      </c>
      <c r="AG652" s="257" t="s">
        <v>510</v>
      </c>
      <c r="AH652" s="257" t="s">
        <v>1133</v>
      </c>
      <c r="AI652" s="257" t="s">
        <v>1228</v>
      </c>
      <c r="AJ652" s="257" t="s">
        <v>1133</v>
      </c>
      <c r="AK652" s="257" t="s">
        <v>510</v>
      </c>
      <c r="AL652" s="257"/>
      <c r="AM652" s="257" t="s">
        <v>1506</v>
      </c>
      <c r="AN652" s="268" t="s">
        <v>1930</v>
      </c>
      <c r="AO652" s="215">
        <v>0.59</v>
      </c>
      <c r="AP652" s="216">
        <f t="shared" si="143"/>
        <v>1203.6</v>
      </c>
      <c r="AQ652" s="216">
        <f t="shared" si="144"/>
        <v>9327.9</v>
      </c>
      <c r="AR652" s="224">
        <v>61467</v>
      </c>
      <c r="AS652" s="330">
        <v>46233</v>
      </c>
      <c r="AT652" s="208" t="s">
        <v>1220</v>
      </c>
      <c r="AU652" s="253"/>
      <c r="AV652" s="252">
        <f t="shared" ref="AV652:AV669" si="147">AU652-J652</f>
        <v>-2040</v>
      </c>
      <c r="AW652" s="339"/>
      <c r="AX652" s="257"/>
      <c r="AY652" s="220"/>
      <c r="AZ652" s="220"/>
      <c r="BA652" s="220"/>
      <c r="BB652" s="208" t="str">
        <f t="shared" si="145"/>
        <v>Kidland</v>
      </c>
      <c r="BC652" s="208" t="str">
        <f t="shared" ref="BC652:BC667" si="148">E652</f>
        <v>沙特阿拉伯</v>
      </c>
    </row>
    <row r="653" s="197" customFormat="1" customHeight="1" spans="1:55">
      <c r="A653" s="271">
        <v>46148</v>
      </c>
      <c r="B653" s="208" t="str">
        <f ca="1" t="shared" si="139"/>
        <v/>
      </c>
      <c r="C653" s="211" t="str">
        <f>VLOOKUP(H653,名称!A:E,4,0)</f>
        <v>三代</v>
      </c>
      <c r="D653" s="220" t="s">
        <v>1489</v>
      </c>
      <c r="E653" s="220" t="s">
        <v>1929</v>
      </c>
      <c r="F653" s="220" t="s">
        <v>821</v>
      </c>
      <c r="G653" s="220" t="s">
        <v>822</v>
      </c>
      <c r="H653" s="220" t="s">
        <v>121</v>
      </c>
      <c r="I653" s="220"/>
      <c r="J653" s="270">
        <v>2760</v>
      </c>
      <c r="K653" s="223">
        <f>VLOOKUP(H653,名称!A:C,2,0)</f>
        <v>7</v>
      </c>
      <c r="L653" s="212">
        <f t="shared" si="140"/>
        <v>19320</v>
      </c>
      <c r="M653" s="211">
        <f>VLOOKUP(H653,名称!A:E,3,0)</f>
        <v>12</v>
      </c>
      <c r="N653" s="212">
        <f t="shared" si="141"/>
        <v>230</v>
      </c>
      <c r="O653" s="271">
        <v>46195</v>
      </c>
      <c r="P653" s="271">
        <f t="shared" si="146"/>
        <v>46195</v>
      </c>
      <c r="Q653" s="256">
        <v>46216</v>
      </c>
      <c r="R653" s="267" t="s">
        <v>1241</v>
      </c>
      <c r="S653" s="220" t="s">
        <v>1133</v>
      </c>
      <c r="T653" s="220"/>
      <c r="U653" s="220"/>
      <c r="V653" s="263">
        <v>46231</v>
      </c>
      <c r="W653" s="220"/>
      <c r="X653" s="220" t="s">
        <v>1248</v>
      </c>
      <c r="Y653" s="335">
        <v>46193</v>
      </c>
      <c r="Z653" s="257" t="s">
        <v>1249</v>
      </c>
      <c r="AA653" s="284">
        <v>46154</v>
      </c>
      <c r="AB653" s="284">
        <v>46170</v>
      </c>
      <c r="AC653" s="257" t="s">
        <v>1284</v>
      </c>
      <c r="AD653" s="257" t="s">
        <v>1228</v>
      </c>
      <c r="AE653" s="220" t="s">
        <v>510</v>
      </c>
      <c r="AF653" s="257" t="s">
        <v>1228</v>
      </c>
      <c r="AG653" s="257" t="s">
        <v>510</v>
      </c>
      <c r="AH653" s="257" t="s">
        <v>1307</v>
      </c>
      <c r="AI653" s="257" t="s">
        <v>1228</v>
      </c>
      <c r="AJ653" s="257" t="s">
        <v>1133</v>
      </c>
      <c r="AK653" s="257" t="s">
        <v>1133</v>
      </c>
      <c r="AL653" s="257" t="s">
        <v>1228</v>
      </c>
      <c r="AM653" s="257" t="s">
        <v>1506</v>
      </c>
      <c r="AN653" s="268" t="s">
        <v>1930</v>
      </c>
      <c r="AO653" s="215">
        <v>0.79</v>
      </c>
      <c r="AP653" s="216">
        <f t="shared" si="143"/>
        <v>2180.4</v>
      </c>
      <c r="AQ653" s="216">
        <f t="shared" si="144"/>
        <v>16898.1</v>
      </c>
      <c r="AR653" s="224">
        <v>61467</v>
      </c>
      <c r="AS653" s="330">
        <v>46233</v>
      </c>
      <c r="AT653" s="208" t="s">
        <v>1220</v>
      </c>
      <c r="AU653" s="253">
        <f>2724+36</f>
        <v>2760</v>
      </c>
      <c r="AV653" s="252">
        <f t="shared" si="147"/>
        <v>0</v>
      </c>
      <c r="AW653" s="339"/>
      <c r="AX653" s="257" t="s">
        <v>1280</v>
      </c>
      <c r="AY653" s="220"/>
      <c r="AZ653" s="220"/>
      <c r="BA653" s="220"/>
      <c r="BB653" s="208" t="str">
        <f t="shared" si="145"/>
        <v>Kidland</v>
      </c>
      <c r="BC653" s="208" t="str">
        <f t="shared" si="148"/>
        <v>沙特阿拉伯</v>
      </c>
    </row>
    <row r="654" s="197" customFormat="1" customHeight="1" spans="1:55">
      <c r="A654" s="271">
        <v>46148</v>
      </c>
      <c r="B654" s="208" t="str">
        <f ca="1" t="shared" si="139"/>
        <v/>
      </c>
      <c r="C654" s="211" t="str">
        <f>VLOOKUP(H654,名称!A:E,4,0)</f>
        <v>三代</v>
      </c>
      <c r="D654" s="220" t="s">
        <v>1489</v>
      </c>
      <c r="E654" s="220" t="s">
        <v>1929</v>
      </c>
      <c r="F654" s="220" t="s">
        <v>821</v>
      </c>
      <c r="G654" s="220" t="s">
        <v>822</v>
      </c>
      <c r="H654" s="220" t="s">
        <v>59</v>
      </c>
      <c r="I654" s="220"/>
      <c r="J654" s="270">
        <v>3120</v>
      </c>
      <c r="K654" s="223">
        <f>VLOOKUP(H654,名称!A:C,2,0)</f>
        <v>5</v>
      </c>
      <c r="L654" s="212">
        <f t="shared" si="140"/>
        <v>15600</v>
      </c>
      <c r="M654" s="211">
        <f>VLOOKUP(H654,名称!A:E,3,0)</f>
        <v>24</v>
      </c>
      <c r="N654" s="212">
        <f t="shared" si="141"/>
        <v>130</v>
      </c>
      <c r="O654" s="271">
        <v>46195</v>
      </c>
      <c r="P654" s="271">
        <f t="shared" si="146"/>
        <v>46195</v>
      </c>
      <c r="Q654" s="256">
        <v>46216</v>
      </c>
      <c r="R654" s="267" t="s">
        <v>1241</v>
      </c>
      <c r="S654" s="220" t="s">
        <v>1133</v>
      </c>
      <c r="T654" s="220"/>
      <c r="U654" s="220"/>
      <c r="V654" s="263">
        <v>46231</v>
      </c>
      <c r="W654" s="220"/>
      <c r="X654" s="220" t="s">
        <v>1248</v>
      </c>
      <c r="Y654" s="335">
        <v>46193</v>
      </c>
      <c r="Z654" s="257" t="s">
        <v>1249</v>
      </c>
      <c r="AA654" s="284">
        <v>46154</v>
      </c>
      <c r="AB654" s="284">
        <v>46170</v>
      </c>
      <c r="AC654" s="257" t="s">
        <v>1133</v>
      </c>
      <c r="AD654" s="257" t="s">
        <v>1133</v>
      </c>
      <c r="AE654" s="220" t="s">
        <v>510</v>
      </c>
      <c r="AF654" s="257" t="s">
        <v>1228</v>
      </c>
      <c r="AG654" s="257" t="s">
        <v>510</v>
      </c>
      <c r="AH654" s="257" t="s">
        <v>1133</v>
      </c>
      <c r="AI654" s="257" t="s">
        <v>1228</v>
      </c>
      <c r="AJ654" s="257" t="s">
        <v>1133</v>
      </c>
      <c r="AK654" s="257" t="s">
        <v>510</v>
      </c>
      <c r="AL654" s="257"/>
      <c r="AM654" s="257" t="s">
        <v>1506</v>
      </c>
      <c r="AN654" s="268" t="s">
        <v>1930</v>
      </c>
      <c r="AO654" s="215">
        <v>0.62</v>
      </c>
      <c r="AP654" s="216">
        <f t="shared" si="143"/>
        <v>1934.4</v>
      </c>
      <c r="AQ654" s="216">
        <f t="shared" si="144"/>
        <v>14991.6</v>
      </c>
      <c r="AR654" s="224">
        <v>61467</v>
      </c>
      <c r="AS654" s="330">
        <v>46233</v>
      </c>
      <c r="AT654" s="208" t="s">
        <v>1220</v>
      </c>
      <c r="AU654" s="253">
        <f>3096+24</f>
        <v>3120</v>
      </c>
      <c r="AV654" s="252">
        <f t="shared" si="147"/>
        <v>0</v>
      </c>
      <c r="AW654" s="339"/>
      <c r="AX654" s="256" t="s">
        <v>1280</v>
      </c>
      <c r="AY654" s="220"/>
      <c r="AZ654" s="220"/>
      <c r="BA654" s="220"/>
      <c r="BB654" s="208" t="str">
        <f t="shared" si="145"/>
        <v>Kidland</v>
      </c>
      <c r="BC654" s="208" t="str">
        <f t="shared" si="148"/>
        <v>沙特阿拉伯</v>
      </c>
    </row>
    <row r="655" s="197" customFormat="1" customHeight="1" spans="1:55">
      <c r="A655" s="271">
        <v>46148</v>
      </c>
      <c r="B655" s="208" t="str">
        <f ca="1" t="shared" si="139"/>
        <v/>
      </c>
      <c r="C655" s="211" t="str">
        <f>VLOOKUP(H655,名称!A:E,4,0)</f>
        <v>三代</v>
      </c>
      <c r="D655" s="220" t="s">
        <v>1489</v>
      </c>
      <c r="E655" s="220" t="s">
        <v>1929</v>
      </c>
      <c r="F655" s="220" t="s">
        <v>821</v>
      </c>
      <c r="G655" s="220" t="s">
        <v>822</v>
      </c>
      <c r="H655" s="220" t="s">
        <v>61</v>
      </c>
      <c r="I655" s="220"/>
      <c r="J655" s="270">
        <v>2040</v>
      </c>
      <c r="K655" s="223">
        <f>VLOOKUP(H655,名称!A:C,2,0)</f>
        <v>5</v>
      </c>
      <c r="L655" s="212">
        <f t="shared" si="140"/>
        <v>10200</v>
      </c>
      <c r="M655" s="211">
        <f>VLOOKUP(H655,名称!A:E,3,0)</f>
        <v>24</v>
      </c>
      <c r="N655" s="212">
        <f t="shared" si="141"/>
        <v>85</v>
      </c>
      <c r="O655" s="271">
        <v>46195</v>
      </c>
      <c r="P655" s="271">
        <f t="shared" si="146"/>
        <v>46195</v>
      </c>
      <c r="Q655" s="256">
        <v>46216</v>
      </c>
      <c r="R655" s="267" t="s">
        <v>1241</v>
      </c>
      <c r="S655" s="220" t="s">
        <v>1133</v>
      </c>
      <c r="T655" s="220"/>
      <c r="U655" s="220"/>
      <c r="V655" s="263">
        <v>46231</v>
      </c>
      <c r="W655" s="220"/>
      <c r="X655" s="220" t="s">
        <v>1248</v>
      </c>
      <c r="Y655" s="335">
        <v>46193</v>
      </c>
      <c r="Z655" s="257" t="s">
        <v>1249</v>
      </c>
      <c r="AA655" s="284">
        <v>46154</v>
      </c>
      <c r="AB655" s="284">
        <v>46170</v>
      </c>
      <c r="AC655" s="257" t="s">
        <v>1133</v>
      </c>
      <c r="AD655" s="257" t="s">
        <v>1133</v>
      </c>
      <c r="AE655" s="220" t="s">
        <v>510</v>
      </c>
      <c r="AF655" s="257" t="s">
        <v>1228</v>
      </c>
      <c r="AG655" s="257" t="s">
        <v>510</v>
      </c>
      <c r="AH655" s="257" t="s">
        <v>1133</v>
      </c>
      <c r="AI655" s="257" t="s">
        <v>1228</v>
      </c>
      <c r="AJ655" s="257" t="s">
        <v>1133</v>
      </c>
      <c r="AK655" s="257" t="s">
        <v>510</v>
      </c>
      <c r="AL655" s="257"/>
      <c r="AM655" s="257" t="s">
        <v>1506</v>
      </c>
      <c r="AN655" s="268" t="s">
        <v>1930</v>
      </c>
      <c r="AO655" s="215">
        <v>0.61</v>
      </c>
      <c r="AP655" s="216">
        <f t="shared" si="143"/>
        <v>1244.4</v>
      </c>
      <c r="AQ655" s="216">
        <f t="shared" si="144"/>
        <v>9644.1</v>
      </c>
      <c r="AR655" s="224">
        <v>61467</v>
      </c>
      <c r="AS655" s="330">
        <v>46233</v>
      </c>
      <c r="AT655" s="220" t="s">
        <v>1220</v>
      </c>
      <c r="AU655" s="253">
        <v>2040</v>
      </c>
      <c r="AV655" s="252">
        <f t="shared" si="147"/>
        <v>0</v>
      </c>
      <c r="AW655" s="340" t="s">
        <v>1228</v>
      </c>
      <c r="AX655" s="256" t="s">
        <v>1280</v>
      </c>
      <c r="AY655" s="220"/>
      <c r="AZ655" s="220"/>
      <c r="BA655" s="220"/>
      <c r="BB655" s="211" t="str">
        <f t="shared" si="145"/>
        <v>Kidland</v>
      </c>
      <c r="BC655" s="211" t="str">
        <f t="shared" si="148"/>
        <v>沙特阿拉伯</v>
      </c>
    </row>
    <row r="656" s="197" customFormat="1" customHeight="1" spans="1:55">
      <c r="A656" s="271">
        <v>46148</v>
      </c>
      <c r="B656" s="208" t="str">
        <f ca="1" t="shared" si="139"/>
        <v/>
      </c>
      <c r="C656" s="211" t="str">
        <f>VLOOKUP(H656,名称!A:E,4,0)</f>
        <v>三代</v>
      </c>
      <c r="D656" s="220" t="s">
        <v>1489</v>
      </c>
      <c r="E656" s="220" t="s">
        <v>1929</v>
      </c>
      <c r="F656" s="220" t="s">
        <v>821</v>
      </c>
      <c r="G656" s="220" t="s">
        <v>822</v>
      </c>
      <c r="H656" s="220" t="s">
        <v>63</v>
      </c>
      <c r="I656" s="220"/>
      <c r="J656" s="270">
        <v>1560</v>
      </c>
      <c r="K656" s="223">
        <f>VLOOKUP(H656,名称!A:C,2,0)</f>
        <v>5</v>
      </c>
      <c r="L656" s="212">
        <f t="shared" si="140"/>
        <v>7800</v>
      </c>
      <c r="M656" s="211">
        <f>VLOOKUP(H656,名称!A:E,3,0)</f>
        <v>24</v>
      </c>
      <c r="N656" s="212">
        <f t="shared" si="141"/>
        <v>65</v>
      </c>
      <c r="O656" s="271">
        <v>46195</v>
      </c>
      <c r="P656" s="271">
        <f t="shared" si="146"/>
        <v>46195</v>
      </c>
      <c r="Q656" s="256">
        <v>46216</v>
      </c>
      <c r="R656" s="267" t="s">
        <v>1277</v>
      </c>
      <c r="S656" s="220" t="s">
        <v>1133</v>
      </c>
      <c r="T656" s="220"/>
      <c r="U656" s="220"/>
      <c r="V656" s="263">
        <v>46231</v>
      </c>
      <c r="W656" s="220"/>
      <c r="X656" s="220" t="s">
        <v>1248</v>
      </c>
      <c r="Y656" s="335">
        <v>46193</v>
      </c>
      <c r="Z656" s="257" t="s">
        <v>1249</v>
      </c>
      <c r="AA656" s="284">
        <v>46154</v>
      </c>
      <c r="AB656" s="284">
        <v>46170</v>
      </c>
      <c r="AC656" s="257" t="s">
        <v>1133</v>
      </c>
      <c r="AD656" s="257" t="s">
        <v>1133</v>
      </c>
      <c r="AE656" s="220" t="s">
        <v>510</v>
      </c>
      <c r="AF656" s="257" t="s">
        <v>1228</v>
      </c>
      <c r="AG656" s="257" t="s">
        <v>510</v>
      </c>
      <c r="AH656" s="257" t="s">
        <v>1133</v>
      </c>
      <c r="AI656" s="257" t="s">
        <v>1228</v>
      </c>
      <c r="AJ656" s="257" t="s">
        <v>1133</v>
      </c>
      <c r="AK656" s="257" t="s">
        <v>510</v>
      </c>
      <c r="AL656" s="257"/>
      <c r="AM656" s="257" t="s">
        <v>1506</v>
      </c>
      <c r="AN656" s="268" t="s">
        <v>1930</v>
      </c>
      <c r="AO656" s="215">
        <v>0.62</v>
      </c>
      <c r="AP656" s="216">
        <f t="shared" si="143"/>
        <v>967.2</v>
      </c>
      <c r="AQ656" s="216">
        <f t="shared" si="144"/>
        <v>7495.8</v>
      </c>
      <c r="AR656" s="224">
        <v>61467</v>
      </c>
      <c r="AS656" s="330">
        <v>46233</v>
      </c>
      <c r="AT656" s="220" t="s">
        <v>1220</v>
      </c>
      <c r="AU656" s="253">
        <f>1536+24</f>
        <v>1560</v>
      </c>
      <c r="AV656" s="252">
        <f t="shared" si="147"/>
        <v>0</v>
      </c>
      <c r="AW656" s="339"/>
      <c r="AX656" s="267" t="s">
        <v>1280</v>
      </c>
      <c r="AY656" s="220"/>
      <c r="AZ656" s="220"/>
      <c r="BA656" s="220"/>
      <c r="BB656" s="211" t="str">
        <f t="shared" si="145"/>
        <v>Kidland</v>
      </c>
      <c r="BC656" s="211" t="str">
        <f t="shared" si="148"/>
        <v>沙特阿拉伯</v>
      </c>
    </row>
    <row r="657" s="197" customFormat="1" customHeight="1" spans="1:55">
      <c r="A657" s="271">
        <v>46148</v>
      </c>
      <c r="B657" s="208" t="str">
        <f ca="1" t="shared" si="139"/>
        <v/>
      </c>
      <c r="C657" s="211" t="str">
        <f>VLOOKUP(H657,名称!A:E,4,0)</f>
        <v>三代</v>
      </c>
      <c r="D657" s="220" t="s">
        <v>1489</v>
      </c>
      <c r="E657" s="220" t="s">
        <v>1929</v>
      </c>
      <c r="F657" s="220" t="s">
        <v>821</v>
      </c>
      <c r="G657" s="220" t="s">
        <v>822</v>
      </c>
      <c r="H657" s="220" t="s">
        <v>66</v>
      </c>
      <c r="I657" s="220"/>
      <c r="J657" s="270">
        <v>1440</v>
      </c>
      <c r="K657" s="223">
        <f>VLOOKUP(H657,名称!A:C,2,0)</f>
        <v>12</v>
      </c>
      <c r="L657" s="212">
        <f t="shared" si="140"/>
        <v>17280</v>
      </c>
      <c r="M657" s="211">
        <f>VLOOKUP(H657,名称!A:E,3,0)</f>
        <v>6</v>
      </c>
      <c r="N657" s="212">
        <f t="shared" si="141"/>
        <v>240</v>
      </c>
      <c r="O657" s="271">
        <v>46195</v>
      </c>
      <c r="P657" s="271">
        <f t="shared" si="146"/>
        <v>46195</v>
      </c>
      <c r="Q657" s="256">
        <v>46216</v>
      </c>
      <c r="R657" s="267" t="s">
        <v>1241</v>
      </c>
      <c r="S657" s="220" t="s">
        <v>1133</v>
      </c>
      <c r="T657" s="220"/>
      <c r="U657" s="220"/>
      <c r="V657" s="263">
        <v>46231</v>
      </c>
      <c r="W657" s="220"/>
      <c r="X657" s="220" t="s">
        <v>1248</v>
      </c>
      <c r="Y657" s="335">
        <v>46193</v>
      </c>
      <c r="Z657" s="257" t="s">
        <v>1249</v>
      </c>
      <c r="AA657" s="284">
        <v>46154</v>
      </c>
      <c r="AB657" s="284">
        <v>46170</v>
      </c>
      <c r="AC657" s="257" t="s">
        <v>1318</v>
      </c>
      <c r="AD657" s="257" t="s">
        <v>1228</v>
      </c>
      <c r="AE657" s="220" t="s">
        <v>510</v>
      </c>
      <c r="AF657" s="257" t="s">
        <v>1228</v>
      </c>
      <c r="AG657" s="257" t="s">
        <v>510</v>
      </c>
      <c r="AH657" s="257" t="s">
        <v>1307</v>
      </c>
      <c r="AI657" s="257" t="s">
        <v>1228</v>
      </c>
      <c r="AJ657" s="257" t="s">
        <v>510</v>
      </c>
      <c r="AK657" s="257" t="s">
        <v>1133</v>
      </c>
      <c r="AL657" s="257"/>
      <c r="AM657" s="257" t="s">
        <v>1506</v>
      </c>
      <c r="AN657" s="268" t="s">
        <v>1930</v>
      </c>
      <c r="AO657" s="215">
        <v>2.02</v>
      </c>
      <c r="AP657" s="216">
        <f t="shared" si="143"/>
        <v>2908.8</v>
      </c>
      <c r="AQ657" s="216">
        <f t="shared" si="144"/>
        <v>22543.2</v>
      </c>
      <c r="AR657" s="224">
        <v>61467</v>
      </c>
      <c r="AS657" s="330">
        <v>46233</v>
      </c>
      <c r="AT657" s="220" t="s">
        <v>1220</v>
      </c>
      <c r="AU657" s="253">
        <v>1440</v>
      </c>
      <c r="AV657" s="252">
        <f t="shared" si="147"/>
        <v>0</v>
      </c>
      <c r="AW657" s="339"/>
      <c r="AX657" s="257" t="s">
        <v>1280</v>
      </c>
      <c r="AY657" s="220"/>
      <c r="AZ657" s="220"/>
      <c r="BA657" s="220"/>
      <c r="BB657" s="211" t="str">
        <f t="shared" si="145"/>
        <v>Kidland</v>
      </c>
      <c r="BC657" s="211" t="str">
        <f t="shared" si="148"/>
        <v>沙特阿拉伯</v>
      </c>
    </row>
    <row r="658" s="197" customFormat="1" customHeight="1" spans="1:55">
      <c r="A658" s="271">
        <v>46148</v>
      </c>
      <c r="B658" s="208" t="str">
        <f ca="1" t="shared" si="139"/>
        <v/>
      </c>
      <c r="C658" s="211" t="str">
        <f>VLOOKUP(H658,名称!A:E,4,0)</f>
        <v>三代</v>
      </c>
      <c r="D658" s="220" t="s">
        <v>1489</v>
      </c>
      <c r="E658" s="220" t="s">
        <v>1929</v>
      </c>
      <c r="F658" s="220" t="s">
        <v>821</v>
      </c>
      <c r="G658" s="220" t="s">
        <v>822</v>
      </c>
      <c r="H658" s="220" t="s">
        <v>68</v>
      </c>
      <c r="I658" s="220"/>
      <c r="J658" s="270">
        <v>1200</v>
      </c>
      <c r="K658" s="223">
        <f>VLOOKUP(H658,名称!A:C,2,0)</f>
        <v>32</v>
      </c>
      <c r="L658" s="212">
        <f t="shared" si="140"/>
        <v>38400</v>
      </c>
      <c r="M658" s="211">
        <f>VLOOKUP(H658,名称!A:E,3,0)</f>
        <v>4</v>
      </c>
      <c r="N658" s="212">
        <f t="shared" si="141"/>
        <v>300</v>
      </c>
      <c r="O658" s="271">
        <v>46195</v>
      </c>
      <c r="P658" s="271">
        <f t="shared" si="146"/>
        <v>46195</v>
      </c>
      <c r="Q658" s="256">
        <v>46216</v>
      </c>
      <c r="R658" s="267" t="s">
        <v>1241</v>
      </c>
      <c r="S658" s="220" t="s">
        <v>1133</v>
      </c>
      <c r="T658" s="220"/>
      <c r="U658" s="220"/>
      <c r="V658" s="263">
        <v>46231</v>
      </c>
      <c r="W658" s="220"/>
      <c r="X658" s="220" t="s">
        <v>1248</v>
      </c>
      <c r="Y658" s="335">
        <v>46193</v>
      </c>
      <c r="Z658" s="257" t="s">
        <v>1249</v>
      </c>
      <c r="AA658" s="284">
        <v>46154</v>
      </c>
      <c r="AB658" s="284">
        <v>46170</v>
      </c>
      <c r="AC658" s="257" t="s">
        <v>1133</v>
      </c>
      <c r="AD658" s="257" t="s">
        <v>1133</v>
      </c>
      <c r="AE658" s="220" t="s">
        <v>510</v>
      </c>
      <c r="AF658" s="257" t="s">
        <v>1228</v>
      </c>
      <c r="AG658" s="257" t="s">
        <v>510</v>
      </c>
      <c r="AH658" s="257" t="s">
        <v>1307</v>
      </c>
      <c r="AI658" s="257" t="s">
        <v>1228</v>
      </c>
      <c r="AJ658" s="257" t="s">
        <v>1133</v>
      </c>
      <c r="AK658" s="257" t="s">
        <v>1133</v>
      </c>
      <c r="AL658" s="257"/>
      <c r="AM658" s="257" t="s">
        <v>1506</v>
      </c>
      <c r="AN658" s="268" t="s">
        <v>1930</v>
      </c>
      <c r="AO658" s="215">
        <v>3.09</v>
      </c>
      <c r="AP658" s="216">
        <f t="shared" si="143"/>
        <v>3708</v>
      </c>
      <c r="AQ658" s="216">
        <f t="shared" si="144"/>
        <v>28737</v>
      </c>
      <c r="AR658" s="224" t="s">
        <v>1931</v>
      </c>
      <c r="AS658" s="330">
        <v>46233</v>
      </c>
      <c r="AT658" s="208" t="s">
        <v>1220</v>
      </c>
      <c r="AU658" s="253">
        <f>552+552+96</f>
        <v>1200</v>
      </c>
      <c r="AV658" s="252">
        <f t="shared" si="147"/>
        <v>0</v>
      </c>
      <c r="AW658" s="339"/>
      <c r="AX658" s="256" t="s">
        <v>1280</v>
      </c>
      <c r="AY658" s="220"/>
      <c r="AZ658" s="220"/>
      <c r="BA658" s="220"/>
      <c r="BB658" s="208" t="str">
        <f t="shared" si="145"/>
        <v>Kidland</v>
      </c>
      <c r="BC658" s="208" t="str">
        <f t="shared" si="148"/>
        <v>沙特阿拉伯</v>
      </c>
    </row>
    <row r="659" s="197" customFormat="1" customHeight="1" spans="1:55">
      <c r="A659" s="271">
        <v>46148</v>
      </c>
      <c r="B659" s="208" t="str">
        <f ca="1" t="shared" si="139"/>
        <v/>
      </c>
      <c r="C659" s="211" t="str">
        <f>VLOOKUP(H659,名称!A:E,4,0)</f>
        <v>三代</v>
      </c>
      <c r="D659" s="220" t="s">
        <v>1489</v>
      </c>
      <c r="E659" s="220" t="s">
        <v>1929</v>
      </c>
      <c r="F659" s="220" t="s">
        <v>821</v>
      </c>
      <c r="G659" s="220" t="s">
        <v>822</v>
      </c>
      <c r="H659" s="211" t="s">
        <v>112</v>
      </c>
      <c r="I659" s="220"/>
      <c r="J659" s="270">
        <v>560</v>
      </c>
      <c r="K659" s="223">
        <f>VLOOKUP(H659,名称!A:C,2,0)</f>
        <v>50</v>
      </c>
      <c r="L659" s="212">
        <f t="shared" si="140"/>
        <v>28000</v>
      </c>
      <c r="M659" s="211">
        <f>VLOOKUP(H659,名称!A:E,3,0)</f>
        <v>2</v>
      </c>
      <c r="N659" s="212">
        <f t="shared" si="141"/>
        <v>280</v>
      </c>
      <c r="O659" s="271">
        <v>46195</v>
      </c>
      <c r="P659" s="271">
        <f t="shared" si="146"/>
        <v>46195</v>
      </c>
      <c r="Q659" s="256">
        <v>46216</v>
      </c>
      <c r="R659" s="267" t="s">
        <v>1241</v>
      </c>
      <c r="S659" s="220" t="s">
        <v>1133</v>
      </c>
      <c r="T659" s="220"/>
      <c r="U659" s="220"/>
      <c r="V659" s="263">
        <v>46231</v>
      </c>
      <c r="W659" s="220"/>
      <c r="X659" s="220" t="s">
        <v>1248</v>
      </c>
      <c r="Y659" s="335">
        <v>46193</v>
      </c>
      <c r="Z659" s="257" t="s">
        <v>1249</v>
      </c>
      <c r="AA659" s="284">
        <v>46154</v>
      </c>
      <c r="AB659" s="284">
        <v>46170</v>
      </c>
      <c r="AC659" s="257" t="s">
        <v>1133</v>
      </c>
      <c r="AD659" s="257" t="s">
        <v>1133</v>
      </c>
      <c r="AE659" s="220" t="s">
        <v>510</v>
      </c>
      <c r="AF659" s="257" t="s">
        <v>1228</v>
      </c>
      <c r="AG659" s="257" t="s">
        <v>510</v>
      </c>
      <c r="AH659" s="257" t="s">
        <v>1133</v>
      </c>
      <c r="AI659" s="257" t="s">
        <v>1228</v>
      </c>
      <c r="AJ659" s="257" t="s">
        <v>1133</v>
      </c>
      <c r="AK659" s="257" t="s">
        <v>1133</v>
      </c>
      <c r="AL659" s="257"/>
      <c r="AM659" s="257" t="s">
        <v>1506</v>
      </c>
      <c r="AN659" s="268" t="s">
        <v>1930</v>
      </c>
      <c r="AO659" s="215">
        <v>9.12</v>
      </c>
      <c r="AP659" s="216">
        <f t="shared" si="143"/>
        <v>5107.2</v>
      </c>
      <c r="AQ659" s="216">
        <f t="shared" si="144"/>
        <v>39580.8</v>
      </c>
      <c r="AR659" s="224">
        <v>61467</v>
      </c>
      <c r="AS659" s="330">
        <v>46233</v>
      </c>
      <c r="AT659" s="208" t="s">
        <v>1220</v>
      </c>
      <c r="AU659" s="253"/>
      <c r="AV659" s="252">
        <f t="shared" si="147"/>
        <v>-560</v>
      </c>
      <c r="AW659" s="339"/>
      <c r="AX659" s="257"/>
      <c r="AY659" s="220"/>
      <c r="AZ659" s="220"/>
      <c r="BA659" s="220"/>
      <c r="BB659" s="208" t="str">
        <f t="shared" si="145"/>
        <v>Kidland</v>
      </c>
      <c r="BC659" s="208" t="str">
        <f t="shared" si="148"/>
        <v>沙特阿拉伯</v>
      </c>
    </row>
    <row r="660" s="197" customFormat="1" customHeight="1" spans="1:55">
      <c r="A660" s="271">
        <v>46148</v>
      </c>
      <c r="B660" s="208" t="str">
        <f ca="1" t="shared" si="139"/>
        <v/>
      </c>
      <c r="C660" s="211" t="str">
        <f>VLOOKUP(H660,名称!A:E,4,0)</f>
        <v>三代</v>
      </c>
      <c r="D660" s="220" t="s">
        <v>1489</v>
      </c>
      <c r="E660" s="220" t="s">
        <v>1929</v>
      </c>
      <c r="F660" s="220" t="s">
        <v>821</v>
      </c>
      <c r="G660" s="220" t="s">
        <v>822</v>
      </c>
      <c r="H660" s="220" t="s">
        <v>72</v>
      </c>
      <c r="I660" s="220"/>
      <c r="J660" s="270">
        <v>1512</v>
      </c>
      <c r="K660" s="223">
        <f>VLOOKUP(H660,名称!A:C,2,0)</f>
        <v>12</v>
      </c>
      <c r="L660" s="212">
        <f t="shared" si="140"/>
        <v>18144</v>
      </c>
      <c r="M660" s="211">
        <f>VLOOKUP(H660,名称!A:E,3,0)</f>
        <v>12</v>
      </c>
      <c r="N660" s="212">
        <f t="shared" si="141"/>
        <v>126</v>
      </c>
      <c r="O660" s="271">
        <v>46195</v>
      </c>
      <c r="P660" s="271">
        <f t="shared" si="146"/>
        <v>46195</v>
      </c>
      <c r="Q660" s="256">
        <v>46216</v>
      </c>
      <c r="R660" s="267" t="s">
        <v>1241</v>
      </c>
      <c r="S660" s="220" t="s">
        <v>1133</v>
      </c>
      <c r="T660" s="220"/>
      <c r="U660" s="220"/>
      <c r="V660" s="263">
        <v>46231</v>
      </c>
      <c r="W660" s="220"/>
      <c r="X660" s="220" t="s">
        <v>1248</v>
      </c>
      <c r="Y660" s="335">
        <v>46193</v>
      </c>
      <c r="Z660" s="257" t="s">
        <v>1249</v>
      </c>
      <c r="AA660" s="284">
        <v>46154</v>
      </c>
      <c r="AB660" s="284">
        <v>46170</v>
      </c>
      <c r="AC660" s="259" t="s">
        <v>1302</v>
      </c>
      <c r="AD660" s="259" t="s">
        <v>1228</v>
      </c>
      <c r="AE660" s="220" t="s">
        <v>510</v>
      </c>
      <c r="AF660" s="257" t="s">
        <v>1228</v>
      </c>
      <c r="AG660" s="257" t="s">
        <v>510</v>
      </c>
      <c r="AH660" s="257" t="s">
        <v>1307</v>
      </c>
      <c r="AI660" s="257" t="s">
        <v>1228</v>
      </c>
      <c r="AJ660" s="257" t="s">
        <v>1133</v>
      </c>
      <c r="AK660" s="257" t="s">
        <v>1133</v>
      </c>
      <c r="AL660" s="257"/>
      <c r="AM660" s="257" t="s">
        <v>1506</v>
      </c>
      <c r="AN660" s="268" t="s">
        <v>1930</v>
      </c>
      <c r="AO660" s="215">
        <v>1.58</v>
      </c>
      <c r="AP660" s="216">
        <f t="shared" si="143"/>
        <v>2388.96</v>
      </c>
      <c r="AQ660" s="216">
        <f t="shared" si="144"/>
        <v>18514.44</v>
      </c>
      <c r="AR660" s="224">
        <v>61467</v>
      </c>
      <c r="AS660" s="330">
        <v>46233</v>
      </c>
      <c r="AT660" s="220" t="s">
        <v>1220</v>
      </c>
      <c r="AU660" s="253">
        <v>1512</v>
      </c>
      <c r="AV660" s="252">
        <f t="shared" si="147"/>
        <v>0</v>
      </c>
      <c r="AW660" s="339"/>
      <c r="AX660" s="267" t="s">
        <v>1280</v>
      </c>
      <c r="AY660" s="220"/>
      <c r="AZ660" s="220"/>
      <c r="BA660" s="220"/>
      <c r="BB660" s="211" t="str">
        <f t="shared" si="145"/>
        <v>Kidland</v>
      </c>
      <c r="BC660" s="211" t="str">
        <f t="shared" si="148"/>
        <v>沙特阿拉伯</v>
      </c>
    </row>
    <row r="661" s="197" customFormat="1" customHeight="1" spans="1:55">
      <c r="A661" s="271">
        <v>46148</v>
      </c>
      <c r="B661" s="208" t="str">
        <f ca="1" t="shared" si="139"/>
        <v/>
      </c>
      <c r="C661" s="211" t="str">
        <f>VLOOKUP(H661,名称!A:E,4,0)</f>
        <v>三代</v>
      </c>
      <c r="D661" s="220" t="s">
        <v>1489</v>
      </c>
      <c r="E661" s="220" t="s">
        <v>1929</v>
      </c>
      <c r="F661" s="220" t="s">
        <v>821</v>
      </c>
      <c r="G661" s="220" t="s">
        <v>822</v>
      </c>
      <c r="H661" s="220" t="s">
        <v>85</v>
      </c>
      <c r="I661" s="220"/>
      <c r="J661" s="270">
        <v>4080</v>
      </c>
      <c r="K661" s="223">
        <f>VLOOKUP(H661,名称!A:C,2,0)</f>
        <v>5</v>
      </c>
      <c r="L661" s="212">
        <f t="shared" si="140"/>
        <v>20400</v>
      </c>
      <c r="M661" s="211">
        <f>VLOOKUP(H661,名称!A:E,3,0)</f>
        <v>24</v>
      </c>
      <c r="N661" s="212">
        <f t="shared" si="141"/>
        <v>170</v>
      </c>
      <c r="O661" s="271">
        <v>46195</v>
      </c>
      <c r="P661" s="271">
        <f t="shared" si="146"/>
        <v>46195</v>
      </c>
      <c r="Q661" s="256">
        <v>46216</v>
      </c>
      <c r="R661" s="267" t="s">
        <v>1241</v>
      </c>
      <c r="S661" s="220" t="s">
        <v>1133</v>
      </c>
      <c r="T661" s="220"/>
      <c r="U661" s="220"/>
      <c r="V661" s="263">
        <v>46231</v>
      </c>
      <c r="W661" s="220"/>
      <c r="X661" s="220" t="s">
        <v>1248</v>
      </c>
      <c r="Y661" s="335">
        <v>46193</v>
      </c>
      <c r="Z661" s="257" t="s">
        <v>1249</v>
      </c>
      <c r="AA661" s="284">
        <v>46154</v>
      </c>
      <c r="AB661" s="284">
        <v>46170</v>
      </c>
      <c r="AC661" s="257" t="s">
        <v>1133</v>
      </c>
      <c r="AD661" s="257" t="s">
        <v>1133</v>
      </c>
      <c r="AE661" s="220" t="s">
        <v>510</v>
      </c>
      <c r="AF661" s="257" t="s">
        <v>1228</v>
      </c>
      <c r="AG661" s="257" t="s">
        <v>510</v>
      </c>
      <c r="AH661" s="257" t="s">
        <v>1133</v>
      </c>
      <c r="AI661" s="257" t="s">
        <v>1228</v>
      </c>
      <c r="AJ661" s="257" t="s">
        <v>1133</v>
      </c>
      <c r="AK661" s="257" t="s">
        <v>510</v>
      </c>
      <c r="AL661" s="257"/>
      <c r="AM661" s="257" t="s">
        <v>1506</v>
      </c>
      <c r="AN661" s="268" t="s">
        <v>1932</v>
      </c>
      <c r="AO661" s="215">
        <v>0.88</v>
      </c>
      <c r="AP661" s="216">
        <f t="shared" si="143"/>
        <v>3590.4</v>
      </c>
      <c r="AQ661" s="216">
        <f t="shared" si="144"/>
        <v>27825.6</v>
      </c>
      <c r="AR661" s="224">
        <v>61467</v>
      </c>
      <c r="AS661" s="330">
        <v>46233</v>
      </c>
      <c r="AT661" s="220" t="s">
        <v>1220</v>
      </c>
      <c r="AU661" s="253">
        <v>4080</v>
      </c>
      <c r="AV661" s="252">
        <f t="shared" si="147"/>
        <v>0</v>
      </c>
      <c r="AW661" s="339"/>
      <c r="AX661" s="257" t="s">
        <v>1280</v>
      </c>
      <c r="AY661" s="220"/>
      <c r="AZ661" s="220"/>
      <c r="BA661" s="220"/>
      <c r="BB661" s="211" t="str">
        <f t="shared" si="145"/>
        <v>Kidland</v>
      </c>
      <c r="BC661" s="211" t="str">
        <f t="shared" si="148"/>
        <v>沙特阿拉伯</v>
      </c>
    </row>
    <row r="662" s="197" customFormat="1" customHeight="1" spans="1:55">
      <c r="A662" s="271">
        <v>46148</v>
      </c>
      <c r="B662" s="208" t="str">
        <f ca="1" t="shared" si="139"/>
        <v/>
      </c>
      <c r="C662" s="211" t="str">
        <f>VLOOKUP(H662,名称!A:E,4,0)</f>
        <v>三代</v>
      </c>
      <c r="D662" s="220" t="s">
        <v>1489</v>
      </c>
      <c r="E662" s="220" t="s">
        <v>1929</v>
      </c>
      <c r="F662" s="220" t="s">
        <v>821</v>
      </c>
      <c r="G662" s="220" t="s">
        <v>822</v>
      </c>
      <c r="H662" s="220" t="s">
        <v>179</v>
      </c>
      <c r="I662" s="220"/>
      <c r="J662" s="270">
        <v>1560</v>
      </c>
      <c r="K662" s="223">
        <f>VLOOKUP(H662,名称!A:C,2,0)</f>
        <v>0</v>
      </c>
      <c r="L662" s="212">
        <f t="shared" si="140"/>
        <v>0</v>
      </c>
      <c r="M662" s="211">
        <f>VLOOKUP(H662,名称!A:E,3,0)</f>
        <v>24</v>
      </c>
      <c r="N662" s="212">
        <f t="shared" si="141"/>
        <v>65</v>
      </c>
      <c r="O662" s="271">
        <v>46195</v>
      </c>
      <c r="P662" s="271">
        <f t="shared" si="146"/>
        <v>46195</v>
      </c>
      <c r="Q662" s="256">
        <v>46216</v>
      </c>
      <c r="R662" s="267" t="s">
        <v>1241</v>
      </c>
      <c r="S662" s="220" t="s">
        <v>1133</v>
      </c>
      <c r="T662" s="220"/>
      <c r="U662" s="220"/>
      <c r="V662" s="263">
        <v>46231</v>
      </c>
      <c r="W662" s="220"/>
      <c r="X662" s="220" t="s">
        <v>1248</v>
      </c>
      <c r="Y662" s="335">
        <v>46193</v>
      </c>
      <c r="Z662" s="257" t="s">
        <v>1249</v>
      </c>
      <c r="AA662" s="284">
        <v>46154</v>
      </c>
      <c r="AB662" s="284">
        <v>46170</v>
      </c>
      <c r="AC662" s="257" t="s">
        <v>1133</v>
      </c>
      <c r="AD662" s="257" t="s">
        <v>1133</v>
      </c>
      <c r="AE662" s="220" t="s">
        <v>510</v>
      </c>
      <c r="AF662" s="257" t="s">
        <v>1228</v>
      </c>
      <c r="AG662" s="257" t="s">
        <v>510</v>
      </c>
      <c r="AH662" s="257" t="s">
        <v>1133</v>
      </c>
      <c r="AI662" s="257" t="s">
        <v>1228</v>
      </c>
      <c r="AJ662" s="257" t="s">
        <v>1133</v>
      </c>
      <c r="AK662" s="257" t="s">
        <v>510</v>
      </c>
      <c r="AL662" s="257"/>
      <c r="AM662" s="257" t="s">
        <v>1506</v>
      </c>
      <c r="AN662" s="268" t="s">
        <v>1930</v>
      </c>
      <c r="AO662" s="215">
        <v>0.6</v>
      </c>
      <c r="AP662" s="216">
        <f t="shared" si="143"/>
        <v>936</v>
      </c>
      <c r="AQ662" s="216">
        <f t="shared" si="144"/>
        <v>7254</v>
      </c>
      <c r="AR662" s="224">
        <v>61467</v>
      </c>
      <c r="AS662" s="330">
        <v>46233</v>
      </c>
      <c r="AT662" s="220" t="s">
        <v>1310</v>
      </c>
      <c r="AU662" s="253">
        <v>1560</v>
      </c>
      <c r="AV662" s="252">
        <f t="shared" si="147"/>
        <v>0</v>
      </c>
      <c r="AW662" s="339"/>
      <c r="AX662" s="257"/>
      <c r="AY662" s="220"/>
      <c r="AZ662" s="220"/>
      <c r="BA662" s="220"/>
      <c r="BB662" s="211" t="str">
        <f t="shared" si="145"/>
        <v>Kidland</v>
      </c>
      <c r="BC662" s="211" t="str">
        <f t="shared" si="148"/>
        <v>沙特阿拉伯</v>
      </c>
    </row>
    <row r="663" s="197" customFormat="1" customHeight="1" spans="1:55">
      <c r="A663" s="271">
        <v>46148</v>
      </c>
      <c r="B663" s="208" t="str">
        <f ca="1" t="shared" si="139"/>
        <v/>
      </c>
      <c r="C663" s="211" t="str">
        <f>VLOOKUP(H663,名称!A:E,4,0)</f>
        <v>三代</v>
      </c>
      <c r="D663" s="220" t="s">
        <v>1489</v>
      </c>
      <c r="E663" s="220" t="s">
        <v>1929</v>
      </c>
      <c r="F663" s="220" t="s">
        <v>821</v>
      </c>
      <c r="G663" s="220" t="s">
        <v>822</v>
      </c>
      <c r="H663" s="220" t="s">
        <v>119</v>
      </c>
      <c r="I663" s="220"/>
      <c r="J663" s="270">
        <v>1560</v>
      </c>
      <c r="K663" s="223">
        <f>VLOOKUP(H663,名称!A:C,2,0)</f>
        <v>5</v>
      </c>
      <c r="L663" s="212">
        <f t="shared" si="140"/>
        <v>7800</v>
      </c>
      <c r="M663" s="211">
        <f>VLOOKUP(H663,名称!A:E,3,0)</f>
        <v>24</v>
      </c>
      <c r="N663" s="212">
        <f t="shared" si="141"/>
        <v>65</v>
      </c>
      <c r="O663" s="271">
        <v>46195</v>
      </c>
      <c r="P663" s="271">
        <f t="shared" si="146"/>
        <v>46195</v>
      </c>
      <c r="Q663" s="256">
        <v>46216</v>
      </c>
      <c r="R663" s="267" t="s">
        <v>1241</v>
      </c>
      <c r="S663" s="220" t="s">
        <v>1133</v>
      </c>
      <c r="T663" s="220"/>
      <c r="U663" s="220"/>
      <c r="V663" s="263">
        <v>46231</v>
      </c>
      <c r="W663" s="220"/>
      <c r="X663" s="220" t="s">
        <v>1248</v>
      </c>
      <c r="Y663" s="335">
        <v>46193</v>
      </c>
      <c r="Z663" s="257" t="s">
        <v>1249</v>
      </c>
      <c r="AA663" s="284">
        <v>46154</v>
      </c>
      <c r="AB663" s="284">
        <v>46170</v>
      </c>
      <c r="AC663" s="257"/>
      <c r="AD663" s="257"/>
      <c r="AE663" s="220" t="s">
        <v>510</v>
      </c>
      <c r="AF663" s="257" t="s">
        <v>1228</v>
      </c>
      <c r="AG663" s="257" t="s">
        <v>510</v>
      </c>
      <c r="AH663" s="257" t="s">
        <v>1133</v>
      </c>
      <c r="AI663" s="257" t="s">
        <v>1228</v>
      </c>
      <c r="AJ663" s="257" t="s">
        <v>1133</v>
      </c>
      <c r="AK663" s="257" t="s">
        <v>510</v>
      </c>
      <c r="AL663" s="257"/>
      <c r="AM663" s="257" t="s">
        <v>1506</v>
      </c>
      <c r="AN663" s="268" t="s">
        <v>1930</v>
      </c>
      <c r="AO663" s="215">
        <v>0.61</v>
      </c>
      <c r="AP663" s="216">
        <f t="shared" si="143"/>
        <v>951.6</v>
      </c>
      <c r="AQ663" s="216">
        <f t="shared" si="144"/>
        <v>7374.9</v>
      </c>
      <c r="AR663" s="224">
        <v>61467</v>
      </c>
      <c r="AS663" s="330">
        <v>46233</v>
      </c>
      <c r="AT663" s="208" t="s">
        <v>1220</v>
      </c>
      <c r="AU663" s="253">
        <f>1536+24</f>
        <v>1560</v>
      </c>
      <c r="AV663" s="252">
        <f t="shared" si="147"/>
        <v>0</v>
      </c>
      <c r="AW663" s="339"/>
      <c r="AX663" s="257" t="s">
        <v>1280</v>
      </c>
      <c r="AY663" s="220"/>
      <c r="AZ663" s="220"/>
      <c r="BA663" s="220"/>
      <c r="BB663" s="208" t="str">
        <f t="shared" si="145"/>
        <v>Kidland</v>
      </c>
      <c r="BC663" s="208" t="str">
        <f t="shared" si="148"/>
        <v>沙特阿拉伯</v>
      </c>
    </row>
    <row r="664" s="197" customFormat="1" customHeight="1" spans="1:55">
      <c r="A664" s="271">
        <v>46148</v>
      </c>
      <c r="B664" s="208" t="str">
        <f ca="1" t="shared" si="139"/>
        <v/>
      </c>
      <c r="C664" s="211" t="str">
        <f>VLOOKUP(H664,名称!A:E,4,0)</f>
        <v>三代</v>
      </c>
      <c r="D664" s="220" t="s">
        <v>1489</v>
      </c>
      <c r="E664" s="220" t="s">
        <v>1929</v>
      </c>
      <c r="F664" s="220" t="s">
        <v>821</v>
      </c>
      <c r="G664" s="220" t="s">
        <v>822</v>
      </c>
      <c r="H664" s="220" t="s">
        <v>92</v>
      </c>
      <c r="I664" s="220"/>
      <c r="J664" s="270">
        <v>960</v>
      </c>
      <c r="K664" s="223">
        <f>VLOOKUP(H664,名称!A:C,2,0)</f>
        <v>7</v>
      </c>
      <c r="L664" s="212">
        <f t="shared" si="140"/>
        <v>6720</v>
      </c>
      <c r="M664" s="211">
        <f>VLOOKUP(H664,名称!A:E,3,0)</f>
        <v>16</v>
      </c>
      <c r="N664" s="212">
        <f t="shared" si="141"/>
        <v>60</v>
      </c>
      <c r="O664" s="271">
        <v>46195</v>
      </c>
      <c r="P664" s="271">
        <f t="shared" si="146"/>
        <v>46195</v>
      </c>
      <c r="Q664" s="256">
        <v>46216</v>
      </c>
      <c r="R664" s="267" t="s">
        <v>1304</v>
      </c>
      <c r="S664" s="220" t="s">
        <v>1133</v>
      </c>
      <c r="T664" s="220"/>
      <c r="U664" s="220"/>
      <c r="V664" s="263">
        <v>46231</v>
      </c>
      <c r="W664" s="220"/>
      <c r="X664" s="220" t="s">
        <v>1248</v>
      </c>
      <c r="Y664" s="335">
        <v>46193</v>
      </c>
      <c r="Z664" s="257" t="s">
        <v>1249</v>
      </c>
      <c r="AA664" s="284">
        <v>46154</v>
      </c>
      <c r="AB664" s="284">
        <v>46170</v>
      </c>
      <c r="AC664" s="257" t="s">
        <v>1284</v>
      </c>
      <c r="AD664" s="257" t="s">
        <v>1228</v>
      </c>
      <c r="AE664" s="220" t="s">
        <v>510</v>
      </c>
      <c r="AF664" s="257" t="s">
        <v>1228</v>
      </c>
      <c r="AG664" s="257" t="s">
        <v>510</v>
      </c>
      <c r="AH664" s="257" t="s">
        <v>1307</v>
      </c>
      <c r="AI664" s="257" t="s">
        <v>1228</v>
      </c>
      <c r="AJ664" s="257" t="s">
        <v>1133</v>
      </c>
      <c r="AK664" s="257" t="s">
        <v>1133</v>
      </c>
      <c r="AL664" s="257"/>
      <c r="AM664" s="257" t="s">
        <v>1506</v>
      </c>
      <c r="AN664" s="268" t="s">
        <v>1930</v>
      </c>
      <c r="AO664" s="215">
        <v>0.86</v>
      </c>
      <c r="AP664" s="216">
        <f t="shared" si="143"/>
        <v>825.6</v>
      </c>
      <c r="AQ664" s="216">
        <f t="shared" si="144"/>
        <v>6398.4</v>
      </c>
      <c r="AR664" s="224">
        <v>61467</v>
      </c>
      <c r="AS664" s="330">
        <v>46233</v>
      </c>
      <c r="AT664" s="220" t="s">
        <v>1220</v>
      </c>
      <c r="AU664" s="253">
        <f>944+16</f>
        <v>960</v>
      </c>
      <c r="AV664" s="252">
        <f t="shared" si="147"/>
        <v>0</v>
      </c>
      <c r="AW664" s="339"/>
      <c r="AX664" s="256" t="s">
        <v>1280</v>
      </c>
      <c r="AY664" s="220"/>
      <c r="AZ664" s="220"/>
      <c r="BA664" s="220"/>
      <c r="BB664" s="211" t="str">
        <f t="shared" si="145"/>
        <v>Kidland</v>
      </c>
      <c r="BC664" s="211" t="str">
        <f t="shared" si="148"/>
        <v>沙特阿拉伯</v>
      </c>
    </row>
    <row r="665" s="197" customFormat="1" customHeight="1" spans="1:55">
      <c r="A665" s="271">
        <v>46148</v>
      </c>
      <c r="B665" s="208" t="str">
        <f ca="1" t="shared" si="139"/>
        <v/>
      </c>
      <c r="C665" s="211" t="str">
        <f>VLOOKUP(H665,名称!A:E,4,0)</f>
        <v>三代</v>
      </c>
      <c r="D665" s="220" t="s">
        <v>1489</v>
      </c>
      <c r="E665" s="220" t="s">
        <v>1929</v>
      </c>
      <c r="F665" s="220" t="s">
        <v>821</v>
      </c>
      <c r="G665" s="220" t="s">
        <v>822</v>
      </c>
      <c r="H665" s="220" t="s">
        <v>94</v>
      </c>
      <c r="I665" s="220"/>
      <c r="J665" s="270">
        <v>3120</v>
      </c>
      <c r="K665" s="223">
        <f>VLOOKUP(H665,名称!A:C,2,0)</f>
        <v>5</v>
      </c>
      <c r="L665" s="212">
        <f t="shared" si="140"/>
        <v>15600</v>
      </c>
      <c r="M665" s="211">
        <f>VLOOKUP(H665,名称!A:E,3,0)</f>
        <v>24</v>
      </c>
      <c r="N665" s="212">
        <f t="shared" si="141"/>
        <v>130</v>
      </c>
      <c r="O665" s="271">
        <v>46195</v>
      </c>
      <c r="P665" s="271">
        <f t="shared" si="146"/>
        <v>46195</v>
      </c>
      <c r="Q665" s="256">
        <v>46216</v>
      </c>
      <c r="R665" s="267" t="s">
        <v>1241</v>
      </c>
      <c r="S665" s="220" t="s">
        <v>1133</v>
      </c>
      <c r="T665" s="220"/>
      <c r="U665" s="220"/>
      <c r="V665" s="263">
        <v>46231</v>
      </c>
      <c r="W665" s="220"/>
      <c r="X665" s="220" t="s">
        <v>1248</v>
      </c>
      <c r="Y665" s="335">
        <v>46193</v>
      </c>
      <c r="Z665" s="257" t="s">
        <v>1249</v>
      </c>
      <c r="AA665" s="284">
        <v>46154</v>
      </c>
      <c r="AB665" s="284">
        <v>46170</v>
      </c>
      <c r="AC665" s="257" t="s">
        <v>1133</v>
      </c>
      <c r="AD665" s="257" t="s">
        <v>1133</v>
      </c>
      <c r="AE665" s="220" t="s">
        <v>510</v>
      </c>
      <c r="AF665" s="257" t="s">
        <v>1228</v>
      </c>
      <c r="AG665" s="257" t="s">
        <v>510</v>
      </c>
      <c r="AH665" s="257" t="s">
        <v>1133</v>
      </c>
      <c r="AI665" s="257" t="s">
        <v>1228</v>
      </c>
      <c r="AJ665" s="257" t="s">
        <v>1133</v>
      </c>
      <c r="AK665" s="257" t="s">
        <v>510</v>
      </c>
      <c r="AL665" s="257"/>
      <c r="AM665" s="257" t="s">
        <v>1506</v>
      </c>
      <c r="AN665" s="268" t="s">
        <v>1930</v>
      </c>
      <c r="AO665" s="215">
        <v>0.62</v>
      </c>
      <c r="AP665" s="216">
        <f t="shared" si="143"/>
        <v>1934.4</v>
      </c>
      <c r="AQ665" s="216">
        <f t="shared" si="144"/>
        <v>14991.6</v>
      </c>
      <c r="AR665" s="224">
        <v>61467</v>
      </c>
      <c r="AS665" s="330">
        <v>46233</v>
      </c>
      <c r="AT665" s="220" t="s">
        <v>1220</v>
      </c>
      <c r="AU665" s="253">
        <v>3120</v>
      </c>
      <c r="AV665" s="252">
        <f t="shared" si="147"/>
        <v>0</v>
      </c>
      <c r="AW665" s="339"/>
      <c r="AX665" s="256" t="s">
        <v>1280</v>
      </c>
      <c r="AY665" s="220"/>
      <c r="AZ665" s="220"/>
      <c r="BA665" s="220"/>
      <c r="BB665" s="211" t="str">
        <f t="shared" si="145"/>
        <v>Kidland</v>
      </c>
      <c r="BC665" s="211" t="str">
        <f t="shared" si="148"/>
        <v>沙特阿拉伯</v>
      </c>
    </row>
    <row r="666" s="197" customFormat="1" customHeight="1" spans="1:55">
      <c r="A666" s="271">
        <v>46148</v>
      </c>
      <c r="B666" s="208" t="str">
        <f ca="1" t="shared" si="139"/>
        <v/>
      </c>
      <c r="C666" s="211" t="str">
        <f>VLOOKUP(H666,名称!A:E,4,0)</f>
        <v>三代</v>
      </c>
      <c r="D666" s="220" t="s">
        <v>1489</v>
      </c>
      <c r="E666" s="220" t="s">
        <v>1929</v>
      </c>
      <c r="F666" s="220" t="s">
        <v>821</v>
      </c>
      <c r="G666" s="220" t="s">
        <v>822</v>
      </c>
      <c r="H666" s="220" t="s">
        <v>95</v>
      </c>
      <c r="I666" s="220"/>
      <c r="J666" s="270">
        <v>720</v>
      </c>
      <c r="K666" s="223">
        <f>VLOOKUP(H666,名称!A:C,2,0)</f>
        <v>32</v>
      </c>
      <c r="L666" s="212">
        <f t="shared" si="140"/>
        <v>23040</v>
      </c>
      <c r="M666" s="211">
        <f>VLOOKUP(H666,名称!A:E,3,0)</f>
        <v>4</v>
      </c>
      <c r="N666" s="212">
        <f t="shared" si="141"/>
        <v>180</v>
      </c>
      <c r="O666" s="271">
        <v>46195</v>
      </c>
      <c r="P666" s="271">
        <f t="shared" si="146"/>
        <v>46195</v>
      </c>
      <c r="Q666" s="256">
        <v>46216</v>
      </c>
      <c r="R666" s="267" t="s">
        <v>1241</v>
      </c>
      <c r="S666" s="220" t="s">
        <v>1133</v>
      </c>
      <c r="T666" s="220"/>
      <c r="U666" s="220"/>
      <c r="V666" s="263">
        <v>46231</v>
      </c>
      <c r="W666" s="220"/>
      <c r="X666" s="220" t="s">
        <v>1248</v>
      </c>
      <c r="Y666" s="335">
        <v>46193</v>
      </c>
      <c r="Z666" s="257" t="s">
        <v>1249</v>
      </c>
      <c r="AA666" s="284">
        <v>46154</v>
      </c>
      <c r="AB666" s="284">
        <v>46170</v>
      </c>
      <c r="AC666" s="257" t="s">
        <v>1133</v>
      </c>
      <c r="AD666" s="257" t="s">
        <v>1133</v>
      </c>
      <c r="AE666" s="220" t="s">
        <v>510</v>
      </c>
      <c r="AF666" s="257" t="s">
        <v>1228</v>
      </c>
      <c r="AG666" s="257" t="s">
        <v>510</v>
      </c>
      <c r="AH666" s="257" t="s">
        <v>1307</v>
      </c>
      <c r="AI666" s="257" t="s">
        <v>1228</v>
      </c>
      <c r="AJ666" s="257" t="s">
        <v>1133</v>
      </c>
      <c r="AK666" s="257" t="s">
        <v>1133</v>
      </c>
      <c r="AL666" s="257"/>
      <c r="AM666" s="257" t="s">
        <v>1506</v>
      </c>
      <c r="AN666" s="268" t="s">
        <v>1930</v>
      </c>
      <c r="AO666" s="215">
        <v>3.09</v>
      </c>
      <c r="AP666" s="216">
        <f t="shared" si="143"/>
        <v>2224.8</v>
      </c>
      <c r="AQ666" s="216">
        <f t="shared" si="144"/>
        <v>17242.2</v>
      </c>
      <c r="AR666" s="224">
        <v>61467</v>
      </c>
      <c r="AS666" s="330">
        <v>46233</v>
      </c>
      <c r="AT666" s="220" t="s">
        <v>1220</v>
      </c>
      <c r="AU666" s="253">
        <v>720</v>
      </c>
      <c r="AV666" s="252">
        <f t="shared" si="147"/>
        <v>0</v>
      </c>
      <c r="AW666" s="339"/>
      <c r="AX666" s="267" t="s">
        <v>1280</v>
      </c>
      <c r="AY666" s="220"/>
      <c r="AZ666" s="220"/>
      <c r="BA666" s="220"/>
      <c r="BB666" s="211" t="str">
        <f t="shared" si="145"/>
        <v>Kidland</v>
      </c>
      <c r="BC666" s="211" t="str">
        <f t="shared" si="148"/>
        <v>沙特阿拉伯</v>
      </c>
    </row>
    <row r="667" s="197" customFormat="1" customHeight="1" spans="1:55">
      <c r="A667" s="271">
        <v>46148</v>
      </c>
      <c r="B667" s="208" t="str">
        <f ca="1" t="shared" si="139"/>
        <v/>
      </c>
      <c r="C667" s="211" t="str">
        <f>VLOOKUP(H667,名称!A:E,4,0)</f>
        <v>三代</v>
      </c>
      <c r="D667" s="220" t="s">
        <v>1489</v>
      </c>
      <c r="E667" s="220" t="s">
        <v>1929</v>
      </c>
      <c r="F667" s="220" t="s">
        <v>821</v>
      </c>
      <c r="G667" s="220" t="s">
        <v>822</v>
      </c>
      <c r="H667" s="220" t="s">
        <v>97</v>
      </c>
      <c r="I667" s="220"/>
      <c r="J667" s="270">
        <v>1560</v>
      </c>
      <c r="K667" s="223">
        <f>VLOOKUP(H667,名称!A:C,2,0)</f>
        <v>5</v>
      </c>
      <c r="L667" s="212">
        <f t="shared" si="140"/>
        <v>7800</v>
      </c>
      <c r="M667" s="211">
        <f>VLOOKUP(H667,名称!A:E,3,0)</f>
        <v>24</v>
      </c>
      <c r="N667" s="212">
        <f t="shared" si="141"/>
        <v>65</v>
      </c>
      <c r="O667" s="271">
        <v>46195</v>
      </c>
      <c r="P667" s="271">
        <f t="shared" si="146"/>
        <v>46195</v>
      </c>
      <c r="Q667" s="256">
        <v>46218</v>
      </c>
      <c r="R667" s="267" t="s">
        <v>1241</v>
      </c>
      <c r="S667" s="220" t="s">
        <v>1133</v>
      </c>
      <c r="T667" s="220"/>
      <c r="U667" s="220"/>
      <c r="V667" s="263">
        <v>46231</v>
      </c>
      <c r="W667" s="220"/>
      <c r="X667" s="220" t="s">
        <v>1248</v>
      </c>
      <c r="Y667" s="335">
        <v>46193</v>
      </c>
      <c r="Z667" s="257" t="s">
        <v>1249</v>
      </c>
      <c r="AA667" s="284">
        <v>46154</v>
      </c>
      <c r="AB667" s="284">
        <v>46170</v>
      </c>
      <c r="AC667" s="257" t="s">
        <v>1133</v>
      </c>
      <c r="AD667" s="257" t="s">
        <v>1133</v>
      </c>
      <c r="AE667" s="220" t="s">
        <v>510</v>
      </c>
      <c r="AF667" s="257" t="s">
        <v>1228</v>
      </c>
      <c r="AG667" s="257" t="s">
        <v>510</v>
      </c>
      <c r="AH667" s="257" t="s">
        <v>1133</v>
      </c>
      <c r="AI667" s="257" t="s">
        <v>1228</v>
      </c>
      <c r="AJ667" s="257" t="s">
        <v>1133</v>
      </c>
      <c r="AK667" s="257" t="s">
        <v>510</v>
      </c>
      <c r="AL667" s="257"/>
      <c r="AM667" s="257" t="s">
        <v>1506</v>
      </c>
      <c r="AN667" s="268" t="s">
        <v>1930</v>
      </c>
      <c r="AO667" s="215">
        <v>0.62</v>
      </c>
      <c r="AP667" s="216">
        <f t="shared" si="143"/>
        <v>967.2</v>
      </c>
      <c r="AQ667" s="216">
        <f t="shared" si="144"/>
        <v>7495.8</v>
      </c>
      <c r="AR667" s="224">
        <v>61467</v>
      </c>
      <c r="AS667" s="330">
        <v>46233</v>
      </c>
      <c r="AT667" s="220" t="s">
        <v>1220</v>
      </c>
      <c r="AU667" s="253">
        <v>1560</v>
      </c>
      <c r="AV667" s="252">
        <f t="shared" si="147"/>
        <v>0</v>
      </c>
      <c r="AW667" s="339"/>
      <c r="AX667" s="274" t="s">
        <v>1280</v>
      </c>
      <c r="AY667" s="220"/>
      <c r="AZ667" s="220"/>
      <c r="BA667" s="220"/>
      <c r="BB667" s="211" t="str">
        <f t="shared" si="145"/>
        <v>Kidland</v>
      </c>
      <c r="BC667" s="211" t="str">
        <f t="shared" si="148"/>
        <v>沙特阿拉伯</v>
      </c>
    </row>
    <row r="668" s="197" customFormat="1" customHeight="1" spans="1:55">
      <c r="A668" s="271">
        <v>46148</v>
      </c>
      <c r="B668" s="208" t="str">
        <f ca="1" t="shared" si="139"/>
        <v/>
      </c>
      <c r="C668" s="211" t="str">
        <f>VLOOKUP(H668,名称!A:E,4,0)</f>
        <v>三代</v>
      </c>
      <c r="D668" s="220" t="s">
        <v>1489</v>
      </c>
      <c r="E668" s="220" t="s">
        <v>1929</v>
      </c>
      <c r="F668" s="220" t="s">
        <v>821</v>
      </c>
      <c r="G668" s="220" t="s">
        <v>822</v>
      </c>
      <c r="H668" s="220" t="s">
        <v>98</v>
      </c>
      <c r="I668" s="220"/>
      <c r="J668" s="270">
        <v>1200</v>
      </c>
      <c r="K668" s="223">
        <f>VLOOKUP(H668,名称!A:C,2,0)</f>
        <v>12</v>
      </c>
      <c r="L668" s="212">
        <f t="shared" si="140"/>
        <v>14400</v>
      </c>
      <c r="M668" s="211">
        <f>VLOOKUP(H668,名称!A:E,3,0)</f>
        <v>12</v>
      </c>
      <c r="N668" s="212">
        <f t="shared" si="141"/>
        <v>100</v>
      </c>
      <c r="O668" s="271">
        <v>46195</v>
      </c>
      <c r="P668" s="271">
        <f t="shared" si="146"/>
        <v>46195</v>
      </c>
      <c r="Q668" s="256">
        <v>46216</v>
      </c>
      <c r="R668" s="267" t="s">
        <v>1241</v>
      </c>
      <c r="S668" s="220" t="s">
        <v>1133</v>
      </c>
      <c r="T668" s="220"/>
      <c r="U668" s="220"/>
      <c r="V668" s="263">
        <v>46231</v>
      </c>
      <c r="W668" s="220"/>
      <c r="X668" s="220" t="s">
        <v>1248</v>
      </c>
      <c r="Y668" s="335">
        <v>46193</v>
      </c>
      <c r="Z668" s="257" t="s">
        <v>1249</v>
      </c>
      <c r="AA668" s="284">
        <v>46154</v>
      </c>
      <c r="AB668" s="284">
        <v>46170</v>
      </c>
      <c r="AC668" s="257" t="s">
        <v>1302</v>
      </c>
      <c r="AD668" s="257" t="s">
        <v>1228</v>
      </c>
      <c r="AE668" s="220" t="s">
        <v>510</v>
      </c>
      <c r="AF668" s="257" t="s">
        <v>1228</v>
      </c>
      <c r="AG668" s="257" t="s">
        <v>510</v>
      </c>
      <c r="AH668" s="257" t="s">
        <v>1307</v>
      </c>
      <c r="AI668" s="257" t="s">
        <v>1228</v>
      </c>
      <c r="AJ668" s="257" t="s">
        <v>1133</v>
      </c>
      <c r="AK668" s="257" t="s">
        <v>1133</v>
      </c>
      <c r="AL668" s="257"/>
      <c r="AM668" s="257" t="s">
        <v>1506</v>
      </c>
      <c r="AN668" s="268" t="s">
        <v>1930</v>
      </c>
      <c r="AO668" s="215">
        <v>1.58</v>
      </c>
      <c r="AP668" s="216">
        <f t="shared" si="143"/>
        <v>1896</v>
      </c>
      <c r="AQ668" s="216">
        <f t="shared" si="144"/>
        <v>14694</v>
      </c>
      <c r="AR668" s="224">
        <v>61467</v>
      </c>
      <c r="AS668" s="330">
        <v>46233</v>
      </c>
      <c r="AT668" s="220" t="s">
        <v>1220</v>
      </c>
      <c r="AU668" s="253">
        <v>1200</v>
      </c>
      <c r="AV668" s="252">
        <f t="shared" si="147"/>
        <v>0</v>
      </c>
      <c r="AW668" s="339"/>
      <c r="AX668" s="267" t="s">
        <v>1280</v>
      </c>
      <c r="AY668" s="220"/>
      <c r="AZ668" s="220"/>
      <c r="BA668" s="220"/>
      <c r="BB668" s="211" t="str">
        <f t="shared" si="145"/>
        <v>Kidland</v>
      </c>
      <c r="BC668" s="211" t="str">
        <f t="shared" ref="BC668:BC696" si="149">E668</f>
        <v>沙特阿拉伯</v>
      </c>
    </row>
    <row r="669" s="197" customFormat="1" customHeight="1" spans="1:55">
      <c r="A669" s="271">
        <v>46148</v>
      </c>
      <c r="B669" s="208" t="str">
        <f ca="1" t="shared" si="139"/>
        <v/>
      </c>
      <c r="C669" s="211" t="str">
        <f>VLOOKUP(H669,名称!A:E,4,0)</f>
        <v>三代</v>
      </c>
      <c r="D669" s="220" t="s">
        <v>1489</v>
      </c>
      <c r="E669" s="220" t="s">
        <v>1929</v>
      </c>
      <c r="F669" s="220" t="s">
        <v>821</v>
      </c>
      <c r="G669" s="220" t="s">
        <v>822</v>
      </c>
      <c r="H669" s="220" t="s">
        <v>116</v>
      </c>
      <c r="I669" s="220"/>
      <c r="J669" s="270">
        <v>1560</v>
      </c>
      <c r="K669" s="223">
        <f>VLOOKUP(H669,名称!A:C,2,0)</f>
        <v>12</v>
      </c>
      <c r="L669" s="212">
        <f t="shared" si="140"/>
        <v>18720</v>
      </c>
      <c r="M669" s="211">
        <f>VLOOKUP(H669,名称!A:E,3,0)</f>
        <v>12</v>
      </c>
      <c r="N669" s="212">
        <f t="shared" si="141"/>
        <v>130</v>
      </c>
      <c r="O669" s="271">
        <v>46195</v>
      </c>
      <c r="P669" s="271">
        <f t="shared" si="146"/>
        <v>46195</v>
      </c>
      <c r="Q669" s="256">
        <v>46218</v>
      </c>
      <c r="R669" s="267" t="s">
        <v>1241</v>
      </c>
      <c r="S669" s="220" t="s">
        <v>1133</v>
      </c>
      <c r="T669" s="220"/>
      <c r="U669" s="220"/>
      <c r="V669" s="263">
        <v>46231</v>
      </c>
      <c r="W669" s="220"/>
      <c r="X669" s="257" t="s">
        <v>1248</v>
      </c>
      <c r="Y669" s="335">
        <v>46193</v>
      </c>
      <c r="Z669" s="257" t="s">
        <v>1249</v>
      </c>
      <c r="AA669" s="284">
        <v>46154</v>
      </c>
      <c r="AB669" s="284">
        <v>46170</v>
      </c>
      <c r="AC669" s="257" t="s">
        <v>1302</v>
      </c>
      <c r="AD669" s="257" t="s">
        <v>1228</v>
      </c>
      <c r="AE669" s="220" t="s">
        <v>510</v>
      </c>
      <c r="AF669" s="257" t="s">
        <v>1228</v>
      </c>
      <c r="AG669" s="257" t="s">
        <v>510</v>
      </c>
      <c r="AH669" s="257" t="s">
        <v>1307</v>
      </c>
      <c r="AI669" s="257" t="s">
        <v>1228</v>
      </c>
      <c r="AJ669" s="257" t="s">
        <v>1133</v>
      </c>
      <c r="AK669" s="257" t="s">
        <v>1133</v>
      </c>
      <c r="AL669" s="257"/>
      <c r="AM669" s="257" t="s">
        <v>1506</v>
      </c>
      <c r="AN669" s="268" t="s">
        <v>1930</v>
      </c>
      <c r="AO669" s="215">
        <v>1.56</v>
      </c>
      <c r="AP669" s="216">
        <f t="shared" si="143"/>
        <v>2433.6</v>
      </c>
      <c r="AQ669" s="216">
        <f t="shared" si="144"/>
        <v>18860.4</v>
      </c>
      <c r="AR669" s="224">
        <v>61467</v>
      </c>
      <c r="AS669" s="330">
        <v>46233</v>
      </c>
      <c r="AT669" s="220" t="s">
        <v>1220</v>
      </c>
      <c r="AU669" s="253">
        <v>1560</v>
      </c>
      <c r="AV669" s="252">
        <f t="shared" si="147"/>
        <v>0</v>
      </c>
      <c r="AW669" s="340" t="s">
        <v>1228</v>
      </c>
      <c r="AX669" s="267" t="s">
        <v>1280</v>
      </c>
      <c r="AY669" s="220"/>
      <c r="AZ669" s="220"/>
      <c r="BA669" s="220"/>
      <c r="BB669" s="211" t="str">
        <f t="shared" si="145"/>
        <v>Kidland</v>
      </c>
      <c r="BC669" s="211" t="str">
        <f t="shared" si="149"/>
        <v>沙特阿拉伯</v>
      </c>
    </row>
    <row r="670" s="194" customFormat="1" customHeight="1" spans="1:55">
      <c r="A670" s="271">
        <v>46148</v>
      </c>
      <c r="B670" s="208" t="str">
        <f ca="1" t="shared" si="139"/>
        <v/>
      </c>
      <c r="C670" s="211" t="str">
        <f>VLOOKUP(H670,名称!A:E,4,0)</f>
        <v>蛋糕</v>
      </c>
      <c r="D670" s="220" t="s">
        <v>1489</v>
      </c>
      <c r="E670" s="220" t="s">
        <v>1929</v>
      </c>
      <c r="F670" s="220" t="s">
        <v>821</v>
      </c>
      <c r="G670" s="220" t="s">
        <v>822</v>
      </c>
      <c r="H670" s="220" t="s">
        <v>123</v>
      </c>
      <c r="I670" s="211"/>
      <c r="J670" s="270">
        <v>3120</v>
      </c>
      <c r="K670" s="223">
        <f>VLOOKUP(H670,名称!A:C,2,0)</f>
        <v>0</v>
      </c>
      <c r="L670" s="212">
        <f t="shared" si="140"/>
        <v>0</v>
      </c>
      <c r="M670" s="211">
        <f>VLOOKUP(H670,名称!A:E,3,0)</f>
        <v>24</v>
      </c>
      <c r="N670" s="212">
        <f t="shared" si="141"/>
        <v>130</v>
      </c>
      <c r="O670" s="271">
        <v>46195</v>
      </c>
      <c r="P670" s="271">
        <f t="shared" si="146"/>
        <v>46195</v>
      </c>
      <c r="Q670" s="271">
        <v>46216</v>
      </c>
      <c r="R670" s="241" t="s">
        <v>1241</v>
      </c>
      <c r="S670" s="256" t="s">
        <v>1133</v>
      </c>
      <c r="T670" s="211"/>
      <c r="U670" s="211"/>
      <c r="V670" s="213">
        <v>46231</v>
      </c>
      <c r="W670" s="208"/>
      <c r="X670" s="220" t="s">
        <v>1248</v>
      </c>
      <c r="Y670" s="263">
        <v>46193</v>
      </c>
      <c r="Z670" s="211" t="s">
        <v>1249</v>
      </c>
      <c r="AA670" s="214">
        <v>46154</v>
      </c>
      <c r="AB670" s="214">
        <v>46170</v>
      </c>
      <c r="AC670" s="211" t="s">
        <v>1133</v>
      </c>
      <c r="AD670" s="211" t="s">
        <v>1133</v>
      </c>
      <c r="AE670" s="220" t="s">
        <v>510</v>
      </c>
      <c r="AF670" s="211" t="s">
        <v>1228</v>
      </c>
      <c r="AG670" s="220" t="s">
        <v>510</v>
      </c>
      <c r="AH670" s="211" t="s">
        <v>1133</v>
      </c>
      <c r="AI670" s="211" t="s">
        <v>1228</v>
      </c>
      <c r="AJ670" s="211" t="s">
        <v>1133</v>
      </c>
      <c r="AK670" s="211" t="s">
        <v>1228</v>
      </c>
      <c r="AL670" s="211"/>
      <c r="AM670" s="257" t="s">
        <v>1506</v>
      </c>
      <c r="AN670" s="220" t="s">
        <v>1507</v>
      </c>
      <c r="AO670" s="215">
        <v>0.77</v>
      </c>
      <c r="AP670" s="216">
        <f t="shared" si="143"/>
        <v>2402.4</v>
      </c>
      <c r="AQ670" s="216">
        <f t="shared" si="144"/>
        <v>18618.6</v>
      </c>
      <c r="AR670" s="224">
        <v>61467</v>
      </c>
      <c r="AS670" s="330">
        <v>46233</v>
      </c>
      <c r="AT670" s="208" t="s">
        <v>1220</v>
      </c>
      <c r="AU670" s="208"/>
      <c r="AV670" s="208"/>
      <c r="AW670" s="208"/>
      <c r="AX670" s="208"/>
      <c r="AY670" s="208"/>
      <c r="AZ670" s="208"/>
      <c r="BA670" s="208"/>
      <c r="BB670" s="208" t="str">
        <f t="shared" si="145"/>
        <v>Kidland</v>
      </c>
      <c r="BC670" s="208" t="str">
        <f t="shared" si="149"/>
        <v>沙特阿拉伯</v>
      </c>
    </row>
    <row r="671" s="194" customFormat="1" customHeight="1" spans="1:55">
      <c r="A671" s="271">
        <v>46148</v>
      </c>
      <c r="B671" s="208" t="str">
        <f ca="1" t="shared" si="139"/>
        <v/>
      </c>
      <c r="C671" s="211" t="str">
        <f>VLOOKUP(H671,名称!A:E,4,0)</f>
        <v>蛋糕</v>
      </c>
      <c r="D671" s="220" t="s">
        <v>1489</v>
      </c>
      <c r="E671" s="220" t="s">
        <v>1929</v>
      </c>
      <c r="F671" s="220" t="s">
        <v>821</v>
      </c>
      <c r="G671" s="220" t="s">
        <v>822</v>
      </c>
      <c r="H671" s="220" t="s">
        <v>50</v>
      </c>
      <c r="I671" s="211"/>
      <c r="J671" s="270">
        <v>2970</v>
      </c>
      <c r="K671" s="223">
        <f>VLOOKUP(H671,名称!A:C,2,0)</f>
        <v>0</v>
      </c>
      <c r="L671" s="212">
        <f t="shared" si="140"/>
        <v>0</v>
      </c>
      <c r="M671" s="211">
        <f>VLOOKUP(H671,名称!A:E,3,0)</f>
        <v>18</v>
      </c>
      <c r="N671" s="212">
        <f t="shared" si="141"/>
        <v>165</v>
      </c>
      <c r="O671" s="271">
        <v>46195</v>
      </c>
      <c r="P671" s="271">
        <f t="shared" si="146"/>
        <v>46195</v>
      </c>
      <c r="Q671" s="256">
        <v>46216</v>
      </c>
      <c r="R671" s="241" t="s">
        <v>1241</v>
      </c>
      <c r="S671" s="256" t="s">
        <v>1133</v>
      </c>
      <c r="T671" s="211"/>
      <c r="U671" s="211"/>
      <c r="V671" s="263">
        <v>46231</v>
      </c>
      <c r="W671" s="208"/>
      <c r="X671" s="220" t="s">
        <v>1248</v>
      </c>
      <c r="Y671" s="263">
        <v>46193</v>
      </c>
      <c r="Z671" s="211" t="s">
        <v>1249</v>
      </c>
      <c r="AA671" s="214">
        <v>46154</v>
      </c>
      <c r="AB671" s="214">
        <v>46170</v>
      </c>
      <c r="AC671" s="211" t="s">
        <v>1133</v>
      </c>
      <c r="AD671" s="211" t="s">
        <v>1133</v>
      </c>
      <c r="AE671" s="220" t="s">
        <v>510</v>
      </c>
      <c r="AF671" s="211" t="s">
        <v>1228</v>
      </c>
      <c r="AG671" s="220" t="s">
        <v>510</v>
      </c>
      <c r="AH671" s="211" t="s">
        <v>1133</v>
      </c>
      <c r="AI671" s="211" t="s">
        <v>1228</v>
      </c>
      <c r="AJ671" s="211" t="s">
        <v>1133</v>
      </c>
      <c r="AK671" s="211" t="s">
        <v>1228</v>
      </c>
      <c r="AL671" s="211"/>
      <c r="AM671" s="257" t="s">
        <v>1506</v>
      </c>
      <c r="AN671" s="220" t="s">
        <v>1507</v>
      </c>
      <c r="AO671" s="215">
        <v>1.08</v>
      </c>
      <c r="AP671" s="216">
        <f t="shared" si="143"/>
        <v>3207.6</v>
      </c>
      <c r="AQ671" s="216">
        <f t="shared" si="144"/>
        <v>24858.9</v>
      </c>
      <c r="AR671" s="224">
        <v>61467</v>
      </c>
      <c r="AS671" s="330">
        <v>46233</v>
      </c>
      <c r="AT671" s="208" t="s">
        <v>1220</v>
      </c>
      <c r="AU671" s="208"/>
      <c r="AV671" s="208"/>
      <c r="AW671" s="208"/>
      <c r="AX671" s="208"/>
      <c r="AY671" s="208"/>
      <c r="AZ671" s="208"/>
      <c r="BA671" s="208"/>
      <c r="BB671" s="208" t="str">
        <f t="shared" si="145"/>
        <v>Kidland</v>
      </c>
      <c r="BC671" s="208" t="str">
        <f t="shared" si="149"/>
        <v>沙特阿拉伯</v>
      </c>
    </row>
    <row r="672" s="194" customFormat="1" customHeight="1" spans="1:55">
      <c r="A672" s="271">
        <v>46148</v>
      </c>
      <c r="B672" s="208" t="str">
        <f ca="1" t="shared" si="139"/>
        <v/>
      </c>
      <c r="C672" s="211" t="str">
        <f>VLOOKUP(H672,名称!A:E,4,0)</f>
        <v>蛋糕</v>
      </c>
      <c r="D672" s="220" t="s">
        <v>1489</v>
      </c>
      <c r="E672" s="220" t="s">
        <v>1929</v>
      </c>
      <c r="F672" s="220" t="s">
        <v>821</v>
      </c>
      <c r="G672" s="220" t="s">
        <v>822</v>
      </c>
      <c r="H672" s="220" t="s">
        <v>52</v>
      </c>
      <c r="I672" s="211"/>
      <c r="J672" s="270">
        <v>1440</v>
      </c>
      <c r="K672" s="223">
        <f>VLOOKUP(H672,名称!A:C,2,0)</f>
        <v>0</v>
      </c>
      <c r="L672" s="212">
        <f t="shared" si="140"/>
        <v>0</v>
      </c>
      <c r="M672" s="211">
        <f>VLOOKUP(H672,名称!A:E,3,0)</f>
        <v>4</v>
      </c>
      <c r="N672" s="212">
        <f t="shared" si="141"/>
        <v>360</v>
      </c>
      <c r="O672" s="271">
        <v>46195</v>
      </c>
      <c r="P672" s="271">
        <f t="shared" si="146"/>
        <v>46195</v>
      </c>
      <c r="Q672" s="256">
        <v>46216</v>
      </c>
      <c r="R672" s="267" t="s">
        <v>1241</v>
      </c>
      <c r="S672" s="256" t="s">
        <v>1133</v>
      </c>
      <c r="T672" s="211"/>
      <c r="U672" s="211"/>
      <c r="V672" s="263">
        <v>46231</v>
      </c>
      <c r="W672" s="208"/>
      <c r="X672" s="220" t="s">
        <v>1248</v>
      </c>
      <c r="Y672" s="263">
        <v>46193</v>
      </c>
      <c r="Z672" s="211" t="s">
        <v>1249</v>
      </c>
      <c r="AA672" s="214">
        <v>46154</v>
      </c>
      <c r="AB672" s="214">
        <v>46170</v>
      </c>
      <c r="AC672" s="211" t="s">
        <v>1133</v>
      </c>
      <c r="AD672" s="211" t="s">
        <v>1133</v>
      </c>
      <c r="AE672" s="211" t="s">
        <v>510</v>
      </c>
      <c r="AF672" s="211" t="s">
        <v>1228</v>
      </c>
      <c r="AG672" s="211" t="s">
        <v>510</v>
      </c>
      <c r="AH672" s="211" t="s">
        <v>1133</v>
      </c>
      <c r="AI672" s="211" t="s">
        <v>1228</v>
      </c>
      <c r="AJ672" s="211" t="s">
        <v>1133</v>
      </c>
      <c r="AK672" s="211" t="s">
        <v>1228</v>
      </c>
      <c r="AL672" s="211"/>
      <c r="AM672" s="257" t="s">
        <v>1506</v>
      </c>
      <c r="AN672" s="220" t="s">
        <v>1507</v>
      </c>
      <c r="AO672" s="215">
        <v>2.76</v>
      </c>
      <c r="AP672" s="216">
        <f t="shared" si="143"/>
        <v>3974.4</v>
      </c>
      <c r="AQ672" s="216">
        <f t="shared" si="144"/>
        <v>30801.6</v>
      </c>
      <c r="AR672" s="224">
        <v>61467</v>
      </c>
      <c r="AS672" s="330">
        <v>46233</v>
      </c>
      <c r="AT672" s="208" t="s">
        <v>1220</v>
      </c>
      <c r="AU672" s="208"/>
      <c r="AV672" s="208"/>
      <c r="AW672" s="208"/>
      <c r="AX672" s="208"/>
      <c r="AY672" s="208"/>
      <c r="AZ672" s="208"/>
      <c r="BA672" s="208"/>
      <c r="BB672" s="208" t="str">
        <f t="shared" si="145"/>
        <v>Kidland</v>
      </c>
      <c r="BC672" s="208" t="str">
        <f t="shared" si="149"/>
        <v>沙特阿拉伯</v>
      </c>
    </row>
    <row r="673" s="194" customFormat="1" customHeight="1" spans="1:55">
      <c r="A673" s="271">
        <v>46128</v>
      </c>
      <c r="B673" s="208" t="str">
        <f ca="1" t="shared" si="139"/>
        <v/>
      </c>
      <c r="C673" s="211" t="str">
        <f>VLOOKUP(H673,名称!A:E,4,0)</f>
        <v>三代</v>
      </c>
      <c r="D673" s="210" t="s">
        <v>1320</v>
      </c>
      <c r="E673" s="210" t="s">
        <v>1224</v>
      </c>
      <c r="F673" s="211">
        <v>247400000</v>
      </c>
      <c r="G673" s="211" t="s">
        <v>741</v>
      </c>
      <c r="H673" s="211" t="s">
        <v>88</v>
      </c>
      <c r="I673" s="211"/>
      <c r="J673" s="212">
        <f>65280-30000+72192</f>
        <v>107472</v>
      </c>
      <c r="K673" s="223">
        <f>VLOOKUP(H673,名称!A:C,2,0)</f>
        <v>5</v>
      </c>
      <c r="L673" s="212">
        <f t="shared" si="140"/>
        <v>537360</v>
      </c>
      <c r="M673" s="211">
        <f>VLOOKUP(H673,名称!A:E,3,0)</f>
        <v>24</v>
      </c>
      <c r="N673" s="212">
        <f t="shared" si="141"/>
        <v>4478</v>
      </c>
      <c r="O673" s="208">
        <v>46204</v>
      </c>
      <c r="P673" s="208">
        <v>46213</v>
      </c>
      <c r="Q673" s="208">
        <v>46223</v>
      </c>
      <c r="R673" s="241" t="s">
        <v>1277</v>
      </c>
      <c r="S673" s="256" t="s">
        <v>1133</v>
      </c>
      <c r="T673" s="211"/>
      <c r="U673" s="211"/>
      <c r="V673" s="213">
        <v>46228</v>
      </c>
      <c r="W673" s="208"/>
      <c r="X673" s="257" t="s">
        <v>1321</v>
      </c>
      <c r="Y673" s="257" t="s">
        <v>1228</v>
      </c>
      <c r="Z673" s="263">
        <v>46150</v>
      </c>
      <c r="AA673" s="264">
        <v>46155</v>
      </c>
      <c r="AB673" s="264">
        <v>46155</v>
      </c>
      <c r="AC673" s="257" t="s">
        <v>1133</v>
      </c>
      <c r="AD673" s="257" t="s">
        <v>1133</v>
      </c>
      <c r="AE673" s="211" t="s">
        <v>510</v>
      </c>
      <c r="AF673" s="257" t="s">
        <v>1228</v>
      </c>
      <c r="AG673" s="257" t="s">
        <v>510</v>
      </c>
      <c r="AH673" s="257" t="s">
        <v>1133</v>
      </c>
      <c r="AI673" s="257" t="s">
        <v>1228</v>
      </c>
      <c r="AJ673" s="257" t="s">
        <v>1133</v>
      </c>
      <c r="AK673" s="257" t="s">
        <v>510</v>
      </c>
      <c r="AL673" s="257"/>
      <c r="AM673" s="257" t="s">
        <v>1303</v>
      </c>
      <c r="AN673" s="212" t="s">
        <v>1251</v>
      </c>
      <c r="AO673" s="215">
        <v>0.8</v>
      </c>
      <c r="AP673" s="216">
        <f t="shared" si="143"/>
        <v>85977.6</v>
      </c>
      <c r="AQ673" s="216">
        <f t="shared" si="144"/>
        <v>666326.4</v>
      </c>
      <c r="AR673" s="224">
        <v>61468</v>
      </c>
      <c r="AS673" s="330">
        <v>46233</v>
      </c>
      <c r="AT673" s="208" t="s">
        <v>1310</v>
      </c>
      <c r="AU673" s="253"/>
      <c r="AV673" s="252">
        <f t="shared" ref="AV673:AV694" si="150">AU673-J673</f>
        <v>-107472</v>
      </c>
      <c r="AW673" s="252"/>
      <c r="AX673" s="256"/>
      <c r="AY673" s="208"/>
      <c r="AZ673" s="208"/>
      <c r="BA673" s="208"/>
      <c r="BB673" s="208" t="str">
        <f t="shared" si="145"/>
        <v>PHAT MOJO</v>
      </c>
      <c r="BC673" s="208" t="str">
        <f t="shared" si="149"/>
        <v>美国</v>
      </c>
    </row>
    <row r="674" s="194" customFormat="1" customHeight="1" spans="1:55">
      <c r="A674" s="208">
        <v>46169</v>
      </c>
      <c r="B674" s="208" t="str">
        <f ca="1" t="shared" si="139"/>
        <v/>
      </c>
      <c r="C674" s="211" t="str">
        <f>VLOOKUP(H674,名称!A:E,4,0)</f>
        <v>三代</v>
      </c>
      <c r="D674" s="220" t="s">
        <v>1933</v>
      </c>
      <c r="E674" s="220" t="s">
        <v>1403</v>
      </c>
      <c r="F674" s="220"/>
      <c r="G674" s="220" t="s">
        <v>888</v>
      </c>
      <c r="H674" s="220" t="s">
        <v>99</v>
      </c>
      <c r="I674" s="211"/>
      <c r="J674" s="270">
        <v>3504</v>
      </c>
      <c r="K674" s="223">
        <f>VLOOKUP(H674,名称!A:C,2,0)</f>
        <v>7</v>
      </c>
      <c r="L674" s="212">
        <f t="shared" si="140"/>
        <v>24528</v>
      </c>
      <c r="M674" s="257">
        <f>VLOOKUP(H674,名称!A:E,3,0)</f>
        <v>24</v>
      </c>
      <c r="N674" s="259">
        <f t="shared" si="141"/>
        <v>146</v>
      </c>
      <c r="O674" s="271">
        <v>46226</v>
      </c>
      <c r="P674" s="271">
        <f t="shared" ref="P674:P703" si="151">O674</f>
        <v>46226</v>
      </c>
      <c r="Q674" s="271">
        <v>46227</v>
      </c>
      <c r="R674" s="241" t="s">
        <v>1241</v>
      </c>
      <c r="S674" s="271" t="s">
        <v>1133</v>
      </c>
      <c r="T674" s="211"/>
      <c r="U674" s="211"/>
      <c r="V674" s="211"/>
      <c r="W674" s="208"/>
      <c r="X674" s="257" t="s">
        <v>1133</v>
      </c>
      <c r="Y674" s="257" t="s">
        <v>1133</v>
      </c>
      <c r="Z674" s="257" t="s">
        <v>1249</v>
      </c>
      <c r="AA674" s="214">
        <v>46177</v>
      </c>
      <c r="AB674" s="213">
        <v>46183</v>
      </c>
      <c r="AC674" s="257" t="s">
        <v>1284</v>
      </c>
      <c r="AD674" s="257" t="s">
        <v>1228</v>
      </c>
      <c r="AE674" s="220" t="s">
        <v>510</v>
      </c>
      <c r="AF674" s="257" t="s">
        <v>1228</v>
      </c>
      <c r="AG674" s="257" t="s">
        <v>510</v>
      </c>
      <c r="AH674" s="257" t="s">
        <v>1307</v>
      </c>
      <c r="AI674" s="257" t="s">
        <v>1228</v>
      </c>
      <c r="AJ674" s="257" t="s">
        <v>1133</v>
      </c>
      <c r="AK674" s="257" t="s">
        <v>1133</v>
      </c>
      <c r="AL674" s="257"/>
      <c r="AM674" s="267" t="s">
        <v>1292</v>
      </c>
      <c r="AN674" s="257"/>
      <c r="AO674" s="215">
        <v>0.92</v>
      </c>
      <c r="AP674" s="216">
        <f t="shared" si="143"/>
        <v>3223.68</v>
      </c>
      <c r="AQ674" s="216">
        <f t="shared" si="144"/>
        <v>24983.52</v>
      </c>
      <c r="AR674" s="224">
        <v>61469</v>
      </c>
      <c r="AS674" s="330">
        <v>46239</v>
      </c>
      <c r="AT674" s="208" t="s">
        <v>1220</v>
      </c>
      <c r="AU674" s="252">
        <f>72+3432</f>
        <v>3504</v>
      </c>
      <c r="AV674" s="252">
        <f t="shared" si="150"/>
        <v>0</v>
      </c>
      <c r="AW674" s="331"/>
      <c r="AX674" s="274" t="s">
        <v>1280</v>
      </c>
      <c r="AY674" s="208" t="s">
        <v>1317</v>
      </c>
      <c r="AZ674" s="208" t="s">
        <v>1256</v>
      </c>
      <c r="BA674" s="208"/>
      <c r="BB674" s="208" t="str">
        <f t="shared" si="145"/>
        <v>Planet Fun Limited</v>
      </c>
      <c r="BC674" s="208" t="str">
        <f t="shared" si="149"/>
        <v>新西兰</v>
      </c>
    </row>
    <row r="675" s="194" customFormat="1" customHeight="1" spans="1:55">
      <c r="A675" s="208">
        <v>46169</v>
      </c>
      <c r="B675" s="208" t="str">
        <f ca="1" t="shared" si="139"/>
        <v/>
      </c>
      <c r="C675" s="211" t="str">
        <f>VLOOKUP(H675,名称!A:E,4,0)</f>
        <v>三代</v>
      </c>
      <c r="D675" s="220" t="s">
        <v>1933</v>
      </c>
      <c r="E675" s="220" t="s">
        <v>1403</v>
      </c>
      <c r="F675" s="220"/>
      <c r="G675" s="220" t="s">
        <v>888</v>
      </c>
      <c r="H675" s="220" t="s">
        <v>59</v>
      </c>
      <c r="I675" s="211"/>
      <c r="J675" s="270">
        <v>2040</v>
      </c>
      <c r="K675" s="223">
        <f>VLOOKUP(H675,名称!A:C,2,0)</f>
        <v>5</v>
      </c>
      <c r="L675" s="212">
        <f t="shared" si="140"/>
        <v>10200</v>
      </c>
      <c r="M675" s="257">
        <f>VLOOKUP(H675,名称!A:E,3,0)</f>
        <v>24</v>
      </c>
      <c r="N675" s="259">
        <f t="shared" si="141"/>
        <v>85</v>
      </c>
      <c r="O675" s="271">
        <v>46226</v>
      </c>
      <c r="P675" s="271">
        <f t="shared" si="151"/>
        <v>46226</v>
      </c>
      <c r="Q675" s="256">
        <v>46234</v>
      </c>
      <c r="R675" s="211"/>
      <c r="S675" s="271" t="s">
        <v>1133</v>
      </c>
      <c r="T675" s="211"/>
      <c r="U675" s="211"/>
      <c r="V675" s="213">
        <v>46239</v>
      </c>
      <c r="W675" s="208"/>
      <c r="X675" s="257" t="s">
        <v>1133</v>
      </c>
      <c r="Y675" s="257" t="s">
        <v>1133</v>
      </c>
      <c r="Z675" s="257" t="s">
        <v>1249</v>
      </c>
      <c r="AA675" s="214">
        <v>46177</v>
      </c>
      <c r="AB675" s="213">
        <v>46183</v>
      </c>
      <c r="AC675" s="257" t="s">
        <v>1133</v>
      </c>
      <c r="AD675" s="257" t="s">
        <v>1133</v>
      </c>
      <c r="AE675" s="220" t="s">
        <v>510</v>
      </c>
      <c r="AF675" s="257" t="s">
        <v>1228</v>
      </c>
      <c r="AG675" s="257" t="s">
        <v>510</v>
      </c>
      <c r="AH675" s="257" t="s">
        <v>1133</v>
      </c>
      <c r="AI675" s="257" t="s">
        <v>1228</v>
      </c>
      <c r="AJ675" s="257" t="s">
        <v>1133</v>
      </c>
      <c r="AK675" s="257" t="s">
        <v>510</v>
      </c>
      <c r="AL675" s="257"/>
      <c r="AM675" s="267" t="s">
        <v>1292</v>
      </c>
      <c r="AN675" s="257"/>
      <c r="AO675" s="215">
        <v>0.66</v>
      </c>
      <c r="AP675" s="216">
        <f t="shared" si="143"/>
        <v>1346.4</v>
      </c>
      <c r="AQ675" s="216">
        <f t="shared" si="144"/>
        <v>10434.6</v>
      </c>
      <c r="AR675" s="224">
        <v>61469</v>
      </c>
      <c r="AS675" s="330">
        <v>46239</v>
      </c>
      <c r="AT675" s="208" t="s">
        <v>1220</v>
      </c>
      <c r="AU675" s="252">
        <f>2016+24</f>
        <v>2040</v>
      </c>
      <c r="AV675" s="252">
        <f t="shared" si="150"/>
        <v>0</v>
      </c>
      <c r="AW675" s="331"/>
      <c r="AX675" s="274" t="s">
        <v>1280</v>
      </c>
      <c r="AY675" s="208" t="s">
        <v>1317</v>
      </c>
      <c r="AZ675" s="208" t="s">
        <v>1256</v>
      </c>
      <c r="BA675" s="208"/>
      <c r="BB675" s="208" t="str">
        <f t="shared" si="145"/>
        <v>Planet Fun Limited</v>
      </c>
      <c r="BC675" s="208" t="str">
        <f t="shared" si="149"/>
        <v>新西兰</v>
      </c>
    </row>
    <row r="676" s="197" customFormat="1" customHeight="1" spans="1:55">
      <c r="A676" s="271">
        <v>46148</v>
      </c>
      <c r="B676" s="208" t="str">
        <f ca="1" t="shared" si="139"/>
        <v/>
      </c>
      <c r="C676" s="211" t="str">
        <f>VLOOKUP(H676,名称!A:E,4,0)</f>
        <v>三代</v>
      </c>
      <c r="D676" s="220" t="s">
        <v>1489</v>
      </c>
      <c r="E676" s="220" t="s">
        <v>1934</v>
      </c>
      <c r="F676" s="220" t="s">
        <v>819</v>
      </c>
      <c r="G676" s="220" t="s">
        <v>820</v>
      </c>
      <c r="H676" s="220" t="s">
        <v>109</v>
      </c>
      <c r="I676" s="220"/>
      <c r="J676" s="270">
        <v>2400</v>
      </c>
      <c r="K676" s="223">
        <f>VLOOKUP(H676,名称!A:C,2,0)</f>
        <v>0</v>
      </c>
      <c r="L676" s="212">
        <f t="shared" si="140"/>
        <v>0</v>
      </c>
      <c r="M676" s="211">
        <f>VLOOKUP(H676,名称!A:E,3,0)</f>
        <v>24</v>
      </c>
      <c r="N676" s="212">
        <f t="shared" si="141"/>
        <v>100</v>
      </c>
      <c r="O676" s="271">
        <v>46195</v>
      </c>
      <c r="P676" s="271">
        <f t="shared" si="151"/>
        <v>46195</v>
      </c>
      <c r="Q676" s="208">
        <v>46216</v>
      </c>
      <c r="R676" s="268" t="s">
        <v>1241</v>
      </c>
      <c r="S676" s="220" t="s">
        <v>1133</v>
      </c>
      <c r="T676" s="220"/>
      <c r="U676" s="220"/>
      <c r="V676" s="284">
        <v>46227</v>
      </c>
      <c r="W676" s="220"/>
      <c r="X676" s="220" t="s">
        <v>1248</v>
      </c>
      <c r="Y676" s="332">
        <v>46193</v>
      </c>
      <c r="Z676" s="257" t="s">
        <v>1249</v>
      </c>
      <c r="AA676" s="284">
        <v>46154</v>
      </c>
      <c r="AB676" s="284">
        <v>46170</v>
      </c>
      <c r="AC676" s="257" t="s">
        <v>1133</v>
      </c>
      <c r="AD676" s="257" t="s">
        <v>1133</v>
      </c>
      <c r="AE676" s="220" t="s">
        <v>510</v>
      </c>
      <c r="AF676" s="257" t="s">
        <v>1228</v>
      </c>
      <c r="AG676" s="257" t="s">
        <v>510</v>
      </c>
      <c r="AH676" s="257" t="s">
        <v>1133</v>
      </c>
      <c r="AI676" s="257" t="s">
        <v>1228</v>
      </c>
      <c r="AJ676" s="257" t="s">
        <v>1133</v>
      </c>
      <c r="AK676" s="257" t="s">
        <v>510</v>
      </c>
      <c r="AL676" s="257"/>
      <c r="AM676" s="257" t="s">
        <v>1506</v>
      </c>
      <c r="AN676" s="268" t="s">
        <v>1930</v>
      </c>
      <c r="AO676" s="215">
        <v>0.59</v>
      </c>
      <c r="AP676" s="216">
        <f t="shared" si="143"/>
        <v>1416</v>
      </c>
      <c r="AQ676" s="216">
        <f t="shared" si="144"/>
        <v>10974</v>
      </c>
      <c r="AR676" s="224">
        <v>61470</v>
      </c>
      <c r="AS676" s="330">
        <v>46239</v>
      </c>
      <c r="AT676" s="208" t="s">
        <v>1220</v>
      </c>
      <c r="AU676" s="253"/>
      <c r="AV676" s="252">
        <f t="shared" si="150"/>
        <v>-2400</v>
      </c>
      <c r="AW676" s="340" t="s">
        <v>1228</v>
      </c>
      <c r="AX676" s="257"/>
      <c r="AY676" s="220"/>
      <c r="AZ676" s="220"/>
      <c r="BA676" s="220"/>
      <c r="BB676" s="208" t="str">
        <f t="shared" si="145"/>
        <v>Kidland</v>
      </c>
      <c r="BC676" s="208" t="str">
        <f t="shared" si="149"/>
        <v>阿拉伯</v>
      </c>
    </row>
    <row r="677" s="197" customFormat="1" customHeight="1" spans="1:55">
      <c r="A677" s="271">
        <v>46148</v>
      </c>
      <c r="B677" s="208" t="str">
        <f ca="1" t="shared" si="139"/>
        <v/>
      </c>
      <c r="C677" s="211" t="str">
        <f>VLOOKUP(H677,名称!A:E,4,0)</f>
        <v>三代</v>
      </c>
      <c r="D677" s="220" t="s">
        <v>1489</v>
      </c>
      <c r="E677" s="220" t="s">
        <v>1934</v>
      </c>
      <c r="F677" s="220" t="s">
        <v>819</v>
      </c>
      <c r="G677" s="220" t="s">
        <v>820</v>
      </c>
      <c r="H677" s="220" t="s">
        <v>121</v>
      </c>
      <c r="I677" s="220"/>
      <c r="J677" s="270">
        <v>2760</v>
      </c>
      <c r="K677" s="223">
        <f>VLOOKUP(H677,名称!A:C,2,0)</f>
        <v>7</v>
      </c>
      <c r="L677" s="212">
        <f t="shared" si="140"/>
        <v>19320</v>
      </c>
      <c r="M677" s="211">
        <f>VLOOKUP(H677,名称!A:E,3,0)</f>
        <v>12</v>
      </c>
      <c r="N677" s="212">
        <f t="shared" si="141"/>
        <v>230</v>
      </c>
      <c r="O677" s="271">
        <v>46195</v>
      </c>
      <c r="P677" s="271">
        <f t="shared" si="151"/>
        <v>46195</v>
      </c>
      <c r="Q677" s="256">
        <v>46216</v>
      </c>
      <c r="R677" s="268" t="s">
        <v>1241</v>
      </c>
      <c r="S677" s="220" t="s">
        <v>1133</v>
      </c>
      <c r="T677" s="220"/>
      <c r="U677" s="220"/>
      <c r="V677" s="263">
        <v>46227</v>
      </c>
      <c r="W677" s="220"/>
      <c r="X677" s="220" t="s">
        <v>1248</v>
      </c>
      <c r="Y677" s="335">
        <v>46193</v>
      </c>
      <c r="Z677" s="257" t="s">
        <v>1249</v>
      </c>
      <c r="AA677" s="284">
        <v>46154</v>
      </c>
      <c r="AB677" s="284">
        <v>46170</v>
      </c>
      <c r="AC677" s="257" t="s">
        <v>1284</v>
      </c>
      <c r="AD677" s="257" t="s">
        <v>1228</v>
      </c>
      <c r="AE677" s="220" t="s">
        <v>510</v>
      </c>
      <c r="AF677" s="257" t="s">
        <v>1228</v>
      </c>
      <c r="AG677" s="257" t="s">
        <v>510</v>
      </c>
      <c r="AH677" s="257" t="s">
        <v>1307</v>
      </c>
      <c r="AI677" s="257" t="s">
        <v>1228</v>
      </c>
      <c r="AJ677" s="257" t="s">
        <v>1133</v>
      </c>
      <c r="AK677" s="257" t="s">
        <v>1133</v>
      </c>
      <c r="AL677" s="257" t="s">
        <v>1228</v>
      </c>
      <c r="AM677" s="257" t="s">
        <v>1506</v>
      </c>
      <c r="AN677" s="268" t="s">
        <v>1930</v>
      </c>
      <c r="AO677" s="215">
        <v>0.79</v>
      </c>
      <c r="AP677" s="216">
        <f t="shared" si="143"/>
        <v>2180.4</v>
      </c>
      <c r="AQ677" s="216">
        <f t="shared" si="144"/>
        <v>16898.1</v>
      </c>
      <c r="AR677" s="224">
        <v>61470</v>
      </c>
      <c r="AS677" s="330">
        <v>46239</v>
      </c>
      <c r="AT677" s="208" t="s">
        <v>1220</v>
      </c>
      <c r="AU677" s="253">
        <v>2760</v>
      </c>
      <c r="AV677" s="252">
        <f t="shared" si="150"/>
        <v>0</v>
      </c>
      <c r="AW677" s="339"/>
      <c r="AX677" s="257" t="s">
        <v>1280</v>
      </c>
      <c r="AY677" s="220"/>
      <c r="AZ677" s="220"/>
      <c r="BA677" s="220"/>
      <c r="BB677" s="208" t="str">
        <f t="shared" si="145"/>
        <v>Kidland</v>
      </c>
      <c r="BC677" s="208" t="str">
        <f t="shared" si="149"/>
        <v>阿拉伯</v>
      </c>
    </row>
    <row r="678" s="197" customFormat="1" customHeight="1" spans="1:55">
      <c r="A678" s="271">
        <v>46148</v>
      </c>
      <c r="B678" s="208" t="str">
        <f ca="1" t="shared" si="139"/>
        <v/>
      </c>
      <c r="C678" s="211" t="str">
        <f>VLOOKUP(H678,名称!A:E,4,0)</f>
        <v>三代</v>
      </c>
      <c r="D678" s="220" t="s">
        <v>1489</v>
      </c>
      <c r="E678" s="220" t="s">
        <v>1934</v>
      </c>
      <c r="F678" s="220" t="s">
        <v>819</v>
      </c>
      <c r="G678" s="220" t="s">
        <v>820</v>
      </c>
      <c r="H678" s="220" t="s">
        <v>59</v>
      </c>
      <c r="I678" s="220"/>
      <c r="J678" s="270">
        <v>2760</v>
      </c>
      <c r="K678" s="223">
        <f>VLOOKUP(H678,名称!A:C,2,0)</f>
        <v>5</v>
      </c>
      <c r="L678" s="212">
        <f t="shared" si="140"/>
        <v>13800</v>
      </c>
      <c r="M678" s="211">
        <f>VLOOKUP(H678,名称!A:E,3,0)</f>
        <v>24</v>
      </c>
      <c r="N678" s="212">
        <f t="shared" si="141"/>
        <v>115</v>
      </c>
      <c r="O678" s="271">
        <v>46195</v>
      </c>
      <c r="P678" s="271">
        <f t="shared" si="151"/>
        <v>46195</v>
      </c>
      <c r="Q678" s="256">
        <v>46216</v>
      </c>
      <c r="R678" s="267" t="s">
        <v>1241</v>
      </c>
      <c r="S678" s="220" t="s">
        <v>1133</v>
      </c>
      <c r="T678" s="220"/>
      <c r="U678" s="220"/>
      <c r="V678" s="263">
        <v>46227</v>
      </c>
      <c r="W678" s="220"/>
      <c r="X678" s="220" t="s">
        <v>1248</v>
      </c>
      <c r="Y678" s="335">
        <v>46193</v>
      </c>
      <c r="Z678" s="257" t="s">
        <v>1249</v>
      </c>
      <c r="AA678" s="284">
        <v>46154</v>
      </c>
      <c r="AB678" s="284">
        <v>46170</v>
      </c>
      <c r="AC678" s="257" t="s">
        <v>1133</v>
      </c>
      <c r="AD678" s="257" t="s">
        <v>1133</v>
      </c>
      <c r="AE678" s="220" t="s">
        <v>510</v>
      </c>
      <c r="AF678" s="257" t="s">
        <v>1228</v>
      </c>
      <c r="AG678" s="257" t="s">
        <v>510</v>
      </c>
      <c r="AH678" s="257" t="s">
        <v>1133</v>
      </c>
      <c r="AI678" s="257" t="s">
        <v>1228</v>
      </c>
      <c r="AJ678" s="257" t="s">
        <v>1133</v>
      </c>
      <c r="AK678" s="257" t="s">
        <v>510</v>
      </c>
      <c r="AL678" s="257"/>
      <c r="AM678" s="257" t="s">
        <v>1506</v>
      </c>
      <c r="AN678" s="268" t="s">
        <v>1930</v>
      </c>
      <c r="AO678" s="215">
        <v>0.62</v>
      </c>
      <c r="AP678" s="216">
        <f t="shared" si="143"/>
        <v>1711.2</v>
      </c>
      <c r="AQ678" s="216">
        <f t="shared" si="144"/>
        <v>13261.8</v>
      </c>
      <c r="AR678" s="224">
        <v>61470</v>
      </c>
      <c r="AS678" s="330">
        <v>46239</v>
      </c>
      <c r="AT678" s="208" t="s">
        <v>1220</v>
      </c>
      <c r="AU678" s="253">
        <v>2760</v>
      </c>
      <c r="AV678" s="252">
        <f t="shared" si="150"/>
        <v>0</v>
      </c>
      <c r="AW678" s="339"/>
      <c r="AX678" s="256" t="s">
        <v>1280</v>
      </c>
      <c r="AY678" s="220"/>
      <c r="AZ678" s="220"/>
      <c r="BA678" s="220"/>
      <c r="BB678" s="208" t="str">
        <f t="shared" si="145"/>
        <v>Kidland</v>
      </c>
      <c r="BC678" s="208" t="str">
        <f t="shared" si="149"/>
        <v>阿拉伯</v>
      </c>
    </row>
    <row r="679" s="197" customFormat="1" customHeight="1" spans="1:55">
      <c r="A679" s="271">
        <v>46148</v>
      </c>
      <c r="B679" s="208" t="str">
        <f ca="1" t="shared" si="139"/>
        <v/>
      </c>
      <c r="C679" s="211" t="str">
        <f>VLOOKUP(H679,名称!A:E,4,0)</f>
        <v>三代</v>
      </c>
      <c r="D679" s="220" t="s">
        <v>1489</v>
      </c>
      <c r="E679" s="220" t="s">
        <v>1934</v>
      </c>
      <c r="F679" s="220" t="s">
        <v>819</v>
      </c>
      <c r="G679" s="220" t="s">
        <v>820</v>
      </c>
      <c r="H679" s="220" t="s">
        <v>61</v>
      </c>
      <c r="I679" s="220"/>
      <c r="J679" s="270">
        <v>1800</v>
      </c>
      <c r="K679" s="223">
        <f>VLOOKUP(H679,名称!A:C,2,0)</f>
        <v>5</v>
      </c>
      <c r="L679" s="212">
        <f t="shared" si="140"/>
        <v>9000</v>
      </c>
      <c r="M679" s="211">
        <f>VLOOKUP(H679,名称!A:E,3,0)</f>
        <v>24</v>
      </c>
      <c r="N679" s="212">
        <f t="shared" si="141"/>
        <v>75</v>
      </c>
      <c r="O679" s="271">
        <v>46195</v>
      </c>
      <c r="P679" s="271">
        <f t="shared" si="151"/>
        <v>46195</v>
      </c>
      <c r="Q679" s="256">
        <v>46216</v>
      </c>
      <c r="R679" s="268" t="s">
        <v>1241</v>
      </c>
      <c r="S679" s="220" t="s">
        <v>1133</v>
      </c>
      <c r="T679" s="220"/>
      <c r="U679" s="220"/>
      <c r="V679" s="263">
        <v>46227</v>
      </c>
      <c r="W679" s="220"/>
      <c r="X679" s="220" t="s">
        <v>1248</v>
      </c>
      <c r="Y679" s="335">
        <v>46193</v>
      </c>
      <c r="Z679" s="257" t="s">
        <v>1249</v>
      </c>
      <c r="AA679" s="284">
        <v>46154</v>
      </c>
      <c r="AB679" s="284">
        <v>46170</v>
      </c>
      <c r="AC679" s="257" t="s">
        <v>1133</v>
      </c>
      <c r="AD679" s="257" t="s">
        <v>1133</v>
      </c>
      <c r="AE679" s="220" t="s">
        <v>510</v>
      </c>
      <c r="AF679" s="257" t="s">
        <v>1228</v>
      </c>
      <c r="AG679" s="257" t="s">
        <v>510</v>
      </c>
      <c r="AH679" s="257" t="s">
        <v>1133</v>
      </c>
      <c r="AI679" s="257" t="s">
        <v>1228</v>
      </c>
      <c r="AJ679" s="257" t="s">
        <v>1133</v>
      </c>
      <c r="AK679" s="257" t="s">
        <v>510</v>
      </c>
      <c r="AL679" s="257"/>
      <c r="AM679" s="257" t="s">
        <v>1506</v>
      </c>
      <c r="AN679" s="268" t="s">
        <v>1930</v>
      </c>
      <c r="AO679" s="215">
        <v>0.61</v>
      </c>
      <c r="AP679" s="216">
        <f t="shared" si="143"/>
        <v>1098</v>
      </c>
      <c r="AQ679" s="216">
        <f t="shared" si="144"/>
        <v>8509.5</v>
      </c>
      <c r="AR679" s="224">
        <v>61470</v>
      </c>
      <c r="AS679" s="330">
        <v>46239</v>
      </c>
      <c r="AT679" s="220" t="s">
        <v>1220</v>
      </c>
      <c r="AU679" s="253">
        <v>1800</v>
      </c>
      <c r="AV679" s="252">
        <f t="shared" si="150"/>
        <v>0</v>
      </c>
      <c r="AW679" s="340" t="s">
        <v>1228</v>
      </c>
      <c r="AX679" s="256" t="s">
        <v>1280</v>
      </c>
      <c r="AY679" s="220"/>
      <c r="AZ679" s="220"/>
      <c r="BA679" s="220"/>
      <c r="BB679" s="211" t="str">
        <f t="shared" si="145"/>
        <v>Kidland</v>
      </c>
      <c r="BC679" s="211" t="str">
        <f t="shared" si="149"/>
        <v>阿拉伯</v>
      </c>
    </row>
    <row r="680" s="197" customFormat="1" customHeight="1" spans="1:55">
      <c r="A680" s="271">
        <v>46148</v>
      </c>
      <c r="B680" s="208" t="str">
        <f ca="1" t="shared" si="139"/>
        <v/>
      </c>
      <c r="C680" s="211" t="str">
        <f>VLOOKUP(H680,名称!A:E,4,0)</f>
        <v>三代</v>
      </c>
      <c r="D680" s="220" t="s">
        <v>1489</v>
      </c>
      <c r="E680" s="220" t="s">
        <v>1934</v>
      </c>
      <c r="F680" s="220" t="s">
        <v>819</v>
      </c>
      <c r="G680" s="220" t="s">
        <v>820</v>
      </c>
      <c r="H680" s="220" t="s">
        <v>63</v>
      </c>
      <c r="I680" s="220"/>
      <c r="J680" s="270">
        <v>600</v>
      </c>
      <c r="K680" s="223">
        <f>VLOOKUP(H680,名称!A:C,2,0)</f>
        <v>5</v>
      </c>
      <c r="L680" s="212">
        <f t="shared" si="140"/>
        <v>3000</v>
      </c>
      <c r="M680" s="211">
        <f>VLOOKUP(H680,名称!A:E,3,0)</f>
        <v>24</v>
      </c>
      <c r="N680" s="212">
        <f t="shared" si="141"/>
        <v>25</v>
      </c>
      <c r="O680" s="271">
        <v>46195</v>
      </c>
      <c r="P680" s="271">
        <f t="shared" si="151"/>
        <v>46195</v>
      </c>
      <c r="Q680" s="256">
        <v>46216</v>
      </c>
      <c r="R680" s="268" t="s">
        <v>1277</v>
      </c>
      <c r="S680" s="220" t="s">
        <v>1133</v>
      </c>
      <c r="T680" s="220"/>
      <c r="U680" s="220"/>
      <c r="V680" s="263">
        <v>46227</v>
      </c>
      <c r="W680" s="220"/>
      <c r="X680" s="220" t="s">
        <v>1248</v>
      </c>
      <c r="Y680" s="335">
        <v>46193</v>
      </c>
      <c r="Z680" s="257" t="s">
        <v>1249</v>
      </c>
      <c r="AA680" s="284">
        <v>46154</v>
      </c>
      <c r="AB680" s="284">
        <v>46170</v>
      </c>
      <c r="AC680" s="257" t="s">
        <v>1133</v>
      </c>
      <c r="AD680" s="257" t="s">
        <v>1133</v>
      </c>
      <c r="AE680" s="220" t="s">
        <v>510</v>
      </c>
      <c r="AF680" s="257" t="s">
        <v>1228</v>
      </c>
      <c r="AG680" s="257" t="s">
        <v>510</v>
      </c>
      <c r="AH680" s="257" t="s">
        <v>1133</v>
      </c>
      <c r="AI680" s="257" t="s">
        <v>1228</v>
      </c>
      <c r="AJ680" s="257" t="s">
        <v>1133</v>
      </c>
      <c r="AK680" s="257" t="s">
        <v>510</v>
      </c>
      <c r="AL680" s="257"/>
      <c r="AM680" s="257" t="s">
        <v>1506</v>
      </c>
      <c r="AN680" s="268" t="s">
        <v>1930</v>
      </c>
      <c r="AO680" s="215">
        <v>0.62</v>
      </c>
      <c r="AP680" s="216">
        <f t="shared" si="143"/>
        <v>372</v>
      </c>
      <c r="AQ680" s="216">
        <f t="shared" si="144"/>
        <v>2883</v>
      </c>
      <c r="AR680" s="224">
        <v>61470</v>
      </c>
      <c r="AS680" s="330">
        <v>46239</v>
      </c>
      <c r="AT680" s="220" t="s">
        <v>1220</v>
      </c>
      <c r="AU680" s="253">
        <v>600</v>
      </c>
      <c r="AV680" s="252">
        <f t="shared" si="150"/>
        <v>0</v>
      </c>
      <c r="AW680" s="339"/>
      <c r="AX680" s="267" t="s">
        <v>1280</v>
      </c>
      <c r="AY680" s="220"/>
      <c r="AZ680" s="220"/>
      <c r="BA680" s="220"/>
      <c r="BB680" s="211" t="str">
        <f t="shared" si="145"/>
        <v>Kidland</v>
      </c>
      <c r="BC680" s="211" t="str">
        <f t="shared" si="149"/>
        <v>阿拉伯</v>
      </c>
    </row>
    <row r="681" s="197" customFormat="1" customHeight="1" spans="1:55">
      <c r="A681" s="271">
        <v>46148</v>
      </c>
      <c r="B681" s="208" t="str">
        <f ca="1" t="shared" si="139"/>
        <v/>
      </c>
      <c r="C681" s="211" t="str">
        <f>VLOOKUP(H681,名称!A:E,4,0)</f>
        <v>三代</v>
      </c>
      <c r="D681" s="220" t="s">
        <v>1489</v>
      </c>
      <c r="E681" s="220" t="s">
        <v>1934</v>
      </c>
      <c r="F681" s="220" t="s">
        <v>819</v>
      </c>
      <c r="G681" s="220" t="s">
        <v>820</v>
      </c>
      <c r="H681" s="220" t="s">
        <v>66</v>
      </c>
      <c r="I681" s="220"/>
      <c r="J681" s="270">
        <v>1404</v>
      </c>
      <c r="K681" s="223">
        <f>VLOOKUP(H681,名称!A:C,2,0)</f>
        <v>12</v>
      </c>
      <c r="L681" s="212">
        <f t="shared" si="140"/>
        <v>16848</v>
      </c>
      <c r="M681" s="211">
        <f>VLOOKUP(H681,名称!A:E,3,0)</f>
        <v>6</v>
      </c>
      <c r="N681" s="212">
        <f t="shared" si="141"/>
        <v>234</v>
      </c>
      <c r="O681" s="271">
        <v>46195</v>
      </c>
      <c r="P681" s="271">
        <f t="shared" si="151"/>
        <v>46195</v>
      </c>
      <c r="Q681" s="256">
        <v>46216</v>
      </c>
      <c r="R681" s="220" t="s">
        <v>1241</v>
      </c>
      <c r="S681" s="220" t="s">
        <v>1133</v>
      </c>
      <c r="T681" s="220"/>
      <c r="U681" s="220"/>
      <c r="V681" s="263">
        <v>46227</v>
      </c>
      <c r="W681" s="220"/>
      <c r="X681" s="220" t="s">
        <v>1248</v>
      </c>
      <c r="Y681" s="335">
        <v>46193</v>
      </c>
      <c r="Z681" s="257" t="s">
        <v>1249</v>
      </c>
      <c r="AA681" s="284">
        <v>46154</v>
      </c>
      <c r="AB681" s="284">
        <v>46170</v>
      </c>
      <c r="AC681" s="257" t="s">
        <v>1318</v>
      </c>
      <c r="AD681" s="257" t="s">
        <v>1228</v>
      </c>
      <c r="AE681" s="220" t="s">
        <v>510</v>
      </c>
      <c r="AF681" s="257" t="s">
        <v>1228</v>
      </c>
      <c r="AG681" s="257" t="s">
        <v>510</v>
      </c>
      <c r="AH681" s="257" t="s">
        <v>1307</v>
      </c>
      <c r="AI681" s="257" t="s">
        <v>1228</v>
      </c>
      <c r="AJ681" s="257" t="s">
        <v>510</v>
      </c>
      <c r="AK681" s="257" t="s">
        <v>1133</v>
      </c>
      <c r="AL681" s="257"/>
      <c r="AM681" s="257" t="s">
        <v>1506</v>
      </c>
      <c r="AN681" s="268" t="s">
        <v>1930</v>
      </c>
      <c r="AO681" s="215">
        <v>2.02</v>
      </c>
      <c r="AP681" s="216">
        <f t="shared" si="143"/>
        <v>2836.08</v>
      </c>
      <c r="AQ681" s="216">
        <f t="shared" si="144"/>
        <v>21979.62</v>
      </c>
      <c r="AR681" s="224">
        <v>61470</v>
      </c>
      <c r="AS681" s="330">
        <v>46239</v>
      </c>
      <c r="AT681" s="220" t="s">
        <v>1220</v>
      </c>
      <c r="AU681" s="252">
        <v>1404</v>
      </c>
      <c r="AV681" s="252">
        <f t="shared" si="150"/>
        <v>0</v>
      </c>
      <c r="AW681" s="339"/>
      <c r="AX681" s="257" t="s">
        <v>1280</v>
      </c>
      <c r="AY681" s="220"/>
      <c r="AZ681" s="220"/>
      <c r="BA681" s="220"/>
      <c r="BB681" s="211" t="str">
        <f t="shared" si="145"/>
        <v>Kidland</v>
      </c>
      <c r="BC681" s="211" t="str">
        <f t="shared" si="149"/>
        <v>阿拉伯</v>
      </c>
    </row>
    <row r="682" s="197" customFormat="1" customHeight="1" spans="1:55">
      <c r="A682" s="271">
        <v>46148</v>
      </c>
      <c r="B682" s="208" t="str">
        <f ca="1" t="shared" si="139"/>
        <v/>
      </c>
      <c r="C682" s="211" t="str">
        <f>VLOOKUP(H682,名称!A:E,4,0)</f>
        <v>三代</v>
      </c>
      <c r="D682" s="220" t="s">
        <v>1489</v>
      </c>
      <c r="E682" s="220" t="s">
        <v>1934</v>
      </c>
      <c r="F682" s="220" t="s">
        <v>819</v>
      </c>
      <c r="G682" s="220" t="s">
        <v>820</v>
      </c>
      <c r="H682" s="220" t="s">
        <v>68</v>
      </c>
      <c r="I682" s="220"/>
      <c r="J682" s="270">
        <v>1200</v>
      </c>
      <c r="K682" s="223">
        <f>VLOOKUP(H682,名称!A:C,2,0)</f>
        <v>32</v>
      </c>
      <c r="L682" s="212">
        <f t="shared" si="140"/>
        <v>38400</v>
      </c>
      <c r="M682" s="211">
        <f>VLOOKUP(H682,名称!A:E,3,0)</f>
        <v>4</v>
      </c>
      <c r="N682" s="212">
        <f t="shared" si="141"/>
        <v>300</v>
      </c>
      <c r="O682" s="271">
        <v>46195</v>
      </c>
      <c r="P682" s="271">
        <f t="shared" si="151"/>
        <v>46195</v>
      </c>
      <c r="Q682" s="256">
        <v>46216</v>
      </c>
      <c r="R682" s="268" t="s">
        <v>1241</v>
      </c>
      <c r="S682" s="220" t="s">
        <v>1133</v>
      </c>
      <c r="T682" s="220"/>
      <c r="U682" s="220"/>
      <c r="V682" s="263">
        <v>46227</v>
      </c>
      <c r="W682" s="220"/>
      <c r="X682" s="220" t="s">
        <v>1248</v>
      </c>
      <c r="Y682" s="335">
        <v>46193</v>
      </c>
      <c r="Z682" s="257" t="s">
        <v>1249</v>
      </c>
      <c r="AA682" s="284">
        <v>46154</v>
      </c>
      <c r="AB682" s="284">
        <v>46170</v>
      </c>
      <c r="AC682" s="257" t="s">
        <v>1133</v>
      </c>
      <c r="AD682" s="257" t="s">
        <v>1133</v>
      </c>
      <c r="AE682" s="220" t="s">
        <v>510</v>
      </c>
      <c r="AF682" s="257" t="s">
        <v>1228</v>
      </c>
      <c r="AG682" s="257" t="s">
        <v>510</v>
      </c>
      <c r="AH682" s="257" t="s">
        <v>1307</v>
      </c>
      <c r="AI682" s="257" t="s">
        <v>1228</v>
      </c>
      <c r="AJ682" s="257" t="s">
        <v>1133</v>
      </c>
      <c r="AK682" s="257" t="s">
        <v>1133</v>
      </c>
      <c r="AL682" s="257"/>
      <c r="AM682" s="257" t="s">
        <v>1506</v>
      </c>
      <c r="AN682" s="268" t="s">
        <v>1930</v>
      </c>
      <c r="AO682" s="215">
        <v>3.09</v>
      </c>
      <c r="AP682" s="216">
        <f t="shared" si="143"/>
        <v>3708</v>
      </c>
      <c r="AQ682" s="216">
        <f t="shared" si="144"/>
        <v>28737</v>
      </c>
      <c r="AR682" s="224" t="s">
        <v>1935</v>
      </c>
      <c r="AS682" s="330">
        <v>46239</v>
      </c>
      <c r="AT682" s="208" t="s">
        <v>1220</v>
      </c>
      <c r="AU682" s="253">
        <v>1200</v>
      </c>
      <c r="AV682" s="252">
        <f t="shared" si="150"/>
        <v>0</v>
      </c>
      <c r="AW682" s="339"/>
      <c r="AX682" s="256" t="s">
        <v>1280</v>
      </c>
      <c r="AY682" s="220"/>
      <c r="AZ682" s="220"/>
      <c r="BA682" s="220"/>
      <c r="BB682" s="208" t="str">
        <f t="shared" si="145"/>
        <v>Kidland</v>
      </c>
      <c r="BC682" s="208" t="str">
        <f t="shared" si="149"/>
        <v>阿拉伯</v>
      </c>
    </row>
    <row r="683" s="197" customFormat="1" customHeight="1" spans="1:55">
      <c r="A683" s="271">
        <v>46148</v>
      </c>
      <c r="B683" s="208" t="str">
        <f ca="1" t="shared" si="139"/>
        <v/>
      </c>
      <c r="C683" s="211" t="str">
        <f>VLOOKUP(H683,名称!A:E,4,0)</f>
        <v>三代</v>
      </c>
      <c r="D683" s="220" t="s">
        <v>1489</v>
      </c>
      <c r="E683" s="220" t="s">
        <v>1934</v>
      </c>
      <c r="F683" s="220" t="s">
        <v>819</v>
      </c>
      <c r="G683" s="220" t="s">
        <v>820</v>
      </c>
      <c r="H683" s="211" t="s">
        <v>112</v>
      </c>
      <c r="I683" s="220"/>
      <c r="J683" s="270">
        <v>820</v>
      </c>
      <c r="K683" s="223">
        <f>VLOOKUP(H683,名称!A:C,2,0)</f>
        <v>50</v>
      </c>
      <c r="L683" s="212">
        <f t="shared" si="140"/>
        <v>41000</v>
      </c>
      <c r="M683" s="211">
        <f>VLOOKUP(H683,名称!A:E,3,0)</f>
        <v>2</v>
      </c>
      <c r="N683" s="212">
        <f t="shared" si="141"/>
        <v>410</v>
      </c>
      <c r="O683" s="271">
        <v>46195</v>
      </c>
      <c r="P683" s="271">
        <f t="shared" si="151"/>
        <v>46195</v>
      </c>
      <c r="Q683" s="256">
        <v>46216</v>
      </c>
      <c r="R683" s="267" t="s">
        <v>1241</v>
      </c>
      <c r="S683" s="220" t="s">
        <v>1133</v>
      </c>
      <c r="T683" s="220"/>
      <c r="U683" s="220"/>
      <c r="V683" s="263">
        <v>46227</v>
      </c>
      <c r="W683" s="220"/>
      <c r="X683" s="220" t="s">
        <v>1248</v>
      </c>
      <c r="Y683" s="335">
        <v>46193</v>
      </c>
      <c r="Z683" s="257" t="s">
        <v>1249</v>
      </c>
      <c r="AA683" s="284">
        <v>46154</v>
      </c>
      <c r="AB683" s="284">
        <v>46170</v>
      </c>
      <c r="AC683" s="257" t="s">
        <v>1133</v>
      </c>
      <c r="AD683" s="257" t="s">
        <v>1133</v>
      </c>
      <c r="AE683" s="220" t="s">
        <v>510</v>
      </c>
      <c r="AF683" s="257" t="s">
        <v>1228</v>
      </c>
      <c r="AG683" s="257" t="s">
        <v>510</v>
      </c>
      <c r="AH683" s="257" t="s">
        <v>1133</v>
      </c>
      <c r="AI683" s="257" t="s">
        <v>1228</v>
      </c>
      <c r="AJ683" s="257" t="s">
        <v>1133</v>
      </c>
      <c r="AK683" s="257" t="s">
        <v>1133</v>
      </c>
      <c r="AL683" s="257"/>
      <c r="AM683" s="257" t="s">
        <v>1506</v>
      </c>
      <c r="AN683" s="268" t="s">
        <v>1930</v>
      </c>
      <c r="AO683" s="215">
        <v>9.12</v>
      </c>
      <c r="AP683" s="216">
        <f t="shared" si="143"/>
        <v>7478.4</v>
      </c>
      <c r="AQ683" s="216">
        <f t="shared" si="144"/>
        <v>57957.6</v>
      </c>
      <c r="AR683" s="224">
        <v>61470</v>
      </c>
      <c r="AS683" s="330">
        <v>46239</v>
      </c>
      <c r="AT683" s="208" t="s">
        <v>1220</v>
      </c>
      <c r="AU683" s="253"/>
      <c r="AV683" s="252">
        <f t="shared" si="150"/>
        <v>-820</v>
      </c>
      <c r="AW683" s="339"/>
      <c r="AX683" s="257"/>
      <c r="AY683" s="220"/>
      <c r="AZ683" s="220"/>
      <c r="BA683" s="220"/>
      <c r="BB683" s="208" t="str">
        <f t="shared" si="145"/>
        <v>Kidland</v>
      </c>
      <c r="BC683" s="208" t="str">
        <f t="shared" si="149"/>
        <v>阿拉伯</v>
      </c>
    </row>
    <row r="684" s="197" customFormat="1" customHeight="1" spans="1:55">
      <c r="A684" s="271">
        <v>46148</v>
      </c>
      <c r="B684" s="208" t="str">
        <f ca="1" t="shared" si="139"/>
        <v/>
      </c>
      <c r="C684" s="211" t="str">
        <f>VLOOKUP(H684,名称!A:E,4,0)</f>
        <v>三代</v>
      </c>
      <c r="D684" s="220" t="s">
        <v>1489</v>
      </c>
      <c r="E684" s="220" t="s">
        <v>1934</v>
      </c>
      <c r="F684" s="220" t="s">
        <v>819</v>
      </c>
      <c r="G684" s="220" t="s">
        <v>820</v>
      </c>
      <c r="H684" s="220" t="s">
        <v>72</v>
      </c>
      <c r="I684" s="220"/>
      <c r="J684" s="270">
        <v>1800</v>
      </c>
      <c r="K684" s="223">
        <f>VLOOKUP(H684,名称!A:C,2,0)</f>
        <v>12</v>
      </c>
      <c r="L684" s="212">
        <f t="shared" si="140"/>
        <v>21600</v>
      </c>
      <c r="M684" s="211">
        <f>VLOOKUP(H684,名称!A:E,3,0)</f>
        <v>12</v>
      </c>
      <c r="N684" s="212">
        <f t="shared" si="141"/>
        <v>150</v>
      </c>
      <c r="O684" s="271">
        <v>46195</v>
      </c>
      <c r="P684" s="271">
        <f t="shared" si="151"/>
        <v>46195</v>
      </c>
      <c r="Q684" s="256">
        <v>46216</v>
      </c>
      <c r="R684" s="267" t="s">
        <v>1241</v>
      </c>
      <c r="S684" s="220" t="s">
        <v>1133</v>
      </c>
      <c r="T684" s="220"/>
      <c r="U684" s="220"/>
      <c r="V684" s="263">
        <v>46227</v>
      </c>
      <c r="W684" s="220"/>
      <c r="X684" s="220" t="s">
        <v>1248</v>
      </c>
      <c r="Y684" s="335">
        <v>46193</v>
      </c>
      <c r="Z684" s="257" t="s">
        <v>1249</v>
      </c>
      <c r="AA684" s="284">
        <v>46154</v>
      </c>
      <c r="AB684" s="284">
        <v>46170</v>
      </c>
      <c r="AC684" s="259" t="s">
        <v>1302</v>
      </c>
      <c r="AD684" s="259" t="s">
        <v>1228</v>
      </c>
      <c r="AE684" s="220" t="s">
        <v>510</v>
      </c>
      <c r="AF684" s="257" t="s">
        <v>1228</v>
      </c>
      <c r="AG684" s="257" t="s">
        <v>510</v>
      </c>
      <c r="AH684" s="257" t="s">
        <v>1307</v>
      </c>
      <c r="AI684" s="257" t="s">
        <v>1228</v>
      </c>
      <c r="AJ684" s="257" t="s">
        <v>1133</v>
      </c>
      <c r="AK684" s="257" t="s">
        <v>1133</v>
      </c>
      <c r="AL684" s="257"/>
      <c r="AM684" s="257" t="s">
        <v>1506</v>
      </c>
      <c r="AN684" s="268" t="s">
        <v>1930</v>
      </c>
      <c r="AO684" s="215">
        <v>1.58</v>
      </c>
      <c r="AP684" s="216">
        <f t="shared" si="143"/>
        <v>2844</v>
      </c>
      <c r="AQ684" s="216">
        <f t="shared" si="144"/>
        <v>22041</v>
      </c>
      <c r="AR684" s="224">
        <v>61470</v>
      </c>
      <c r="AS684" s="330">
        <v>46239</v>
      </c>
      <c r="AT684" s="220" t="s">
        <v>1220</v>
      </c>
      <c r="AU684" s="253">
        <v>1800</v>
      </c>
      <c r="AV684" s="252">
        <f t="shared" si="150"/>
        <v>0</v>
      </c>
      <c r="AW684" s="339"/>
      <c r="AX684" s="267" t="s">
        <v>1280</v>
      </c>
      <c r="AY684" s="220"/>
      <c r="AZ684" s="220"/>
      <c r="BA684" s="220"/>
      <c r="BB684" s="211" t="str">
        <f t="shared" si="145"/>
        <v>Kidland</v>
      </c>
      <c r="BC684" s="211" t="str">
        <f t="shared" si="149"/>
        <v>阿拉伯</v>
      </c>
    </row>
    <row r="685" s="197" customFormat="1" customHeight="1" spans="1:55">
      <c r="A685" s="271">
        <v>46148</v>
      </c>
      <c r="B685" s="208" t="str">
        <f ca="1" t="shared" si="139"/>
        <v/>
      </c>
      <c r="C685" s="211" t="str">
        <f>VLOOKUP(H685,名称!A:E,4,0)</f>
        <v>三代</v>
      </c>
      <c r="D685" s="220" t="s">
        <v>1489</v>
      </c>
      <c r="E685" s="220" t="s">
        <v>1934</v>
      </c>
      <c r="F685" s="220" t="s">
        <v>819</v>
      </c>
      <c r="G685" s="220" t="s">
        <v>820</v>
      </c>
      <c r="H685" s="220" t="s">
        <v>116</v>
      </c>
      <c r="I685" s="220"/>
      <c r="J685" s="270">
        <v>1440</v>
      </c>
      <c r="K685" s="223">
        <f>VLOOKUP(H685,名称!A:C,2,0)</f>
        <v>12</v>
      </c>
      <c r="L685" s="212">
        <f t="shared" si="140"/>
        <v>17280</v>
      </c>
      <c r="M685" s="211">
        <f>VLOOKUP(H685,名称!A:E,3,0)</f>
        <v>12</v>
      </c>
      <c r="N685" s="212">
        <f t="shared" si="141"/>
        <v>120</v>
      </c>
      <c r="O685" s="271">
        <v>46195</v>
      </c>
      <c r="P685" s="271">
        <f t="shared" si="151"/>
        <v>46195</v>
      </c>
      <c r="Q685" s="256">
        <v>46218</v>
      </c>
      <c r="R685" s="267" t="s">
        <v>1241</v>
      </c>
      <c r="S685" s="220" t="s">
        <v>1133</v>
      </c>
      <c r="T685" s="220"/>
      <c r="U685" s="220"/>
      <c r="V685" s="263">
        <v>46227</v>
      </c>
      <c r="W685" s="220"/>
      <c r="X685" s="257" t="s">
        <v>1248</v>
      </c>
      <c r="Y685" s="335">
        <v>46193</v>
      </c>
      <c r="Z685" s="257" t="s">
        <v>1249</v>
      </c>
      <c r="AA685" s="284">
        <v>46154</v>
      </c>
      <c r="AB685" s="284">
        <v>46170</v>
      </c>
      <c r="AC685" s="257" t="s">
        <v>1302</v>
      </c>
      <c r="AD685" s="257" t="s">
        <v>1228</v>
      </c>
      <c r="AE685" s="220" t="s">
        <v>510</v>
      </c>
      <c r="AF685" s="257" t="s">
        <v>1228</v>
      </c>
      <c r="AG685" s="257" t="s">
        <v>510</v>
      </c>
      <c r="AH685" s="257" t="s">
        <v>1307</v>
      </c>
      <c r="AI685" s="257" t="s">
        <v>1228</v>
      </c>
      <c r="AJ685" s="257" t="s">
        <v>1133</v>
      </c>
      <c r="AK685" s="257" t="s">
        <v>1133</v>
      </c>
      <c r="AL685" s="257"/>
      <c r="AM685" s="257" t="s">
        <v>1506</v>
      </c>
      <c r="AN685" s="268" t="s">
        <v>1930</v>
      </c>
      <c r="AO685" s="215">
        <v>1.56</v>
      </c>
      <c r="AP685" s="216">
        <f t="shared" si="143"/>
        <v>2246.4</v>
      </c>
      <c r="AQ685" s="216">
        <f t="shared" si="144"/>
        <v>17409.6</v>
      </c>
      <c r="AR685" s="224">
        <v>61470</v>
      </c>
      <c r="AS685" s="330">
        <v>46239</v>
      </c>
      <c r="AT685" s="220" t="s">
        <v>1220</v>
      </c>
      <c r="AU685" s="253">
        <v>1440</v>
      </c>
      <c r="AV685" s="252">
        <f t="shared" si="150"/>
        <v>0</v>
      </c>
      <c r="AW685" s="340" t="s">
        <v>1228</v>
      </c>
      <c r="AX685" s="267" t="s">
        <v>1280</v>
      </c>
      <c r="AY685" s="220"/>
      <c r="AZ685" s="220"/>
      <c r="BA685" s="220"/>
      <c r="BB685" s="211" t="str">
        <f t="shared" si="145"/>
        <v>Kidland</v>
      </c>
      <c r="BC685" s="211" t="str">
        <f t="shared" si="149"/>
        <v>阿拉伯</v>
      </c>
    </row>
    <row r="686" s="197" customFormat="1" customHeight="1" spans="1:55">
      <c r="A686" s="271">
        <v>46148</v>
      </c>
      <c r="B686" s="208" t="str">
        <f ca="1" t="shared" si="139"/>
        <v/>
      </c>
      <c r="C686" s="211" t="str">
        <f>VLOOKUP(H686,名称!A:E,4,0)</f>
        <v>三代</v>
      </c>
      <c r="D686" s="220" t="s">
        <v>1489</v>
      </c>
      <c r="E686" s="220" t="s">
        <v>1934</v>
      </c>
      <c r="F686" s="220" t="s">
        <v>819</v>
      </c>
      <c r="G686" s="220" t="s">
        <v>820</v>
      </c>
      <c r="H686" s="220" t="s">
        <v>85</v>
      </c>
      <c r="I686" s="220"/>
      <c r="J686" s="270">
        <v>4920</v>
      </c>
      <c r="K686" s="223">
        <f>VLOOKUP(H686,名称!A:C,2,0)</f>
        <v>5</v>
      </c>
      <c r="L686" s="212">
        <f t="shared" si="140"/>
        <v>24600</v>
      </c>
      <c r="M686" s="211">
        <f>VLOOKUP(H686,名称!A:E,3,0)</f>
        <v>24</v>
      </c>
      <c r="N686" s="212">
        <f t="shared" si="141"/>
        <v>205</v>
      </c>
      <c r="O686" s="271">
        <v>46195</v>
      </c>
      <c r="P686" s="271">
        <f t="shared" si="151"/>
        <v>46195</v>
      </c>
      <c r="Q686" s="256">
        <v>46216</v>
      </c>
      <c r="R686" s="267" t="s">
        <v>1241</v>
      </c>
      <c r="S686" s="220" t="s">
        <v>1133</v>
      </c>
      <c r="T686" s="220"/>
      <c r="U686" s="220"/>
      <c r="V686" s="263">
        <v>46227</v>
      </c>
      <c r="W686" s="220"/>
      <c r="X686" s="220" t="s">
        <v>1248</v>
      </c>
      <c r="Y686" s="335">
        <v>46193</v>
      </c>
      <c r="Z686" s="257" t="s">
        <v>1249</v>
      </c>
      <c r="AA686" s="284">
        <v>46154</v>
      </c>
      <c r="AB686" s="284">
        <v>46170</v>
      </c>
      <c r="AC686" s="257" t="s">
        <v>1133</v>
      </c>
      <c r="AD686" s="257" t="s">
        <v>1133</v>
      </c>
      <c r="AE686" s="220" t="s">
        <v>510</v>
      </c>
      <c r="AF686" s="257" t="s">
        <v>1228</v>
      </c>
      <c r="AG686" s="257" t="s">
        <v>510</v>
      </c>
      <c r="AH686" s="257" t="s">
        <v>1133</v>
      </c>
      <c r="AI686" s="257" t="s">
        <v>1228</v>
      </c>
      <c r="AJ686" s="257" t="s">
        <v>1133</v>
      </c>
      <c r="AK686" s="257" t="s">
        <v>510</v>
      </c>
      <c r="AL686" s="257"/>
      <c r="AM686" s="257" t="s">
        <v>1506</v>
      </c>
      <c r="AN686" s="268" t="s">
        <v>1932</v>
      </c>
      <c r="AO686" s="215">
        <v>0.88</v>
      </c>
      <c r="AP686" s="216">
        <f t="shared" si="143"/>
        <v>4329.6</v>
      </c>
      <c r="AQ686" s="216">
        <f t="shared" si="144"/>
        <v>33554.4</v>
      </c>
      <c r="AR686" s="224">
        <v>61470</v>
      </c>
      <c r="AS686" s="330">
        <v>46239</v>
      </c>
      <c r="AT686" s="220" t="s">
        <v>1220</v>
      </c>
      <c r="AU686" s="253">
        <f>4896+24</f>
        <v>4920</v>
      </c>
      <c r="AV686" s="252">
        <f t="shared" si="150"/>
        <v>0</v>
      </c>
      <c r="AW686" s="339"/>
      <c r="AX686" s="257" t="s">
        <v>1280</v>
      </c>
      <c r="AY686" s="220"/>
      <c r="AZ686" s="220"/>
      <c r="BA686" s="220"/>
      <c r="BB686" s="211" t="str">
        <f t="shared" si="145"/>
        <v>Kidland</v>
      </c>
      <c r="BC686" s="211" t="str">
        <f t="shared" si="149"/>
        <v>阿拉伯</v>
      </c>
    </row>
    <row r="687" s="197" customFormat="1" customHeight="1" spans="1:55">
      <c r="A687" s="271">
        <v>46148</v>
      </c>
      <c r="B687" s="208" t="str">
        <f ca="1" t="shared" si="139"/>
        <v/>
      </c>
      <c r="C687" s="211" t="str">
        <f>VLOOKUP(H687,名称!A:E,4,0)</f>
        <v>三代</v>
      </c>
      <c r="D687" s="220" t="s">
        <v>1489</v>
      </c>
      <c r="E687" s="220" t="s">
        <v>1934</v>
      </c>
      <c r="F687" s="220" t="s">
        <v>819</v>
      </c>
      <c r="G687" s="220" t="s">
        <v>820</v>
      </c>
      <c r="H687" s="220" t="s">
        <v>179</v>
      </c>
      <c r="I687" s="220"/>
      <c r="J687" s="270">
        <v>1440</v>
      </c>
      <c r="K687" s="223">
        <f>VLOOKUP(H687,名称!A:C,2,0)</f>
        <v>0</v>
      </c>
      <c r="L687" s="212">
        <f t="shared" si="140"/>
        <v>0</v>
      </c>
      <c r="M687" s="211">
        <f>VLOOKUP(H687,名称!A:E,3,0)</f>
        <v>24</v>
      </c>
      <c r="N687" s="212">
        <f t="shared" si="141"/>
        <v>60</v>
      </c>
      <c r="O687" s="271">
        <v>46195</v>
      </c>
      <c r="P687" s="271">
        <f t="shared" si="151"/>
        <v>46195</v>
      </c>
      <c r="Q687" s="256">
        <v>46216</v>
      </c>
      <c r="R687" s="268" t="s">
        <v>1241</v>
      </c>
      <c r="S687" s="220" t="s">
        <v>1133</v>
      </c>
      <c r="T687" s="220"/>
      <c r="U687" s="220"/>
      <c r="V687" s="263">
        <v>46227</v>
      </c>
      <c r="W687" s="220"/>
      <c r="X687" s="220" t="s">
        <v>1248</v>
      </c>
      <c r="Y687" s="335">
        <v>46193</v>
      </c>
      <c r="Z687" s="257" t="s">
        <v>1249</v>
      </c>
      <c r="AA687" s="284">
        <v>46154</v>
      </c>
      <c r="AB687" s="284">
        <v>46170</v>
      </c>
      <c r="AC687" s="257" t="s">
        <v>1133</v>
      </c>
      <c r="AD687" s="257" t="s">
        <v>1133</v>
      </c>
      <c r="AE687" s="220" t="s">
        <v>510</v>
      </c>
      <c r="AF687" s="257" t="s">
        <v>1228</v>
      </c>
      <c r="AG687" s="257" t="s">
        <v>510</v>
      </c>
      <c r="AH687" s="257" t="s">
        <v>1133</v>
      </c>
      <c r="AI687" s="257" t="s">
        <v>1228</v>
      </c>
      <c r="AJ687" s="257" t="s">
        <v>1133</v>
      </c>
      <c r="AK687" s="257" t="s">
        <v>510</v>
      </c>
      <c r="AL687" s="257"/>
      <c r="AM687" s="257" t="s">
        <v>1506</v>
      </c>
      <c r="AN687" s="268" t="s">
        <v>1930</v>
      </c>
      <c r="AO687" s="215">
        <v>0.6</v>
      </c>
      <c r="AP687" s="216">
        <f t="shared" si="143"/>
        <v>864</v>
      </c>
      <c r="AQ687" s="216">
        <f t="shared" si="144"/>
        <v>6696</v>
      </c>
      <c r="AR687" s="224">
        <v>61470</v>
      </c>
      <c r="AS687" s="330">
        <v>46239</v>
      </c>
      <c r="AT687" s="220" t="s">
        <v>1310</v>
      </c>
      <c r="AU687" s="253">
        <v>1440</v>
      </c>
      <c r="AV687" s="252">
        <f t="shared" si="150"/>
        <v>0</v>
      </c>
      <c r="AW687" s="339"/>
      <c r="AX687" s="257"/>
      <c r="AY687" s="220"/>
      <c r="AZ687" s="220"/>
      <c r="BA687" s="220"/>
      <c r="BB687" s="211" t="str">
        <f t="shared" si="145"/>
        <v>Kidland</v>
      </c>
      <c r="BC687" s="211" t="str">
        <f t="shared" si="149"/>
        <v>阿拉伯</v>
      </c>
    </row>
    <row r="688" s="197" customFormat="1" customHeight="1" spans="1:55">
      <c r="A688" s="271">
        <v>46148</v>
      </c>
      <c r="B688" s="208" t="str">
        <f ca="1" t="shared" si="139"/>
        <v/>
      </c>
      <c r="C688" s="211" t="str">
        <f>VLOOKUP(H688,名称!A:E,4,0)</f>
        <v>三代</v>
      </c>
      <c r="D688" s="220" t="s">
        <v>1489</v>
      </c>
      <c r="E688" s="220" t="s">
        <v>1934</v>
      </c>
      <c r="F688" s="220" t="s">
        <v>819</v>
      </c>
      <c r="G688" s="220" t="s">
        <v>820</v>
      </c>
      <c r="H688" s="220" t="s">
        <v>119</v>
      </c>
      <c r="I688" s="220"/>
      <c r="J688" s="270">
        <v>2040</v>
      </c>
      <c r="K688" s="223">
        <f>VLOOKUP(H688,名称!A:C,2,0)</f>
        <v>5</v>
      </c>
      <c r="L688" s="212">
        <f t="shared" si="140"/>
        <v>10200</v>
      </c>
      <c r="M688" s="211">
        <f>VLOOKUP(H688,名称!A:E,3,0)</f>
        <v>24</v>
      </c>
      <c r="N688" s="212">
        <f t="shared" si="141"/>
        <v>85</v>
      </c>
      <c r="O688" s="271">
        <v>46195</v>
      </c>
      <c r="P688" s="271">
        <f t="shared" si="151"/>
        <v>46195</v>
      </c>
      <c r="Q688" s="256">
        <v>46216</v>
      </c>
      <c r="R688" s="268" t="s">
        <v>1241</v>
      </c>
      <c r="S688" s="220" t="s">
        <v>1133</v>
      </c>
      <c r="T688" s="220"/>
      <c r="U688" s="220"/>
      <c r="V688" s="263">
        <v>46227</v>
      </c>
      <c r="W688" s="220"/>
      <c r="X688" s="220" t="s">
        <v>1248</v>
      </c>
      <c r="Y688" s="335">
        <v>46193</v>
      </c>
      <c r="Z688" s="257" t="s">
        <v>1249</v>
      </c>
      <c r="AA688" s="284">
        <v>46154</v>
      </c>
      <c r="AB688" s="284">
        <v>46170</v>
      </c>
      <c r="AC688" s="257"/>
      <c r="AD688" s="257"/>
      <c r="AE688" s="220" t="s">
        <v>510</v>
      </c>
      <c r="AF688" s="257" t="s">
        <v>1228</v>
      </c>
      <c r="AG688" s="257" t="s">
        <v>510</v>
      </c>
      <c r="AH688" s="257" t="s">
        <v>1133</v>
      </c>
      <c r="AI688" s="257" t="s">
        <v>1228</v>
      </c>
      <c r="AJ688" s="257" t="s">
        <v>1133</v>
      </c>
      <c r="AK688" s="257" t="s">
        <v>510</v>
      </c>
      <c r="AL688" s="257"/>
      <c r="AM688" s="257" t="s">
        <v>1506</v>
      </c>
      <c r="AN688" s="268" t="s">
        <v>1930</v>
      </c>
      <c r="AO688" s="215">
        <v>0.61</v>
      </c>
      <c r="AP688" s="216">
        <f t="shared" si="143"/>
        <v>1244.4</v>
      </c>
      <c r="AQ688" s="216">
        <f t="shared" si="144"/>
        <v>9644.1</v>
      </c>
      <c r="AR688" s="224">
        <v>61470</v>
      </c>
      <c r="AS688" s="330">
        <v>46239</v>
      </c>
      <c r="AT688" s="208" t="s">
        <v>1220</v>
      </c>
      <c r="AU688" s="253">
        <v>2040</v>
      </c>
      <c r="AV688" s="252">
        <f t="shared" si="150"/>
        <v>0</v>
      </c>
      <c r="AW688" s="339"/>
      <c r="AX688" s="257" t="s">
        <v>1280</v>
      </c>
      <c r="AY688" s="220"/>
      <c r="AZ688" s="220"/>
      <c r="BA688" s="220"/>
      <c r="BB688" s="208" t="str">
        <f t="shared" si="145"/>
        <v>Kidland</v>
      </c>
      <c r="BC688" s="208" t="str">
        <f t="shared" si="149"/>
        <v>阿拉伯</v>
      </c>
    </row>
    <row r="689" s="197" customFormat="1" customHeight="1" spans="1:55">
      <c r="A689" s="271">
        <v>46148</v>
      </c>
      <c r="B689" s="208" t="str">
        <f ca="1" t="shared" si="139"/>
        <v/>
      </c>
      <c r="C689" s="211" t="str">
        <f>VLOOKUP(H689,名称!A:E,4,0)</f>
        <v>三代</v>
      </c>
      <c r="D689" s="220" t="s">
        <v>1489</v>
      </c>
      <c r="E689" s="220" t="s">
        <v>1934</v>
      </c>
      <c r="F689" s="220" t="s">
        <v>819</v>
      </c>
      <c r="G689" s="220" t="s">
        <v>820</v>
      </c>
      <c r="H689" s="220" t="s">
        <v>92</v>
      </c>
      <c r="I689" s="220"/>
      <c r="J689" s="270">
        <v>1200</v>
      </c>
      <c r="K689" s="223">
        <f>VLOOKUP(H689,名称!A:C,2,0)</f>
        <v>7</v>
      </c>
      <c r="L689" s="212">
        <f t="shared" si="140"/>
        <v>8400</v>
      </c>
      <c r="M689" s="211">
        <f>VLOOKUP(H689,名称!A:E,3,0)</f>
        <v>16</v>
      </c>
      <c r="N689" s="212">
        <f t="shared" si="141"/>
        <v>75</v>
      </c>
      <c r="O689" s="271">
        <v>46195</v>
      </c>
      <c r="P689" s="271">
        <f t="shared" si="151"/>
        <v>46195</v>
      </c>
      <c r="Q689" s="256">
        <v>46216</v>
      </c>
      <c r="R689" s="268" t="s">
        <v>1241</v>
      </c>
      <c r="S689" s="220" t="s">
        <v>1133</v>
      </c>
      <c r="T689" s="220"/>
      <c r="U689" s="220"/>
      <c r="V689" s="263">
        <v>46227</v>
      </c>
      <c r="W689" s="220"/>
      <c r="X689" s="220" t="s">
        <v>1248</v>
      </c>
      <c r="Y689" s="335">
        <v>46193</v>
      </c>
      <c r="Z689" s="257" t="s">
        <v>1249</v>
      </c>
      <c r="AA689" s="284">
        <v>46154</v>
      </c>
      <c r="AB689" s="284">
        <v>46170</v>
      </c>
      <c r="AC689" s="257" t="s">
        <v>1284</v>
      </c>
      <c r="AD689" s="257" t="s">
        <v>1228</v>
      </c>
      <c r="AE689" s="220" t="s">
        <v>510</v>
      </c>
      <c r="AF689" s="257" t="s">
        <v>1228</v>
      </c>
      <c r="AG689" s="257" t="s">
        <v>510</v>
      </c>
      <c r="AH689" s="257" t="s">
        <v>1307</v>
      </c>
      <c r="AI689" s="257" t="s">
        <v>1228</v>
      </c>
      <c r="AJ689" s="257" t="s">
        <v>1133</v>
      </c>
      <c r="AK689" s="257" t="s">
        <v>1133</v>
      </c>
      <c r="AL689" s="257"/>
      <c r="AM689" s="257" t="s">
        <v>1506</v>
      </c>
      <c r="AN689" s="268" t="s">
        <v>1930</v>
      </c>
      <c r="AO689" s="215">
        <v>0.86</v>
      </c>
      <c r="AP689" s="216">
        <f t="shared" si="143"/>
        <v>1032</v>
      </c>
      <c r="AQ689" s="216">
        <f t="shared" si="144"/>
        <v>7998</v>
      </c>
      <c r="AR689" s="224">
        <v>61470</v>
      </c>
      <c r="AS689" s="330">
        <v>46239</v>
      </c>
      <c r="AT689" s="220" t="s">
        <v>1220</v>
      </c>
      <c r="AU689" s="253">
        <f>1184+16</f>
        <v>1200</v>
      </c>
      <c r="AV689" s="252">
        <f t="shared" si="150"/>
        <v>0</v>
      </c>
      <c r="AW689" s="339"/>
      <c r="AX689" s="256" t="s">
        <v>1280</v>
      </c>
      <c r="AY689" s="220"/>
      <c r="AZ689" s="220"/>
      <c r="BA689" s="220"/>
      <c r="BB689" s="211" t="str">
        <f t="shared" si="145"/>
        <v>Kidland</v>
      </c>
      <c r="BC689" s="211" t="str">
        <f t="shared" si="149"/>
        <v>阿拉伯</v>
      </c>
    </row>
    <row r="690" s="197" customFormat="1" customHeight="1" spans="1:55">
      <c r="A690" s="271">
        <v>46148</v>
      </c>
      <c r="B690" s="208" t="str">
        <f ca="1" t="shared" si="139"/>
        <v/>
      </c>
      <c r="C690" s="211" t="str">
        <f>VLOOKUP(H690,名称!A:E,4,0)</f>
        <v>三代</v>
      </c>
      <c r="D690" s="220" t="s">
        <v>1489</v>
      </c>
      <c r="E690" s="220" t="s">
        <v>1934</v>
      </c>
      <c r="F690" s="220" t="s">
        <v>819</v>
      </c>
      <c r="G690" s="220" t="s">
        <v>820</v>
      </c>
      <c r="H690" s="220" t="s">
        <v>94</v>
      </c>
      <c r="I690" s="220"/>
      <c r="J690" s="270">
        <v>1440</v>
      </c>
      <c r="K690" s="223">
        <f>VLOOKUP(H690,名称!A:C,2,0)</f>
        <v>5</v>
      </c>
      <c r="L690" s="212">
        <f t="shared" si="140"/>
        <v>7200</v>
      </c>
      <c r="M690" s="211">
        <f>VLOOKUP(H690,名称!A:E,3,0)</f>
        <v>24</v>
      </c>
      <c r="N690" s="212">
        <f t="shared" si="141"/>
        <v>60</v>
      </c>
      <c r="O690" s="271">
        <v>46195</v>
      </c>
      <c r="P690" s="271">
        <f t="shared" si="151"/>
        <v>46195</v>
      </c>
      <c r="Q690" s="256">
        <v>46216</v>
      </c>
      <c r="R690" s="267" t="s">
        <v>1241</v>
      </c>
      <c r="S690" s="220" t="s">
        <v>1133</v>
      </c>
      <c r="T690" s="220"/>
      <c r="U690" s="220"/>
      <c r="V690" s="263">
        <v>46227</v>
      </c>
      <c r="W690" s="220"/>
      <c r="X690" s="220" t="s">
        <v>1248</v>
      </c>
      <c r="Y690" s="335">
        <v>46193</v>
      </c>
      <c r="Z690" s="257" t="s">
        <v>1249</v>
      </c>
      <c r="AA690" s="284">
        <v>46154</v>
      </c>
      <c r="AB690" s="284">
        <v>46170</v>
      </c>
      <c r="AC690" s="257" t="s">
        <v>1133</v>
      </c>
      <c r="AD690" s="257" t="s">
        <v>1133</v>
      </c>
      <c r="AE690" s="220" t="s">
        <v>510</v>
      </c>
      <c r="AF690" s="257" t="s">
        <v>1228</v>
      </c>
      <c r="AG690" s="257" t="s">
        <v>510</v>
      </c>
      <c r="AH690" s="257" t="s">
        <v>1133</v>
      </c>
      <c r="AI690" s="257" t="s">
        <v>1228</v>
      </c>
      <c r="AJ690" s="257" t="s">
        <v>1133</v>
      </c>
      <c r="AK690" s="257" t="s">
        <v>510</v>
      </c>
      <c r="AL690" s="257"/>
      <c r="AM690" s="257" t="s">
        <v>1506</v>
      </c>
      <c r="AN690" s="268" t="s">
        <v>1930</v>
      </c>
      <c r="AO690" s="215">
        <v>0.62</v>
      </c>
      <c r="AP690" s="216">
        <f t="shared" si="143"/>
        <v>892.8</v>
      </c>
      <c r="AQ690" s="216">
        <f t="shared" si="144"/>
        <v>6919.2</v>
      </c>
      <c r="AR690" s="224">
        <v>61470</v>
      </c>
      <c r="AS690" s="330">
        <v>46239</v>
      </c>
      <c r="AT690" s="220" t="s">
        <v>1220</v>
      </c>
      <c r="AU690" s="253">
        <v>1440</v>
      </c>
      <c r="AV690" s="252">
        <f t="shared" si="150"/>
        <v>0</v>
      </c>
      <c r="AW690" s="339"/>
      <c r="AX690" s="256" t="s">
        <v>1280</v>
      </c>
      <c r="AY690" s="220"/>
      <c r="AZ690" s="220"/>
      <c r="BA690" s="220"/>
      <c r="BB690" s="211" t="str">
        <f t="shared" si="145"/>
        <v>Kidland</v>
      </c>
      <c r="BC690" s="211" t="str">
        <f t="shared" si="149"/>
        <v>阿拉伯</v>
      </c>
    </row>
    <row r="691" s="197" customFormat="1" customHeight="1" spans="1:55">
      <c r="A691" s="271">
        <v>46148</v>
      </c>
      <c r="B691" s="208" t="str">
        <f ca="1" t="shared" si="139"/>
        <v/>
      </c>
      <c r="C691" s="211" t="str">
        <f>VLOOKUP(H691,名称!A:E,4,0)</f>
        <v>三代</v>
      </c>
      <c r="D691" s="220" t="s">
        <v>1489</v>
      </c>
      <c r="E691" s="220" t="s">
        <v>1934</v>
      </c>
      <c r="F691" s="220" t="s">
        <v>819</v>
      </c>
      <c r="G691" s="220" t="s">
        <v>820</v>
      </c>
      <c r="H691" s="220" t="s">
        <v>95</v>
      </c>
      <c r="I691" s="220"/>
      <c r="J691" s="270">
        <v>960</v>
      </c>
      <c r="K691" s="223">
        <f>VLOOKUP(H691,名称!A:C,2,0)</f>
        <v>32</v>
      </c>
      <c r="L691" s="212">
        <f t="shared" si="140"/>
        <v>30720</v>
      </c>
      <c r="M691" s="211">
        <f>VLOOKUP(H691,名称!A:E,3,0)</f>
        <v>4</v>
      </c>
      <c r="N691" s="212">
        <f t="shared" si="141"/>
        <v>240</v>
      </c>
      <c r="O691" s="271">
        <v>46195</v>
      </c>
      <c r="P691" s="271">
        <f t="shared" si="151"/>
        <v>46195</v>
      </c>
      <c r="Q691" s="256">
        <v>46216</v>
      </c>
      <c r="R691" s="268" t="s">
        <v>1241</v>
      </c>
      <c r="S691" s="220" t="s">
        <v>1133</v>
      </c>
      <c r="T691" s="220"/>
      <c r="U691" s="220"/>
      <c r="V691" s="263">
        <v>46227</v>
      </c>
      <c r="W691" s="220"/>
      <c r="X691" s="220" t="s">
        <v>1248</v>
      </c>
      <c r="Y691" s="335">
        <v>46193</v>
      </c>
      <c r="Z691" s="257" t="s">
        <v>1249</v>
      </c>
      <c r="AA691" s="284">
        <v>46154</v>
      </c>
      <c r="AB691" s="284">
        <v>46170</v>
      </c>
      <c r="AC691" s="257" t="s">
        <v>1133</v>
      </c>
      <c r="AD691" s="257" t="s">
        <v>1133</v>
      </c>
      <c r="AE691" s="220" t="s">
        <v>510</v>
      </c>
      <c r="AF691" s="257" t="s">
        <v>1228</v>
      </c>
      <c r="AG691" s="257" t="s">
        <v>510</v>
      </c>
      <c r="AH691" s="257" t="s">
        <v>1307</v>
      </c>
      <c r="AI691" s="257" t="s">
        <v>1228</v>
      </c>
      <c r="AJ691" s="257" t="s">
        <v>1133</v>
      </c>
      <c r="AK691" s="257" t="s">
        <v>1133</v>
      </c>
      <c r="AL691" s="257"/>
      <c r="AM691" s="257" t="s">
        <v>1506</v>
      </c>
      <c r="AN691" s="268" t="s">
        <v>1930</v>
      </c>
      <c r="AO691" s="215">
        <v>3.09</v>
      </c>
      <c r="AP691" s="216">
        <f t="shared" si="143"/>
        <v>2966.4</v>
      </c>
      <c r="AQ691" s="216">
        <f t="shared" si="144"/>
        <v>22989.6</v>
      </c>
      <c r="AR691" s="224">
        <v>61470</v>
      </c>
      <c r="AS691" s="330">
        <v>46239</v>
      </c>
      <c r="AT691" s="220" t="s">
        <v>1220</v>
      </c>
      <c r="AU691" s="253">
        <v>960</v>
      </c>
      <c r="AV691" s="252">
        <f t="shared" si="150"/>
        <v>0</v>
      </c>
      <c r="AW691" s="339"/>
      <c r="AX691" s="267" t="s">
        <v>1280</v>
      </c>
      <c r="AY691" s="220"/>
      <c r="AZ691" s="220"/>
      <c r="BA691" s="220"/>
      <c r="BB691" s="211" t="str">
        <f t="shared" si="145"/>
        <v>Kidland</v>
      </c>
      <c r="BC691" s="211" t="str">
        <f t="shared" si="149"/>
        <v>阿拉伯</v>
      </c>
    </row>
    <row r="692" s="197" customFormat="1" customHeight="1" spans="1:55">
      <c r="A692" s="271">
        <v>46148</v>
      </c>
      <c r="B692" s="208" t="str">
        <f ca="1" t="shared" si="139"/>
        <v/>
      </c>
      <c r="C692" s="211" t="str">
        <f>VLOOKUP(H692,名称!A:E,4,0)</f>
        <v>三代</v>
      </c>
      <c r="D692" s="220" t="s">
        <v>1489</v>
      </c>
      <c r="E692" s="220" t="s">
        <v>1934</v>
      </c>
      <c r="F692" s="220" t="s">
        <v>819</v>
      </c>
      <c r="G692" s="220" t="s">
        <v>820</v>
      </c>
      <c r="H692" s="220" t="s">
        <v>97</v>
      </c>
      <c r="I692" s="220"/>
      <c r="J692" s="270">
        <v>1200</v>
      </c>
      <c r="K692" s="223">
        <f>VLOOKUP(H692,名称!A:C,2,0)</f>
        <v>5</v>
      </c>
      <c r="L692" s="212">
        <f t="shared" si="140"/>
        <v>6000</v>
      </c>
      <c r="M692" s="211">
        <f>VLOOKUP(H692,名称!A:E,3,0)</f>
        <v>24</v>
      </c>
      <c r="N692" s="212">
        <f t="shared" si="141"/>
        <v>50</v>
      </c>
      <c r="O692" s="271">
        <v>46195</v>
      </c>
      <c r="P692" s="271">
        <f t="shared" si="151"/>
        <v>46195</v>
      </c>
      <c r="Q692" s="256">
        <v>46216</v>
      </c>
      <c r="R692" s="268" t="s">
        <v>1241</v>
      </c>
      <c r="S692" s="220" t="s">
        <v>1133</v>
      </c>
      <c r="T692" s="220"/>
      <c r="U692" s="220"/>
      <c r="V692" s="263">
        <v>46227</v>
      </c>
      <c r="W692" s="220"/>
      <c r="X692" s="220" t="s">
        <v>1248</v>
      </c>
      <c r="Y692" s="335">
        <v>46193</v>
      </c>
      <c r="Z692" s="257" t="s">
        <v>1249</v>
      </c>
      <c r="AA692" s="284">
        <v>46154</v>
      </c>
      <c r="AB692" s="284">
        <v>46170</v>
      </c>
      <c r="AC692" s="257" t="s">
        <v>1133</v>
      </c>
      <c r="AD692" s="257" t="s">
        <v>1133</v>
      </c>
      <c r="AE692" s="220" t="s">
        <v>510</v>
      </c>
      <c r="AF692" s="257" t="s">
        <v>1228</v>
      </c>
      <c r="AG692" s="257" t="s">
        <v>510</v>
      </c>
      <c r="AH692" s="257" t="s">
        <v>1133</v>
      </c>
      <c r="AI692" s="257" t="s">
        <v>1228</v>
      </c>
      <c r="AJ692" s="257" t="s">
        <v>1133</v>
      </c>
      <c r="AK692" s="257" t="s">
        <v>510</v>
      </c>
      <c r="AL692" s="257"/>
      <c r="AM692" s="257" t="s">
        <v>1506</v>
      </c>
      <c r="AN692" s="268" t="s">
        <v>1930</v>
      </c>
      <c r="AO692" s="215">
        <v>0.62</v>
      </c>
      <c r="AP692" s="216">
        <f t="shared" si="143"/>
        <v>744</v>
      </c>
      <c r="AQ692" s="216">
        <f t="shared" si="144"/>
        <v>5766</v>
      </c>
      <c r="AR692" s="224">
        <v>61470</v>
      </c>
      <c r="AS692" s="330">
        <v>46239</v>
      </c>
      <c r="AT692" s="220" t="s">
        <v>1220</v>
      </c>
      <c r="AU692" s="253">
        <v>1200</v>
      </c>
      <c r="AV692" s="252">
        <f t="shared" si="150"/>
        <v>0</v>
      </c>
      <c r="AW692" s="339"/>
      <c r="AX692" s="274" t="s">
        <v>1280</v>
      </c>
      <c r="AY692" s="220"/>
      <c r="AZ692" s="220"/>
      <c r="BA692" s="220"/>
      <c r="BB692" s="211" t="str">
        <f t="shared" si="145"/>
        <v>Kidland</v>
      </c>
      <c r="BC692" s="211" t="str">
        <f t="shared" si="149"/>
        <v>阿拉伯</v>
      </c>
    </row>
    <row r="693" s="197" customFormat="1" customHeight="1" spans="1:55">
      <c r="A693" s="271">
        <v>46148</v>
      </c>
      <c r="B693" s="208" t="str">
        <f ca="1" t="shared" si="139"/>
        <v/>
      </c>
      <c r="C693" s="211" t="str">
        <f>VLOOKUP(H693,名称!A:E,4,0)</f>
        <v>三代</v>
      </c>
      <c r="D693" s="220" t="s">
        <v>1489</v>
      </c>
      <c r="E693" s="220" t="s">
        <v>1934</v>
      </c>
      <c r="F693" s="220" t="s">
        <v>819</v>
      </c>
      <c r="G693" s="220" t="s">
        <v>820</v>
      </c>
      <c r="H693" s="220" t="s">
        <v>98</v>
      </c>
      <c r="I693" s="220"/>
      <c r="J693" s="270">
        <v>1200</v>
      </c>
      <c r="K693" s="223">
        <f>VLOOKUP(H693,名称!A:C,2,0)</f>
        <v>12</v>
      </c>
      <c r="L693" s="212">
        <f t="shared" si="140"/>
        <v>14400</v>
      </c>
      <c r="M693" s="211">
        <f>VLOOKUP(H693,名称!A:E,3,0)</f>
        <v>12</v>
      </c>
      <c r="N693" s="212">
        <f t="shared" si="141"/>
        <v>100</v>
      </c>
      <c r="O693" s="271">
        <v>46195</v>
      </c>
      <c r="P693" s="271">
        <f t="shared" si="151"/>
        <v>46195</v>
      </c>
      <c r="Q693" s="256">
        <v>46216</v>
      </c>
      <c r="R693" s="268" t="s">
        <v>1241</v>
      </c>
      <c r="S693" s="220" t="s">
        <v>1133</v>
      </c>
      <c r="T693" s="220"/>
      <c r="U693" s="220"/>
      <c r="V693" s="263">
        <v>46227</v>
      </c>
      <c r="W693" s="220"/>
      <c r="X693" s="220" t="s">
        <v>1248</v>
      </c>
      <c r="Y693" s="335">
        <v>46193</v>
      </c>
      <c r="Z693" s="257" t="s">
        <v>1249</v>
      </c>
      <c r="AA693" s="284">
        <v>46154</v>
      </c>
      <c r="AB693" s="284">
        <v>46170</v>
      </c>
      <c r="AC693" s="257" t="s">
        <v>1302</v>
      </c>
      <c r="AD693" s="257" t="s">
        <v>1228</v>
      </c>
      <c r="AE693" s="220" t="s">
        <v>510</v>
      </c>
      <c r="AF693" s="257" t="s">
        <v>1228</v>
      </c>
      <c r="AG693" s="257" t="s">
        <v>510</v>
      </c>
      <c r="AH693" s="257" t="s">
        <v>1307</v>
      </c>
      <c r="AI693" s="257" t="s">
        <v>1228</v>
      </c>
      <c r="AJ693" s="257" t="s">
        <v>1133</v>
      </c>
      <c r="AK693" s="257" t="s">
        <v>1133</v>
      </c>
      <c r="AL693" s="257"/>
      <c r="AM693" s="257" t="s">
        <v>1506</v>
      </c>
      <c r="AN693" s="268" t="s">
        <v>1930</v>
      </c>
      <c r="AO693" s="215">
        <v>1.58</v>
      </c>
      <c r="AP693" s="216">
        <f t="shared" si="143"/>
        <v>1896</v>
      </c>
      <c r="AQ693" s="216">
        <f t="shared" si="144"/>
        <v>14694</v>
      </c>
      <c r="AR693" s="224">
        <v>61470</v>
      </c>
      <c r="AS693" s="330">
        <v>46239</v>
      </c>
      <c r="AT693" s="220" t="s">
        <v>1220</v>
      </c>
      <c r="AU693" s="253">
        <v>1200</v>
      </c>
      <c r="AV693" s="252">
        <f t="shared" si="150"/>
        <v>0</v>
      </c>
      <c r="AW693" s="339"/>
      <c r="AX693" s="267" t="s">
        <v>1280</v>
      </c>
      <c r="AY693" s="220"/>
      <c r="AZ693" s="220"/>
      <c r="BA693" s="220"/>
      <c r="BB693" s="211" t="str">
        <f t="shared" si="145"/>
        <v>Kidland</v>
      </c>
      <c r="BC693" s="211" t="str">
        <f t="shared" si="149"/>
        <v>阿拉伯</v>
      </c>
    </row>
    <row r="694" s="194" customFormat="1" customHeight="1" spans="1:55">
      <c r="A694" s="248">
        <v>46148</v>
      </c>
      <c r="B694" s="208" t="str">
        <f ca="1" t="shared" si="139"/>
        <v/>
      </c>
      <c r="C694" s="209" t="str">
        <f>VLOOKUP(H694,名称!A:E,4,0)</f>
        <v>二代</v>
      </c>
      <c r="D694" s="268" t="s">
        <v>1489</v>
      </c>
      <c r="E694" s="268" t="s">
        <v>1934</v>
      </c>
      <c r="F694" s="268" t="s">
        <v>819</v>
      </c>
      <c r="G694" s="268" t="s">
        <v>820</v>
      </c>
      <c r="H694" s="268" t="s">
        <v>65</v>
      </c>
      <c r="I694" s="211"/>
      <c r="J694" s="272">
        <v>1560</v>
      </c>
      <c r="K694" s="223">
        <f>VLOOKUP(H694,名称!A:C,2,0)</f>
        <v>5</v>
      </c>
      <c r="L694" s="212">
        <f t="shared" si="140"/>
        <v>7800</v>
      </c>
      <c r="M694" s="211">
        <f>VLOOKUP(H694,名称!A:E,3,0)</f>
        <v>24</v>
      </c>
      <c r="N694" s="212">
        <f t="shared" si="141"/>
        <v>65</v>
      </c>
      <c r="O694" s="248">
        <v>46195</v>
      </c>
      <c r="P694" s="248">
        <f t="shared" si="151"/>
        <v>46195</v>
      </c>
      <c r="Q694" s="248">
        <v>46219</v>
      </c>
      <c r="R694" s="241" t="s">
        <v>1277</v>
      </c>
      <c r="S694" s="208" t="s">
        <v>1133</v>
      </c>
      <c r="T694" s="211"/>
      <c r="U694" s="211"/>
      <c r="V694" s="213">
        <v>46227</v>
      </c>
      <c r="W694" s="208"/>
      <c r="X694" s="268" t="s">
        <v>1248</v>
      </c>
      <c r="Y694" s="341">
        <v>46193</v>
      </c>
      <c r="Z694" s="211" t="s">
        <v>1249</v>
      </c>
      <c r="AA694" s="214">
        <v>46156</v>
      </c>
      <c r="AB694" s="213">
        <v>46170</v>
      </c>
      <c r="AC694" s="211" t="s">
        <v>1133</v>
      </c>
      <c r="AD694" s="211" t="s">
        <v>1133</v>
      </c>
      <c r="AE694" s="268" t="s">
        <v>327</v>
      </c>
      <c r="AF694" s="268" t="s">
        <v>1228</v>
      </c>
      <c r="AG694" s="268" t="s">
        <v>327</v>
      </c>
      <c r="AH694" s="211" t="s">
        <v>1133</v>
      </c>
      <c r="AI694" s="211" t="s">
        <v>1133</v>
      </c>
      <c r="AJ694" s="211" t="s">
        <v>1133</v>
      </c>
      <c r="AK694" s="211" t="s">
        <v>327</v>
      </c>
      <c r="AL694" s="211" t="s">
        <v>1228</v>
      </c>
      <c r="AM694" s="211" t="s">
        <v>1506</v>
      </c>
      <c r="AN694" s="268" t="s">
        <v>1930</v>
      </c>
      <c r="AO694" s="215">
        <v>0.61</v>
      </c>
      <c r="AP694" s="216">
        <f t="shared" si="143"/>
        <v>951.6</v>
      </c>
      <c r="AQ694" s="216">
        <f t="shared" si="144"/>
        <v>7374.9</v>
      </c>
      <c r="AR694" s="224">
        <v>61470</v>
      </c>
      <c r="AS694" s="330">
        <v>46239</v>
      </c>
      <c r="AT694" s="208" t="s">
        <v>1220</v>
      </c>
      <c r="AU694" s="253">
        <v>1560</v>
      </c>
      <c r="AV694" s="253">
        <f t="shared" si="150"/>
        <v>0</v>
      </c>
      <c r="AW694" s="253"/>
      <c r="AX694" s="208"/>
      <c r="AY694" s="208"/>
      <c r="AZ694" s="208"/>
      <c r="BA694" s="208"/>
      <c r="BB694" s="212" t="str">
        <f t="shared" si="145"/>
        <v>Kidland</v>
      </c>
      <c r="BC694" s="212" t="str">
        <f>IFERROR(E694,"")</f>
        <v>阿拉伯</v>
      </c>
    </row>
    <row r="695" s="194" customFormat="1" customHeight="1" spans="1:55">
      <c r="A695" s="271">
        <v>46148</v>
      </c>
      <c r="B695" s="208" t="str">
        <f ca="1" t="shared" si="139"/>
        <v/>
      </c>
      <c r="C695" s="211" t="str">
        <f>VLOOKUP(H695,名称!A:E,4,0)</f>
        <v>蛋糕</v>
      </c>
      <c r="D695" s="220" t="s">
        <v>1489</v>
      </c>
      <c r="E695" s="220" t="s">
        <v>1934</v>
      </c>
      <c r="F695" s="220" t="s">
        <v>819</v>
      </c>
      <c r="G695" s="220" t="s">
        <v>820</v>
      </c>
      <c r="H695" s="220" t="s">
        <v>123</v>
      </c>
      <c r="I695" s="211"/>
      <c r="J695" s="270">
        <v>3000</v>
      </c>
      <c r="K695" s="223">
        <f>VLOOKUP(H695,名称!A:C,2,0)</f>
        <v>0</v>
      </c>
      <c r="L695" s="212">
        <f t="shared" si="140"/>
        <v>0</v>
      </c>
      <c r="M695" s="211">
        <f>VLOOKUP(H695,名称!A:E,3,0)</f>
        <v>24</v>
      </c>
      <c r="N695" s="212">
        <f t="shared" si="141"/>
        <v>125</v>
      </c>
      <c r="O695" s="271">
        <v>46195</v>
      </c>
      <c r="P695" s="271">
        <f t="shared" si="151"/>
        <v>46195</v>
      </c>
      <c r="Q695" s="271">
        <v>46216</v>
      </c>
      <c r="R695" s="241" t="s">
        <v>1241</v>
      </c>
      <c r="S695" s="256" t="s">
        <v>1133</v>
      </c>
      <c r="T695" s="211"/>
      <c r="U695" s="211"/>
      <c r="V695" s="213">
        <v>46227</v>
      </c>
      <c r="W695" s="208"/>
      <c r="X695" s="220" t="s">
        <v>1248</v>
      </c>
      <c r="Y695" s="213">
        <v>46193</v>
      </c>
      <c r="Z695" s="211" t="s">
        <v>1249</v>
      </c>
      <c r="AA695" s="214">
        <v>46154</v>
      </c>
      <c r="AB695" s="214">
        <v>46170</v>
      </c>
      <c r="AC695" s="211" t="s">
        <v>1133</v>
      </c>
      <c r="AD695" s="211" t="s">
        <v>1133</v>
      </c>
      <c r="AE695" s="220" t="s">
        <v>510</v>
      </c>
      <c r="AF695" s="211" t="s">
        <v>1228</v>
      </c>
      <c r="AG695" s="220" t="s">
        <v>510</v>
      </c>
      <c r="AH695" s="211" t="s">
        <v>1133</v>
      </c>
      <c r="AI695" s="211" t="s">
        <v>1228</v>
      </c>
      <c r="AJ695" s="211" t="s">
        <v>1133</v>
      </c>
      <c r="AK695" s="211" t="s">
        <v>1228</v>
      </c>
      <c r="AL695" s="211"/>
      <c r="AM695" s="257" t="s">
        <v>1506</v>
      </c>
      <c r="AN695" s="220" t="s">
        <v>1507</v>
      </c>
      <c r="AO695" s="215">
        <v>0.77</v>
      </c>
      <c r="AP695" s="216">
        <f t="shared" si="143"/>
        <v>2310</v>
      </c>
      <c r="AQ695" s="216">
        <f t="shared" si="144"/>
        <v>17902.5</v>
      </c>
      <c r="AR695" s="224">
        <v>61470</v>
      </c>
      <c r="AS695" s="330">
        <v>46239</v>
      </c>
      <c r="AT695" s="208" t="s">
        <v>1220</v>
      </c>
      <c r="AU695" s="208"/>
      <c r="AV695" s="208"/>
      <c r="AW695" s="208"/>
      <c r="AX695" s="208"/>
      <c r="AY695" s="208"/>
      <c r="AZ695" s="208"/>
      <c r="BA695" s="208"/>
      <c r="BB695" s="208" t="str">
        <f t="shared" si="145"/>
        <v>Kidland</v>
      </c>
      <c r="BC695" s="208" t="str">
        <f t="shared" ref="BC695:BC714" si="152">E695</f>
        <v>阿拉伯</v>
      </c>
    </row>
    <row r="696" s="194" customFormat="1" customHeight="1" spans="1:55">
      <c r="A696" s="271">
        <v>46148</v>
      </c>
      <c r="B696" s="208" t="str">
        <f ca="1" t="shared" si="139"/>
        <v/>
      </c>
      <c r="C696" s="211" t="str">
        <f>VLOOKUP(H696,名称!A:E,4,0)</f>
        <v>蛋糕</v>
      </c>
      <c r="D696" s="220" t="s">
        <v>1489</v>
      </c>
      <c r="E696" s="220" t="s">
        <v>1934</v>
      </c>
      <c r="F696" s="220" t="s">
        <v>819</v>
      </c>
      <c r="G696" s="220" t="s">
        <v>820</v>
      </c>
      <c r="H696" s="220" t="s">
        <v>50</v>
      </c>
      <c r="I696" s="211"/>
      <c r="J696" s="270">
        <v>3006</v>
      </c>
      <c r="K696" s="223">
        <f>VLOOKUP(H696,名称!A:C,2,0)</f>
        <v>0</v>
      </c>
      <c r="L696" s="212">
        <f t="shared" si="140"/>
        <v>0</v>
      </c>
      <c r="M696" s="211">
        <f>VLOOKUP(H696,名称!A:E,3,0)</f>
        <v>18</v>
      </c>
      <c r="N696" s="212">
        <f t="shared" si="141"/>
        <v>167</v>
      </c>
      <c r="O696" s="271">
        <v>46195</v>
      </c>
      <c r="P696" s="271">
        <f t="shared" si="151"/>
        <v>46195</v>
      </c>
      <c r="Q696" s="256">
        <v>46216</v>
      </c>
      <c r="R696" s="267" t="s">
        <v>1241</v>
      </c>
      <c r="S696" s="256" t="s">
        <v>1133</v>
      </c>
      <c r="T696" s="211"/>
      <c r="U696" s="211"/>
      <c r="V696" s="263">
        <v>46227</v>
      </c>
      <c r="W696" s="208"/>
      <c r="X696" s="220" t="s">
        <v>1248</v>
      </c>
      <c r="Y696" s="263">
        <v>46193</v>
      </c>
      <c r="Z696" s="211" t="s">
        <v>1249</v>
      </c>
      <c r="AA696" s="214">
        <v>46154</v>
      </c>
      <c r="AB696" s="214">
        <v>46170</v>
      </c>
      <c r="AC696" s="211" t="s">
        <v>1133</v>
      </c>
      <c r="AD696" s="211" t="s">
        <v>1133</v>
      </c>
      <c r="AE696" s="220" t="s">
        <v>510</v>
      </c>
      <c r="AF696" s="211" t="s">
        <v>1228</v>
      </c>
      <c r="AG696" s="220" t="s">
        <v>510</v>
      </c>
      <c r="AH696" s="211" t="s">
        <v>1133</v>
      </c>
      <c r="AI696" s="211" t="s">
        <v>1228</v>
      </c>
      <c r="AJ696" s="211" t="s">
        <v>1133</v>
      </c>
      <c r="AK696" s="211" t="s">
        <v>1228</v>
      </c>
      <c r="AL696" s="211"/>
      <c r="AM696" s="257" t="s">
        <v>1506</v>
      </c>
      <c r="AN696" s="220" t="s">
        <v>1507</v>
      </c>
      <c r="AO696" s="215">
        <v>1.08</v>
      </c>
      <c r="AP696" s="216">
        <f t="shared" si="143"/>
        <v>3246.48</v>
      </c>
      <c r="AQ696" s="216">
        <f t="shared" si="144"/>
        <v>25160.22</v>
      </c>
      <c r="AR696" s="224">
        <v>61470</v>
      </c>
      <c r="AS696" s="330">
        <v>46239</v>
      </c>
      <c r="AT696" s="208" t="s">
        <v>1220</v>
      </c>
      <c r="AU696" s="208"/>
      <c r="AV696" s="208"/>
      <c r="AW696" s="208"/>
      <c r="AX696" s="208"/>
      <c r="AY696" s="208"/>
      <c r="AZ696" s="208"/>
      <c r="BA696" s="208"/>
      <c r="BB696" s="208" t="str">
        <f t="shared" si="145"/>
        <v>Kidland</v>
      </c>
      <c r="BC696" s="208" t="str">
        <f t="shared" si="152"/>
        <v>阿拉伯</v>
      </c>
    </row>
    <row r="697" s="194" customFormat="1" customHeight="1" spans="1:55">
      <c r="A697" s="271">
        <v>46148</v>
      </c>
      <c r="B697" s="208" t="str">
        <f ca="1" t="shared" si="139"/>
        <v/>
      </c>
      <c r="C697" s="211" t="str">
        <f>VLOOKUP(H697,名称!A:E,4,0)</f>
        <v>蛋糕</v>
      </c>
      <c r="D697" s="220" t="s">
        <v>1489</v>
      </c>
      <c r="E697" s="220" t="s">
        <v>1934</v>
      </c>
      <c r="F697" s="220" t="s">
        <v>819</v>
      </c>
      <c r="G697" s="220" t="s">
        <v>820</v>
      </c>
      <c r="H697" s="220" t="s">
        <v>52</v>
      </c>
      <c r="I697" s="211"/>
      <c r="J697" s="270">
        <v>2016</v>
      </c>
      <c r="K697" s="223">
        <f>VLOOKUP(H697,名称!A:C,2,0)</f>
        <v>0</v>
      </c>
      <c r="L697" s="212">
        <f t="shared" si="140"/>
        <v>0</v>
      </c>
      <c r="M697" s="211">
        <f>VLOOKUP(H697,名称!A:E,3,0)</f>
        <v>4</v>
      </c>
      <c r="N697" s="212">
        <f t="shared" si="141"/>
        <v>504</v>
      </c>
      <c r="O697" s="271">
        <v>46195</v>
      </c>
      <c r="P697" s="271">
        <f t="shared" si="151"/>
        <v>46195</v>
      </c>
      <c r="Q697" s="256">
        <v>46216</v>
      </c>
      <c r="R697" s="241" t="s">
        <v>1241</v>
      </c>
      <c r="S697" s="256" t="s">
        <v>1133</v>
      </c>
      <c r="T697" s="211"/>
      <c r="U697" s="211"/>
      <c r="V697" s="263">
        <v>46227</v>
      </c>
      <c r="W697" s="208"/>
      <c r="X697" s="220" t="s">
        <v>1248</v>
      </c>
      <c r="Y697" s="263">
        <v>46193</v>
      </c>
      <c r="Z697" s="211" t="s">
        <v>1249</v>
      </c>
      <c r="AA697" s="214">
        <v>46154</v>
      </c>
      <c r="AB697" s="214">
        <v>46170</v>
      </c>
      <c r="AC697" s="211" t="s">
        <v>1133</v>
      </c>
      <c r="AD697" s="211" t="s">
        <v>1133</v>
      </c>
      <c r="AE697" s="211" t="s">
        <v>510</v>
      </c>
      <c r="AF697" s="211" t="s">
        <v>1228</v>
      </c>
      <c r="AG697" s="211" t="s">
        <v>510</v>
      </c>
      <c r="AH697" s="211" t="s">
        <v>1133</v>
      </c>
      <c r="AI697" s="211" t="s">
        <v>1228</v>
      </c>
      <c r="AJ697" s="211" t="s">
        <v>1133</v>
      </c>
      <c r="AK697" s="211" t="s">
        <v>1228</v>
      </c>
      <c r="AL697" s="211"/>
      <c r="AM697" s="257" t="s">
        <v>1506</v>
      </c>
      <c r="AN697" s="220" t="s">
        <v>1507</v>
      </c>
      <c r="AO697" s="215">
        <v>2.76</v>
      </c>
      <c r="AP697" s="216">
        <f t="shared" si="143"/>
        <v>5564.16</v>
      </c>
      <c r="AQ697" s="216">
        <f t="shared" si="144"/>
        <v>43122.24</v>
      </c>
      <c r="AR697" s="224">
        <v>61470</v>
      </c>
      <c r="AS697" s="330">
        <v>46239</v>
      </c>
      <c r="AT697" s="208" t="s">
        <v>1220</v>
      </c>
      <c r="AU697" s="208"/>
      <c r="AV697" s="208"/>
      <c r="AW697" s="208"/>
      <c r="AX697" s="208"/>
      <c r="AY697" s="208"/>
      <c r="AZ697" s="208"/>
      <c r="BA697" s="208"/>
      <c r="BB697" s="208" t="str">
        <f t="shared" si="145"/>
        <v>Kidland</v>
      </c>
      <c r="BC697" s="208" t="str">
        <f t="shared" si="152"/>
        <v>阿拉伯</v>
      </c>
    </row>
    <row r="698" s="194" customFormat="1" customHeight="1" spans="1:55">
      <c r="A698" s="208">
        <v>46162</v>
      </c>
      <c r="B698" s="208" t="str">
        <f ca="1" t="shared" si="139"/>
        <v/>
      </c>
      <c r="C698" s="211" t="str">
        <f>VLOOKUP(H698,名称!A:E,4,0)</f>
        <v>三代</v>
      </c>
      <c r="D698" s="220" t="s">
        <v>1366</v>
      </c>
      <c r="E698" s="220" t="s">
        <v>1224</v>
      </c>
      <c r="F698" s="220">
        <v>1750514648</v>
      </c>
      <c r="G698" s="220" t="s">
        <v>873</v>
      </c>
      <c r="H698" s="211" t="s">
        <v>126</v>
      </c>
      <c r="I698" s="211"/>
      <c r="J698" s="270">
        <v>1680</v>
      </c>
      <c r="K698" s="223">
        <f>VLOOKUP(H698,名称!A:C,2,0)</f>
        <v>50</v>
      </c>
      <c r="L698" s="212">
        <f t="shared" si="140"/>
        <v>84000</v>
      </c>
      <c r="M698" s="257">
        <f>VLOOKUP(H698,名称!A:E,3,0)</f>
        <v>40</v>
      </c>
      <c r="N698" s="259">
        <f t="shared" si="141"/>
        <v>42</v>
      </c>
      <c r="O698" s="271">
        <v>46221</v>
      </c>
      <c r="P698" s="271">
        <f t="shared" si="151"/>
        <v>46221</v>
      </c>
      <c r="Q698" s="208">
        <v>46219</v>
      </c>
      <c r="R698" s="241" t="s">
        <v>1241</v>
      </c>
      <c r="S698" s="256">
        <v>46219</v>
      </c>
      <c r="T698" s="241" t="s">
        <v>1282</v>
      </c>
      <c r="U698" s="211"/>
      <c r="V698" s="213">
        <v>46235</v>
      </c>
      <c r="W698" s="208"/>
      <c r="X698" s="257" t="s">
        <v>1133</v>
      </c>
      <c r="Y698" s="257" t="s">
        <v>1133</v>
      </c>
      <c r="Z698" s="263">
        <v>46167</v>
      </c>
      <c r="AA698" s="214">
        <v>46182</v>
      </c>
      <c r="AB698" s="214">
        <v>46182</v>
      </c>
      <c r="AC698" s="257" t="s">
        <v>1133</v>
      </c>
      <c r="AD698" s="257" t="s">
        <v>1133</v>
      </c>
      <c r="AE698" s="211" t="s">
        <v>584</v>
      </c>
      <c r="AF698" s="257" t="s">
        <v>1228</v>
      </c>
      <c r="AG698" s="257" t="s">
        <v>584</v>
      </c>
      <c r="AH698" s="257" t="s">
        <v>1133</v>
      </c>
      <c r="AI698" s="257" t="s">
        <v>1228</v>
      </c>
      <c r="AJ698" s="257" t="s">
        <v>1133</v>
      </c>
      <c r="AK698" s="257" t="s">
        <v>1356</v>
      </c>
      <c r="AL698" s="257"/>
      <c r="AM698" s="329" t="s">
        <v>1367</v>
      </c>
      <c r="AN698" s="212" t="s">
        <v>1368</v>
      </c>
      <c r="AO698" s="215">
        <v>11.31</v>
      </c>
      <c r="AP698" s="216">
        <f t="shared" si="143"/>
        <v>19000.8</v>
      </c>
      <c r="AQ698" s="216">
        <f t="shared" si="144"/>
        <v>147256.2</v>
      </c>
      <c r="AR698" s="224">
        <v>61471</v>
      </c>
      <c r="AS698" s="330">
        <v>46239</v>
      </c>
      <c r="AT698" s="273" t="s">
        <v>1220</v>
      </c>
      <c r="AU698" s="252"/>
      <c r="AV698" s="252">
        <f t="shared" ref="AV698:AV703" si="153">AU698-J698</f>
        <v>-1680</v>
      </c>
      <c r="AW698" s="331"/>
      <c r="AX698" s="256"/>
      <c r="AY698" s="208" t="s">
        <v>1255</v>
      </c>
      <c r="AZ698" s="208" t="s">
        <v>1256</v>
      </c>
      <c r="BA698" s="208"/>
      <c r="BB698" s="208" t="str">
        <f t="shared" si="145"/>
        <v>JAZWARES - COSTCO</v>
      </c>
      <c r="BC698" s="208" t="str">
        <f t="shared" si="152"/>
        <v>美国</v>
      </c>
    </row>
    <row r="699" s="194" customFormat="1" customHeight="1" spans="1:55">
      <c r="A699" s="208">
        <v>46162</v>
      </c>
      <c r="B699" s="208" t="str">
        <f ca="1" t="shared" si="139"/>
        <v/>
      </c>
      <c r="C699" s="211" t="str">
        <f>VLOOKUP(H699,名称!A:E,4,0)</f>
        <v>三代</v>
      </c>
      <c r="D699" s="220" t="s">
        <v>1366</v>
      </c>
      <c r="E699" s="220" t="s">
        <v>1224</v>
      </c>
      <c r="F699" s="220">
        <v>1750514649</v>
      </c>
      <c r="G699" s="220" t="s">
        <v>874</v>
      </c>
      <c r="H699" s="211" t="s">
        <v>126</v>
      </c>
      <c r="I699" s="211"/>
      <c r="J699" s="270">
        <v>1680</v>
      </c>
      <c r="K699" s="223">
        <f>VLOOKUP(H699,名称!A:C,2,0)</f>
        <v>50</v>
      </c>
      <c r="L699" s="212">
        <f t="shared" si="140"/>
        <v>84000</v>
      </c>
      <c r="M699" s="257">
        <f>VLOOKUP(H699,名称!A:E,3,0)</f>
        <v>40</v>
      </c>
      <c r="N699" s="259">
        <f t="shared" si="141"/>
        <v>42</v>
      </c>
      <c r="O699" s="271">
        <v>46221</v>
      </c>
      <c r="P699" s="271">
        <f t="shared" si="151"/>
        <v>46221</v>
      </c>
      <c r="Q699" s="208">
        <v>46223</v>
      </c>
      <c r="R699" s="241" t="s">
        <v>1241</v>
      </c>
      <c r="S699" s="256">
        <v>46223</v>
      </c>
      <c r="T699" s="211" t="s">
        <v>1282</v>
      </c>
      <c r="U699" s="211"/>
      <c r="V699" s="213">
        <v>46235</v>
      </c>
      <c r="W699" s="208"/>
      <c r="X699" s="257" t="s">
        <v>1133</v>
      </c>
      <c r="Y699" s="257" t="s">
        <v>1133</v>
      </c>
      <c r="Z699" s="263">
        <v>46167</v>
      </c>
      <c r="AA699" s="214">
        <v>46182</v>
      </c>
      <c r="AB699" s="214">
        <v>46182</v>
      </c>
      <c r="AC699" s="257" t="s">
        <v>1133</v>
      </c>
      <c r="AD699" s="257" t="s">
        <v>1133</v>
      </c>
      <c r="AE699" s="211" t="s">
        <v>584</v>
      </c>
      <c r="AF699" s="257" t="s">
        <v>1228</v>
      </c>
      <c r="AG699" s="257" t="s">
        <v>584</v>
      </c>
      <c r="AH699" s="257" t="s">
        <v>1133</v>
      </c>
      <c r="AI699" s="257" t="s">
        <v>1228</v>
      </c>
      <c r="AJ699" s="257" t="s">
        <v>1133</v>
      </c>
      <c r="AK699" s="257" t="s">
        <v>1356</v>
      </c>
      <c r="AL699" s="257"/>
      <c r="AM699" s="329" t="s">
        <v>1367</v>
      </c>
      <c r="AN699" s="212" t="s">
        <v>1368</v>
      </c>
      <c r="AO699" s="215">
        <v>11.31</v>
      </c>
      <c r="AP699" s="216">
        <f t="shared" si="143"/>
        <v>19000.8</v>
      </c>
      <c r="AQ699" s="216">
        <f t="shared" si="144"/>
        <v>147256.2</v>
      </c>
      <c r="AR699" s="224">
        <v>61472</v>
      </c>
      <c r="AS699" s="330">
        <v>46239</v>
      </c>
      <c r="AT699" s="273" t="s">
        <v>1220</v>
      </c>
      <c r="AU699" s="252"/>
      <c r="AV699" s="252">
        <f t="shared" si="153"/>
        <v>-1680</v>
      </c>
      <c r="AW699" s="331"/>
      <c r="AX699" s="256"/>
      <c r="AY699" s="208" t="s">
        <v>1255</v>
      </c>
      <c r="AZ699" s="208" t="s">
        <v>1256</v>
      </c>
      <c r="BA699" s="208"/>
      <c r="BB699" s="208" t="str">
        <f t="shared" si="145"/>
        <v>JAZWARES - COSTCO</v>
      </c>
      <c r="BC699" s="208" t="str">
        <f t="shared" si="152"/>
        <v>美国</v>
      </c>
    </row>
    <row r="700" s="194" customFormat="1" customHeight="1" spans="1:55">
      <c r="A700" s="208">
        <v>46162</v>
      </c>
      <c r="B700" s="208" t="str">
        <f ca="1" t="shared" si="139"/>
        <v/>
      </c>
      <c r="C700" s="211" t="str">
        <f>VLOOKUP(H700,名称!A:E,4,0)</f>
        <v>三代</v>
      </c>
      <c r="D700" s="220" t="s">
        <v>1366</v>
      </c>
      <c r="E700" s="220" t="s">
        <v>1224</v>
      </c>
      <c r="F700" s="220">
        <v>1750514650</v>
      </c>
      <c r="G700" s="220" t="s">
        <v>875</v>
      </c>
      <c r="H700" s="211" t="s">
        <v>126</v>
      </c>
      <c r="I700" s="211"/>
      <c r="J700" s="270">
        <v>1680</v>
      </c>
      <c r="K700" s="223">
        <f>VLOOKUP(H700,名称!A:C,2,0)</f>
        <v>50</v>
      </c>
      <c r="L700" s="212">
        <f t="shared" si="140"/>
        <v>84000</v>
      </c>
      <c r="M700" s="257">
        <f>VLOOKUP(H700,名称!A:E,3,0)</f>
        <v>40</v>
      </c>
      <c r="N700" s="259">
        <f t="shared" si="141"/>
        <v>42</v>
      </c>
      <c r="O700" s="271">
        <v>46221</v>
      </c>
      <c r="P700" s="271">
        <f t="shared" si="151"/>
        <v>46221</v>
      </c>
      <c r="Q700" s="208">
        <v>46224</v>
      </c>
      <c r="R700" s="241" t="s">
        <v>1241</v>
      </c>
      <c r="S700" s="256">
        <v>46224</v>
      </c>
      <c r="T700" s="211" t="s">
        <v>1282</v>
      </c>
      <c r="U700" s="211"/>
      <c r="V700" s="213">
        <v>46235</v>
      </c>
      <c r="W700" s="208"/>
      <c r="X700" s="257" t="s">
        <v>1133</v>
      </c>
      <c r="Y700" s="257" t="s">
        <v>1133</v>
      </c>
      <c r="Z700" s="263">
        <v>46167</v>
      </c>
      <c r="AA700" s="214">
        <v>46182</v>
      </c>
      <c r="AB700" s="214">
        <v>46182</v>
      </c>
      <c r="AC700" s="257" t="s">
        <v>1133</v>
      </c>
      <c r="AD700" s="257" t="s">
        <v>1133</v>
      </c>
      <c r="AE700" s="211" t="s">
        <v>584</v>
      </c>
      <c r="AF700" s="257" t="s">
        <v>1228</v>
      </c>
      <c r="AG700" s="257" t="s">
        <v>584</v>
      </c>
      <c r="AH700" s="257" t="s">
        <v>1133</v>
      </c>
      <c r="AI700" s="257" t="s">
        <v>1228</v>
      </c>
      <c r="AJ700" s="257" t="s">
        <v>1133</v>
      </c>
      <c r="AK700" s="257" t="s">
        <v>1356</v>
      </c>
      <c r="AL700" s="257"/>
      <c r="AM700" s="329" t="s">
        <v>1367</v>
      </c>
      <c r="AN700" s="212" t="s">
        <v>1368</v>
      </c>
      <c r="AO700" s="215">
        <v>11.31</v>
      </c>
      <c r="AP700" s="216">
        <f t="shared" si="143"/>
        <v>19000.8</v>
      </c>
      <c r="AQ700" s="216">
        <f t="shared" si="144"/>
        <v>147256.2</v>
      </c>
      <c r="AR700" s="224">
        <v>61473</v>
      </c>
      <c r="AS700" s="330">
        <v>46239</v>
      </c>
      <c r="AT700" s="273" t="s">
        <v>1220</v>
      </c>
      <c r="AU700" s="252"/>
      <c r="AV700" s="252">
        <f t="shared" si="153"/>
        <v>-1680</v>
      </c>
      <c r="AW700" s="331"/>
      <c r="AX700" s="256"/>
      <c r="AY700" s="208" t="s">
        <v>1255</v>
      </c>
      <c r="AZ700" s="208" t="s">
        <v>1256</v>
      </c>
      <c r="BA700" s="208"/>
      <c r="BB700" s="208" t="str">
        <f t="shared" si="145"/>
        <v>JAZWARES - COSTCO</v>
      </c>
      <c r="BC700" s="208" t="str">
        <f t="shared" si="152"/>
        <v>美国</v>
      </c>
    </row>
    <row r="701" s="194" customFormat="1" customHeight="1" spans="1:55">
      <c r="A701" s="208">
        <v>46142</v>
      </c>
      <c r="B701" s="208" t="str">
        <f ca="1" t="shared" si="139"/>
        <v/>
      </c>
      <c r="C701" s="211" t="str">
        <f>VLOOKUP(H701,名称!A:E,4,0)</f>
        <v>蛋糕</v>
      </c>
      <c r="D701" s="220" t="s">
        <v>1502</v>
      </c>
      <c r="E701" s="220" t="s">
        <v>1224</v>
      </c>
      <c r="F701" s="220" t="s">
        <v>813</v>
      </c>
      <c r="G701" s="220" t="s">
        <v>814</v>
      </c>
      <c r="H701" s="220" t="s">
        <v>50</v>
      </c>
      <c r="I701" s="211"/>
      <c r="J701" s="270">
        <v>2610</v>
      </c>
      <c r="K701" s="223">
        <f>VLOOKUP(H701,名称!A:C,2,0)</f>
        <v>0</v>
      </c>
      <c r="L701" s="212">
        <f t="shared" si="140"/>
        <v>0</v>
      </c>
      <c r="M701" s="211">
        <f>VLOOKUP(H701,名称!A:E,3,0)</f>
        <v>18</v>
      </c>
      <c r="N701" s="212">
        <f t="shared" si="141"/>
        <v>145</v>
      </c>
      <c r="O701" s="271">
        <v>46222</v>
      </c>
      <c r="P701" s="208">
        <f t="shared" si="151"/>
        <v>46222</v>
      </c>
      <c r="Q701" s="208">
        <v>46233</v>
      </c>
      <c r="R701" s="241" t="s">
        <v>1241</v>
      </c>
      <c r="S701" s="274" t="s">
        <v>1133</v>
      </c>
      <c r="T701" s="211"/>
      <c r="U701" s="211"/>
      <c r="V701" s="213">
        <v>46237</v>
      </c>
      <c r="W701" s="208"/>
      <c r="X701" s="220" t="s">
        <v>1332</v>
      </c>
      <c r="Y701" s="211" t="s">
        <v>1228</v>
      </c>
      <c r="Z701" s="211" t="s">
        <v>1503</v>
      </c>
      <c r="AA701" s="214">
        <v>46142</v>
      </c>
      <c r="AB701" s="214">
        <v>46142</v>
      </c>
      <c r="AC701" s="211" t="s">
        <v>1133</v>
      </c>
      <c r="AD701" s="211" t="s">
        <v>1133</v>
      </c>
      <c r="AE701" s="220" t="s">
        <v>510</v>
      </c>
      <c r="AF701" s="211" t="s">
        <v>1228</v>
      </c>
      <c r="AG701" s="220" t="s">
        <v>510</v>
      </c>
      <c r="AH701" s="211" t="s">
        <v>1133</v>
      </c>
      <c r="AI701" s="211" t="s">
        <v>1228</v>
      </c>
      <c r="AJ701" s="211" t="s">
        <v>1133</v>
      </c>
      <c r="AK701" s="211" t="s">
        <v>1228</v>
      </c>
      <c r="AL701" s="211"/>
      <c r="AM701" s="267" t="s">
        <v>1267</v>
      </c>
      <c r="AN701" s="212" t="s">
        <v>1504</v>
      </c>
      <c r="AO701" s="215">
        <v>1.11</v>
      </c>
      <c r="AP701" s="216">
        <f t="shared" si="143"/>
        <v>2897.1</v>
      </c>
      <c r="AQ701" s="216">
        <f t="shared" si="144"/>
        <v>22452.53</v>
      </c>
      <c r="AR701" s="224">
        <v>61476</v>
      </c>
      <c r="AS701" s="330">
        <v>46241</v>
      </c>
      <c r="AT701" s="208" t="s">
        <v>1220</v>
      </c>
      <c r="AU701" s="208"/>
      <c r="AV701" s="208"/>
      <c r="AW701" s="208"/>
      <c r="AX701" s="208"/>
      <c r="AY701" s="208"/>
      <c r="AZ701" s="208"/>
      <c r="BA701" s="208"/>
      <c r="BB701" s="208" t="str">
        <f t="shared" si="145"/>
        <v>Target Corporation</v>
      </c>
      <c r="BC701" s="208" t="str">
        <f t="shared" si="152"/>
        <v>美国</v>
      </c>
    </row>
    <row r="702" s="194" customFormat="1" customHeight="1" spans="1:55">
      <c r="A702" s="208">
        <v>46135</v>
      </c>
      <c r="B702" s="208" t="str">
        <f ca="1" t="shared" si="139"/>
        <v/>
      </c>
      <c r="C702" s="211" t="str">
        <f>VLOOKUP(H702,名称!A:E,4,0)</f>
        <v>蛋糕</v>
      </c>
      <c r="D702" s="220" t="s">
        <v>1502</v>
      </c>
      <c r="E702" s="220" t="s">
        <v>1224</v>
      </c>
      <c r="F702" s="220" t="s">
        <v>763</v>
      </c>
      <c r="G702" s="220" t="s">
        <v>764</v>
      </c>
      <c r="H702" s="220" t="s">
        <v>50</v>
      </c>
      <c r="I702" s="211"/>
      <c r="J702" s="270">
        <v>4014</v>
      </c>
      <c r="K702" s="223">
        <f>VLOOKUP(H702,名称!A:C,2,0)</f>
        <v>0</v>
      </c>
      <c r="L702" s="212">
        <f t="shared" si="140"/>
        <v>0</v>
      </c>
      <c r="M702" s="211">
        <f>VLOOKUP(H702,名称!A:E,3,0)</f>
        <v>18</v>
      </c>
      <c r="N702" s="212">
        <f t="shared" si="141"/>
        <v>223</v>
      </c>
      <c r="O702" s="271">
        <v>46224</v>
      </c>
      <c r="P702" s="208">
        <f t="shared" si="151"/>
        <v>46224</v>
      </c>
      <c r="Q702" s="208">
        <v>46232</v>
      </c>
      <c r="R702" s="241" t="s">
        <v>1241</v>
      </c>
      <c r="S702" s="274" t="s">
        <v>1133</v>
      </c>
      <c r="T702" s="211"/>
      <c r="U702" s="211"/>
      <c r="V702" s="211"/>
      <c r="W702" s="208"/>
      <c r="X702" s="220" t="s">
        <v>1332</v>
      </c>
      <c r="Y702" s="211" t="s">
        <v>1228</v>
      </c>
      <c r="Z702" s="211" t="s">
        <v>1503</v>
      </c>
      <c r="AA702" s="214">
        <v>46135</v>
      </c>
      <c r="AB702" s="214">
        <v>46135</v>
      </c>
      <c r="AC702" s="211" t="s">
        <v>1133</v>
      </c>
      <c r="AD702" s="211" t="s">
        <v>1133</v>
      </c>
      <c r="AE702" s="220" t="s">
        <v>510</v>
      </c>
      <c r="AF702" s="211" t="s">
        <v>1228</v>
      </c>
      <c r="AG702" s="220" t="s">
        <v>510</v>
      </c>
      <c r="AH702" s="211" t="s">
        <v>1133</v>
      </c>
      <c r="AI702" s="211" t="s">
        <v>1228</v>
      </c>
      <c r="AJ702" s="211" t="s">
        <v>1133</v>
      </c>
      <c r="AK702" s="211" t="s">
        <v>1228</v>
      </c>
      <c r="AL702" s="211"/>
      <c r="AM702" s="267" t="s">
        <v>1267</v>
      </c>
      <c r="AN702" s="212" t="s">
        <v>1504</v>
      </c>
      <c r="AO702" s="215">
        <v>1.11</v>
      </c>
      <c r="AP702" s="216">
        <f t="shared" si="143"/>
        <v>4455.54</v>
      </c>
      <c r="AQ702" s="216">
        <f t="shared" si="144"/>
        <v>34530.44</v>
      </c>
      <c r="AR702" s="224">
        <v>61477</v>
      </c>
      <c r="AS702" s="330">
        <v>46241</v>
      </c>
      <c r="AT702" s="208" t="s">
        <v>1254</v>
      </c>
      <c r="AU702" s="208"/>
      <c r="AV702" s="208"/>
      <c r="AW702" s="208"/>
      <c r="AX702" s="208"/>
      <c r="AY702" s="208"/>
      <c r="AZ702" s="208"/>
      <c r="BA702" s="208"/>
      <c r="BB702" s="208" t="str">
        <f t="shared" si="145"/>
        <v>Target Corporation</v>
      </c>
      <c r="BC702" s="208" t="str">
        <f t="shared" si="152"/>
        <v>美国</v>
      </c>
    </row>
    <row r="703" s="194" customFormat="1" customHeight="1" spans="1:55">
      <c r="A703" s="208">
        <v>46115</v>
      </c>
      <c r="B703" s="208" t="str">
        <f ca="1" t="shared" si="139"/>
        <v/>
      </c>
      <c r="C703" s="211" t="str">
        <f>VLOOKUP(H703,名称!A:E,4,0)</f>
        <v>三代</v>
      </c>
      <c r="D703" s="210" t="s">
        <v>1257</v>
      </c>
      <c r="E703" s="210" t="s">
        <v>1258</v>
      </c>
      <c r="F703" s="211" t="s">
        <v>617</v>
      </c>
      <c r="G703" s="211" t="s">
        <v>618</v>
      </c>
      <c r="H703" s="211" t="s">
        <v>117</v>
      </c>
      <c r="I703" s="211"/>
      <c r="J703" s="212">
        <v>4700</v>
      </c>
      <c r="K703" s="223">
        <f>VLOOKUP(H703,名称!A:C,2,0)</f>
        <v>50</v>
      </c>
      <c r="L703" s="212">
        <f t="shared" si="140"/>
        <v>235000</v>
      </c>
      <c r="M703" s="211">
        <f>VLOOKUP(H703,名称!A:E,3,0)</f>
        <v>2</v>
      </c>
      <c r="N703" s="212">
        <f t="shared" si="141"/>
        <v>2350</v>
      </c>
      <c r="O703" s="208">
        <v>46219</v>
      </c>
      <c r="P703" s="256">
        <f t="shared" si="151"/>
        <v>46219</v>
      </c>
      <c r="Q703" s="256">
        <v>46230</v>
      </c>
      <c r="R703" s="241" t="s">
        <v>1277</v>
      </c>
      <c r="S703" s="342">
        <v>46230</v>
      </c>
      <c r="T703" s="267" t="s">
        <v>1241</v>
      </c>
      <c r="U703" s="211"/>
      <c r="V703" s="263">
        <v>46231</v>
      </c>
      <c r="W703" s="208"/>
      <c r="X703" s="257" t="s">
        <v>1133</v>
      </c>
      <c r="Y703" s="257" t="s">
        <v>1133</v>
      </c>
      <c r="Z703" s="263">
        <v>46163</v>
      </c>
      <c r="AA703" s="264">
        <v>46165</v>
      </c>
      <c r="AB703" s="264">
        <v>46170</v>
      </c>
      <c r="AC703" s="257" t="s">
        <v>1133</v>
      </c>
      <c r="AD703" s="257" t="s">
        <v>1133</v>
      </c>
      <c r="AE703" s="211" t="s">
        <v>334</v>
      </c>
      <c r="AF703" s="257" t="s">
        <v>1228</v>
      </c>
      <c r="AG703" s="257" t="s">
        <v>334</v>
      </c>
      <c r="AH703" s="257" t="s">
        <v>1133</v>
      </c>
      <c r="AI703" s="257" t="s">
        <v>1228</v>
      </c>
      <c r="AJ703" s="257" t="s">
        <v>1133</v>
      </c>
      <c r="AK703" s="211" t="s">
        <v>1356</v>
      </c>
      <c r="AL703" s="267" t="s">
        <v>1228</v>
      </c>
      <c r="AM703" s="257" t="s">
        <v>1936</v>
      </c>
      <c r="AN703" s="220" t="s">
        <v>1261</v>
      </c>
      <c r="AO703" s="215">
        <v>8.45</v>
      </c>
      <c r="AP703" s="216">
        <f t="shared" si="143"/>
        <v>39715</v>
      </c>
      <c r="AQ703" s="216">
        <f t="shared" si="144"/>
        <v>307791.25</v>
      </c>
      <c r="AR703" s="224">
        <v>61478</v>
      </c>
      <c r="AS703" s="330">
        <v>46241</v>
      </c>
      <c r="AT703" s="273" t="s">
        <v>1220</v>
      </c>
      <c r="AU703" s="253"/>
      <c r="AV703" s="252">
        <f t="shared" si="153"/>
        <v>-4700</v>
      </c>
      <c r="AW703" s="252"/>
      <c r="AX703" s="256"/>
      <c r="AY703" s="208"/>
      <c r="AZ703" s="208"/>
      <c r="BA703" s="208"/>
      <c r="BB703" s="208" t="str">
        <f t="shared" si="145"/>
        <v>Character Options</v>
      </c>
      <c r="BC703" s="208" t="str">
        <f t="shared" si="152"/>
        <v>英国</v>
      </c>
    </row>
    <row r="704" s="194" customFormat="1" customHeight="1" spans="1:55">
      <c r="A704" s="208">
        <v>46139</v>
      </c>
      <c r="B704" s="208" t="str">
        <f ca="1" t="shared" si="139"/>
        <v/>
      </c>
      <c r="C704" s="211" t="str">
        <f>VLOOKUP(H704,名称!A:E,4,0)</f>
        <v>蛋糕</v>
      </c>
      <c r="D704" s="220" t="s">
        <v>1330</v>
      </c>
      <c r="E704" s="220" t="s">
        <v>1224</v>
      </c>
      <c r="F704" s="220" t="s">
        <v>791</v>
      </c>
      <c r="G704" s="220" t="s">
        <v>792</v>
      </c>
      <c r="H704" s="220" t="s">
        <v>129</v>
      </c>
      <c r="I704" s="211"/>
      <c r="J704" s="270">
        <v>7020</v>
      </c>
      <c r="K704" s="223">
        <f>VLOOKUP(H704,名称!A:C,2,0)</f>
        <v>0</v>
      </c>
      <c r="L704" s="212">
        <f t="shared" si="140"/>
        <v>0</v>
      </c>
      <c r="M704" s="211">
        <v>30</v>
      </c>
      <c r="N704" s="212">
        <f t="shared" si="141"/>
        <v>234</v>
      </c>
      <c r="O704" s="271">
        <v>46200</v>
      </c>
      <c r="P704" s="208">
        <v>46224</v>
      </c>
      <c r="Q704" s="208">
        <v>46224</v>
      </c>
      <c r="R704" s="241" t="s">
        <v>1241</v>
      </c>
      <c r="S704" s="256" t="s">
        <v>1133</v>
      </c>
      <c r="T704" s="211"/>
      <c r="U704" s="211"/>
      <c r="V704" s="211"/>
      <c r="W704" s="208"/>
      <c r="X704" s="268" t="s">
        <v>1509</v>
      </c>
      <c r="Y704" s="241" t="s">
        <v>1228</v>
      </c>
      <c r="Z704" s="213">
        <v>46163</v>
      </c>
      <c r="AA704" s="214">
        <v>46172</v>
      </c>
      <c r="AB704" s="213">
        <v>46189</v>
      </c>
      <c r="AC704" s="211" t="s">
        <v>1133</v>
      </c>
      <c r="AD704" s="211" t="s">
        <v>1133</v>
      </c>
      <c r="AE704" s="220" t="s">
        <v>510</v>
      </c>
      <c r="AF704" s="211" t="s">
        <v>1228</v>
      </c>
      <c r="AG704" s="220" t="s">
        <v>510</v>
      </c>
      <c r="AH704" s="211" t="s">
        <v>1133</v>
      </c>
      <c r="AI704" s="211" t="s">
        <v>1228</v>
      </c>
      <c r="AJ704" s="211" t="s">
        <v>1133</v>
      </c>
      <c r="AK704" s="211" t="s">
        <v>1228</v>
      </c>
      <c r="AL704" s="211"/>
      <c r="AM704" s="257" t="s">
        <v>1506</v>
      </c>
      <c r="AN704" s="268" t="s">
        <v>1510</v>
      </c>
      <c r="AO704" s="215">
        <v>1.59</v>
      </c>
      <c r="AP704" s="216">
        <f t="shared" si="143"/>
        <v>11161.8</v>
      </c>
      <c r="AQ704" s="216">
        <f t="shared" si="144"/>
        <v>86503.95</v>
      </c>
      <c r="AR704" s="224">
        <v>61479</v>
      </c>
      <c r="AS704" s="330">
        <v>46241</v>
      </c>
      <c r="AT704" s="208" t="s">
        <v>1310</v>
      </c>
      <c r="AU704" s="208"/>
      <c r="AV704" s="208"/>
      <c r="AW704" s="273" t="s">
        <v>1228</v>
      </c>
      <c r="AX704" s="208"/>
      <c r="AY704" s="208"/>
      <c r="AZ704" s="208"/>
      <c r="BA704" s="208"/>
      <c r="BB704" s="208" t="str">
        <f t="shared" si="145"/>
        <v>Amazon</v>
      </c>
      <c r="BC704" s="208" t="str">
        <f t="shared" si="152"/>
        <v>美国</v>
      </c>
    </row>
    <row r="705" s="194" customFormat="1" customHeight="1" spans="1:55">
      <c r="A705" s="208">
        <v>46139</v>
      </c>
      <c r="B705" s="208" t="str">
        <f ca="1" t="shared" si="139"/>
        <v/>
      </c>
      <c r="C705" s="211" t="str">
        <f>VLOOKUP(H705,名称!A:E,4,0)</f>
        <v>蛋糕</v>
      </c>
      <c r="D705" s="220" t="s">
        <v>1330</v>
      </c>
      <c r="E705" s="220" t="s">
        <v>1224</v>
      </c>
      <c r="F705" s="220" t="s">
        <v>791</v>
      </c>
      <c r="G705" s="220" t="s">
        <v>792</v>
      </c>
      <c r="H705" s="220" t="s">
        <v>130</v>
      </c>
      <c r="I705" s="211"/>
      <c r="J705" s="270">
        <v>7020</v>
      </c>
      <c r="K705" s="223">
        <f>VLOOKUP(H705,名称!A:C,2,0)</f>
        <v>0</v>
      </c>
      <c r="L705" s="212">
        <f t="shared" si="140"/>
        <v>0</v>
      </c>
      <c r="M705" s="211">
        <v>30</v>
      </c>
      <c r="N705" s="212">
        <f t="shared" si="141"/>
        <v>234</v>
      </c>
      <c r="O705" s="271">
        <v>46200</v>
      </c>
      <c r="P705" s="208">
        <v>46224</v>
      </c>
      <c r="Q705" s="208">
        <v>46224</v>
      </c>
      <c r="R705" s="241" t="s">
        <v>1241</v>
      </c>
      <c r="S705" s="256" t="s">
        <v>1133</v>
      </c>
      <c r="T705" s="211"/>
      <c r="U705" s="211"/>
      <c r="V705" s="211"/>
      <c r="W705" s="208"/>
      <c r="X705" s="268" t="s">
        <v>1509</v>
      </c>
      <c r="Y705" s="241" t="s">
        <v>1228</v>
      </c>
      <c r="Z705" s="213">
        <v>46163</v>
      </c>
      <c r="AA705" s="214">
        <v>46172</v>
      </c>
      <c r="AB705" s="213">
        <v>46189</v>
      </c>
      <c r="AC705" s="211" t="s">
        <v>1133</v>
      </c>
      <c r="AD705" s="211" t="s">
        <v>1133</v>
      </c>
      <c r="AE705" s="220" t="s">
        <v>510</v>
      </c>
      <c r="AF705" s="211" t="s">
        <v>1228</v>
      </c>
      <c r="AG705" s="220" t="s">
        <v>510</v>
      </c>
      <c r="AH705" s="241" t="s">
        <v>1133</v>
      </c>
      <c r="AI705" s="211" t="s">
        <v>1228</v>
      </c>
      <c r="AJ705" s="211" t="s">
        <v>1133</v>
      </c>
      <c r="AK705" s="211" t="s">
        <v>1228</v>
      </c>
      <c r="AL705" s="211"/>
      <c r="AM705" s="257" t="s">
        <v>1506</v>
      </c>
      <c r="AN705" s="268" t="s">
        <v>1510</v>
      </c>
      <c r="AO705" s="215">
        <v>1.59</v>
      </c>
      <c r="AP705" s="216">
        <f t="shared" si="143"/>
        <v>11161.8</v>
      </c>
      <c r="AQ705" s="216">
        <f t="shared" si="144"/>
        <v>86503.95</v>
      </c>
      <c r="AR705" s="224">
        <v>61479</v>
      </c>
      <c r="AS705" s="330">
        <v>46241</v>
      </c>
      <c r="AT705" s="208" t="s">
        <v>1310</v>
      </c>
      <c r="AU705" s="208"/>
      <c r="AV705" s="208"/>
      <c r="AW705" s="273" t="s">
        <v>1228</v>
      </c>
      <c r="AX705" s="208"/>
      <c r="AY705" s="208"/>
      <c r="AZ705" s="208"/>
      <c r="BA705" s="208"/>
      <c r="BB705" s="208" t="str">
        <f t="shared" si="145"/>
        <v>Amazon</v>
      </c>
      <c r="BC705" s="208" t="str">
        <f t="shared" si="152"/>
        <v>美国</v>
      </c>
    </row>
    <row r="706" s="194" customFormat="1" customHeight="1" spans="1:55">
      <c r="A706" s="208">
        <v>46139</v>
      </c>
      <c r="B706" s="208" t="str">
        <f ca="1" t="shared" si="139"/>
        <v/>
      </c>
      <c r="C706" s="211" t="str">
        <f>VLOOKUP(H706,名称!A:E,4,0)</f>
        <v>蛋糕</v>
      </c>
      <c r="D706" s="220" t="s">
        <v>1330</v>
      </c>
      <c r="E706" s="220" t="s">
        <v>1224</v>
      </c>
      <c r="F706" s="220" t="s">
        <v>791</v>
      </c>
      <c r="G706" s="220" t="s">
        <v>792</v>
      </c>
      <c r="H706" s="220" t="s">
        <v>131</v>
      </c>
      <c r="I706" s="211"/>
      <c r="J706" s="343">
        <v>5160</v>
      </c>
      <c r="K706" s="223">
        <f>VLOOKUP(H706,名称!A:C,2,0)</f>
        <v>0</v>
      </c>
      <c r="L706" s="212">
        <f t="shared" si="140"/>
        <v>0</v>
      </c>
      <c r="M706" s="211">
        <v>30</v>
      </c>
      <c r="N706" s="212">
        <f t="shared" si="141"/>
        <v>172</v>
      </c>
      <c r="O706" s="271">
        <v>46200</v>
      </c>
      <c r="P706" s="208">
        <v>46224</v>
      </c>
      <c r="Q706" s="208">
        <v>46224</v>
      </c>
      <c r="R706" s="241" t="s">
        <v>1241</v>
      </c>
      <c r="S706" s="256" t="s">
        <v>1133</v>
      </c>
      <c r="T706" s="211"/>
      <c r="U706" s="211"/>
      <c r="V706" s="211"/>
      <c r="W706" s="208"/>
      <c r="X706" s="268" t="s">
        <v>1509</v>
      </c>
      <c r="Y706" s="241" t="s">
        <v>1228</v>
      </c>
      <c r="Z706" s="213">
        <v>46163</v>
      </c>
      <c r="AA706" s="214">
        <v>46172</v>
      </c>
      <c r="AB706" s="213">
        <v>46189</v>
      </c>
      <c r="AC706" s="211" t="s">
        <v>1133</v>
      </c>
      <c r="AD706" s="211" t="s">
        <v>1133</v>
      </c>
      <c r="AE706" s="220" t="s">
        <v>510</v>
      </c>
      <c r="AF706" s="211" t="s">
        <v>1228</v>
      </c>
      <c r="AG706" s="220" t="s">
        <v>510</v>
      </c>
      <c r="AH706" s="211" t="s">
        <v>1133</v>
      </c>
      <c r="AI706" s="211" t="s">
        <v>1228</v>
      </c>
      <c r="AJ706" s="211" t="s">
        <v>1133</v>
      </c>
      <c r="AK706" s="211" t="s">
        <v>1228</v>
      </c>
      <c r="AL706" s="211"/>
      <c r="AM706" s="257" t="s">
        <v>1506</v>
      </c>
      <c r="AN706" s="268" t="s">
        <v>1510</v>
      </c>
      <c r="AO706" s="215">
        <v>1.59</v>
      </c>
      <c r="AP706" s="216">
        <f t="shared" si="143"/>
        <v>8204.4</v>
      </c>
      <c r="AQ706" s="216">
        <f t="shared" si="144"/>
        <v>63584.1</v>
      </c>
      <c r="AR706" s="224">
        <v>61479</v>
      </c>
      <c r="AS706" s="330">
        <v>46241</v>
      </c>
      <c r="AT706" s="208" t="s">
        <v>1310</v>
      </c>
      <c r="AU706" s="208"/>
      <c r="AV706" s="208"/>
      <c r="AW706" s="273" t="s">
        <v>1228</v>
      </c>
      <c r="AX706" s="208"/>
      <c r="AY706" s="208"/>
      <c r="AZ706" s="208"/>
      <c r="BA706" s="208"/>
      <c r="BB706" s="208" t="str">
        <f t="shared" si="145"/>
        <v>Amazon</v>
      </c>
      <c r="BC706" s="208" t="str">
        <f t="shared" si="152"/>
        <v>美国</v>
      </c>
    </row>
    <row r="707" s="194" customFormat="1" customHeight="1" spans="1:55">
      <c r="A707" s="208">
        <v>46139</v>
      </c>
      <c r="B707" s="208" t="str">
        <f ca="1" t="shared" si="139"/>
        <v/>
      </c>
      <c r="C707" s="211" t="str">
        <f>VLOOKUP(H707,名称!A:E,4,0)</f>
        <v>三代</v>
      </c>
      <c r="D707" s="220" t="s">
        <v>1330</v>
      </c>
      <c r="E707" s="220" t="s">
        <v>1341</v>
      </c>
      <c r="F707" s="220" t="s">
        <v>791</v>
      </c>
      <c r="G707" s="220" t="s">
        <v>792</v>
      </c>
      <c r="H707" s="220" t="s">
        <v>155</v>
      </c>
      <c r="I707" s="211"/>
      <c r="J707" s="270">
        <v>5400</v>
      </c>
      <c r="K707" s="223">
        <f>VLOOKUP(H707,名称!A:C,2,0)</f>
        <v>5</v>
      </c>
      <c r="L707" s="212">
        <f t="shared" si="140"/>
        <v>27000</v>
      </c>
      <c r="M707" s="211">
        <f>VLOOKUP(H707,名称!A:E,3,0)</f>
        <v>75</v>
      </c>
      <c r="N707" s="212">
        <f t="shared" si="141"/>
        <v>72</v>
      </c>
      <c r="O707" s="271">
        <v>46200</v>
      </c>
      <c r="P707" s="256">
        <v>46227</v>
      </c>
      <c r="Q707" s="256">
        <v>46227</v>
      </c>
      <c r="R707" s="241" t="s">
        <v>1241</v>
      </c>
      <c r="S707" s="256" t="s">
        <v>1133</v>
      </c>
      <c r="T707" s="211"/>
      <c r="U707" s="211"/>
      <c r="V707" s="211"/>
      <c r="W707" s="208"/>
      <c r="X707" s="268" t="s">
        <v>1342</v>
      </c>
      <c r="Y707" s="241" t="s">
        <v>1228</v>
      </c>
      <c r="Z707" s="263">
        <v>46163</v>
      </c>
      <c r="AA707" s="264">
        <v>46172</v>
      </c>
      <c r="AB707" s="335">
        <v>46196</v>
      </c>
      <c r="AC707" s="257" t="s">
        <v>1333</v>
      </c>
      <c r="AD707" s="257" t="s">
        <v>1228</v>
      </c>
      <c r="AE707" s="220" t="s">
        <v>510</v>
      </c>
      <c r="AF707" s="257" t="s">
        <v>1228</v>
      </c>
      <c r="AG707" s="257" t="s">
        <v>341</v>
      </c>
      <c r="AH707" s="257" t="s">
        <v>1133</v>
      </c>
      <c r="AI707" s="257" t="s">
        <v>1228</v>
      </c>
      <c r="AJ707" s="257" t="s">
        <v>1133</v>
      </c>
      <c r="AK707" s="257" t="s">
        <v>1133</v>
      </c>
      <c r="AL707" s="257"/>
      <c r="AM707" s="257" t="s">
        <v>1334</v>
      </c>
      <c r="AN707" s="268" t="s">
        <v>1343</v>
      </c>
      <c r="AO707" s="215">
        <v>1.57</v>
      </c>
      <c r="AP707" s="216">
        <f t="shared" si="143"/>
        <v>8478</v>
      </c>
      <c r="AQ707" s="216">
        <f t="shared" si="144"/>
        <v>65704.5</v>
      </c>
      <c r="AR707" s="224">
        <v>61479</v>
      </c>
      <c r="AS707" s="330">
        <v>46241</v>
      </c>
      <c r="AT707" s="208" t="s">
        <v>1310</v>
      </c>
      <c r="AU707" s="253">
        <f>2700+3000</f>
        <v>5700</v>
      </c>
      <c r="AV707" s="252">
        <f t="shared" ref="AV707:AV719" si="154">AU707-J707</f>
        <v>300</v>
      </c>
      <c r="AW707" s="333" t="s">
        <v>1228</v>
      </c>
      <c r="AX707" s="256"/>
      <c r="AY707" s="208"/>
      <c r="AZ707" s="208"/>
      <c r="BA707" s="208"/>
      <c r="BB707" s="208" t="str">
        <f t="shared" si="145"/>
        <v>Amazon</v>
      </c>
      <c r="BC707" s="208" t="str">
        <f t="shared" si="152"/>
        <v>美国AWD</v>
      </c>
    </row>
    <row r="708" s="194" customFormat="1" customHeight="1" spans="1:55">
      <c r="A708" s="208">
        <v>46139</v>
      </c>
      <c r="B708" s="208" t="str">
        <f ca="1" t="shared" si="139"/>
        <v/>
      </c>
      <c r="C708" s="211" t="str">
        <f>VLOOKUP(H708,名称!A:E,4,0)</f>
        <v>三代</v>
      </c>
      <c r="D708" s="220" t="s">
        <v>1330</v>
      </c>
      <c r="E708" s="220" t="s">
        <v>1341</v>
      </c>
      <c r="F708" s="220" t="s">
        <v>791</v>
      </c>
      <c r="G708" s="220" t="s">
        <v>792</v>
      </c>
      <c r="H708" s="220" t="s">
        <v>156</v>
      </c>
      <c r="I708" s="211"/>
      <c r="J708" s="270">
        <v>6300</v>
      </c>
      <c r="K708" s="223">
        <f>VLOOKUP(H708,名称!A:C,2,0)</f>
        <v>5</v>
      </c>
      <c r="L708" s="212">
        <f t="shared" si="140"/>
        <v>31500</v>
      </c>
      <c r="M708" s="211">
        <f>VLOOKUP(H708,名称!A:E,3,0)</f>
        <v>75</v>
      </c>
      <c r="N708" s="212">
        <f t="shared" si="141"/>
        <v>84</v>
      </c>
      <c r="O708" s="271">
        <v>46200</v>
      </c>
      <c r="P708" s="256">
        <v>46227</v>
      </c>
      <c r="Q708" s="256">
        <v>46227</v>
      </c>
      <c r="R708" s="241" t="s">
        <v>1241</v>
      </c>
      <c r="S708" s="256" t="s">
        <v>1133</v>
      </c>
      <c r="T708" s="211"/>
      <c r="U708" s="211"/>
      <c r="V708" s="211"/>
      <c r="W708" s="208"/>
      <c r="X708" s="267" t="s">
        <v>1342</v>
      </c>
      <c r="Y708" s="267" t="s">
        <v>1228</v>
      </c>
      <c r="Z708" s="263">
        <v>46163</v>
      </c>
      <c r="AA708" s="264">
        <v>46172</v>
      </c>
      <c r="AB708" s="335">
        <v>46196</v>
      </c>
      <c r="AC708" s="257" t="s">
        <v>1333</v>
      </c>
      <c r="AD708" s="257" t="s">
        <v>1228</v>
      </c>
      <c r="AE708" s="220" t="s">
        <v>510</v>
      </c>
      <c r="AF708" s="257" t="s">
        <v>1228</v>
      </c>
      <c r="AG708" s="257" t="s">
        <v>341</v>
      </c>
      <c r="AH708" s="257" t="s">
        <v>1133</v>
      </c>
      <c r="AI708" s="257" t="s">
        <v>1228</v>
      </c>
      <c r="AJ708" s="257" t="s">
        <v>1133</v>
      </c>
      <c r="AK708" s="257" t="s">
        <v>1133</v>
      </c>
      <c r="AL708" s="257"/>
      <c r="AM708" s="257" t="s">
        <v>1334</v>
      </c>
      <c r="AN708" s="268" t="s">
        <v>1343</v>
      </c>
      <c r="AO708" s="215">
        <v>1.57</v>
      </c>
      <c r="AP708" s="216">
        <f t="shared" si="143"/>
        <v>9891</v>
      </c>
      <c r="AQ708" s="216">
        <f t="shared" si="144"/>
        <v>76655.25</v>
      </c>
      <c r="AR708" s="224">
        <v>61479</v>
      </c>
      <c r="AS708" s="330">
        <v>46241</v>
      </c>
      <c r="AT708" s="208" t="s">
        <v>1310</v>
      </c>
      <c r="AU708" s="253">
        <f>6975+75</f>
        <v>7050</v>
      </c>
      <c r="AV708" s="252">
        <f t="shared" si="154"/>
        <v>750</v>
      </c>
      <c r="AW708" s="333" t="s">
        <v>1228</v>
      </c>
      <c r="AX708" s="256"/>
      <c r="AY708" s="208"/>
      <c r="AZ708" s="208"/>
      <c r="BA708" s="208"/>
      <c r="BB708" s="208" t="str">
        <f t="shared" si="145"/>
        <v>Amazon</v>
      </c>
      <c r="BC708" s="208" t="str">
        <f t="shared" si="152"/>
        <v>美国AWD</v>
      </c>
    </row>
    <row r="709" s="194" customFormat="1" customHeight="1" spans="1:55">
      <c r="A709" s="208">
        <v>46139</v>
      </c>
      <c r="B709" s="208" t="str">
        <f ca="1" t="shared" si="139"/>
        <v/>
      </c>
      <c r="C709" s="211" t="str">
        <f>VLOOKUP(H709,名称!A:E,4,0)</f>
        <v>三代</v>
      </c>
      <c r="D709" s="220" t="s">
        <v>1330</v>
      </c>
      <c r="E709" s="220" t="s">
        <v>1341</v>
      </c>
      <c r="F709" s="220" t="s">
        <v>791</v>
      </c>
      <c r="G709" s="220" t="s">
        <v>792</v>
      </c>
      <c r="H709" s="220" t="s">
        <v>157</v>
      </c>
      <c r="I709" s="211"/>
      <c r="J709" s="270">
        <v>2100</v>
      </c>
      <c r="K709" s="223">
        <f>VLOOKUP(H709,名称!A:C,2,0)</f>
        <v>5</v>
      </c>
      <c r="L709" s="212">
        <f t="shared" si="140"/>
        <v>10500</v>
      </c>
      <c r="M709" s="211">
        <f>VLOOKUP(H709,名称!A:E,3,0)</f>
        <v>75</v>
      </c>
      <c r="N709" s="212">
        <f t="shared" si="141"/>
        <v>28</v>
      </c>
      <c r="O709" s="271">
        <v>46200</v>
      </c>
      <c r="P709" s="256">
        <v>46227</v>
      </c>
      <c r="Q709" s="256">
        <v>46227</v>
      </c>
      <c r="R709" s="241" t="s">
        <v>1241</v>
      </c>
      <c r="S709" s="256" t="s">
        <v>1133</v>
      </c>
      <c r="T709" s="211"/>
      <c r="U709" s="211"/>
      <c r="V709" s="211"/>
      <c r="W709" s="208"/>
      <c r="X709" s="267" t="s">
        <v>1342</v>
      </c>
      <c r="Y709" s="267" t="s">
        <v>1228</v>
      </c>
      <c r="Z709" s="263">
        <v>46163</v>
      </c>
      <c r="AA709" s="264">
        <v>46172</v>
      </c>
      <c r="AB709" s="335">
        <v>46196</v>
      </c>
      <c r="AC709" s="257" t="s">
        <v>1333</v>
      </c>
      <c r="AD709" s="257" t="s">
        <v>1228</v>
      </c>
      <c r="AE709" s="220" t="s">
        <v>510</v>
      </c>
      <c r="AF709" s="257" t="s">
        <v>1228</v>
      </c>
      <c r="AG709" s="257" t="s">
        <v>341</v>
      </c>
      <c r="AH709" s="257" t="s">
        <v>1133</v>
      </c>
      <c r="AI709" s="257" t="s">
        <v>1228</v>
      </c>
      <c r="AJ709" s="257" t="s">
        <v>1133</v>
      </c>
      <c r="AK709" s="257" t="s">
        <v>1133</v>
      </c>
      <c r="AL709" s="257"/>
      <c r="AM709" s="257" t="s">
        <v>1334</v>
      </c>
      <c r="AN709" s="268" t="s">
        <v>1343</v>
      </c>
      <c r="AO709" s="215">
        <v>1.57</v>
      </c>
      <c r="AP709" s="216">
        <f t="shared" si="143"/>
        <v>3297</v>
      </c>
      <c r="AQ709" s="216">
        <f t="shared" si="144"/>
        <v>25551.75</v>
      </c>
      <c r="AR709" s="224">
        <v>61479</v>
      </c>
      <c r="AS709" s="330">
        <v>46241</v>
      </c>
      <c r="AT709" s="208" t="s">
        <v>1310</v>
      </c>
      <c r="AU709" s="253">
        <f>3375+150+2025+150</f>
        <v>5700</v>
      </c>
      <c r="AV709" s="252">
        <f t="shared" si="154"/>
        <v>3600</v>
      </c>
      <c r="AW709" s="333" t="s">
        <v>1228</v>
      </c>
      <c r="AX709" s="256"/>
      <c r="AY709" s="208"/>
      <c r="AZ709" s="208"/>
      <c r="BA709" s="208"/>
      <c r="BB709" s="208" t="str">
        <f t="shared" si="145"/>
        <v>Amazon</v>
      </c>
      <c r="BC709" s="208" t="str">
        <f t="shared" si="152"/>
        <v>美国AWD</v>
      </c>
    </row>
    <row r="710" s="194" customFormat="1" customHeight="1" spans="1:55">
      <c r="A710" s="208">
        <v>46139</v>
      </c>
      <c r="B710" s="208" t="str">
        <f ca="1" t="shared" ref="B710:B746" si="155">IF(TODAY()-5&gt;=A710,IF(AB710="","异常",""),"")</f>
        <v/>
      </c>
      <c r="C710" s="211" t="str">
        <f>VLOOKUP(H710,名称!A:E,4,0)</f>
        <v>三代</v>
      </c>
      <c r="D710" s="220" t="s">
        <v>1330</v>
      </c>
      <c r="E710" s="220" t="s">
        <v>1341</v>
      </c>
      <c r="F710" s="220" t="s">
        <v>791</v>
      </c>
      <c r="G710" s="220" t="s">
        <v>792</v>
      </c>
      <c r="H710" s="220" t="s">
        <v>159</v>
      </c>
      <c r="I710" s="211"/>
      <c r="J710" s="270">
        <v>6300</v>
      </c>
      <c r="K710" s="223">
        <f>VLOOKUP(H710,名称!A:C,2,0)</f>
        <v>5</v>
      </c>
      <c r="L710" s="212">
        <f>J710*K710</f>
        <v>31500</v>
      </c>
      <c r="M710" s="211">
        <f>VLOOKUP(H710,名称!A:E,3,0)</f>
        <v>75</v>
      </c>
      <c r="N710" s="212">
        <f>J710/M710</f>
        <v>84</v>
      </c>
      <c r="O710" s="271">
        <v>46200</v>
      </c>
      <c r="P710" s="256">
        <v>46227</v>
      </c>
      <c r="Q710" s="256">
        <v>46227</v>
      </c>
      <c r="R710" s="241" t="s">
        <v>1241</v>
      </c>
      <c r="S710" s="256" t="s">
        <v>1133</v>
      </c>
      <c r="T710" s="211"/>
      <c r="U710" s="211"/>
      <c r="V710" s="211"/>
      <c r="W710" s="208"/>
      <c r="X710" s="268" t="s">
        <v>1342</v>
      </c>
      <c r="Y710" s="241" t="s">
        <v>1228</v>
      </c>
      <c r="Z710" s="263">
        <v>46163</v>
      </c>
      <c r="AA710" s="264">
        <v>46172</v>
      </c>
      <c r="AB710" s="335">
        <v>46196</v>
      </c>
      <c r="AC710" s="257" t="s">
        <v>1333</v>
      </c>
      <c r="AD710" s="257" t="s">
        <v>1228</v>
      </c>
      <c r="AE710" s="220" t="s">
        <v>510</v>
      </c>
      <c r="AF710" s="257" t="s">
        <v>1228</v>
      </c>
      <c r="AG710" s="257" t="s">
        <v>341</v>
      </c>
      <c r="AH710" s="257" t="s">
        <v>1133</v>
      </c>
      <c r="AI710" s="257" t="s">
        <v>1228</v>
      </c>
      <c r="AJ710" s="257" t="s">
        <v>1133</v>
      </c>
      <c r="AK710" s="257" t="s">
        <v>1133</v>
      </c>
      <c r="AL710" s="257"/>
      <c r="AM710" s="257" t="s">
        <v>1334</v>
      </c>
      <c r="AN710" s="268" t="s">
        <v>1343</v>
      </c>
      <c r="AO710" s="215">
        <v>1.57</v>
      </c>
      <c r="AP710" s="216">
        <f t="shared" ref="AP710:AP726" si="156">J710*AO710</f>
        <v>9891</v>
      </c>
      <c r="AQ710" s="216">
        <f t="shared" ref="AQ710:AQ759" si="157">AP710*7.75</f>
        <v>76655.25</v>
      </c>
      <c r="AR710" s="224">
        <v>61479</v>
      </c>
      <c r="AS710" s="330">
        <v>46241</v>
      </c>
      <c r="AT710" s="208" t="s">
        <v>1310</v>
      </c>
      <c r="AU710" s="253">
        <f>3150+1200+2700</f>
        <v>7050</v>
      </c>
      <c r="AV710" s="252">
        <f t="shared" si="154"/>
        <v>750</v>
      </c>
      <c r="AW710" s="333" t="s">
        <v>1228</v>
      </c>
      <c r="AX710" s="256"/>
      <c r="AY710" s="208"/>
      <c r="AZ710" s="208"/>
      <c r="BA710" s="208"/>
      <c r="BB710" s="208" t="str">
        <f t="shared" ref="BB710:BB746" si="158">D710</f>
        <v>Amazon</v>
      </c>
      <c r="BC710" s="208" t="str">
        <f t="shared" si="152"/>
        <v>美国AWD</v>
      </c>
    </row>
    <row r="711" s="194" customFormat="1" customHeight="1" spans="1:55">
      <c r="A711" s="208">
        <v>46162</v>
      </c>
      <c r="B711" s="208" t="str">
        <f ca="1" t="shared" si="155"/>
        <v/>
      </c>
      <c r="C711" s="211" t="str">
        <f>VLOOKUP(H711,名称!A:E,4,0)</f>
        <v>三代</v>
      </c>
      <c r="D711" s="220" t="s">
        <v>1366</v>
      </c>
      <c r="E711" s="220" t="s">
        <v>1224</v>
      </c>
      <c r="F711" s="220">
        <v>10520514497</v>
      </c>
      <c r="G711" s="220" t="s">
        <v>872</v>
      </c>
      <c r="H711" s="211" t="s">
        <v>126</v>
      </c>
      <c r="I711" s="211"/>
      <c r="J711" s="270">
        <v>1680</v>
      </c>
      <c r="K711" s="223">
        <f>VLOOKUP(H711,名称!A:C,2,0)</f>
        <v>50</v>
      </c>
      <c r="L711" s="212">
        <f>J711*K711</f>
        <v>84000</v>
      </c>
      <c r="M711" s="257">
        <f>VLOOKUP(H711,名称!A:E,3,0)</f>
        <v>40</v>
      </c>
      <c r="N711" s="259">
        <f>J711/M711</f>
        <v>42</v>
      </c>
      <c r="O711" s="271">
        <v>46204</v>
      </c>
      <c r="P711" s="271">
        <f t="shared" ref="P711:P717" si="159">O711</f>
        <v>46204</v>
      </c>
      <c r="Q711" s="208">
        <v>46210</v>
      </c>
      <c r="R711" s="241" t="s">
        <v>1241</v>
      </c>
      <c r="S711" s="256">
        <v>46210</v>
      </c>
      <c r="T711" s="241" t="s">
        <v>1241</v>
      </c>
      <c r="U711" s="211" t="s">
        <v>1937</v>
      </c>
      <c r="V711" s="213">
        <v>46228</v>
      </c>
      <c r="W711" s="208"/>
      <c r="X711" s="257" t="s">
        <v>1133</v>
      </c>
      <c r="Y711" s="257" t="s">
        <v>1133</v>
      </c>
      <c r="Z711" s="263">
        <v>46167</v>
      </c>
      <c r="AA711" s="264">
        <v>46182</v>
      </c>
      <c r="AB711" s="214">
        <v>46182</v>
      </c>
      <c r="AC711" s="257" t="s">
        <v>1133</v>
      </c>
      <c r="AD711" s="257" t="s">
        <v>1133</v>
      </c>
      <c r="AE711" s="211" t="s">
        <v>584</v>
      </c>
      <c r="AF711" s="257" t="s">
        <v>1228</v>
      </c>
      <c r="AG711" s="257" t="s">
        <v>584</v>
      </c>
      <c r="AH711" s="257" t="s">
        <v>1133</v>
      </c>
      <c r="AI711" s="257" t="s">
        <v>1228</v>
      </c>
      <c r="AJ711" s="257" t="s">
        <v>1133</v>
      </c>
      <c r="AK711" s="257" t="s">
        <v>1356</v>
      </c>
      <c r="AL711" s="257"/>
      <c r="AM711" s="267" t="s">
        <v>1367</v>
      </c>
      <c r="AN711" s="212" t="s">
        <v>1368</v>
      </c>
      <c r="AO711" s="215">
        <v>11.31</v>
      </c>
      <c r="AP711" s="216">
        <f t="shared" si="156"/>
        <v>19000.8</v>
      </c>
      <c r="AQ711" s="216">
        <f t="shared" si="157"/>
        <v>147256.2</v>
      </c>
      <c r="AR711" s="224">
        <v>61480</v>
      </c>
      <c r="AS711" s="330">
        <v>46241</v>
      </c>
      <c r="AT711" s="273" t="s">
        <v>1220</v>
      </c>
      <c r="AU711" s="252"/>
      <c r="AV711" s="252">
        <f t="shared" si="154"/>
        <v>-1680</v>
      </c>
      <c r="AW711" s="331"/>
      <c r="AX711" s="256"/>
      <c r="AY711" s="208" t="s">
        <v>1255</v>
      </c>
      <c r="AZ711" s="208" t="s">
        <v>1256</v>
      </c>
      <c r="BA711" s="208"/>
      <c r="BB711" s="208" t="str">
        <f t="shared" si="158"/>
        <v>JAZWARES - COSTCO</v>
      </c>
      <c r="BC711" s="208" t="str">
        <f t="shared" si="152"/>
        <v>美国</v>
      </c>
    </row>
    <row r="712" s="194" customFormat="1" customHeight="1" spans="1:55">
      <c r="A712" s="208">
        <v>46115</v>
      </c>
      <c r="B712" s="208" t="str">
        <f ca="1" t="shared" si="155"/>
        <v/>
      </c>
      <c r="C712" s="211" t="str">
        <f>VLOOKUP(H712,名称!A:E,4,0)</f>
        <v>三代</v>
      </c>
      <c r="D712" s="210" t="s">
        <v>1257</v>
      </c>
      <c r="E712" s="210" t="s">
        <v>1258</v>
      </c>
      <c r="F712" s="211" t="s">
        <v>619</v>
      </c>
      <c r="G712" s="211" t="s">
        <v>620</v>
      </c>
      <c r="H712" s="211" t="s">
        <v>117</v>
      </c>
      <c r="I712" s="211"/>
      <c r="J712" s="212">
        <v>5400</v>
      </c>
      <c r="K712" s="223">
        <f>VLOOKUP(H712,名称!A:C,2,0)</f>
        <v>50</v>
      </c>
      <c r="L712" s="212">
        <f>J712*K712</f>
        <v>270000</v>
      </c>
      <c r="M712" s="211">
        <f>VLOOKUP(H712,名称!A:E,3,0)</f>
        <v>2</v>
      </c>
      <c r="N712" s="212">
        <f>J712/M712</f>
        <v>2700</v>
      </c>
      <c r="O712" s="208">
        <v>46219</v>
      </c>
      <c r="P712" s="256">
        <f t="shared" si="159"/>
        <v>46219</v>
      </c>
      <c r="Q712" s="256">
        <v>46234</v>
      </c>
      <c r="R712" s="241" t="s">
        <v>1241</v>
      </c>
      <c r="S712" s="256">
        <v>46234</v>
      </c>
      <c r="T712" s="267" t="s">
        <v>1241</v>
      </c>
      <c r="U712" s="211"/>
      <c r="V712" s="263">
        <v>46238</v>
      </c>
      <c r="W712" s="208"/>
      <c r="X712" s="257" t="s">
        <v>1133</v>
      </c>
      <c r="Y712" s="257" t="s">
        <v>1133</v>
      </c>
      <c r="Z712" s="263">
        <v>46163</v>
      </c>
      <c r="AA712" s="264">
        <v>46165</v>
      </c>
      <c r="AB712" s="264">
        <v>46170</v>
      </c>
      <c r="AC712" s="257" t="s">
        <v>1133</v>
      </c>
      <c r="AD712" s="257" t="s">
        <v>1133</v>
      </c>
      <c r="AE712" s="211" t="s">
        <v>334</v>
      </c>
      <c r="AF712" s="257" t="s">
        <v>1228</v>
      </c>
      <c r="AG712" s="257" t="s">
        <v>334</v>
      </c>
      <c r="AH712" s="257" t="s">
        <v>1133</v>
      </c>
      <c r="AI712" s="257" t="s">
        <v>1228</v>
      </c>
      <c r="AJ712" s="257" t="s">
        <v>1133</v>
      </c>
      <c r="AK712" s="211" t="s">
        <v>1356</v>
      </c>
      <c r="AL712" s="267" t="s">
        <v>1228</v>
      </c>
      <c r="AM712" s="257" t="s">
        <v>1938</v>
      </c>
      <c r="AN712" s="220" t="s">
        <v>1261</v>
      </c>
      <c r="AO712" s="215">
        <v>8.45</v>
      </c>
      <c r="AP712" s="216">
        <f t="shared" si="156"/>
        <v>45630</v>
      </c>
      <c r="AQ712" s="216">
        <f t="shared" si="157"/>
        <v>353632.5</v>
      </c>
      <c r="AR712" s="224">
        <v>61481</v>
      </c>
      <c r="AS712" s="330">
        <v>46241</v>
      </c>
      <c r="AT712" s="273" t="s">
        <v>1220</v>
      </c>
      <c r="AU712" s="253"/>
      <c r="AV712" s="252">
        <f t="shared" si="154"/>
        <v>-5400</v>
      </c>
      <c r="AW712" s="252"/>
      <c r="AX712" s="256"/>
      <c r="AY712" s="208"/>
      <c r="AZ712" s="208"/>
      <c r="BA712" s="208"/>
      <c r="BB712" s="208" t="str">
        <f t="shared" si="158"/>
        <v>Character Options</v>
      </c>
      <c r="BC712" s="208" t="str">
        <f t="shared" si="152"/>
        <v>英国</v>
      </c>
    </row>
    <row r="713" s="194" customFormat="1" customHeight="1" spans="1:55">
      <c r="A713" s="208">
        <v>46169</v>
      </c>
      <c r="B713" s="208" t="str">
        <f ca="1" t="shared" si="155"/>
        <v/>
      </c>
      <c r="C713" s="211" t="str">
        <f>VLOOKUP(H713,名称!A:E,4,0)</f>
        <v>三代</v>
      </c>
      <c r="D713" s="220" t="s">
        <v>1420</v>
      </c>
      <c r="E713" s="220" t="s">
        <v>1421</v>
      </c>
      <c r="F713" s="220" t="s">
        <v>889</v>
      </c>
      <c r="G713" s="220" t="s">
        <v>890</v>
      </c>
      <c r="H713" s="220" t="s">
        <v>71</v>
      </c>
      <c r="I713" s="211"/>
      <c r="J713" s="270">
        <v>800</v>
      </c>
      <c r="K713" s="223">
        <f>VLOOKUP(H713,名称!A:C,2,0)</f>
        <v>50</v>
      </c>
      <c r="L713" s="212">
        <f>J713*K713</f>
        <v>40000</v>
      </c>
      <c r="M713" s="257">
        <f>VLOOKUP(H713,名称!A:E,3,0)</f>
        <v>4</v>
      </c>
      <c r="N713" s="259">
        <f>J713/M713</f>
        <v>200</v>
      </c>
      <c r="O713" s="271">
        <v>46230</v>
      </c>
      <c r="P713" s="271">
        <f t="shared" si="159"/>
        <v>46230</v>
      </c>
      <c r="Q713" s="271">
        <f>P713</f>
        <v>46230</v>
      </c>
      <c r="R713" s="241"/>
      <c r="S713" s="256" t="s">
        <v>1133</v>
      </c>
      <c r="T713" s="211"/>
      <c r="U713" s="211"/>
      <c r="V713" s="213">
        <v>46237</v>
      </c>
      <c r="W713" s="208"/>
      <c r="X713" s="257" t="s">
        <v>1248</v>
      </c>
      <c r="Y713" s="263">
        <v>46195</v>
      </c>
      <c r="Z713" s="257" t="s">
        <v>1249</v>
      </c>
      <c r="AA713" s="264">
        <v>46183</v>
      </c>
      <c r="AB713" s="213">
        <v>46195</v>
      </c>
      <c r="AC713" s="257" t="s">
        <v>1308</v>
      </c>
      <c r="AD713" s="257" t="s">
        <v>1228</v>
      </c>
      <c r="AE713" s="220" t="s">
        <v>510</v>
      </c>
      <c r="AF713" s="257" t="s">
        <v>1228</v>
      </c>
      <c r="AG713" s="257" t="s">
        <v>510</v>
      </c>
      <c r="AH713" s="257" t="s">
        <v>1307</v>
      </c>
      <c r="AI713" s="257" t="s">
        <v>1228</v>
      </c>
      <c r="AJ713" s="257" t="s">
        <v>510</v>
      </c>
      <c r="AK713" s="257" t="s">
        <v>1133</v>
      </c>
      <c r="AL713" s="257"/>
      <c r="AM713" s="267" t="s">
        <v>1292</v>
      </c>
      <c r="AN713" s="257" t="s">
        <v>1251</v>
      </c>
      <c r="AO713" s="215">
        <v>7.34</v>
      </c>
      <c r="AP713" s="216">
        <f t="shared" si="156"/>
        <v>5872</v>
      </c>
      <c r="AQ713" s="216">
        <f t="shared" si="157"/>
        <v>45508</v>
      </c>
      <c r="AR713" s="224" t="s">
        <v>1939</v>
      </c>
      <c r="AS713" s="330">
        <v>46241</v>
      </c>
      <c r="AT713" s="208" t="s">
        <v>1220</v>
      </c>
      <c r="AU713" s="252"/>
      <c r="AV713" s="252">
        <f t="shared" si="154"/>
        <v>-800</v>
      </c>
      <c r="AW713" s="333" t="s">
        <v>1228</v>
      </c>
      <c r="AX713" s="256"/>
      <c r="AY713" s="208" t="s">
        <v>1317</v>
      </c>
      <c r="AZ713" s="208" t="s">
        <v>1256</v>
      </c>
      <c r="BA713" s="208"/>
      <c r="BB713" s="208" t="str">
        <f t="shared" si="158"/>
        <v>Banter Toys</v>
      </c>
      <c r="BC713" s="208" t="str">
        <f t="shared" si="152"/>
        <v>澳大利亚</v>
      </c>
    </row>
    <row r="714" s="194" customFormat="1" customHeight="1" spans="1:55">
      <c r="A714" s="208">
        <v>46169</v>
      </c>
      <c r="B714" s="208" t="str">
        <f ca="1" t="shared" si="155"/>
        <v/>
      </c>
      <c r="C714" s="211" t="str">
        <f>VLOOKUP(H714,名称!A:E,4,0)</f>
        <v>三代</v>
      </c>
      <c r="D714" s="220" t="s">
        <v>1420</v>
      </c>
      <c r="E714" s="220" t="s">
        <v>1421</v>
      </c>
      <c r="F714" s="220" t="s">
        <v>889</v>
      </c>
      <c r="G714" s="220" t="s">
        <v>890</v>
      </c>
      <c r="H714" s="220" t="s">
        <v>108</v>
      </c>
      <c r="I714" s="211"/>
      <c r="J714" s="270">
        <v>800</v>
      </c>
      <c r="K714" s="223">
        <f>VLOOKUP(H714,名称!A:C,2,0)</f>
        <v>50</v>
      </c>
      <c r="L714" s="212">
        <f>J714*K714</f>
        <v>40000</v>
      </c>
      <c r="M714" s="257">
        <f>VLOOKUP(H714,名称!A:E,3,0)</f>
        <v>4</v>
      </c>
      <c r="N714" s="259">
        <f>J714/M714</f>
        <v>200</v>
      </c>
      <c r="O714" s="271">
        <v>46230</v>
      </c>
      <c r="P714" s="271">
        <f t="shared" si="159"/>
        <v>46230</v>
      </c>
      <c r="Q714" s="271">
        <f>P714</f>
        <v>46230</v>
      </c>
      <c r="R714" s="241" t="s">
        <v>1241</v>
      </c>
      <c r="S714" s="256" t="s">
        <v>1133</v>
      </c>
      <c r="T714" s="211"/>
      <c r="U714" s="211"/>
      <c r="V714" s="263">
        <v>46237</v>
      </c>
      <c r="W714" s="208"/>
      <c r="X714" s="257" t="s">
        <v>1248</v>
      </c>
      <c r="Y714" s="263">
        <v>46195</v>
      </c>
      <c r="Z714" s="257" t="s">
        <v>1249</v>
      </c>
      <c r="AA714" s="264">
        <v>46183</v>
      </c>
      <c r="AB714" s="263">
        <v>46195</v>
      </c>
      <c r="AC714" s="257" t="s">
        <v>1308</v>
      </c>
      <c r="AD714" s="257" t="s">
        <v>1228</v>
      </c>
      <c r="AE714" s="220" t="s">
        <v>510</v>
      </c>
      <c r="AF714" s="257" t="s">
        <v>1228</v>
      </c>
      <c r="AG714" s="257" t="s">
        <v>510</v>
      </c>
      <c r="AH714" s="257" t="s">
        <v>1307</v>
      </c>
      <c r="AI714" s="257" t="s">
        <v>1228</v>
      </c>
      <c r="AJ714" s="257" t="s">
        <v>510</v>
      </c>
      <c r="AK714" s="257" t="s">
        <v>1133</v>
      </c>
      <c r="AL714" s="257"/>
      <c r="AM714" s="267" t="s">
        <v>1293</v>
      </c>
      <c r="AN714" s="257" t="s">
        <v>1251</v>
      </c>
      <c r="AO714" s="215">
        <v>7.62</v>
      </c>
      <c r="AP714" s="216">
        <f t="shared" si="156"/>
        <v>6096</v>
      </c>
      <c r="AQ714" s="216">
        <f t="shared" si="157"/>
        <v>47244</v>
      </c>
      <c r="AR714" s="224" t="s">
        <v>1939</v>
      </c>
      <c r="AS714" s="330">
        <v>46241</v>
      </c>
      <c r="AT714" s="273" t="s">
        <v>1220</v>
      </c>
      <c r="AU714" s="252"/>
      <c r="AV714" s="252">
        <f t="shared" si="154"/>
        <v>-800</v>
      </c>
      <c r="AW714" s="333" t="s">
        <v>1228</v>
      </c>
      <c r="AX714" s="256"/>
      <c r="AY714" s="208" t="s">
        <v>1317</v>
      </c>
      <c r="AZ714" s="208" t="s">
        <v>1256</v>
      </c>
      <c r="BA714" s="208"/>
      <c r="BB714" s="273" t="str">
        <f t="shared" si="158"/>
        <v>Banter Toys</v>
      </c>
      <c r="BC714" s="273" t="str">
        <f t="shared" si="152"/>
        <v>澳大利亚</v>
      </c>
    </row>
    <row r="715" s="194" customFormat="1" customHeight="1" spans="1:55">
      <c r="A715" s="208">
        <v>46050</v>
      </c>
      <c r="B715" s="208" t="str">
        <f ca="1" t="shared" si="155"/>
        <v/>
      </c>
      <c r="C715" s="211" t="str">
        <f>VLOOKUP(H715,名称!A:E,4,0)</f>
        <v>三代</v>
      </c>
      <c r="D715" s="210" t="s">
        <v>1276</v>
      </c>
      <c r="E715" s="210" t="s">
        <v>1224</v>
      </c>
      <c r="F715" s="211" t="s">
        <v>479</v>
      </c>
      <c r="G715" s="211" t="s">
        <v>480</v>
      </c>
      <c r="H715" s="211" t="s">
        <v>94</v>
      </c>
      <c r="I715" s="211"/>
      <c r="J715" s="212">
        <v>4296</v>
      </c>
      <c r="K715" s="223">
        <f>VLOOKUP(H715,名称!A:C,2,0)</f>
        <v>5</v>
      </c>
      <c r="L715" s="212">
        <f t="shared" ref="L715:L730" si="160">J715*K715</f>
        <v>21480</v>
      </c>
      <c r="M715" s="211">
        <f>VLOOKUP(H715,名称!A:E,3,0)</f>
        <v>24</v>
      </c>
      <c r="N715" s="212">
        <f t="shared" ref="N715:N733" si="161">J715/M715</f>
        <v>179</v>
      </c>
      <c r="O715" s="208">
        <v>46212</v>
      </c>
      <c r="P715" s="208">
        <f t="shared" si="159"/>
        <v>46212</v>
      </c>
      <c r="Q715" s="208">
        <v>46211</v>
      </c>
      <c r="R715" s="241" t="s">
        <v>1241</v>
      </c>
      <c r="S715" s="208">
        <v>46217</v>
      </c>
      <c r="T715" s="241" t="s">
        <v>1241</v>
      </c>
      <c r="U715" s="211"/>
      <c r="V715" s="213">
        <v>46240</v>
      </c>
      <c r="W715" s="212" t="str">
        <f>IFERROR(VLOOKUP(H715,名称!A:F,6,0),"")</f>
        <v>湖南</v>
      </c>
      <c r="X715" s="211" t="s">
        <v>1133</v>
      </c>
      <c r="Y715" s="211" t="s">
        <v>1133</v>
      </c>
      <c r="Z715" s="213">
        <v>46133</v>
      </c>
      <c r="AA715" s="214">
        <v>46142</v>
      </c>
      <c r="AB715" s="214">
        <v>46148</v>
      </c>
      <c r="AC715" s="257" t="s">
        <v>1133</v>
      </c>
      <c r="AD715" s="257" t="s">
        <v>1133</v>
      </c>
      <c r="AE715" s="211" t="s">
        <v>270</v>
      </c>
      <c r="AF715" s="257" t="s">
        <v>1228</v>
      </c>
      <c r="AG715" s="257" t="s">
        <v>270</v>
      </c>
      <c r="AH715" s="257" t="s">
        <v>1133</v>
      </c>
      <c r="AI715" s="257" t="s">
        <v>1228</v>
      </c>
      <c r="AJ715" s="257" t="s">
        <v>1133</v>
      </c>
      <c r="AK715" s="211" t="s">
        <v>270</v>
      </c>
      <c r="AL715" s="257"/>
      <c r="AM715" s="211" t="s">
        <v>1290</v>
      </c>
      <c r="AN715" s="212"/>
      <c r="AO715" s="215">
        <v>0.62</v>
      </c>
      <c r="AP715" s="216">
        <f t="shared" si="156"/>
        <v>2663.52</v>
      </c>
      <c r="AQ715" s="216">
        <f t="shared" si="157"/>
        <v>20642.28</v>
      </c>
      <c r="AR715" s="224">
        <v>61496</v>
      </c>
      <c r="AS715" s="330">
        <v>46242</v>
      </c>
      <c r="AT715" s="208" t="s">
        <v>1220</v>
      </c>
      <c r="AU715" s="251">
        <v>4296</v>
      </c>
      <c r="AV715" s="252">
        <f t="shared" si="154"/>
        <v>0</v>
      </c>
      <c r="AW715" s="252"/>
      <c r="AX715" s="208" t="s">
        <v>1280</v>
      </c>
      <c r="AY715" s="208"/>
      <c r="AZ715" s="274" t="s">
        <v>1256</v>
      </c>
      <c r="BA715" s="208"/>
      <c r="BB715" s="208" t="str">
        <f t="shared" si="158"/>
        <v>Jazwares- TARGET US DOM</v>
      </c>
      <c r="BC715" s="208" t="str">
        <f t="shared" ref="BC715:BC733" si="162">E715</f>
        <v>美国</v>
      </c>
    </row>
    <row r="716" s="194" customFormat="1" customHeight="1" spans="1:55">
      <c r="A716" s="208">
        <v>46113</v>
      </c>
      <c r="B716" s="208" t="str">
        <f ca="1" t="shared" si="155"/>
        <v/>
      </c>
      <c r="C716" s="211" t="str">
        <f>VLOOKUP(H716,名称!A:E,4,0)</f>
        <v>三代</v>
      </c>
      <c r="D716" s="210" t="s">
        <v>1276</v>
      </c>
      <c r="E716" s="210" t="s">
        <v>1224</v>
      </c>
      <c r="F716" s="211" t="s">
        <v>589</v>
      </c>
      <c r="G716" s="211" t="s">
        <v>590</v>
      </c>
      <c r="H716" s="211" t="s">
        <v>59</v>
      </c>
      <c r="I716" s="211"/>
      <c r="J716" s="212">
        <v>20016</v>
      </c>
      <c r="K716" s="223">
        <f>VLOOKUP(H716,名称!A:C,2,0)</f>
        <v>5</v>
      </c>
      <c r="L716" s="212">
        <f t="shared" si="160"/>
        <v>100080</v>
      </c>
      <c r="M716" s="211">
        <f>VLOOKUP(H716,名称!A:E,3,0)</f>
        <v>24</v>
      </c>
      <c r="N716" s="212">
        <f t="shared" si="161"/>
        <v>834</v>
      </c>
      <c r="O716" s="208">
        <v>46212</v>
      </c>
      <c r="P716" s="256">
        <f t="shared" si="159"/>
        <v>46212</v>
      </c>
      <c r="Q716" s="256">
        <v>46216</v>
      </c>
      <c r="R716" s="241" t="s">
        <v>1241</v>
      </c>
      <c r="S716" s="256">
        <v>46223</v>
      </c>
      <c r="T716" s="267" t="s">
        <v>1241</v>
      </c>
      <c r="U716" s="211"/>
      <c r="V716" s="263">
        <v>46240</v>
      </c>
      <c r="W716" s="212" t="str">
        <f>IFERROR(VLOOKUP(H716,名称!A:F,6,0),"")</f>
        <v>湖南</v>
      </c>
      <c r="X716" s="211" t="s">
        <v>1133</v>
      </c>
      <c r="Y716" s="211" t="s">
        <v>1133</v>
      </c>
      <c r="Z716" s="263">
        <v>46133</v>
      </c>
      <c r="AA716" s="264">
        <v>46142</v>
      </c>
      <c r="AB716" s="264">
        <v>46148</v>
      </c>
      <c r="AC716" s="257" t="s">
        <v>1133</v>
      </c>
      <c r="AD716" s="257" t="s">
        <v>1133</v>
      </c>
      <c r="AE716" s="211" t="s">
        <v>270</v>
      </c>
      <c r="AF716" s="257" t="s">
        <v>1228</v>
      </c>
      <c r="AG716" s="257" t="s">
        <v>270</v>
      </c>
      <c r="AH716" s="257" t="s">
        <v>1133</v>
      </c>
      <c r="AI716" s="257" t="s">
        <v>1228</v>
      </c>
      <c r="AJ716" s="257" t="s">
        <v>1133</v>
      </c>
      <c r="AK716" s="211" t="s">
        <v>270</v>
      </c>
      <c r="AL716" s="257"/>
      <c r="AM716" s="257" t="s">
        <v>1290</v>
      </c>
      <c r="AN716" s="212"/>
      <c r="AO716" s="215">
        <v>0.62</v>
      </c>
      <c r="AP716" s="216">
        <f t="shared" si="156"/>
        <v>12409.92</v>
      </c>
      <c r="AQ716" s="216">
        <f t="shared" si="157"/>
        <v>96176.88</v>
      </c>
      <c r="AR716" s="224">
        <v>61497</v>
      </c>
      <c r="AS716" s="330">
        <v>46242</v>
      </c>
      <c r="AT716" s="208" t="s">
        <v>1220</v>
      </c>
      <c r="AU716" s="253">
        <f>19992+24</f>
        <v>20016</v>
      </c>
      <c r="AV716" s="252">
        <f t="shared" si="154"/>
        <v>0</v>
      </c>
      <c r="AW716" s="252"/>
      <c r="AX716" s="256" t="s">
        <v>1280</v>
      </c>
      <c r="AY716" s="208"/>
      <c r="AZ716" s="274" t="s">
        <v>1256</v>
      </c>
      <c r="BA716" s="208"/>
      <c r="BB716" s="208" t="str">
        <f t="shared" si="158"/>
        <v>Jazwares- TARGET US DOM</v>
      </c>
      <c r="BC716" s="208" t="str">
        <f t="shared" si="162"/>
        <v>美国</v>
      </c>
    </row>
    <row r="717" s="194" customFormat="1" customHeight="1" spans="1:55">
      <c r="A717" s="208">
        <v>46113</v>
      </c>
      <c r="B717" s="208" t="str">
        <f ca="1" t="shared" si="155"/>
        <v/>
      </c>
      <c r="C717" s="211" t="str">
        <f>VLOOKUP(H717,名称!A:E,4,0)</f>
        <v>三代</v>
      </c>
      <c r="D717" s="210" t="s">
        <v>1276</v>
      </c>
      <c r="E717" s="210" t="s">
        <v>1224</v>
      </c>
      <c r="F717" s="211" t="s">
        <v>603</v>
      </c>
      <c r="G717" s="211" t="s">
        <v>604</v>
      </c>
      <c r="H717" s="211" t="s">
        <v>94</v>
      </c>
      <c r="I717" s="211"/>
      <c r="J717" s="212">
        <v>20016</v>
      </c>
      <c r="K717" s="223">
        <f>VLOOKUP(H717,名称!A:C,2,0)</f>
        <v>5</v>
      </c>
      <c r="L717" s="212">
        <f t="shared" si="160"/>
        <v>100080</v>
      </c>
      <c r="M717" s="211">
        <f>VLOOKUP(H717,名称!A:E,3,0)</f>
        <v>24</v>
      </c>
      <c r="N717" s="212">
        <f t="shared" si="161"/>
        <v>834</v>
      </c>
      <c r="O717" s="208">
        <v>46198</v>
      </c>
      <c r="P717" s="256">
        <f t="shared" si="159"/>
        <v>46198</v>
      </c>
      <c r="Q717" s="256">
        <v>46200</v>
      </c>
      <c r="R717" s="241" t="s">
        <v>1241</v>
      </c>
      <c r="S717" s="256">
        <v>46220</v>
      </c>
      <c r="T717" s="335" t="s">
        <v>1282</v>
      </c>
      <c r="U717" s="211"/>
      <c r="V717" s="263">
        <v>46240</v>
      </c>
      <c r="W717" s="212" t="str">
        <f>IFERROR(VLOOKUP(H717,名称!A:F,6,0),"")</f>
        <v>湖南</v>
      </c>
      <c r="X717" s="211" t="s">
        <v>1133</v>
      </c>
      <c r="Y717" s="211" t="s">
        <v>1133</v>
      </c>
      <c r="Z717" s="263">
        <v>46133</v>
      </c>
      <c r="AA717" s="264">
        <v>46142</v>
      </c>
      <c r="AB717" s="263">
        <v>46148</v>
      </c>
      <c r="AC717" s="257" t="s">
        <v>1133</v>
      </c>
      <c r="AD717" s="257" t="s">
        <v>1133</v>
      </c>
      <c r="AE717" s="211" t="s">
        <v>270</v>
      </c>
      <c r="AF717" s="257" t="s">
        <v>1228</v>
      </c>
      <c r="AG717" s="257" t="s">
        <v>270</v>
      </c>
      <c r="AH717" s="257" t="s">
        <v>1133</v>
      </c>
      <c r="AI717" s="257" t="s">
        <v>1228</v>
      </c>
      <c r="AJ717" s="257" t="s">
        <v>1133</v>
      </c>
      <c r="AK717" s="211" t="s">
        <v>270</v>
      </c>
      <c r="AL717" s="257"/>
      <c r="AM717" s="257" t="s">
        <v>1290</v>
      </c>
      <c r="AN717" s="212"/>
      <c r="AO717" s="215">
        <v>0.62</v>
      </c>
      <c r="AP717" s="216">
        <f t="shared" si="156"/>
        <v>12409.92</v>
      </c>
      <c r="AQ717" s="216">
        <f t="shared" si="157"/>
        <v>96176.88</v>
      </c>
      <c r="AR717" s="224">
        <v>61498</v>
      </c>
      <c r="AS717" s="330">
        <v>46242</v>
      </c>
      <c r="AT717" s="208" t="s">
        <v>1220</v>
      </c>
      <c r="AU717" s="253">
        <v>20016</v>
      </c>
      <c r="AV717" s="252">
        <f t="shared" si="154"/>
        <v>0</v>
      </c>
      <c r="AW717" s="252"/>
      <c r="AX717" s="256" t="s">
        <v>1280</v>
      </c>
      <c r="AY717" s="208"/>
      <c r="AZ717" s="274" t="s">
        <v>1256</v>
      </c>
      <c r="BA717" s="208"/>
      <c r="BB717" s="208" t="str">
        <f t="shared" si="158"/>
        <v>Jazwares- TARGET US DOM</v>
      </c>
      <c r="BC717" s="208" t="str">
        <f t="shared" si="162"/>
        <v>美国</v>
      </c>
    </row>
    <row r="718" s="194" customFormat="1" customHeight="1" spans="1:55">
      <c r="A718" s="208">
        <v>46079</v>
      </c>
      <c r="B718" s="208" t="str">
        <f ca="1" t="shared" si="155"/>
        <v/>
      </c>
      <c r="C718" s="211" t="str">
        <f>VLOOKUP(H718,名称!A:E,4,0)</f>
        <v>三代</v>
      </c>
      <c r="D718" s="210" t="s">
        <v>1281</v>
      </c>
      <c r="E718" s="210" t="s">
        <v>1224</v>
      </c>
      <c r="F718" s="211" t="s">
        <v>520</v>
      </c>
      <c r="G718" s="211" t="s">
        <v>521</v>
      </c>
      <c r="H718" s="211" t="s">
        <v>83</v>
      </c>
      <c r="I718" s="211"/>
      <c r="J718" s="212">
        <v>720</v>
      </c>
      <c r="K718" s="223">
        <f>VLOOKUP(H718,名称!A:C,2,0)</f>
        <v>5</v>
      </c>
      <c r="L718" s="212">
        <f t="shared" si="160"/>
        <v>3600</v>
      </c>
      <c r="M718" s="211">
        <f>VLOOKUP(H718,名称!A:E,3,0)</f>
        <v>12</v>
      </c>
      <c r="N718" s="212">
        <f t="shared" si="161"/>
        <v>60</v>
      </c>
      <c r="O718" s="208">
        <v>46183</v>
      </c>
      <c r="P718" s="208">
        <v>46183</v>
      </c>
      <c r="Q718" s="256">
        <v>46188</v>
      </c>
      <c r="R718" s="241" t="s">
        <v>1241</v>
      </c>
      <c r="S718" s="256">
        <v>46191</v>
      </c>
      <c r="T718" s="267" t="s">
        <v>1241</v>
      </c>
      <c r="U718" s="211"/>
      <c r="V718" s="332">
        <v>46240</v>
      </c>
      <c r="W718" s="212" t="str">
        <f>IFERROR(VLOOKUP(H718,名称!A:F,6,0),"")</f>
        <v>湖南</v>
      </c>
      <c r="X718" s="211" t="s">
        <v>1133</v>
      </c>
      <c r="Y718" s="211" t="s">
        <v>1133</v>
      </c>
      <c r="Z718" s="263">
        <v>46090</v>
      </c>
      <c r="AA718" s="264">
        <v>46091</v>
      </c>
      <c r="AB718" s="263">
        <v>46091</v>
      </c>
      <c r="AC718" s="211" t="s">
        <v>1133</v>
      </c>
      <c r="AD718" s="211" t="s">
        <v>1133</v>
      </c>
      <c r="AE718" s="211" t="s">
        <v>270</v>
      </c>
      <c r="AF718" s="211" t="s">
        <v>1228</v>
      </c>
      <c r="AG718" s="211" t="s">
        <v>270</v>
      </c>
      <c r="AH718" s="211" t="s">
        <v>1133</v>
      </c>
      <c r="AI718" s="211" t="s">
        <v>1228</v>
      </c>
      <c r="AJ718" s="211" t="s">
        <v>1133</v>
      </c>
      <c r="AK718" s="211" t="s">
        <v>270</v>
      </c>
      <c r="AL718" s="211"/>
      <c r="AM718" s="257" t="s">
        <v>1289</v>
      </c>
      <c r="AN718" s="212"/>
      <c r="AO718" s="215">
        <v>0.91</v>
      </c>
      <c r="AP718" s="216">
        <f t="shared" si="156"/>
        <v>655.2</v>
      </c>
      <c r="AQ718" s="216">
        <f t="shared" si="157"/>
        <v>5077.8</v>
      </c>
      <c r="AR718" s="224">
        <v>61499</v>
      </c>
      <c r="AS718" s="330">
        <v>46242</v>
      </c>
      <c r="AT718" s="208" t="s">
        <v>1220</v>
      </c>
      <c r="AU718" s="253">
        <f>3864+84</f>
        <v>3948</v>
      </c>
      <c r="AV718" s="252">
        <f t="shared" si="154"/>
        <v>3228</v>
      </c>
      <c r="AW718" s="252"/>
      <c r="AX718" s="208" t="s">
        <v>1280</v>
      </c>
      <c r="AY718" s="208"/>
      <c r="AZ718" s="274" t="s">
        <v>1256</v>
      </c>
      <c r="BA718" s="208"/>
      <c r="BB718" s="208" t="str">
        <f t="shared" si="158"/>
        <v>Jazwares, LLC</v>
      </c>
      <c r="BC718" s="208" t="str">
        <f t="shared" si="162"/>
        <v>美国</v>
      </c>
    </row>
    <row r="719" s="194" customFormat="1" customHeight="1" spans="1:55">
      <c r="A719" s="208">
        <v>46113</v>
      </c>
      <c r="B719" s="208" t="str">
        <f ca="1" t="shared" si="155"/>
        <v/>
      </c>
      <c r="C719" s="211" t="str">
        <f>VLOOKUP(H719,名称!A:E,4,0)</f>
        <v>三代</v>
      </c>
      <c r="D719" s="210" t="s">
        <v>1276</v>
      </c>
      <c r="E719" s="210" t="s">
        <v>1224</v>
      </c>
      <c r="F719" s="211" t="s">
        <v>599</v>
      </c>
      <c r="G719" s="211" t="s">
        <v>600</v>
      </c>
      <c r="H719" s="211" t="s">
        <v>85</v>
      </c>
      <c r="I719" s="211"/>
      <c r="J719" s="212">
        <v>47520</v>
      </c>
      <c r="K719" s="223">
        <f>VLOOKUP(H719,名称!A:C,2,0)</f>
        <v>5</v>
      </c>
      <c r="L719" s="212">
        <f t="shared" si="160"/>
        <v>237600</v>
      </c>
      <c r="M719" s="211">
        <f>VLOOKUP(H719,名称!A:E,3,0)</f>
        <v>24</v>
      </c>
      <c r="N719" s="212">
        <f t="shared" si="161"/>
        <v>1980</v>
      </c>
      <c r="O719" s="208">
        <v>46212</v>
      </c>
      <c r="P719" s="256">
        <f t="shared" ref="P719:P723" si="163">O719</f>
        <v>46212</v>
      </c>
      <c r="Q719" s="256">
        <v>46223</v>
      </c>
      <c r="R719" s="241" t="s">
        <v>1277</v>
      </c>
      <c r="S719" s="256">
        <v>46223</v>
      </c>
      <c r="T719" s="267" t="s">
        <v>1241</v>
      </c>
      <c r="U719" s="211"/>
      <c r="V719" s="263">
        <v>46244</v>
      </c>
      <c r="W719" s="212" t="str">
        <f>IFERROR(VLOOKUP(H719,名称!A:F,6,0),"")</f>
        <v>湖南</v>
      </c>
      <c r="X719" s="257" t="s">
        <v>1133</v>
      </c>
      <c r="Y719" s="257" t="s">
        <v>1133</v>
      </c>
      <c r="Z719" s="263">
        <v>46133</v>
      </c>
      <c r="AA719" s="264">
        <v>46142</v>
      </c>
      <c r="AB719" s="264">
        <v>46148</v>
      </c>
      <c r="AC719" s="257" t="s">
        <v>1133</v>
      </c>
      <c r="AD719" s="257" t="s">
        <v>1133</v>
      </c>
      <c r="AE719" s="211" t="s">
        <v>270</v>
      </c>
      <c r="AF719" s="257" t="s">
        <v>1228</v>
      </c>
      <c r="AG719" s="257" t="s">
        <v>270</v>
      </c>
      <c r="AH719" s="257" t="s">
        <v>1133</v>
      </c>
      <c r="AI719" s="257" t="s">
        <v>1228</v>
      </c>
      <c r="AJ719" s="257" t="s">
        <v>1133</v>
      </c>
      <c r="AK719" s="211" t="s">
        <v>270</v>
      </c>
      <c r="AL719" s="257"/>
      <c r="AM719" s="257" t="s">
        <v>1290</v>
      </c>
      <c r="AN719" s="212"/>
      <c r="AO719" s="215">
        <v>0.88</v>
      </c>
      <c r="AP719" s="216">
        <f t="shared" si="156"/>
        <v>41817.6</v>
      </c>
      <c r="AQ719" s="216">
        <f t="shared" si="157"/>
        <v>324086.4</v>
      </c>
      <c r="AR719" s="224">
        <v>61500</v>
      </c>
      <c r="AS719" s="330">
        <v>46242</v>
      </c>
      <c r="AT719" s="208" t="s">
        <v>1220</v>
      </c>
      <c r="AU719" s="253"/>
      <c r="AV719" s="252">
        <f t="shared" si="154"/>
        <v>-47520</v>
      </c>
      <c r="AW719" s="252"/>
      <c r="AX719" s="256" t="s">
        <v>1280</v>
      </c>
      <c r="AY719" s="208"/>
      <c r="AZ719" s="274" t="s">
        <v>1256</v>
      </c>
      <c r="BA719" s="208"/>
      <c r="BB719" s="208" t="str">
        <f t="shared" si="158"/>
        <v>Jazwares- TARGET US DOM</v>
      </c>
      <c r="BC719" s="208" t="str">
        <f t="shared" si="162"/>
        <v>美国</v>
      </c>
    </row>
    <row r="720" s="194" customFormat="1" customHeight="1" spans="1:55">
      <c r="A720" s="208">
        <v>46139</v>
      </c>
      <c r="B720" s="208" t="str">
        <f ca="1" t="shared" si="155"/>
        <v/>
      </c>
      <c r="C720" s="211" t="str">
        <f>VLOOKUP(H720,名称!A:E,4,0)</f>
        <v>蛋糕</v>
      </c>
      <c r="D720" s="220" t="s">
        <v>1940</v>
      </c>
      <c r="E720" s="220" t="s">
        <v>1224</v>
      </c>
      <c r="F720" s="220" t="s">
        <v>783</v>
      </c>
      <c r="G720" s="220" t="s">
        <v>784</v>
      </c>
      <c r="H720" s="220" t="s">
        <v>50</v>
      </c>
      <c r="I720" s="211"/>
      <c r="J720" s="270">
        <v>24984</v>
      </c>
      <c r="K720" s="223">
        <f>VLOOKUP(H720,名称!A:C,2,0)</f>
        <v>0</v>
      </c>
      <c r="L720" s="212">
        <f t="shared" si="160"/>
        <v>0</v>
      </c>
      <c r="M720" s="211">
        <f>VLOOKUP(H720,名称!A:E,3,0)</f>
        <v>18</v>
      </c>
      <c r="N720" s="212">
        <f t="shared" si="161"/>
        <v>1388</v>
      </c>
      <c r="O720" s="271">
        <v>46172</v>
      </c>
      <c r="P720" s="208">
        <v>46225</v>
      </c>
      <c r="Q720" s="344">
        <v>46237</v>
      </c>
      <c r="R720" s="241" t="s">
        <v>1941</v>
      </c>
      <c r="S720" s="256" t="s">
        <v>1133</v>
      </c>
      <c r="T720" s="211"/>
      <c r="U720" s="213">
        <v>46241</v>
      </c>
      <c r="V720" s="241" t="s">
        <v>1942</v>
      </c>
      <c r="W720" s="241" t="str">
        <f>IFERROR(VLOOKUP(H720,名称!A:F,6,0),"")</f>
        <v>东莞</v>
      </c>
      <c r="X720" s="241" t="s">
        <v>1248</v>
      </c>
      <c r="Y720" s="241" t="s">
        <v>1228</v>
      </c>
      <c r="Z720" s="213">
        <v>46139</v>
      </c>
      <c r="AA720" s="214">
        <v>46154</v>
      </c>
      <c r="AB720" s="214">
        <v>46185</v>
      </c>
      <c r="AC720" s="211" t="s">
        <v>1133</v>
      </c>
      <c r="AD720" s="211" t="s">
        <v>1133</v>
      </c>
      <c r="AE720" s="220" t="s">
        <v>510</v>
      </c>
      <c r="AF720" s="211" t="s">
        <v>1228</v>
      </c>
      <c r="AG720" s="220" t="s">
        <v>510</v>
      </c>
      <c r="AH720" s="211" t="s">
        <v>1133</v>
      </c>
      <c r="AI720" s="211" t="s">
        <v>1228</v>
      </c>
      <c r="AJ720" s="211" t="s">
        <v>1133</v>
      </c>
      <c r="AK720" s="211" t="s">
        <v>1228</v>
      </c>
      <c r="AL720" s="211"/>
      <c r="AM720" s="257" t="s">
        <v>1719</v>
      </c>
      <c r="AN720" s="212" t="s">
        <v>1504</v>
      </c>
      <c r="AO720" s="215">
        <v>1.15</v>
      </c>
      <c r="AP720" s="216">
        <f t="shared" si="156"/>
        <v>28731.6</v>
      </c>
      <c r="AQ720" s="216">
        <f t="shared" si="157"/>
        <v>222669.9</v>
      </c>
      <c r="AR720" s="224">
        <v>61501</v>
      </c>
      <c r="AS720" s="330">
        <v>46242</v>
      </c>
      <c r="AT720" s="208" t="s">
        <v>1254</v>
      </c>
      <c r="AU720" s="208"/>
      <c r="AV720" s="208"/>
      <c r="AW720" s="208"/>
      <c r="AX720" s="208"/>
      <c r="AY720" s="208"/>
      <c r="AZ720" s="208"/>
      <c r="BA720" s="208"/>
      <c r="BB720" s="208" t="str">
        <f t="shared" si="158"/>
        <v>Claire's Essentials</v>
      </c>
      <c r="BC720" s="208" t="str">
        <f t="shared" si="162"/>
        <v>美国</v>
      </c>
    </row>
    <row r="721" s="194" customFormat="1" customHeight="1" spans="1:55">
      <c r="A721" s="208">
        <v>46139</v>
      </c>
      <c r="B721" s="208" t="str">
        <f ca="1" t="shared" si="155"/>
        <v/>
      </c>
      <c r="C721" s="211" t="str">
        <f>VLOOKUP(H721,名称!A:E,4,0)</f>
        <v>三代</v>
      </c>
      <c r="D721" s="220" t="s">
        <v>1940</v>
      </c>
      <c r="E721" s="220" t="s">
        <v>1224</v>
      </c>
      <c r="F721" s="220" t="s">
        <v>783</v>
      </c>
      <c r="G721" s="220" t="s">
        <v>784</v>
      </c>
      <c r="H721" s="220" t="s">
        <v>88</v>
      </c>
      <c r="I721" s="211"/>
      <c r="J721" s="270">
        <v>1992</v>
      </c>
      <c r="K721" s="223">
        <f>VLOOKUP(H721,名称!A:C,2,0)</f>
        <v>5</v>
      </c>
      <c r="L721" s="212">
        <f t="shared" si="160"/>
        <v>9960</v>
      </c>
      <c r="M721" s="211">
        <f>VLOOKUP(H721,名称!A:E,3,0)</f>
        <v>24</v>
      </c>
      <c r="N721" s="212">
        <f t="shared" si="161"/>
        <v>83</v>
      </c>
      <c r="O721" s="208">
        <v>46172</v>
      </c>
      <c r="P721" s="256">
        <v>46225</v>
      </c>
      <c r="Q721" s="256">
        <v>46233</v>
      </c>
      <c r="R721" s="241" t="s">
        <v>1241</v>
      </c>
      <c r="S721" s="256" t="s">
        <v>1133</v>
      </c>
      <c r="T721" s="211"/>
      <c r="U721" s="211"/>
      <c r="V721" s="211" t="s">
        <v>1942</v>
      </c>
      <c r="W721" s="212" t="str">
        <f>IFERROR(VLOOKUP(H721,名称!A:F,6,0),"")</f>
        <v>湖南</v>
      </c>
      <c r="X721" s="267" t="s">
        <v>1248</v>
      </c>
      <c r="Y721" s="267" t="s">
        <v>1228</v>
      </c>
      <c r="Z721" s="263">
        <v>46152</v>
      </c>
      <c r="AA721" s="264">
        <v>46154</v>
      </c>
      <c r="AB721" s="263">
        <v>46185</v>
      </c>
      <c r="AC721" s="257" t="s">
        <v>1133</v>
      </c>
      <c r="AD721" s="257" t="s">
        <v>1133</v>
      </c>
      <c r="AE721" s="220" t="s">
        <v>510</v>
      </c>
      <c r="AF721" s="257" t="s">
        <v>1228</v>
      </c>
      <c r="AG721" s="257" t="s">
        <v>510</v>
      </c>
      <c r="AH721" s="257" t="s">
        <v>1133</v>
      </c>
      <c r="AI721" s="257" t="s">
        <v>1228</v>
      </c>
      <c r="AJ721" s="257" t="s">
        <v>1133</v>
      </c>
      <c r="AK721" s="257" t="s">
        <v>1133</v>
      </c>
      <c r="AL721" s="257"/>
      <c r="AM721" s="257" t="s">
        <v>1719</v>
      </c>
      <c r="AN721" s="220"/>
      <c r="AO721" s="215">
        <v>0.83</v>
      </c>
      <c r="AP721" s="216">
        <f t="shared" si="156"/>
        <v>1653.36</v>
      </c>
      <c r="AQ721" s="216">
        <f t="shared" si="157"/>
        <v>12813.54</v>
      </c>
      <c r="AR721" s="224">
        <v>61501</v>
      </c>
      <c r="AS721" s="330">
        <v>46242</v>
      </c>
      <c r="AT721" s="208" t="s">
        <v>1310</v>
      </c>
      <c r="AU721" s="253"/>
      <c r="AV721" s="252">
        <f t="shared" ref="AV721:AV730" si="164">AU721-J721</f>
        <v>-1992</v>
      </c>
      <c r="AW721" s="252"/>
      <c r="AX721" s="256"/>
      <c r="AY721" s="208" t="s">
        <v>1255</v>
      </c>
      <c r="AZ721" s="208" t="s">
        <v>1256</v>
      </c>
      <c r="BA721" s="208"/>
      <c r="BB721" s="208" t="str">
        <f t="shared" si="158"/>
        <v>Claire's Essentials</v>
      </c>
      <c r="BC721" s="208" t="str">
        <f t="shared" si="162"/>
        <v>美国</v>
      </c>
    </row>
    <row r="722" s="194" customFormat="1" customHeight="1" spans="1:55">
      <c r="A722" s="208">
        <v>46162</v>
      </c>
      <c r="B722" s="208" t="str">
        <f ca="1" t="shared" si="155"/>
        <v/>
      </c>
      <c r="C722" s="211" t="str">
        <f>VLOOKUP(H722,名称!A:E,4,0)</f>
        <v>三代</v>
      </c>
      <c r="D722" s="220" t="s">
        <v>1366</v>
      </c>
      <c r="E722" s="220" t="s">
        <v>1224</v>
      </c>
      <c r="F722" s="220">
        <v>2620514469</v>
      </c>
      <c r="G722" s="220" t="s">
        <v>876</v>
      </c>
      <c r="H722" s="211" t="s">
        <v>126</v>
      </c>
      <c r="I722" s="211"/>
      <c r="J722" s="270">
        <v>1680</v>
      </c>
      <c r="K722" s="223">
        <f>VLOOKUP(H722,名称!A:C,2,0)</f>
        <v>50</v>
      </c>
      <c r="L722" s="212">
        <f t="shared" si="160"/>
        <v>84000</v>
      </c>
      <c r="M722" s="257">
        <f>VLOOKUP(H722,名称!A:E,3,0)</f>
        <v>40</v>
      </c>
      <c r="N722" s="259">
        <f t="shared" si="161"/>
        <v>42</v>
      </c>
      <c r="O722" s="271">
        <v>46224</v>
      </c>
      <c r="P722" s="271">
        <f t="shared" si="163"/>
        <v>46224</v>
      </c>
      <c r="Q722" s="208">
        <v>46225</v>
      </c>
      <c r="R722" s="241" t="s">
        <v>1241</v>
      </c>
      <c r="S722" s="256">
        <v>46225</v>
      </c>
      <c r="T722" s="241" t="s">
        <v>1241</v>
      </c>
      <c r="U722" s="211"/>
      <c r="V722" s="213">
        <v>46240</v>
      </c>
      <c r="W722" s="212" t="str">
        <f>IFERROR(VLOOKUP(H722,名称!A:F,6,0),"")</f>
        <v>东莞</v>
      </c>
      <c r="X722" s="257" t="s">
        <v>1133</v>
      </c>
      <c r="Y722" s="257" t="s">
        <v>1133</v>
      </c>
      <c r="Z722" s="263">
        <v>46167</v>
      </c>
      <c r="AA722" s="264">
        <v>46182</v>
      </c>
      <c r="AB722" s="264">
        <v>46182</v>
      </c>
      <c r="AC722" s="257" t="s">
        <v>1133</v>
      </c>
      <c r="AD722" s="257" t="s">
        <v>1133</v>
      </c>
      <c r="AE722" s="211" t="s">
        <v>584</v>
      </c>
      <c r="AF722" s="257" t="s">
        <v>1228</v>
      </c>
      <c r="AG722" s="257" t="s">
        <v>584</v>
      </c>
      <c r="AH722" s="257" t="s">
        <v>1133</v>
      </c>
      <c r="AI722" s="257" t="s">
        <v>1228</v>
      </c>
      <c r="AJ722" s="257" t="s">
        <v>1133</v>
      </c>
      <c r="AK722" s="257" t="s">
        <v>1356</v>
      </c>
      <c r="AL722" s="257"/>
      <c r="AM722" s="329" t="s">
        <v>1367</v>
      </c>
      <c r="AN722" s="212" t="s">
        <v>1368</v>
      </c>
      <c r="AO722" s="215">
        <v>11.31</v>
      </c>
      <c r="AP722" s="216">
        <f t="shared" si="156"/>
        <v>19000.8</v>
      </c>
      <c r="AQ722" s="216">
        <f t="shared" si="157"/>
        <v>147256.2</v>
      </c>
      <c r="AR722" s="224">
        <v>61502</v>
      </c>
      <c r="AS722" s="330">
        <v>46244</v>
      </c>
      <c r="AT722" s="273" t="s">
        <v>1220</v>
      </c>
      <c r="AU722" s="252"/>
      <c r="AV722" s="252">
        <f t="shared" si="164"/>
        <v>-1680</v>
      </c>
      <c r="AW722" s="331"/>
      <c r="AX722" s="256"/>
      <c r="AY722" s="208" t="s">
        <v>1255</v>
      </c>
      <c r="AZ722" s="208" t="s">
        <v>1256</v>
      </c>
      <c r="BA722" s="208"/>
      <c r="BB722" s="208" t="str">
        <f t="shared" si="158"/>
        <v>JAZWARES - COSTCO</v>
      </c>
      <c r="BC722" s="208" t="str">
        <f t="shared" si="162"/>
        <v>美国</v>
      </c>
    </row>
    <row r="723" s="194" customFormat="1" customHeight="1" spans="1:55">
      <c r="A723" s="208">
        <v>46162</v>
      </c>
      <c r="B723" s="208" t="str">
        <f ca="1" t="shared" si="155"/>
        <v/>
      </c>
      <c r="C723" s="211" t="str">
        <f>VLOOKUP(H723,名称!A:E,4,0)</f>
        <v>三代</v>
      </c>
      <c r="D723" s="220" t="s">
        <v>1366</v>
      </c>
      <c r="E723" s="220" t="s">
        <v>1224</v>
      </c>
      <c r="F723" s="220">
        <v>2620514470</v>
      </c>
      <c r="G723" s="220" t="s">
        <v>858</v>
      </c>
      <c r="H723" s="211" t="s">
        <v>126</v>
      </c>
      <c r="I723" s="211"/>
      <c r="J723" s="270">
        <v>1680</v>
      </c>
      <c r="K723" s="223">
        <f>VLOOKUP(H723,名称!A:C,2,0)</f>
        <v>50</v>
      </c>
      <c r="L723" s="212">
        <f t="shared" si="160"/>
        <v>84000</v>
      </c>
      <c r="M723" s="257">
        <f>VLOOKUP(H723,名称!A:E,3,0)</f>
        <v>40</v>
      </c>
      <c r="N723" s="259">
        <f t="shared" si="161"/>
        <v>42</v>
      </c>
      <c r="O723" s="271">
        <v>46224</v>
      </c>
      <c r="P723" s="271">
        <f t="shared" si="163"/>
        <v>46224</v>
      </c>
      <c r="Q723" s="271">
        <v>46226</v>
      </c>
      <c r="R723" s="241" t="s">
        <v>1291</v>
      </c>
      <c r="S723" s="256">
        <v>46226</v>
      </c>
      <c r="T723" s="241" t="s">
        <v>1241</v>
      </c>
      <c r="U723" s="211"/>
      <c r="V723" s="213">
        <v>46240</v>
      </c>
      <c r="W723" s="212" t="str">
        <f>IFERROR(VLOOKUP(H723,名称!A:F,6,0),"")</f>
        <v>东莞</v>
      </c>
      <c r="X723" s="257" t="s">
        <v>1133</v>
      </c>
      <c r="Y723" s="257" t="s">
        <v>1133</v>
      </c>
      <c r="Z723" s="263">
        <v>46167</v>
      </c>
      <c r="AA723" s="264">
        <v>46182</v>
      </c>
      <c r="AB723" s="264">
        <v>46182</v>
      </c>
      <c r="AC723" s="257" t="s">
        <v>1133</v>
      </c>
      <c r="AD723" s="257" t="s">
        <v>1133</v>
      </c>
      <c r="AE723" s="211" t="s">
        <v>584</v>
      </c>
      <c r="AF723" s="257" t="s">
        <v>1228</v>
      </c>
      <c r="AG723" s="257" t="s">
        <v>584</v>
      </c>
      <c r="AH723" s="257" t="s">
        <v>1133</v>
      </c>
      <c r="AI723" s="257" t="s">
        <v>1228</v>
      </c>
      <c r="AJ723" s="257" t="s">
        <v>1133</v>
      </c>
      <c r="AK723" s="257" t="s">
        <v>1356</v>
      </c>
      <c r="AL723" s="257"/>
      <c r="AM723" s="329" t="s">
        <v>1367</v>
      </c>
      <c r="AN723" s="212" t="s">
        <v>1368</v>
      </c>
      <c r="AO723" s="215">
        <v>11.31</v>
      </c>
      <c r="AP723" s="216">
        <f t="shared" si="156"/>
        <v>19000.8</v>
      </c>
      <c r="AQ723" s="216">
        <f t="shared" si="157"/>
        <v>147256.2</v>
      </c>
      <c r="AR723" s="224">
        <v>61503</v>
      </c>
      <c r="AS723" s="330">
        <v>46244</v>
      </c>
      <c r="AT723" s="273" t="s">
        <v>1220</v>
      </c>
      <c r="AU723" s="252"/>
      <c r="AV723" s="252">
        <f t="shared" si="164"/>
        <v>-1680</v>
      </c>
      <c r="AW723" s="331"/>
      <c r="AX723" s="256"/>
      <c r="AY723" s="208" t="s">
        <v>1255</v>
      </c>
      <c r="AZ723" s="208" t="s">
        <v>1256</v>
      </c>
      <c r="BA723" s="208"/>
      <c r="BB723" s="208" t="str">
        <f t="shared" si="158"/>
        <v>JAZWARES - COSTCO</v>
      </c>
      <c r="BC723" s="208" t="str">
        <f t="shared" si="162"/>
        <v>美国</v>
      </c>
    </row>
    <row r="724" s="194" customFormat="1" customHeight="1" spans="1:55">
      <c r="A724" s="208">
        <v>46139</v>
      </c>
      <c r="B724" s="208" t="str">
        <f ca="1" t="shared" si="155"/>
        <v/>
      </c>
      <c r="C724" s="211" t="str">
        <f>VLOOKUP(H724,名称!A:E,4,0)</f>
        <v>三代</v>
      </c>
      <c r="D724" s="220" t="s">
        <v>1330</v>
      </c>
      <c r="E724" s="220" t="s">
        <v>1344</v>
      </c>
      <c r="F724" s="220" t="s">
        <v>791</v>
      </c>
      <c r="G724" s="220" t="s">
        <v>792</v>
      </c>
      <c r="H724" s="220" t="s">
        <v>168</v>
      </c>
      <c r="I724" s="211"/>
      <c r="J724" s="270">
        <v>17664</v>
      </c>
      <c r="K724" s="223">
        <f>VLOOKUP(H724,名称!A:C,2,0)</f>
        <v>12</v>
      </c>
      <c r="L724" s="212">
        <f t="shared" si="160"/>
        <v>211968</v>
      </c>
      <c r="M724" s="211">
        <v>6</v>
      </c>
      <c r="N724" s="212">
        <f t="shared" si="161"/>
        <v>2944</v>
      </c>
      <c r="O724" s="271">
        <v>46200</v>
      </c>
      <c r="P724" s="256">
        <v>46227</v>
      </c>
      <c r="Q724" s="256">
        <v>46227</v>
      </c>
      <c r="R724" s="241" t="s">
        <v>1241</v>
      </c>
      <c r="S724" s="256" t="s">
        <v>1133</v>
      </c>
      <c r="T724" s="257"/>
      <c r="U724" s="211"/>
      <c r="V724" s="213">
        <v>46230</v>
      </c>
      <c r="W724" s="212" t="str">
        <f>IFERROR(VLOOKUP(H724,名称!A:F,6,0),"")</f>
        <v>东莞</v>
      </c>
      <c r="X724" s="220" t="s">
        <v>1332</v>
      </c>
      <c r="Y724" s="241" t="s">
        <v>1228</v>
      </c>
      <c r="Z724" s="263">
        <v>46163</v>
      </c>
      <c r="AA724" s="264">
        <v>46172</v>
      </c>
      <c r="AB724" s="263">
        <v>46189</v>
      </c>
      <c r="AC724" s="211" t="s">
        <v>1333</v>
      </c>
      <c r="AD724" s="211" t="s">
        <v>1228</v>
      </c>
      <c r="AE724" s="220" t="s">
        <v>510</v>
      </c>
      <c r="AF724" s="211" t="s">
        <v>1228</v>
      </c>
      <c r="AG724" s="257" t="s">
        <v>341</v>
      </c>
      <c r="AH724" s="211" t="s">
        <v>1133</v>
      </c>
      <c r="AI724" s="257" t="s">
        <v>1228</v>
      </c>
      <c r="AJ724" s="257" t="s">
        <v>1133</v>
      </c>
      <c r="AK724" s="257" t="s">
        <v>1133</v>
      </c>
      <c r="AL724" s="211"/>
      <c r="AM724" s="257" t="s">
        <v>1334</v>
      </c>
      <c r="AN724" s="345" t="s">
        <v>1943</v>
      </c>
      <c r="AO724" s="247">
        <v>1.33</v>
      </c>
      <c r="AP724" s="216">
        <f t="shared" si="156"/>
        <v>23493.12</v>
      </c>
      <c r="AQ724" s="216">
        <f t="shared" si="157"/>
        <v>182071.68</v>
      </c>
      <c r="AR724" s="224">
        <v>61504</v>
      </c>
      <c r="AS724" s="330">
        <v>46248</v>
      </c>
      <c r="AT724" s="208" t="s">
        <v>1310</v>
      </c>
      <c r="AU724" s="253"/>
      <c r="AV724" s="252">
        <f t="shared" si="164"/>
        <v>-17664</v>
      </c>
      <c r="AW724" s="333" t="s">
        <v>1228</v>
      </c>
      <c r="AX724" s="256"/>
      <c r="AY724" s="208"/>
      <c r="AZ724" s="208"/>
      <c r="BA724" s="208"/>
      <c r="BB724" s="208" t="str">
        <f t="shared" si="158"/>
        <v>Amazon</v>
      </c>
      <c r="BC724" s="208" t="str">
        <f t="shared" si="162"/>
        <v>美国(AWD)</v>
      </c>
    </row>
    <row r="725" s="194" customFormat="1" customHeight="1" spans="1:55">
      <c r="A725" s="208">
        <v>46139</v>
      </c>
      <c r="B725" s="208" t="str">
        <f ca="1" t="shared" si="155"/>
        <v/>
      </c>
      <c r="C725" s="211" t="str">
        <f>VLOOKUP(H725,名称!A:E,4,0)</f>
        <v>三代</v>
      </c>
      <c r="D725" s="220" t="s">
        <v>1330</v>
      </c>
      <c r="E725" s="220" t="s">
        <v>1344</v>
      </c>
      <c r="F725" s="220" t="s">
        <v>791</v>
      </c>
      <c r="G725" s="220" t="s">
        <v>792</v>
      </c>
      <c r="H725" s="220" t="s">
        <v>169</v>
      </c>
      <c r="I725" s="211"/>
      <c r="J725" s="270">
        <v>17664</v>
      </c>
      <c r="K725" s="223">
        <f>VLOOKUP(H725,名称!A:C,2,0)</f>
        <v>12</v>
      </c>
      <c r="L725" s="212">
        <f t="shared" si="160"/>
        <v>211968</v>
      </c>
      <c r="M725" s="211">
        <v>6</v>
      </c>
      <c r="N725" s="212">
        <f t="shared" si="161"/>
        <v>2944</v>
      </c>
      <c r="O725" s="271">
        <v>46200</v>
      </c>
      <c r="P725" s="256">
        <v>46234</v>
      </c>
      <c r="Q725" s="256">
        <v>46234</v>
      </c>
      <c r="R725" s="241" t="s">
        <v>1241</v>
      </c>
      <c r="S725" s="256" t="s">
        <v>1133</v>
      </c>
      <c r="T725" s="211"/>
      <c r="U725" s="211"/>
      <c r="V725" s="211"/>
      <c r="W725" s="212" t="str">
        <f>IFERROR(VLOOKUP(H725,名称!A:F,6,0),"")</f>
        <v>东莞</v>
      </c>
      <c r="X725" s="220" t="s">
        <v>1332</v>
      </c>
      <c r="Y725" s="241" t="s">
        <v>1228</v>
      </c>
      <c r="Z725" s="263">
        <v>46163</v>
      </c>
      <c r="AA725" s="264">
        <v>46172</v>
      </c>
      <c r="AB725" s="263">
        <v>46189</v>
      </c>
      <c r="AC725" s="257" t="s">
        <v>1333</v>
      </c>
      <c r="AD725" s="257" t="s">
        <v>1228</v>
      </c>
      <c r="AE725" s="220" t="s">
        <v>510</v>
      </c>
      <c r="AF725" s="257" t="s">
        <v>1228</v>
      </c>
      <c r="AG725" s="257" t="s">
        <v>341</v>
      </c>
      <c r="AH725" s="257" t="s">
        <v>1133</v>
      </c>
      <c r="AI725" s="257" t="s">
        <v>1228</v>
      </c>
      <c r="AJ725" s="257" t="s">
        <v>1133</v>
      </c>
      <c r="AK725" s="257" t="s">
        <v>1133</v>
      </c>
      <c r="AL725" s="257"/>
      <c r="AM725" s="257" t="s">
        <v>1334</v>
      </c>
      <c r="AN725" s="268" t="s">
        <v>1944</v>
      </c>
      <c r="AO725" s="247">
        <v>1.33</v>
      </c>
      <c r="AP725" s="216">
        <f t="shared" si="156"/>
        <v>23493.12</v>
      </c>
      <c r="AQ725" s="216">
        <f t="shared" si="157"/>
        <v>182071.68</v>
      </c>
      <c r="AR725" s="224">
        <v>61504</v>
      </c>
      <c r="AS725" s="330">
        <v>46248</v>
      </c>
      <c r="AT725" s="208" t="s">
        <v>1310</v>
      </c>
      <c r="AU725" s="253"/>
      <c r="AV725" s="252">
        <f t="shared" si="164"/>
        <v>-17664</v>
      </c>
      <c r="AW725" s="333" t="s">
        <v>1228</v>
      </c>
      <c r="AX725" s="256"/>
      <c r="AY725" s="208"/>
      <c r="AZ725" s="208"/>
      <c r="BA725" s="208"/>
      <c r="BB725" s="208" t="str">
        <f t="shared" si="158"/>
        <v>Amazon</v>
      </c>
      <c r="BC725" s="208" t="str">
        <f t="shared" si="162"/>
        <v>美国(AWD)</v>
      </c>
    </row>
    <row r="726" s="194" customFormat="1" customHeight="1" spans="1:55">
      <c r="A726" s="208">
        <v>46139</v>
      </c>
      <c r="B726" s="208" t="str">
        <f ca="1" t="shared" si="155"/>
        <v/>
      </c>
      <c r="C726" s="211" t="str">
        <f>VLOOKUP(H726,名称!A:E,4,0)</f>
        <v>三代</v>
      </c>
      <c r="D726" s="220" t="s">
        <v>1330</v>
      </c>
      <c r="E726" s="220" t="s">
        <v>1344</v>
      </c>
      <c r="F726" s="220" t="s">
        <v>791</v>
      </c>
      <c r="G726" s="220" t="s">
        <v>792</v>
      </c>
      <c r="H726" s="220" t="s">
        <v>170</v>
      </c>
      <c r="I726" s="211"/>
      <c r="J726" s="270">
        <v>17664</v>
      </c>
      <c r="K726" s="223">
        <f>VLOOKUP(H726,名称!A:C,2,0)</f>
        <v>12</v>
      </c>
      <c r="L726" s="212">
        <f t="shared" si="160"/>
        <v>211968</v>
      </c>
      <c r="M726" s="211">
        <v>6</v>
      </c>
      <c r="N726" s="212">
        <f t="shared" si="161"/>
        <v>2944</v>
      </c>
      <c r="O726" s="271">
        <v>46200</v>
      </c>
      <c r="P726" s="256">
        <v>46241</v>
      </c>
      <c r="Q726" s="256">
        <v>46241</v>
      </c>
      <c r="R726" s="241" t="s">
        <v>1241</v>
      </c>
      <c r="S726" s="256" t="s">
        <v>1133</v>
      </c>
      <c r="T726" s="211"/>
      <c r="U726" s="211"/>
      <c r="V726" s="211"/>
      <c r="W726" s="212" t="str">
        <f>IFERROR(VLOOKUP(H726,名称!A:F,6,0),"")</f>
        <v>东莞</v>
      </c>
      <c r="X726" s="220" t="s">
        <v>1332</v>
      </c>
      <c r="Y726" s="241" t="s">
        <v>1228</v>
      </c>
      <c r="Z726" s="263">
        <v>46163</v>
      </c>
      <c r="AA726" s="264">
        <v>46172</v>
      </c>
      <c r="AB726" s="263">
        <v>46189</v>
      </c>
      <c r="AC726" s="257" t="s">
        <v>1333</v>
      </c>
      <c r="AD726" s="257" t="s">
        <v>1228</v>
      </c>
      <c r="AE726" s="220" t="s">
        <v>510</v>
      </c>
      <c r="AF726" s="257" t="s">
        <v>1228</v>
      </c>
      <c r="AG726" s="257" t="s">
        <v>341</v>
      </c>
      <c r="AH726" s="257" t="s">
        <v>1133</v>
      </c>
      <c r="AI726" s="257" t="s">
        <v>1228</v>
      </c>
      <c r="AJ726" s="257" t="s">
        <v>1133</v>
      </c>
      <c r="AK726" s="257" t="s">
        <v>1133</v>
      </c>
      <c r="AL726" s="257"/>
      <c r="AM726" s="257" t="s">
        <v>1334</v>
      </c>
      <c r="AN726" s="268" t="s">
        <v>1945</v>
      </c>
      <c r="AO726" s="247">
        <v>1.33</v>
      </c>
      <c r="AP726" s="216">
        <f t="shared" si="156"/>
        <v>23493.12</v>
      </c>
      <c r="AQ726" s="216">
        <f t="shared" si="157"/>
        <v>182071.68</v>
      </c>
      <c r="AR726" s="224">
        <v>61504</v>
      </c>
      <c r="AS726" s="330">
        <v>46248</v>
      </c>
      <c r="AT726" s="208" t="s">
        <v>1310</v>
      </c>
      <c r="AU726" s="253"/>
      <c r="AV726" s="252">
        <f t="shared" si="164"/>
        <v>-17664</v>
      </c>
      <c r="AW726" s="333" t="s">
        <v>1228</v>
      </c>
      <c r="AX726" s="256"/>
      <c r="AY726" s="208"/>
      <c r="AZ726" s="208"/>
      <c r="BA726" s="208"/>
      <c r="BB726" s="208" t="str">
        <f t="shared" si="158"/>
        <v>Amazon</v>
      </c>
      <c r="BC726" s="208" t="str">
        <f t="shared" si="162"/>
        <v>美国(AWD)</v>
      </c>
    </row>
    <row r="727" s="194" customFormat="1" customHeight="1" spans="1:55">
      <c r="A727" s="208">
        <v>46139</v>
      </c>
      <c r="B727" s="208" t="str">
        <f ca="1" t="shared" si="155"/>
        <v/>
      </c>
      <c r="C727" s="211" t="str">
        <f>VLOOKUP(H727,名称!A:E,4,0)</f>
        <v>三代</v>
      </c>
      <c r="D727" s="220" t="s">
        <v>1330</v>
      </c>
      <c r="E727" s="220" t="s">
        <v>1341</v>
      </c>
      <c r="F727" s="220" t="s">
        <v>791</v>
      </c>
      <c r="G727" s="220" t="s">
        <v>792</v>
      </c>
      <c r="H727" s="220" t="s">
        <v>142</v>
      </c>
      <c r="I727" s="211"/>
      <c r="J727" s="270">
        <v>58488</v>
      </c>
      <c r="K727" s="223">
        <f>VLOOKUP(H727,名称!A:C,2,0)</f>
        <v>12</v>
      </c>
      <c r="L727" s="212">
        <f t="shared" si="160"/>
        <v>701856</v>
      </c>
      <c r="M727" s="211">
        <f>VLOOKUP(H727,名称!A:E,3,0)</f>
        <v>24</v>
      </c>
      <c r="N727" s="212">
        <f t="shared" si="161"/>
        <v>2437</v>
      </c>
      <c r="O727" s="271">
        <v>46200</v>
      </c>
      <c r="P727" s="256">
        <v>46220</v>
      </c>
      <c r="Q727" s="256">
        <v>46220</v>
      </c>
      <c r="R727" s="241" t="s">
        <v>1241</v>
      </c>
      <c r="S727" s="256" t="s">
        <v>1133</v>
      </c>
      <c r="T727" s="211"/>
      <c r="U727" s="211"/>
      <c r="V727" s="213">
        <v>46230</v>
      </c>
      <c r="W727" s="212" t="str">
        <f>IFERROR(VLOOKUP(H727,名称!A:F,6,0),"")</f>
        <v>湖南</v>
      </c>
      <c r="X727" s="257" t="s">
        <v>1332</v>
      </c>
      <c r="Y727" s="267" t="s">
        <v>1228</v>
      </c>
      <c r="Z727" s="263">
        <v>46163</v>
      </c>
      <c r="AA727" s="264">
        <v>46172</v>
      </c>
      <c r="AB727" s="263">
        <v>46189</v>
      </c>
      <c r="AC727" s="257" t="s">
        <v>1333</v>
      </c>
      <c r="AD727" s="257" t="s">
        <v>1228</v>
      </c>
      <c r="AE727" s="220" t="s">
        <v>510</v>
      </c>
      <c r="AF727" s="257" t="s">
        <v>1228</v>
      </c>
      <c r="AG727" s="257" t="s">
        <v>341</v>
      </c>
      <c r="AH727" s="257" t="s">
        <v>1133</v>
      </c>
      <c r="AI727" s="257" t="s">
        <v>1228</v>
      </c>
      <c r="AJ727" s="257" t="s">
        <v>510</v>
      </c>
      <c r="AK727" s="257" t="s">
        <v>1133</v>
      </c>
      <c r="AL727" s="257"/>
      <c r="AM727" s="257" t="s">
        <v>1334</v>
      </c>
      <c r="AN727" s="268" t="s">
        <v>1946</v>
      </c>
      <c r="AO727" s="247">
        <v>1.65</v>
      </c>
      <c r="AP727" s="216">
        <f t="shared" ref="AP727:AP733" si="165">J727*AO727</f>
        <v>96505.2</v>
      </c>
      <c r="AQ727" s="216">
        <f t="shared" si="157"/>
        <v>747915.3</v>
      </c>
      <c r="AR727" s="224">
        <v>61504</v>
      </c>
      <c r="AS727" s="330">
        <v>46248</v>
      </c>
      <c r="AT727" s="273" t="s">
        <v>1220</v>
      </c>
      <c r="AU727" s="253">
        <f>36816+8640+5232+2544+3456+1800</f>
        <v>58488</v>
      </c>
      <c r="AV727" s="252">
        <f t="shared" si="164"/>
        <v>0</v>
      </c>
      <c r="AW727" s="333" t="s">
        <v>1228</v>
      </c>
      <c r="AX727" s="274" t="s">
        <v>1280</v>
      </c>
      <c r="AY727" s="208"/>
      <c r="AZ727" s="208"/>
      <c r="BA727" s="208"/>
      <c r="BB727" s="273" t="str">
        <f t="shared" si="158"/>
        <v>Amazon</v>
      </c>
      <c r="BC727" s="273" t="str">
        <f t="shared" si="162"/>
        <v>美国AWD</v>
      </c>
    </row>
    <row r="728" s="194" customFormat="1" customHeight="1" spans="1:55">
      <c r="A728" s="208">
        <v>46139</v>
      </c>
      <c r="B728" s="208" t="str">
        <f ca="1" t="shared" si="155"/>
        <v/>
      </c>
      <c r="C728" s="211" t="str">
        <f>VLOOKUP(H728,名称!A:E,4,0)</f>
        <v>三代</v>
      </c>
      <c r="D728" s="220" t="s">
        <v>1330</v>
      </c>
      <c r="E728" s="220" t="s">
        <v>1341</v>
      </c>
      <c r="F728" s="220" t="s">
        <v>791</v>
      </c>
      <c r="G728" s="220" t="s">
        <v>792</v>
      </c>
      <c r="H728" s="220" t="s">
        <v>136</v>
      </c>
      <c r="I728" s="346"/>
      <c r="J728" s="270">
        <v>9792</v>
      </c>
      <c r="K728" s="347">
        <f>VLOOKUP(H728,名称!A:C,2,0)</f>
        <v>5</v>
      </c>
      <c r="L728" s="348">
        <f t="shared" si="160"/>
        <v>48960</v>
      </c>
      <c r="M728" s="211">
        <f>VLOOKUP(H728,名称!A:E,3,0)</f>
        <v>144</v>
      </c>
      <c r="N728" s="212">
        <f t="shared" si="161"/>
        <v>68</v>
      </c>
      <c r="O728" s="271">
        <v>46200</v>
      </c>
      <c r="P728" s="256">
        <v>46207</v>
      </c>
      <c r="Q728" s="256">
        <v>46207</v>
      </c>
      <c r="R728" s="241" t="s">
        <v>1241</v>
      </c>
      <c r="S728" s="256" t="s">
        <v>1133</v>
      </c>
      <c r="T728" s="211"/>
      <c r="U728" s="211"/>
      <c r="V728" s="211"/>
      <c r="W728" s="212" t="str">
        <f>IFERROR(VLOOKUP(H728,名称!A:F,6,0),"")</f>
        <v>湖南</v>
      </c>
      <c r="X728" s="220" t="s">
        <v>1332</v>
      </c>
      <c r="Y728" s="211" t="s">
        <v>1233</v>
      </c>
      <c r="Z728" s="263">
        <v>46163</v>
      </c>
      <c r="AA728" s="264">
        <v>46172</v>
      </c>
      <c r="AB728" s="263">
        <v>46189</v>
      </c>
      <c r="AC728" s="211" t="s">
        <v>1333</v>
      </c>
      <c r="AD728" s="211" t="s">
        <v>1228</v>
      </c>
      <c r="AE728" s="220" t="s">
        <v>510</v>
      </c>
      <c r="AF728" s="257" t="s">
        <v>1228</v>
      </c>
      <c r="AG728" s="257" t="s">
        <v>341</v>
      </c>
      <c r="AH728" s="211" t="s">
        <v>1133</v>
      </c>
      <c r="AI728" s="257" t="s">
        <v>1228</v>
      </c>
      <c r="AJ728" s="257" t="s">
        <v>1133</v>
      </c>
      <c r="AK728" s="257" t="s">
        <v>1133</v>
      </c>
      <c r="AL728" s="211" t="s">
        <v>1233</v>
      </c>
      <c r="AM728" s="257" t="s">
        <v>1334</v>
      </c>
      <c r="AN728" s="268" t="s">
        <v>1947</v>
      </c>
      <c r="AO728" s="247">
        <v>0.63</v>
      </c>
      <c r="AP728" s="216">
        <f t="shared" si="165"/>
        <v>6168.96</v>
      </c>
      <c r="AQ728" s="216">
        <f t="shared" si="157"/>
        <v>47809.44</v>
      </c>
      <c r="AR728" s="224">
        <v>61504</v>
      </c>
      <c r="AS728" s="330">
        <v>46248</v>
      </c>
      <c r="AT728" s="273" t="s">
        <v>1220</v>
      </c>
      <c r="AU728" s="253">
        <f>9504+288</f>
        <v>9792</v>
      </c>
      <c r="AV728" s="252">
        <f t="shared" si="164"/>
        <v>0</v>
      </c>
      <c r="AW728" s="333" t="s">
        <v>1228</v>
      </c>
      <c r="AX728" s="274" t="s">
        <v>1280</v>
      </c>
      <c r="AY728" s="208"/>
      <c r="AZ728" s="208"/>
      <c r="BA728" s="208"/>
      <c r="BB728" s="273" t="str">
        <f t="shared" si="158"/>
        <v>Amazon</v>
      </c>
      <c r="BC728" s="273" t="str">
        <f t="shared" si="162"/>
        <v>美国AWD</v>
      </c>
    </row>
    <row r="729" s="194" customFormat="1" customHeight="1" spans="1:55">
      <c r="A729" s="208">
        <v>46139</v>
      </c>
      <c r="B729" s="208" t="str">
        <f ca="1" t="shared" si="155"/>
        <v/>
      </c>
      <c r="C729" s="211" t="str">
        <f>VLOOKUP(H729,名称!A:E,4,0)</f>
        <v>三代</v>
      </c>
      <c r="D729" s="220" t="s">
        <v>1330</v>
      </c>
      <c r="E729" s="220" t="s">
        <v>1341</v>
      </c>
      <c r="F729" s="220" t="s">
        <v>791</v>
      </c>
      <c r="G729" s="220" t="s">
        <v>792</v>
      </c>
      <c r="H729" s="220" t="s">
        <v>141</v>
      </c>
      <c r="I729" s="346"/>
      <c r="J729" s="270">
        <v>7488</v>
      </c>
      <c r="K729" s="347">
        <f>VLOOKUP(H729,名称!A:C,2,0)</f>
        <v>5</v>
      </c>
      <c r="L729" s="348">
        <f t="shared" si="160"/>
        <v>37440</v>
      </c>
      <c r="M729" s="211">
        <f>VLOOKUP(H729,名称!A:E,3,0)</f>
        <v>144</v>
      </c>
      <c r="N729" s="212">
        <f t="shared" si="161"/>
        <v>52</v>
      </c>
      <c r="O729" s="271">
        <v>46200</v>
      </c>
      <c r="P729" s="256">
        <v>46218</v>
      </c>
      <c r="Q729" s="256">
        <v>46218</v>
      </c>
      <c r="R729" s="241" t="s">
        <v>1241</v>
      </c>
      <c r="S729" s="256" t="s">
        <v>1133</v>
      </c>
      <c r="T729" s="211"/>
      <c r="U729" s="211"/>
      <c r="V729" s="211"/>
      <c r="W729" s="212" t="str">
        <f>IFERROR(VLOOKUP(H729,名称!A:F,6,0),"")</f>
        <v>湖南</v>
      </c>
      <c r="X729" s="220" t="s">
        <v>1332</v>
      </c>
      <c r="Y729" s="211" t="s">
        <v>1233</v>
      </c>
      <c r="Z729" s="263">
        <v>46163</v>
      </c>
      <c r="AA729" s="264">
        <v>46172</v>
      </c>
      <c r="AB729" s="263">
        <v>46189</v>
      </c>
      <c r="AC729" s="257" t="s">
        <v>1333</v>
      </c>
      <c r="AD729" s="257" t="s">
        <v>1228</v>
      </c>
      <c r="AE729" s="220" t="s">
        <v>510</v>
      </c>
      <c r="AF729" s="257" t="s">
        <v>1228</v>
      </c>
      <c r="AG729" s="257" t="s">
        <v>341</v>
      </c>
      <c r="AH729" s="257" t="s">
        <v>1133</v>
      </c>
      <c r="AI729" s="257" t="s">
        <v>1228</v>
      </c>
      <c r="AJ729" s="257" t="s">
        <v>1133</v>
      </c>
      <c r="AK729" s="257" t="s">
        <v>1133</v>
      </c>
      <c r="AL729" s="257" t="s">
        <v>1233</v>
      </c>
      <c r="AM729" s="257" t="s">
        <v>1334</v>
      </c>
      <c r="AN729" s="268" t="s">
        <v>1947</v>
      </c>
      <c r="AO729" s="247">
        <v>0.63</v>
      </c>
      <c r="AP729" s="216">
        <f t="shared" si="165"/>
        <v>4717.44</v>
      </c>
      <c r="AQ729" s="216">
        <f t="shared" si="157"/>
        <v>36560.16</v>
      </c>
      <c r="AR729" s="224">
        <v>61504</v>
      </c>
      <c r="AS729" s="330">
        <v>46248</v>
      </c>
      <c r="AT729" s="273" t="s">
        <v>1220</v>
      </c>
      <c r="AU729" s="253">
        <f>7056+432</f>
        <v>7488</v>
      </c>
      <c r="AV729" s="252">
        <f t="shared" si="164"/>
        <v>0</v>
      </c>
      <c r="AW729" s="333" t="s">
        <v>1228</v>
      </c>
      <c r="AX729" s="274" t="s">
        <v>1280</v>
      </c>
      <c r="AY729" s="208"/>
      <c r="AZ729" s="208"/>
      <c r="BA729" s="208"/>
      <c r="BB729" s="273" t="str">
        <f t="shared" si="158"/>
        <v>Amazon</v>
      </c>
      <c r="BC729" s="273" t="str">
        <f t="shared" si="162"/>
        <v>美国AWD</v>
      </c>
    </row>
    <row r="730" s="194" customFormat="1" customHeight="1" spans="1:55">
      <c r="A730" s="208">
        <v>46182</v>
      </c>
      <c r="B730" s="208" t="str">
        <f ca="1" t="shared" si="155"/>
        <v/>
      </c>
      <c r="C730" s="211" t="str">
        <f>VLOOKUP(H730,名称!A:E,4,0)</f>
        <v>三代</v>
      </c>
      <c r="D730" s="220" t="s">
        <v>1402</v>
      </c>
      <c r="E730" s="220" t="s">
        <v>1403</v>
      </c>
      <c r="F730" s="220" t="s">
        <v>941</v>
      </c>
      <c r="G730" s="220" t="s">
        <v>942</v>
      </c>
      <c r="H730" s="220" t="s">
        <v>59</v>
      </c>
      <c r="I730" s="211"/>
      <c r="J730" s="270">
        <v>1200</v>
      </c>
      <c r="K730" s="223">
        <f>VLOOKUP(H730,名称!A:C,2,0)</f>
        <v>5</v>
      </c>
      <c r="L730" s="212">
        <f t="shared" si="160"/>
        <v>6000</v>
      </c>
      <c r="M730" s="257">
        <f>VLOOKUP(H730,名称!A:E,3,0)</f>
        <v>24</v>
      </c>
      <c r="N730" s="259">
        <f t="shared" si="161"/>
        <v>50</v>
      </c>
      <c r="O730" s="271">
        <v>46239</v>
      </c>
      <c r="P730" s="256">
        <v>46239</v>
      </c>
      <c r="Q730" s="256">
        <v>46245</v>
      </c>
      <c r="R730" s="211"/>
      <c r="S730" s="256" t="s">
        <v>1133</v>
      </c>
      <c r="T730" s="211"/>
      <c r="U730" s="211"/>
      <c r="V730" s="213">
        <v>46246</v>
      </c>
      <c r="W730" s="212" t="str">
        <f>IFERROR(VLOOKUP(H730,名称!A:F,6,0),"")</f>
        <v>湖南</v>
      </c>
      <c r="X730" s="257" t="s">
        <v>1133</v>
      </c>
      <c r="Y730" s="257" t="s">
        <v>1133</v>
      </c>
      <c r="Z730" s="257" t="s">
        <v>1249</v>
      </c>
      <c r="AA730" s="264">
        <v>46189</v>
      </c>
      <c r="AB730" s="263">
        <v>46197</v>
      </c>
      <c r="AC730" s="257" t="s">
        <v>1133</v>
      </c>
      <c r="AD730" s="257" t="s">
        <v>1133</v>
      </c>
      <c r="AE730" s="220" t="s">
        <v>510</v>
      </c>
      <c r="AF730" s="257" t="s">
        <v>1228</v>
      </c>
      <c r="AG730" s="257" t="s">
        <v>510</v>
      </c>
      <c r="AH730" s="257" t="s">
        <v>1133</v>
      </c>
      <c r="AI730" s="257" t="s">
        <v>1228</v>
      </c>
      <c r="AJ730" s="257" t="s">
        <v>1133</v>
      </c>
      <c r="AK730" s="257" t="s">
        <v>510</v>
      </c>
      <c r="AL730" s="257"/>
      <c r="AM730" s="267" t="s">
        <v>1292</v>
      </c>
      <c r="AN730" s="220"/>
      <c r="AO730" s="247">
        <v>0.66</v>
      </c>
      <c r="AP730" s="216">
        <f t="shared" si="165"/>
        <v>792</v>
      </c>
      <c r="AQ730" s="216">
        <f t="shared" si="157"/>
        <v>6138</v>
      </c>
      <c r="AR730" s="224">
        <v>61505</v>
      </c>
      <c r="AS730" s="330">
        <v>46248</v>
      </c>
      <c r="AT730" s="208" t="s">
        <v>1220</v>
      </c>
      <c r="AU730" s="252">
        <v>1200</v>
      </c>
      <c r="AV730" s="252">
        <f t="shared" si="164"/>
        <v>0</v>
      </c>
      <c r="AW730" s="331"/>
      <c r="AX730" s="274" t="s">
        <v>1280</v>
      </c>
      <c r="AY730" s="208" t="s">
        <v>1317</v>
      </c>
      <c r="AZ730" s="208" t="s">
        <v>1256</v>
      </c>
      <c r="BA730" s="208"/>
      <c r="BB730" s="208" t="str">
        <f t="shared" si="158"/>
        <v>Planet Fun</v>
      </c>
      <c r="BC730" s="208" t="str">
        <f t="shared" si="162"/>
        <v>新西兰</v>
      </c>
    </row>
    <row r="731" s="200" customFormat="1" customHeight="1" spans="1:55">
      <c r="A731" s="273">
        <v>46197</v>
      </c>
      <c r="B731" s="273" t="str">
        <f ca="1" t="shared" si="155"/>
        <v/>
      </c>
      <c r="C731" s="241" t="str">
        <f>VLOOKUP(H731,名称!A:E,4,0)</f>
        <v>蛋糕</v>
      </c>
      <c r="D731" s="241" t="s">
        <v>1257</v>
      </c>
      <c r="E731" s="241" t="s">
        <v>1258</v>
      </c>
      <c r="F731" s="241" t="s">
        <v>993</v>
      </c>
      <c r="G731" s="241" t="s">
        <v>994</v>
      </c>
      <c r="H731" s="241" t="s">
        <v>50</v>
      </c>
      <c r="I731" s="241"/>
      <c r="J731" s="282">
        <v>44226</v>
      </c>
      <c r="K731" s="349"/>
      <c r="L731" s="282"/>
      <c r="M731" s="241">
        <f>VLOOKUP(H731,名称!A:E,3,0)</f>
        <v>18</v>
      </c>
      <c r="N731" s="282">
        <f t="shared" si="161"/>
        <v>2457</v>
      </c>
      <c r="O731" s="273">
        <v>46245</v>
      </c>
      <c r="P731" s="273">
        <v>46245</v>
      </c>
      <c r="Q731" s="273">
        <v>46244</v>
      </c>
      <c r="R731" s="241" t="s">
        <v>1241</v>
      </c>
      <c r="S731" s="273">
        <v>46245</v>
      </c>
      <c r="T731" s="241"/>
      <c r="U731" s="241"/>
      <c r="V731" s="332">
        <v>46246</v>
      </c>
      <c r="W731" s="241" t="str">
        <f>IFERROR(VLOOKUP(H731,名称!A:F,6,0),"")</f>
        <v>东莞</v>
      </c>
      <c r="X731" s="241" t="s">
        <v>1526</v>
      </c>
      <c r="Y731" s="241" t="s">
        <v>1228</v>
      </c>
      <c r="Z731" s="267" t="s">
        <v>1249</v>
      </c>
      <c r="AA731" s="350">
        <v>46200</v>
      </c>
      <c r="AB731" s="332">
        <v>46203</v>
      </c>
      <c r="AC731" s="267" t="s">
        <v>1133</v>
      </c>
      <c r="AD731" s="267" t="s">
        <v>1133</v>
      </c>
      <c r="AE731" s="267" t="s">
        <v>334</v>
      </c>
      <c r="AF731" s="267" t="s">
        <v>1228</v>
      </c>
      <c r="AG731" s="267" t="s">
        <v>334</v>
      </c>
      <c r="AH731" s="267" t="s">
        <v>1133</v>
      </c>
      <c r="AI731" s="267" t="s">
        <v>1228</v>
      </c>
      <c r="AJ731" s="241" t="s">
        <v>1133</v>
      </c>
      <c r="AK731" s="267" t="s">
        <v>1533</v>
      </c>
      <c r="AL731" s="241"/>
      <c r="AM731" s="267" t="s">
        <v>1534</v>
      </c>
      <c r="AN731" s="241" t="s">
        <v>1535</v>
      </c>
      <c r="AO731" s="351">
        <v>1.03</v>
      </c>
      <c r="AP731" s="352">
        <f t="shared" si="165"/>
        <v>45552.78</v>
      </c>
      <c r="AQ731" s="352">
        <f t="shared" si="157"/>
        <v>353034.05</v>
      </c>
      <c r="AR731" s="224">
        <v>61506</v>
      </c>
      <c r="AS731" s="330">
        <v>46248</v>
      </c>
      <c r="AT731" s="274" t="s">
        <v>1220</v>
      </c>
      <c r="AU731" s="336"/>
      <c r="AV731" s="336"/>
      <c r="AW731" s="273"/>
      <c r="AX731" s="273"/>
      <c r="AY731" s="273" t="s">
        <v>1262</v>
      </c>
      <c r="AZ731" s="274" t="s">
        <v>1274</v>
      </c>
      <c r="BA731" s="273"/>
      <c r="BB731" s="273" t="str">
        <f t="shared" si="158"/>
        <v>Character Options</v>
      </c>
      <c r="BC731" s="273" t="str">
        <f t="shared" si="162"/>
        <v>英国</v>
      </c>
    </row>
    <row r="732" s="194" customFormat="1" customHeight="1" spans="1:55">
      <c r="A732" s="208">
        <v>46162</v>
      </c>
      <c r="B732" s="208" t="str">
        <f ca="1" t="shared" si="155"/>
        <v/>
      </c>
      <c r="C732" s="211" t="str">
        <f>VLOOKUP(H732,名称!A:E,4,0)</f>
        <v>三代</v>
      </c>
      <c r="D732" s="220" t="s">
        <v>1366</v>
      </c>
      <c r="E732" s="220" t="s">
        <v>1224</v>
      </c>
      <c r="F732" s="220">
        <v>2670514436</v>
      </c>
      <c r="G732" s="220" t="s">
        <v>864</v>
      </c>
      <c r="H732" s="211" t="s">
        <v>126</v>
      </c>
      <c r="I732" s="211"/>
      <c r="J732" s="270">
        <v>1680</v>
      </c>
      <c r="K732" s="223">
        <f>VLOOKUP(H732,名称!A:C,2,0)</f>
        <v>50</v>
      </c>
      <c r="L732" s="212">
        <f>J732*K732</f>
        <v>84000</v>
      </c>
      <c r="M732" s="257">
        <f>VLOOKUP(H732,名称!A:E,3,0)</f>
        <v>40</v>
      </c>
      <c r="N732" s="259">
        <f t="shared" si="161"/>
        <v>42</v>
      </c>
      <c r="O732" s="271">
        <v>46230</v>
      </c>
      <c r="P732" s="271">
        <f>O732</f>
        <v>46230</v>
      </c>
      <c r="Q732" s="271">
        <v>46234</v>
      </c>
      <c r="R732" s="241" t="s">
        <v>1291</v>
      </c>
      <c r="S732" s="256">
        <v>46234</v>
      </c>
      <c r="T732" s="241" t="s">
        <v>1241</v>
      </c>
      <c r="U732" s="211"/>
      <c r="V732" s="213">
        <v>46246</v>
      </c>
      <c r="W732" s="212" t="str">
        <f>IFERROR(VLOOKUP(H732,名称!A:F,6,0),"")</f>
        <v>东莞</v>
      </c>
      <c r="X732" s="257" t="s">
        <v>1133</v>
      </c>
      <c r="Y732" s="257" t="s">
        <v>1133</v>
      </c>
      <c r="Z732" s="263">
        <v>46167</v>
      </c>
      <c r="AA732" s="264">
        <v>46182</v>
      </c>
      <c r="AB732" s="264">
        <v>46182</v>
      </c>
      <c r="AC732" s="257" t="s">
        <v>1133</v>
      </c>
      <c r="AD732" s="257" t="s">
        <v>1133</v>
      </c>
      <c r="AE732" s="211" t="s">
        <v>584</v>
      </c>
      <c r="AF732" s="257" t="s">
        <v>1228</v>
      </c>
      <c r="AG732" s="257" t="s">
        <v>584</v>
      </c>
      <c r="AH732" s="257" t="s">
        <v>1133</v>
      </c>
      <c r="AI732" s="257" t="s">
        <v>1228</v>
      </c>
      <c r="AJ732" s="257" t="s">
        <v>1133</v>
      </c>
      <c r="AK732" s="257" t="s">
        <v>1356</v>
      </c>
      <c r="AL732" s="257"/>
      <c r="AM732" s="329" t="s">
        <v>1367</v>
      </c>
      <c r="AN732" s="212" t="s">
        <v>1368</v>
      </c>
      <c r="AO732" s="247">
        <v>11.31</v>
      </c>
      <c r="AP732" s="216">
        <f t="shared" si="165"/>
        <v>19000.8</v>
      </c>
      <c r="AQ732" s="216">
        <f t="shared" si="157"/>
        <v>147256.2</v>
      </c>
      <c r="AR732" s="224">
        <v>61507</v>
      </c>
      <c r="AS732" s="330">
        <v>46248</v>
      </c>
      <c r="AT732" s="273" t="s">
        <v>1220</v>
      </c>
      <c r="AU732" s="252"/>
      <c r="AV732" s="252">
        <f>AU732-J732</f>
        <v>-1680</v>
      </c>
      <c r="AW732" s="331"/>
      <c r="AX732" s="256"/>
      <c r="AY732" s="208" t="s">
        <v>1255</v>
      </c>
      <c r="AZ732" s="208" t="s">
        <v>1256</v>
      </c>
      <c r="BA732" s="208"/>
      <c r="BB732" s="208" t="str">
        <f t="shared" si="158"/>
        <v>JAZWARES - COSTCO</v>
      </c>
      <c r="BC732" s="208" t="str">
        <f t="shared" si="162"/>
        <v>美国</v>
      </c>
    </row>
    <row r="733" s="194" customFormat="1" customHeight="1" spans="1:55">
      <c r="A733" s="208">
        <v>46162</v>
      </c>
      <c r="B733" s="208" t="str">
        <f ca="1" t="shared" si="155"/>
        <v/>
      </c>
      <c r="C733" s="211" t="str">
        <f>VLOOKUP(H733,名称!A:E,4,0)</f>
        <v>三代</v>
      </c>
      <c r="D733" s="220" t="s">
        <v>1366</v>
      </c>
      <c r="E733" s="220" t="s">
        <v>1224</v>
      </c>
      <c r="F733" s="220">
        <v>1790514747</v>
      </c>
      <c r="G733" s="220" t="s">
        <v>863</v>
      </c>
      <c r="H733" s="211" t="s">
        <v>126</v>
      </c>
      <c r="I733" s="211"/>
      <c r="J733" s="270">
        <v>1680</v>
      </c>
      <c r="K733" s="223">
        <f>VLOOKUP(H733,名称!A:C,2,0)</f>
        <v>50</v>
      </c>
      <c r="L733" s="212">
        <f>J733*K733</f>
        <v>84000</v>
      </c>
      <c r="M733" s="257">
        <f>VLOOKUP(H733,名称!A:E,3,0)</f>
        <v>40</v>
      </c>
      <c r="N733" s="259">
        <f t="shared" si="161"/>
        <v>42</v>
      </c>
      <c r="O733" s="271">
        <v>46230</v>
      </c>
      <c r="P733" s="271">
        <f>O733</f>
        <v>46230</v>
      </c>
      <c r="Q733" s="271">
        <v>46233</v>
      </c>
      <c r="R733" s="241" t="s">
        <v>1241</v>
      </c>
      <c r="S733" s="256">
        <v>46233</v>
      </c>
      <c r="T733" s="241" t="s">
        <v>1241</v>
      </c>
      <c r="U733" s="211"/>
      <c r="V733" s="213">
        <v>46246</v>
      </c>
      <c r="W733" s="212" t="str">
        <f>IFERROR(VLOOKUP(H733,名称!A:F,6,0),"")</f>
        <v>东莞</v>
      </c>
      <c r="X733" s="257" t="s">
        <v>1133</v>
      </c>
      <c r="Y733" s="257" t="s">
        <v>1133</v>
      </c>
      <c r="Z733" s="263">
        <v>46167</v>
      </c>
      <c r="AA733" s="264">
        <v>46182</v>
      </c>
      <c r="AB733" s="264">
        <v>46182</v>
      </c>
      <c r="AC733" s="257" t="s">
        <v>1133</v>
      </c>
      <c r="AD733" s="257" t="s">
        <v>1133</v>
      </c>
      <c r="AE733" s="211" t="s">
        <v>584</v>
      </c>
      <c r="AF733" s="257" t="s">
        <v>1228</v>
      </c>
      <c r="AG733" s="257" t="s">
        <v>584</v>
      </c>
      <c r="AH733" s="257" t="s">
        <v>1133</v>
      </c>
      <c r="AI733" s="257" t="s">
        <v>1228</v>
      </c>
      <c r="AJ733" s="257" t="s">
        <v>1133</v>
      </c>
      <c r="AK733" s="257" t="s">
        <v>1356</v>
      </c>
      <c r="AL733" s="257"/>
      <c r="AM733" s="329" t="s">
        <v>1367</v>
      </c>
      <c r="AN733" s="212" t="s">
        <v>1368</v>
      </c>
      <c r="AO733" s="247">
        <v>11.31</v>
      </c>
      <c r="AP733" s="216">
        <f t="shared" si="165"/>
        <v>19000.8</v>
      </c>
      <c r="AQ733" s="216">
        <f t="shared" si="157"/>
        <v>147256.2</v>
      </c>
      <c r="AR733" s="224">
        <v>61508</v>
      </c>
      <c r="AS733" s="330">
        <v>46248</v>
      </c>
      <c r="AT733" s="273" t="s">
        <v>1220</v>
      </c>
      <c r="AU733" s="252"/>
      <c r="AV733" s="252">
        <f>AU733-J733</f>
        <v>-1680</v>
      </c>
      <c r="AW733" s="331"/>
      <c r="AX733" s="256"/>
      <c r="AY733" s="208" t="s">
        <v>1255</v>
      </c>
      <c r="AZ733" s="208" t="s">
        <v>1256</v>
      </c>
      <c r="BA733" s="208"/>
      <c r="BB733" s="208" t="str">
        <f t="shared" si="158"/>
        <v>JAZWARES - COSTCO</v>
      </c>
      <c r="BC733" s="208" t="str">
        <f t="shared" si="162"/>
        <v>美国</v>
      </c>
    </row>
    <row r="734" s="194" customFormat="1" customHeight="1" spans="1:55">
      <c r="A734" s="208">
        <v>46020</v>
      </c>
      <c r="B734" s="208" t="str">
        <f ca="1" t="shared" si="155"/>
        <v/>
      </c>
      <c r="C734" s="209" t="str">
        <f>VLOOKUP(H734,名称!A:E,4,0)</f>
        <v>二代</v>
      </c>
      <c r="D734" s="210" t="s">
        <v>1352</v>
      </c>
      <c r="E734" s="210" t="s">
        <v>1224</v>
      </c>
      <c r="F734" s="211"/>
      <c r="G734" s="211" t="s">
        <v>383</v>
      </c>
      <c r="H734" s="211" t="s">
        <v>23</v>
      </c>
      <c r="I734" s="211"/>
      <c r="J734" s="212">
        <v>1000000</v>
      </c>
      <c r="K734" s="223">
        <f>VLOOKUP(H734,名称!A:C,2,0)</f>
        <v>3</v>
      </c>
      <c r="L734" s="223">
        <f>K734*J734</f>
        <v>3000000</v>
      </c>
      <c r="M734" s="211">
        <f>VLOOKUP(H734,名称!A:E,3,0)</f>
        <v>250</v>
      </c>
      <c r="N734" s="211"/>
      <c r="O734" s="208">
        <v>46052</v>
      </c>
      <c r="P734" s="208">
        <v>46052</v>
      </c>
      <c r="Q734" s="208">
        <v>46052</v>
      </c>
      <c r="R734" s="211" t="s">
        <v>1241</v>
      </c>
      <c r="S734" s="208" t="s">
        <v>1133</v>
      </c>
      <c r="T734" s="208" t="s">
        <v>1133</v>
      </c>
      <c r="U734" s="211"/>
      <c r="V734" s="211"/>
      <c r="W734" s="241" t="str">
        <f>IFERROR(VLOOKUP(H734,名称!A:F,6,0),"")</f>
        <v>湖南</v>
      </c>
      <c r="X734" s="211" t="s">
        <v>1133</v>
      </c>
      <c r="Y734" s="211" t="s">
        <v>1133</v>
      </c>
      <c r="Z734" s="211" t="s">
        <v>1948</v>
      </c>
      <c r="AA734" s="214"/>
      <c r="AB734" s="211" t="s">
        <v>1228</v>
      </c>
      <c r="AC734" s="211" t="s">
        <v>1133</v>
      </c>
      <c r="AD734" s="211" t="s">
        <v>1133</v>
      </c>
      <c r="AE734" s="211" t="s">
        <v>1133</v>
      </c>
      <c r="AF734" s="211" t="s">
        <v>1133</v>
      </c>
      <c r="AG734" s="211" t="s">
        <v>1133</v>
      </c>
      <c r="AH734" s="211" t="s">
        <v>1133</v>
      </c>
      <c r="AI734" s="211" t="s">
        <v>1133</v>
      </c>
      <c r="AJ734" s="211" t="s">
        <v>1133</v>
      </c>
      <c r="AK734" s="211" t="s">
        <v>1949</v>
      </c>
      <c r="AL734" s="211"/>
      <c r="AM734" s="211"/>
      <c r="AN734" s="212" t="s">
        <v>1950</v>
      </c>
      <c r="AO734" s="247">
        <v>0.01</v>
      </c>
      <c r="AP734" s="216">
        <f>J734*AO734*0.86</f>
        <v>8600</v>
      </c>
      <c r="AQ734" s="216">
        <f t="shared" si="157"/>
        <v>66650</v>
      </c>
      <c r="AR734" s="224">
        <v>61509</v>
      </c>
      <c r="AS734" s="330">
        <v>46248</v>
      </c>
      <c r="AT734" s="208" t="s">
        <v>1310</v>
      </c>
      <c r="AU734" s="221"/>
      <c r="AV734" s="222"/>
      <c r="AW734" s="208"/>
      <c r="AX734" s="208"/>
      <c r="AY734" s="208"/>
      <c r="AZ734" s="208"/>
      <c r="BA734" s="208"/>
      <c r="BB734" s="212" t="str">
        <f t="shared" si="158"/>
        <v>Sky Castle Toys, LLC</v>
      </c>
      <c r="BC734" s="212" t="str">
        <f>IFERROR(E734,"")</f>
        <v>美国</v>
      </c>
    </row>
    <row r="735" s="194" customFormat="1" customHeight="1" spans="1:55">
      <c r="A735" s="208">
        <v>46178</v>
      </c>
      <c r="B735" s="208" t="str">
        <f ca="1" t="shared" si="155"/>
        <v/>
      </c>
      <c r="C735" s="211" t="str">
        <f>VLOOKUP(H735,名称!A:E,4,0)</f>
        <v>三代</v>
      </c>
      <c r="D735" s="220" t="s">
        <v>1489</v>
      </c>
      <c r="E735" s="220" t="s">
        <v>1951</v>
      </c>
      <c r="F735" s="220" t="s">
        <v>918</v>
      </c>
      <c r="G735" s="220" t="s">
        <v>919</v>
      </c>
      <c r="H735" s="220" t="s">
        <v>109</v>
      </c>
      <c r="I735" s="211"/>
      <c r="J735" s="270">
        <v>1416</v>
      </c>
      <c r="K735" s="223">
        <f>VLOOKUP(H735,名称!A:C,2,0)</f>
        <v>0</v>
      </c>
      <c r="L735" s="212">
        <f t="shared" ref="L735:L751" si="166">J735*K735</f>
        <v>0</v>
      </c>
      <c r="M735" s="257">
        <f>VLOOKUP(H735,名称!A:E,3,0)</f>
        <v>24</v>
      </c>
      <c r="N735" s="259">
        <f t="shared" ref="N735:N746" si="167">J735/M735</f>
        <v>59</v>
      </c>
      <c r="O735" s="271">
        <v>46237</v>
      </c>
      <c r="P735" s="271">
        <v>46230</v>
      </c>
      <c r="Q735" s="271">
        <v>46237</v>
      </c>
      <c r="R735" s="241" t="s">
        <v>1241</v>
      </c>
      <c r="S735" s="256" t="s">
        <v>1133</v>
      </c>
      <c r="T735" s="211"/>
      <c r="U735" s="211"/>
      <c r="V735" s="213">
        <v>46251</v>
      </c>
      <c r="W735" s="212" t="str">
        <f>IFERROR(VLOOKUP(H735,名称!A:F,6,0),"")</f>
        <v>东莞</v>
      </c>
      <c r="X735" s="257" t="s">
        <v>1248</v>
      </c>
      <c r="Y735" s="263">
        <v>46199</v>
      </c>
      <c r="Z735" s="257" t="s">
        <v>1249</v>
      </c>
      <c r="AA735" s="264">
        <v>46184</v>
      </c>
      <c r="AB735" s="263">
        <v>46184</v>
      </c>
      <c r="AC735" s="257" t="s">
        <v>1133</v>
      </c>
      <c r="AD735" s="257" t="s">
        <v>1133</v>
      </c>
      <c r="AE735" s="220" t="s">
        <v>510</v>
      </c>
      <c r="AF735" s="257" t="s">
        <v>1228</v>
      </c>
      <c r="AG735" s="257" t="s">
        <v>510</v>
      </c>
      <c r="AH735" s="257" t="s">
        <v>1133</v>
      </c>
      <c r="AI735" s="257" t="s">
        <v>1228</v>
      </c>
      <c r="AJ735" s="257" t="s">
        <v>1133</v>
      </c>
      <c r="AK735" s="257" t="s">
        <v>510</v>
      </c>
      <c r="AL735" s="257"/>
      <c r="AM735" s="267" t="s">
        <v>1292</v>
      </c>
      <c r="AN735" s="220" t="s">
        <v>1251</v>
      </c>
      <c r="AO735" s="247">
        <v>0.59</v>
      </c>
      <c r="AP735" s="216">
        <f t="shared" ref="AP735:AP759" si="168">J735*AO735</f>
        <v>835.44</v>
      </c>
      <c r="AQ735" s="216">
        <f t="shared" si="157"/>
        <v>6474.66</v>
      </c>
      <c r="AR735" s="224">
        <v>61510</v>
      </c>
      <c r="AS735" s="330">
        <v>46248</v>
      </c>
      <c r="AT735" s="208" t="s">
        <v>1220</v>
      </c>
      <c r="AU735" s="252"/>
      <c r="AV735" s="252">
        <f t="shared" ref="AV735:AV746" si="169">AU735-J735</f>
        <v>-1416</v>
      </c>
      <c r="AW735" s="333" t="s">
        <v>1228</v>
      </c>
      <c r="AX735" s="256"/>
      <c r="AY735" s="208" t="s">
        <v>1317</v>
      </c>
      <c r="AZ735" s="208" t="s">
        <v>1256</v>
      </c>
      <c r="BA735" s="208"/>
      <c r="BB735" s="208" t="str">
        <f t="shared" si="158"/>
        <v>Kidland</v>
      </c>
      <c r="BC735" s="208" t="str">
        <f t="shared" ref="BC735:BC769" si="170">E735</f>
        <v>阿拉伯联合酋长国</v>
      </c>
    </row>
    <row r="736" s="194" customFormat="1" customHeight="1" spans="1:55">
      <c r="A736" s="208">
        <v>46178</v>
      </c>
      <c r="B736" s="208" t="str">
        <f ca="1" t="shared" si="155"/>
        <v/>
      </c>
      <c r="C736" s="211" t="str">
        <f>VLOOKUP(H736,名称!A:E,4,0)</f>
        <v>三代</v>
      </c>
      <c r="D736" s="220" t="s">
        <v>1489</v>
      </c>
      <c r="E736" s="220" t="s">
        <v>1951</v>
      </c>
      <c r="F736" s="220" t="s">
        <v>918</v>
      </c>
      <c r="G736" s="220" t="s">
        <v>919</v>
      </c>
      <c r="H736" s="220" t="s">
        <v>121</v>
      </c>
      <c r="I736" s="211"/>
      <c r="J736" s="270">
        <v>2808</v>
      </c>
      <c r="K736" s="223">
        <f>VLOOKUP(H736,名称!A:C,2,0)</f>
        <v>7</v>
      </c>
      <c r="L736" s="212">
        <f t="shared" si="166"/>
        <v>19656</v>
      </c>
      <c r="M736" s="257">
        <f>VLOOKUP(H736,名称!A:E,3,0)</f>
        <v>12</v>
      </c>
      <c r="N736" s="259">
        <f t="shared" si="167"/>
        <v>234</v>
      </c>
      <c r="O736" s="271">
        <v>46237</v>
      </c>
      <c r="P736" s="271">
        <v>46230</v>
      </c>
      <c r="Q736" s="271">
        <v>46237</v>
      </c>
      <c r="R736" s="241" t="s">
        <v>1241</v>
      </c>
      <c r="S736" s="256" t="s">
        <v>1133</v>
      </c>
      <c r="T736" s="211"/>
      <c r="U736" s="211"/>
      <c r="V736" s="263">
        <v>46251</v>
      </c>
      <c r="W736" s="212" t="str">
        <f>IFERROR(VLOOKUP(H736,名称!A:F,6,0),"")</f>
        <v>湖南</v>
      </c>
      <c r="X736" s="257" t="s">
        <v>1248</v>
      </c>
      <c r="Y736" s="263">
        <v>46199</v>
      </c>
      <c r="Z736" s="257" t="s">
        <v>1249</v>
      </c>
      <c r="AA736" s="264">
        <v>46184</v>
      </c>
      <c r="AB736" s="263">
        <v>46184</v>
      </c>
      <c r="AC736" s="257" t="s">
        <v>1284</v>
      </c>
      <c r="AD736" s="257" t="s">
        <v>1228</v>
      </c>
      <c r="AE736" s="220" t="s">
        <v>510</v>
      </c>
      <c r="AF736" s="257" t="s">
        <v>1228</v>
      </c>
      <c r="AG736" s="257" t="s">
        <v>510</v>
      </c>
      <c r="AH736" s="257" t="s">
        <v>1307</v>
      </c>
      <c r="AI736" s="257" t="s">
        <v>1228</v>
      </c>
      <c r="AJ736" s="257" t="s">
        <v>1133</v>
      </c>
      <c r="AK736" s="257" t="s">
        <v>1133</v>
      </c>
      <c r="AL736" s="257"/>
      <c r="AM736" s="267" t="s">
        <v>1292</v>
      </c>
      <c r="AN736" s="220" t="s">
        <v>1251</v>
      </c>
      <c r="AO736" s="247">
        <v>0.79</v>
      </c>
      <c r="AP736" s="216">
        <f t="shared" si="168"/>
        <v>2218.32</v>
      </c>
      <c r="AQ736" s="216">
        <f t="shared" si="157"/>
        <v>17191.98</v>
      </c>
      <c r="AR736" s="224">
        <v>61510</v>
      </c>
      <c r="AS736" s="330">
        <v>46248</v>
      </c>
      <c r="AT736" s="208" t="s">
        <v>1220</v>
      </c>
      <c r="AU736" s="252">
        <v>2808</v>
      </c>
      <c r="AV736" s="252">
        <f t="shared" si="169"/>
        <v>0</v>
      </c>
      <c r="AW736" s="333" t="s">
        <v>1228</v>
      </c>
      <c r="AX736" s="274" t="s">
        <v>1280</v>
      </c>
      <c r="AY736" s="208" t="s">
        <v>1317</v>
      </c>
      <c r="AZ736" s="208" t="s">
        <v>1256</v>
      </c>
      <c r="BA736" s="208"/>
      <c r="BB736" s="208" t="str">
        <f t="shared" si="158"/>
        <v>Kidland</v>
      </c>
      <c r="BC736" s="208" t="str">
        <f t="shared" si="170"/>
        <v>阿拉伯联合酋长国</v>
      </c>
    </row>
    <row r="737" s="194" customFormat="1" customHeight="1" spans="1:55">
      <c r="A737" s="208">
        <v>46178</v>
      </c>
      <c r="B737" s="208" t="str">
        <f ca="1" t="shared" si="155"/>
        <v/>
      </c>
      <c r="C737" s="211" t="str">
        <f>VLOOKUP(H737,名称!A:E,4,0)</f>
        <v>三代</v>
      </c>
      <c r="D737" s="220" t="s">
        <v>1489</v>
      </c>
      <c r="E737" s="220" t="s">
        <v>1951</v>
      </c>
      <c r="F737" s="220" t="s">
        <v>918</v>
      </c>
      <c r="G737" s="220" t="s">
        <v>919</v>
      </c>
      <c r="H737" s="220" t="s">
        <v>59</v>
      </c>
      <c r="I737" s="211"/>
      <c r="J737" s="270">
        <v>2160</v>
      </c>
      <c r="K737" s="223">
        <f>VLOOKUP(H737,名称!A:C,2,0)</f>
        <v>5</v>
      </c>
      <c r="L737" s="212">
        <f t="shared" si="166"/>
        <v>10800</v>
      </c>
      <c r="M737" s="257">
        <f>VLOOKUP(H737,名称!A:E,3,0)</f>
        <v>24</v>
      </c>
      <c r="N737" s="259">
        <f t="shared" si="167"/>
        <v>90</v>
      </c>
      <c r="O737" s="271">
        <v>46237</v>
      </c>
      <c r="P737" s="271">
        <v>46230</v>
      </c>
      <c r="Q737" s="271">
        <v>46237</v>
      </c>
      <c r="R737" s="241" t="s">
        <v>1241</v>
      </c>
      <c r="S737" s="256" t="s">
        <v>1133</v>
      </c>
      <c r="T737" s="211"/>
      <c r="U737" s="211"/>
      <c r="V737" s="263">
        <v>46251</v>
      </c>
      <c r="W737" s="212" t="str">
        <f>IFERROR(VLOOKUP(H737,名称!A:F,6,0),"")</f>
        <v>湖南</v>
      </c>
      <c r="X737" s="257" t="s">
        <v>1248</v>
      </c>
      <c r="Y737" s="263">
        <v>46199</v>
      </c>
      <c r="Z737" s="257" t="s">
        <v>1249</v>
      </c>
      <c r="AA737" s="264">
        <v>46184</v>
      </c>
      <c r="AB737" s="263">
        <v>46184</v>
      </c>
      <c r="AC737" s="257" t="s">
        <v>1133</v>
      </c>
      <c r="AD737" s="257" t="s">
        <v>1133</v>
      </c>
      <c r="AE737" s="220" t="s">
        <v>510</v>
      </c>
      <c r="AF737" s="257" t="s">
        <v>1228</v>
      </c>
      <c r="AG737" s="257" t="s">
        <v>510</v>
      </c>
      <c r="AH737" s="257" t="s">
        <v>1133</v>
      </c>
      <c r="AI737" s="257" t="s">
        <v>1228</v>
      </c>
      <c r="AJ737" s="257" t="s">
        <v>1133</v>
      </c>
      <c r="AK737" s="257" t="s">
        <v>510</v>
      </c>
      <c r="AL737" s="257"/>
      <c r="AM737" s="267" t="s">
        <v>1292</v>
      </c>
      <c r="AN737" s="220" t="s">
        <v>1251</v>
      </c>
      <c r="AO737" s="247">
        <v>0.62</v>
      </c>
      <c r="AP737" s="216">
        <f t="shared" si="168"/>
        <v>1339.2</v>
      </c>
      <c r="AQ737" s="216">
        <f t="shared" si="157"/>
        <v>10378.8</v>
      </c>
      <c r="AR737" s="224">
        <v>61510</v>
      </c>
      <c r="AS737" s="330">
        <v>46248</v>
      </c>
      <c r="AT737" s="208" t="s">
        <v>1220</v>
      </c>
      <c r="AU737" s="252">
        <f>2112+48</f>
        <v>2160</v>
      </c>
      <c r="AV737" s="252">
        <f t="shared" si="169"/>
        <v>0</v>
      </c>
      <c r="AW737" s="336" t="s">
        <v>1228</v>
      </c>
      <c r="AX737" s="274" t="s">
        <v>1280</v>
      </c>
      <c r="AY737" s="208" t="s">
        <v>1317</v>
      </c>
      <c r="AZ737" s="208" t="s">
        <v>1256</v>
      </c>
      <c r="BA737" s="208"/>
      <c r="BB737" s="208" t="str">
        <f t="shared" si="158"/>
        <v>Kidland</v>
      </c>
      <c r="BC737" s="208" t="str">
        <f t="shared" si="170"/>
        <v>阿拉伯联合酋长国</v>
      </c>
    </row>
    <row r="738" s="194" customFormat="1" customHeight="1" spans="1:55">
      <c r="A738" s="208">
        <v>46178</v>
      </c>
      <c r="B738" s="208" t="str">
        <f ca="1" t="shared" si="155"/>
        <v/>
      </c>
      <c r="C738" s="211" t="str">
        <f>VLOOKUP(H738,名称!A:E,4,0)</f>
        <v>三代</v>
      </c>
      <c r="D738" s="220" t="s">
        <v>1489</v>
      </c>
      <c r="E738" s="220" t="s">
        <v>1951</v>
      </c>
      <c r="F738" s="220" t="s">
        <v>918</v>
      </c>
      <c r="G738" s="220" t="s">
        <v>919</v>
      </c>
      <c r="H738" s="220" t="s">
        <v>61</v>
      </c>
      <c r="I738" s="211"/>
      <c r="J738" s="270">
        <v>1920</v>
      </c>
      <c r="K738" s="223">
        <f>VLOOKUP(H738,名称!A:C,2,0)</f>
        <v>5</v>
      </c>
      <c r="L738" s="212">
        <f t="shared" si="166"/>
        <v>9600</v>
      </c>
      <c r="M738" s="257">
        <f>VLOOKUP(H738,名称!A:E,3,0)</f>
        <v>24</v>
      </c>
      <c r="N738" s="259">
        <f t="shared" si="167"/>
        <v>80</v>
      </c>
      <c r="O738" s="271">
        <v>46237</v>
      </c>
      <c r="P738" s="271">
        <v>46230</v>
      </c>
      <c r="Q738" s="271">
        <v>46238</v>
      </c>
      <c r="R738" s="241" t="s">
        <v>1241</v>
      </c>
      <c r="S738" s="256" t="s">
        <v>1133</v>
      </c>
      <c r="T738" s="211"/>
      <c r="U738" s="211"/>
      <c r="V738" s="263">
        <v>46251</v>
      </c>
      <c r="W738" s="212" t="str">
        <f>IFERROR(VLOOKUP(H738,名称!A:F,6,0),"")</f>
        <v>湖南</v>
      </c>
      <c r="X738" s="257" t="s">
        <v>1248</v>
      </c>
      <c r="Y738" s="263">
        <v>46199</v>
      </c>
      <c r="Z738" s="257" t="s">
        <v>1249</v>
      </c>
      <c r="AA738" s="264">
        <v>46184</v>
      </c>
      <c r="AB738" s="263">
        <v>46184</v>
      </c>
      <c r="AC738" s="257" t="s">
        <v>1133</v>
      </c>
      <c r="AD738" s="257" t="s">
        <v>1133</v>
      </c>
      <c r="AE738" s="220" t="s">
        <v>510</v>
      </c>
      <c r="AF738" s="257" t="s">
        <v>1228</v>
      </c>
      <c r="AG738" s="257" t="s">
        <v>510</v>
      </c>
      <c r="AH738" s="257" t="s">
        <v>1133</v>
      </c>
      <c r="AI738" s="257" t="s">
        <v>1228</v>
      </c>
      <c r="AJ738" s="257" t="s">
        <v>1133</v>
      </c>
      <c r="AK738" s="257" t="s">
        <v>510</v>
      </c>
      <c r="AL738" s="257"/>
      <c r="AM738" s="267" t="s">
        <v>1292</v>
      </c>
      <c r="AN738" s="220" t="s">
        <v>1251</v>
      </c>
      <c r="AO738" s="247">
        <v>0.61</v>
      </c>
      <c r="AP738" s="216">
        <f t="shared" si="168"/>
        <v>1171.2</v>
      </c>
      <c r="AQ738" s="216">
        <f t="shared" si="157"/>
        <v>9076.8</v>
      </c>
      <c r="AR738" s="224">
        <v>61510</v>
      </c>
      <c r="AS738" s="330">
        <v>46248</v>
      </c>
      <c r="AT738" s="208" t="s">
        <v>1220</v>
      </c>
      <c r="AU738" s="252">
        <v>1920</v>
      </c>
      <c r="AV738" s="252">
        <f t="shared" si="169"/>
        <v>0</v>
      </c>
      <c r="AW738" s="331"/>
      <c r="AX738" s="274" t="s">
        <v>1280</v>
      </c>
      <c r="AY738" s="208" t="s">
        <v>1317</v>
      </c>
      <c r="AZ738" s="208" t="s">
        <v>1256</v>
      </c>
      <c r="BA738" s="208"/>
      <c r="BB738" s="208" t="str">
        <f t="shared" si="158"/>
        <v>Kidland</v>
      </c>
      <c r="BC738" s="208" t="str">
        <f t="shared" si="170"/>
        <v>阿拉伯联合酋长国</v>
      </c>
    </row>
    <row r="739" s="194" customFormat="1" customHeight="1" spans="1:55">
      <c r="A739" s="208">
        <v>46178</v>
      </c>
      <c r="B739" s="208" t="str">
        <f ca="1" t="shared" si="155"/>
        <v/>
      </c>
      <c r="C739" s="211" t="str">
        <f>VLOOKUP(H739,名称!A:E,4,0)</f>
        <v>三代</v>
      </c>
      <c r="D739" s="220" t="s">
        <v>1489</v>
      </c>
      <c r="E739" s="220" t="s">
        <v>1951</v>
      </c>
      <c r="F739" s="220" t="s">
        <v>918</v>
      </c>
      <c r="G739" s="220" t="s">
        <v>919</v>
      </c>
      <c r="H739" s="220" t="s">
        <v>63</v>
      </c>
      <c r="I739" s="211"/>
      <c r="J739" s="270">
        <v>1872</v>
      </c>
      <c r="K739" s="223">
        <f>VLOOKUP(H739,名称!A:C,2,0)</f>
        <v>5</v>
      </c>
      <c r="L739" s="212">
        <f t="shared" si="166"/>
        <v>9360</v>
      </c>
      <c r="M739" s="257">
        <f>VLOOKUP(H739,名称!A:E,3,0)</f>
        <v>24</v>
      </c>
      <c r="N739" s="259">
        <f t="shared" si="167"/>
        <v>78</v>
      </c>
      <c r="O739" s="271">
        <v>46237</v>
      </c>
      <c r="P739" s="271">
        <v>46230</v>
      </c>
      <c r="Q739" s="271">
        <v>46237</v>
      </c>
      <c r="R739" s="241" t="s">
        <v>1241</v>
      </c>
      <c r="S739" s="256" t="s">
        <v>1133</v>
      </c>
      <c r="T739" s="211"/>
      <c r="U739" s="211"/>
      <c r="V739" s="263">
        <v>46251</v>
      </c>
      <c r="W739" s="212" t="str">
        <f>IFERROR(VLOOKUP(H739,名称!A:F,6,0),"")</f>
        <v>湖南</v>
      </c>
      <c r="X739" s="257" t="s">
        <v>1248</v>
      </c>
      <c r="Y739" s="263">
        <v>46199</v>
      </c>
      <c r="Z739" s="257" t="s">
        <v>1249</v>
      </c>
      <c r="AA739" s="264">
        <v>46184</v>
      </c>
      <c r="AB739" s="263">
        <v>46184</v>
      </c>
      <c r="AC739" s="257" t="s">
        <v>1133</v>
      </c>
      <c r="AD739" s="257" t="s">
        <v>1133</v>
      </c>
      <c r="AE739" s="220" t="s">
        <v>510</v>
      </c>
      <c r="AF739" s="257" t="s">
        <v>1228</v>
      </c>
      <c r="AG739" s="257" t="s">
        <v>510</v>
      </c>
      <c r="AH739" s="257" t="s">
        <v>1133</v>
      </c>
      <c r="AI739" s="257" t="s">
        <v>1228</v>
      </c>
      <c r="AJ739" s="257" t="s">
        <v>1133</v>
      </c>
      <c r="AK739" s="257" t="s">
        <v>510</v>
      </c>
      <c r="AL739" s="257"/>
      <c r="AM739" s="267" t="s">
        <v>1292</v>
      </c>
      <c r="AN739" s="220" t="s">
        <v>1251</v>
      </c>
      <c r="AO739" s="247">
        <v>0.62</v>
      </c>
      <c r="AP739" s="216">
        <f t="shared" si="168"/>
        <v>1160.64</v>
      </c>
      <c r="AQ739" s="216">
        <f t="shared" si="157"/>
        <v>8994.96</v>
      </c>
      <c r="AR739" s="224">
        <v>61510</v>
      </c>
      <c r="AS739" s="330">
        <v>46248</v>
      </c>
      <c r="AT739" s="208" t="s">
        <v>1220</v>
      </c>
      <c r="AU739" s="252">
        <v>1872</v>
      </c>
      <c r="AV739" s="252">
        <f t="shared" si="169"/>
        <v>0</v>
      </c>
      <c r="AW739" s="336" t="s">
        <v>1228</v>
      </c>
      <c r="AX739" s="267" t="s">
        <v>1280</v>
      </c>
      <c r="AY739" s="208" t="s">
        <v>1317</v>
      </c>
      <c r="AZ739" s="208" t="s">
        <v>1256</v>
      </c>
      <c r="BA739" s="208"/>
      <c r="BB739" s="208" t="str">
        <f t="shared" si="158"/>
        <v>Kidland</v>
      </c>
      <c r="BC739" s="208" t="str">
        <f t="shared" si="170"/>
        <v>阿拉伯联合酋长国</v>
      </c>
    </row>
    <row r="740" s="194" customFormat="1" customHeight="1" spans="1:55">
      <c r="A740" s="208">
        <v>46178</v>
      </c>
      <c r="B740" s="208" t="str">
        <f ca="1" t="shared" si="155"/>
        <v/>
      </c>
      <c r="C740" s="211" t="str">
        <f>VLOOKUP(H740,名称!A:E,4,0)</f>
        <v>三代</v>
      </c>
      <c r="D740" s="220" t="s">
        <v>1489</v>
      </c>
      <c r="E740" s="220" t="s">
        <v>1951</v>
      </c>
      <c r="F740" s="220" t="s">
        <v>918</v>
      </c>
      <c r="G740" s="220" t="s">
        <v>919</v>
      </c>
      <c r="H740" s="220" t="s">
        <v>66</v>
      </c>
      <c r="I740" s="211"/>
      <c r="J740" s="270">
        <v>1740</v>
      </c>
      <c r="K740" s="223">
        <f>VLOOKUP(H740,名称!A:C,2,0)</f>
        <v>12</v>
      </c>
      <c r="L740" s="212">
        <f t="shared" si="166"/>
        <v>20880</v>
      </c>
      <c r="M740" s="257">
        <f>VLOOKUP(H740,名称!A:E,3,0)</f>
        <v>6</v>
      </c>
      <c r="N740" s="259">
        <f t="shared" si="167"/>
        <v>290</v>
      </c>
      <c r="O740" s="271">
        <v>46237</v>
      </c>
      <c r="P740" s="271">
        <v>46230</v>
      </c>
      <c r="Q740" s="271">
        <v>46237</v>
      </c>
      <c r="R740" s="241" t="s">
        <v>1241</v>
      </c>
      <c r="S740" s="256" t="s">
        <v>1133</v>
      </c>
      <c r="T740" s="211"/>
      <c r="U740" s="211"/>
      <c r="V740" s="263">
        <v>46251</v>
      </c>
      <c r="W740" s="212" t="str">
        <f>IFERROR(VLOOKUP(H740,名称!A:F,6,0),"")</f>
        <v>湖南</v>
      </c>
      <c r="X740" s="257" t="s">
        <v>1248</v>
      </c>
      <c r="Y740" s="263">
        <v>46199</v>
      </c>
      <c r="Z740" s="257" t="s">
        <v>1249</v>
      </c>
      <c r="AA740" s="264">
        <v>46184</v>
      </c>
      <c r="AB740" s="263">
        <v>46184</v>
      </c>
      <c r="AC740" s="257" t="s">
        <v>1318</v>
      </c>
      <c r="AD740" s="257" t="s">
        <v>1228</v>
      </c>
      <c r="AE740" s="220" t="s">
        <v>510</v>
      </c>
      <c r="AF740" s="257" t="s">
        <v>1228</v>
      </c>
      <c r="AG740" s="257" t="s">
        <v>510</v>
      </c>
      <c r="AH740" s="257" t="s">
        <v>1307</v>
      </c>
      <c r="AI740" s="257" t="s">
        <v>1228</v>
      </c>
      <c r="AJ740" s="257" t="s">
        <v>510</v>
      </c>
      <c r="AK740" s="257" t="s">
        <v>1133</v>
      </c>
      <c r="AL740" s="257"/>
      <c r="AM740" s="267" t="s">
        <v>1292</v>
      </c>
      <c r="AN740" s="220" t="s">
        <v>1251</v>
      </c>
      <c r="AO740" s="247">
        <v>2.02</v>
      </c>
      <c r="AP740" s="216">
        <f t="shared" si="168"/>
        <v>3514.8</v>
      </c>
      <c r="AQ740" s="216">
        <f t="shared" si="157"/>
        <v>27239.7</v>
      </c>
      <c r="AR740" s="224">
        <v>61510</v>
      </c>
      <c r="AS740" s="330">
        <v>46248</v>
      </c>
      <c r="AT740" s="208" t="s">
        <v>1220</v>
      </c>
      <c r="AU740" s="252">
        <f>1704+36</f>
        <v>1740</v>
      </c>
      <c r="AV740" s="252">
        <f t="shared" si="169"/>
        <v>0</v>
      </c>
      <c r="AW740" s="333" t="s">
        <v>1228</v>
      </c>
      <c r="AX740" s="274" t="s">
        <v>1280</v>
      </c>
      <c r="AY740" s="208" t="s">
        <v>1317</v>
      </c>
      <c r="AZ740" s="208" t="s">
        <v>1256</v>
      </c>
      <c r="BA740" s="208"/>
      <c r="BB740" s="208" t="str">
        <f t="shared" si="158"/>
        <v>Kidland</v>
      </c>
      <c r="BC740" s="208" t="str">
        <f t="shared" si="170"/>
        <v>阿拉伯联合酋长国</v>
      </c>
    </row>
    <row r="741" s="194" customFormat="1" customHeight="1" spans="1:55">
      <c r="A741" s="208">
        <v>46178</v>
      </c>
      <c r="B741" s="208" t="str">
        <f ca="1" t="shared" si="155"/>
        <v/>
      </c>
      <c r="C741" s="211" t="str">
        <f>VLOOKUP(H741,名称!A:E,4,0)</f>
        <v>三代</v>
      </c>
      <c r="D741" s="220" t="s">
        <v>1489</v>
      </c>
      <c r="E741" s="220" t="s">
        <v>1951</v>
      </c>
      <c r="F741" s="220" t="s">
        <v>918</v>
      </c>
      <c r="G741" s="220" t="s">
        <v>919</v>
      </c>
      <c r="H741" s="220" t="s">
        <v>68</v>
      </c>
      <c r="I741" s="211"/>
      <c r="J741" s="270">
        <v>600</v>
      </c>
      <c r="K741" s="223">
        <f>VLOOKUP(H741,名称!A:C,2,0)</f>
        <v>32</v>
      </c>
      <c r="L741" s="212">
        <f t="shared" si="166"/>
        <v>19200</v>
      </c>
      <c r="M741" s="257">
        <f>VLOOKUP(H741,名称!A:E,3,0)</f>
        <v>4</v>
      </c>
      <c r="N741" s="259">
        <f t="shared" si="167"/>
        <v>150</v>
      </c>
      <c r="O741" s="271">
        <v>46237</v>
      </c>
      <c r="P741" s="271">
        <v>46230</v>
      </c>
      <c r="Q741" s="271">
        <v>46237</v>
      </c>
      <c r="R741" s="241" t="s">
        <v>1241</v>
      </c>
      <c r="S741" s="256" t="s">
        <v>1133</v>
      </c>
      <c r="T741" s="211"/>
      <c r="U741" s="211"/>
      <c r="V741" s="263">
        <v>46251</v>
      </c>
      <c r="W741" s="212" t="str">
        <f>IFERROR(VLOOKUP(H741,名称!A:F,6,0),"")</f>
        <v>湖南</v>
      </c>
      <c r="X741" s="257" t="s">
        <v>1248</v>
      </c>
      <c r="Y741" s="263">
        <v>46199</v>
      </c>
      <c r="Z741" s="257" t="s">
        <v>1249</v>
      </c>
      <c r="AA741" s="264">
        <v>46184</v>
      </c>
      <c r="AB741" s="263">
        <v>46184</v>
      </c>
      <c r="AC741" s="257" t="s">
        <v>1133</v>
      </c>
      <c r="AD741" s="257" t="s">
        <v>1133</v>
      </c>
      <c r="AE741" s="220" t="s">
        <v>510</v>
      </c>
      <c r="AF741" s="257" t="s">
        <v>1228</v>
      </c>
      <c r="AG741" s="257" t="s">
        <v>510</v>
      </c>
      <c r="AH741" s="257" t="s">
        <v>1307</v>
      </c>
      <c r="AI741" s="257" t="s">
        <v>1228</v>
      </c>
      <c r="AJ741" s="257" t="s">
        <v>1133</v>
      </c>
      <c r="AK741" s="257" t="s">
        <v>1133</v>
      </c>
      <c r="AL741" s="257"/>
      <c r="AM741" s="267" t="s">
        <v>1292</v>
      </c>
      <c r="AN741" s="220" t="s">
        <v>1251</v>
      </c>
      <c r="AO741" s="247">
        <v>3.09</v>
      </c>
      <c r="AP741" s="216">
        <f t="shared" si="168"/>
        <v>1854</v>
      </c>
      <c r="AQ741" s="216">
        <f t="shared" si="157"/>
        <v>14368.5</v>
      </c>
      <c r="AR741" s="224">
        <v>61510</v>
      </c>
      <c r="AS741" s="330">
        <v>46248</v>
      </c>
      <c r="AT741" s="208" t="s">
        <v>1220</v>
      </c>
      <c r="AU741" s="252">
        <v>600</v>
      </c>
      <c r="AV741" s="252">
        <f t="shared" si="169"/>
        <v>0</v>
      </c>
      <c r="AW741" s="333" t="s">
        <v>1228</v>
      </c>
      <c r="AX741" s="274" t="s">
        <v>1280</v>
      </c>
      <c r="AY741" s="208" t="s">
        <v>1317</v>
      </c>
      <c r="AZ741" s="208" t="s">
        <v>1256</v>
      </c>
      <c r="BA741" s="208"/>
      <c r="BB741" s="208" t="str">
        <f t="shared" si="158"/>
        <v>Kidland</v>
      </c>
      <c r="BC741" s="208" t="str">
        <f t="shared" si="170"/>
        <v>阿拉伯联合酋长国</v>
      </c>
    </row>
    <row r="742" s="194" customFormat="1" customHeight="1" spans="1:55">
      <c r="A742" s="208">
        <v>46178</v>
      </c>
      <c r="B742" s="208" t="str">
        <f ca="1" t="shared" si="155"/>
        <v/>
      </c>
      <c r="C742" s="211" t="str">
        <f>VLOOKUP(H742,名称!A:E,4,0)</f>
        <v>三代</v>
      </c>
      <c r="D742" s="220" t="s">
        <v>1489</v>
      </c>
      <c r="E742" s="220" t="s">
        <v>1951</v>
      </c>
      <c r="F742" s="220" t="s">
        <v>918</v>
      </c>
      <c r="G742" s="220" t="s">
        <v>919</v>
      </c>
      <c r="H742" s="220" t="s">
        <v>72</v>
      </c>
      <c r="I742" s="211"/>
      <c r="J742" s="270">
        <v>960</v>
      </c>
      <c r="K742" s="223">
        <f>VLOOKUP(H742,名称!A:C,2,0)</f>
        <v>12</v>
      </c>
      <c r="L742" s="212">
        <f t="shared" si="166"/>
        <v>11520</v>
      </c>
      <c r="M742" s="257">
        <f>VLOOKUP(H742,名称!A:E,3,0)</f>
        <v>12</v>
      </c>
      <c r="N742" s="259">
        <f t="shared" si="167"/>
        <v>80</v>
      </c>
      <c r="O742" s="271">
        <v>46237</v>
      </c>
      <c r="P742" s="271">
        <v>46230</v>
      </c>
      <c r="Q742" s="271">
        <v>46238</v>
      </c>
      <c r="R742" s="241" t="s">
        <v>1241</v>
      </c>
      <c r="S742" s="256" t="s">
        <v>1133</v>
      </c>
      <c r="T742" s="211"/>
      <c r="U742" s="211"/>
      <c r="V742" s="263">
        <v>46251</v>
      </c>
      <c r="W742" s="212" t="str">
        <f>IFERROR(VLOOKUP(H742,名称!A:F,6,0),"")</f>
        <v>湖南</v>
      </c>
      <c r="X742" s="257" t="s">
        <v>1248</v>
      </c>
      <c r="Y742" s="263">
        <v>46199</v>
      </c>
      <c r="Z742" s="257" t="s">
        <v>1249</v>
      </c>
      <c r="AA742" s="264">
        <v>46184</v>
      </c>
      <c r="AB742" s="263">
        <v>46184</v>
      </c>
      <c r="AC742" s="257" t="s">
        <v>1302</v>
      </c>
      <c r="AD742" s="257" t="s">
        <v>1228</v>
      </c>
      <c r="AE742" s="220" t="s">
        <v>510</v>
      </c>
      <c r="AF742" s="257" t="s">
        <v>1228</v>
      </c>
      <c r="AG742" s="257" t="s">
        <v>510</v>
      </c>
      <c r="AH742" s="257" t="s">
        <v>1307</v>
      </c>
      <c r="AI742" s="257" t="s">
        <v>1228</v>
      </c>
      <c r="AJ742" s="257" t="s">
        <v>1133</v>
      </c>
      <c r="AK742" s="257" t="s">
        <v>1133</v>
      </c>
      <c r="AL742" s="257"/>
      <c r="AM742" s="267" t="s">
        <v>1292</v>
      </c>
      <c r="AN742" s="220" t="s">
        <v>1251</v>
      </c>
      <c r="AO742" s="247">
        <v>1.58</v>
      </c>
      <c r="AP742" s="216">
        <f t="shared" si="168"/>
        <v>1516.8</v>
      </c>
      <c r="AQ742" s="216">
        <f t="shared" si="157"/>
        <v>11755.2</v>
      </c>
      <c r="AR742" s="224">
        <v>61510</v>
      </c>
      <c r="AS742" s="330">
        <v>46248</v>
      </c>
      <c r="AT742" s="208" t="s">
        <v>1220</v>
      </c>
      <c r="AU742" s="252">
        <v>960</v>
      </c>
      <c r="AV742" s="252">
        <f t="shared" si="169"/>
        <v>0</v>
      </c>
      <c r="AW742" s="333" t="s">
        <v>1228</v>
      </c>
      <c r="AX742" s="267" t="s">
        <v>1280</v>
      </c>
      <c r="AY742" s="208" t="s">
        <v>1317</v>
      </c>
      <c r="AZ742" s="208" t="s">
        <v>1256</v>
      </c>
      <c r="BA742" s="208"/>
      <c r="BB742" s="208" t="str">
        <f t="shared" si="158"/>
        <v>Kidland</v>
      </c>
      <c r="BC742" s="208" t="str">
        <f t="shared" si="170"/>
        <v>阿拉伯联合酋长国</v>
      </c>
    </row>
    <row r="743" s="194" customFormat="1" customHeight="1" spans="1:55">
      <c r="A743" s="208">
        <v>46178</v>
      </c>
      <c r="B743" s="208" t="str">
        <f ca="1" t="shared" si="155"/>
        <v/>
      </c>
      <c r="C743" s="211" t="str">
        <f>VLOOKUP(H743,名称!A:E,4,0)</f>
        <v>三代</v>
      </c>
      <c r="D743" s="220" t="s">
        <v>1489</v>
      </c>
      <c r="E743" s="220" t="s">
        <v>1951</v>
      </c>
      <c r="F743" s="220" t="s">
        <v>918</v>
      </c>
      <c r="G743" s="220" t="s">
        <v>919</v>
      </c>
      <c r="H743" s="220" t="s">
        <v>116</v>
      </c>
      <c r="I743" s="211"/>
      <c r="J743" s="270">
        <v>900</v>
      </c>
      <c r="K743" s="223">
        <f>VLOOKUP(H743,名称!A:C,2,0)</f>
        <v>12</v>
      </c>
      <c r="L743" s="212">
        <f t="shared" si="166"/>
        <v>10800</v>
      </c>
      <c r="M743" s="257">
        <f>VLOOKUP(H743,名称!A:E,3,0)</f>
        <v>12</v>
      </c>
      <c r="N743" s="259">
        <f t="shared" si="167"/>
        <v>75</v>
      </c>
      <c r="O743" s="271">
        <v>46237</v>
      </c>
      <c r="P743" s="271">
        <v>46230</v>
      </c>
      <c r="Q743" s="256">
        <v>46238</v>
      </c>
      <c r="R743" s="241" t="s">
        <v>1241</v>
      </c>
      <c r="S743" s="256" t="s">
        <v>1133</v>
      </c>
      <c r="T743" s="211"/>
      <c r="U743" s="211"/>
      <c r="V743" s="263">
        <v>46251</v>
      </c>
      <c r="W743" s="212" t="str">
        <f>IFERROR(VLOOKUP(H743,名称!A:F,6,0),"")</f>
        <v>湖南</v>
      </c>
      <c r="X743" s="257" t="s">
        <v>1248</v>
      </c>
      <c r="Y743" s="263">
        <v>46199</v>
      </c>
      <c r="Z743" s="257" t="s">
        <v>1249</v>
      </c>
      <c r="AA743" s="264">
        <v>46184</v>
      </c>
      <c r="AB743" s="263">
        <v>46184</v>
      </c>
      <c r="AC743" s="257" t="s">
        <v>1302</v>
      </c>
      <c r="AD743" s="257" t="s">
        <v>1133</v>
      </c>
      <c r="AE743" s="220" t="s">
        <v>510</v>
      </c>
      <c r="AF743" s="257" t="s">
        <v>1228</v>
      </c>
      <c r="AG743" s="257" t="s">
        <v>510</v>
      </c>
      <c r="AH743" s="257" t="s">
        <v>1307</v>
      </c>
      <c r="AI743" s="257" t="s">
        <v>1228</v>
      </c>
      <c r="AJ743" s="257" t="s">
        <v>1133</v>
      </c>
      <c r="AK743" s="257" t="s">
        <v>1133</v>
      </c>
      <c r="AL743" s="257"/>
      <c r="AM743" s="267" t="s">
        <v>1292</v>
      </c>
      <c r="AN743" s="220" t="s">
        <v>1251</v>
      </c>
      <c r="AO743" s="247">
        <v>1.56</v>
      </c>
      <c r="AP743" s="216">
        <f t="shared" si="168"/>
        <v>1404</v>
      </c>
      <c r="AQ743" s="216">
        <f t="shared" si="157"/>
        <v>10881</v>
      </c>
      <c r="AR743" s="224">
        <v>61510</v>
      </c>
      <c r="AS743" s="330">
        <v>46248</v>
      </c>
      <c r="AT743" s="208" t="s">
        <v>1220</v>
      </c>
      <c r="AU743" s="252">
        <v>900</v>
      </c>
      <c r="AV743" s="252">
        <f t="shared" si="169"/>
        <v>0</v>
      </c>
      <c r="AW743" s="331"/>
      <c r="AX743" s="267" t="s">
        <v>1280</v>
      </c>
      <c r="AY743" s="208" t="s">
        <v>1317</v>
      </c>
      <c r="AZ743" s="208" t="s">
        <v>1256</v>
      </c>
      <c r="BA743" s="208"/>
      <c r="BB743" s="208" t="str">
        <f t="shared" si="158"/>
        <v>Kidland</v>
      </c>
      <c r="BC743" s="208" t="str">
        <f t="shared" si="170"/>
        <v>阿拉伯联合酋长国</v>
      </c>
    </row>
    <row r="744" s="194" customFormat="1" customHeight="1" spans="1:55">
      <c r="A744" s="208">
        <v>46178</v>
      </c>
      <c r="B744" s="208" t="str">
        <f ca="1" t="shared" si="155"/>
        <v/>
      </c>
      <c r="C744" s="211" t="str">
        <f>VLOOKUP(H744,名称!A:E,4,0)</f>
        <v>三代</v>
      </c>
      <c r="D744" s="220" t="s">
        <v>1489</v>
      </c>
      <c r="E744" s="220" t="s">
        <v>1951</v>
      </c>
      <c r="F744" s="220" t="s">
        <v>918</v>
      </c>
      <c r="G744" s="220" t="s">
        <v>919</v>
      </c>
      <c r="H744" s="220" t="s">
        <v>85</v>
      </c>
      <c r="I744" s="211"/>
      <c r="J744" s="270">
        <v>720</v>
      </c>
      <c r="K744" s="223">
        <f>VLOOKUP(H744,名称!A:C,2,0)</f>
        <v>5</v>
      </c>
      <c r="L744" s="212">
        <f t="shared" si="166"/>
        <v>3600</v>
      </c>
      <c r="M744" s="257">
        <f>VLOOKUP(H744,名称!A:E,3,0)</f>
        <v>24</v>
      </c>
      <c r="N744" s="259">
        <f t="shared" si="167"/>
        <v>30</v>
      </c>
      <c r="O744" s="271">
        <v>46237</v>
      </c>
      <c r="P744" s="271">
        <v>46230</v>
      </c>
      <c r="Q744" s="271">
        <v>46237</v>
      </c>
      <c r="R744" s="241" t="s">
        <v>1241</v>
      </c>
      <c r="S744" s="256" t="s">
        <v>1133</v>
      </c>
      <c r="T744" s="211"/>
      <c r="U744" s="211"/>
      <c r="V744" s="263">
        <v>46251</v>
      </c>
      <c r="W744" s="212" t="str">
        <f>IFERROR(VLOOKUP(H744,名称!A:F,6,0),"")</f>
        <v>湖南</v>
      </c>
      <c r="X744" s="257" t="s">
        <v>1248</v>
      </c>
      <c r="Y744" s="263">
        <v>46199</v>
      </c>
      <c r="Z744" s="257" t="s">
        <v>1249</v>
      </c>
      <c r="AA744" s="264">
        <v>46184</v>
      </c>
      <c r="AB744" s="263">
        <v>46184</v>
      </c>
      <c r="AC744" s="257" t="s">
        <v>1133</v>
      </c>
      <c r="AD744" s="257" t="s">
        <v>1133</v>
      </c>
      <c r="AE744" s="220" t="s">
        <v>510</v>
      </c>
      <c r="AF744" s="257" t="s">
        <v>1228</v>
      </c>
      <c r="AG744" s="257" t="s">
        <v>510</v>
      </c>
      <c r="AH744" s="257" t="s">
        <v>1133</v>
      </c>
      <c r="AI744" s="257" t="s">
        <v>1228</v>
      </c>
      <c r="AJ744" s="257" t="s">
        <v>1133</v>
      </c>
      <c r="AK744" s="257" t="s">
        <v>510</v>
      </c>
      <c r="AL744" s="257"/>
      <c r="AM744" s="267" t="s">
        <v>1292</v>
      </c>
      <c r="AN744" s="268" t="s">
        <v>1395</v>
      </c>
      <c r="AO744" s="247">
        <v>0.88</v>
      </c>
      <c r="AP744" s="216">
        <f t="shared" si="168"/>
        <v>633.6</v>
      </c>
      <c r="AQ744" s="216">
        <f t="shared" si="157"/>
        <v>4910.4</v>
      </c>
      <c r="AR744" s="224">
        <v>61510</v>
      </c>
      <c r="AS744" s="330">
        <v>46248</v>
      </c>
      <c r="AT744" s="208" t="s">
        <v>1220</v>
      </c>
      <c r="AU744" s="252">
        <f>672+48</f>
        <v>720</v>
      </c>
      <c r="AV744" s="252">
        <f t="shared" si="169"/>
        <v>0</v>
      </c>
      <c r="AW744" s="336" t="s">
        <v>1228</v>
      </c>
      <c r="AX744" s="274" t="s">
        <v>1280</v>
      </c>
      <c r="AY744" s="208" t="s">
        <v>1317</v>
      </c>
      <c r="AZ744" s="208" t="s">
        <v>1256</v>
      </c>
      <c r="BA744" s="208"/>
      <c r="BB744" s="208" t="str">
        <f t="shared" si="158"/>
        <v>Kidland</v>
      </c>
      <c r="BC744" s="208" t="str">
        <f t="shared" si="170"/>
        <v>阿拉伯联合酋长国</v>
      </c>
    </row>
    <row r="745" s="194" customFormat="1" customHeight="1" spans="1:55">
      <c r="A745" s="208">
        <v>46178</v>
      </c>
      <c r="B745" s="208" t="str">
        <f ca="1" t="shared" si="155"/>
        <v/>
      </c>
      <c r="C745" s="211" t="str">
        <f>VLOOKUP(H745,名称!A:E,4,0)</f>
        <v>三代</v>
      </c>
      <c r="D745" s="220" t="s">
        <v>1489</v>
      </c>
      <c r="E745" s="220" t="s">
        <v>1951</v>
      </c>
      <c r="F745" s="220" t="s">
        <v>918</v>
      </c>
      <c r="G745" s="220" t="s">
        <v>919</v>
      </c>
      <c r="H745" s="220" t="s">
        <v>179</v>
      </c>
      <c r="I745" s="211"/>
      <c r="J745" s="270">
        <v>2400</v>
      </c>
      <c r="K745" s="223">
        <f>VLOOKUP(H745,名称!A:C,2,0)</f>
        <v>0</v>
      </c>
      <c r="L745" s="212">
        <f t="shared" si="166"/>
        <v>0</v>
      </c>
      <c r="M745" s="257">
        <f>VLOOKUP(H745,名称!A:E,3,0)</f>
        <v>24</v>
      </c>
      <c r="N745" s="259">
        <f t="shared" si="167"/>
        <v>100</v>
      </c>
      <c r="O745" s="271">
        <v>46237</v>
      </c>
      <c r="P745" s="271">
        <v>46230</v>
      </c>
      <c r="Q745" s="271">
        <v>46239</v>
      </c>
      <c r="R745" s="241" t="s">
        <v>1241</v>
      </c>
      <c r="S745" s="256" t="s">
        <v>1133</v>
      </c>
      <c r="T745" s="211"/>
      <c r="U745" s="211"/>
      <c r="V745" s="263">
        <v>46251</v>
      </c>
      <c r="W745" s="212" t="str">
        <f>IFERROR(VLOOKUP(H745,名称!A:F,6,0),"")</f>
        <v>湖南</v>
      </c>
      <c r="X745" s="257" t="s">
        <v>1248</v>
      </c>
      <c r="Y745" s="263">
        <v>46199</v>
      </c>
      <c r="Z745" s="257" t="s">
        <v>1249</v>
      </c>
      <c r="AA745" s="264">
        <v>46184</v>
      </c>
      <c r="AB745" s="263">
        <v>46184</v>
      </c>
      <c r="AC745" s="257" t="s">
        <v>1133</v>
      </c>
      <c r="AD745" s="257" t="s">
        <v>1133</v>
      </c>
      <c r="AE745" s="220" t="s">
        <v>510</v>
      </c>
      <c r="AF745" s="257" t="s">
        <v>1228</v>
      </c>
      <c r="AG745" s="257" t="s">
        <v>510</v>
      </c>
      <c r="AH745" s="257" t="s">
        <v>1133</v>
      </c>
      <c r="AI745" s="257" t="s">
        <v>1228</v>
      </c>
      <c r="AJ745" s="257" t="s">
        <v>1133</v>
      </c>
      <c r="AK745" s="257" t="s">
        <v>510</v>
      </c>
      <c r="AL745" s="257"/>
      <c r="AM745" s="267" t="s">
        <v>1292</v>
      </c>
      <c r="AN745" s="257" t="s">
        <v>1251</v>
      </c>
      <c r="AO745" s="247">
        <v>0.6</v>
      </c>
      <c r="AP745" s="216">
        <f t="shared" si="168"/>
        <v>1440</v>
      </c>
      <c r="AQ745" s="216">
        <f t="shared" si="157"/>
        <v>11160</v>
      </c>
      <c r="AR745" s="224">
        <v>61510</v>
      </c>
      <c r="AS745" s="330">
        <v>46248</v>
      </c>
      <c r="AT745" s="208" t="s">
        <v>1310</v>
      </c>
      <c r="AU745" s="252">
        <v>2400</v>
      </c>
      <c r="AV745" s="252">
        <f t="shared" si="169"/>
        <v>0</v>
      </c>
      <c r="AW745" s="336" t="s">
        <v>1228</v>
      </c>
      <c r="AX745" s="256"/>
      <c r="AY745" s="208" t="s">
        <v>1317</v>
      </c>
      <c r="AZ745" s="208" t="s">
        <v>1256</v>
      </c>
      <c r="BA745" s="208"/>
      <c r="BB745" s="208" t="str">
        <f t="shared" si="158"/>
        <v>Kidland</v>
      </c>
      <c r="BC745" s="208" t="str">
        <f t="shared" si="170"/>
        <v>阿拉伯联合酋长国</v>
      </c>
    </row>
    <row r="746" s="194" customFormat="1" customHeight="1" spans="1:55">
      <c r="A746" s="208">
        <v>46178</v>
      </c>
      <c r="B746" s="208" t="str">
        <f ca="1" t="shared" si="155"/>
        <v/>
      </c>
      <c r="C746" s="211" t="str">
        <f>VLOOKUP(H746,名称!A:E,4,0)</f>
        <v>三代</v>
      </c>
      <c r="D746" s="220" t="s">
        <v>1489</v>
      </c>
      <c r="E746" s="220" t="s">
        <v>1951</v>
      </c>
      <c r="F746" s="220" t="s">
        <v>918</v>
      </c>
      <c r="G746" s="220" t="s">
        <v>919</v>
      </c>
      <c r="H746" s="220" t="s">
        <v>119</v>
      </c>
      <c r="I746" s="211"/>
      <c r="J746" s="270">
        <v>1440</v>
      </c>
      <c r="K746" s="223">
        <f>VLOOKUP(H746,名称!A:C,2,0)</f>
        <v>5</v>
      </c>
      <c r="L746" s="212">
        <f t="shared" si="166"/>
        <v>7200</v>
      </c>
      <c r="M746" s="257">
        <f>VLOOKUP(H746,名称!A:E,3,0)</f>
        <v>24</v>
      </c>
      <c r="N746" s="259">
        <f t="shared" si="167"/>
        <v>60</v>
      </c>
      <c r="O746" s="271">
        <v>46237</v>
      </c>
      <c r="P746" s="271">
        <v>46230</v>
      </c>
      <c r="Q746" s="256">
        <v>46240</v>
      </c>
      <c r="R746" s="241" t="s">
        <v>1241</v>
      </c>
      <c r="S746" s="256" t="s">
        <v>1133</v>
      </c>
      <c r="T746" s="211"/>
      <c r="U746" s="211"/>
      <c r="V746" s="263">
        <v>46251</v>
      </c>
      <c r="W746" s="212" t="str">
        <f>IFERROR(VLOOKUP(H746,名称!A:F,6,0),"")</f>
        <v>湖南</v>
      </c>
      <c r="X746" s="257" t="s">
        <v>1248</v>
      </c>
      <c r="Y746" s="263">
        <v>46199</v>
      </c>
      <c r="Z746" s="257" t="s">
        <v>1249</v>
      </c>
      <c r="AA746" s="264">
        <v>46184</v>
      </c>
      <c r="AB746" s="263">
        <v>46184</v>
      </c>
      <c r="AC746" s="257" t="s">
        <v>1133</v>
      </c>
      <c r="AD746" s="257" t="s">
        <v>1133</v>
      </c>
      <c r="AE746" s="220" t="s">
        <v>510</v>
      </c>
      <c r="AF746" s="257" t="s">
        <v>1228</v>
      </c>
      <c r="AG746" s="257" t="s">
        <v>510</v>
      </c>
      <c r="AH746" s="257" t="s">
        <v>1133</v>
      </c>
      <c r="AI746" s="257" t="s">
        <v>1228</v>
      </c>
      <c r="AJ746" s="257" t="s">
        <v>1133</v>
      </c>
      <c r="AK746" s="257" t="s">
        <v>510</v>
      </c>
      <c r="AL746" s="257"/>
      <c r="AM746" s="267" t="s">
        <v>1292</v>
      </c>
      <c r="AN746" s="257" t="s">
        <v>1251</v>
      </c>
      <c r="AO746" s="247">
        <v>0.61</v>
      </c>
      <c r="AP746" s="216">
        <f t="shared" si="168"/>
        <v>878.4</v>
      </c>
      <c r="AQ746" s="216">
        <f t="shared" si="157"/>
        <v>6807.6</v>
      </c>
      <c r="AR746" s="224">
        <v>61510</v>
      </c>
      <c r="AS746" s="330">
        <v>46248</v>
      </c>
      <c r="AT746" s="208" t="s">
        <v>1220</v>
      </c>
      <c r="AU746" s="252">
        <v>1440</v>
      </c>
      <c r="AV746" s="252">
        <f t="shared" si="169"/>
        <v>0</v>
      </c>
      <c r="AW746" s="336" t="s">
        <v>1228</v>
      </c>
      <c r="AX746" s="274" t="s">
        <v>1280</v>
      </c>
      <c r="AY746" s="208" t="s">
        <v>1317</v>
      </c>
      <c r="AZ746" s="208" t="s">
        <v>1256</v>
      </c>
      <c r="BA746" s="208"/>
      <c r="BB746" s="208" t="str">
        <f t="shared" si="158"/>
        <v>Kidland</v>
      </c>
      <c r="BC746" s="208" t="str">
        <f t="shared" si="170"/>
        <v>阿拉伯联合酋长国</v>
      </c>
    </row>
    <row r="747" s="194" customFormat="1" customHeight="1" spans="1:55">
      <c r="A747" s="208">
        <v>46178</v>
      </c>
      <c r="B747" s="208" t="str">
        <f ca="1" t="shared" ref="B747:B769" si="171">IF(TODAY()-5&gt;=A747,IF(AB747="","异常",""),"")</f>
        <v/>
      </c>
      <c r="C747" s="211" t="str">
        <f>VLOOKUP(H747,名称!A:E,4,0)</f>
        <v>三代</v>
      </c>
      <c r="D747" s="220" t="s">
        <v>1489</v>
      </c>
      <c r="E747" s="220" t="s">
        <v>1951</v>
      </c>
      <c r="F747" s="220" t="s">
        <v>918</v>
      </c>
      <c r="G747" s="220" t="s">
        <v>919</v>
      </c>
      <c r="H747" s="220" t="s">
        <v>92</v>
      </c>
      <c r="I747" s="211"/>
      <c r="J747" s="270">
        <v>3120</v>
      </c>
      <c r="K747" s="223">
        <f>VLOOKUP(H747,名称!A:C,2,0)</f>
        <v>7</v>
      </c>
      <c r="L747" s="212">
        <f t="shared" si="166"/>
        <v>21840</v>
      </c>
      <c r="M747" s="257">
        <f>VLOOKUP(H747,名称!A:E,3,0)</f>
        <v>16</v>
      </c>
      <c r="N747" s="259">
        <f t="shared" ref="N747:N769" si="172">J747/M747</f>
        <v>195</v>
      </c>
      <c r="O747" s="271">
        <v>46237</v>
      </c>
      <c r="P747" s="271">
        <v>46230</v>
      </c>
      <c r="Q747" s="271">
        <v>46237</v>
      </c>
      <c r="R747" s="241" t="s">
        <v>1241</v>
      </c>
      <c r="S747" s="256" t="s">
        <v>1133</v>
      </c>
      <c r="T747" s="211"/>
      <c r="U747" s="211"/>
      <c r="V747" s="263">
        <v>46251</v>
      </c>
      <c r="W747" s="212" t="str">
        <f>IFERROR(VLOOKUP(H747,名称!A:F,6,0),"")</f>
        <v>湖南</v>
      </c>
      <c r="X747" s="257" t="s">
        <v>1248</v>
      </c>
      <c r="Y747" s="263">
        <v>46199</v>
      </c>
      <c r="Z747" s="257" t="s">
        <v>1249</v>
      </c>
      <c r="AA747" s="264">
        <v>46184</v>
      </c>
      <c r="AB747" s="263">
        <v>46184</v>
      </c>
      <c r="AC747" s="257" t="s">
        <v>1284</v>
      </c>
      <c r="AD747" s="257" t="s">
        <v>1228</v>
      </c>
      <c r="AE747" s="220" t="s">
        <v>510</v>
      </c>
      <c r="AF747" s="257" t="s">
        <v>1228</v>
      </c>
      <c r="AG747" s="257" t="s">
        <v>510</v>
      </c>
      <c r="AH747" s="257" t="s">
        <v>1307</v>
      </c>
      <c r="AI747" s="257" t="s">
        <v>1228</v>
      </c>
      <c r="AJ747" s="257" t="s">
        <v>1133</v>
      </c>
      <c r="AK747" s="257" t="s">
        <v>1133</v>
      </c>
      <c r="AL747" s="257"/>
      <c r="AM747" s="267" t="s">
        <v>1292</v>
      </c>
      <c r="AN747" s="257" t="s">
        <v>1251</v>
      </c>
      <c r="AO747" s="247">
        <v>0.86</v>
      </c>
      <c r="AP747" s="216">
        <f t="shared" si="168"/>
        <v>2683.2</v>
      </c>
      <c r="AQ747" s="216">
        <f t="shared" si="157"/>
        <v>20794.8</v>
      </c>
      <c r="AR747" s="224">
        <v>61510</v>
      </c>
      <c r="AS747" s="330">
        <v>46248</v>
      </c>
      <c r="AT747" s="208" t="s">
        <v>1220</v>
      </c>
      <c r="AU747" s="252">
        <f>3120</f>
        <v>3120</v>
      </c>
      <c r="AV747" s="252">
        <f t="shared" ref="AV747:AV764" si="173">AU747-J747</f>
        <v>0</v>
      </c>
      <c r="AW747" s="333" t="s">
        <v>1228</v>
      </c>
      <c r="AX747" s="274" t="s">
        <v>1280</v>
      </c>
      <c r="AY747" s="208" t="s">
        <v>1317</v>
      </c>
      <c r="AZ747" s="208" t="s">
        <v>1256</v>
      </c>
      <c r="BA747" s="208"/>
      <c r="BB747" s="208" t="str">
        <f t="shared" ref="BB747:BB769" si="174">D747</f>
        <v>Kidland</v>
      </c>
      <c r="BC747" s="208" t="str">
        <f t="shared" si="170"/>
        <v>阿拉伯联合酋长国</v>
      </c>
    </row>
    <row r="748" s="194" customFormat="1" customHeight="1" spans="1:55">
      <c r="A748" s="208">
        <v>46178</v>
      </c>
      <c r="B748" s="208" t="str">
        <f ca="1" t="shared" si="171"/>
        <v/>
      </c>
      <c r="C748" s="211" t="str">
        <f>VLOOKUP(H748,名称!A:E,4,0)</f>
        <v>三代</v>
      </c>
      <c r="D748" s="220" t="s">
        <v>1489</v>
      </c>
      <c r="E748" s="220" t="s">
        <v>1951</v>
      </c>
      <c r="F748" s="220" t="s">
        <v>918</v>
      </c>
      <c r="G748" s="220" t="s">
        <v>919</v>
      </c>
      <c r="H748" s="220" t="s">
        <v>94</v>
      </c>
      <c r="I748" s="211"/>
      <c r="J748" s="270">
        <v>2880</v>
      </c>
      <c r="K748" s="223">
        <f>VLOOKUP(H748,名称!A:C,2,0)</f>
        <v>5</v>
      </c>
      <c r="L748" s="212">
        <f t="shared" si="166"/>
        <v>14400</v>
      </c>
      <c r="M748" s="257">
        <f>VLOOKUP(H748,名称!A:E,3,0)</f>
        <v>24</v>
      </c>
      <c r="N748" s="259">
        <f t="shared" si="172"/>
        <v>120</v>
      </c>
      <c r="O748" s="271">
        <v>46237</v>
      </c>
      <c r="P748" s="271">
        <v>46230</v>
      </c>
      <c r="Q748" s="271">
        <v>46238</v>
      </c>
      <c r="R748" s="241" t="s">
        <v>1241</v>
      </c>
      <c r="S748" s="256" t="s">
        <v>1133</v>
      </c>
      <c r="T748" s="211"/>
      <c r="U748" s="211"/>
      <c r="V748" s="263">
        <v>46251</v>
      </c>
      <c r="W748" s="212" t="str">
        <f>IFERROR(VLOOKUP(H748,名称!A:F,6,0),"")</f>
        <v>湖南</v>
      </c>
      <c r="X748" s="257" t="s">
        <v>1248</v>
      </c>
      <c r="Y748" s="263">
        <v>46199</v>
      </c>
      <c r="Z748" s="257" t="s">
        <v>1249</v>
      </c>
      <c r="AA748" s="264">
        <v>46184</v>
      </c>
      <c r="AB748" s="263">
        <v>46184</v>
      </c>
      <c r="AC748" s="257" t="s">
        <v>1133</v>
      </c>
      <c r="AD748" s="257" t="s">
        <v>1133</v>
      </c>
      <c r="AE748" s="220" t="s">
        <v>510</v>
      </c>
      <c r="AF748" s="257" t="s">
        <v>1228</v>
      </c>
      <c r="AG748" s="257" t="s">
        <v>510</v>
      </c>
      <c r="AH748" s="257" t="s">
        <v>1133</v>
      </c>
      <c r="AI748" s="257" t="s">
        <v>1228</v>
      </c>
      <c r="AJ748" s="257" t="s">
        <v>1133</v>
      </c>
      <c r="AK748" s="257" t="s">
        <v>510</v>
      </c>
      <c r="AL748" s="257"/>
      <c r="AM748" s="267" t="s">
        <v>1292</v>
      </c>
      <c r="AN748" s="257" t="s">
        <v>1251</v>
      </c>
      <c r="AO748" s="247">
        <v>0.62</v>
      </c>
      <c r="AP748" s="216">
        <f t="shared" si="168"/>
        <v>1785.6</v>
      </c>
      <c r="AQ748" s="216">
        <f t="shared" si="157"/>
        <v>13838.4</v>
      </c>
      <c r="AR748" s="224">
        <v>61510</v>
      </c>
      <c r="AS748" s="330">
        <v>46248</v>
      </c>
      <c r="AT748" s="208" t="s">
        <v>1220</v>
      </c>
      <c r="AU748" s="252">
        <f>2856+24</f>
        <v>2880</v>
      </c>
      <c r="AV748" s="252">
        <f t="shared" si="173"/>
        <v>0</v>
      </c>
      <c r="AW748" s="336" t="s">
        <v>1228</v>
      </c>
      <c r="AX748" s="274" t="s">
        <v>1280</v>
      </c>
      <c r="AY748" s="208" t="s">
        <v>1317</v>
      </c>
      <c r="AZ748" s="208" t="s">
        <v>1256</v>
      </c>
      <c r="BA748" s="208"/>
      <c r="BB748" s="208" t="str">
        <f t="shared" si="174"/>
        <v>Kidland</v>
      </c>
      <c r="BC748" s="208" t="str">
        <f t="shared" si="170"/>
        <v>阿拉伯联合酋长国</v>
      </c>
    </row>
    <row r="749" s="194" customFormat="1" customHeight="1" spans="1:55">
      <c r="A749" s="208">
        <v>46178</v>
      </c>
      <c r="B749" s="208" t="str">
        <f ca="1" t="shared" si="171"/>
        <v/>
      </c>
      <c r="C749" s="211" t="str">
        <f>VLOOKUP(H749,名称!A:E,4,0)</f>
        <v>三代</v>
      </c>
      <c r="D749" s="220" t="s">
        <v>1489</v>
      </c>
      <c r="E749" s="220" t="s">
        <v>1951</v>
      </c>
      <c r="F749" s="220" t="s">
        <v>918</v>
      </c>
      <c r="G749" s="220" t="s">
        <v>919</v>
      </c>
      <c r="H749" s="220" t="s">
        <v>95</v>
      </c>
      <c r="I749" s="211"/>
      <c r="J749" s="270">
        <v>1008</v>
      </c>
      <c r="K749" s="223">
        <f>VLOOKUP(H749,名称!A:C,2,0)</f>
        <v>32</v>
      </c>
      <c r="L749" s="212">
        <f t="shared" si="166"/>
        <v>32256</v>
      </c>
      <c r="M749" s="257">
        <f>VLOOKUP(H749,名称!A:E,3,0)</f>
        <v>4</v>
      </c>
      <c r="N749" s="259">
        <f t="shared" si="172"/>
        <v>252</v>
      </c>
      <c r="O749" s="271">
        <v>46237</v>
      </c>
      <c r="P749" s="271">
        <v>46230</v>
      </c>
      <c r="Q749" s="256">
        <v>46238</v>
      </c>
      <c r="R749" s="241" t="s">
        <v>1241</v>
      </c>
      <c r="S749" s="256" t="s">
        <v>1133</v>
      </c>
      <c r="T749" s="211"/>
      <c r="U749" s="211"/>
      <c r="V749" s="263">
        <v>46251</v>
      </c>
      <c r="W749" s="212" t="str">
        <f>IFERROR(VLOOKUP(H749,名称!A:F,6,0),"")</f>
        <v>湖南</v>
      </c>
      <c r="X749" s="257" t="s">
        <v>1248</v>
      </c>
      <c r="Y749" s="263">
        <v>46199</v>
      </c>
      <c r="Z749" s="257" t="s">
        <v>1249</v>
      </c>
      <c r="AA749" s="264">
        <v>46184</v>
      </c>
      <c r="AB749" s="263">
        <v>46184</v>
      </c>
      <c r="AC749" s="257" t="s">
        <v>1133</v>
      </c>
      <c r="AD749" s="257" t="s">
        <v>1133</v>
      </c>
      <c r="AE749" s="220" t="s">
        <v>510</v>
      </c>
      <c r="AF749" s="257" t="s">
        <v>1228</v>
      </c>
      <c r="AG749" s="257" t="s">
        <v>510</v>
      </c>
      <c r="AH749" s="257" t="s">
        <v>1307</v>
      </c>
      <c r="AI749" s="257" t="s">
        <v>1228</v>
      </c>
      <c r="AJ749" s="257" t="s">
        <v>1133</v>
      </c>
      <c r="AK749" s="257" t="s">
        <v>1133</v>
      </c>
      <c r="AL749" s="257"/>
      <c r="AM749" s="267" t="s">
        <v>1292</v>
      </c>
      <c r="AN749" s="257" t="s">
        <v>1251</v>
      </c>
      <c r="AO749" s="247">
        <v>3.09</v>
      </c>
      <c r="AP749" s="216">
        <f t="shared" si="168"/>
        <v>3114.72</v>
      </c>
      <c r="AQ749" s="216">
        <f t="shared" si="157"/>
        <v>24139.08</v>
      </c>
      <c r="AR749" s="224">
        <v>61510</v>
      </c>
      <c r="AS749" s="330">
        <v>46248</v>
      </c>
      <c r="AT749" s="208" t="s">
        <v>1220</v>
      </c>
      <c r="AU749" s="252">
        <v>1008</v>
      </c>
      <c r="AV749" s="252">
        <f t="shared" si="173"/>
        <v>0</v>
      </c>
      <c r="AW749" s="333" t="s">
        <v>1228</v>
      </c>
      <c r="AX749" s="267" t="s">
        <v>1280</v>
      </c>
      <c r="AY749" s="208" t="s">
        <v>1317</v>
      </c>
      <c r="AZ749" s="208" t="s">
        <v>1256</v>
      </c>
      <c r="BA749" s="208"/>
      <c r="BB749" s="208" t="str">
        <f t="shared" si="174"/>
        <v>Kidland</v>
      </c>
      <c r="BC749" s="208" t="str">
        <f t="shared" si="170"/>
        <v>阿拉伯联合酋长国</v>
      </c>
    </row>
    <row r="750" s="194" customFormat="1" customHeight="1" spans="1:55">
      <c r="A750" s="208">
        <v>46178</v>
      </c>
      <c r="B750" s="208" t="str">
        <f ca="1" t="shared" si="171"/>
        <v/>
      </c>
      <c r="C750" s="211" t="str">
        <f>VLOOKUP(H750,名称!A:E,4,0)</f>
        <v>三代</v>
      </c>
      <c r="D750" s="220" t="s">
        <v>1489</v>
      </c>
      <c r="E750" s="220" t="s">
        <v>1951</v>
      </c>
      <c r="F750" s="220" t="s">
        <v>918</v>
      </c>
      <c r="G750" s="220" t="s">
        <v>919</v>
      </c>
      <c r="H750" s="220" t="s">
        <v>97</v>
      </c>
      <c r="I750" s="211"/>
      <c r="J750" s="270">
        <v>1536</v>
      </c>
      <c r="K750" s="223">
        <f>VLOOKUP(H750,名称!A:C,2,0)</f>
        <v>5</v>
      </c>
      <c r="L750" s="212">
        <f t="shared" si="166"/>
        <v>7680</v>
      </c>
      <c r="M750" s="257">
        <f>VLOOKUP(H750,名称!A:E,3,0)</f>
        <v>24</v>
      </c>
      <c r="N750" s="259">
        <f t="shared" si="172"/>
        <v>64</v>
      </c>
      <c r="O750" s="271">
        <v>46237</v>
      </c>
      <c r="P750" s="271">
        <v>46230</v>
      </c>
      <c r="Q750" s="271">
        <v>46239</v>
      </c>
      <c r="R750" s="241" t="s">
        <v>1241</v>
      </c>
      <c r="S750" s="256" t="s">
        <v>1133</v>
      </c>
      <c r="T750" s="211"/>
      <c r="U750" s="211"/>
      <c r="V750" s="263">
        <v>46251</v>
      </c>
      <c r="W750" s="212" t="str">
        <f>IFERROR(VLOOKUP(H750,名称!A:F,6,0),"")</f>
        <v>湖南</v>
      </c>
      <c r="X750" s="257" t="s">
        <v>1248</v>
      </c>
      <c r="Y750" s="263">
        <v>46199</v>
      </c>
      <c r="Z750" s="257" t="s">
        <v>1249</v>
      </c>
      <c r="AA750" s="264">
        <v>46184</v>
      </c>
      <c r="AB750" s="263">
        <v>46184</v>
      </c>
      <c r="AC750" s="257" t="s">
        <v>1133</v>
      </c>
      <c r="AD750" s="257" t="s">
        <v>1133</v>
      </c>
      <c r="AE750" s="220" t="s">
        <v>510</v>
      </c>
      <c r="AF750" s="257" t="s">
        <v>1228</v>
      </c>
      <c r="AG750" s="257" t="s">
        <v>510</v>
      </c>
      <c r="AH750" s="257" t="s">
        <v>1133</v>
      </c>
      <c r="AI750" s="257" t="s">
        <v>1228</v>
      </c>
      <c r="AJ750" s="257" t="s">
        <v>1133</v>
      </c>
      <c r="AK750" s="257" t="s">
        <v>510</v>
      </c>
      <c r="AL750" s="257"/>
      <c r="AM750" s="267" t="s">
        <v>1292</v>
      </c>
      <c r="AN750" s="257" t="s">
        <v>1251</v>
      </c>
      <c r="AO750" s="247">
        <v>0.62</v>
      </c>
      <c r="AP750" s="216">
        <f t="shared" si="168"/>
        <v>952.32</v>
      </c>
      <c r="AQ750" s="216">
        <f t="shared" si="157"/>
        <v>7380.48</v>
      </c>
      <c r="AR750" s="224">
        <v>61510</v>
      </c>
      <c r="AS750" s="330">
        <v>46248</v>
      </c>
      <c r="AT750" s="208" t="s">
        <v>1220</v>
      </c>
      <c r="AU750" s="252">
        <f>1512+24</f>
        <v>1536</v>
      </c>
      <c r="AV750" s="252">
        <f t="shared" si="173"/>
        <v>0</v>
      </c>
      <c r="AW750" s="336" t="s">
        <v>1228</v>
      </c>
      <c r="AX750" s="274" t="s">
        <v>1280</v>
      </c>
      <c r="AY750" s="208" t="s">
        <v>1317</v>
      </c>
      <c r="AZ750" s="208" t="s">
        <v>1256</v>
      </c>
      <c r="BA750" s="208"/>
      <c r="BB750" s="208" t="str">
        <f t="shared" si="174"/>
        <v>Kidland</v>
      </c>
      <c r="BC750" s="208" t="str">
        <f t="shared" si="170"/>
        <v>阿拉伯联合酋长国</v>
      </c>
    </row>
    <row r="751" s="194" customFormat="1" customHeight="1" spans="1:55">
      <c r="A751" s="208">
        <v>46178</v>
      </c>
      <c r="B751" s="208" t="str">
        <f ca="1" t="shared" si="171"/>
        <v/>
      </c>
      <c r="C751" s="211" t="str">
        <f>VLOOKUP(H751,名称!A:E,4,0)</f>
        <v>三代</v>
      </c>
      <c r="D751" s="220" t="s">
        <v>1489</v>
      </c>
      <c r="E751" s="220" t="s">
        <v>1951</v>
      </c>
      <c r="F751" s="220" t="s">
        <v>918</v>
      </c>
      <c r="G751" s="220" t="s">
        <v>919</v>
      </c>
      <c r="H751" s="220" t="s">
        <v>98</v>
      </c>
      <c r="I751" s="211"/>
      <c r="J751" s="270">
        <v>1200</v>
      </c>
      <c r="K751" s="223">
        <f>VLOOKUP(H751,名称!A:C,2,0)</f>
        <v>12</v>
      </c>
      <c r="L751" s="212">
        <f t="shared" si="166"/>
        <v>14400</v>
      </c>
      <c r="M751" s="257">
        <f>VLOOKUP(H751,名称!A:E,3,0)</f>
        <v>12</v>
      </c>
      <c r="N751" s="259">
        <f t="shared" si="172"/>
        <v>100</v>
      </c>
      <c r="O751" s="271">
        <v>46237</v>
      </c>
      <c r="P751" s="271">
        <v>46230</v>
      </c>
      <c r="Q751" s="256">
        <v>46239</v>
      </c>
      <c r="R751" s="241" t="s">
        <v>1241</v>
      </c>
      <c r="S751" s="256" t="s">
        <v>1133</v>
      </c>
      <c r="T751" s="211"/>
      <c r="U751" s="211"/>
      <c r="V751" s="263">
        <v>46251</v>
      </c>
      <c r="W751" s="212" t="str">
        <f>IFERROR(VLOOKUP(H751,名称!A:F,6,0),"")</f>
        <v>湖南</v>
      </c>
      <c r="X751" s="257" t="s">
        <v>1248</v>
      </c>
      <c r="Y751" s="263">
        <v>46199</v>
      </c>
      <c r="Z751" s="257" t="s">
        <v>1249</v>
      </c>
      <c r="AA751" s="264">
        <v>46184</v>
      </c>
      <c r="AB751" s="263">
        <v>46184</v>
      </c>
      <c r="AC751" s="257" t="s">
        <v>1302</v>
      </c>
      <c r="AD751" s="257" t="s">
        <v>1133</v>
      </c>
      <c r="AE751" s="220" t="s">
        <v>510</v>
      </c>
      <c r="AF751" s="257" t="s">
        <v>1228</v>
      </c>
      <c r="AG751" s="257" t="s">
        <v>510</v>
      </c>
      <c r="AH751" s="257" t="s">
        <v>1307</v>
      </c>
      <c r="AI751" s="257" t="s">
        <v>1228</v>
      </c>
      <c r="AJ751" s="257" t="s">
        <v>1133</v>
      </c>
      <c r="AK751" s="257" t="s">
        <v>1133</v>
      </c>
      <c r="AL751" s="257"/>
      <c r="AM751" s="267" t="s">
        <v>1292</v>
      </c>
      <c r="AN751" s="257" t="s">
        <v>1251</v>
      </c>
      <c r="AO751" s="247">
        <v>1.58</v>
      </c>
      <c r="AP751" s="216">
        <f t="shared" si="168"/>
        <v>1896</v>
      </c>
      <c r="AQ751" s="216">
        <f t="shared" si="157"/>
        <v>14694</v>
      </c>
      <c r="AR751" s="224">
        <v>61510</v>
      </c>
      <c r="AS751" s="330">
        <v>46248</v>
      </c>
      <c r="AT751" s="208" t="s">
        <v>1220</v>
      </c>
      <c r="AU751" s="252">
        <v>1200</v>
      </c>
      <c r="AV751" s="252">
        <f t="shared" si="173"/>
        <v>0</v>
      </c>
      <c r="AW751" s="333" t="s">
        <v>1228</v>
      </c>
      <c r="AX751" s="267" t="s">
        <v>1280</v>
      </c>
      <c r="AY751" s="208" t="s">
        <v>1317</v>
      </c>
      <c r="AZ751" s="208" t="s">
        <v>1256</v>
      </c>
      <c r="BA751" s="208"/>
      <c r="BB751" s="208" t="str">
        <f t="shared" si="174"/>
        <v>Kidland</v>
      </c>
      <c r="BC751" s="208" t="str">
        <f t="shared" si="170"/>
        <v>阿拉伯联合酋长国</v>
      </c>
    </row>
    <row r="752" s="194" customFormat="1" customHeight="1" spans="1:55">
      <c r="A752" s="227">
        <v>46178</v>
      </c>
      <c r="B752" s="208" t="str">
        <f ca="1" t="shared" si="171"/>
        <v/>
      </c>
      <c r="C752" s="209" t="str">
        <f>VLOOKUP(H752,名称!A:E,4,0)</f>
        <v>二代</v>
      </c>
      <c r="D752" s="209" t="s">
        <v>1489</v>
      </c>
      <c r="E752" s="209" t="s">
        <v>1951</v>
      </c>
      <c r="F752" s="209" t="s">
        <v>918</v>
      </c>
      <c r="G752" s="209" t="s">
        <v>919</v>
      </c>
      <c r="H752" s="209" t="s">
        <v>65</v>
      </c>
      <c r="I752" s="209"/>
      <c r="J752" s="229">
        <v>2400</v>
      </c>
      <c r="K752" s="230"/>
      <c r="L752" s="229"/>
      <c r="M752" s="211">
        <f>VLOOKUP(H752,名称!A:E,3,0)</f>
        <v>24</v>
      </c>
      <c r="N752" s="212">
        <f t="shared" si="172"/>
        <v>100</v>
      </c>
      <c r="O752" s="227">
        <v>46237</v>
      </c>
      <c r="P752" s="273">
        <v>46230</v>
      </c>
      <c r="Q752" s="273">
        <v>46237</v>
      </c>
      <c r="R752" s="241" t="s">
        <v>1241</v>
      </c>
      <c r="S752" s="227" t="s">
        <v>1133</v>
      </c>
      <c r="T752" s="209"/>
      <c r="U752" s="209"/>
      <c r="V752" s="209"/>
      <c r="W752" s="241" t="str">
        <f>IFERROR(VLOOKUP(H752,名称!A:F,6,0),"")</f>
        <v>湖南</v>
      </c>
      <c r="X752" s="209" t="s">
        <v>1248</v>
      </c>
      <c r="Y752" s="257" t="s">
        <v>1228</v>
      </c>
      <c r="Z752" s="209" t="s">
        <v>1249</v>
      </c>
      <c r="AA752" s="233">
        <v>46184</v>
      </c>
      <c r="AB752" s="232">
        <v>46184</v>
      </c>
      <c r="AC752" s="209" t="s">
        <v>1133</v>
      </c>
      <c r="AD752" s="209" t="s">
        <v>1133</v>
      </c>
      <c r="AE752" s="209" t="s">
        <v>510</v>
      </c>
      <c r="AF752" s="211" t="s">
        <v>1228</v>
      </c>
      <c r="AG752" s="209" t="s">
        <v>510</v>
      </c>
      <c r="AH752" s="209" t="s">
        <v>1133</v>
      </c>
      <c r="AI752" s="211" t="s">
        <v>1228</v>
      </c>
      <c r="AJ752" s="209" t="s">
        <v>1133</v>
      </c>
      <c r="AK752" s="209" t="s">
        <v>327</v>
      </c>
      <c r="AL752" s="211" t="s">
        <v>1228</v>
      </c>
      <c r="AM752" s="209"/>
      <c r="AN752" s="209" t="s">
        <v>1251</v>
      </c>
      <c r="AO752" s="353">
        <v>0.61</v>
      </c>
      <c r="AP752" s="235">
        <f t="shared" si="168"/>
        <v>1464</v>
      </c>
      <c r="AQ752" s="235">
        <f t="shared" si="157"/>
        <v>11346</v>
      </c>
      <c r="AR752" s="224">
        <v>61510</v>
      </c>
      <c r="AS752" s="330">
        <v>46248</v>
      </c>
      <c r="AT752" s="256" t="s">
        <v>1220</v>
      </c>
      <c r="AU752" s="252">
        <v>2400</v>
      </c>
      <c r="AV752" s="252">
        <f t="shared" si="173"/>
        <v>0</v>
      </c>
      <c r="AW752" s="336" t="s">
        <v>1228</v>
      </c>
      <c r="AX752" s="227"/>
      <c r="AY752" s="227"/>
      <c r="AZ752" s="227"/>
      <c r="BA752" s="227"/>
      <c r="BB752" s="212" t="str">
        <f t="shared" si="174"/>
        <v>Kidland</v>
      </c>
      <c r="BC752" s="208" t="str">
        <f t="shared" si="170"/>
        <v>阿拉伯联合酋长国</v>
      </c>
    </row>
    <row r="753" s="194" customFormat="1" customHeight="1" spans="1:55">
      <c r="A753" s="208">
        <v>46155</v>
      </c>
      <c r="B753" s="208" t="str">
        <f ca="1" t="shared" si="171"/>
        <v/>
      </c>
      <c r="C753" s="211" t="str">
        <f>VLOOKUP(H753,名称!A:E,4,0)</f>
        <v>三代</v>
      </c>
      <c r="D753" s="220" t="s">
        <v>1489</v>
      </c>
      <c r="E753" s="220" t="s">
        <v>1934</v>
      </c>
      <c r="F753" s="220"/>
      <c r="G753" s="220" t="s">
        <v>843</v>
      </c>
      <c r="H753" s="220" t="s">
        <v>71</v>
      </c>
      <c r="I753" s="211"/>
      <c r="J753" s="270">
        <f>1500-300</f>
        <v>1200</v>
      </c>
      <c r="K753" s="223">
        <f>VLOOKUP(H753,名称!A:C,2,0)</f>
        <v>50</v>
      </c>
      <c r="L753" s="212">
        <f t="shared" ref="L753:L769" si="175">J753*K753</f>
        <v>60000</v>
      </c>
      <c r="M753" s="257">
        <f>VLOOKUP(H753,名称!A:E,3,0)</f>
        <v>4</v>
      </c>
      <c r="N753" s="259">
        <f t="shared" si="172"/>
        <v>300</v>
      </c>
      <c r="O753" s="271">
        <v>46213</v>
      </c>
      <c r="P753" s="271">
        <f>O753</f>
        <v>46213</v>
      </c>
      <c r="Q753" s="208">
        <v>46216</v>
      </c>
      <c r="R753" s="241" t="s">
        <v>1241</v>
      </c>
      <c r="S753" s="256" t="s">
        <v>1133</v>
      </c>
      <c r="T753" s="211"/>
      <c r="U753" s="211"/>
      <c r="V753" s="213">
        <v>46251</v>
      </c>
      <c r="W753" s="212" t="str">
        <f>IFERROR(VLOOKUP(H753,名称!A:F,6,0),"")</f>
        <v>东莞</v>
      </c>
      <c r="X753" s="220" t="s">
        <v>1248</v>
      </c>
      <c r="Y753" s="213">
        <v>46193</v>
      </c>
      <c r="Z753" s="257" t="s">
        <v>1249</v>
      </c>
      <c r="AA753" s="264">
        <v>46167</v>
      </c>
      <c r="AB753" s="264">
        <v>46177</v>
      </c>
      <c r="AC753" s="257" t="s">
        <v>1308</v>
      </c>
      <c r="AD753" s="257" t="s">
        <v>1228</v>
      </c>
      <c r="AE753" s="211" t="s">
        <v>510</v>
      </c>
      <c r="AF753" s="257" t="s">
        <v>1228</v>
      </c>
      <c r="AG753" s="257" t="s">
        <v>510</v>
      </c>
      <c r="AH753" s="257" t="s">
        <v>1307</v>
      </c>
      <c r="AI753" s="257" t="s">
        <v>1228</v>
      </c>
      <c r="AJ753" s="257" t="s">
        <v>510</v>
      </c>
      <c r="AK753" s="257" t="s">
        <v>1133</v>
      </c>
      <c r="AL753" s="257"/>
      <c r="AM753" s="329" t="s">
        <v>1292</v>
      </c>
      <c r="AN753" s="268" t="s">
        <v>1952</v>
      </c>
      <c r="AO753" s="247">
        <v>6.87</v>
      </c>
      <c r="AP753" s="216">
        <f t="shared" si="168"/>
        <v>8244</v>
      </c>
      <c r="AQ753" s="216">
        <f t="shared" si="157"/>
        <v>63891</v>
      </c>
      <c r="AR753" s="224">
        <v>61511</v>
      </c>
      <c r="AS753" s="330">
        <v>46248</v>
      </c>
      <c r="AT753" s="208" t="s">
        <v>1220</v>
      </c>
      <c r="AU753" s="252"/>
      <c r="AV753" s="252">
        <f t="shared" si="173"/>
        <v>-1200</v>
      </c>
      <c r="AW753" s="331"/>
      <c r="AX753" s="256"/>
      <c r="AY753" s="208"/>
      <c r="AZ753" s="274" t="s">
        <v>1256</v>
      </c>
      <c r="BA753" s="208"/>
      <c r="BB753" s="208" t="str">
        <f t="shared" si="174"/>
        <v>Kidland</v>
      </c>
      <c r="BC753" s="208" t="str">
        <f t="shared" si="170"/>
        <v>阿拉伯</v>
      </c>
    </row>
    <row r="754" s="194" customFormat="1" customHeight="1" spans="1:55">
      <c r="A754" s="208">
        <v>46155</v>
      </c>
      <c r="B754" s="208" t="str">
        <f ca="1" t="shared" si="171"/>
        <v/>
      </c>
      <c r="C754" s="211" t="str">
        <f>VLOOKUP(H754,名称!A:E,4,0)</f>
        <v>三代</v>
      </c>
      <c r="D754" s="220" t="s">
        <v>1489</v>
      </c>
      <c r="E754" s="220" t="s">
        <v>1934</v>
      </c>
      <c r="F754" s="220"/>
      <c r="G754" s="220" t="s">
        <v>843</v>
      </c>
      <c r="H754" s="220" t="s">
        <v>108</v>
      </c>
      <c r="I754" s="211"/>
      <c r="J754" s="270">
        <f>1500-300</f>
        <v>1200</v>
      </c>
      <c r="K754" s="223">
        <f>VLOOKUP(H754,名称!A:C,2,0)</f>
        <v>50</v>
      </c>
      <c r="L754" s="212">
        <f t="shared" si="175"/>
        <v>60000</v>
      </c>
      <c r="M754" s="257">
        <f>VLOOKUP(H754,名称!A:E,3,0)</f>
        <v>4</v>
      </c>
      <c r="N754" s="259">
        <f t="shared" si="172"/>
        <v>300</v>
      </c>
      <c r="O754" s="271">
        <v>46213</v>
      </c>
      <c r="P754" s="271">
        <f>O754</f>
        <v>46213</v>
      </c>
      <c r="Q754" s="256">
        <v>46216</v>
      </c>
      <c r="R754" s="241" t="s">
        <v>1241</v>
      </c>
      <c r="S754" s="256" t="s">
        <v>1133</v>
      </c>
      <c r="T754" s="211"/>
      <c r="U754" s="211"/>
      <c r="V754" s="263">
        <v>46251</v>
      </c>
      <c r="W754" s="212" t="str">
        <f>IFERROR(VLOOKUP(H754,名称!A:F,6,0),"")</f>
        <v>东莞</v>
      </c>
      <c r="X754" s="220" t="s">
        <v>1248</v>
      </c>
      <c r="Y754" s="263">
        <v>46193</v>
      </c>
      <c r="Z754" s="257" t="s">
        <v>1249</v>
      </c>
      <c r="AA754" s="264">
        <v>46167</v>
      </c>
      <c r="AB754" s="264">
        <v>46177</v>
      </c>
      <c r="AC754" s="257" t="s">
        <v>1308</v>
      </c>
      <c r="AD754" s="257" t="s">
        <v>1228</v>
      </c>
      <c r="AE754" s="211" t="s">
        <v>510</v>
      </c>
      <c r="AF754" s="257" t="s">
        <v>1228</v>
      </c>
      <c r="AG754" s="257" t="s">
        <v>510</v>
      </c>
      <c r="AH754" s="257" t="s">
        <v>1307</v>
      </c>
      <c r="AI754" s="257" t="s">
        <v>1228</v>
      </c>
      <c r="AJ754" s="257" t="s">
        <v>510</v>
      </c>
      <c r="AK754" s="257" t="s">
        <v>1133</v>
      </c>
      <c r="AL754" s="257"/>
      <c r="AM754" s="329" t="s">
        <v>1292</v>
      </c>
      <c r="AN754" s="267" t="s">
        <v>1952</v>
      </c>
      <c r="AO754" s="247">
        <v>7.02</v>
      </c>
      <c r="AP754" s="216">
        <f t="shared" si="168"/>
        <v>8424</v>
      </c>
      <c r="AQ754" s="216">
        <f t="shared" si="157"/>
        <v>65286</v>
      </c>
      <c r="AR754" s="224">
        <v>61511</v>
      </c>
      <c r="AS754" s="330">
        <v>46248</v>
      </c>
      <c r="AT754" s="273" t="s">
        <v>1220</v>
      </c>
      <c r="AU754" s="252"/>
      <c r="AV754" s="252">
        <f t="shared" si="173"/>
        <v>-1200</v>
      </c>
      <c r="AW754" s="331"/>
      <c r="AX754" s="256"/>
      <c r="AY754" s="208"/>
      <c r="AZ754" s="274" t="s">
        <v>1256</v>
      </c>
      <c r="BA754" s="208"/>
      <c r="BB754" s="273" t="str">
        <f t="shared" si="174"/>
        <v>Kidland</v>
      </c>
      <c r="BC754" s="273" t="str">
        <f t="shared" si="170"/>
        <v>阿拉伯</v>
      </c>
    </row>
    <row r="755" s="194" customFormat="1" customHeight="1" spans="1:55">
      <c r="A755" s="208">
        <v>46139</v>
      </c>
      <c r="B755" s="208" t="str">
        <f ca="1" t="shared" si="171"/>
        <v/>
      </c>
      <c r="C755" s="211" t="str">
        <f>VLOOKUP(H755,名称!A:E,4,0)</f>
        <v>三代</v>
      </c>
      <c r="D755" s="220" t="s">
        <v>1330</v>
      </c>
      <c r="E755" s="220" t="s">
        <v>1336</v>
      </c>
      <c r="F755" s="220" t="s">
        <v>787</v>
      </c>
      <c r="G755" s="220" t="s">
        <v>788</v>
      </c>
      <c r="H755" s="220" t="s">
        <v>152</v>
      </c>
      <c r="I755" s="211"/>
      <c r="J755" s="270">
        <v>192</v>
      </c>
      <c r="K755" s="223">
        <f>VLOOKUP(H755,名称!A:C,2,0)</f>
        <v>12</v>
      </c>
      <c r="L755" s="212">
        <f t="shared" si="175"/>
        <v>2304</v>
      </c>
      <c r="M755" s="211">
        <f>VLOOKUP(H755,名称!A:E,3,0)</f>
        <v>96</v>
      </c>
      <c r="N755" s="212">
        <f t="shared" si="172"/>
        <v>2</v>
      </c>
      <c r="O755" s="271">
        <v>46199</v>
      </c>
      <c r="P755" s="256">
        <v>46219</v>
      </c>
      <c r="Q755" s="256">
        <v>46219</v>
      </c>
      <c r="R755" s="241" t="s">
        <v>1331</v>
      </c>
      <c r="S755" s="256" t="s">
        <v>1133</v>
      </c>
      <c r="T755" s="211"/>
      <c r="U755" s="211"/>
      <c r="V755" s="211"/>
      <c r="W755" s="212" t="str">
        <f>IFERROR(VLOOKUP(H755,名称!A:F,6,0),"")</f>
        <v>湖南</v>
      </c>
      <c r="X755" s="257" t="s">
        <v>1332</v>
      </c>
      <c r="Y755" s="257" t="s">
        <v>1233</v>
      </c>
      <c r="Z755" s="263">
        <v>46163</v>
      </c>
      <c r="AA755" s="264">
        <v>46172</v>
      </c>
      <c r="AB755" s="263">
        <v>46189</v>
      </c>
      <c r="AC755" s="257" t="s">
        <v>1333</v>
      </c>
      <c r="AD755" s="267" t="s">
        <v>1228</v>
      </c>
      <c r="AE755" s="220" t="s">
        <v>510</v>
      </c>
      <c r="AF755" s="257" t="s">
        <v>1228</v>
      </c>
      <c r="AG755" s="257" t="s">
        <v>341</v>
      </c>
      <c r="AH755" s="257" t="s">
        <v>1133</v>
      </c>
      <c r="AI755" s="257" t="s">
        <v>1228</v>
      </c>
      <c r="AJ755" s="257" t="s">
        <v>1133</v>
      </c>
      <c r="AK755" s="257" t="s">
        <v>1133</v>
      </c>
      <c r="AL755" s="257"/>
      <c r="AM755" s="257" t="s">
        <v>1334</v>
      </c>
      <c r="AN755" s="268" t="s">
        <v>1953</v>
      </c>
      <c r="AO755" s="247">
        <v>1.27</v>
      </c>
      <c r="AP755" s="216">
        <f t="shared" si="168"/>
        <v>243.84</v>
      </c>
      <c r="AQ755" s="216">
        <f t="shared" si="157"/>
        <v>1889.76</v>
      </c>
      <c r="AR755" s="224">
        <v>61515</v>
      </c>
      <c r="AS755" s="330">
        <v>46248</v>
      </c>
      <c r="AT755" s="273" t="s">
        <v>1220</v>
      </c>
      <c r="AU755" s="253">
        <v>192</v>
      </c>
      <c r="AV755" s="252">
        <f t="shared" si="173"/>
        <v>0</v>
      </c>
      <c r="AW755" s="222" t="s">
        <v>1228</v>
      </c>
      <c r="AX755" s="274" t="s">
        <v>1280</v>
      </c>
      <c r="AY755" s="208"/>
      <c r="AZ755" s="208"/>
      <c r="BA755" s="208"/>
      <c r="BB755" s="208" t="str">
        <f t="shared" si="174"/>
        <v>Amazon</v>
      </c>
      <c r="BC755" s="208" t="str">
        <f t="shared" si="170"/>
        <v>美国(空运)</v>
      </c>
    </row>
    <row r="756" s="194" customFormat="1" customHeight="1" spans="1:55">
      <c r="A756" s="208">
        <v>46139</v>
      </c>
      <c r="B756" s="208" t="str">
        <f ca="1" t="shared" si="171"/>
        <v/>
      </c>
      <c r="C756" s="211" t="str">
        <f>VLOOKUP(H756,名称!A:E,4,0)</f>
        <v>三代</v>
      </c>
      <c r="D756" s="220" t="s">
        <v>1330</v>
      </c>
      <c r="E756" s="220" t="s">
        <v>1336</v>
      </c>
      <c r="F756" s="220" t="s">
        <v>787</v>
      </c>
      <c r="G756" s="220" t="s">
        <v>788</v>
      </c>
      <c r="H756" s="220" t="s">
        <v>153</v>
      </c>
      <c r="I756" s="211"/>
      <c r="J756" s="270">
        <v>192</v>
      </c>
      <c r="K756" s="223">
        <f>VLOOKUP(H756,名称!A:C,2,0)</f>
        <v>12</v>
      </c>
      <c r="L756" s="212">
        <f t="shared" si="175"/>
        <v>2304</v>
      </c>
      <c r="M756" s="211">
        <f>VLOOKUP(H756,名称!A:E,3,0)</f>
        <v>96</v>
      </c>
      <c r="N756" s="212">
        <f t="shared" si="172"/>
        <v>2</v>
      </c>
      <c r="O756" s="271">
        <v>46199</v>
      </c>
      <c r="P756" s="256">
        <v>46219</v>
      </c>
      <c r="Q756" s="256">
        <v>46219</v>
      </c>
      <c r="R756" s="241" t="s">
        <v>1331</v>
      </c>
      <c r="S756" s="256" t="s">
        <v>1133</v>
      </c>
      <c r="T756" s="211"/>
      <c r="U756" s="211"/>
      <c r="V756" s="211"/>
      <c r="W756" s="212" t="str">
        <f>IFERROR(VLOOKUP(H756,名称!A:F,6,0),"")</f>
        <v>湖南</v>
      </c>
      <c r="X756" s="257" t="s">
        <v>1332</v>
      </c>
      <c r="Y756" s="257" t="s">
        <v>1233</v>
      </c>
      <c r="Z756" s="263">
        <v>46163</v>
      </c>
      <c r="AA756" s="264">
        <v>46172</v>
      </c>
      <c r="AB756" s="263">
        <v>46189</v>
      </c>
      <c r="AC756" s="257" t="s">
        <v>1333</v>
      </c>
      <c r="AD756" s="267" t="s">
        <v>1228</v>
      </c>
      <c r="AE756" s="220" t="s">
        <v>510</v>
      </c>
      <c r="AF756" s="257" t="s">
        <v>1228</v>
      </c>
      <c r="AG756" s="257" t="s">
        <v>341</v>
      </c>
      <c r="AH756" s="257" t="s">
        <v>1133</v>
      </c>
      <c r="AI756" s="257" t="s">
        <v>1228</v>
      </c>
      <c r="AJ756" s="257" t="s">
        <v>1133</v>
      </c>
      <c r="AK756" s="257" t="s">
        <v>1133</v>
      </c>
      <c r="AL756" s="257"/>
      <c r="AM756" s="257" t="s">
        <v>1334</v>
      </c>
      <c r="AN756" s="268" t="s">
        <v>1953</v>
      </c>
      <c r="AO756" s="247">
        <v>1.27</v>
      </c>
      <c r="AP756" s="216">
        <f t="shared" si="168"/>
        <v>243.84</v>
      </c>
      <c r="AQ756" s="216">
        <f t="shared" si="157"/>
        <v>1889.76</v>
      </c>
      <c r="AR756" s="224">
        <v>61515</v>
      </c>
      <c r="AS756" s="330">
        <v>46248</v>
      </c>
      <c r="AT756" s="273" t="s">
        <v>1220</v>
      </c>
      <c r="AU756" s="253">
        <v>192</v>
      </c>
      <c r="AV756" s="252">
        <f t="shared" si="173"/>
        <v>0</v>
      </c>
      <c r="AW756" s="222" t="s">
        <v>1228</v>
      </c>
      <c r="AX756" s="274" t="s">
        <v>1280</v>
      </c>
      <c r="AY756" s="208"/>
      <c r="AZ756" s="208"/>
      <c r="BA756" s="208"/>
      <c r="BB756" s="208" t="str">
        <f t="shared" si="174"/>
        <v>Amazon</v>
      </c>
      <c r="BC756" s="208" t="str">
        <f t="shared" si="170"/>
        <v>美国(空运)</v>
      </c>
    </row>
    <row r="757" s="194" customFormat="1" customHeight="1" spans="1:55">
      <c r="A757" s="208">
        <v>46139</v>
      </c>
      <c r="B757" s="208" t="str">
        <f ca="1" t="shared" si="171"/>
        <v/>
      </c>
      <c r="C757" s="211" t="str">
        <f>VLOOKUP(H757,名称!A:E,4,0)</f>
        <v>三代</v>
      </c>
      <c r="D757" s="220" t="s">
        <v>1330</v>
      </c>
      <c r="E757" s="220" t="s">
        <v>1336</v>
      </c>
      <c r="F757" s="220" t="s">
        <v>787</v>
      </c>
      <c r="G757" s="220" t="s">
        <v>788</v>
      </c>
      <c r="H757" s="220" t="s">
        <v>154</v>
      </c>
      <c r="I757" s="211"/>
      <c r="J757" s="270">
        <v>192</v>
      </c>
      <c r="K757" s="223">
        <f>VLOOKUP(H757,名称!A:C,2,0)</f>
        <v>12</v>
      </c>
      <c r="L757" s="212">
        <f t="shared" si="175"/>
        <v>2304</v>
      </c>
      <c r="M757" s="211">
        <f>VLOOKUP(H757,名称!A:E,3,0)</f>
        <v>96</v>
      </c>
      <c r="N757" s="212">
        <f t="shared" si="172"/>
        <v>2</v>
      </c>
      <c r="O757" s="271">
        <v>46199</v>
      </c>
      <c r="P757" s="256">
        <v>46219</v>
      </c>
      <c r="Q757" s="256">
        <v>46219</v>
      </c>
      <c r="R757" s="241" t="s">
        <v>1331</v>
      </c>
      <c r="S757" s="256" t="s">
        <v>1133</v>
      </c>
      <c r="T757" s="211"/>
      <c r="U757" s="211"/>
      <c r="V757" s="211"/>
      <c r="W757" s="212" t="str">
        <f>IFERROR(VLOOKUP(H757,名称!A:F,6,0),"")</f>
        <v>湖南</v>
      </c>
      <c r="X757" s="257" t="s">
        <v>1332</v>
      </c>
      <c r="Y757" s="257" t="s">
        <v>1233</v>
      </c>
      <c r="Z757" s="263">
        <v>46163</v>
      </c>
      <c r="AA757" s="264">
        <v>46172</v>
      </c>
      <c r="AB757" s="263">
        <v>46189</v>
      </c>
      <c r="AC757" s="257" t="s">
        <v>1333</v>
      </c>
      <c r="AD757" s="267" t="s">
        <v>1228</v>
      </c>
      <c r="AE757" s="220" t="s">
        <v>510</v>
      </c>
      <c r="AF757" s="257" t="s">
        <v>1228</v>
      </c>
      <c r="AG757" s="257" t="s">
        <v>341</v>
      </c>
      <c r="AH757" s="257" t="s">
        <v>1133</v>
      </c>
      <c r="AI757" s="257" t="s">
        <v>1228</v>
      </c>
      <c r="AJ757" s="257" t="s">
        <v>1133</v>
      </c>
      <c r="AK757" s="257" t="s">
        <v>1133</v>
      </c>
      <c r="AL757" s="257"/>
      <c r="AM757" s="257" t="s">
        <v>1334</v>
      </c>
      <c r="AN757" s="268" t="s">
        <v>1953</v>
      </c>
      <c r="AO757" s="247">
        <v>1.27</v>
      </c>
      <c r="AP757" s="216">
        <f t="shared" si="168"/>
        <v>243.84</v>
      </c>
      <c r="AQ757" s="216">
        <f t="shared" si="157"/>
        <v>1889.76</v>
      </c>
      <c r="AR757" s="224">
        <v>61515</v>
      </c>
      <c r="AS757" s="330">
        <v>46248</v>
      </c>
      <c r="AT757" s="273" t="s">
        <v>1220</v>
      </c>
      <c r="AU757" s="253">
        <v>192</v>
      </c>
      <c r="AV757" s="252">
        <f t="shared" si="173"/>
        <v>0</v>
      </c>
      <c r="AW757" s="222" t="s">
        <v>1228</v>
      </c>
      <c r="AX757" s="274" t="s">
        <v>1280</v>
      </c>
      <c r="AY757" s="208"/>
      <c r="AZ757" s="208"/>
      <c r="BA757" s="208"/>
      <c r="BB757" s="208" t="str">
        <f t="shared" si="174"/>
        <v>Amazon</v>
      </c>
      <c r="BC757" s="208" t="str">
        <f t="shared" si="170"/>
        <v>美国(空运)</v>
      </c>
    </row>
    <row r="758" s="194" customFormat="1" customHeight="1" spans="1:55">
      <c r="A758" s="208">
        <v>46139</v>
      </c>
      <c r="B758" s="208" t="str">
        <f ca="1" t="shared" si="171"/>
        <v/>
      </c>
      <c r="C758" s="211" t="str">
        <f>VLOOKUP(H758,名称!A:E,4,0)</f>
        <v>三代</v>
      </c>
      <c r="D758" s="220" t="s">
        <v>1330</v>
      </c>
      <c r="E758" s="220" t="s">
        <v>1336</v>
      </c>
      <c r="F758" s="220" t="s">
        <v>787</v>
      </c>
      <c r="G758" s="220" t="s">
        <v>788</v>
      </c>
      <c r="H758" s="220" t="s">
        <v>160</v>
      </c>
      <c r="I758" s="211"/>
      <c r="J758" s="270">
        <f>384/2+18</f>
        <v>210</v>
      </c>
      <c r="K758" s="223">
        <f>VLOOKUP(H758,名称!A:C,2,0)</f>
        <v>5</v>
      </c>
      <c r="L758" s="212">
        <f t="shared" si="175"/>
        <v>1050</v>
      </c>
      <c r="M758" s="211">
        <f>VLOOKUP(H758,名称!A:E,3,0)</f>
        <v>70</v>
      </c>
      <c r="N758" s="212">
        <f t="shared" si="172"/>
        <v>3</v>
      </c>
      <c r="O758" s="271">
        <v>46199</v>
      </c>
      <c r="P758" s="256">
        <v>46219</v>
      </c>
      <c r="Q758" s="256">
        <v>46219</v>
      </c>
      <c r="R758" s="354" t="s">
        <v>1331</v>
      </c>
      <c r="S758" s="256" t="s">
        <v>1133</v>
      </c>
      <c r="T758" s="211"/>
      <c r="U758" s="211"/>
      <c r="V758" s="211"/>
      <c r="W758" s="212" t="str">
        <f>IFERROR(VLOOKUP(H758,名称!A:F,6,0),"")</f>
        <v>湖南</v>
      </c>
      <c r="X758" s="257" t="s">
        <v>1332</v>
      </c>
      <c r="Y758" s="257" t="s">
        <v>1233</v>
      </c>
      <c r="Z758" s="263">
        <v>46163</v>
      </c>
      <c r="AA758" s="264">
        <v>46172</v>
      </c>
      <c r="AB758" s="267" t="s">
        <v>1233</v>
      </c>
      <c r="AC758" s="257" t="s">
        <v>1133</v>
      </c>
      <c r="AD758" s="257" t="s">
        <v>1133</v>
      </c>
      <c r="AE758" s="220" t="s">
        <v>510</v>
      </c>
      <c r="AF758" s="257" t="s">
        <v>1228</v>
      </c>
      <c r="AG758" s="257" t="s">
        <v>1133</v>
      </c>
      <c r="AH758" s="257" t="s">
        <v>1133</v>
      </c>
      <c r="AI758" s="257" t="s">
        <v>1133</v>
      </c>
      <c r="AJ758" s="257" t="s">
        <v>1133</v>
      </c>
      <c r="AK758" s="257" t="s">
        <v>510</v>
      </c>
      <c r="AL758" s="257"/>
      <c r="AM758" s="257" t="s">
        <v>1334</v>
      </c>
      <c r="AN758" s="268" t="s">
        <v>1953</v>
      </c>
      <c r="AO758" s="247">
        <v>0.65</v>
      </c>
      <c r="AP758" s="216">
        <f t="shared" si="168"/>
        <v>136.5</v>
      </c>
      <c r="AQ758" s="216">
        <f t="shared" si="157"/>
        <v>1057.88</v>
      </c>
      <c r="AR758" s="224">
        <v>61515</v>
      </c>
      <c r="AS758" s="330">
        <v>46248</v>
      </c>
      <c r="AT758" s="273" t="s">
        <v>1220</v>
      </c>
      <c r="AU758" s="253">
        <f>140+70</f>
        <v>210</v>
      </c>
      <c r="AV758" s="252">
        <f t="shared" si="173"/>
        <v>0</v>
      </c>
      <c r="AW758" s="222" t="s">
        <v>1228</v>
      </c>
      <c r="AX758" s="274" t="s">
        <v>1280</v>
      </c>
      <c r="AY758" s="208"/>
      <c r="AZ758" s="208"/>
      <c r="BA758" s="208"/>
      <c r="BB758" s="208" t="str">
        <f t="shared" si="174"/>
        <v>Amazon</v>
      </c>
      <c r="BC758" s="208" t="str">
        <f t="shared" si="170"/>
        <v>美国(空运)</v>
      </c>
    </row>
    <row r="759" s="194" customFormat="1" customHeight="1" spans="1:55">
      <c r="A759" s="208">
        <v>46139</v>
      </c>
      <c r="B759" s="208" t="str">
        <f ca="1" t="shared" si="171"/>
        <v/>
      </c>
      <c r="C759" s="211" t="str">
        <f>VLOOKUP(H759,名称!A:E,4,0)</f>
        <v>三代</v>
      </c>
      <c r="D759" s="220" t="s">
        <v>1330</v>
      </c>
      <c r="E759" s="220" t="s">
        <v>1336</v>
      </c>
      <c r="F759" s="220" t="s">
        <v>787</v>
      </c>
      <c r="G759" s="220" t="s">
        <v>788</v>
      </c>
      <c r="H759" s="220" t="s">
        <v>178</v>
      </c>
      <c r="I759" s="211"/>
      <c r="J759" s="270">
        <f>384/2+18</f>
        <v>210</v>
      </c>
      <c r="K759" s="223">
        <f>VLOOKUP(H759,名称!A:C,2,0)</f>
        <v>5</v>
      </c>
      <c r="L759" s="212">
        <f t="shared" si="175"/>
        <v>1050</v>
      </c>
      <c r="M759" s="211">
        <f>VLOOKUP(H759,名称!A:E,3,0)</f>
        <v>70</v>
      </c>
      <c r="N759" s="212">
        <f t="shared" si="172"/>
        <v>3</v>
      </c>
      <c r="O759" s="271">
        <v>46199</v>
      </c>
      <c r="P759" s="256">
        <v>46219</v>
      </c>
      <c r="Q759" s="256">
        <v>46219</v>
      </c>
      <c r="R759" s="354" t="s">
        <v>1331</v>
      </c>
      <c r="S759" s="256" t="s">
        <v>1133</v>
      </c>
      <c r="T759" s="211"/>
      <c r="U759" s="211"/>
      <c r="V759" s="211"/>
      <c r="W759" s="212" t="str">
        <f>IFERROR(VLOOKUP(H759,名称!A:F,6,0),"")</f>
        <v>湖南</v>
      </c>
      <c r="X759" s="257" t="s">
        <v>1332</v>
      </c>
      <c r="Y759" s="257" t="s">
        <v>1233</v>
      </c>
      <c r="Z759" s="263">
        <v>46163</v>
      </c>
      <c r="AA759" s="264">
        <v>46172</v>
      </c>
      <c r="AB759" s="267" t="s">
        <v>1233</v>
      </c>
      <c r="AC759" s="257" t="s">
        <v>1133</v>
      </c>
      <c r="AD759" s="257" t="s">
        <v>1133</v>
      </c>
      <c r="AE759" s="220" t="s">
        <v>510</v>
      </c>
      <c r="AF759" s="257" t="s">
        <v>1228</v>
      </c>
      <c r="AG759" s="257" t="s">
        <v>1133</v>
      </c>
      <c r="AH759" s="257" t="s">
        <v>1133</v>
      </c>
      <c r="AI759" s="257" t="s">
        <v>1133</v>
      </c>
      <c r="AJ759" s="257" t="s">
        <v>1133</v>
      </c>
      <c r="AK759" s="257" t="s">
        <v>510</v>
      </c>
      <c r="AL759" s="257"/>
      <c r="AM759" s="257" t="s">
        <v>1334</v>
      </c>
      <c r="AN759" s="268" t="s">
        <v>1953</v>
      </c>
      <c r="AO759" s="247">
        <v>0.65</v>
      </c>
      <c r="AP759" s="216">
        <f t="shared" si="168"/>
        <v>136.5</v>
      </c>
      <c r="AQ759" s="216">
        <f t="shared" si="157"/>
        <v>1057.88</v>
      </c>
      <c r="AR759" s="224">
        <v>61515</v>
      </c>
      <c r="AS759" s="330">
        <v>46248</v>
      </c>
      <c r="AT759" s="273" t="s">
        <v>1220</v>
      </c>
      <c r="AU759" s="253">
        <f>140+70</f>
        <v>210</v>
      </c>
      <c r="AV759" s="252">
        <f t="shared" si="173"/>
        <v>0</v>
      </c>
      <c r="AW759" s="222" t="s">
        <v>1228</v>
      </c>
      <c r="AX759" s="274" t="s">
        <v>1280</v>
      </c>
      <c r="AY759" s="208"/>
      <c r="AZ759" s="208"/>
      <c r="BA759" s="208"/>
      <c r="BB759" s="208" t="str">
        <f t="shared" si="174"/>
        <v>Amazon</v>
      </c>
      <c r="BC759" s="208" t="str">
        <f t="shared" si="170"/>
        <v>美国(空运)</v>
      </c>
    </row>
    <row r="760" s="194" customFormat="1" customHeight="1" spans="1:55">
      <c r="A760" s="208">
        <v>46139</v>
      </c>
      <c r="B760" s="208" t="str">
        <f ca="1" t="shared" si="171"/>
        <v/>
      </c>
      <c r="C760" s="211" t="str">
        <f>VLOOKUP(H760,名称!A:E,4,0)</f>
        <v>三代</v>
      </c>
      <c r="D760" s="220" t="s">
        <v>1330</v>
      </c>
      <c r="E760" s="220" t="s">
        <v>1336</v>
      </c>
      <c r="F760" s="220" t="s">
        <v>787</v>
      </c>
      <c r="G760" s="220" t="s">
        <v>788</v>
      </c>
      <c r="H760" s="220" t="s">
        <v>161</v>
      </c>
      <c r="I760" s="211"/>
      <c r="J760" s="270">
        <v>126</v>
      </c>
      <c r="K760" s="223">
        <f>VLOOKUP(H760,名称!A:C,2,0)</f>
        <v>0</v>
      </c>
      <c r="L760" s="212">
        <f t="shared" si="175"/>
        <v>0</v>
      </c>
      <c r="M760" s="257">
        <f>VLOOKUP(H760,名称!A:E,3,0)</f>
        <v>6</v>
      </c>
      <c r="N760" s="212">
        <f t="shared" si="172"/>
        <v>21</v>
      </c>
      <c r="O760" s="271">
        <v>46199</v>
      </c>
      <c r="P760" s="256">
        <v>46233</v>
      </c>
      <c r="Q760" s="256">
        <v>46233</v>
      </c>
      <c r="R760" s="355" t="s">
        <v>1331</v>
      </c>
      <c r="S760" s="256" t="s">
        <v>1133</v>
      </c>
      <c r="T760" s="211"/>
      <c r="U760" s="211"/>
      <c r="V760" s="211"/>
      <c r="W760" s="212" t="str">
        <f>IFERROR(VLOOKUP(H760,名称!A:F,6,0),"")</f>
        <v>湖南</v>
      </c>
      <c r="X760" s="257" t="s">
        <v>1332</v>
      </c>
      <c r="Y760" s="257" t="s">
        <v>1233</v>
      </c>
      <c r="Z760" s="263">
        <v>46163</v>
      </c>
      <c r="AA760" s="264">
        <v>46172</v>
      </c>
      <c r="AB760" s="263">
        <v>46189</v>
      </c>
      <c r="AC760" s="257" t="s">
        <v>1333</v>
      </c>
      <c r="AD760" s="267" t="s">
        <v>1228</v>
      </c>
      <c r="AE760" s="220" t="s">
        <v>510</v>
      </c>
      <c r="AF760" s="257" t="s">
        <v>1228</v>
      </c>
      <c r="AG760" s="257" t="s">
        <v>341</v>
      </c>
      <c r="AH760" s="257" t="s">
        <v>1133</v>
      </c>
      <c r="AI760" s="257" t="s">
        <v>1233</v>
      </c>
      <c r="AJ760" s="257" t="s">
        <v>1133</v>
      </c>
      <c r="AK760" s="257" t="s">
        <v>1133</v>
      </c>
      <c r="AL760" s="257"/>
      <c r="AM760" s="257" t="s">
        <v>1334</v>
      </c>
      <c r="AN760" s="268" t="s">
        <v>1954</v>
      </c>
      <c r="AO760" s="247">
        <v>9.15</v>
      </c>
      <c r="AP760" s="216">
        <f t="shared" ref="AP760:AP775" si="176">J760*AO760</f>
        <v>1152.9</v>
      </c>
      <c r="AQ760" s="216">
        <f t="shared" ref="AQ760:AQ775" si="177">AP760*7.75</f>
        <v>8934.98</v>
      </c>
      <c r="AR760" s="224">
        <v>61515</v>
      </c>
      <c r="AS760" s="330">
        <v>46248</v>
      </c>
      <c r="AT760" s="273" t="s">
        <v>1220</v>
      </c>
      <c r="AU760" s="253"/>
      <c r="AV760" s="252">
        <f t="shared" si="173"/>
        <v>-126</v>
      </c>
      <c r="AW760" s="222" t="s">
        <v>1228</v>
      </c>
      <c r="AX760" s="256"/>
      <c r="AY760" s="208" t="s">
        <v>1317</v>
      </c>
      <c r="AZ760" s="208" t="s">
        <v>1337</v>
      </c>
      <c r="BA760" s="208"/>
      <c r="BB760" s="208" t="str">
        <f t="shared" si="174"/>
        <v>Amazon</v>
      </c>
      <c r="BC760" s="208" t="str">
        <f t="shared" si="170"/>
        <v>美国(空运)</v>
      </c>
    </row>
    <row r="761" s="194" customFormat="1" customHeight="1" spans="1:55">
      <c r="A761" s="208">
        <v>46139</v>
      </c>
      <c r="B761" s="208" t="str">
        <f ca="1" t="shared" si="171"/>
        <v/>
      </c>
      <c r="C761" s="211" t="str">
        <f>VLOOKUP(H761,名称!A:E,4,0)</f>
        <v>三代</v>
      </c>
      <c r="D761" s="220" t="s">
        <v>1330</v>
      </c>
      <c r="E761" s="220" t="s">
        <v>1336</v>
      </c>
      <c r="F761" s="220" t="s">
        <v>787</v>
      </c>
      <c r="G761" s="220" t="s">
        <v>788</v>
      </c>
      <c r="H761" s="220" t="s">
        <v>167</v>
      </c>
      <c r="I761" s="211"/>
      <c r="J761" s="270">
        <v>2256</v>
      </c>
      <c r="K761" s="223">
        <f>VLOOKUP(H761,名称!A:C,2,0)</f>
        <v>12</v>
      </c>
      <c r="L761" s="212">
        <f t="shared" si="175"/>
        <v>27072</v>
      </c>
      <c r="M761" s="257">
        <f>VLOOKUP(H761,名称!A:E,3,0)</f>
        <v>6</v>
      </c>
      <c r="N761" s="212">
        <f t="shared" si="172"/>
        <v>376</v>
      </c>
      <c r="O761" s="271">
        <v>46199</v>
      </c>
      <c r="P761" s="256">
        <v>46233</v>
      </c>
      <c r="Q761" s="256">
        <v>46233</v>
      </c>
      <c r="R761" s="211"/>
      <c r="S761" s="256" t="s">
        <v>1133</v>
      </c>
      <c r="T761" s="211"/>
      <c r="U761" s="211"/>
      <c r="V761" s="211"/>
      <c r="W761" s="212" t="str">
        <f>IFERROR(VLOOKUP(H761,名称!A:F,6,0),"")</f>
        <v>东莞</v>
      </c>
      <c r="X761" s="257" t="s">
        <v>1332</v>
      </c>
      <c r="Y761" s="257" t="s">
        <v>1233</v>
      </c>
      <c r="Z761" s="263">
        <v>46163</v>
      </c>
      <c r="AA761" s="264">
        <v>46172</v>
      </c>
      <c r="AB761" s="263">
        <v>46189</v>
      </c>
      <c r="AC761" s="257" t="s">
        <v>1333</v>
      </c>
      <c r="AD761" s="267" t="s">
        <v>1228</v>
      </c>
      <c r="AE761" s="220" t="s">
        <v>510</v>
      </c>
      <c r="AF761" s="257" t="s">
        <v>1228</v>
      </c>
      <c r="AG761" s="257" t="s">
        <v>341</v>
      </c>
      <c r="AH761" s="257" t="s">
        <v>1133</v>
      </c>
      <c r="AI761" s="257" t="s">
        <v>1233</v>
      </c>
      <c r="AJ761" s="257" t="s">
        <v>510</v>
      </c>
      <c r="AK761" s="257" t="s">
        <v>1133</v>
      </c>
      <c r="AL761" s="257"/>
      <c r="AM761" s="257" t="s">
        <v>1334</v>
      </c>
      <c r="AN761" s="268" t="s">
        <v>1953</v>
      </c>
      <c r="AO761" s="247">
        <v>1.67</v>
      </c>
      <c r="AP761" s="216">
        <f t="shared" si="176"/>
        <v>3767.52</v>
      </c>
      <c r="AQ761" s="216">
        <f t="shared" si="177"/>
        <v>29198.28</v>
      </c>
      <c r="AR761" s="224">
        <v>61515</v>
      </c>
      <c r="AS761" s="330">
        <v>46248</v>
      </c>
      <c r="AT761" s="208" t="s">
        <v>1310</v>
      </c>
      <c r="AU761" s="253"/>
      <c r="AV761" s="252">
        <f t="shared" si="173"/>
        <v>-2256</v>
      </c>
      <c r="AW761" s="222" t="s">
        <v>1228</v>
      </c>
      <c r="AX761" s="256"/>
      <c r="AY761" s="208"/>
      <c r="AZ761" s="208"/>
      <c r="BA761" s="208"/>
      <c r="BB761" s="208" t="str">
        <f t="shared" si="174"/>
        <v>Amazon</v>
      </c>
      <c r="BC761" s="208" t="str">
        <f t="shared" si="170"/>
        <v>美国(空运)</v>
      </c>
    </row>
    <row r="762" s="194" customFormat="1" customHeight="1" spans="1:55">
      <c r="A762" s="208">
        <v>46139</v>
      </c>
      <c r="B762" s="208" t="str">
        <f ca="1" t="shared" si="171"/>
        <v/>
      </c>
      <c r="C762" s="211" t="str">
        <f>VLOOKUP(H762,名称!A:E,4,0)</f>
        <v>三代</v>
      </c>
      <c r="D762" s="220" t="s">
        <v>1330</v>
      </c>
      <c r="E762" s="220" t="s">
        <v>1336</v>
      </c>
      <c r="F762" s="220" t="s">
        <v>787</v>
      </c>
      <c r="G762" s="220" t="s">
        <v>788</v>
      </c>
      <c r="H762" s="220" t="s">
        <v>175</v>
      </c>
      <c r="I762" s="211"/>
      <c r="J762" s="270">
        <v>96</v>
      </c>
      <c r="K762" s="223">
        <f>VLOOKUP(H762,名称!A:C,2,0)</f>
        <v>12</v>
      </c>
      <c r="L762" s="212">
        <f t="shared" si="175"/>
        <v>1152</v>
      </c>
      <c r="M762" s="211">
        <f>VLOOKUP(H762,名称!A:E,3,0)</f>
        <v>96</v>
      </c>
      <c r="N762" s="212">
        <f t="shared" si="172"/>
        <v>1</v>
      </c>
      <c r="O762" s="271">
        <v>46199</v>
      </c>
      <c r="P762" s="256">
        <v>46218</v>
      </c>
      <c r="Q762" s="256">
        <v>46218</v>
      </c>
      <c r="R762" s="241" t="s">
        <v>1331</v>
      </c>
      <c r="S762" s="256" t="s">
        <v>1133</v>
      </c>
      <c r="T762" s="211"/>
      <c r="U762" s="211"/>
      <c r="V762" s="211"/>
      <c r="W762" s="212" t="str">
        <f>IFERROR(VLOOKUP(H762,名称!A:F,6,0),"")</f>
        <v>湖南</v>
      </c>
      <c r="X762" s="257" t="s">
        <v>1332</v>
      </c>
      <c r="Y762" s="257" t="s">
        <v>1233</v>
      </c>
      <c r="Z762" s="263">
        <v>46163</v>
      </c>
      <c r="AA762" s="264">
        <v>46172</v>
      </c>
      <c r="AB762" s="263">
        <v>46189</v>
      </c>
      <c r="AC762" s="257" t="s">
        <v>1333</v>
      </c>
      <c r="AD762" s="267" t="s">
        <v>1228</v>
      </c>
      <c r="AE762" s="220" t="s">
        <v>510</v>
      </c>
      <c r="AF762" s="257" t="s">
        <v>1228</v>
      </c>
      <c r="AG762" s="257" t="s">
        <v>341</v>
      </c>
      <c r="AH762" s="257" t="s">
        <v>1133</v>
      </c>
      <c r="AI762" s="257" t="s">
        <v>1228</v>
      </c>
      <c r="AJ762" s="257" t="s">
        <v>1133</v>
      </c>
      <c r="AK762" s="257" t="s">
        <v>1133</v>
      </c>
      <c r="AL762" s="257"/>
      <c r="AM762" s="257" t="s">
        <v>1334</v>
      </c>
      <c r="AN762" s="268" t="s">
        <v>1953</v>
      </c>
      <c r="AO762" s="247">
        <v>1.3</v>
      </c>
      <c r="AP762" s="216">
        <f t="shared" si="176"/>
        <v>124.8</v>
      </c>
      <c r="AQ762" s="216">
        <f t="shared" si="177"/>
        <v>967.2</v>
      </c>
      <c r="AR762" s="224">
        <v>61515</v>
      </c>
      <c r="AS762" s="330">
        <v>46248</v>
      </c>
      <c r="AT762" s="208" t="s">
        <v>1310</v>
      </c>
      <c r="AU762" s="253">
        <v>96</v>
      </c>
      <c r="AV762" s="252">
        <f t="shared" si="173"/>
        <v>0</v>
      </c>
      <c r="AW762" s="222" t="s">
        <v>1228</v>
      </c>
      <c r="AX762" s="256"/>
      <c r="AY762" s="208"/>
      <c r="AZ762" s="208"/>
      <c r="BA762" s="208"/>
      <c r="BB762" s="208" t="str">
        <f t="shared" si="174"/>
        <v>Amazon</v>
      </c>
      <c r="BC762" s="208" t="str">
        <f t="shared" si="170"/>
        <v>美国(空运)</v>
      </c>
    </row>
    <row r="763" s="194" customFormat="1" customHeight="1" spans="1:55">
      <c r="A763" s="208">
        <v>46139</v>
      </c>
      <c r="B763" s="208" t="str">
        <f ca="1" t="shared" si="171"/>
        <v/>
      </c>
      <c r="C763" s="211" t="str">
        <f>VLOOKUP(H763,名称!A:E,4,0)</f>
        <v>三代</v>
      </c>
      <c r="D763" s="220" t="s">
        <v>1330</v>
      </c>
      <c r="E763" s="220" t="s">
        <v>1336</v>
      </c>
      <c r="F763" s="220" t="s">
        <v>787</v>
      </c>
      <c r="G763" s="220" t="s">
        <v>788</v>
      </c>
      <c r="H763" s="220" t="s">
        <v>176</v>
      </c>
      <c r="I763" s="211"/>
      <c r="J763" s="270">
        <v>96</v>
      </c>
      <c r="K763" s="223">
        <f>VLOOKUP(H763,名称!A:C,2,0)</f>
        <v>12</v>
      </c>
      <c r="L763" s="212">
        <f t="shared" si="175"/>
        <v>1152</v>
      </c>
      <c r="M763" s="211">
        <f>VLOOKUP(H763,名称!A:E,3,0)</f>
        <v>96</v>
      </c>
      <c r="N763" s="212">
        <f t="shared" si="172"/>
        <v>1</v>
      </c>
      <c r="O763" s="271">
        <v>46199</v>
      </c>
      <c r="P763" s="256">
        <v>46218</v>
      </c>
      <c r="Q763" s="256">
        <v>46218</v>
      </c>
      <c r="R763" s="241" t="s">
        <v>1331</v>
      </c>
      <c r="S763" s="256" t="s">
        <v>1133</v>
      </c>
      <c r="T763" s="211"/>
      <c r="U763" s="211"/>
      <c r="V763" s="211"/>
      <c r="W763" s="212" t="str">
        <f>IFERROR(VLOOKUP(H763,名称!A:F,6,0),"")</f>
        <v>湖南</v>
      </c>
      <c r="X763" s="257" t="s">
        <v>1332</v>
      </c>
      <c r="Y763" s="257" t="s">
        <v>1233</v>
      </c>
      <c r="Z763" s="263">
        <v>46163</v>
      </c>
      <c r="AA763" s="264">
        <v>46172</v>
      </c>
      <c r="AB763" s="263">
        <v>46189</v>
      </c>
      <c r="AC763" s="257" t="s">
        <v>1333</v>
      </c>
      <c r="AD763" s="267" t="s">
        <v>1228</v>
      </c>
      <c r="AE763" s="220" t="s">
        <v>510</v>
      </c>
      <c r="AF763" s="257" t="s">
        <v>1228</v>
      </c>
      <c r="AG763" s="257" t="s">
        <v>341</v>
      </c>
      <c r="AH763" s="257" t="s">
        <v>1133</v>
      </c>
      <c r="AI763" s="257" t="s">
        <v>1228</v>
      </c>
      <c r="AJ763" s="257" t="s">
        <v>1133</v>
      </c>
      <c r="AK763" s="257" t="s">
        <v>1133</v>
      </c>
      <c r="AL763" s="257"/>
      <c r="AM763" s="257" t="s">
        <v>1334</v>
      </c>
      <c r="AN763" s="268" t="s">
        <v>1953</v>
      </c>
      <c r="AO763" s="247">
        <v>1.3</v>
      </c>
      <c r="AP763" s="216">
        <f t="shared" si="176"/>
        <v>124.8</v>
      </c>
      <c r="AQ763" s="216">
        <f t="shared" si="177"/>
        <v>967.2</v>
      </c>
      <c r="AR763" s="224">
        <v>61515</v>
      </c>
      <c r="AS763" s="330">
        <v>46248</v>
      </c>
      <c r="AT763" s="208" t="s">
        <v>1310</v>
      </c>
      <c r="AU763" s="253">
        <v>96</v>
      </c>
      <c r="AV763" s="252">
        <f t="shared" si="173"/>
        <v>0</v>
      </c>
      <c r="AW763" s="222" t="s">
        <v>1228</v>
      </c>
      <c r="AX763" s="256"/>
      <c r="AY763" s="208"/>
      <c r="AZ763" s="208"/>
      <c r="BA763" s="208"/>
      <c r="BB763" s="208" t="str">
        <f t="shared" si="174"/>
        <v>Amazon</v>
      </c>
      <c r="BC763" s="208" t="str">
        <f t="shared" si="170"/>
        <v>美国(空运)</v>
      </c>
    </row>
    <row r="764" s="194" customFormat="1" customHeight="1" spans="1:55">
      <c r="A764" s="208">
        <v>46139</v>
      </c>
      <c r="B764" s="208" t="str">
        <f ca="1" t="shared" si="171"/>
        <v/>
      </c>
      <c r="C764" s="211" t="str">
        <f>VLOOKUP(H764,名称!A:E,4,0)</f>
        <v>三代</v>
      </c>
      <c r="D764" s="220" t="s">
        <v>1330</v>
      </c>
      <c r="E764" s="220" t="s">
        <v>1336</v>
      </c>
      <c r="F764" s="220" t="s">
        <v>787</v>
      </c>
      <c r="G764" s="220" t="s">
        <v>788</v>
      </c>
      <c r="H764" s="220" t="s">
        <v>177</v>
      </c>
      <c r="I764" s="211"/>
      <c r="J764" s="270">
        <v>96</v>
      </c>
      <c r="K764" s="223">
        <f>VLOOKUP(H764,名称!A:C,2,0)</f>
        <v>12</v>
      </c>
      <c r="L764" s="212">
        <f t="shared" si="175"/>
        <v>1152</v>
      </c>
      <c r="M764" s="211">
        <f>VLOOKUP(H764,名称!A:E,3,0)</f>
        <v>96</v>
      </c>
      <c r="N764" s="212">
        <f t="shared" si="172"/>
        <v>1</v>
      </c>
      <c r="O764" s="271">
        <v>46199</v>
      </c>
      <c r="P764" s="256">
        <v>46218</v>
      </c>
      <c r="Q764" s="256">
        <v>46218</v>
      </c>
      <c r="R764" s="241" t="s">
        <v>1331</v>
      </c>
      <c r="S764" s="256" t="s">
        <v>1133</v>
      </c>
      <c r="T764" s="211"/>
      <c r="U764" s="211"/>
      <c r="V764" s="211"/>
      <c r="W764" s="212" t="str">
        <f>IFERROR(VLOOKUP(H764,名称!A:F,6,0),"")</f>
        <v>湖南</v>
      </c>
      <c r="X764" s="257" t="s">
        <v>1332</v>
      </c>
      <c r="Y764" s="257" t="s">
        <v>1233</v>
      </c>
      <c r="Z764" s="263">
        <v>46163</v>
      </c>
      <c r="AA764" s="264">
        <v>46172</v>
      </c>
      <c r="AB764" s="263">
        <v>46189</v>
      </c>
      <c r="AC764" s="257" t="s">
        <v>1333</v>
      </c>
      <c r="AD764" s="267" t="s">
        <v>1228</v>
      </c>
      <c r="AE764" s="220" t="s">
        <v>510</v>
      </c>
      <c r="AF764" s="257" t="s">
        <v>1228</v>
      </c>
      <c r="AG764" s="257" t="s">
        <v>341</v>
      </c>
      <c r="AH764" s="257" t="s">
        <v>1133</v>
      </c>
      <c r="AI764" s="257" t="s">
        <v>1228</v>
      </c>
      <c r="AJ764" s="257" t="s">
        <v>1133</v>
      </c>
      <c r="AK764" s="257" t="s">
        <v>1133</v>
      </c>
      <c r="AL764" s="257"/>
      <c r="AM764" s="257" t="s">
        <v>1334</v>
      </c>
      <c r="AN764" s="268" t="s">
        <v>1953</v>
      </c>
      <c r="AO764" s="247">
        <v>1.3</v>
      </c>
      <c r="AP764" s="216">
        <f t="shared" si="176"/>
        <v>124.8</v>
      </c>
      <c r="AQ764" s="216">
        <f t="shared" si="177"/>
        <v>967.2</v>
      </c>
      <c r="AR764" s="224">
        <v>61515</v>
      </c>
      <c r="AS764" s="330">
        <v>46248</v>
      </c>
      <c r="AT764" s="208" t="s">
        <v>1310</v>
      </c>
      <c r="AU764" s="253">
        <v>96</v>
      </c>
      <c r="AV764" s="252">
        <f t="shared" si="173"/>
        <v>0</v>
      </c>
      <c r="AW764" s="222" t="s">
        <v>1228</v>
      </c>
      <c r="AX764" s="256"/>
      <c r="AY764" s="208"/>
      <c r="AZ764" s="208"/>
      <c r="BA764" s="208"/>
      <c r="BB764" s="208" t="str">
        <f t="shared" si="174"/>
        <v>Amazon</v>
      </c>
      <c r="BC764" s="208" t="str">
        <f t="shared" si="170"/>
        <v>美国(空运)</v>
      </c>
    </row>
    <row r="765" s="200" customFormat="1" customHeight="1" spans="1:55">
      <c r="A765" s="248">
        <v>46148</v>
      </c>
      <c r="B765" s="273" t="str">
        <f ca="1" t="shared" si="171"/>
        <v/>
      </c>
      <c r="C765" s="241" t="str">
        <f>VLOOKUP(H765,名称!A:E,4,0)</f>
        <v>蛋糕</v>
      </c>
      <c r="D765" s="268" t="s">
        <v>1489</v>
      </c>
      <c r="E765" s="268" t="s">
        <v>1934</v>
      </c>
      <c r="F765" s="268" t="s">
        <v>817</v>
      </c>
      <c r="G765" s="268" t="s">
        <v>818</v>
      </c>
      <c r="H765" s="268" t="s">
        <v>123</v>
      </c>
      <c r="I765" s="241"/>
      <c r="J765" s="272">
        <v>3000</v>
      </c>
      <c r="K765" s="349">
        <f>VLOOKUP(H765,名称!A:C,2,0)</f>
        <v>0</v>
      </c>
      <c r="L765" s="282">
        <f t="shared" si="175"/>
        <v>0</v>
      </c>
      <c r="M765" s="241">
        <f>VLOOKUP(H765,名称!A:E,3,0)</f>
        <v>24</v>
      </c>
      <c r="N765" s="282">
        <f t="shared" si="172"/>
        <v>125</v>
      </c>
      <c r="O765" s="248">
        <v>46195</v>
      </c>
      <c r="P765" s="248">
        <f t="shared" ref="P765:P769" si="178">O765</f>
        <v>46195</v>
      </c>
      <c r="Q765" s="248">
        <v>46209</v>
      </c>
      <c r="R765" s="241" t="s">
        <v>1241</v>
      </c>
      <c r="S765" s="274" t="s">
        <v>1133</v>
      </c>
      <c r="T765" s="241"/>
      <c r="U765" s="241"/>
      <c r="V765" s="241" t="s">
        <v>1955</v>
      </c>
      <c r="W765" s="332" t="str">
        <f>IFERROR(VLOOKUP(H765,名称!A:F,6,0),"")</f>
        <v>东莞</v>
      </c>
      <c r="X765" s="268" t="s">
        <v>1248</v>
      </c>
      <c r="Y765" s="335">
        <v>46193</v>
      </c>
      <c r="Z765" s="241" t="s">
        <v>1249</v>
      </c>
      <c r="AA765" s="350">
        <v>46154</v>
      </c>
      <c r="AB765" s="350">
        <v>46161</v>
      </c>
      <c r="AC765" s="241" t="s">
        <v>1133</v>
      </c>
      <c r="AD765" s="241" t="s">
        <v>1133</v>
      </c>
      <c r="AE765" s="268" t="s">
        <v>510</v>
      </c>
      <c r="AF765" s="241" t="s">
        <v>1228</v>
      </c>
      <c r="AG765" s="268" t="s">
        <v>510</v>
      </c>
      <c r="AH765" s="241" t="s">
        <v>1133</v>
      </c>
      <c r="AI765" s="241" t="s">
        <v>1228</v>
      </c>
      <c r="AJ765" s="241" t="s">
        <v>1133</v>
      </c>
      <c r="AK765" s="241" t="s">
        <v>1228</v>
      </c>
      <c r="AL765" s="241"/>
      <c r="AM765" s="267" t="s">
        <v>1506</v>
      </c>
      <c r="AN765" s="268" t="s">
        <v>1507</v>
      </c>
      <c r="AO765" s="351">
        <v>0.81</v>
      </c>
      <c r="AP765" s="352">
        <f t="shared" si="176"/>
        <v>2430</v>
      </c>
      <c r="AQ765" s="352">
        <f t="shared" si="177"/>
        <v>18832.5</v>
      </c>
      <c r="AR765" s="224">
        <v>61516</v>
      </c>
      <c r="AS765" s="330">
        <v>46248</v>
      </c>
      <c r="AT765" s="273" t="s">
        <v>1220</v>
      </c>
      <c r="AU765" s="273"/>
      <c r="AV765" s="273"/>
      <c r="AW765" s="273"/>
      <c r="AX765" s="273"/>
      <c r="AY765" s="273"/>
      <c r="AZ765" s="273"/>
      <c r="BA765" s="273"/>
      <c r="BB765" s="273" t="str">
        <f t="shared" si="174"/>
        <v>Kidland</v>
      </c>
      <c r="BC765" s="273" t="str">
        <f t="shared" si="170"/>
        <v>阿拉伯</v>
      </c>
    </row>
    <row r="766" s="200" customFormat="1" customHeight="1" spans="1:55">
      <c r="A766" s="248">
        <v>46148</v>
      </c>
      <c r="B766" s="273" t="str">
        <f ca="1" t="shared" si="171"/>
        <v/>
      </c>
      <c r="C766" s="241" t="str">
        <f>VLOOKUP(H766,名称!A:E,4,0)</f>
        <v>蛋糕</v>
      </c>
      <c r="D766" s="268" t="s">
        <v>1489</v>
      </c>
      <c r="E766" s="268" t="s">
        <v>1934</v>
      </c>
      <c r="F766" s="268" t="s">
        <v>817</v>
      </c>
      <c r="G766" s="268" t="s">
        <v>818</v>
      </c>
      <c r="H766" s="268" t="s">
        <v>50</v>
      </c>
      <c r="I766" s="241"/>
      <c r="J766" s="272">
        <v>2412</v>
      </c>
      <c r="K766" s="349">
        <f>VLOOKUP(H766,名称!A:C,2,0)</f>
        <v>0</v>
      </c>
      <c r="L766" s="282">
        <f t="shared" si="175"/>
        <v>0</v>
      </c>
      <c r="M766" s="241">
        <f>VLOOKUP(H766,名称!A:E,3,0)</f>
        <v>18</v>
      </c>
      <c r="N766" s="282">
        <f t="shared" si="172"/>
        <v>134</v>
      </c>
      <c r="O766" s="248">
        <v>46195</v>
      </c>
      <c r="P766" s="248">
        <f t="shared" si="178"/>
        <v>46195</v>
      </c>
      <c r="Q766" s="274">
        <v>46209</v>
      </c>
      <c r="R766" s="267" t="s">
        <v>1241</v>
      </c>
      <c r="S766" s="274" t="s">
        <v>1133</v>
      </c>
      <c r="T766" s="241"/>
      <c r="U766" s="241"/>
      <c r="V766" s="241" t="s">
        <v>1956</v>
      </c>
      <c r="W766" s="332" t="str">
        <f>IFERROR(VLOOKUP(H766,名称!A:F,6,0),"")</f>
        <v>东莞</v>
      </c>
      <c r="X766" s="268" t="s">
        <v>1248</v>
      </c>
      <c r="Y766" s="335">
        <v>46193</v>
      </c>
      <c r="Z766" s="241" t="s">
        <v>1249</v>
      </c>
      <c r="AA766" s="350">
        <v>46154</v>
      </c>
      <c r="AB766" s="350">
        <v>46161</v>
      </c>
      <c r="AC766" s="241" t="s">
        <v>1133</v>
      </c>
      <c r="AD766" s="241" t="s">
        <v>1133</v>
      </c>
      <c r="AE766" s="268" t="s">
        <v>510</v>
      </c>
      <c r="AF766" s="241" t="s">
        <v>1228</v>
      </c>
      <c r="AG766" s="268" t="s">
        <v>510</v>
      </c>
      <c r="AH766" s="241" t="s">
        <v>1133</v>
      </c>
      <c r="AI766" s="241" t="s">
        <v>1228</v>
      </c>
      <c r="AJ766" s="241" t="s">
        <v>1133</v>
      </c>
      <c r="AK766" s="241" t="s">
        <v>1228</v>
      </c>
      <c r="AL766" s="241"/>
      <c r="AM766" s="267" t="s">
        <v>1506</v>
      </c>
      <c r="AN766" s="268" t="s">
        <v>1507</v>
      </c>
      <c r="AO766" s="351">
        <v>1.15</v>
      </c>
      <c r="AP766" s="352">
        <f t="shared" si="176"/>
        <v>2773.8</v>
      </c>
      <c r="AQ766" s="352">
        <f t="shared" si="177"/>
        <v>21496.95</v>
      </c>
      <c r="AR766" s="224">
        <v>61516</v>
      </c>
      <c r="AS766" s="330">
        <v>46248</v>
      </c>
      <c r="AT766" s="273" t="s">
        <v>1220</v>
      </c>
      <c r="AU766" s="273"/>
      <c r="AV766" s="273"/>
      <c r="AW766" s="273"/>
      <c r="AX766" s="273"/>
      <c r="AY766" s="273"/>
      <c r="AZ766" s="273"/>
      <c r="BA766" s="273"/>
      <c r="BB766" s="273" t="str">
        <f t="shared" si="174"/>
        <v>Kidland</v>
      </c>
      <c r="BC766" s="273" t="str">
        <f t="shared" si="170"/>
        <v>阿拉伯</v>
      </c>
    </row>
    <row r="767" s="194" customFormat="1" customHeight="1" spans="1:55">
      <c r="A767" s="208">
        <v>46162</v>
      </c>
      <c r="B767" s="208" t="str">
        <f ca="1" t="shared" si="171"/>
        <v/>
      </c>
      <c r="C767" s="211" t="str">
        <f>VLOOKUP(H767,名称!A:E,4,0)</f>
        <v>三代</v>
      </c>
      <c r="D767" s="220" t="s">
        <v>1366</v>
      </c>
      <c r="E767" s="220" t="s">
        <v>1224</v>
      </c>
      <c r="F767" s="220">
        <v>2670514437</v>
      </c>
      <c r="G767" s="220" t="s">
        <v>865</v>
      </c>
      <c r="H767" s="211" t="s">
        <v>126</v>
      </c>
      <c r="I767" s="211"/>
      <c r="J767" s="270">
        <v>1680</v>
      </c>
      <c r="K767" s="223">
        <f>VLOOKUP(H767,名称!A:C,2,0)</f>
        <v>50</v>
      </c>
      <c r="L767" s="212">
        <f t="shared" si="175"/>
        <v>84000</v>
      </c>
      <c r="M767" s="257">
        <f>VLOOKUP(H767,名称!A:E,3,0)</f>
        <v>40</v>
      </c>
      <c r="N767" s="259">
        <f t="shared" si="172"/>
        <v>42</v>
      </c>
      <c r="O767" s="271">
        <v>46230</v>
      </c>
      <c r="P767" s="271">
        <f t="shared" si="178"/>
        <v>46230</v>
      </c>
      <c r="Q767" s="271">
        <v>46237</v>
      </c>
      <c r="R767" s="241" t="s">
        <v>1241</v>
      </c>
      <c r="S767" s="256">
        <v>46237</v>
      </c>
      <c r="T767" s="241" t="s">
        <v>1241</v>
      </c>
      <c r="U767" s="211"/>
      <c r="V767" s="213">
        <v>46246</v>
      </c>
      <c r="W767" s="212" t="str">
        <f>IFERROR(VLOOKUP(H767,名称!A:F,6,0),"")</f>
        <v>东莞</v>
      </c>
      <c r="X767" s="257" t="s">
        <v>1133</v>
      </c>
      <c r="Y767" s="257" t="s">
        <v>1133</v>
      </c>
      <c r="Z767" s="263">
        <v>46167</v>
      </c>
      <c r="AA767" s="264">
        <v>46182</v>
      </c>
      <c r="AB767" s="264">
        <v>46182</v>
      </c>
      <c r="AC767" s="257" t="s">
        <v>1133</v>
      </c>
      <c r="AD767" s="257" t="s">
        <v>1133</v>
      </c>
      <c r="AE767" s="211" t="s">
        <v>584</v>
      </c>
      <c r="AF767" s="257" t="s">
        <v>1228</v>
      </c>
      <c r="AG767" s="257" t="s">
        <v>584</v>
      </c>
      <c r="AH767" s="257" t="s">
        <v>1133</v>
      </c>
      <c r="AI767" s="257" t="s">
        <v>1228</v>
      </c>
      <c r="AJ767" s="257" t="s">
        <v>1133</v>
      </c>
      <c r="AK767" s="257" t="s">
        <v>1356</v>
      </c>
      <c r="AL767" s="257"/>
      <c r="AM767" s="329" t="s">
        <v>1367</v>
      </c>
      <c r="AN767" s="212" t="s">
        <v>1368</v>
      </c>
      <c r="AO767" s="247">
        <v>11.31</v>
      </c>
      <c r="AP767" s="216">
        <f t="shared" si="176"/>
        <v>19000.8</v>
      </c>
      <c r="AQ767" s="216">
        <f t="shared" si="177"/>
        <v>147256.2</v>
      </c>
      <c r="AR767" s="224">
        <v>61517</v>
      </c>
      <c r="AS767" s="330">
        <v>46248</v>
      </c>
      <c r="AT767" s="273" t="s">
        <v>1220</v>
      </c>
      <c r="AU767" s="252"/>
      <c r="AV767" s="252">
        <f t="shared" ref="AV767:AV769" si="179">AU767-J767</f>
        <v>-1680</v>
      </c>
      <c r="AW767" s="331"/>
      <c r="AX767" s="256"/>
      <c r="AY767" s="208" t="s">
        <v>1255</v>
      </c>
      <c r="AZ767" s="208" t="s">
        <v>1256</v>
      </c>
      <c r="BA767" s="208"/>
      <c r="BB767" s="208" t="str">
        <f t="shared" si="174"/>
        <v>JAZWARES - COSTCO</v>
      </c>
      <c r="BC767" s="208" t="str">
        <f t="shared" si="170"/>
        <v>美国</v>
      </c>
    </row>
    <row r="768" s="194" customFormat="1" customHeight="1" spans="1:55">
      <c r="A768" s="208">
        <v>46162</v>
      </c>
      <c r="B768" s="208" t="str">
        <f ca="1" t="shared" si="171"/>
        <v/>
      </c>
      <c r="C768" s="211" t="str">
        <f>VLOOKUP(H768,名称!A:E,4,0)</f>
        <v>三代</v>
      </c>
      <c r="D768" s="220" t="s">
        <v>1366</v>
      </c>
      <c r="E768" s="220" t="s">
        <v>1224</v>
      </c>
      <c r="F768" s="220">
        <v>1790514745</v>
      </c>
      <c r="G768" s="220" t="s">
        <v>861</v>
      </c>
      <c r="H768" s="211" t="s">
        <v>126</v>
      </c>
      <c r="I768" s="211"/>
      <c r="J768" s="270">
        <v>1680</v>
      </c>
      <c r="K768" s="223">
        <f>VLOOKUP(H768,名称!A:C,2,0)</f>
        <v>50</v>
      </c>
      <c r="L768" s="212">
        <f t="shared" si="175"/>
        <v>84000</v>
      </c>
      <c r="M768" s="257">
        <f>VLOOKUP(H768,名称!A:E,3,0)</f>
        <v>40</v>
      </c>
      <c r="N768" s="259">
        <f t="shared" si="172"/>
        <v>42</v>
      </c>
      <c r="O768" s="271">
        <v>46230</v>
      </c>
      <c r="P768" s="271">
        <f t="shared" si="178"/>
        <v>46230</v>
      </c>
      <c r="Q768" s="271">
        <v>46231</v>
      </c>
      <c r="R768" s="241" t="s">
        <v>1241</v>
      </c>
      <c r="S768" s="256">
        <v>46231</v>
      </c>
      <c r="T768" s="241" t="s">
        <v>1241</v>
      </c>
      <c r="U768" s="211"/>
      <c r="V768" s="213">
        <v>46246</v>
      </c>
      <c r="W768" s="212" t="str">
        <f>IFERROR(VLOOKUP(H768,名称!A:F,6,0),"")</f>
        <v>东莞</v>
      </c>
      <c r="X768" s="257" t="s">
        <v>1133</v>
      </c>
      <c r="Y768" s="257" t="s">
        <v>1133</v>
      </c>
      <c r="Z768" s="263">
        <v>46167</v>
      </c>
      <c r="AA768" s="264">
        <v>46182</v>
      </c>
      <c r="AB768" s="264">
        <v>46182</v>
      </c>
      <c r="AC768" s="257" t="s">
        <v>1133</v>
      </c>
      <c r="AD768" s="257" t="s">
        <v>1133</v>
      </c>
      <c r="AE768" s="211" t="s">
        <v>584</v>
      </c>
      <c r="AF768" s="257" t="s">
        <v>1228</v>
      </c>
      <c r="AG768" s="257" t="s">
        <v>584</v>
      </c>
      <c r="AH768" s="257" t="s">
        <v>1133</v>
      </c>
      <c r="AI768" s="257" t="s">
        <v>1228</v>
      </c>
      <c r="AJ768" s="257" t="s">
        <v>1133</v>
      </c>
      <c r="AK768" s="257" t="s">
        <v>1356</v>
      </c>
      <c r="AL768" s="257"/>
      <c r="AM768" s="329" t="s">
        <v>1367</v>
      </c>
      <c r="AN768" s="212" t="s">
        <v>1368</v>
      </c>
      <c r="AO768" s="247">
        <v>11.31</v>
      </c>
      <c r="AP768" s="216">
        <f t="shared" si="176"/>
        <v>19000.8</v>
      </c>
      <c r="AQ768" s="216">
        <f t="shared" si="177"/>
        <v>147256.2</v>
      </c>
      <c r="AR768" s="224">
        <v>61518</v>
      </c>
      <c r="AS768" s="330">
        <v>46248</v>
      </c>
      <c r="AT768" s="273" t="s">
        <v>1220</v>
      </c>
      <c r="AU768" s="252"/>
      <c r="AV768" s="252">
        <f t="shared" si="179"/>
        <v>-1680</v>
      </c>
      <c r="AW768" s="331"/>
      <c r="AX768" s="256"/>
      <c r="AY768" s="208" t="s">
        <v>1255</v>
      </c>
      <c r="AZ768" s="208" t="s">
        <v>1256</v>
      </c>
      <c r="BA768" s="208"/>
      <c r="BB768" s="208" t="str">
        <f t="shared" si="174"/>
        <v>JAZWARES - COSTCO</v>
      </c>
      <c r="BC768" s="208" t="str">
        <f t="shared" si="170"/>
        <v>美国</v>
      </c>
    </row>
    <row r="769" s="194" customFormat="1" customHeight="1" spans="1:55">
      <c r="A769" s="208">
        <v>46162</v>
      </c>
      <c r="B769" s="208" t="str">
        <f ca="1" t="shared" si="171"/>
        <v/>
      </c>
      <c r="C769" s="211" t="str">
        <f>VLOOKUP(H769,名称!A:E,4,0)</f>
        <v>三代</v>
      </c>
      <c r="D769" s="220" t="s">
        <v>1366</v>
      </c>
      <c r="E769" s="220" t="s">
        <v>1224</v>
      </c>
      <c r="F769" s="220">
        <v>1790514746</v>
      </c>
      <c r="G769" s="220" t="s">
        <v>862</v>
      </c>
      <c r="H769" s="211" t="s">
        <v>126</v>
      </c>
      <c r="I769" s="211"/>
      <c r="J769" s="270">
        <v>1680</v>
      </c>
      <c r="K769" s="223">
        <f>VLOOKUP(H769,名称!A:C,2,0)</f>
        <v>50</v>
      </c>
      <c r="L769" s="212">
        <f t="shared" si="175"/>
        <v>84000</v>
      </c>
      <c r="M769" s="257">
        <f>VLOOKUP(H769,名称!A:E,3,0)</f>
        <v>40</v>
      </c>
      <c r="N769" s="259">
        <f t="shared" si="172"/>
        <v>42</v>
      </c>
      <c r="O769" s="271">
        <v>46230</v>
      </c>
      <c r="P769" s="271">
        <f t="shared" si="178"/>
        <v>46230</v>
      </c>
      <c r="Q769" s="208">
        <v>46232</v>
      </c>
      <c r="R769" s="241" t="s">
        <v>1241</v>
      </c>
      <c r="S769" s="256">
        <v>46232</v>
      </c>
      <c r="T769" s="241" t="s">
        <v>1241</v>
      </c>
      <c r="U769" s="211"/>
      <c r="V769" s="213">
        <v>46246</v>
      </c>
      <c r="W769" s="212" t="str">
        <f>IFERROR(VLOOKUP(H769,名称!A:F,6,0),"")</f>
        <v>东莞</v>
      </c>
      <c r="X769" s="257" t="s">
        <v>1133</v>
      </c>
      <c r="Y769" s="257" t="s">
        <v>1133</v>
      </c>
      <c r="Z769" s="263">
        <v>46167</v>
      </c>
      <c r="AA769" s="264">
        <v>46182</v>
      </c>
      <c r="AB769" s="264">
        <v>46182</v>
      </c>
      <c r="AC769" s="257" t="s">
        <v>1133</v>
      </c>
      <c r="AD769" s="257" t="s">
        <v>1133</v>
      </c>
      <c r="AE769" s="211" t="s">
        <v>584</v>
      </c>
      <c r="AF769" s="257" t="s">
        <v>1228</v>
      </c>
      <c r="AG769" s="257" t="s">
        <v>584</v>
      </c>
      <c r="AH769" s="257" t="s">
        <v>1133</v>
      </c>
      <c r="AI769" s="257" t="s">
        <v>1228</v>
      </c>
      <c r="AJ769" s="257" t="s">
        <v>1133</v>
      </c>
      <c r="AK769" s="257" t="s">
        <v>1356</v>
      </c>
      <c r="AL769" s="257"/>
      <c r="AM769" s="329" t="s">
        <v>1367</v>
      </c>
      <c r="AN769" s="212" t="s">
        <v>1368</v>
      </c>
      <c r="AO769" s="247">
        <v>11.31</v>
      </c>
      <c r="AP769" s="216">
        <f t="shared" si="176"/>
        <v>19000.8</v>
      </c>
      <c r="AQ769" s="216">
        <f t="shared" si="177"/>
        <v>147256.2</v>
      </c>
      <c r="AR769" s="224">
        <v>61519</v>
      </c>
      <c r="AS769" s="330">
        <v>46248</v>
      </c>
      <c r="AT769" s="273" t="s">
        <v>1220</v>
      </c>
      <c r="AU769" s="252"/>
      <c r="AV769" s="252">
        <f t="shared" si="179"/>
        <v>-1680</v>
      </c>
      <c r="AW769" s="331"/>
      <c r="AX769" s="256"/>
      <c r="AY769" s="208" t="s">
        <v>1255</v>
      </c>
      <c r="AZ769" s="208" t="s">
        <v>1256</v>
      </c>
      <c r="BA769" s="208"/>
      <c r="BB769" s="208" t="str">
        <f t="shared" si="174"/>
        <v>JAZWARES - COSTCO</v>
      </c>
      <c r="BC769" s="208" t="str">
        <f t="shared" si="170"/>
        <v>美国</v>
      </c>
    </row>
    <row r="770" s="196" customFormat="1" customHeight="1" spans="1:55">
      <c r="A770" s="256"/>
      <c r="B770" s="256"/>
      <c r="C770" s="256"/>
      <c r="D770" s="258"/>
      <c r="E770" s="258"/>
      <c r="F770" s="257"/>
      <c r="G770" s="257"/>
      <c r="H770" s="257"/>
      <c r="I770" s="356"/>
      <c r="J770" s="260"/>
      <c r="K770" s="260"/>
      <c r="L770" s="260"/>
      <c r="M770" s="356"/>
      <c r="N770" s="259"/>
      <c r="O770" s="256"/>
      <c r="P770" s="256"/>
      <c r="Q770" s="256"/>
      <c r="R770" s="357"/>
      <c r="S770" s="256"/>
      <c r="T770" s="357"/>
      <c r="U770" s="358"/>
      <c r="V770" s="358"/>
      <c r="W770" s="358"/>
      <c r="X770" s="257"/>
      <c r="Y770" s="257"/>
      <c r="Z770" s="257"/>
      <c r="AA770" s="257"/>
      <c r="AB770" s="257"/>
      <c r="AC770" s="257"/>
      <c r="AD770" s="257"/>
      <c r="AE770" s="257"/>
      <c r="AF770" s="257"/>
      <c r="AG770" s="257"/>
      <c r="AH770" s="257"/>
      <c r="AI770" s="257"/>
      <c r="AJ770" s="257"/>
      <c r="AK770" s="257"/>
      <c r="AL770" s="257"/>
      <c r="AM770" s="257"/>
      <c r="AN770" s="259"/>
      <c r="AO770" s="359"/>
      <c r="AP770" s="360">
        <f t="shared" si="176"/>
        <v>0</v>
      </c>
      <c r="AQ770" s="360">
        <f t="shared" si="177"/>
        <v>0</v>
      </c>
      <c r="AR770" s="224"/>
      <c r="AS770" s="330"/>
      <c r="AT770" s="256"/>
      <c r="AU770" s="361"/>
      <c r="AV770" s="256"/>
      <c r="AW770" s="256"/>
      <c r="AX770" s="256"/>
      <c r="AY770" s="256"/>
      <c r="AZ770" s="256"/>
      <c r="BA770" s="256"/>
      <c r="BB770" s="208">
        <f t="shared" ref="BB770:BB776" si="180">D770</f>
        <v>0</v>
      </c>
      <c r="BC770" s="208">
        <f t="shared" ref="BC770:BC776" si="181">E770</f>
        <v>0</v>
      </c>
    </row>
    <row r="771" s="24" customFormat="1" customHeight="1" spans="1:55">
      <c r="A771" s="362"/>
      <c r="B771" s="362"/>
      <c r="C771" s="362"/>
      <c r="D771" s="363"/>
      <c r="E771" s="363"/>
      <c r="F771" s="129"/>
      <c r="G771" s="129"/>
      <c r="H771" s="129"/>
      <c r="I771" s="364"/>
      <c r="J771" s="95"/>
      <c r="K771" s="95"/>
      <c r="L771" s="95"/>
      <c r="M771" s="364"/>
      <c r="N771" s="96"/>
      <c r="O771" s="362"/>
      <c r="P771" s="362"/>
      <c r="Q771" s="362"/>
      <c r="R771" s="365"/>
      <c r="S771" s="362"/>
      <c r="T771" s="365"/>
      <c r="U771" s="128"/>
      <c r="V771" s="128"/>
      <c r="W771" s="128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96"/>
      <c r="AO771" s="359"/>
      <c r="AP771" s="360">
        <f t="shared" si="176"/>
        <v>0</v>
      </c>
      <c r="AQ771" s="360">
        <f t="shared" si="177"/>
        <v>0</v>
      </c>
      <c r="AR771" s="366"/>
      <c r="AS771" s="256"/>
      <c r="AT771" s="362"/>
      <c r="AU771" s="367"/>
      <c r="AV771" s="362"/>
      <c r="AW771" s="362"/>
      <c r="AX771" s="362"/>
      <c r="AY771" s="362"/>
      <c r="AZ771" s="362"/>
      <c r="BA771" s="362"/>
      <c r="BB771" s="208">
        <f t="shared" si="180"/>
        <v>0</v>
      </c>
      <c r="BC771" s="208">
        <f t="shared" si="181"/>
        <v>0</v>
      </c>
    </row>
    <row r="772" s="24" customFormat="1" customHeight="1" spans="1:55">
      <c r="A772" s="362"/>
      <c r="B772" s="362"/>
      <c r="C772" s="362"/>
      <c r="D772" s="363"/>
      <c r="E772" s="363"/>
      <c r="F772" s="129"/>
      <c r="G772" s="129"/>
      <c r="H772" s="129"/>
      <c r="I772" s="364"/>
      <c r="J772" s="95"/>
      <c r="K772" s="95"/>
      <c r="L772" s="95"/>
      <c r="M772" s="364"/>
      <c r="N772" s="96"/>
      <c r="O772" s="362"/>
      <c r="P772" s="362"/>
      <c r="Q772" s="362"/>
      <c r="R772" s="365"/>
      <c r="S772" s="362"/>
      <c r="T772" s="365"/>
      <c r="U772" s="128"/>
      <c r="V772" s="128"/>
      <c r="W772" s="128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96"/>
      <c r="AO772" s="359"/>
      <c r="AP772" s="360">
        <f t="shared" si="176"/>
        <v>0</v>
      </c>
      <c r="AQ772" s="360">
        <f t="shared" si="177"/>
        <v>0</v>
      </c>
      <c r="AR772" s="366"/>
      <c r="AS772" s="256"/>
      <c r="AT772" s="362"/>
      <c r="AU772" s="367"/>
      <c r="AV772" s="362"/>
      <c r="AW772" s="362"/>
      <c r="AX772" s="362"/>
      <c r="AY772" s="362"/>
      <c r="AZ772" s="362"/>
      <c r="BA772" s="362"/>
      <c r="BB772" s="208">
        <f t="shared" si="180"/>
        <v>0</v>
      </c>
      <c r="BC772" s="208">
        <f t="shared" si="181"/>
        <v>0</v>
      </c>
    </row>
    <row r="773" s="24" customFormat="1" customHeight="1" spans="1:55">
      <c r="A773" s="362"/>
      <c r="B773" s="362"/>
      <c r="C773" s="362"/>
      <c r="D773" s="363"/>
      <c r="E773" s="363"/>
      <c r="F773" s="129"/>
      <c r="G773" s="129"/>
      <c r="H773" s="129"/>
      <c r="I773" s="364"/>
      <c r="J773" s="95"/>
      <c r="K773" s="95"/>
      <c r="L773" s="95"/>
      <c r="M773" s="364"/>
      <c r="N773" s="96"/>
      <c r="O773" s="362"/>
      <c r="P773" s="362"/>
      <c r="Q773" s="362"/>
      <c r="R773" s="365"/>
      <c r="S773" s="362"/>
      <c r="T773" s="365"/>
      <c r="U773" s="128"/>
      <c r="V773" s="128"/>
      <c r="W773" s="128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96"/>
      <c r="AO773" s="359"/>
      <c r="AP773" s="360">
        <f t="shared" si="176"/>
        <v>0</v>
      </c>
      <c r="AQ773" s="360">
        <f t="shared" si="177"/>
        <v>0</v>
      </c>
      <c r="AR773" s="368"/>
      <c r="AS773" s="256"/>
      <c r="AT773" s="362"/>
      <c r="AU773" s="367"/>
      <c r="AV773" s="362"/>
      <c r="AW773" s="362"/>
      <c r="AX773" s="362"/>
      <c r="AY773" s="362"/>
      <c r="AZ773" s="362"/>
      <c r="BA773" s="362"/>
      <c r="BB773" s="208">
        <f t="shared" si="180"/>
        <v>0</v>
      </c>
      <c r="BC773" s="208">
        <f t="shared" si="181"/>
        <v>0</v>
      </c>
    </row>
    <row r="774" s="24" customFormat="1" customHeight="1" spans="1:55">
      <c r="A774" s="362"/>
      <c r="B774" s="362"/>
      <c r="C774" s="362"/>
      <c r="D774" s="363"/>
      <c r="E774" s="363"/>
      <c r="F774" s="129"/>
      <c r="G774" s="129"/>
      <c r="H774" s="129"/>
      <c r="I774" s="364"/>
      <c r="J774" s="95"/>
      <c r="K774" s="95"/>
      <c r="L774" s="95"/>
      <c r="M774" s="364"/>
      <c r="N774" s="96"/>
      <c r="O774" s="362"/>
      <c r="P774" s="362"/>
      <c r="Q774" s="362"/>
      <c r="R774" s="365"/>
      <c r="S774" s="362"/>
      <c r="T774" s="365"/>
      <c r="U774" s="128"/>
      <c r="V774" s="128"/>
      <c r="W774" s="128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96"/>
      <c r="AO774" s="359"/>
      <c r="AP774" s="360">
        <f t="shared" si="176"/>
        <v>0</v>
      </c>
      <c r="AQ774" s="360">
        <f t="shared" si="177"/>
        <v>0</v>
      </c>
      <c r="AR774" s="368"/>
      <c r="AS774" s="256"/>
      <c r="AT774" s="362"/>
      <c r="AU774" s="367"/>
      <c r="AV774" s="362"/>
      <c r="AW774" s="362"/>
      <c r="AX774" s="362"/>
      <c r="AY774" s="362"/>
      <c r="AZ774" s="362"/>
      <c r="BA774" s="362"/>
      <c r="BB774" s="208">
        <f t="shared" si="180"/>
        <v>0</v>
      </c>
      <c r="BC774" s="208">
        <f t="shared" si="181"/>
        <v>0</v>
      </c>
    </row>
    <row r="775" s="12" customFormat="1" customHeight="1" spans="1:55">
      <c r="A775" s="116"/>
      <c r="B775" s="116"/>
      <c r="C775" s="116"/>
      <c r="D775" s="117"/>
      <c r="E775" s="117"/>
      <c r="F775" s="118"/>
      <c r="G775" s="118"/>
      <c r="H775" s="118"/>
      <c r="I775" s="119"/>
      <c r="J775" s="92"/>
      <c r="K775" s="92"/>
      <c r="L775" s="92"/>
      <c r="M775" s="119"/>
      <c r="N775" s="32"/>
      <c r="O775" s="116"/>
      <c r="P775" s="116"/>
      <c r="Q775" s="116"/>
      <c r="R775" s="29"/>
      <c r="S775" s="116"/>
      <c r="T775" s="29"/>
      <c r="U775" s="122"/>
      <c r="V775" s="122"/>
      <c r="W775" s="122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  <c r="AI775" s="118"/>
      <c r="AJ775" s="118"/>
      <c r="AK775" s="118"/>
      <c r="AL775" s="118"/>
      <c r="AM775" s="118"/>
      <c r="AN775" s="32"/>
      <c r="AO775" s="215"/>
      <c r="AP775" s="125">
        <f t="shared" si="176"/>
        <v>0</v>
      </c>
      <c r="AQ775" s="125">
        <f t="shared" si="177"/>
        <v>0</v>
      </c>
      <c r="AR775" s="369"/>
      <c r="AS775" s="208"/>
      <c r="AT775" s="116"/>
      <c r="AU775" s="218"/>
      <c r="AV775" s="116"/>
      <c r="AW775" s="116"/>
      <c r="AX775" s="116"/>
      <c r="AY775" s="116"/>
      <c r="AZ775" s="116"/>
      <c r="BA775" s="116"/>
      <c r="BB775" s="208">
        <f t="shared" si="180"/>
        <v>0</v>
      </c>
      <c r="BC775" s="208">
        <f t="shared" si="181"/>
        <v>0</v>
      </c>
    </row>
    <row r="776" s="12" customFormat="1" customHeight="1" spans="1:55">
      <c r="A776" s="116"/>
      <c r="B776" s="116"/>
      <c r="C776" s="116"/>
      <c r="D776" s="117"/>
      <c r="E776" s="117"/>
      <c r="F776" s="118"/>
      <c r="G776" s="118"/>
      <c r="H776" s="118" t="s">
        <v>1552</v>
      </c>
      <c r="I776" s="119"/>
      <c r="J776" s="92">
        <f>SUM(J3:J775)</f>
        <v>6216981</v>
      </c>
      <c r="K776" s="92"/>
      <c r="L776" s="92"/>
      <c r="M776" s="119"/>
      <c r="N776" s="32"/>
      <c r="O776" s="116"/>
      <c r="P776" s="116"/>
      <c r="Q776" s="116"/>
      <c r="R776" s="29"/>
      <c r="S776" s="116"/>
      <c r="T776" s="29"/>
      <c r="U776" s="122"/>
      <c r="V776" s="122"/>
      <c r="W776" s="122"/>
      <c r="X776" s="118"/>
      <c r="Y776" s="118"/>
      <c r="Z776" s="43"/>
      <c r="AA776" s="43"/>
      <c r="AB776" s="43"/>
      <c r="AC776" s="118"/>
      <c r="AD776" s="118"/>
      <c r="AE776" s="118"/>
      <c r="AF776" s="118"/>
      <c r="AG776" s="118"/>
      <c r="AH776" s="118"/>
      <c r="AI776" s="118"/>
      <c r="AJ776" s="118"/>
      <c r="AK776" s="118"/>
      <c r="AL776" s="118"/>
      <c r="AM776" s="118"/>
      <c r="AN776" s="32"/>
      <c r="AO776" s="215"/>
      <c r="AP776" s="125">
        <f>SUM(AP3:AP775)</f>
        <v>5990087.26</v>
      </c>
      <c r="AQ776" s="125">
        <f>SUM(AQ3:AQ775)</f>
        <v>46423176.4</v>
      </c>
      <c r="AR776" s="369"/>
      <c r="AS776" s="116"/>
      <c r="AT776" s="116"/>
      <c r="AU776" s="218"/>
      <c r="AV776" s="116"/>
      <c r="AW776" s="116"/>
      <c r="AX776" s="116"/>
      <c r="AY776" s="116"/>
      <c r="AZ776" s="116"/>
      <c r="BA776" s="116"/>
      <c r="BB776" s="208">
        <f t="shared" si="180"/>
        <v>0</v>
      </c>
      <c r="BC776" s="208">
        <f t="shared" si="181"/>
        <v>0</v>
      </c>
    </row>
    <row r="778" s="201" customFormat="1" customHeight="1" spans="1:55">
      <c r="A778" s="370" t="s">
        <v>1957</v>
      </c>
      <c r="B778" s="370"/>
      <c r="C778" s="371"/>
      <c r="J778" s="372"/>
      <c r="K778" s="372"/>
      <c r="L778" s="372"/>
      <c r="N778" s="372"/>
      <c r="O778" s="373"/>
      <c r="P778" s="373"/>
      <c r="Q778" s="373"/>
      <c r="S778" s="17"/>
      <c r="U778" s="374"/>
      <c r="V778" s="374"/>
      <c r="W778" s="374"/>
      <c r="AM778" s="372"/>
      <c r="AN778" s="202"/>
      <c r="AO778" s="202"/>
      <c r="AP778" s="375"/>
      <c r="AQ778" s="376"/>
      <c r="AR778" s="373"/>
      <c r="AS778" s="373"/>
      <c r="AT778" s="373"/>
      <c r="AU778" s="17"/>
      <c r="AV778" s="17"/>
      <c r="AW778" s="17"/>
      <c r="AX778" s="17"/>
      <c r="AY778" s="373"/>
      <c r="AZ778" s="373"/>
      <c r="BA778" s="374"/>
    </row>
    <row r="779" customHeight="1" spans="1:55">
      <c r="A779" s="370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2:BA776" etc:filterBottomFollowUsedRange="0">
    <sortState ref="A2:BA776">
      <sortCondition ref="AR2"/>
    </sortState>
    <extLst/>
  </autoFilter>
  <mergeCells count="48">
    <mergeCell ref="X1:Y1"/>
    <mergeCell ref="Z1:AB1"/>
    <mergeCell ref="AC1:AD1"/>
    <mergeCell ref="AE1:AF1"/>
    <mergeCell ref="AG1:A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</mergeCells>
  <conditionalFormatting sqref="B1">
    <cfRule type="containsText" dxfId="1" priority="4175" operator="between" text="异常">
      <formula>NOT(ISERROR(SEARCH("异常",B1)))</formula>
    </cfRule>
  </conditionalFormatting>
  <conditionalFormatting sqref="C1">
    <cfRule type="containsText" dxfId="2" priority="4354" operator="between" text="二代">
      <formula>NOT(ISERROR(SEARCH("二代",C1)))</formula>
    </cfRule>
    <cfRule type="containsText" dxfId="3" priority="4533" operator="between" text="蛋糕">
      <formula>NOT(ISERROR(SEARCH("蛋糕",C1)))</formula>
    </cfRule>
  </conditionalFormatting>
  <conditionalFormatting sqref="B3">
    <cfRule type="containsText" dxfId="1" priority="4173" operator="between" text="异常">
      <formula>NOT(ISERROR(SEARCH("异常",B3)))</formula>
    </cfRule>
  </conditionalFormatting>
  <conditionalFormatting sqref="C3">
    <cfRule type="containsText" dxfId="2" priority="4352" operator="between" text="二代">
      <formula>NOT(ISERROR(SEARCH("二代",C3)))</formula>
    </cfRule>
    <cfRule type="containsText" dxfId="3" priority="4531" operator="between" text="蛋糕">
      <formula>NOT(ISERROR(SEARCH("蛋糕",C3)))</formula>
    </cfRule>
  </conditionalFormatting>
  <conditionalFormatting sqref="AC3">
    <cfRule type="containsText" dxfId="0" priority="5505" operator="between" text="欠">
      <formula>NOT(ISERROR(SEARCH("欠",AC3)))</formula>
    </cfRule>
  </conditionalFormatting>
  <conditionalFormatting sqref="B4">
    <cfRule type="containsText" dxfId="1" priority="4172" operator="between" text="异常">
      <formula>NOT(ISERROR(SEARCH("异常",B4)))</formula>
    </cfRule>
  </conditionalFormatting>
  <conditionalFormatting sqref="C4">
    <cfRule type="containsText" dxfId="2" priority="4351" operator="between" text="二代">
      <formula>NOT(ISERROR(SEARCH("二代",C4)))</formula>
    </cfRule>
    <cfRule type="containsText" dxfId="3" priority="4530" operator="between" text="蛋糕">
      <formula>NOT(ISERROR(SEARCH("蛋糕",C4)))</formula>
    </cfRule>
  </conditionalFormatting>
  <conditionalFormatting sqref="AC4">
    <cfRule type="containsText" dxfId="0" priority="5497" operator="between" text="欠">
      <formula>NOT(ISERROR(SEARCH("欠",AC4)))</formula>
    </cfRule>
  </conditionalFormatting>
  <conditionalFormatting sqref="B5">
    <cfRule type="containsText" dxfId="1" priority="4171" operator="between" text="异常">
      <formula>NOT(ISERROR(SEARCH("异常",B5)))</formula>
    </cfRule>
  </conditionalFormatting>
  <conditionalFormatting sqref="C5">
    <cfRule type="containsText" dxfId="2" priority="4350" operator="between" text="二代">
      <formula>NOT(ISERROR(SEARCH("二代",C5)))</formula>
    </cfRule>
    <cfRule type="containsText" dxfId="3" priority="4529" operator="between" text="蛋糕">
      <formula>NOT(ISERROR(SEARCH("蛋糕",C5)))</formula>
    </cfRule>
  </conditionalFormatting>
  <conditionalFormatting sqref="AC5">
    <cfRule type="containsText" dxfId="0" priority="5499" operator="between" text="欠">
      <formula>NOT(ISERROR(SEARCH("欠",AC5)))</formula>
    </cfRule>
  </conditionalFormatting>
  <conditionalFormatting sqref="AH5">
    <cfRule type="containsText" dxfId="0" priority="5498" operator="between" text="欠">
      <formula>NOT(ISERROR(SEARCH("欠",AH5)))</formula>
    </cfRule>
  </conditionalFormatting>
  <conditionalFormatting sqref="B6">
    <cfRule type="containsText" dxfId="1" priority="4170" operator="between" text="异常">
      <formula>NOT(ISERROR(SEARCH("异常",B6)))</formula>
    </cfRule>
  </conditionalFormatting>
  <conditionalFormatting sqref="C6">
    <cfRule type="containsText" dxfId="2" priority="4349" operator="between" text="二代">
      <formula>NOT(ISERROR(SEARCH("二代",C6)))</formula>
    </cfRule>
    <cfRule type="containsText" dxfId="3" priority="4528" operator="between" text="蛋糕">
      <formula>NOT(ISERROR(SEARCH("蛋糕",C6)))</formula>
    </cfRule>
  </conditionalFormatting>
  <conditionalFormatting sqref="AC6">
    <cfRule type="containsText" dxfId="0" priority="5501" operator="between" text="欠">
      <formula>NOT(ISERROR(SEARCH("欠",AC6)))</formula>
    </cfRule>
  </conditionalFormatting>
  <conditionalFormatting sqref="AH6">
    <cfRule type="containsText" dxfId="0" priority="5500" operator="between" text="欠">
      <formula>NOT(ISERROR(SEARCH("欠",AH6)))</formula>
    </cfRule>
  </conditionalFormatting>
  <conditionalFormatting sqref="B7">
    <cfRule type="containsText" dxfId="1" priority="4169" operator="between" text="异常">
      <formula>NOT(ISERROR(SEARCH("异常",B7)))</formula>
    </cfRule>
  </conditionalFormatting>
  <conditionalFormatting sqref="C7">
    <cfRule type="containsText" dxfId="2" priority="4348" operator="between" text="二代">
      <formula>NOT(ISERROR(SEARCH("二代",C7)))</formula>
    </cfRule>
    <cfRule type="containsText" dxfId="3" priority="4527" operator="between" text="蛋糕">
      <formula>NOT(ISERROR(SEARCH("蛋糕",C7)))</formula>
    </cfRule>
  </conditionalFormatting>
  <conditionalFormatting sqref="AC7">
    <cfRule type="containsText" dxfId="0" priority="5503" operator="between" text="欠">
      <formula>NOT(ISERROR(SEARCH("欠",AC7)))</formula>
    </cfRule>
  </conditionalFormatting>
  <conditionalFormatting sqref="AH7">
    <cfRule type="containsText" dxfId="0" priority="5502" operator="between" text="欠">
      <formula>NOT(ISERROR(SEARCH("欠",AH7)))</formula>
    </cfRule>
  </conditionalFormatting>
  <conditionalFormatting sqref="B8">
    <cfRule type="containsText" dxfId="1" priority="4168" operator="between" text="异常">
      <formula>NOT(ISERROR(SEARCH("异常",B8)))</formula>
    </cfRule>
  </conditionalFormatting>
  <conditionalFormatting sqref="C8">
    <cfRule type="containsText" dxfId="2" priority="4347" operator="between" text="二代">
      <formula>NOT(ISERROR(SEARCH("二代",C8)))</formula>
    </cfRule>
    <cfRule type="containsText" dxfId="3" priority="4526" operator="between" text="蛋糕">
      <formula>NOT(ISERROR(SEARCH("蛋糕",C8)))</formula>
    </cfRule>
  </conditionalFormatting>
  <conditionalFormatting sqref="X8:Y8">
    <cfRule type="containsText" dxfId="0" priority="5488" operator="between" text="欠">
      <formula>NOT(ISERROR(SEARCH("欠",X8)))</formula>
    </cfRule>
  </conditionalFormatting>
  <conditionalFormatting sqref="Z8:AB8">
    <cfRule type="containsText" dxfId="0" priority="5487" operator="between" text="欠">
      <formula>NOT(ISERROR(SEARCH("欠",Z8)))</formula>
    </cfRule>
  </conditionalFormatting>
  <conditionalFormatting sqref="AC8:AD8">
    <cfRule type="containsText" dxfId="0" priority="5486" operator="between" text="欠">
      <formula>NOT(ISERROR(SEARCH("欠",AC8)))</formula>
    </cfRule>
  </conditionalFormatting>
  <conditionalFormatting sqref="AE8:AH8">
    <cfRule type="containsText" dxfId="0" priority="5485" operator="between" text="欠">
      <formula>NOT(ISERROR(SEARCH("欠",AE8)))</formula>
    </cfRule>
  </conditionalFormatting>
  <conditionalFormatting sqref="AI8">
    <cfRule type="containsText" dxfId="0" priority="5484" operator="between" text="欠">
      <formula>NOT(ISERROR(SEARCH("欠",AI8)))</formula>
    </cfRule>
  </conditionalFormatting>
  <conditionalFormatting sqref="B9">
    <cfRule type="containsText" dxfId="1" priority="4167" operator="between" text="异常">
      <formula>NOT(ISERROR(SEARCH("异常",B9)))</formula>
    </cfRule>
  </conditionalFormatting>
  <conditionalFormatting sqref="C9">
    <cfRule type="containsText" dxfId="2" priority="4346" operator="between" text="二代">
      <formula>NOT(ISERROR(SEARCH("二代",C9)))</formula>
    </cfRule>
    <cfRule type="containsText" dxfId="3" priority="4525" operator="between" text="蛋糕">
      <formula>NOT(ISERROR(SEARCH("蛋糕",C9)))</formula>
    </cfRule>
  </conditionalFormatting>
  <conditionalFormatting sqref="X9:Y9">
    <cfRule type="containsText" dxfId="0" priority="5483" operator="between" text="欠">
      <formula>NOT(ISERROR(SEARCH("欠",X9)))</formula>
    </cfRule>
  </conditionalFormatting>
  <conditionalFormatting sqref="Z9:AB9">
    <cfRule type="containsText" dxfId="0" priority="5482" operator="between" text="欠">
      <formula>NOT(ISERROR(SEARCH("欠",Z9)))</formula>
    </cfRule>
  </conditionalFormatting>
  <conditionalFormatting sqref="AC9:AD9">
    <cfRule type="containsText" dxfId="0" priority="5481" operator="between" text="欠">
      <formula>NOT(ISERROR(SEARCH("欠",AC9)))</formula>
    </cfRule>
  </conditionalFormatting>
  <conditionalFormatting sqref="AF9">
    <cfRule type="containsText" dxfId="0" priority="5479" operator="between" text="欠">
      <formula>NOT(ISERROR(SEARCH("欠",AF9)))</formula>
    </cfRule>
  </conditionalFormatting>
  <conditionalFormatting sqref="AH9">
    <cfRule type="containsText" dxfId="0" priority="5480" operator="between" text="欠">
      <formula>NOT(ISERROR(SEARCH("欠",AH9)))</formula>
    </cfRule>
  </conditionalFormatting>
  <conditionalFormatting sqref="AI9">
    <cfRule type="containsText" dxfId="0" priority="5478" operator="between" text="欠">
      <formula>NOT(ISERROR(SEARCH("欠",AI9)))</formula>
    </cfRule>
  </conditionalFormatting>
  <conditionalFormatting sqref="B10">
    <cfRule type="containsText" dxfId="1" priority="4166" operator="between" text="异常">
      <formula>NOT(ISERROR(SEARCH("异常",B10)))</formula>
    </cfRule>
  </conditionalFormatting>
  <conditionalFormatting sqref="C10">
    <cfRule type="containsText" dxfId="2" priority="4345" operator="between" text="二代">
      <formula>NOT(ISERROR(SEARCH("二代",C10)))</formula>
    </cfRule>
    <cfRule type="containsText" dxfId="3" priority="4524" operator="between" text="蛋糕">
      <formula>NOT(ISERROR(SEARCH("蛋糕",C10)))</formula>
    </cfRule>
  </conditionalFormatting>
  <conditionalFormatting sqref="AA10:AB10">
    <cfRule type="containsText" dxfId="0" priority="5471" operator="between" text="欠">
      <formula>NOT(ISERROR(SEARCH("欠",AA10)))</formula>
    </cfRule>
  </conditionalFormatting>
  <conditionalFormatting sqref="AC10">
    <cfRule type="containsText" dxfId="0" priority="5477" operator="between" text="欠">
      <formula>NOT(ISERROR(SEARCH("欠",AC10)))</formula>
    </cfRule>
  </conditionalFormatting>
  <conditionalFormatting sqref="B11">
    <cfRule type="containsText" dxfId="1" priority="4165" operator="between" text="异常">
      <formula>NOT(ISERROR(SEARCH("异常",B11)))</formula>
    </cfRule>
  </conditionalFormatting>
  <conditionalFormatting sqref="C11">
    <cfRule type="containsText" dxfId="2" priority="4344" operator="between" text="二代">
      <formula>NOT(ISERROR(SEARCH("二代",C11)))</formula>
    </cfRule>
    <cfRule type="containsText" dxfId="3" priority="4523" operator="between" text="蛋糕">
      <formula>NOT(ISERROR(SEARCH("蛋糕",C11)))</formula>
    </cfRule>
  </conditionalFormatting>
  <conditionalFormatting sqref="AC11">
    <cfRule type="containsText" dxfId="0" priority="5473" operator="between" text="欠">
      <formula>NOT(ISERROR(SEARCH("欠",AC11)))</formula>
    </cfRule>
  </conditionalFormatting>
  <conditionalFormatting sqref="B12">
    <cfRule type="containsText" dxfId="1" priority="4164" operator="between" text="异常">
      <formula>NOT(ISERROR(SEARCH("异常",B12)))</formula>
    </cfRule>
  </conditionalFormatting>
  <conditionalFormatting sqref="C12">
    <cfRule type="containsText" dxfId="2" priority="4343" operator="between" text="二代">
      <formula>NOT(ISERROR(SEARCH("二代",C12)))</formula>
    </cfRule>
    <cfRule type="containsText" dxfId="3" priority="4522" operator="between" text="蛋糕">
      <formula>NOT(ISERROR(SEARCH("蛋糕",C12)))</formula>
    </cfRule>
  </conditionalFormatting>
  <conditionalFormatting sqref="AC12">
    <cfRule type="containsText" dxfId="0" priority="5476" operator="between" text="欠">
      <formula>NOT(ISERROR(SEARCH("欠",AC12)))</formula>
    </cfRule>
  </conditionalFormatting>
  <conditionalFormatting sqref="B13">
    <cfRule type="containsText" dxfId="1" priority="4163" operator="between" text="异常">
      <formula>NOT(ISERROR(SEARCH("异常",B13)))</formula>
    </cfRule>
  </conditionalFormatting>
  <conditionalFormatting sqref="C13">
    <cfRule type="containsText" dxfId="2" priority="4342" operator="between" text="二代">
      <formula>NOT(ISERROR(SEARCH("二代",C13)))</formula>
    </cfRule>
    <cfRule type="containsText" dxfId="3" priority="4521" operator="between" text="蛋糕">
      <formula>NOT(ISERROR(SEARCH("蛋糕",C13)))</formula>
    </cfRule>
  </conditionalFormatting>
  <conditionalFormatting sqref="X13:Y13">
    <cfRule type="containsText" dxfId="0" priority="5464" operator="between" text="欠">
      <formula>NOT(ISERROR(SEARCH("欠",X13)))</formula>
    </cfRule>
  </conditionalFormatting>
  <conditionalFormatting sqref="Z13:AB13">
    <cfRule type="containsText" dxfId="0" priority="5463" operator="between" text="欠">
      <formula>NOT(ISERROR(SEARCH("欠",Z13)))</formula>
    </cfRule>
  </conditionalFormatting>
  <conditionalFormatting sqref="AC13:AD13">
    <cfRule type="containsText" dxfId="0" priority="5462" operator="between" text="欠">
      <formula>NOT(ISERROR(SEARCH("欠",AC13)))</formula>
    </cfRule>
  </conditionalFormatting>
  <conditionalFormatting sqref="AE13">
    <cfRule type="containsText" dxfId="0" priority="5458" operator="between" text="欠">
      <formula>NOT(ISERROR(SEARCH("欠",AE13)))</formula>
    </cfRule>
  </conditionalFormatting>
  <conditionalFormatting sqref="AG13">
    <cfRule type="containsText" dxfId="0" priority="5459" operator="between" text="欠">
      <formula>NOT(ISERROR(SEARCH("欠",AG13)))</formula>
    </cfRule>
  </conditionalFormatting>
  <conditionalFormatting sqref="AI13">
    <cfRule type="containsText" dxfId="0" priority="5460" operator="between" text="欠">
      <formula>NOT(ISERROR(SEARCH("欠",AI13)))</formula>
    </cfRule>
  </conditionalFormatting>
  <conditionalFormatting sqref="B14">
    <cfRule type="containsText" dxfId="1" priority="4162" operator="between" text="异常">
      <formula>NOT(ISERROR(SEARCH("异常",B14)))</formula>
    </cfRule>
  </conditionalFormatting>
  <conditionalFormatting sqref="C14">
    <cfRule type="containsText" dxfId="2" priority="4341" operator="between" text="二代">
      <formula>NOT(ISERROR(SEARCH("二代",C14)))</formula>
    </cfRule>
    <cfRule type="containsText" dxfId="3" priority="4520" operator="between" text="蛋糕">
      <formula>NOT(ISERROR(SEARCH("蛋糕",C14)))</formula>
    </cfRule>
  </conditionalFormatting>
  <conditionalFormatting sqref="AA14">
    <cfRule type="containsText" dxfId="0" priority="5453" operator="between" text="欠">
      <formula>NOT(ISERROR(SEARCH("欠",AA14)))</formula>
    </cfRule>
  </conditionalFormatting>
  <conditionalFormatting sqref="AE14">
    <cfRule type="containsText" dxfId="0" priority="5447" operator="between" text="欠">
      <formula>NOT(ISERROR(SEARCH("欠",AE14)))</formula>
    </cfRule>
  </conditionalFormatting>
  <conditionalFormatting sqref="AG14">
    <cfRule type="containsText" dxfId="0" priority="5441" operator="between" text="欠">
      <formula>NOT(ISERROR(SEARCH("欠",AG14)))</formula>
    </cfRule>
  </conditionalFormatting>
  <conditionalFormatting sqref="AH14">
    <cfRule type="containsText" dxfId="0" priority="5451" operator="between" text="欠">
      <formula>NOT(ISERROR(SEARCH("欠",AH14)))</formula>
    </cfRule>
  </conditionalFormatting>
  <conditionalFormatting sqref="B15">
    <cfRule type="containsText" dxfId="1" priority="4161" operator="between" text="异常">
      <formula>NOT(ISERROR(SEARCH("异常",B15)))</formula>
    </cfRule>
  </conditionalFormatting>
  <conditionalFormatting sqref="C15">
    <cfRule type="containsText" dxfId="2" priority="4340" operator="between" text="二代">
      <formula>NOT(ISERROR(SEARCH("二代",C15)))</formula>
    </cfRule>
    <cfRule type="containsText" dxfId="3" priority="4519" operator="between" text="蛋糕">
      <formula>NOT(ISERROR(SEARCH("蛋糕",C15)))</formula>
    </cfRule>
  </conditionalFormatting>
  <conditionalFormatting sqref="AE15">
    <cfRule type="containsText" dxfId="0" priority="5446" operator="between" text="欠">
      <formula>NOT(ISERROR(SEARCH("欠",AE15)))</formula>
    </cfRule>
  </conditionalFormatting>
  <conditionalFormatting sqref="B16">
    <cfRule type="containsText" dxfId="1" priority="4160" operator="between" text="异常">
      <formula>NOT(ISERROR(SEARCH("异常",B16)))</formula>
    </cfRule>
  </conditionalFormatting>
  <conditionalFormatting sqref="C16">
    <cfRule type="containsText" dxfId="2" priority="4339" operator="between" text="二代">
      <formula>NOT(ISERROR(SEARCH("二代",C16)))</formula>
    </cfRule>
    <cfRule type="containsText" dxfId="3" priority="4518" operator="between" text="蛋糕">
      <formula>NOT(ISERROR(SEARCH("蛋糕",C16)))</formula>
    </cfRule>
  </conditionalFormatting>
  <conditionalFormatting sqref="AE16">
    <cfRule type="containsText" dxfId="0" priority="5445" operator="between" text="欠">
      <formula>NOT(ISERROR(SEARCH("欠",AE16)))</formula>
    </cfRule>
  </conditionalFormatting>
  <conditionalFormatting sqref="B17">
    <cfRule type="containsText" dxfId="1" priority="4159" operator="between" text="异常">
      <formula>NOT(ISERROR(SEARCH("异常",B17)))</formula>
    </cfRule>
  </conditionalFormatting>
  <conditionalFormatting sqref="C17">
    <cfRule type="containsText" dxfId="2" priority="4338" operator="between" text="二代">
      <formula>NOT(ISERROR(SEARCH("二代",C17)))</formula>
    </cfRule>
    <cfRule type="containsText" dxfId="3" priority="4517" operator="between" text="蛋糕">
      <formula>NOT(ISERROR(SEARCH("蛋糕",C17)))</formula>
    </cfRule>
  </conditionalFormatting>
  <conditionalFormatting sqref="AE17">
    <cfRule type="containsText" dxfId="0" priority="5444" operator="between" text="欠">
      <formula>NOT(ISERROR(SEARCH("欠",AE17)))</formula>
    </cfRule>
  </conditionalFormatting>
  <conditionalFormatting sqref="B18">
    <cfRule type="containsText" dxfId="1" priority="4158" operator="between" text="异常">
      <formula>NOT(ISERROR(SEARCH("异常",B18)))</formula>
    </cfRule>
  </conditionalFormatting>
  <conditionalFormatting sqref="C18">
    <cfRule type="containsText" dxfId="2" priority="4337" operator="between" text="二代">
      <formula>NOT(ISERROR(SEARCH("二代",C18)))</formula>
    </cfRule>
    <cfRule type="containsText" dxfId="3" priority="4516" operator="between" text="蛋糕">
      <formula>NOT(ISERROR(SEARCH("蛋糕",C18)))</formula>
    </cfRule>
  </conditionalFormatting>
  <conditionalFormatting sqref="AE18">
    <cfRule type="containsText" dxfId="0" priority="5443" operator="between" text="欠">
      <formula>NOT(ISERROR(SEARCH("欠",AE18)))</formula>
    </cfRule>
  </conditionalFormatting>
  <conditionalFormatting sqref="AH18">
    <cfRule type="containsText" dxfId="0" priority="5450" operator="between" text="欠">
      <formula>NOT(ISERROR(SEARCH("欠",AH18)))</formula>
    </cfRule>
  </conditionalFormatting>
  <conditionalFormatting sqref="B19">
    <cfRule type="containsText" dxfId="1" priority="4157" operator="between" text="异常">
      <formula>NOT(ISERROR(SEARCH("异常",B19)))</formula>
    </cfRule>
  </conditionalFormatting>
  <conditionalFormatting sqref="C19">
    <cfRule type="containsText" dxfId="2" priority="4336" operator="between" text="二代">
      <formula>NOT(ISERROR(SEARCH("二代",C19)))</formula>
    </cfRule>
    <cfRule type="containsText" dxfId="3" priority="4515" operator="between" text="蛋糕">
      <formula>NOT(ISERROR(SEARCH("蛋糕",C19)))</formula>
    </cfRule>
  </conditionalFormatting>
  <conditionalFormatting sqref="X19:Y19">
    <cfRule type="containsText" dxfId="0" priority="5434" operator="between" text="欠">
      <formula>NOT(ISERROR(SEARCH("欠",X19)))</formula>
    </cfRule>
  </conditionalFormatting>
  <conditionalFormatting sqref="AC19">
    <cfRule type="containsText" dxfId="0" priority="5432" operator="between" text="欠">
      <formula>NOT(ISERROR(SEARCH("欠",AC19)))</formula>
    </cfRule>
  </conditionalFormatting>
  <conditionalFormatting sqref="AD19">
    <cfRule type="containsText" dxfId="0" priority="5437" operator="between" text="欠">
      <formula>NOT(ISERROR(SEARCH("欠",AD19)))</formula>
    </cfRule>
  </conditionalFormatting>
  <conditionalFormatting sqref="B20">
    <cfRule type="containsText" dxfId="1" priority="4156" operator="between" text="异常">
      <formula>NOT(ISERROR(SEARCH("异常",B20)))</formula>
    </cfRule>
  </conditionalFormatting>
  <conditionalFormatting sqref="C20">
    <cfRule type="containsText" dxfId="2" priority="4335" operator="between" text="二代">
      <formula>NOT(ISERROR(SEARCH("二代",C20)))</formula>
    </cfRule>
    <cfRule type="containsText" dxfId="3" priority="4514" operator="between" text="蛋糕">
      <formula>NOT(ISERROR(SEARCH("蛋糕",C20)))</formula>
    </cfRule>
  </conditionalFormatting>
  <conditionalFormatting sqref="AH20">
    <cfRule type="containsText" dxfId="0" priority="5422" operator="between" text="欠">
      <formula>NOT(ISERROR(SEARCH("欠",AH20)))</formula>
    </cfRule>
  </conditionalFormatting>
  <conditionalFormatting sqref="B21">
    <cfRule type="containsText" dxfId="1" priority="4155" operator="between" text="异常">
      <formula>NOT(ISERROR(SEARCH("异常",B21)))</formula>
    </cfRule>
  </conditionalFormatting>
  <conditionalFormatting sqref="C21">
    <cfRule type="containsText" dxfId="2" priority="4334" operator="between" text="二代">
      <formula>NOT(ISERROR(SEARCH("二代",C21)))</formula>
    </cfRule>
    <cfRule type="containsText" dxfId="3" priority="4513" operator="between" text="蛋糕">
      <formula>NOT(ISERROR(SEARCH("蛋糕",C21)))</formula>
    </cfRule>
  </conditionalFormatting>
  <conditionalFormatting sqref="AC21">
    <cfRule type="containsText" dxfId="0" priority="5426" operator="between" text="欠">
      <formula>NOT(ISERROR(SEARCH("欠",AC21)))</formula>
    </cfRule>
  </conditionalFormatting>
  <conditionalFormatting sqref="AH21">
    <cfRule type="containsText" dxfId="0" priority="5425" operator="between" text="欠">
      <formula>NOT(ISERROR(SEARCH("欠",AH21)))</formula>
    </cfRule>
  </conditionalFormatting>
  <conditionalFormatting sqref="B22">
    <cfRule type="containsText" dxfId="1" priority="4154" operator="between" text="异常">
      <formula>NOT(ISERROR(SEARCH("异常",B22)))</formula>
    </cfRule>
  </conditionalFormatting>
  <conditionalFormatting sqref="C22">
    <cfRule type="containsText" dxfId="2" priority="4333" operator="between" text="二代">
      <formula>NOT(ISERROR(SEARCH("二代",C22)))</formula>
    </cfRule>
    <cfRule type="containsText" dxfId="3" priority="4512" operator="between" text="蛋糕">
      <formula>NOT(ISERROR(SEARCH("蛋糕",C22)))</formula>
    </cfRule>
  </conditionalFormatting>
  <conditionalFormatting sqref="AC22:AD22">
    <cfRule type="containsText" dxfId="0" priority="5428" operator="between" text="欠">
      <formula>NOT(ISERROR(SEARCH("欠",AC22)))</formula>
    </cfRule>
  </conditionalFormatting>
  <conditionalFormatting sqref="AH22">
    <cfRule type="containsText" dxfId="0" priority="5427" operator="between" text="欠">
      <formula>NOT(ISERROR(SEARCH("欠",AH22)))</formula>
    </cfRule>
  </conditionalFormatting>
  <conditionalFormatting sqref="B23">
    <cfRule type="containsText" dxfId="1" priority="4153" operator="between" text="异常">
      <formula>NOT(ISERROR(SEARCH("异常",B23)))</formula>
    </cfRule>
  </conditionalFormatting>
  <conditionalFormatting sqref="C23">
    <cfRule type="containsText" dxfId="2" priority="4332" operator="between" text="二代">
      <formula>NOT(ISERROR(SEARCH("二代",C23)))</formula>
    </cfRule>
    <cfRule type="containsText" dxfId="3" priority="4511" operator="between" text="蛋糕">
      <formula>NOT(ISERROR(SEARCH("蛋糕",C23)))</formula>
    </cfRule>
  </conditionalFormatting>
  <conditionalFormatting sqref="AH23">
    <cfRule type="containsText" dxfId="0" priority="5429" operator="between" text="欠">
      <formula>NOT(ISERROR(SEARCH("欠",AH23)))</formula>
    </cfRule>
  </conditionalFormatting>
  <conditionalFormatting sqref="B24">
    <cfRule type="containsText" dxfId="1" priority="4152" operator="between" text="异常">
      <formula>NOT(ISERROR(SEARCH("异常",B24)))</formula>
    </cfRule>
  </conditionalFormatting>
  <conditionalFormatting sqref="C24">
    <cfRule type="containsText" dxfId="2" priority="4331" operator="between" text="二代">
      <formula>NOT(ISERROR(SEARCH("二代",C24)))</formula>
    </cfRule>
    <cfRule type="containsText" dxfId="3" priority="4510" operator="between" text="蛋糕">
      <formula>NOT(ISERROR(SEARCH("蛋糕",C24)))</formula>
    </cfRule>
  </conditionalFormatting>
  <conditionalFormatting sqref="AH24">
    <cfRule type="containsText" dxfId="0" priority="5435" operator="between" text="欠">
      <formula>NOT(ISERROR(SEARCH("欠",AH24)))</formula>
    </cfRule>
  </conditionalFormatting>
  <conditionalFormatting sqref="B25">
    <cfRule type="containsText" dxfId="1" priority="4151" operator="between" text="异常">
      <formula>NOT(ISERROR(SEARCH("异常",B25)))</formula>
    </cfRule>
  </conditionalFormatting>
  <conditionalFormatting sqref="C25">
    <cfRule type="containsText" dxfId="2" priority="4330" operator="between" text="二代">
      <formula>NOT(ISERROR(SEARCH("二代",C25)))</formula>
    </cfRule>
    <cfRule type="containsText" dxfId="3" priority="4509" operator="between" text="蛋糕">
      <formula>NOT(ISERROR(SEARCH("蛋糕",C25)))</formula>
    </cfRule>
  </conditionalFormatting>
  <conditionalFormatting sqref="AC25">
    <cfRule type="containsText" dxfId="0" priority="5415" operator="between" text="欠">
      <formula>NOT(ISERROR(SEARCH("欠",AC25)))</formula>
    </cfRule>
  </conditionalFormatting>
  <conditionalFormatting sqref="B26">
    <cfRule type="containsText" dxfId="1" priority="4150" operator="between" text="异常">
      <formula>NOT(ISERROR(SEARCH("异常",B26)))</formula>
    </cfRule>
  </conditionalFormatting>
  <conditionalFormatting sqref="C26">
    <cfRule type="containsText" dxfId="2" priority="4329" operator="between" text="二代">
      <formula>NOT(ISERROR(SEARCH("二代",C26)))</formula>
    </cfRule>
    <cfRule type="containsText" dxfId="3" priority="4508" operator="between" text="蛋糕">
      <formula>NOT(ISERROR(SEARCH("蛋糕",C26)))</formula>
    </cfRule>
  </conditionalFormatting>
  <conditionalFormatting sqref="AC26">
    <cfRule type="containsText" dxfId="0" priority="5401" operator="between" text="欠">
      <formula>NOT(ISERROR(SEARCH("欠",AC26)))</formula>
    </cfRule>
  </conditionalFormatting>
  <conditionalFormatting sqref="B27">
    <cfRule type="containsText" dxfId="1" priority="4149" operator="between" text="异常">
      <formula>NOT(ISERROR(SEARCH("异常",B27)))</formula>
    </cfRule>
  </conditionalFormatting>
  <conditionalFormatting sqref="C27">
    <cfRule type="containsText" dxfId="2" priority="4328" operator="between" text="二代">
      <formula>NOT(ISERROR(SEARCH("二代",C27)))</formula>
    </cfRule>
    <cfRule type="containsText" dxfId="3" priority="4507" operator="between" text="蛋糕">
      <formula>NOT(ISERROR(SEARCH("蛋糕",C27)))</formula>
    </cfRule>
  </conditionalFormatting>
  <conditionalFormatting sqref="AC27:AD27">
    <cfRule type="containsText" dxfId="0" priority="5403" operator="between" text="欠">
      <formula>NOT(ISERROR(SEARCH("欠",AC27)))</formula>
    </cfRule>
  </conditionalFormatting>
  <conditionalFormatting sqref="AH27">
    <cfRule type="containsText" dxfId="0" priority="5402" operator="between" text="欠">
      <formula>NOT(ISERROR(SEARCH("欠",AH27)))</formula>
    </cfRule>
  </conditionalFormatting>
  <conditionalFormatting sqref="B28">
    <cfRule type="containsText" dxfId="1" priority="4148" operator="between" text="异常">
      <formula>NOT(ISERROR(SEARCH("异常",B28)))</formula>
    </cfRule>
  </conditionalFormatting>
  <conditionalFormatting sqref="C28">
    <cfRule type="containsText" dxfId="2" priority="4327" operator="between" text="二代">
      <formula>NOT(ISERROR(SEARCH("二代",C28)))</formula>
    </cfRule>
    <cfRule type="containsText" dxfId="3" priority="4506" operator="between" text="蛋糕">
      <formula>NOT(ISERROR(SEARCH("蛋糕",C28)))</formula>
    </cfRule>
  </conditionalFormatting>
  <conditionalFormatting sqref="AC28:AD28">
    <cfRule type="containsText" dxfId="0" priority="5405" operator="between" text="欠">
      <formula>NOT(ISERROR(SEARCH("欠",AC28)))</formula>
    </cfRule>
  </conditionalFormatting>
  <conditionalFormatting sqref="B29">
    <cfRule type="containsText" dxfId="1" priority="4147" operator="between" text="异常">
      <formula>NOT(ISERROR(SEARCH("异常",B29)))</formula>
    </cfRule>
  </conditionalFormatting>
  <conditionalFormatting sqref="C29">
    <cfRule type="containsText" dxfId="2" priority="4326" operator="between" text="二代">
      <formula>NOT(ISERROR(SEARCH("二代",C29)))</formula>
    </cfRule>
    <cfRule type="containsText" dxfId="3" priority="4505" operator="between" text="蛋糕">
      <formula>NOT(ISERROR(SEARCH("蛋糕",C29)))</formula>
    </cfRule>
  </conditionalFormatting>
  <conditionalFormatting sqref="AC29:AD29">
    <cfRule type="containsText" dxfId="0" priority="5406" operator="between" text="欠">
      <formula>NOT(ISERROR(SEARCH("欠",AC29)))</formula>
    </cfRule>
  </conditionalFormatting>
  <conditionalFormatting sqref="B30">
    <cfRule type="containsText" dxfId="1" priority="4146" operator="between" text="异常">
      <formula>NOT(ISERROR(SEARCH("异常",B30)))</formula>
    </cfRule>
  </conditionalFormatting>
  <conditionalFormatting sqref="C30">
    <cfRule type="containsText" dxfId="2" priority="4325" operator="between" text="二代">
      <formula>NOT(ISERROR(SEARCH("二代",C30)))</formula>
    </cfRule>
    <cfRule type="containsText" dxfId="3" priority="4504" operator="between" text="蛋糕">
      <formula>NOT(ISERROR(SEARCH("蛋糕",C30)))</formula>
    </cfRule>
  </conditionalFormatting>
  <conditionalFormatting sqref="AC30:AD30">
    <cfRule type="containsText" dxfId="0" priority="5408" operator="between" text="欠">
      <formula>NOT(ISERROR(SEARCH("欠",AC30)))</formula>
    </cfRule>
  </conditionalFormatting>
  <conditionalFormatting sqref="AH30">
    <cfRule type="containsText" dxfId="0" priority="5407" operator="between" text="欠">
      <formula>NOT(ISERROR(SEARCH("欠",AH30)))</formula>
    </cfRule>
  </conditionalFormatting>
  <conditionalFormatting sqref="B31">
    <cfRule type="containsText" dxfId="1" priority="4145" operator="between" text="异常">
      <formula>NOT(ISERROR(SEARCH("异常",B31)))</formula>
    </cfRule>
  </conditionalFormatting>
  <conditionalFormatting sqref="C31">
    <cfRule type="containsText" dxfId="2" priority="4324" operator="between" text="二代">
      <formula>NOT(ISERROR(SEARCH("二代",C31)))</formula>
    </cfRule>
    <cfRule type="containsText" dxfId="3" priority="4503" operator="between" text="蛋糕">
      <formula>NOT(ISERROR(SEARCH("蛋糕",C31)))</formula>
    </cfRule>
  </conditionalFormatting>
  <conditionalFormatting sqref="AH31">
    <cfRule type="containsText" dxfId="0" priority="5409" operator="between" text="欠">
      <formula>NOT(ISERROR(SEARCH("欠",AH31)))</formula>
    </cfRule>
  </conditionalFormatting>
  <conditionalFormatting sqref="B32">
    <cfRule type="containsText" dxfId="1" priority="4144" operator="between" text="异常">
      <formula>NOT(ISERROR(SEARCH("异常",B32)))</formula>
    </cfRule>
  </conditionalFormatting>
  <conditionalFormatting sqref="C32">
    <cfRule type="containsText" dxfId="2" priority="4323" operator="between" text="二代">
      <formula>NOT(ISERROR(SEARCH("二代",C32)))</formula>
    </cfRule>
    <cfRule type="containsText" dxfId="3" priority="4502" operator="between" text="蛋糕">
      <formula>NOT(ISERROR(SEARCH("蛋糕",C32)))</formula>
    </cfRule>
  </conditionalFormatting>
  <conditionalFormatting sqref="AC32">
    <cfRule type="containsText" dxfId="0" priority="5412" operator="between" text="欠">
      <formula>NOT(ISERROR(SEARCH("欠",AC32)))</formula>
    </cfRule>
  </conditionalFormatting>
  <conditionalFormatting sqref="AH32">
    <cfRule type="containsText" dxfId="0" priority="5411" operator="between" text="欠">
      <formula>NOT(ISERROR(SEARCH("欠",AH32)))</formula>
    </cfRule>
  </conditionalFormatting>
  <conditionalFormatting sqref="B33">
    <cfRule type="containsText" dxfId="1" priority="4143" operator="between" text="异常">
      <formula>NOT(ISERROR(SEARCH("异常",B33)))</formula>
    </cfRule>
  </conditionalFormatting>
  <conditionalFormatting sqref="C33">
    <cfRule type="containsText" dxfId="2" priority="4322" operator="between" text="二代">
      <formula>NOT(ISERROR(SEARCH("二代",C33)))</formula>
    </cfRule>
    <cfRule type="containsText" dxfId="3" priority="4501" operator="between" text="蛋糕">
      <formula>NOT(ISERROR(SEARCH("蛋糕",C33)))</formula>
    </cfRule>
  </conditionalFormatting>
  <conditionalFormatting sqref="AC33:AD33">
    <cfRule type="containsText" dxfId="0" priority="5414" operator="between" text="欠">
      <formula>NOT(ISERROR(SEARCH("欠",AC33)))</formula>
    </cfRule>
  </conditionalFormatting>
  <conditionalFormatting sqref="AH33">
    <cfRule type="containsText" dxfId="0" priority="5413" operator="between" text="欠">
      <formula>NOT(ISERROR(SEARCH("欠",AH33)))</formula>
    </cfRule>
  </conditionalFormatting>
  <conditionalFormatting sqref="B34">
    <cfRule type="containsText" dxfId="1" priority="4142" operator="between" text="异常">
      <formula>NOT(ISERROR(SEARCH("异常",B34)))</formula>
    </cfRule>
  </conditionalFormatting>
  <conditionalFormatting sqref="C34">
    <cfRule type="containsText" dxfId="2" priority="4321" operator="between" text="二代">
      <formula>NOT(ISERROR(SEARCH("二代",C34)))</formula>
    </cfRule>
    <cfRule type="containsText" dxfId="3" priority="4500" operator="between" text="蛋糕">
      <formula>NOT(ISERROR(SEARCH("蛋糕",C34)))</formula>
    </cfRule>
  </conditionalFormatting>
  <conditionalFormatting sqref="AH34">
    <cfRule type="containsText" dxfId="0" priority="5416" operator="between" text="欠">
      <formula>NOT(ISERROR(SEARCH("欠",AH34)))</formula>
    </cfRule>
  </conditionalFormatting>
  <conditionalFormatting sqref="B35">
    <cfRule type="containsText" dxfId="1" priority="4141" operator="between" text="异常">
      <formula>NOT(ISERROR(SEARCH("异常",B35)))</formula>
    </cfRule>
  </conditionalFormatting>
  <conditionalFormatting sqref="C35">
    <cfRule type="containsText" dxfId="2" priority="4320" operator="between" text="二代">
      <formula>NOT(ISERROR(SEARCH("二代",C35)))</formula>
    </cfRule>
    <cfRule type="containsText" dxfId="3" priority="4499" operator="between" text="蛋糕">
      <formula>NOT(ISERROR(SEARCH("蛋糕",C35)))</formula>
    </cfRule>
  </conditionalFormatting>
  <conditionalFormatting sqref="AC35">
    <cfRule type="containsText" dxfId="0" priority="5397" operator="between" text="欠">
      <formula>NOT(ISERROR(SEARCH("欠",AC35)))</formula>
    </cfRule>
  </conditionalFormatting>
  <conditionalFormatting sqref="AH35">
    <cfRule type="containsText" dxfId="0" priority="5396" operator="between" text="欠">
      <formula>NOT(ISERROR(SEARCH("欠",AH35)))</formula>
    </cfRule>
  </conditionalFormatting>
  <conditionalFormatting sqref="B36">
    <cfRule type="containsText" dxfId="1" priority="4140" operator="between" text="异常">
      <formula>NOT(ISERROR(SEARCH("异常",B36)))</formula>
    </cfRule>
  </conditionalFormatting>
  <conditionalFormatting sqref="C36">
    <cfRule type="containsText" dxfId="2" priority="4319" operator="between" text="二代">
      <formula>NOT(ISERROR(SEARCH("二代",C36)))</formula>
    </cfRule>
    <cfRule type="containsText" dxfId="3" priority="4498" operator="between" text="蛋糕">
      <formula>NOT(ISERROR(SEARCH("蛋糕",C36)))</formula>
    </cfRule>
  </conditionalFormatting>
  <conditionalFormatting sqref="X36:Y36">
    <cfRule type="containsText" dxfId="0" priority="5391" operator="between" text="欠">
      <formula>NOT(ISERROR(SEARCH("欠",X36)))</formula>
    </cfRule>
  </conditionalFormatting>
  <conditionalFormatting sqref="Z36">
    <cfRule type="containsText" dxfId="0" priority="5390" operator="between" text="欠">
      <formula>NOT(ISERROR(SEARCH("欠",Z36)))</formula>
    </cfRule>
  </conditionalFormatting>
  <conditionalFormatting sqref="AA36:AB36">
    <cfRule type="containsText" dxfId="0" priority="5383" operator="between" text="欠">
      <formula>NOT(ISERROR(SEARCH("欠",AA36)))</formula>
    </cfRule>
  </conditionalFormatting>
  <conditionalFormatting sqref="AC36:AD36">
    <cfRule type="containsText" dxfId="0" priority="5385" operator="between" text="欠">
      <formula>NOT(ISERROR(SEARCH("欠",AC36)))</formula>
    </cfRule>
  </conditionalFormatting>
  <conditionalFormatting sqref="AE36">
    <cfRule type="containsText" dxfId="0" priority="5388" operator="between" text="欠">
      <formula>NOT(ISERROR(SEARCH("欠",AE36)))</formula>
    </cfRule>
  </conditionalFormatting>
  <conditionalFormatting sqref="AF36">
    <cfRule type="containsText" dxfId="0" priority="5386" operator="between" text="欠">
      <formula>NOT(ISERROR(SEARCH("欠",AF36)))</formula>
    </cfRule>
  </conditionalFormatting>
  <conditionalFormatting sqref="AG36">
    <cfRule type="containsText" dxfId="0" priority="5387" operator="between" text="欠">
      <formula>NOT(ISERROR(SEARCH("欠",AG36)))</formula>
    </cfRule>
  </conditionalFormatting>
  <conditionalFormatting sqref="AH36">
    <cfRule type="containsText" dxfId="0" priority="5384" operator="between" text="欠">
      <formula>NOT(ISERROR(SEARCH("欠",AH36)))</formula>
    </cfRule>
  </conditionalFormatting>
  <conditionalFormatting sqref="AI36">
    <cfRule type="containsText" dxfId="0" priority="5389" operator="between" text="欠">
      <formula>NOT(ISERROR(SEARCH("欠",AI36)))</formula>
    </cfRule>
  </conditionalFormatting>
  <conditionalFormatting sqref="B37">
    <cfRule type="containsText" dxfId="1" priority="4139" operator="between" text="异常">
      <formula>NOT(ISERROR(SEARCH("异常",B37)))</formula>
    </cfRule>
  </conditionalFormatting>
  <conditionalFormatting sqref="C37">
    <cfRule type="containsText" dxfId="2" priority="4318" operator="between" text="二代">
      <formula>NOT(ISERROR(SEARCH("二代",C37)))</formula>
    </cfRule>
    <cfRule type="containsText" dxfId="3" priority="4497" operator="between" text="蛋糕">
      <formula>NOT(ISERROR(SEARCH("蛋糕",C37)))</formula>
    </cfRule>
  </conditionalFormatting>
  <conditionalFormatting sqref="X37:Y37">
    <cfRule type="containsText" dxfId="0" priority="5382" operator="between" text="欠">
      <formula>NOT(ISERROR(SEARCH("欠",X37)))</formula>
    </cfRule>
  </conditionalFormatting>
  <conditionalFormatting sqref="Z37">
    <cfRule type="containsText" dxfId="0" priority="5381" operator="between" text="欠">
      <formula>NOT(ISERROR(SEARCH("欠",Z37)))</formula>
    </cfRule>
  </conditionalFormatting>
  <conditionalFormatting sqref="AA37:AB37">
    <cfRule type="containsText" dxfId="0" priority="5374" operator="between" text="欠">
      <formula>NOT(ISERROR(SEARCH("欠",AA37)))</formula>
    </cfRule>
  </conditionalFormatting>
  <conditionalFormatting sqref="AC37:AD37">
    <cfRule type="containsText" dxfId="0" priority="5376" operator="between" text="欠">
      <formula>NOT(ISERROR(SEARCH("欠",AC37)))</formula>
    </cfRule>
  </conditionalFormatting>
  <conditionalFormatting sqref="AE37">
    <cfRule type="containsText" dxfId="0" priority="5379" operator="between" text="欠">
      <formula>NOT(ISERROR(SEARCH("欠",AE37)))</formula>
    </cfRule>
  </conditionalFormatting>
  <conditionalFormatting sqref="AF37">
    <cfRule type="containsText" dxfId="0" priority="5377" operator="between" text="欠">
      <formula>NOT(ISERROR(SEARCH("欠",AF37)))</formula>
    </cfRule>
  </conditionalFormatting>
  <conditionalFormatting sqref="AG37">
    <cfRule type="containsText" dxfId="0" priority="5378" operator="between" text="欠">
      <formula>NOT(ISERROR(SEARCH("欠",AG37)))</formula>
    </cfRule>
  </conditionalFormatting>
  <conditionalFormatting sqref="AH37">
    <cfRule type="containsText" dxfId="0" priority="5375" operator="between" text="欠">
      <formula>NOT(ISERROR(SEARCH("欠",AH37)))</formula>
    </cfRule>
  </conditionalFormatting>
  <conditionalFormatting sqref="AI37">
    <cfRule type="containsText" dxfId="0" priority="5380" operator="between" text="欠">
      <formula>NOT(ISERROR(SEARCH("欠",AI37)))</formula>
    </cfRule>
  </conditionalFormatting>
  <conditionalFormatting sqref="B38">
    <cfRule type="containsText" dxfId="1" priority="4138" operator="between" text="异常">
      <formula>NOT(ISERROR(SEARCH("异常",B38)))</formula>
    </cfRule>
  </conditionalFormatting>
  <conditionalFormatting sqref="C38">
    <cfRule type="containsText" dxfId="2" priority="4317" operator="between" text="二代">
      <formula>NOT(ISERROR(SEARCH("二代",C38)))</formula>
    </cfRule>
    <cfRule type="containsText" dxfId="3" priority="4496" operator="between" text="蛋糕">
      <formula>NOT(ISERROR(SEARCH("蛋糕",C38)))</formula>
    </cfRule>
  </conditionalFormatting>
  <conditionalFormatting sqref="B39">
    <cfRule type="containsText" dxfId="1" priority="4137" operator="between" text="异常">
      <formula>NOT(ISERROR(SEARCH("异常",B39)))</formula>
    </cfRule>
  </conditionalFormatting>
  <conditionalFormatting sqref="C39">
    <cfRule type="containsText" dxfId="2" priority="4316" operator="between" text="二代">
      <formula>NOT(ISERROR(SEARCH("二代",C39)))</formula>
    </cfRule>
    <cfRule type="containsText" dxfId="3" priority="4495" operator="between" text="蛋糕">
      <formula>NOT(ISERROR(SEARCH("蛋糕",C39)))</formula>
    </cfRule>
  </conditionalFormatting>
  <conditionalFormatting sqref="B40">
    <cfRule type="containsText" dxfId="1" priority="4136" operator="between" text="异常">
      <formula>NOT(ISERROR(SEARCH("异常",B40)))</formula>
    </cfRule>
  </conditionalFormatting>
  <conditionalFormatting sqref="C40">
    <cfRule type="containsText" dxfId="2" priority="4315" operator="between" text="二代">
      <formula>NOT(ISERROR(SEARCH("二代",C40)))</formula>
    </cfRule>
    <cfRule type="containsText" dxfId="3" priority="4494" operator="between" text="蛋糕">
      <formula>NOT(ISERROR(SEARCH("蛋糕",C40)))</formula>
    </cfRule>
  </conditionalFormatting>
  <conditionalFormatting sqref="AA40:AB40">
    <cfRule type="containsText" dxfId="0" priority="5364" operator="between" text="欠">
      <formula>NOT(ISERROR(SEARCH("欠",AA40)))</formula>
    </cfRule>
  </conditionalFormatting>
  <conditionalFormatting sqref="AC40:AD40">
    <cfRule type="containsText" dxfId="0" priority="5363" operator="between" text="欠">
      <formula>NOT(ISERROR(SEARCH("欠",AC40)))</formula>
    </cfRule>
  </conditionalFormatting>
  <conditionalFormatting sqref="AH40">
    <cfRule type="containsText" dxfId="0" priority="5362" operator="between" text="欠">
      <formula>NOT(ISERROR(SEARCH("欠",AH40)))</formula>
    </cfRule>
  </conditionalFormatting>
  <conditionalFormatting sqref="B41">
    <cfRule type="containsText" dxfId="1" priority="4135" operator="between" text="异常">
      <formula>NOT(ISERROR(SEARCH("异常",B41)))</formula>
    </cfRule>
  </conditionalFormatting>
  <conditionalFormatting sqref="C41">
    <cfRule type="containsText" dxfId="2" priority="4314" operator="between" text="二代">
      <formula>NOT(ISERROR(SEARCH("二代",C41)))</formula>
    </cfRule>
    <cfRule type="containsText" dxfId="3" priority="4493" operator="between" text="蛋糕">
      <formula>NOT(ISERROR(SEARCH("蛋糕",C41)))</formula>
    </cfRule>
  </conditionalFormatting>
  <conditionalFormatting sqref="X41:Y41">
    <cfRule type="containsText" dxfId="0" priority="5357" operator="between" text="欠">
      <formula>NOT(ISERROR(SEARCH("欠",X41)))</formula>
    </cfRule>
  </conditionalFormatting>
  <conditionalFormatting sqref="Z41">
    <cfRule type="containsText" dxfId="0" priority="5361" operator="between" text="欠">
      <formula>NOT(ISERROR(SEARCH("欠",Z41)))</formula>
    </cfRule>
  </conditionalFormatting>
  <conditionalFormatting sqref="AA41:AB41">
    <cfRule type="containsText" dxfId="0" priority="5360" operator="between" text="欠">
      <formula>NOT(ISERROR(SEARCH("欠",AA41)))</formula>
    </cfRule>
  </conditionalFormatting>
  <conditionalFormatting sqref="AC41:AD41">
    <cfRule type="containsText" dxfId="0" priority="5356" operator="between" text="欠">
      <formula>NOT(ISERROR(SEARCH("欠",AC41)))</formula>
    </cfRule>
  </conditionalFormatting>
  <conditionalFormatting sqref="AE41">
    <cfRule type="containsText" dxfId="0" priority="5354" operator="between" text="欠">
      <formula>NOT(ISERROR(SEARCH("欠",AE41)))</formula>
    </cfRule>
  </conditionalFormatting>
  <conditionalFormatting sqref="AF41">
    <cfRule type="containsText" dxfId="0" priority="5358" operator="between" text="欠">
      <formula>NOT(ISERROR(SEARCH("欠",AF41)))</formula>
    </cfRule>
  </conditionalFormatting>
  <conditionalFormatting sqref="AG41">
    <cfRule type="containsText" dxfId="0" priority="5353" operator="between" text="欠">
      <formula>NOT(ISERROR(SEARCH("欠",AG41)))</formula>
    </cfRule>
  </conditionalFormatting>
  <conditionalFormatting sqref="AH41">
    <cfRule type="containsText" dxfId="0" priority="5355" operator="between" text="欠">
      <formula>NOT(ISERROR(SEARCH("欠",AH41)))</formula>
    </cfRule>
  </conditionalFormatting>
  <conditionalFormatting sqref="AI41">
    <cfRule type="containsText" dxfId="0" priority="5359" operator="between" text="欠">
      <formula>NOT(ISERROR(SEARCH("欠",AI41)))</formula>
    </cfRule>
  </conditionalFormatting>
  <conditionalFormatting sqref="B42">
    <cfRule type="containsText" dxfId="1" priority="4134" operator="between" text="异常">
      <formula>NOT(ISERROR(SEARCH("异常",B42)))</formula>
    </cfRule>
  </conditionalFormatting>
  <conditionalFormatting sqref="C42">
    <cfRule type="containsText" dxfId="2" priority="4313" operator="between" text="二代">
      <formula>NOT(ISERROR(SEARCH("二代",C42)))</formula>
    </cfRule>
    <cfRule type="containsText" dxfId="3" priority="4492" operator="between" text="蛋糕">
      <formula>NOT(ISERROR(SEARCH("蛋糕",C42)))</formula>
    </cfRule>
  </conditionalFormatting>
  <conditionalFormatting sqref="X42:Y42">
    <cfRule type="containsText" dxfId="0" priority="5348" operator="between" text="欠">
      <formula>NOT(ISERROR(SEARCH("欠",X42)))</formula>
    </cfRule>
  </conditionalFormatting>
  <conditionalFormatting sqref="Z42">
    <cfRule type="containsText" dxfId="0" priority="5352" operator="between" text="欠">
      <formula>NOT(ISERROR(SEARCH("欠",Z42)))</formula>
    </cfRule>
  </conditionalFormatting>
  <conditionalFormatting sqref="AA42:AB42">
    <cfRule type="containsText" dxfId="0" priority="5351" operator="between" text="欠">
      <formula>NOT(ISERROR(SEARCH("欠",AA42)))</formula>
    </cfRule>
  </conditionalFormatting>
  <conditionalFormatting sqref="AC42:AD42">
    <cfRule type="containsText" dxfId="0" priority="5347" operator="between" text="欠">
      <formula>NOT(ISERROR(SEARCH("欠",AC42)))</formula>
    </cfRule>
  </conditionalFormatting>
  <conditionalFormatting sqref="AE42">
    <cfRule type="containsText" dxfId="0" priority="5345" operator="between" text="欠">
      <formula>NOT(ISERROR(SEARCH("欠",AE42)))</formula>
    </cfRule>
  </conditionalFormatting>
  <conditionalFormatting sqref="AF42">
    <cfRule type="containsText" dxfId="0" priority="5349" operator="between" text="欠">
      <formula>NOT(ISERROR(SEARCH("欠",AF42)))</formula>
    </cfRule>
  </conditionalFormatting>
  <conditionalFormatting sqref="AG42">
    <cfRule type="containsText" dxfId="0" priority="5344" operator="between" text="欠">
      <formula>NOT(ISERROR(SEARCH("欠",AG42)))</formula>
    </cfRule>
  </conditionalFormatting>
  <conditionalFormatting sqref="AH42">
    <cfRule type="containsText" dxfId="0" priority="5346" operator="between" text="欠">
      <formula>NOT(ISERROR(SEARCH("欠",AH42)))</formula>
    </cfRule>
  </conditionalFormatting>
  <conditionalFormatting sqref="AI42">
    <cfRule type="containsText" dxfId="0" priority="5350" operator="between" text="欠">
      <formula>NOT(ISERROR(SEARCH("欠",AI42)))</formula>
    </cfRule>
  </conditionalFormatting>
  <conditionalFormatting sqref="B43">
    <cfRule type="containsText" dxfId="1" priority="4133" operator="between" text="异常">
      <formula>NOT(ISERROR(SEARCH("异常",B43)))</formula>
    </cfRule>
  </conditionalFormatting>
  <conditionalFormatting sqref="C43">
    <cfRule type="containsText" dxfId="2" priority="4312" operator="between" text="二代">
      <formula>NOT(ISERROR(SEARCH("二代",C43)))</formula>
    </cfRule>
    <cfRule type="containsText" dxfId="3" priority="4491" operator="between" text="蛋糕">
      <formula>NOT(ISERROR(SEARCH("蛋糕",C43)))</formula>
    </cfRule>
  </conditionalFormatting>
  <conditionalFormatting sqref="X43:Y43">
    <cfRule type="containsText" dxfId="0" priority="5339" operator="between" text="欠">
      <formula>NOT(ISERROR(SEARCH("欠",X43)))</formula>
    </cfRule>
  </conditionalFormatting>
  <conditionalFormatting sqref="Z43">
    <cfRule type="containsText" dxfId="0" priority="5343" operator="between" text="欠">
      <formula>NOT(ISERROR(SEARCH("欠",Z43)))</formula>
    </cfRule>
  </conditionalFormatting>
  <conditionalFormatting sqref="AA43:AB43">
    <cfRule type="containsText" dxfId="0" priority="5342" operator="between" text="欠">
      <formula>NOT(ISERROR(SEARCH("欠",AA43)))</formula>
    </cfRule>
  </conditionalFormatting>
  <conditionalFormatting sqref="AC43:AD43">
    <cfRule type="containsText" dxfId="0" priority="5338" operator="between" text="欠">
      <formula>NOT(ISERROR(SEARCH("欠",AC43)))</formula>
    </cfRule>
  </conditionalFormatting>
  <conditionalFormatting sqref="AE43">
    <cfRule type="containsText" dxfId="0" priority="5336" operator="between" text="欠">
      <formula>NOT(ISERROR(SEARCH("欠",AE43)))</formula>
    </cfRule>
  </conditionalFormatting>
  <conditionalFormatting sqref="AF43">
    <cfRule type="containsText" dxfId="0" priority="5340" operator="between" text="欠">
      <formula>NOT(ISERROR(SEARCH("欠",AF43)))</formula>
    </cfRule>
  </conditionalFormatting>
  <conditionalFormatting sqref="AG43">
    <cfRule type="containsText" dxfId="0" priority="5335" operator="between" text="欠">
      <formula>NOT(ISERROR(SEARCH("欠",AG43)))</formula>
    </cfRule>
  </conditionalFormatting>
  <conditionalFormatting sqref="AH43">
    <cfRule type="containsText" dxfId="0" priority="5337" operator="between" text="欠">
      <formula>NOT(ISERROR(SEARCH("欠",AH43)))</formula>
    </cfRule>
  </conditionalFormatting>
  <conditionalFormatting sqref="AI43">
    <cfRule type="containsText" dxfId="0" priority="5341" operator="between" text="欠">
      <formula>NOT(ISERROR(SEARCH("欠",AI43)))</formula>
    </cfRule>
  </conditionalFormatting>
  <conditionalFormatting sqref="B44">
    <cfRule type="containsText" dxfId="1" priority="4132" operator="between" text="异常">
      <formula>NOT(ISERROR(SEARCH("异常",B44)))</formula>
    </cfRule>
  </conditionalFormatting>
  <conditionalFormatting sqref="C44">
    <cfRule type="containsText" dxfId="2" priority="4311" operator="between" text="二代">
      <formula>NOT(ISERROR(SEARCH("二代",C44)))</formula>
    </cfRule>
    <cfRule type="containsText" dxfId="3" priority="4490" operator="between" text="蛋糕">
      <formula>NOT(ISERROR(SEARCH("蛋糕",C44)))</formula>
    </cfRule>
  </conditionalFormatting>
  <conditionalFormatting sqref="X44:Y44">
    <cfRule type="containsText" dxfId="0" priority="5330" operator="between" text="欠">
      <formula>NOT(ISERROR(SEARCH("欠",X44)))</formula>
    </cfRule>
  </conditionalFormatting>
  <conditionalFormatting sqref="Z44">
    <cfRule type="containsText" dxfId="0" priority="5334" operator="between" text="欠">
      <formula>NOT(ISERROR(SEARCH("欠",Z44)))</formula>
    </cfRule>
  </conditionalFormatting>
  <conditionalFormatting sqref="AA44:AB44">
    <cfRule type="containsText" dxfId="0" priority="5333" operator="between" text="欠">
      <formula>NOT(ISERROR(SEARCH("欠",AA44)))</formula>
    </cfRule>
  </conditionalFormatting>
  <conditionalFormatting sqref="AC44:AD44">
    <cfRule type="containsText" dxfId="0" priority="5329" operator="between" text="欠">
      <formula>NOT(ISERROR(SEARCH("欠",AC44)))</formula>
    </cfRule>
  </conditionalFormatting>
  <conditionalFormatting sqref="AE44">
    <cfRule type="containsText" dxfId="0" priority="5327" operator="between" text="欠">
      <formula>NOT(ISERROR(SEARCH("欠",AE44)))</formula>
    </cfRule>
  </conditionalFormatting>
  <conditionalFormatting sqref="AF44">
    <cfRule type="containsText" dxfId="0" priority="5331" operator="between" text="欠">
      <formula>NOT(ISERROR(SEARCH("欠",AF44)))</formula>
    </cfRule>
  </conditionalFormatting>
  <conditionalFormatting sqref="AG44">
    <cfRule type="containsText" dxfId="0" priority="5326" operator="between" text="欠">
      <formula>NOT(ISERROR(SEARCH("欠",AG44)))</formula>
    </cfRule>
  </conditionalFormatting>
  <conditionalFormatting sqref="AH44">
    <cfRule type="containsText" dxfId="0" priority="5328" operator="between" text="欠">
      <formula>NOT(ISERROR(SEARCH("欠",AH44)))</formula>
    </cfRule>
  </conditionalFormatting>
  <conditionalFormatting sqref="AI44">
    <cfRule type="containsText" dxfId="0" priority="5332" operator="between" text="欠">
      <formula>NOT(ISERROR(SEARCH("欠",AI44)))</formula>
    </cfRule>
  </conditionalFormatting>
  <conditionalFormatting sqref="B45">
    <cfRule type="containsText" dxfId="1" priority="4131" operator="between" text="异常">
      <formula>NOT(ISERROR(SEARCH("异常",B45)))</formula>
    </cfRule>
  </conditionalFormatting>
  <conditionalFormatting sqref="C45">
    <cfRule type="containsText" dxfId="2" priority="4310" operator="between" text="二代">
      <formula>NOT(ISERROR(SEARCH("二代",C45)))</formula>
    </cfRule>
    <cfRule type="containsText" dxfId="3" priority="4489" operator="between" text="蛋糕">
      <formula>NOT(ISERROR(SEARCH("蛋糕",C45)))</formula>
    </cfRule>
  </conditionalFormatting>
  <conditionalFormatting sqref="X45:Y45">
    <cfRule type="containsText" dxfId="0" priority="5321" operator="between" text="欠">
      <formula>NOT(ISERROR(SEARCH("欠",X45)))</formula>
    </cfRule>
  </conditionalFormatting>
  <conditionalFormatting sqref="Z45">
    <cfRule type="containsText" dxfId="0" priority="5325" operator="between" text="欠">
      <formula>NOT(ISERROR(SEARCH("欠",Z45)))</formula>
    </cfRule>
  </conditionalFormatting>
  <conditionalFormatting sqref="AA45:AB45">
    <cfRule type="containsText" dxfId="0" priority="5324" operator="between" text="欠">
      <formula>NOT(ISERROR(SEARCH("欠",AA45)))</formula>
    </cfRule>
  </conditionalFormatting>
  <conditionalFormatting sqref="AC45:AD45">
    <cfRule type="containsText" dxfId="0" priority="5320" operator="between" text="欠">
      <formula>NOT(ISERROR(SEARCH("欠",AC45)))</formula>
    </cfRule>
  </conditionalFormatting>
  <conditionalFormatting sqref="AE45">
    <cfRule type="containsText" dxfId="0" priority="5318" operator="between" text="欠">
      <formula>NOT(ISERROR(SEARCH("欠",AE45)))</formula>
    </cfRule>
  </conditionalFormatting>
  <conditionalFormatting sqref="AF45">
    <cfRule type="containsText" dxfId="0" priority="5322" operator="between" text="欠">
      <formula>NOT(ISERROR(SEARCH("欠",AF45)))</formula>
    </cfRule>
  </conditionalFormatting>
  <conditionalFormatting sqref="AG45">
    <cfRule type="containsText" dxfId="0" priority="5317" operator="between" text="欠">
      <formula>NOT(ISERROR(SEARCH("欠",AG45)))</formula>
    </cfRule>
  </conditionalFormatting>
  <conditionalFormatting sqref="AH45">
    <cfRule type="containsText" dxfId="0" priority="5319" operator="between" text="欠">
      <formula>NOT(ISERROR(SEARCH("欠",AH45)))</formula>
    </cfRule>
  </conditionalFormatting>
  <conditionalFormatting sqref="AI45">
    <cfRule type="containsText" dxfId="0" priority="5323" operator="between" text="欠">
      <formula>NOT(ISERROR(SEARCH("欠",AI45)))</formula>
    </cfRule>
  </conditionalFormatting>
  <conditionalFormatting sqref="B46">
    <cfRule type="containsText" dxfId="1" priority="4130" operator="between" text="异常">
      <formula>NOT(ISERROR(SEARCH("异常",B46)))</formula>
    </cfRule>
  </conditionalFormatting>
  <conditionalFormatting sqref="C46">
    <cfRule type="containsText" dxfId="2" priority="4309" operator="between" text="二代">
      <formula>NOT(ISERROR(SEARCH("二代",C46)))</formula>
    </cfRule>
    <cfRule type="containsText" dxfId="3" priority="4488" operator="between" text="蛋糕">
      <formula>NOT(ISERROR(SEARCH("蛋糕",C46)))</formula>
    </cfRule>
  </conditionalFormatting>
  <conditionalFormatting sqref="X46:Y46">
    <cfRule type="containsText" dxfId="0" priority="5312" operator="between" text="欠">
      <formula>NOT(ISERROR(SEARCH("欠",X46)))</formula>
    </cfRule>
  </conditionalFormatting>
  <conditionalFormatting sqref="Z46">
    <cfRule type="containsText" dxfId="0" priority="5316" operator="between" text="欠">
      <formula>NOT(ISERROR(SEARCH("欠",Z46)))</formula>
    </cfRule>
  </conditionalFormatting>
  <conditionalFormatting sqref="AA46:AB46">
    <cfRule type="containsText" dxfId="0" priority="5315" operator="between" text="欠">
      <formula>NOT(ISERROR(SEARCH("欠",AA46)))</formula>
    </cfRule>
  </conditionalFormatting>
  <conditionalFormatting sqref="AC46:AD46">
    <cfRule type="containsText" dxfId="0" priority="5311" operator="between" text="欠">
      <formula>NOT(ISERROR(SEARCH("欠",AC46)))</formula>
    </cfRule>
  </conditionalFormatting>
  <conditionalFormatting sqref="AE46">
    <cfRule type="containsText" dxfId="0" priority="5309" operator="between" text="欠">
      <formula>NOT(ISERROR(SEARCH("欠",AE46)))</formula>
    </cfRule>
  </conditionalFormatting>
  <conditionalFormatting sqref="AF46">
    <cfRule type="containsText" dxfId="0" priority="5313" operator="between" text="欠">
      <formula>NOT(ISERROR(SEARCH("欠",AF46)))</formula>
    </cfRule>
  </conditionalFormatting>
  <conditionalFormatting sqref="AG46">
    <cfRule type="containsText" dxfId="0" priority="5308" operator="between" text="欠">
      <formula>NOT(ISERROR(SEARCH("欠",AG46)))</formula>
    </cfRule>
  </conditionalFormatting>
  <conditionalFormatting sqref="AH46">
    <cfRule type="containsText" dxfId="0" priority="5310" operator="between" text="欠">
      <formula>NOT(ISERROR(SEARCH("欠",AH46)))</formula>
    </cfRule>
  </conditionalFormatting>
  <conditionalFormatting sqref="AI46">
    <cfRule type="containsText" dxfId="0" priority="5314" operator="between" text="欠">
      <formula>NOT(ISERROR(SEARCH("欠",AI46)))</formula>
    </cfRule>
  </conditionalFormatting>
  <conditionalFormatting sqref="B47">
    <cfRule type="containsText" dxfId="1" priority="4129" operator="between" text="异常">
      <formula>NOT(ISERROR(SEARCH("异常",B47)))</formula>
    </cfRule>
  </conditionalFormatting>
  <conditionalFormatting sqref="C47">
    <cfRule type="containsText" dxfId="2" priority="4308" operator="between" text="二代">
      <formula>NOT(ISERROR(SEARCH("二代",C47)))</formula>
    </cfRule>
    <cfRule type="containsText" dxfId="3" priority="4487" operator="between" text="蛋糕">
      <formula>NOT(ISERROR(SEARCH("蛋糕",C47)))</formula>
    </cfRule>
  </conditionalFormatting>
  <conditionalFormatting sqref="X47:Y47">
    <cfRule type="containsText" dxfId="0" priority="5303" operator="between" text="欠">
      <formula>NOT(ISERROR(SEARCH("欠",X47)))</formula>
    </cfRule>
  </conditionalFormatting>
  <conditionalFormatting sqref="Z47">
    <cfRule type="containsText" dxfId="0" priority="5307" operator="between" text="欠">
      <formula>NOT(ISERROR(SEARCH("欠",Z47)))</formula>
    </cfRule>
  </conditionalFormatting>
  <conditionalFormatting sqref="AA47:AB47">
    <cfRule type="containsText" dxfId="0" priority="5306" operator="between" text="欠">
      <formula>NOT(ISERROR(SEARCH("欠",AA47)))</formula>
    </cfRule>
  </conditionalFormatting>
  <conditionalFormatting sqref="AC47:AD47">
    <cfRule type="containsText" dxfId="0" priority="5302" operator="between" text="欠">
      <formula>NOT(ISERROR(SEARCH("欠",AC47)))</formula>
    </cfRule>
  </conditionalFormatting>
  <conditionalFormatting sqref="AE47">
    <cfRule type="containsText" dxfId="0" priority="5300" operator="between" text="欠">
      <formula>NOT(ISERROR(SEARCH("欠",AE47)))</formula>
    </cfRule>
  </conditionalFormatting>
  <conditionalFormatting sqref="AF47">
    <cfRule type="containsText" dxfId="0" priority="5305" operator="between" text="欠">
      <formula>NOT(ISERROR(SEARCH("欠",AF47)))</formula>
    </cfRule>
  </conditionalFormatting>
  <conditionalFormatting sqref="AG47">
    <cfRule type="containsText" dxfId="0" priority="5299" operator="between" text="欠">
      <formula>NOT(ISERROR(SEARCH("欠",AG47)))</formula>
    </cfRule>
  </conditionalFormatting>
  <conditionalFormatting sqref="AH47">
    <cfRule type="containsText" dxfId="0" priority="5301" operator="between" text="欠">
      <formula>NOT(ISERROR(SEARCH("欠",AH47)))</formula>
    </cfRule>
  </conditionalFormatting>
  <conditionalFormatting sqref="AI47">
    <cfRule type="containsText" dxfId="0" priority="5304" operator="between" text="欠">
      <formula>NOT(ISERROR(SEARCH("欠",AI47)))</formula>
    </cfRule>
  </conditionalFormatting>
  <conditionalFormatting sqref="B48">
    <cfRule type="containsText" dxfId="1" priority="4128" operator="between" text="异常">
      <formula>NOT(ISERROR(SEARCH("异常",B48)))</formula>
    </cfRule>
  </conditionalFormatting>
  <conditionalFormatting sqref="C48">
    <cfRule type="containsText" dxfId="2" priority="4307" operator="between" text="二代">
      <formula>NOT(ISERROR(SEARCH("二代",C48)))</formula>
    </cfRule>
    <cfRule type="containsText" dxfId="3" priority="4486" operator="between" text="蛋糕">
      <formula>NOT(ISERROR(SEARCH("蛋糕",C48)))</formula>
    </cfRule>
  </conditionalFormatting>
  <conditionalFormatting sqref="X48">
    <cfRule type="containsText" dxfId="0" priority="5293" operator="between" text="欠">
      <formula>NOT(ISERROR(SEARCH("欠",X48)))</formula>
    </cfRule>
  </conditionalFormatting>
  <conditionalFormatting sqref="Y48">
    <cfRule type="containsText" dxfId="0" priority="5292" operator="between" text="欠">
      <formula>NOT(ISERROR(SEARCH("欠",Y48)))</formula>
    </cfRule>
  </conditionalFormatting>
  <conditionalFormatting sqref="Z48">
    <cfRule type="containsText" dxfId="0" priority="5298" operator="between" text="欠">
      <formula>NOT(ISERROR(SEARCH("欠",Z48)))</formula>
    </cfRule>
  </conditionalFormatting>
  <conditionalFormatting sqref="AA48:AB48">
    <cfRule type="containsText" dxfId="0" priority="5296" operator="between" text="欠">
      <formula>NOT(ISERROR(SEARCH("欠",AA48)))</formula>
    </cfRule>
  </conditionalFormatting>
  <conditionalFormatting sqref="AC48:AD48">
    <cfRule type="containsText" dxfId="0" priority="5295" operator="between" text="欠">
      <formula>NOT(ISERROR(SEARCH("欠",AC48)))</formula>
    </cfRule>
  </conditionalFormatting>
  <conditionalFormatting sqref="AE48">
    <cfRule type="containsText" dxfId="0" priority="5297" operator="between" text="欠">
      <formula>NOT(ISERROR(SEARCH("欠",AE48)))</formula>
    </cfRule>
  </conditionalFormatting>
  <conditionalFormatting sqref="AH48">
    <cfRule type="containsText" dxfId="0" priority="5291" operator="between" text="欠">
      <formula>NOT(ISERROR(SEARCH("欠",AH48)))</formula>
    </cfRule>
  </conditionalFormatting>
  <conditionalFormatting sqref="B49">
    <cfRule type="containsText" dxfId="1" priority="4127" operator="between" text="异常">
      <formula>NOT(ISERROR(SEARCH("异常",B49)))</formula>
    </cfRule>
  </conditionalFormatting>
  <conditionalFormatting sqref="C49">
    <cfRule type="containsText" dxfId="2" priority="4306" operator="between" text="二代">
      <formula>NOT(ISERROR(SEARCH("二代",C49)))</formula>
    </cfRule>
    <cfRule type="containsText" dxfId="3" priority="4485" operator="between" text="蛋糕">
      <formula>NOT(ISERROR(SEARCH("蛋糕",C49)))</formula>
    </cfRule>
  </conditionalFormatting>
  <conditionalFormatting sqref="X49:Y49">
    <cfRule type="containsText" dxfId="0" priority="5290" operator="between" text="欠">
      <formula>NOT(ISERROR(SEARCH("欠",X49)))</formula>
    </cfRule>
  </conditionalFormatting>
  <conditionalFormatting sqref="Z49">
    <cfRule type="containsText" dxfId="0" priority="5289" operator="between" text="欠">
      <formula>NOT(ISERROR(SEARCH("欠",Z49)))</formula>
    </cfRule>
  </conditionalFormatting>
  <conditionalFormatting sqref="AA49:AB49">
    <cfRule type="containsText" dxfId="0" priority="5284" operator="between" text="欠">
      <formula>NOT(ISERROR(SEARCH("欠",AA49)))</formula>
    </cfRule>
  </conditionalFormatting>
  <conditionalFormatting sqref="AC49">
    <cfRule type="containsText" dxfId="0" priority="5283" operator="between" text="欠">
      <formula>NOT(ISERROR(SEARCH("欠",AC49)))</formula>
    </cfRule>
  </conditionalFormatting>
  <conditionalFormatting sqref="AD49">
    <cfRule type="containsText" dxfId="0" priority="5282" operator="between" text="欠">
      <formula>NOT(ISERROR(SEARCH("欠",AD49)))</formula>
    </cfRule>
  </conditionalFormatting>
  <conditionalFormatting sqref="AE49">
    <cfRule type="containsText" dxfId="0" priority="5287" operator="between" text="欠">
      <formula>NOT(ISERROR(SEARCH("欠",AE49)))</formula>
    </cfRule>
  </conditionalFormatting>
  <conditionalFormatting sqref="AF49">
    <cfRule type="containsText" dxfId="0" priority="5285" operator="between" text="欠">
      <formula>NOT(ISERROR(SEARCH("欠",AF49)))</formula>
    </cfRule>
  </conditionalFormatting>
  <conditionalFormatting sqref="AG49">
    <cfRule type="containsText" dxfId="0" priority="5286" operator="between" text="欠">
      <formula>NOT(ISERROR(SEARCH("欠",AG49)))</formula>
    </cfRule>
  </conditionalFormatting>
  <conditionalFormatting sqref="AI49">
    <cfRule type="containsText" dxfId="0" priority="5288" operator="between" text="欠">
      <formula>NOT(ISERROR(SEARCH("欠",AI49)))</formula>
    </cfRule>
  </conditionalFormatting>
  <conditionalFormatting sqref="B50">
    <cfRule type="containsText" dxfId="1" priority="4126" operator="between" text="异常">
      <formula>NOT(ISERROR(SEARCH("异常",B50)))</formula>
    </cfRule>
  </conditionalFormatting>
  <conditionalFormatting sqref="C50">
    <cfRule type="containsText" dxfId="2" priority="4305" operator="between" text="二代">
      <formula>NOT(ISERROR(SEARCH("二代",C50)))</formula>
    </cfRule>
    <cfRule type="containsText" dxfId="3" priority="4484" operator="between" text="蛋糕">
      <formula>NOT(ISERROR(SEARCH("蛋糕",C50)))</formula>
    </cfRule>
  </conditionalFormatting>
  <conditionalFormatting sqref="X50:Y50">
    <cfRule type="containsText" dxfId="0" priority="5281" operator="between" text="欠">
      <formula>NOT(ISERROR(SEARCH("欠",X50)))</formula>
    </cfRule>
  </conditionalFormatting>
  <conditionalFormatting sqref="Z50">
    <cfRule type="containsText" dxfId="0" priority="5280" operator="between" text="欠">
      <formula>NOT(ISERROR(SEARCH("欠",Z50)))</formula>
    </cfRule>
  </conditionalFormatting>
  <conditionalFormatting sqref="AA50:AB50">
    <cfRule type="containsText" dxfId="0" priority="5275" operator="between" text="欠">
      <formula>NOT(ISERROR(SEARCH("欠",AA50)))</formula>
    </cfRule>
  </conditionalFormatting>
  <conditionalFormatting sqref="AC50:AD50">
    <cfRule type="containsText" dxfId="0" priority="5274" operator="between" text="欠">
      <formula>NOT(ISERROR(SEARCH("欠",AC50)))</formula>
    </cfRule>
  </conditionalFormatting>
  <conditionalFormatting sqref="AE50">
    <cfRule type="containsText" dxfId="0" priority="5278" operator="between" text="欠">
      <formula>NOT(ISERROR(SEARCH("欠",AE50)))</formula>
    </cfRule>
  </conditionalFormatting>
  <conditionalFormatting sqref="AF50">
    <cfRule type="containsText" dxfId="0" priority="5276" operator="between" text="欠">
      <formula>NOT(ISERROR(SEARCH("欠",AF50)))</formula>
    </cfRule>
  </conditionalFormatting>
  <conditionalFormatting sqref="AG50">
    <cfRule type="containsText" dxfId="0" priority="5277" operator="between" text="欠">
      <formula>NOT(ISERROR(SEARCH("欠",AG50)))</formula>
    </cfRule>
  </conditionalFormatting>
  <conditionalFormatting sqref="AI50">
    <cfRule type="containsText" dxfId="0" priority="5279" operator="between" text="欠">
      <formula>NOT(ISERROR(SEARCH("欠",AI50)))</formula>
    </cfRule>
  </conditionalFormatting>
  <conditionalFormatting sqref="B51">
    <cfRule type="containsText" dxfId="1" priority="4125" operator="between" text="异常">
      <formula>NOT(ISERROR(SEARCH("异常",B51)))</formula>
    </cfRule>
  </conditionalFormatting>
  <conditionalFormatting sqref="C51">
    <cfRule type="containsText" dxfId="2" priority="4304" operator="between" text="二代">
      <formula>NOT(ISERROR(SEARCH("二代",C51)))</formula>
    </cfRule>
    <cfRule type="containsText" dxfId="3" priority="4483" operator="between" text="蛋糕">
      <formula>NOT(ISERROR(SEARCH("蛋糕",C51)))</formula>
    </cfRule>
  </conditionalFormatting>
  <conditionalFormatting sqref="X51:Y51">
    <cfRule type="containsText" dxfId="0" priority="5273" operator="between" text="欠">
      <formula>NOT(ISERROR(SEARCH("欠",X51)))</formula>
    </cfRule>
  </conditionalFormatting>
  <conditionalFormatting sqref="Z51">
    <cfRule type="containsText" dxfId="0" priority="5272" operator="between" text="欠">
      <formula>NOT(ISERROR(SEARCH("欠",Z51)))</formula>
    </cfRule>
  </conditionalFormatting>
  <conditionalFormatting sqref="AA51:AB51">
    <cfRule type="containsText" dxfId="0" priority="5267" operator="between" text="欠">
      <formula>NOT(ISERROR(SEARCH("欠",AA51)))</formula>
    </cfRule>
  </conditionalFormatting>
  <conditionalFormatting sqref="AC51:AD51">
    <cfRule type="containsText" dxfId="0" priority="5266" operator="between" text="欠">
      <formula>NOT(ISERROR(SEARCH("欠",AC51)))</formula>
    </cfRule>
  </conditionalFormatting>
  <conditionalFormatting sqref="AE51">
    <cfRule type="containsText" dxfId="0" priority="5270" operator="between" text="欠">
      <formula>NOT(ISERROR(SEARCH("欠",AE51)))</formula>
    </cfRule>
  </conditionalFormatting>
  <conditionalFormatting sqref="AF51">
    <cfRule type="containsText" dxfId="0" priority="5268" operator="between" text="欠">
      <formula>NOT(ISERROR(SEARCH("欠",AF51)))</formula>
    </cfRule>
  </conditionalFormatting>
  <conditionalFormatting sqref="AG51">
    <cfRule type="containsText" dxfId="0" priority="5269" operator="between" text="欠">
      <formula>NOT(ISERROR(SEARCH("欠",AG51)))</formula>
    </cfRule>
  </conditionalFormatting>
  <conditionalFormatting sqref="AH51">
    <cfRule type="containsText" dxfId="0" priority="5265" operator="between" text="欠">
      <formula>NOT(ISERROR(SEARCH("欠",AH51)))</formula>
    </cfRule>
  </conditionalFormatting>
  <conditionalFormatting sqref="AI51">
    <cfRule type="containsText" dxfId="0" priority="5271" operator="between" text="欠">
      <formula>NOT(ISERROR(SEARCH("欠",AI51)))</formula>
    </cfRule>
  </conditionalFormatting>
  <conditionalFormatting sqref="B52">
    <cfRule type="containsText" dxfId="1" priority="4124" operator="between" text="异常">
      <formula>NOT(ISERROR(SEARCH("异常",B52)))</formula>
    </cfRule>
  </conditionalFormatting>
  <conditionalFormatting sqref="C52">
    <cfRule type="containsText" dxfId="2" priority="4303" operator="between" text="二代">
      <formula>NOT(ISERROR(SEARCH("二代",C52)))</formula>
    </cfRule>
    <cfRule type="containsText" dxfId="3" priority="4482" operator="between" text="蛋糕">
      <formula>NOT(ISERROR(SEARCH("蛋糕",C52)))</formula>
    </cfRule>
  </conditionalFormatting>
  <conditionalFormatting sqref="X52:Y52">
    <cfRule type="containsText" dxfId="0" priority="5264" operator="between" text="欠">
      <formula>NOT(ISERROR(SEARCH("欠",X52)))</formula>
    </cfRule>
  </conditionalFormatting>
  <conditionalFormatting sqref="Z52">
    <cfRule type="containsText" dxfId="0" priority="5263" operator="between" text="欠">
      <formula>NOT(ISERROR(SEARCH("欠",Z52)))</formula>
    </cfRule>
  </conditionalFormatting>
  <conditionalFormatting sqref="AA52:AB52">
    <cfRule type="containsText" dxfId="0" priority="5258" operator="between" text="欠">
      <formula>NOT(ISERROR(SEARCH("欠",AA52)))</formula>
    </cfRule>
  </conditionalFormatting>
  <conditionalFormatting sqref="AC52:AD52">
    <cfRule type="containsText" dxfId="0" priority="5257" operator="between" text="欠">
      <formula>NOT(ISERROR(SEARCH("欠",AC52)))</formula>
    </cfRule>
  </conditionalFormatting>
  <conditionalFormatting sqref="AE52">
    <cfRule type="containsText" dxfId="0" priority="5261" operator="between" text="欠">
      <formula>NOT(ISERROR(SEARCH("欠",AE52)))</formula>
    </cfRule>
  </conditionalFormatting>
  <conditionalFormatting sqref="AF52">
    <cfRule type="containsText" dxfId="0" priority="5259" operator="between" text="欠">
      <formula>NOT(ISERROR(SEARCH("欠",AF52)))</formula>
    </cfRule>
  </conditionalFormatting>
  <conditionalFormatting sqref="AG52">
    <cfRule type="containsText" dxfId="0" priority="5260" operator="between" text="欠">
      <formula>NOT(ISERROR(SEARCH("欠",AG52)))</formula>
    </cfRule>
  </conditionalFormatting>
  <conditionalFormatting sqref="AH52">
    <cfRule type="containsText" dxfId="0" priority="5256" operator="between" text="欠">
      <formula>NOT(ISERROR(SEARCH("欠",AH52)))</formula>
    </cfRule>
  </conditionalFormatting>
  <conditionalFormatting sqref="AI52">
    <cfRule type="containsText" dxfId="0" priority="5262" operator="between" text="欠">
      <formula>NOT(ISERROR(SEARCH("欠",AI52)))</formula>
    </cfRule>
  </conditionalFormatting>
  <conditionalFormatting sqref="B53">
    <cfRule type="containsText" dxfId="1" priority="4123" operator="between" text="异常">
      <formula>NOT(ISERROR(SEARCH("异常",B53)))</formula>
    </cfRule>
  </conditionalFormatting>
  <conditionalFormatting sqref="C53">
    <cfRule type="containsText" dxfId="2" priority="4302" operator="between" text="二代">
      <formula>NOT(ISERROR(SEARCH("二代",C53)))</formula>
    </cfRule>
    <cfRule type="containsText" dxfId="3" priority="4481" operator="between" text="蛋糕">
      <formula>NOT(ISERROR(SEARCH("蛋糕",C53)))</formula>
    </cfRule>
  </conditionalFormatting>
  <conditionalFormatting sqref="AC53:AD53">
    <cfRule type="containsText" dxfId="0" priority="5247" operator="between" text="欠">
      <formula>NOT(ISERROR(SEARCH("欠",AC53)))</formula>
    </cfRule>
  </conditionalFormatting>
  <conditionalFormatting sqref="B54">
    <cfRule type="containsText" dxfId="1" priority="4122" operator="between" text="异常">
      <formula>NOT(ISERROR(SEARCH("异常",B54)))</formula>
    </cfRule>
  </conditionalFormatting>
  <conditionalFormatting sqref="C54">
    <cfRule type="containsText" dxfId="2" priority="4301" operator="between" text="二代">
      <formula>NOT(ISERROR(SEARCH("二代",C54)))</formula>
    </cfRule>
    <cfRule type="containsText" dxfId="3" priority="4480" operator="between" text="蛋糕">
      <formula>NOT(ISERROR(SEARCH("蛋糕",C54)))</formula>
    </cfRule>
  </conditionalFormatting>
  <conditionalFormatting sqref="AC54:AD54">
    <cfRule type="containsText" dxfId="0" priority="5251" operator="between" text="欠">
      <formula>NOT(ISERROR(SEARCH("欠",AC54)))</formula>
    </cfRule>
  </conditionalFormatting>
  <conditionalFormatting sqref="AH54">
    <cfRule type="containsText" dxfId="0" priority="5250" operator="between" text="欠">
      <formula>NOT(ISERROR(SEARCH("欠",AH54)))</formula>
    </cfRule>
  </conditionalFormatting>
  <conditionalFormatting sqref="B55">
    <cfRule type="containsText" dxfId="1" priority="4121" operator="between" text="异常">
      <formula>NOT(ISERROR(SEARCH("异常",B55)))</formula>
    </cfRule>
  </conditionalFormatting>
  <conditionalFormatting sqref="C55">
    <cfRule type="containsText" dxfId="2" priority="4300" operator="between" text="二代">
      <formula>NOT(ISERROR(SEARCH("二代",C55)))</formula>
    </cfRule>
    <cfRule type="containsText" dxfId="3" priority="4479" operator="between" text="蛋糕">
      <formula>NOT(ISERROR(SEARCH("蛋糕",C55)))</formula>
    </cfRule>
  </conditionalFormatting>
  <conditionalFormatting sqref="AC55:AD55">
    <cfRule type="containsText" dxfId="0" priority="5253" operator="between" text="欠">
      <formula>NOT(ISERROR(SEARCH("欠",AC55)))</formula>
    </cfRule>
  </conditionalFormatting>
  <conditionalFormatting sqref="AH55">
    <cfRule type="containsText" dxfId="0" priority="5252" operator="between" text="欠">
      <formula>NOT(ISERROR(SEARCH("欠",AH55)))</formula>
    </cfRule>
  </conditionalFormatting>
  <conditionalFormatting sqref="B56">
    <cfRule type="containsText" dxfId="1" priority="4120" operator="between" text="异常">
      <formula>NOT(ISERROR(SEARCH("异常",B56)))</formula>
    </cfRule>
  </conditionalFormatting>
  <conditionalFormatting sqref="C56">
    <cfRule type="containsText" dxfId="2" priority="4299" operator="between" text="二代">
      <formula>NOT(ISERROR(SEARCH("二代",C56)))</formula>
    </cfRule>
    <cfRule type="containsText" dxfId="3" priority="4478" operator="between" text="蛋糕">
      <formula>NOT(ISERROR(SEARCH("蛋糕",C56)))</formula>
    </cfRule>
  </conditionalFormatting>
  <conditionalFormatting sqref="AC56:AD56">
    <cfRule type="containsText" dxfId="0" priority="5239" operator="between" text="欠">
      <formula>NOT(ISERROR(SEARCH("欠",AC56)))</formula>
    </cfRule>
  </conditionalFormatting>
  <conditionalFormatting sqref="AH56">
    <cfRule type="containsText" dxfId="0" priority="5238" operator="between" text="欠">
      <formula>NOT(ISERROR(SEARCH("欠",AH56)))</formula>
    </cfRule>
  </conditionalFormatting>
  <conditionalFormatting sqref="B57">
    <cfRule type="containsText" dxfId="1" priority="4119" operator="between" text="异常">
      <formula>NOT(ISERROR(SEARCH("异常",B57)))</formula>
    </cfRule>
  </conditionalFormatting>
  <conditionalFormatting sqref="C57">
    <cfRule type="containsText" dxfId="2" priority="4298" operator="between" text="二代">
      <formula>NOT(ISERROR(SEARCH("二代",C57)))</formula>
    </cfRule>
    <cfRule type="containsText" dxfId="3" priority="4477" operator="between" text="蛋糕">
      <formula>NOT(ISERROR(SEARCH("蛋糕",C57)))</formula>
    </cfRule>
  </conditionalFormatting>
  <conditionalFormatting sqref="AC57:AD57">
    <cfRule type="containsText" dxfId="0" priority="5241" operator="between" text="欠">
      <formula>NOT(ISERROR(SEARCH("欠",AC57)))</formula>
    </cfRule>
  </conditionalFormatting>
  <conditionalFormatting sqref="AH57">
    <cfRule type="containsText" dxfId="0" priority="5240" operator="between" text="欠">
      <formula>NOT(ISERROR(SEARCH("欠",AH57)))</formula>
    </cfRule>
  </conditionalFormatting>
  <conditionalFormatting sqref="B58">
    <cfRule type="containsText" dxfId="1" priority="4118" operator="between" text="异常">
      <formula>NOT(ISERROR(SEARCH("异常",B58)))</formula>
    </cfRule>
  </conditionalFormatting>
  <conditionalFormatting sqref="C58">
    <cfRule type="containsText" dxfId="2" priority="4297" operator="between" text="二代">
      <formula>NOT(ISERROR(SEARCH("二代",C58)))</formula>
    </cfRule>
    <cfRule type="containsText" dxfId="3" priority="4476" operator="between" text="蛋糕">
      <formula>NOT(ISERROR(SEARCH("蛋糕",C58)))</formula>
    </cfRule>
  </conditionalFormatting>
  <conditionalFormatting sqref="AH58">
    <cfRule type="containsText" dxfId="0" priority="5242" operator="between" text="欠">
      <formula>NOT(ISERROR(SEARCH("欠",AH58)))</formula>
    </cfRule>
  </conditionalFormatting>
  <conditionalFormatting sqref="B59">
    <cfRule type="containsText" dxfId="1" priority="4117" operator="between" text="异常">
      <formula>NOT(ISERROR(SEARCH("异常",B59)))</formula>
    </cfRule>
  </conditionalFormatting>
  <conditionalFormatting sqref="C59">
    <cfRule type="containsText" dxfId="2" priority="4296" operator="between" text="二代">
      <formula>NOT(ISERROR(SEARCH("二代",C59)))</formula>
    </cfRule>
    <cfRule type="containsText" dxfId="3" priority="4475" operator="between" text="蛋糕">
      <formula>NOT(ISERROR(SEARCH("蛋糕",C59)))</formula>
    </cfRule>
  </conditionalFormatting>
  <conditionalFormatting sqref="AH59">
    <cfRule type="containsText" dxfId="0" priority="5254" operator="between" text="欠">
      <formula>NOT(ISERROR(SEARCH("欠",AH59)))</formula>
    </cfRule>
  </conditionalFormatting>
  <conditionalFormatting sqref="B60">
    <cfRule type="containsText" dxfId="1" priority="4116" operator="between" text="异常">
      <formula>NOT(ISERROR(SEARCH("异常",B60)))</formula>
    </cfRule>
  </conditionalFormatting>
  <conditionalFormatting sqref="C60">
    <cfRule type="containsText" dxfId="2" priority="4295" operator="between" text="二代">
      <formula>NOT(ISERROR(SEARCH("二代",C60)))</formula>
    </cfRule>
    <cfRule type="containsText" dxfId="3" priority="4474" operator="between" text="蛋糕">
      <formula>NOT(ISERROR(SEARCH("蛋糕",C60)))</formula>
    </cfRule>
  </conditionalFormatting>
  <conditionalFormatting sqref="X60:Y60">
    <cfRule type="containsText" dxfId="0" priority="5235" operator="between" text="欠">
      <formula>NOT(ISERROR(SEARCH("欠",X60)))</formula>
    </cfRule>
  </conditionalFormatting>
  <conditionalFormatting sqref="Z60">
    <cfRule type="containsText" dxfId="0" priority="5229" operator="between" text="欠">
      <formula>NOT(ISERROR(SEARCH("欠",Z60)))</formula>
    </cfRule>
  </conditionalFormatting>
  <conditionalFormatting sqref="AA60:AB60">
    <cfRule type="containsText" dxfId="0" priority="5234" operator="between" text="欠">
      <formula>NOT(ISERROR(SEARCH("欠",AA60)))</formula>
    </cfRule>
  </conditionalFormatting>
  <conditionalFormatting sqref="AC60:AD60">
    <cfRule type="containsText" dxfId="0" priority="5233" operator="between" text="欠">
      <formula>NOT(ISERROR(SEARCH("欠",AC60)))</formula>
    </cfRule>
  </conditionalFormatting>
  <conditionalFormatting sqref="AE60">
    <cfRule type="containsText" dxfId="0" priority="5232" operator="between" text="欠">
      <formula>NOT(ISERROR(SEARCH("欠",AE60)))</formula>
    </cfRule>
  </conditionalFormatting>
  <conditionalFormatting sqref="AF60">
    <cfRule type="containsText" dxfId="0" priority="5237" operator="between" text="欠">
      <formula>NOT(ISERROR(SEARCH("欠",AF60)))</formula>
    </cfRule>
  </conditionalFormatting>
  <conditionalFormatting sqref="AG60">
    <cfRule type="containsText" dxfId="0" priority="5231" operator="between" text="欠">
      <formula>NOT(ISERROR(SEARCH("欠",AG60)))</formula>
    </cfRule>
  </conditionalFormatting>
  <conditionalFormatting sqref="AH60">
    <cfRule type="containsText" dxfId="0" priority="5230" operator="between" text="欠">
      <formula>NOT(ISERROR(SEARCH("欠",AH60)))</formula>
    </cfRule>
  </conditionalFormatting>
  <conditionalFormatting sqref="AI60">
    <cfRule type="containsText" dxfId="0" priority="5236" operator="between" text="欠">
      <formula>NOT(ISERROR(SEARCH("欠",AI60)))</formula>
    </cfRule>
  </conditionalFormatting>
  <conditionalFormatting sqref="B61">
    <cfRule type="containsText" dxfId="1" priority="4115" operator="between" text="异常">
      <formula>NOT(ISERROR(SEARCH("异常",B61)))</formula>
    </cfRule>
  </conditionalFormatting>
  <conditionalFormatting sqref="C61">
    <cfRule type="containsText" dxfId="2" priority="4294" operator="between" text="二代">
      <formula>NOT(ISERROR(SEARCH("二代",C61)))</formula>
    </cfRule>
    <cfRule type="containsText" dxfId="3" priority="4473" operator="between" text="蛋糕">
      <formula>NOT(ISERROR(SEARCH("蛋糕",C61)))</formula>
    </cfRule>
  </conditionalFormatting>
  <conditionalFormatting sqref="AC61">
    <cfRule type="containsText" dxfId="0" priority="5223" operator="between" text="欠">
      <formula>NOT(ISERROR(SEARCH("欠",AC61)))</formula>
    </cfRule>
  </conditionalFormatting>
  <conditionalFormatting sqref="AD61">
    <cfRule type="containsText" dxfId="0" priority="5214" operator="between" text="欠">
      <formula>NOT(ISERROR(SEARCH("欠",AD61)))</formula>
    </cfRule>
  </conditionalFormatting>
  <conditionalFormatting sqref="AH61">
    <cfRule type="containsText" dxfId="0" priority="5213" operator="between" text="欠">
      <formula>NOT(ISERROR(SEARCH("欠",AH61)))</formula>
    </cfRule>
  </conditionalFormatting>
  <conditionalFormatting sqref="B62">
    <cfRule type="containsText" dxfId="1" priority="4114" operator="between" text="异常">
      <formula>NOT(ISERROR(SEARCH("异常",B62)))</formula>
    </cfRule>
  </conditionalFormatting>
  <conditionalFormatting sqref="C62">
    <cfRule type="containsText" dxfId="2" priority="4293" operator="between" text="二代">
      <formula>NOT(ISERROR(SEARCH("二代",C62)))</formula>
    </cfRule>
    <cfRule type="containsText" dxfId="3" priority="4472" operator="between" text="蛋糕">
      <formula>NOT(ISERROR(SEARCH("蛋糕",C62)))</formula>
    </cfRule>
  </conditionalFormatting>
  <conditionalFormatting sqref="AC62:AD62">
    <cfRule type="containsText" dxfId="0" priority="5218" operator="between" text="欠">
      <formula>NOT(ISERROR(SEARCH("欠",AC62)))</formula>
    </cfRule>
  </conditionalFormatting>
  <conditionalFormatting sqref="AH62">
    <cfRule type="containsText" dxfId="0" priority="5217" operator="between" text="欠">
      <formula>NOT(ISERROR(SEARCH("欠",AH62)))</formula>
    </cfRule>
  </conditionalFormatting>
  <conditionalFormatting sqref="B63">
    <cfRule type="containsText" dxfId="1" priority="4113" operator="between" text="异常">
      <formula>NOT(ISERROR(SEARCH("异常",B63)))</formula>
    </cfRule>
  </conditionalFormatting>
  <conditionalFormatting sqref="C63">
    <cfRule type="containsText" dxfId="2" priority="4292" operator="between" text="二代">
      <formula>NOT(ISERROR(SEARCH("二代",C63)))</formula>
    </cfRule>
    <cfRule type="containsText" dxfId="3" priority="4471" operator="between" text="蛋糕">
      <formula>NOT(ISERROR(SEARCH("蛋糕",C63)))</formula>
    </cfRule>
  </conditionalFormatting>
  <conditionalFormatting sqref="AC63:AD63">
    <cfRule type="containsText" dxfId="0" priority="5228" operator="between" text="欠">
      <formula>NOT(ISERROR(SEARCH("欠",AC63)))</formula>
    </cfRule>
  </conditionalFormatting>
  <conditionalFormatting sqref="AH63">
    <cfRule type="containsText" dxfId="0" priority="5227" operator="between" text="欠">
      <formula>NOT(ISERROR(SEARCH("欠",AH63)))</formula>
    </cfRule>
  </conditionalFormatting>
  <conditionalFormatting sqref="B64">
    <cfRule type="containsText" dxfId="1" priority="4112" operator="between" text="异常">
      <formula>NOT(ISERROR(SEARCH("异常",B64)))</formula>
    </cfRule>
  </conditionalFormatting>
  <conditionalFormatting sqref="C64">
    <cfRule type="containsText" dxfId="2" priority="4291" operator="between" text="二代">
      <formula>NOT(ISERROR(SEARCH("二代",C64)))</formula>
    </cfRule>
    <cfRule type="containsText" dxfId="3" priority="4470" operator="between" text="蛋糕">
      <formula>NOT(ISERROR(SEARCH("蛋糕",C64)))</formula>
    </cfRule>
  </conditionalFormatting>
  <conditionalFormatting sqref="Y64">
    <cfRule type="containsText" dxfId="0" priority="5209" operator="between" text="欠">
      <formula>NOT(ISERROR(SEARCH("欠",Y64)))</formula>
    </cfRule>
  </conditionalFormatting>
  <conditionalFormatting sqref="AC64:AD64">
    <cfRule type="containsText" dxfId="0" priority="5208" operator="between" text="欠">
      <formula>NOT(ISERROR(SEARCH("欠",AC64)))</formula>
    </cfRule>
  </conditionalFormatting>
  <conditionalFormatting sqref="AH64">
    <cfRule type="containsText" dxfId="0" priority="5207" operator="between" text="欠">
      <formula>NOT(ISERROR(SEARCH("欠",AH64)))</formula>
    </cfRule>
  </conditionalFormatting>
  <conditionalFormatting sqref="B65">
    <cfRule type="containsText" dxfId="1" priority="4111" operator="between" text="异常">
      <formula>NOT(ISERROR(SEARCH("异常",B65)))</formula>
    </cfRule>
  </conditionalFormatting>
  <conditionalFormatting sqref="C65">
    <cfRule type="containsText" dxfId="2" priority="4290" operator="between" text="二代">
      <formula>NOT(ISERROR(SEARCH("二代",C65)))</formula>
    </cfRule>
    <cfRule type="containsText" dxfId="3" priority="4469" operator="between" text="蛋糕">
      <formula>NOT(ISERROR(SEARCH("蛋糕",C65)))</formula>
    </cfRule>
  </conditionalFormatting>
  <conditionalFormatting sqref="Y65">
    <cfRule type="containsText" dxfId="0" priority="5212" operator="between" text="欠">
      <formula>NOT(ISERROR(SEARCH("欠",Y65)))</formula>
    </cfRule>
  </conditionalFormatting>
  <conditionalFormatting sqref="AC65:AD65">
    <cfRule type="containsText" dxfId="0" priority="5211" operator="between" text="欠">
      <formula>NOT(ISERROR(SEARCH("欠",AC65)))</formula>
    </cfRule>
  </conditionalFormatting>
  <conditionalFormatting sqref="AH65">
    <cfRule type="containsText" dxfId="0" priority="5210" operator="between" text="欠">
      <formula>NOT(ISERROR(SEARCH("欠",AH65)))</formula>
    </cfRule>
  </conditionalFormatting>
  <conditionalFormatting sqref="B66">
    <cfRule type="containsText" dxfId="1" priority="4110" operator="between" text="异常">
      <formula>NOT(ISERROR(SEARCH("异常",B66)))</formula>
    </cfRule>
  </conditionalFormatting>
  <conditionalFormatting sqref="C66">
    <cfRule type="containsText" dxfId="2" priority="4289" operator="between" text="二代">
      <formula>NOT(ISERROR(SEARCH("二代",C66)))</formula>
    </cfRule>
    <cfRule type="containsText" dxfId="3" priority="4468" operator="between" text="蛋糕">
      <formula>NOT(ISERROR(SEARCH("蛋糕",C66)))</formula>
    </cfRule>
  </conditionalFormatting>
  <conditionalFormatting sqref="X66">
    <cfRule type="containsText" dxfId="0" priority="5200" operator="between" text="欠">
      <formula>NOT(ISERROR(SEARCH("欠",X66)))</formula>
    </cfRule>
  </conditionalFormatting>
  <conditionalFormatting sqref="Y66">
    <cfRule type="containsText" dxfId="0" priority="5199" operator="between" text="欠">
      <formula>NOT(ISERROR(SEARCH("欠",Y66)))</formula>
    </cfRule>
  </conditionalFormatting>
  <conditionalFormatting sqref="AC66">
    <cfRule type="containsText" dxfId="0" priority="5196" operator="between" text="欠">
      <formula>NOT(ISERROR(SEARCH("欠",AC66)))</formula>
    </cfRule>
  </conditionalFormatting>
  <conditionalFormatting sqref="AD66">
    <cfRule type="containsText" dxfId="0" priority="5206" operator="between" text="欠">
      <formula>NOT(ISERROR(SEARCH("欠",AD66)))</formula>
    </cfRule>
  </conditionalFormatting>
  <conditionalFormatting sqref="B67">
    <cfRule type="containsText" dxfId="1" priority="4109" operator="between" text="异常">
      <formula>NOT(ISERROR(SEARCH("异常",B67)))</formula>
    </cfRule>
  </conditionalFormatting>
  <conditionalFormatting sqref="C67">
    <cfRule type="containsText" dxfId="2" priority="4288" operator="between" text="二代">
      <formula>NOT(ISERROR(SEARCH("二代",C67)))</formula>
    </cfRule>
    <cfRule type="containsText" dxfId="3" priority="4467" operator="between" text="蛋糕">
      <formula>NOT(ISERROR(SEARCH("蛋糕",C67)))</formula>
    </cfRule>
  </conditionalFormatting>
  <conditionalFormatting sqref="X67:Y67">
    <cfRule type="containsText" dxfId="0" priority="5205" operator="between" text="欠">
      <formula>NOT(ISERROR(SEARCH("欠",X67)))</formula>
    </cfRule>
  </conditionalFormatting>
  <conditionalFormatting sqref="AC67:AD67">
    <cfRule type="containsText" dxfId="0" priority="5204" operator="between" text="欠">
      <formula>NOT(ISERROR(SEARCH("欠",AC67)))</formula>
    </cfRule>
  </conditionalFormatting>
  <conditionalFormatting sqref="B68">
    <cfRule type="containsText" dxfId="1" priority="4108" operator="between" text="异常">
      <formula>NOT(ISERROR(SEARCH("异常",B68)))</formula>
    </cfRule>
  </conditionalFormatting>
  <conditionalFormatting sqref="C68">
    <cfRule type="containsText" dxfId="2" priority="4287" operator="between" text="二代">
      <formula>NOT(ISERROR(SEARCH("二代",C68)))</formula>
    </cfRule>
    <cfRule type="containsText" dxfId="3" priority="4466" operator="between" text="蛋糕">
      <formula>NOT(ISERROR(SEARCH("蛋糕",C68)))</formula>
    </cfRule>
  </conditionalFormatting>
  <conditionalFormatting sqref="X68">
    <cfRule type="containsText" dxfId="0" priority="5186" operator="between" text="欠">
      <formula>NOT(ISERROR(SEARCH("欠",X68)))</formula>
    </cfRule>
  </conditionalFormatting>
  <conditionalFormatting sqref="AC68">
    <cfRule type="containsText" dxfId="0" priority="5188" operator="between" text="欠">
      <formula>NOT(ISERROR(SEARCH("欠",AC68)))</formula>
    </cfRule>
  </conditionalFormatting>
  <conditionalFormatting sqref="B69">
    <cfRule type="containsText" dxfId="1" priority="4107" operator="between" text="异常">
      <formula>NOT(ISERROR(SEARCH("异常",B69)))</formula>
    </cfRule>
  </conditionalFormatting>
  <conditionalFormatting sqref="C69">
    <cfRule type="containsText" dxfId="2" priority="4286" operator="between" text="二代">
      <formula>NOT(ISERROR(SEARCH("二代",C69)))</formula>
    </cfRule>
    <cfRule type="containsText" dxfId="3" priority="4465" operator="between" text="蛋糕">
      <formula>NOT(ISERROR(SEARCH("蛋糕",C69)))</formula>
    </cfRule>
  </conditionalFormatting>
  <conditionalFormatting sqref="Z69">
    <cfRule type="containsText" dxfId="0" priority="5175" operator="between" text="欠">
      <formula>NOT(ISERROR(SEARCH("欠",Z69)))</formula>
    </cfRule>
  </conditionalFormatting>
  <conditionalFormatting sqref="AC69">
    <cfRule type="containsText" dxfId="0" priority="5180" operator="between" text="欠">
      <formula>NOT(ISERROR(SEARCH("欠",AC69)))</formula>
    </cfRule>
  </conditionalFormatting>
  <conditionalFormatting sqref="AD69">
    <cfRule type="containsText" dxfId="0" priority="5182" operator="between" text="欠">
      <formula>NOT(ISERROR(SEARCH("欠",AD69)))</formula>
    </cfRule>
  </conditionalFormatting>
  <conditionalFormatting sqref="AE69">
    <cfRule type="containsText" dxfId="0" priority="5174" operator="between" text="欠">
      <formula>NOT(ISERROR(SEARCH("欠",AE69)))</formula>
    </cfRule>
  </conditionalFormatting>
  <conditionalFormatting sqref="AF69">
    <cfRule type="containsText" dxfId="0" priority="5181" operator="between" text="欠">
      <formula>NOT(ISERROR(SEARCH("欠",AF69)))</formula>
    </cfRule>
  </conditionalFormatting>
  <conditionalFormatting sqref="AG69">
    <cfRule type="containsText" dxfId="0" priority="5173" operator="between" text="欠">
      <formula>NOT(ISERROR(SEARCH("欠",AG69)))</formula>
    </cfRule>
  </conditionalFormatting>
  <conditionalFormatting sqref="AH69">
    <cfRule type="containsText" dxfId="0" priority="5179" operator="between" text="欠">
      <formula>NOT(ISERROR(SEARCH("欠",AH69)))</formula>
    </cfRule>
  </conditionalFormatting>
  <conditionalFormatting sqref="AI69">
    <cfRule type="containsText" dxfId="0" priority="5177" operator="between" text="欠">
      <formula>NOT(ISERROR(SEARCH("欠",AI69)))</formula>
    </cfRule>
  </conditionalFormatting>
  <conditionalFormatting sqref="B70">
    <cfRule type="containsText" dxfId="1" priority="4106" operator="between" text="异常">
      <formula>NOT(ISERROR(SEARCH("异常",B70)))</formula>
    </cfRule>
  </conditionalFormatting>
  <conditionalFormatting sqref="C70">
    <cfRule type="containsText" dxfId="2" priority="4285" operator="between" text="二代">
      <formula>NOT(ISERROR(SEARCH("二代",C70)))</formula>
    </cfRule>
    <cfRule type="containsText" dxfId="3" priority="4464" operator="between" text="蛋糕">
      <formula>NOT(ISERROR(SEARCH("蛋糕",C70)))</formula>
    </cfRule>
  </conditionalFormatting>
  <conditionalFormatting sqref="AC70">
    <cfRule type="containsText" dxfId="0" priority="5191" operator="between" text="欠">
      <formula>NOT(ISERROR(SEARCH("欠",AC70)))</formula>
    </cfRule>
  </conditionalFormatting>
  <conditionalFormatting sqref="AH70">
    <cfRule type="containsText" dxfId="0" priority="5190" operator="between" text="欠">
      <formula>NOT(ISERROR(SEARCH("欠",AH70)))</formula>
    </cfRule>
  </conditionalFormatting>
  <conditionalFormatting sqref="B71">
    <cfRule type="containsText" dxfId="1" priority="4105" operator="between" text="异常">
      <formula>NOT(ISERROR(SEARCH("异常",B71)))</formula>
    </cfRule>
  </conditionalFormatting>
  <conditionalFormatting sqref="C71">
    <cfRule type="containsText" dxfId="2" priority="4284" operator="between" text="二代">
      <formula>NOT(ISERROR(SEARCH("二代",C71)))</formula>
    </cfRule>
    <cfRule type="containsText" dxfId="3" priority="4463" operator="between" text="蛋糕">
      <formula>NOT(ISERROR(SEARCH("蛋糕",C71)))</formula>
    </cfRule>
  </conditionalFormatting>
  <conditionalFormatting sqref="AC71:AD71">
    <cfRule type="containsText" dxfId="0" priority="5167" operator="between" text="欠">
      <formula>NOT(ISERROR(SEARCH("欠",AC71)))</formula>
    </cfRule>
  </conditionalFormatting>
  <conditionalFormatting sqref="AH71">
    <cfRule type="containsText" dxfId="0" priority="5166" operator="between" text="欠">
      <formula>NOT(ISERROR(SEARCH("欠",AH71)))</formula>
    </cfRule>
  </conditionalFormatting>
  <conditionalFormatting sqref="B72">
    <cfRule type="containsText" dxfId="1" priority="4104" operator="between" text="异常">
      <formula>NOT(ISERROR(SEARCH("异常",B72)))</formula>
    </cfRule>
  </conditionalFormatting>
  <conditionalFormatting sqref="C72">
    <cfRule type="containsText" dxfId="2" priority="4283" operator="between" text="二代">
      <formula>NOT(ISERROR(SEARCH("二代",C72)))</formula>
    </cfRule>
    <cfRule type="containsText" dxfId="3" priority="4462" operator="between" text="蛋糕">
      <formula>NOT(ISERROR(SEARCH("蛋糕",C72)))</formula>
    </cfRule>
  </conditionalFormatting>
  <conditionalFormatting sqref="AH72">
    <cfRule type="containsText" dxfId="0" priority="5169" operator="between" text="欠">
      <formula>NOT(ISERROR(SEARCH("欠",AH72)))</formula>
    </cfRule>
  </conditionalFormatting>
  <conditionalFormatting sqref="B73">
    <cfRule type="containsText" dxfId="1" priority="4103" operator="between" text="异常">
      <formula>NOT(ISERROR(SEARCH("异常",B73)))</formula>
    </cfRule>
  </conditionalFormatting>
  <conditionalFormatting sqref="C73">
    <cfRule type="containsText" dxfId="2" priority="4282" operator="between" text="二代">
      <formula>NOT(ISERROR(SEARCH("二代",C73)))</formula>
    </cfRule>
    <cfRule type="containsText" dxfId="3" priority="4461" operator="between" text="蛋糕">
      <formula>NOT(ISERROR(SEARCH("蛋糕",C73)))</formula>
    </cfRule>
  </conditionalFormatting>
  <conditionalFormatting sqref="B74">
    <cfRule type="containsText" dxfId="1" priority="4102" operator="between" text="异常">
      <formula>NOT(ISERROR(SEARCH("异常",B74)))</formula>
    </cfRule>
  </conditionalFormatting>
  <conditionalFormatting sqref="C74">
    <cfRule type="containsText" dxfId="2" priority="4281" operator="between" text="二代">
      <formula>NOT(ISERROR(SEARCH("二代",C74)))</formula>
    </cfRule>
    <cfRule type="containsText" dxfId="3" priority="4460" operator="between" text="蛋糕">
      <formula>NOT(ISERROR(SEARCH("蛋糕",C74)))</formula>
    </cfRule>
  </conditionalFormatting>
  <conditionalFormatting sqref="AC74:AD74">
    <cfRule type="containsText" dxfId="0" priority="5161" operator="between" text="欠">
      <formula>NOT(ISERROR(SEARCH("欠",AC74)))</formula>
    </cfRule>
  </conditionalFormatting>
  <conditionalFormatting sqref="AH74">
    <cfRule type="containsText" dxfId="0" priority="5160" operator="between" text="欠">
      <formula>NOT(ISERROR(SEARCH("欠",AH74)))</formula>
    </cfRule>
  </conditionalFormatting>
  <conditionalFormatting sqref="B75">
    <cfRule type="containsText" dxfId="1" priority="4101" operator="between" text="异常">
      <formula>NOT(ISERROR(SEARCH("异常",B75)))</formula>
    </cfRule>
  </conditionalFormatting>
  <conditionalFormatting sqref="C75">
    <cfRule type="containsText" dxfId="2" priority="4280" operator="between" text="二代">
      <formula>NOT(ISERROR(SEARCH("二代",C75)))</formula>
    </cfRule>
    <cfRule type="containsText" dxfId="3" priority="4459" operator="between" text="蛋糕">
      <formula>NOT(ISERROR(SEARCH("蛋糕",C75)))</formula>
    </cfRule>
  </conditionalFormatting>
  <conditionalFormatting sqref="B76">
    <cfRule type="containsText" dxfId="1" priority="4100" operator="between" text="异常">
      <formula>NOT(ISERROR(SEARCH("异常",B76)))</formula>
    </cfRule>
  </conditionalFormatting>
  <conditionalFormatting sqref="C76">
    <cfRule type="containsText" dxfId="2" priority="4279" operator="between" text="二代">
      <formula>NOT(ISERROR(SEARCH("二代",C76)))</formula>
    </cfRule>
    <cfRule type="containsText" dxfId="3" priority="4458" operator="between" text="蛋糕">
      <formula>NOT(ISERROR(SEARCH("蛋糕",C76)))</formula>
    </cfRule>
  </conditionalFormatting>
  <conditionalFormatting sqref="B77">
    <cfRule type="containsText" dxfId="1" priority="4099" operator="between" text="异常">
      <formula>NOT(ISERROR(SEARCH("异常",B77)))</formula>
    </cfRule>
  </conditionalFormatting>
  <conditionalFormatting sqref="C77">
    <cfRule type="containsText" dxfId="2" priority="4278" operator="between" text="二代">
      <formula>NOT(ISERROR(SEARCH("二代",C77)))</formula>
    </cfRule>
    <cfRule type="containsText" dxfId="3" priority="4457" operator="between" text="蛋糕">
      <formula>NOT(ISERROR(SEARCH("蛋糕",C77)))</formula>
    </cfRule>
  </conditionalFormatting>
  <conditionalFormatting sqref="B78">
    <cfRule type="containsText" dxfId="1" priority="4098" operator="between" text="异常">
      <formula>NOT(ISERROR(SEARCH("异常",B78)))</formula>
    </cfRule>
  </conditionalFormatting>
  <conditionalFormatting sqref="C78">
    <cfRule type="containsText" dxfId="2" priority="4277" operator="between" text="二代">
      <formula>NOT(ISERROR(SEARCH("二代",C78)))</formula>
    </cfRule>
    <cfRule type="containsText" dxfId="3" priority="4456" operator="between" text="蛋糕">
      <formula>NOT(ISERROR(SEARCH("蛋糕",C78)))</formula>
    </cfRule>
  </conditionalFormatting>
  <conditionalFormatting sqref="AC78:AD78">
    <cfRule type="containsText" dxfId="0" priority="5128" operator="between" text="欠">
      <formula>NOT(ISERROR(SEARCH("欠",AC78)))</formula>
    </cfRule>
  </conditionalFormatting>
  <conditionalFormatting sqref="AH78">
    <cfRule type="containsText" dxfId="0" priority="5127" operator="between" text="欠">
      <formula>NOT(ISERROR(SEARCH("欠",AH78)))</formula>
    </cfRule>
  </conditionalFormatting>
  <conditionalFormatting sqref="B79">
    <cfRule type="containsText" dxfId="1" priority="4097" operator="between" text="异常">
      <formula>NOT(ISERROR(SEARCH("异常",B79)))</formula>
    </cfRule>
  </conditionalFormatting>
  <conditionalFormatting sqref="C79">
    <cfRule type="containsText" dxfId="2" priority="4276" operator="between" text="二代">
      <formula>NOT(ISERROR(SEARCH("二代",C79)))</formula>
    </cfRule>
    <cfRule type="containsText" dxfId="3" priority="4455" operator="between" text="蛋糕">
      <formula>NOT(ISERROR(SEARCH("蛋糕",C79)))</formula>
    </cfRule>
  </conditionalFormatting>
  <conditionalFormatting sqref="AC79:AD79">
    <cfRule type="containsText" dxfId="0" priority="5130" operator="between" text="欠">
      <formula>NOT(ISERROR(SEARCH("欠",AC79)))</formula>
    </cfRule>
  </conditionalFormatting>
  <conditionalFormatting sqref="AH79">
    <cfRule type="containsText" dxfId="0" priority="5129" operator="between" text="欠">
      <formula>NOT(ISERROR(SEARCH("欠",AH79)))</formula>
    </cfRule>
  </conditionalFormatting>
  <conditionalFormatting sqref="B80">
    <cfRule type="containsText" dxfId="1" priority="4096" operator="between" text="异常">
      <formula>NOT(ISERROR(SEARCH("异常",B80)))</formula>
    </cfRule>
  </conditionalFormatting>
  <conditionalFormatting sqref="C80">
    <cfRule type="containsText" dxfId="2" priority="4275" operator="between" text="二代">
      <formula>NOT(ISERROR(SEARCH("二代",C80)))</formula>
    </cfRule>
    <cfRule type="containsText" dxfId="3" priority="4454" operator="between" text="蛋糕">
      <formula>NOT(ISERROR(SEARCH("蛋糕",C80)))</formula>
    </cfRule>
  </conditionalFormatting>
  <conditionalFormatting sqref="AB80">
    <cfRule type="containsText" dxfId="0" priority="5123" operator="between" text="欠">
      <formula>NOT(ISERROR(SEARCH("欠",AB80)))</formula>
    </cfRule>
  </conditionalFormatting>
  <conditionalFormatting sqref="AC80">
    <cfRule type="containsText" dxfId="0" priority="5154" operator="between" text="欠">
      <formula>NOT(ISERROR(SEARCH("欠",AC80)))</formula>
    </cfRule>
  </conditionalFormatting>
  <conditionalFormatting sqref="AD80">
    <cfRule type="containsText" dxfId="0" priority="5132" operator="between" text="欠">
      <formula>NOT(ISERROR(SEARCH("欠",AD80)))</formula>
    </cfRule>
  </conditionalFormatting>
  <conditionalFormatting sqref="AH80">
    <cfRule type="containsText" dxfId="0" priority="5131" operator="between" text="欠">
      <formula>NOT(ISERROR(SEARCH("欠",AH80)))</formula>
    </cfRule>
  </conditionalFormatting>
  <conditionalFormatting sqref="B81">
    <cfRule type="containsText" dxfId="1" priority="4095" operator="between" text="异常">
      <formula>NOT(ISERROR(SEARCH("异常",B81)))</formula>
    </cfRule>
  </conditionalFormatting>
  <conditionalFormatting sqref="C81">
    <cfRule type="containsText" dxfId="2" priority="4274" operator="between" text="二代">
      <formula>NOT(ISERROR(SEARCH("二代",C81)))</formula>
    </cfRule>
    <cfRule type="containsText" dxfId="3" priority="4453" operator="between" text="蛋糕">
      <formula>NOT(ISERROR(SEARCH("蛋糕",C81)))</formula>
    </cfRule>
  </conditionalFormatting>
  <conditionalFormatting sqref="AC81">
    <cfRule type="containsText" dxfId="0" priority="5152" operator="between" text="欠">
      <formula>NOT(ISERROR(SEARCH("欠",AC81)))</formula>
    </cfRule>
  </conditionalFormatting>
  <conditionalFormatting sqref="AD81">
    <cfRule type="containsText" dxfId="0" priority="5155" operator="between" text="欠">
      <formula>NOT(ISERROR(SEARCH("欠",AD81)))</formula>
    </cfRule>
  </conditionalFormatting>
  <conditionalFormatting sqref="B82">
    <cfRule type="containsText" dxfId="1" priority="4094" operator="between" text="异常">
      <formula>NOT(ISERROR(SEARCH("异常",B82)))</formula>
    </cfRule>
  </conditionalFormatting>
  <conditionalFormatting sqref="C82">
    <cfRule type="containsText" dxfId="2" priority="4273" operator="between" text="二代">
      <formula>NOT(ISERROR(SEARCH("二代",C82)))</formula>
    </cfRule>
    <cfRule type="containsText" dxfId="3" priority="4452" operator="between" text="蛋糕">
      <formula>NOT(ISERROR(SEARCH("蛋糕",C82)))</formula>
    </cfRule>
  </conditionalFormatting>
  <conditionalFormatting sqref="AC82:AD82">
    <cfRule type="containsText" dxfId="0" priority="5137" operator="between" text="欠">
      <formula>NOT(ISERROR(SEARCH("欠",AC82)))</formula>
    </cfRule>
  </conditionalFormatting>
  <conditionalFormatting sqref="AH82">
    <cfRule type="containsText" dxfId="0" priority="5136" operator="between" text="欠">
      <formula>NOT(ISERROR(SEARCH("欠",AH82)))</formula>
    </cfRule>
  </conditionalFormatting>
  <conditionalFormatting sqref="B83">
    <cfRule type="containsText" dxfId="1" priority="4093" operator="between" text="异常">
      <formula>NOT(ISERROR(SEARCH("异常",B83)))</formula>
    </cfRule>
  </conditionalFormatting>
  <conditionalFormatting sqref="C83">
    <cfRule type="containsText" dxfId="2" priority="4272" operator="between" text="二代">
      <formula>NOT(ISERROR(SEARCH("二代",C83)))</formula>
    </cfRule>
    <cfRule type="containsText" dxfId="3" priority="4451" operator="between" text="蛋糕">
      <formula>NOT(ISERROR(SEARCH("蛋糕",C83)))</formula>
    </cfRule>
  </conditionalFormatting>
  <conditionalFormatting sqref="AC83:AD83">
    <cfRule type="containsText" dxfId="0" priority="5139" operator="between" text="欠">
      <formula>NOT(ISERROR(SEARCH("欠",AC83)))</formula>
    </cfRule>
  </conditionalFormatting>
  <conditionalFormatting sqref="AH83">
    <cfRule type="containsText" dxfId="0" priority="5138" operator="between" text="欠">
      <formula>NOT(ISERROR(SEARCH("欠",AH83)))</formula>
    </cfRule>
  </conditionalFormatting>
  <conditionalFormatting sqref="B84">
    <cfRule type="containsText" dxfId="1" priority="4092" operator="between" text="异常">
      <formula>NOT(ISERROR(SEARCH("异常",B84)))</formula>
    </cfRule>
  </conditionalFormatting>
  <conditionalFormatting sqref="C84">
    <cfRule type="containsText" dxfId="2" priority="4271" operator="between" text="二代">
      <formula>NOT(ISERROR(SEARCH("二代",C84)))</formula>
    </cfRule>
    <cfRule type="containsText" dxfId="3" priority="4450" operator="between" text="蛋糕">
      <formula>NOT(ISERROR(SEARCH("蛋糕",C84)))</formula>
    </cfRule>
  </conditionalFormatting>
  <conditionalFormatting sqref="AC84:AD84">
    <cfRule type="containsText" dxfId="0" priority="5141" operator="between" text="欠">
      <formula>NOT(ISERROR(SEARCH("欠",AC84)))</formula>
    </cfRule>
  </conditionalFormatting>
  <conditionalFormatting sqref="AH84">
    <cfRule type="containsText" dxfId="0" priority="5140" operator="between" text="欠">
      <formula>NOT(ISERROR(SEARCH("欠",AH84)))</formula>
    </cfRule>
  </conditionalFormatting>
  <conditionalFormatting sqref="B85">
    <cfRule type="containsText" dxfId="1" priority="4091" operator="between" text="异常">
      <formula>NOT(ISERROR(SEARCH("异常",B85)))</formula>
    </cfRule>
  </conditionalFormatting>
  <conditionalFormatting sqref="C85">
    <cfRule type="containsText" dxfId="2" priority="4270" operator="between" text="二代">
      <formula>NOT(ISERROR(SEARCH("二代",C85)))</formula>
    </cfRule>
    <cfRule type="containsText" dxfId="3" priority="4449" operator="between" text="蛋糕">
      <formula>NOT(ISERROR(SEARCH("蛋糕",C85)))</formula>
    </cfRule>
  </conditionalFormatting>
  <conditionalFormatting sqref="B86">
    <cfRule type="containsText" dxfId="1" priority="4090" operator="between" text="异常">
      <formula>NOT(ISERROR(SEARCH("异常",B86)))</formula>
    </cfRule>
  </conditionalFormatting>
  <conditionalFormatting sqref="C86">
    <cfRule type="containsText" dxfId="2" priority="4269" operator="between" text="二代">
      <formula>NOT(ISERROR(SEARCH("二代",C86)))</formula>
    </cfRule>
    <cfRule type="containsText" dxfId="3" priority="4448" operator="between" text="蛋糕">
      <formula>NOT(ISERROR(SEARCH("蛋糕",C86)))</formula>
    </cfRule>
  </conditionalFormatting>
  <conditionalFormatting sqref="AG86">
    <cfRule type="containsText" dxfId="0" priority="5122" operator="between" text="欠">
      <formula>NOT(ISERROR(SEARCH("欠",AG86)))</formula>
    </cfRule>
  </conditionalFormatting>
  <conditionalFormatting sqref="AH86">
    <cfRule type="containsText" dxfId="0" priority="5143" operator="between" text="欠">
      <formula>NOT(ISERROR(SEARCH("欠",AH86)))</formula>
    </cfRule>
  </conditionalFormatting>
  <conditionalFormatting sqref="B87">
    <cfRule type="containsText" dxfId="1" priority="4089" operator="between" text="异常">
      <formula>NOT(ISERROR(SEARCH("异常",B87)))</formula>
    </cfRule>
  </conditionalFormatting>
  <conditionalFormatting sqref="C87">
    <cfRule type="containsText" dxfId="2" priority="4268" operator="between" text="二代">
      <formula>NOT(ISERROR(SEARCH("二代",C87)))</formula>
    </cfRule>
    <cfRule type="containsText" dxfId="3" priority="4447" operator="between" text="蛋糕">
      <formula>NOT(ISERROR(SEARCH("蛋糕",C87)))</formula>
    </cfRule>
  </conditionalFormatting>
  <conditionalFormatting sqref="AC87">
    <cfRule type="containsText" dxfId="0" priority="5146" operator="between" text="欠">
      <formula>NOT(ISERROR(SEARCH("欠",AC87)))</formula>
    </cfRule>
  </conditionalFormatting>
  <conditionalFormatting sqref="AH87">
    <cfRule type="containsText" dxfId="0" priority="5145" operator="between" text="欠">
      <formula>NOT(ISERROR(SEARCH("欠",AH87)))</formula>
    </cfRule>
  </conditionalFormatting>
  <conditionalFormatting sqref="B88">
    <cfRule type="containsText" dxfId="1" priority="4088" operator="between" text="异常">
      <formula>NOT(ISERROR(SEARCH("异常",B88)))</formula>
    </cfRule>
  </conditionalFormatting>
  <conditionalFormatting sqref="C88">
    <cfRule type="containsText" dxfId="2" priority="4267" operator="between" text="二代">
      <formula>NOT(ISERROR(SEARCH("二代",C88)))</formula>
    </cfRule>
    <cfRule type="containsText" dxfId="3" priority="4446" operator="between" text="蛋糕">
      <formula>NOT(ISERROR(SEARCH("蛋糕",C88)))</formula>
    </cfRule>
  </conditionalFormatting>
  <conditionalFormatting sqref="AC88">
    <cfRule type="containsText" dxfId="0" priority="5148" operator="between" text="欠">
      <formula>NOT(ISERROR(SEARCH("欠",AC88)))</formula>
    </cfRule>
  </conditionalFormatting>
  <conditionalFormatting sqref="AH88">
    <cfRule type="containsText" dxfId="0" priority="5147" operator="between" text="欠">
      <formula>NOT(ISERROR(SEARCH("欠",AH88)))</formula>
    </cfRule>
  </conditionalFormatting>
  <conditionalFormatting sqref="B89">
    <cfRule type="containsText" dxfId="1" priority="4087" operator="between" text="异常">
      <formula>NOT(ISERROR(SEARCH("异常",B89)))</formula>
    </cfRule>
  </conditionalFormatting>
  <conditionalFormatting sqref="C89">
    <cfRule type="containsText" dxfId="2" priority="4266" operator="between" text="二代">
      <formula>NOT(ISERROR(SEARCH("二代",C89)))</formula>
    </cfRule>
    <cfRule type="containsText" dxfId="3" priority="4445" operator="between" text="蛋糕">
      <formula>NOT(ISERROR(SEARCH("蛋糕",C89)))</formula>
    </cfRule>
  </conditionalFormatting>
  <conditionalFormatting sqref="AC89">
    <cfRule type="containsText" dxfId="0" priority="5150" operator="between" text="欠">
      <formula>NOT(ISERROR(SEARCH("欠",AC89)))</formula>
    </cfRule>
  </conditionalFormatting>
  <conditionalFormatting sqref="AH89">
    <cfRule type="containsText" dxfId="0" priority="5149" operator="between" text="欠">
      <formula>NOT(ISERROR(SEARCH("欠",AH89)))</formula>
    </cfRule>
  </conditionalFormatting>
  <conditionalFormatting sqref="B90">
    <cfRule type="containsText" dxfId="1" priority="4086" operator="between" text="异常">
      <formula>NOT(ISERROR(SEARCH("异常",B90)))</formula>
    </cfRule>
  </conditionalFormatting>
  <conditionalFormatting sqref="C90">
    <cfRule type="containsText" dxfId="2" priority="4265" operator="between" text="二代">
      <formula>NOT(ISERROR(SEARCH("二代",C90)))</formula>
    </cfRule>
    <cfRule type="containsText" dxfId="3" priority="4444" operator="between" text="蛋糕">
      <formula>NOT(ISERROR(SEARCH("蛋糕",C90)))</formula>
    </cfRule>
  </conditionalFormatting>
  <conditionalFormatting sqref="AC90">
    <cfRule type="containsText" dxfId="0" priority="5089" operator="between" text="欠">
      <formula>NOT(ISERROR(SEARCH("欠",AC90)))</formula>
    </cfRule>
  </conditionalFormatting>
  <conditionalFormatting sqref="AH90">
    <cfRule type="containsText" dxfId="0" priority="5088" operator="between" text="欠">
      <formula>NOT(ISERROR(SEARCH("欠",AH90)))</formula>
    </cfRule>
  </conditionalFormatting>
  <conditionalFormatting sqref="B91">
    <cfRule type="containsText" dxfId="1" priority="4085" operator="between" text="异常">
      <formula>NOT(ISERROR(SEARCH("异常",B91)))</formula>
    </cfRule>
  </conditionalFormatting>
  <conditionalFormatting sqref="C91">
    <cfRule type="containsText" dxfId="2" priority="4264" operator="between" text="二代">
      <formula>NOT(ISERROR(SEARCH("二代",C91)))</formula>
    </cfRule>
    <cfRule type="containsText" dxfId="3" priority="4443" operator="between" text="蛋糕">
      <formula>NOT(ISERROR(SEARCH("蛋糕",C91)))</formula>
    </cfRule>
  </conditionalFormatting>
  <conditionalFormatting sqref="AC91">
    <cfRule type="containsText" dxfId="0" priority="5091" operator="between" text="欠">
      <formula>NOT(ISERROR(SEARCH("欠",AC91)))</formula>
    </cfRule>
  </conditionalFormatting>
  <conditionalFormatting sqref="AH91">
    <cfRule type="containsText" dxfId="0" priority="5090" operator="between" text="欠">
      <formula>NOT(ISERROR(SEARCH("欠",AH91)))</formula>
    </cfRule>
  </conditionalFormatting>
  <conditionalFormatting sqref="B92">
    <cfRule type="containsText" dxfId="1" priority="4084" operator="between" text="异常">
      <formula>NOT(ISERROR(SEARCH("异常",B92)))</formula>
    </cfRule>
  </conditionalFormatting>
  <conditionalFormatting sqref="C92">
    <cfRule type="containsText" dxfId="2" priority="4263" operator="between" text="二代">
      <formula>NOT(ISERROR(SEARCH("二代",C92)))</formula>
    </cfRule>
    <cfRule type="containsText" dxfId="3" priority="4442" operator="between" text="蛋糕">
      <formula>NOT(ISERROR(SEARCH("蛋糕",C92)))</formula>
    </cfRule>
  </conditionalFormatting>
  <conditionalFormatting sqref="AC92:AD92">
    <cfRule type="containsText" dxfId="0" priority="5095" operator="between" text="欠">
      <formula>NOT(ISERROR(SEARCH("欠",AC92)))</formula>
    </cfRule>
  </conditionalFormatting>
  <conditionalFormatting sqref="AH92">
    <cfRule type="containsText" dxfId="0" priority="5094" operator="between" text="欠">
      <formula>NOT(ISERROR(SEARCH("欠",AH92)))</formula>
    </cfRule>
  </conditionalFormatting>
  <conditionalFormatting sqref="B93">
    <cfRule type="containsText" dxfId="1" priority="4083" operator="between" text="异常">
      <formula>NOT(ISERROR(SEARCH("异常",B93)))</formula>
    </cfRule>
  </conditionalFormatting>
  <conditionalFormatting sqref="C93">
    <cfRule type="containsText" dxfId="2" priority="4262" operator="between" text="二代">
      <formula>NOT(ISERROR(SEARCH("二代",C93)))</formula>
    </cfRule>
    <cfRule type="containsText" dxfId="3" priority="4441" operator="between" text="蛋糕">
      <formula>NOT(ISERROR(SEARCH("蛋糕",C93)))</formula>
    </cfRule>
  </conditionalFormatting>
  <conditionalFormatting sqref="B94">
    <cfRule type="containsText" dxfId="1" priority="4082" operator="between" text="异常">
      <formula>NOT(ISERROR(SEARCH("异常",B94)))</formula>
    </cfRule>
  </conditionalFormatting>
  <conditionalFormatting sqref="C94">
    <cfRule type="containsText" dxfId="2" priority="4261" operator="between" text="二代">
      <formula>NOT(ISERROR(SEARCH("二代",C94)))</formula>
    </cfRule>
    <cfRule type="containsText" dxfId="3" priority="4440" operator="between" text="蛋糕">
      <formula>NOT(ISERROR(SEARCH("蛋糕",C94)))</formula>
    </cfRule>
  </conditionalFormatting>
  <conditionalFormatting sqref="AA94">
    <cfRule type="containsText" dxfId="0" priority="5103" operator="between" text="欠">
      <formula>NOT(ISERROR(SEARCH("欠",AA94)))</formula>
    </cfRule>
  </conditionalFormatting>
  <conditionalFormatting sqref="B95">
    <cfRule type="containsText" dxfId="1" priority="4081" operator="between" text="异常">
      <formula>NOT(ISERROR(SEARCH("异常",B95)))</formula>
    </cfRule>
  </conditionalFormatting>
  <conditionalFormatting sqref="C95">
    <cfRule type="containsText" dxfId="2" priority="4260" operator="between" text="二代">
      <formula>NOT(ISERROR(SEARCH("二代",C95)))</formula>
    </cfRule>
    <cfRule type="containsText" dxfId="3" priority="4439" operator="between" text="蛋糕">
      <formula>NOT(ISERROR(SEARCH("蛋糕",C95)))</formula>
    </cfRule>
  </conditionalFormatting>
  <conditionalFormatting sqref="AE95">
    <cfRule type="containsText" dxfId="0" priority="5112" operator="between" text="欠">
      <formula>NOT(ISERROR(SEARCH("欠",AE95)))</formula>
    </cfRule>
  </conditionalFormatting>
  <conditionalFormatting sqref="AG95">
    <cfRule type="containsText" dxfId="0" priority="5110" operator="between" text="欠">
      <formula>NOT(ISERROR(SEARCH("欠",AG95)))</formula>
    </cfRule>
  </conditionalFormatting>
  <conditionalFormatting sqref="B96">
    <cfRule type="containsText" dxfId="1" priority="4080" operator="between" text="异常">
      <formula>NOT(ISERROR(SEARCH("异常",B96)))</formula>
    </cfRule>
  </conditionalFormatting>
  <conditionalFormatting sqref="C96">
    <cfRule type="containsText" dxfId="2" priority="4259" operator="between" text="二代">
      <formula>NOT(ISERROR(SEARCH("二代",C96)))</formula>
    </cfRule>
    <cfRule type="containsText" dxfId="3" priority="4438" operator="between" text="蛋糕">
      <formula>NOT(ISERROR(SEARCH("蛋糕",C96)))</formula>
    </cfRule>
  </conditionalFormatting>
  <conditionalFormatting sqref="AE96">
    <cfRule type="containsText" dxfId="0" priority="5113" operator="between" text="欠">
      <formula>NOT(ISERROR(SEARCH("欠",AE96)))</formula>
    </cfRule>
  </conditionalFormatting>
  <conditionalFormatting sqref="AG96">
    <cfRule type="containsText" dxfId="0" priority="5109" operator="between" text="欠">
      <formula>NOT(ISERROR(SEARCH("欠",AG96)))</formula>
    </cfRule>
  </conditionalFormatting>
  <conditionalFormatting sqref="B97">
    <cfRule type="containsText" dxfId="1" priority="4079" operator="between" text="异常">
      <formula>NOT(ISERROR(SEARCH("异常",B97)))</formula>
    </cfRule>
  </conditionalFormatting>
  <conditionalFormatting sqref="C97">
    <cfRule type="containsText" dxfId="2" priority="4258" operator="between" text="二代">
      <formula>NOT(ISERROR(SEARCH("二代",C97)))</formula>
    </cfRule>
    <cfRule type="containsText" dxfId="3" priority="4437" operator="between" text="蛋糕">
      <formula>NOT(ISERROR(SEARCH("蛋糕",C97)))</formula>
    </cfRule>
  </conditionalFormatting>
  <conditionalFormatting sqref="AE97">
    <cfRule type="containsText" dxfId="0" priority="5111" operator="between" text="欠">
      <formula>NOT(ISERROR(SEARCH("欠",AE97)))</formula>
    </cfRule>
  </conditionalFormatting>
  <conditionalFormatting sqref="AG97">
    <cfRule type="containsText" dxfId="0" priority="5108" operator="between" text="欠">
      <formula>NOT(ISERROR(SEARCH("欠",AG97)))</formula>
    </cfRule>
  </conditionalFormatting>
  <conditionalFormatting sqref="B98">
    <cfRule type="containsText" dxfId="1" priority="4078" operator="between" text="异常">
      <formula>NOT(ISERROR(SEARCH("异常",B98)))</formula>
    </cfRule>
  </conditionalFormatting>
  <conditionalFormatting sqref="C98">
    <cfRule type="containsText" dxfId="2" priority="4257" operator="between" text="二代">
      <formula>NOT(ISERROR(SEARCH("二代",C98)))</formula>
    </cfRule>
    <cfRule type="containsText" dxfId="3" priority="4436" operator="between" text="蛋糕">
      <formula>NOT(ISERROR(SEARCH("蛋糕",C98)))</formula>
    </cfRule>
  </conditionalFormatting>
  <conditionalFormatting sqref="AA98:AB98">
    <cfRule type="containsText" dxfId="0" priority="5098" operator="between" text="欠">
      <formula>NOT(ISERROR(SEARCH("欠",AA98)))</formula>
    </cfRule>
  </conditionalFormatting>
  <conditionalFormatting sqref="B99">
    <cfRule type="containsText" dxfId="1" priority="4077" operator="between" text="异常">
      <formula>NOT(ISERROR(SEARCH("异常",B99)))</formula>
    </cfRule>
  </conditionalFormatting>
  <conditionalFormatting sqref="C99">
    <cfRule type="containsText" dxfId="2" priority="4256" operator="between" text="二代">
      <formula>NOT(ISERROR(SEARCH("二代",C99)))</formula>
    </cfRule>
    <cfRule type="containsText" dxfId="3" priority="4435" operator="between" text="蛋糕">
      <formula>NOT(ISERROR(SEARCH("蛋糕",C99)))</formula>
    </cfRule>
  </conditionalFormatting>
  <conditionalFormatting sqref="AA99:AB99">
    <cfRule type="containsText" dxfId="0" priority="5082" operator="between" text="欠">
      <formula>NOT(ISERROR(SEARCH("欠",AA99)))</formula>
    </cfRule>
  </conditionalFormatting>
  <conditionalFormatting sqref="AC99">
    <cfRule type="containsText" dxfId="0" priority="5099" operator="between" text="欠">
      <formula>NOT(ISERROR(SEARCH("欠",AC99)))</formula>
    </cfRule>
  </conditionalFormatting>
  <conditionalFormatting sqref="B100">
    <cfRule type="containsText" dxfId="1" priority="4076" operator="between" text="异常">
      <formula>NOT(ISERROR(SEARCH("异常",B100)))</formula>
    </cfRule>
  </conditionalFormatting>
  <conditionalFormatting sqref="C100">
    <cfRule type="containsText" dxfId="2" priority="4255" operator="between" text="二代">
      <formula>NOT(ISERROR(SEARCH("二代",C100)))</formula>
    </cfRule>
    <cfRule type="containsText" dxfId="3" priority="4434" operator="between" text="蛋糕">
      <formula>NOT(ISERROR(SEARCH("蛋糕",C100)))</formula>
    </cfRule>
  </conditionalFormatting>
  <conditionalFormatting sqref="AC100:AD100">
    <cfRule type="containsText" dxfId="0" priority="5057" operator="between" text="欠">
      <formula>NOT(ISERROR(SEARCH("欠",AC100)))</formula>
    </cfRule>
  </conditionalFormatting>
  <conditionalFormatting sqref="AE100">
    <cfRule type="containsText" dxfId="0" priority="5052" operator="between" text="欠">
      <formula>NOT(ISERROR(SEARCH("欠",AE100)))</formula>
    </cfRule>
  </conditionalFormatting>
  <conditionalFormatting sqref="AG100">
    <cfRule type="containsText" dxfId="0" priority="5048" operator="between" text="欠">
      <formula>NOT(ISERROR(SEARCH("欠",AG100)))</formula>
    </cfRule>
  </conditionalFormatting>
  <conditionalFormatting sqref="AH100">
    <cfRule type="containsText" dxfId="0" priority="5056" operator="between" text="欠">
      <formula>NOT(ISERROR(SEARCH("欠",AH100)))</formula>
    </cfRule>
  </conditionalFormatting>
  <conditionalFormatting sqref="B101">
    <cfRule type="containsText" dxfId="1" priority="4075" operator="between" text="异常">
      <formula>NOT(ISERROR(SEARCH("异常",B101)))</formula>
    </cfRule>
  </conditionalFormatting>
  <conditionalFormatting sqref="C101">
    <cfRule type="containsText" dxfId="2" priority="4254" operator="between" text="二代">
      <formula>NOT(ISERROR(SEARCH("二代",C101)))</formula>
    </cfRule>
    <cfRule type="containsText" dxfId="3" priority="4433" operator="between" text="蛋糕">
      <formula>NOT(ISERROR(SEARCH("蛋糕",C101)))</formula>
    </cfRule>
  </conditionalFormatting>
  <conditionalFormatting sqref="AE101">
    <cfRule type="containsText" dxfId="0" priority="5051" operator="between" text="欠">
      <formula>NOT(ISERROR(SEARCH("欠",AE101)))</formula>
    </cfRule>
  </conditionalFormatting>
  <conditionalFormatting sqref="AG101">
    <cfRule type="containsText" dxfId="0" priority="5047" operator="between" text="欠">
      <formula>NOT(ISERROR(SEARCH("欠",AG101)))</formula>
    </cfRule>
  </conditionalFormatting>
  <conditionalFormatting sqref="AH101">
    <cfRule type="containsText" dxfId="0" priority="5043" operator="between" text="欠">
      <formula>NOT(ISERROR(SEARCH("欠",AH101)))</formula>
    </cfRule>
  </conditionalFormatting>
  <conditionalFormatting sqref="B102">
    <cfRule type="containsText" dxfId="1" priority="4074" operator="between" text="异常">
      <formula>NOT(ISERROR(SEARCH("异常",B102)))</formula>
    </cfRule>
  </conditionalFormatting>
  <conditionalFormatting sqref="C102">
    <cfRule type="containsText" dxfId="2" priority="4253" operator="between" text="二代">
      <formula>NOT(ISERROR(SEARCH("二代",C102)))</formula>
    </cfRule>
    <cfRule type="containsText" dxfId="3" priority="4432" operator="between" text="蛋糕">
      <formula>NOT(ISERROR(SEARCH("蛋糕",C102)))</formula>
    </cfRule>
  </conditionalFormatting>
  <conditionalFormatting sqref="AE102">
    <cfRule type="containsText" dxfId="0" priority="5053" operator="between" text="欠">
      <formula>NOT(ISERROR(SEARCH("欠",AE102)))</formula>
    </cfRule>
  </conditionalFormatting>
  <conditionalFormatting sqref="AG102">
    <cfRule type="containsText" dxfId="0" priority="5046" operator="between" text="欠">
      <formula>NOT(ISERROR(SEARCH("欠",AG102)))</formula>
    </cfRule>
  </conditionalFormatting>
  <conditionalFormatting sqref="B103">
    <cfRule type="containsText" dxfId="1" priority="4073" operator="between" text="异常">
      <formula>NOT(ISERROR(SEARCH("异常",B103)))</formula>
    </cfRule>
  </conditionalFormatting>
  <conditionalFormatting sqref="C103">
    <cfRule type="containsText" dxfId="2" priority="4252" operator="between" text="二代">
      <formula>NOT(ISERROR(SEARCH("二代",C103)))</formula>
    </cfRule>
    <cfRule type="containsText" dxfId="3" priority="4431" operator="between" text="蛋糕">
      <formula>NOT(ISERROR(SEARCH("蛋糕",C103)))</formula>
    </cfRule>
  </conditionalFormatting>
  <conditionalFormatting sqref="AE103">
    <cfRule type="containsText" dxfId="0" priority="5050" operator="between" text="欠">
      <formula>NOT(ISERROR(SEARCH("欠",AE103)))</formula>
    </cfRule>
  </conditionalFormatting>
  <conditionalFormatting sqref="AG103">
    <cfRule type="containsText" dxfId="0" priority="5045" operator="between" text="欠">
      <formula>NOT(ISERROR(SEARCH("欠",AG103)))</formula>
    </cfRule>
  </conditionalFormatting>
  <conditionalFormatting sqref="B104">
    <cfRule type="containsText" dxfId="1" priority="4072" operator="between" text="异常">
      <formula>NOT(ISERROR(SEARCH("异常",B104)))</formula>
    </cfRule>
  </conditionalFormatting>
  <conditionalFormatting sqref="C104">
    <cfRule type="containsText" dxfId="2" priority="4251" operator="between" text="二代">
      <formula>NOT(ISERROR(SEARCH("二代",C104)))</formula>
    </cfRule>
    <cfRule type="containsText" dxfId="3" priority="4430" operator="between" text="蛋糕">
      <formula>NOT(ISERROR(SEARCH("蛋糕",C104)))</formula>
    </cfRule>
  </conditionalFormatting>
  <conditionalFormatting sqref="AE104">
    <cfRule type="containsText" dxfId="0" priority="5049" operator="between" text="欠">
      <formula>NOT(ISERROR(SEARCH("欠",AE104)))</formula>
    </cfRule>
  </conditionalFormatting>
  <conditionalFormatting sqref="AG104">
    <cfRule type="containsText" dxfId="0" priority="5044" operator="between" text="欠">
      <formula>NOT(ISERROR(SEARCH("欠",AG104)))</formula>
    </cfRule>
  </conditionalFormatting>
  <conditionalFormatting sqref="AH104">
    <cfRule type="containsText" dxfId="0" priority="5042" operator="between" text="欠">
      <formula>NOT(ISERROR(SEARCH("欠",AH104)))</formula>
    </cfRule>
  </conditionalFormatting>
  <conditionalFormatting sqref="B105">
    <cfRule type="containsText" dxfId="1" priority="4071" operator="between" text="异常">
      <formula>NOT(ISERROR(SEARCH("异常",B105)))</formula>
    </cfRule>
  </conditionalFormatting>
  <conditionalFormatting sqref="C105">
    <cfRule type="containsText" dxfId="2" priority="4250" operator="between" text="二代">
      <formula>NOT(ISERROR(SEARCH("二代",C105)))</formula>
    </cfRule>
    <cfRule type="containsText" dxfId="3" priority="4429" operator="between" text="蛋糕">
      <formula>NOT(ISERROR(SEARCH("蛋糕",C105)))</formula>
    </cfRule>
  </conditionalFormatting>
  <conditionalFormatting sqref="X105:Y105">
    <cfRule type="containsText" dxfId="0" priority="5078" operator="between" text="欠">
      <formula>NOT(ISERROR(SEARCH("欠",X105)))</formula>
    </cfRule>
  </conditionalFormatting>
  <conditionalFormatting sqref="AC105:AD105">
    <cfRule type="containsText" dxfId="0" priority="5071" operator="between" text="欠">
      <formula>NOT(ISERROR(SEARCH("欠",AC105)))</formula>
    </cfRule>
  </conditionalFormatting>
  <conditionalFormatting sqref="AE105">
    <cfRule type="containsText" dxfId="0" priority="5075" operator="between" text="欠">
      <formula>NOT(ISERROR(SEARCH("欠",AE105)))</formula>
    </cfRule>
  </conditionalFormatting>
  <conditionalFormatting sqref="AF105">
    <cfRule type="containsText" dxfId="0" priority="5073" operator="between" text="欠">
      <formula>NOT(ISERROR(SEARCH("欠",AF105)))</formula>
    </cfRule>
  </conditionalFormatting>
  <conditionalFormatting sqref="AG105">
    <cfRule type="containsText" dxfId="0" priority="5074" operator="between" text="欠">
      <formula>NOT(ISERROR(SEARCH("欠",AG105)))</formula>
    </cfRule>
  </conditionalFormatting>
  <conditionalFormatting sqref="AH105">
    <cfRule type="containsText" dxfId="0" priority="5070" operator="between" text="欠">
      <formula>NOT(ISERROR(SEARCH("欠",AH105)))</formula>
    </cfRule>
  </conditionalFormatting>
  <conditionalFormatting sqref="AI105">
    <cfRule type="containsText" dxfId="0" priority="5076" operator="between" text="欠">
      <formula>NOT(ISERROR(SEARCH("欠",AI105)))</formula>
    </cfRule>
  </conditionalFormatting>
  <conditionalFormatting sqref="B106">
    <cfRule type="containsText" dxfId="1" priority="4070" operator="between" text="异常">
      <formula>NOT(ISERROR(SEARCH("异常",B106)))</formula>
    </cfRule>
  </conditionalFormatting>
  <conditionalFormatting sqref="C106">
    <cfRule type="containsText" dxfId="2" priority="4249" operator="between" text="二代">
      <formula>NOT(ISERROR(SEARCH("二代",C106)))</formula>
    </cfRule>
    <cfRule type="containsText" dxfId="3" priority="4428" operator="between" text="蛋糕">
      <formula>NOT(ISERROR(SEARCH("蛋糕",C106)))</formula>
    </cfRule>
  </conditionalFormatting>
  <conditionalFormatting sqref="X106:Y106">
    <cfRule type="containsText" dxfId="0" priority="5067" operator="between" text="欠">
      <formula>NOT(ISERROR(SEARCH("欠",X106)))</formula>
    </cfRule>
  </conditionalFormatting>
  <conditionalFormatting sqref="AC106:AD106">
    <cfRule type="containsText" dxfId="0" priority="5066" operator="between" text="欠">
      <formula>NOT(ISERROR(SEARCH("欠",AC106)))</formula>
    </cfRule>
  </conditionalFormatting>
  <conditionalFormatting sqref="AE106">
    <cfRule type="containsText" dxfId="0" priority="5064" operator="between" text="欠">
      <formula>NOT(ISERROR(SEARCH("欠",AE106)))</formula>
    </cfRule>
  </conditionalFormatting>
  <conditionalFormatting sqref="AF106">
    <cfRule type="containsText" dxfId="0" priority="5069" operator="between" text="欠">
      <formula>NOT(ISERROR(SEARCH("欠",AF106)))</formula>
    </cfRule>
  </conditionalFormatting>
  <conditionalFormatting sqref="AG106">
    <cfRule type="containsText" dxfId="0" priority="5063" operator="between" text="欠">
      <formula>NOT(ISERROR(SEARCH("欠",AG106)))</formula>
    </cfRule>
  </conditionalFormatting>
  <conditionalFormatting sqref="AH106">
    <cfRule type="containsText" dxfId="0" priority="5065" operator="between" text="欠">
      <formula>NOT(ISERROR(SEARCH("欠",AH106)))</formula>
    </cfRule>
  </conditionalFormatting>
  <conditionalFormatting sqref="AI106">
    <cfRule type="containsText" dxfId="0" priority="5068" operator="between" text="欠">
      <formula>NOT(ISERROR(SEARCH("欠",AI106)))</formula>
    </cfRule>
  </conditionalFormatting>
  <conditionalFormatting sqref="B107">
    <cfRule type="containsText" dxfId="1" priority="4069" operator="between" text="异常">
      <formula>NOT(ISERROR(SEARCH("异常",B107)))</formula>
    </cfRule>
  </conditionalFormatting>
  <conditionalFormatting sqref="C107">
    <cfRule type="containsText" dxfId="2" priority="4248" operator="between" text="二代">
      <formula>NOT(ISERROR(SEARCH("二代",C107)))</formula>
    </cfRule>
    <cfRule type="containsText" dxfId="3" priority="4427" operator="between" text="蛋糕">
      <formula>NOT(ISERROR(SEARCH("蛋糕",C107)))</formula>
    </cfRule>
  </conditionalFormatting>
  <conditionalFormatting sqref="X107:Y107">
    <cfRule type="containsText" dxfId="0" priority="5040" operator="between" text="欠">
      <formula>NOT(ISERROR(SEARCH("欠",X107)))</formula>
    </cfRule>
  </conditionalFormatting>
  <conditionalFormatting sqref="Z107">
    <cfRule type="containsText" dxfId="0" priority="5041" operator="between" text="欠">
      <formula>NOT(ISERROR(SEARCH("欠",Z107)))</formula>
    </cfRule>
  </conditionalFormatting>
  <conditionalFormatting sqref="AA107:AB107">
    <cfRule type="containsText" dxfId="0" priority="5039" operator="between" text="欠">
      <formula>NOT(ISERROR(SEARCH("欠",AA107)))</formula>
    </cfRule>
  </conditionalFormatting>
  <conditionalFormatting sqref="AC107:AD107">
    <cfRule type="containsText" dxfId="0" priority="5038" operator="between" text="欠">
      <formula>NOT(ISERROR(SEARCH("欠",AC107)))</formula>
    </cfRule>
  </conditionalFormatting>
  <conditionalFormatting sqref="AE107">
    <cfRule type="containsText" dxfId="0" priority="5036" operator="between" text="欠">
      <formula>NOT(ISERROR(SEARCH("欠",AE107)))</formula>
    </cfRule>
  </conditionalFormatting>
  <conditionalFormatting sqref="AG107">
    <cfRule type="containsText" dxfId="0" priority="5035" operator="between" text="欠">
      <formula>NOT(ISERROR(SEARCH("欠",AG107)))</formula>
    </cfRule>
  </conditionalFormatting>
  <conditionalFormatting sqref="B108">
    <cfRule type="containsText" dxfId="1" priority="4068" operator="between" text="异常">
      <formula>NOT(ISERROR(SEARCH("异常",B108)))</formula>
    </cfRule>
  </conditionalFormatting>
  <conditionalFormatting sqref="C108">
    <cfRule type="containsText" dxfId="2" priority="4247" operator="between" text="二代">
      <formula>NOT(ISERROR(SEARCH("二代",C108)))</formula>
    </cfRule>
    <cfRule type="containsText" dxfId="3" priority="4426" operator="between" text="蛋糕">
      <formula>NOT(ISERROR(SEARCH("蛋糕",C108)))</formula>
    </cfRule>
  </conditionalFormatting>
  <conditionalFormatting sqref="X108">
    <cfRule type="containsText" dxfId="0" priority="5032" operator="between" text="欠">
      <formula>NOT(ISERROR(SEARCH("欠",X108)))</formula>
    </cfRule>
  </conditionalFormatting>
  <conditionalFormatting sqref="Y108">
    <cfRule type="containsText" dxfId="0" priority="5026" operator="between" text="欠">
      <formula>NOT(ISERROR(SEARCH("欠",Y108)))</formula>
    </cfRule>
  </conditionalFormatting>
  <conditionalFormatting sqref="Z108">
    <cfRule type="containsText" dxfId="0" priority="5031" operator="between" text="欠">
      <formula>NOT(ISERROR(SEARCH("欠",Z108)))</formula>
    </cfRule>
  </conditionalFormatting>
  <conditionalFormatting sqref="AA108:AB108">
    <cfRule type="containsText" dxfId="0" priority="5030" operator="between" text="欠">
      <formula>NOT(ISERROR(SEARCH("欠",AA108)))</formula>
    </cfRule>
  </conditionalFormatting>
  <conditionalFormatting sqref="AC108:AD108">
    <cfRule type="containsText" dxfId="0" priority="5029" operator="between" text="欠">
      <formula>NOT(ISERROR(SEARCH("欠",AC108)))</formula>
    </cfRule>
  </conditionalFormatting>
  <conditionalFormatting sqref="AE108">
    <cfRule type="containsText" dxfId="0" priority="5034" operator="between" text="欠">
      <formula>NOT(ISERROR(SEARCH("欠",AE108)))</formula>
    </cfRule>
  </conditionalFormatting>
  <conditionalFormatting sqref="AG108">
    <cfRule type="containsText" dxfId="0" priority="5033" operator="between" text="欠">
      <formula>NOT(ISERROR(SEARCH("欠",AG108)))</formula>
    </cfRule>
  </conditionalFormatting>
  <conditionalFormatting sqref="AH108">
    <cfRule type="containsText" dxfId="0" priority="5028" operator="between" text="欠">
      <formula>NOT(ISERROR(SEARCH("欠",AH108)))</formula>
    </cfRule>
  </conditionalFormatting>
  <conditionalFormatting sqref="B109">
    <cfRule type="containsText" dxfId="1" priority="4067" operator="between" text="异常">
      <formula>NOT(ISERROR(SEARCH("异常",B109)))</formula>
    </cfRule>
  </conditionalFormatting>
  <conditionalFormatting sqref="C109">
    <cfRule type="containsText" dxfId="2" priority="4246" operator="between" text="二代">
      <formula>NOT(ISERROR(SEARCH("二代",C109)))</formula>
    </cfRule>
    <cfRule type="containsText" dxfId="3" priority="4425" operator="between" text="蛋糕">
      <formula>NOT(ISERROR(SEARCH("蛋糕",C109)))</formula>
    </cfRule>
  </conditionalFormatting>
  <conditionalFormatting sqref="AC109">
    <cfRule type="containsText" dxfId="0" priority="5020" operator="between" text="欠">
      <formula>NOT(ISERROR(SEARCH("欠",AC109)))</formula>
    </cfRule>
  </conditionalFormatting>
  <conditionalFormatting sqref="B110">
    <cfRule type="containsText" dxfId="1" priority="4066" operator="between" text="异常">
      <formula>NOT(ISERROR(SEARCH("异常",B110)))</formula>
    </cfRule>
  </conditionalFormatting>
  <conditionalFormatting sqref="C110">
    <cfRule type="containsText" dxfId="2" priority="4245" operator="between" text="二代">
      <formula>NOT(ISERROR(SEARCH("二代",C110)))</formula>
    </cfRule>
    <cfRule type="containsText" dxfId="3" priority="4424" operator="between" text="蛋糕">
      <formula>NOT(ISERROR(SEARCH("蛋糕",C110)))</formula>
    </cfRule>
  </conditionalFormatting>
  <conditionalFormatting sqref="AC110">
    <cfRule type="containsText" dxfId="0" priority="4998" operator="between" text="欠">
      <formula>NOT(ISERROR(SEARCH("欠",AC110)))</formula>
    </cfRule>
  </conditionalFormatting>
  <conditionalFormatting sqref="AG110">
    <cfRule type="containsText" dxfId="0" priority="4991" operator="between" text="欠">
      <formula>NOT(ISERROR(SEARCH("欠",AG110)))</formula>
    </cfRule>
  </conditionalFormatting>
  <conditionalFormatting sqref="AH110">
    <cfRule type="containsText" dxfId="0" priority="4997" operator="between" text="欠">
      <formula>NOT(ISERROR(SEARCH("欠",AH110)))</formula>
    </cfRule>
  </conditionalFormatting>
  <conditionalFormatting sqref="B111">
    <cfRule type="containsText" dxfId="1" priority="4065" operator="between" text="异常">
      <formula>NOT(ISERROR(SEARCH("异常",B111)))</formula>
    </cfRule>
  </conditionalFormatting>
  <conditionalFormatting sqref="C111">
    <cfRule type="containsText" dxfId="2" priority="4244" operator="between" text="二代">
      <formula>NOT(ISERROR(SEARCH("二代",C111)))</formula>
    </cfRule>
    <cfRule type="containsText" dxfId="3" priority="4423" operator="between" text="蛋糕">
      <formula>NOT(ISERROR(SEARCH("蛋糕",C111)))</formula>
    </cfRule>
  </conditionalFormatting>
  <conditionalFormatting sqref="AC111">
    <cfRule type="containsText" dxfId="0" priority="5000" operator="between" text="欠">
      <formula>NOT(ISERROR(SEARCH("欠",AC111)))</formula>
    </cfRule>
  </conditionalFormatting>
  <conditionalFormatting sqref="AH111">
    <cfRule type="containsText" dxfId="0" priority="4999" operator="between" text="欠">
      <formula>NOT(ISERROR(SEARCH("欠",AH111)))</formula>
    </cfRule>
  </conditionalFormatting>
  <conditionalFormatting sqref="B112">
    <cfRule type="containsText" dxfId="1" priority="4064" operator="between" text="异常">
      <formula>NOT(ISERROR(SEARCH("异常",B112)))</formula>
    </cfRule>
  </conditionalFormatting>
  <conditionalFormatting sqref="C112">
    <cfRule type="containsText" dxfId="2" priority="4243" operator="between" text="二代">
      <formula>NOT(ISERROR(SEARCH("二代",C112)))</formula>
    </cfRule>
    <cfRule type="containsText" dxfId="3" priority="4422" operator="between" text="蛋糕">
      <formula>NOT(ISERROR(SEARCH("蛋糕",C112)))</formula>
    </cfRule>
  </conditionalFormatting>
  <conditionalFormatting sqref="AC112">
    <cfRule type="containsText" dxfId="0" priority="5002" operator="between" text="欠">
      <formula>NOT(ISERROR(SEARCH("欠",AC112)))</formula>
    </cfRule>
  </conditionalFormatting>
  <conditionalFormatting sqref="AH112">
    <cfRule type="containsText" dxfId="0" priority="5001" operator="between" text="欠">
      <formula>NOT(ISERROR(SEARCH("欠",AH112)))</formula>
    </cfRule>
  </conditionalFormatting>
  <conditionalFormatting sqref="B113">
    <cfRule type="containsText" dxfId="1" priority="4063" operator="between" text="异常">
      <formula>NOT(ISERROR(SEARCH("异常",B113)))</formula>
    </cfRule>
  </conditionalFormatting>
  <conditionalFormatting sqref="C113">
    <cfRule type="containsText" dxfId="2" priority="4242" operator="between" text="二代">
      <formula>NOT(ISERROR(SEARCH("二代",C113)))</formula>
    </cfRule>
    <cfRule type="containsText" dxfId="3" priority="4421" operator="between" text="蛋糕">
      <formula>NOT(ISERROR(SEARCH("蛋糕",C113)))</formula>
    </cfRule>
  </conditionalFormatting>
  <conditionalFormatting sqref="AC113">
    <cfRule type="containsText" dxfId="0" priority="5016" operator="between" text="欠">
      <formula>NOT(ISERROR(SEARCH("欠",AC113)))</formula>
    </cfRule>
  </conditionalFormatting>
  <conditionalFormatting sqref="AH113">
    <cfRule type="containsText" dxfId="0" priority="5003" operator="between" text="欠">
      <formula>NOT(ISERROR(SEARCH("欠",AH113)))</formula>
    </cfRule>
  </conditionalFormatting>
  <conditionalFormatting sqref="B114">
    <cfRule type="containsText" dxfId="1" priority="4062" operator="between" text="异常">
      <formula>NOT(ISERROR(SEARCH("异常",B114)))</formula>
    </cfRule>
  </conditionalFormatting>
  <conditionalFormatting sqref="C114">
    <cfRule type="containsText" dxfId="2" priority="4241" operator="between" text="二代">
      <formula>NOT(ISERROR(SEARCH("二代",C114)))</formula>
    </cfRule>
    <cfRule type="containsText" dxfId="3" priority="4420" operator="between" text="蛋糕">
      <formula>NOT(ISERROR(SEARCH("蛋糕",C114)))</formula>
    </cfRule>
  </conditionalFormatting>
  <conditionalFormatting sqref="AC114">
    <cfRule type="containsText" dxfId="0" priority="5005" operator="between" text="欠">
      <formula>NOT(ISERROR(SEARCH("欠",AC114)))</formula>
    </cfRule>
  </conditionalFormatting>
  <conditionalFormatting sqref="AH114">
    <cfRule type="containsText" dxfId="0" priority="5004" operator="between" text="欠">
      <formula>NOT(ISERROR(SEARCH("欠",AH114)))</formula>
    </cfRule>
  </conditionalFormatting>
  <conditionalFormatting sqref="B115">
    <cfRule type="containsText" dxfId="1" priority="4061" operator="between" text="异常">
      <formula>NOT(ISERROR(SEARCH("异常",B115)))</formula>
    </cfRule>
  </conditionalFormatting>
  <conditionalFormatting sqref="C115">
    <cfRule type="containsText" dxfId="2" priority="4240" operator="between" text="二代">
      <formula>NOT(ISERROR(SEARCH("二代",C115)))</formula>
    </cfRule>
    <cfRule type="containsText" dxfId="3" priority="4419" operator="between" text="蛋糕">
      <formula>NOT(ISERROR(SEARCH("蛋糕",C115)))</formula>
    </cfRule>
  </conditionalFormatting>
  <conditionalFormatting sqref="AC115">
    <cfRule type="containsText" dxfId="0" priority="5006" operator="between" text="欠">
      <formula>NOT(ISERROR(SEARCH("欠",AC115)))</formula>
    </cfRule>
  </conditionalFormatting>
  <conditionalFormatting sqref="B116">
    <cfRule type="containsText" dxfId="1" priority="4060" operator="between" text="异常">
      <formula>NOT(ISERROR(SEARCH("异常",B116)))</formula>
    </cfRule>
  </conditionalFormatting>
  <conditionalFormatting sqref="C116">
    <cfRule type="containsText" dxfId="2" priority="4239" operator="between" text="二代">
      <formula>NOT(ISERROR(SEARCH("二代",C116)))</formula>
    </cfRule>
    <cfRule type="containsText" dxfId="3" priority="4418" operator="between" text="蛋糕">
      <formula>NOT(ISERROR(SEARCH("蛋糕",C116)))</formula>
    </cfRule>
  </conditionalFormatting>
  <conditionalFormatting sqref="AC116">
    <cfRule type="containsText" dxfId="0" priority="5008" operator="between" text="欠">
      <formula>NOT(ISERROR(SEARCH("欠",AC116)))</formula>
    </cfRule>
  </conditionalFormatting>
  <conditionalFormatting sqref="B117">
    <cfRule type="containsText" dxfId="1" priority="4059" operator="between" text="异常">
      <formula>NOT(ISERROR(SEARCH("异常",B117)))</formula>
    </cfRule>
  </conditionalFormatting>
  <conditionalFormatting sqref="C117">
    <cfRule type="containsText" dxfId="2" priority="4238" operator="between" text="二代">
      <formula>NOT(ISERROR(SEARCH("二代",C117)))</formula>
    </cfRule>
    <cfRule type="containsText" dxfId="3" priority="4417" operator="between" text="蛋糕">
      <formula>NOT(ISERROR(SEARCH("蛋糕",C117)))</formula>
    </cfRule>
  </conditionalFormatting>
  <conditionalFormatting sqref="B118">
    <cfRule type="containsText" dxfId="1" priority="4058" operator="between" text="异常">
      <formula>NOT(ISERROR(SEARCH("异常",B118)))</formula>
    </cfRule>
  </conditionalFormatting>
  <conditionalFormatting sqref="C118">
    <cfRule type="containsText" dxfId="2" priority="4237" operator="between" text="二代">
      <formula>NOT(ISERROR(SEARCH("二代",C118)))</formula>
    </cfRule>
    <cfRule type="containsText" dxfId="3" priority="4416" operator="between" text="蛋糕">
      <formula>NOT(ISERROR(SEARCH("蛋糕",C118)))</formula>
    </cfRule>
  </conditionalFormatting>
  <conditionalFormatting sqref="AC118">
    <cfRule type="containsText" dxfId="0" priority="5011" operator="between" text="欠">
      <formula>NOT(ISERROR(SEARCH("欠",AC118)))</formula>
    </cfRule>
  </conditionalFormatting>
  <conditionalFormatting sqref="AG118">
    <cfRule type="containsText" dxfId="0" priority="4992" operator="between" text="欠">
      <formula>NOT(ISERROR(SEARCH("欠",AG118)))</formula>
    </cfRule>
  </conditionalFormatting>
  <conditionalFormatting sqref="AH118">
    <cfRule type="containsText" dxfId="0" priority="5010" operator="between" text="欠">
      <formula>NOT(ISERROR(SEARCH("欠",AH118)))</formula>
    </cfRule>
  </conditionalFormatting>
  <conditionalFormatting sqref="B119">
    <cfRule type="containsText" dxfId="1" priority="4057" operator="between" text="异常">
      <formula>NOT(ISERROR(SEARCH("异常",B119)))</formula>
    </cfRule>
  </conditionalFormatting>
  <conditionalFormatting sqref="C119">
    <cfRule type="containsText" dxfId="2" priority="4236" operator="between" text="二代">
      <formula>NOT(ISERROR(SEARCH("二代",C119)))</formula>
    </cfRule>
    <cfRule type="containsText" dxfId="3" priority="4415" operator="between" text="蛋糕">
      <formula>NOT(ISERROR(SEARCH("蛋糕",C119)))</formula>
    </cfRule>
  </conditionalFormatting>
  <conditionalFormatting sqref="AC119">
    <cfRule type="containsText" dxfId="0" priority="5013" operator="between" text="欠">
      <formula>NOT(ISERROR(SEARCH("欠",AC119)))</formula>
    </cfRule>
  </conditionalFormatting>
  <conditionalFormatting sqref="AH119">
    <cfRule type="containsText" dxfId="0" priority="5012" operator="between" text="欠">
      <formula>NOT(ISERROR(SEARCH("欠",AH119)))</formula>
    </cfRule>
  </conditionalFormatting>
  <conditionalFormatting sqref="B120">
    <cfRule type="containsText" dxfId="1" priority="4056" operator="between" text="异常">
      <formula>NOT(ISERROR(SEARCH("异常",B120)))</formula>
    </cfRule>
  </conditionalFormatting>
  <conditionalFormatting sqref="C120">
    <cfRule type="containsText" dxfId="2" priority="4235" operator="between" text="二代">
      <formula>NOT(ISERROR(SEARCH("二代",C120)))</formula>
    </cfRule>
    <cfRule type="containsText" dxfId="3" priority="4414" operator="between" text="蛋糕">
      <formula>NOT(ISERROR(SEARCH("蛋糕",C120)))</formula>
    </cfRule>
  </conditionalFormatting>
  <conditionalFormatting sqref="AC120">
    <cfRule type="containsText" dxfId="0" priority="5015" operator="between" text="欠">
      <formula>NOT(ISERROR(SEARCH("欠",AC120)))</formula>
    </cfRule>
  </conditionalFormatting>
  <conditionalFormatting sqref="AH120">
    <cfRule type="containsText" dxfId="0" priority="5014" operator="between" text="欠">
      <formula>NOT(ISERROR(SEARCH("欠",AH120)))</formula>
    </cfRule>
  </conditionalFormatting>
  <conditionalFormatting sqref="B121">
    <cfRule type="containsText" dxfId="1" priority="4055" operator="between" text="异常">
      <formula>NOT(ISERROR(SEARCH("异常",B121)))</formula>
    </cfRule>
  </conditionalFormatting>
  <conditionalFormatting sqref="C121">
    <cfRule type="containsText" dxfId="2" priority="4234" operator="between" text="二代">
      <formula>NOT(ISERROR(SEARCH("二代",C121)))</formula>
    </cfRule>
    <cfRule type="containsText" dxfId="3" priority="4413" operator="between" text="蛋糕">
      <formula>NOT(ISERROR(SEARCH("蛋糕",C121)))</formula>
    </cfRule>
  </conditionalFormatting>
  <conditionalFormatting sqref="X121">
    <cfRule type="containsText" dxfId="0" priority="4980" operator="between" text="欠">
      <formula>NOT(ISERROR(SEARCH("欠",X121)))</formula>
    </cfRule>
  </conditionalFormatting>
  <conditionalFormatting sqref="Y121">
    <cfRule type="containsText" dxfId="0" priority="4979" operator="between" text="欠">
      <formula>NOT(ISERROR(SEARCH("欠",Y121)))</formula>
    </cfRule>
  </conditionalFormatting>
  <conditionalFormatting sqref="Z121">
    <cfRule type="containsText" dxfId="0" priority="4983" operator="between" text="欠">
      <formula>NOT(ISERROR(SEARCH("欠",Z121)))</formula>
    </cfRule>
  </conditionalFormatting>
  <conditionalFormatting sqref="AA121">
    <cfRule type="containsText" dxfId="0" priority="4978" operator="between" text="欠">
      <formula>NOT(ISERROR(SEARCH("欠",AA121)))</formula>
    </cfRule>
  </conditionalFormatting>
  <conditionalFormatting sqref="AB121">
    <cfRule type="containsText" dxfId="0" priority="4977" operator="between" text="欠">
      <formula>NOT(ISERROR(SEARCH("欠",AB121)))</formula>
    </cfRule>
  </conditionalFormatting>
  <conditionalFormatting sqref="AC121:AD121">
    <cfRule type="containsText" dxfId="0" priority="4982" operator="between" text="欠">
      <formula>NOT(ISERROR(SEARCH("欠",AC121)))</formula>
    </cfRule>
  </conditionalFormatting>
  <conditionalFormatting sqref="AE121:AI121">
    <cfRule type="containsText" dxfId="0" priority="4981" operator="between" text="欠">
      <formula>NOT(ISERROR(SEARCH("欠",AE121)))</formula>
    </cfRule>
  </conditionalFormatting>
  <conditionalFormatting sqref="B122">
    <cfRule type="containsText" dxfId="1" priority="4054" operator="between" text="异常">
      <formula>NOT(ISERROR(SEARCH("异常",B122)))</formula>
    </cfRule>
  </conditionalFormatting>
  <conditionalFormatting sqref="C122">
    <cfRule type="containsText" dxfId="2" priority="4233" operator="between" text="二代">
      <formula>NOT(ISERROR(SEARCH("二代",C122)))</formula>
    </cfRule>
    <cfRule type="containsText" dxfId="3" priority="4412" operator="between" text="蛋糕">
      <formula>NOT(ISERROR(SEARCH("蛋糕",C122)))</formula>
    </cfRule>
  </conditionalFormatting>
  <conditionalFormatting sqref="X122:Y122">
    <cfRule type="containsText" dxfId="0" priority="4987" operator="between" text="欠">
      <formula>NOT(ISERROR(SEARCH("欠",X122)))</formula>
    </cfRule>
  </conditionalFormatting>
  <conditionalFormatting sqref="Z122:AB122">
    <cfRule type="containsText" dxfId="0" priority="4986" operator="between" text="欠">
      <formula>NOT(ISERROR(SEARCH("欠",Z122)))</formula>
    </cfRule>
  </conditionalFormatting>
  <conditionalFormatting sqref="AC122:AD122">
    <cfRule type="containsText" dxfId="0" priority="4985" operator="between" text="欠">
      <formula>NOT(ISERROR(SEARCH("欠",AC122)))</formula>
    </cfRule>
  </conditionalFormatting>
  <conditionalFormatting sqref="AE122:AI122">
    <cfRule type="containsText" dxfId="0" priority="4984" operator="between" text="欠">
      <formula>NOT(ISERROR(SEARCH("欠",AE122)))</formula>
    </cfRule>
  </conditionalFormatting>
  <conditionalFormatting sqref="B123">
    <cfRule type="containsText" dxfId="1" priority="4053" operator="between" text="异常">
      <formula>NOT(ISERROR(SEARCH("异常",B123)))</formula>
    </cfRule>
  </conditionalFormatting>
  <conditionalFormatting sqref="C123">
    <cfRule type="containsText" dxfId="2" priority="4232" operator="between" text="二代">
      <formula>NOT(ISERROR(SEARCH("二代",C123)))</formula>
    </cfRule>
    <cfRule type="containsText" dxfId="3" priority="4411" operator="between" text="蛋糕">
      <formula>NOT(ISERROR(SEARCH("蛋糕",C123)))</formula>
    </cfRule>
  </conditionalFormatting>
  <conditionalFormatting sqref="X123:Y123">
    <cfRule type="containsText" dxfId="0" priority="4974" operator="between" text="欠">
      <formula>NOT(ISERROR(SEARCH("欠",X123)))</formula>
    </cfRule>
  </conditionalFormatting>
  <conditionalFormatting sqref="Z123">
    <cfRule type="containsText" dxfId="0" priority="4973" operator="between" text="欠">
      <formula>NOT(ISERROR(SEARCH("欠",Z123)))</formula>
    </cfRule>
  </conditionalFormatting>
  <conditionalFormatting sqref="AA123:AB123">
    <cfRule type="containsText" dxfId="0" priority="4972" operator="between" text="欠">
      <formula>NOT(ISERROR(SEARCH("欠",AA123)))</formula>
    </cfRule>
  </conditionalFormatting>
  <conditionalFormatting sqref="AC123:AD123">
    <cfRule type="containsText" dxfId="0" priority="4971" operator="between" text="欠">
      <formula>NOT(ISERROR(SEARCH("欠",AC123)))</formula>
    </cfRule>
  </conditionalFormatting>
  <conditionalFormatting sqref="AE123">
    <cfRule type="containsText" dxfId="0" priority="4969" operator="between" text="欠">
      <formula>NOT(ISERROR(SEARCH("欠",AE123)))</formula>
    </cfRule>
  </conditionalFormatting>
  <conditionalFormatting sqref="AF123">
    <cfRule type="containsText" dxfId="0" priority="4975" operator="between" text="欠">
      <formula>NOT(ISERROR(SEARCH("欠",AF123)))</formula>
    </cfRule>
  </conditionalFormatting>
  <conditionalFormatting sqref="AG123">
    <cfRule type="containsText" dxfId="0" priority="4968" operator="between" text="欠">
      <formula>NOT(ISERROR(SEARCH("欠",AG123)))</formula>
    </cfRule>
  </conditionalFormatting>
  <conditionalFormatting sqref="AH123">
    <cfRule type="containsText" dxfId="0" priority="4970" operator="between" text="欠">
      <formula>NOT(ISERROR(SEARCH("欠",AH123)))</formula>
    </cfRule>
  </conditionalFormatting>
  <conditionalFormatting sqref="AI123">
    <cfRule type="containsText" dxfId="0" priority="4976" operator="between" text="欠">
      <formula>NOT(ISERROR(SEARCH("欠",AI123)))</formula>
    </cfRule>
  </conditionalFormatting>
  <conditionalFormatting sqref="B124">
    <cfRule type="containsText" dxfId="1" priority="4052" operator="between" text="异常">
      <formula>NOT(ISERROR(SEARCH("异常",B124)))</formula>
    </cfRule>
  </conditionalFormatting>
  <conditionalFormatting sqref="C124">
    <cfRule type="containsText" dxfId="2" priority="4231" operator="between" text="二代">
      <formula>NOT(ISERROR(SEARCH("二代",C124)))</formula>
    </cfRule>
    <cfRule type="containsText" dxfId="3" priority="4410" operator="between" text="蛋糕">
      <formula>NOT(ISERROR(SEARCH("蛋糕",C124)))</formula>
    </cfRule>
  </conditionalFormatting>
  <conditionalFormatting sqref="AB124">
    <cfRule type="containsText" dxfId="0" priority="4952" operator="between" text="欠">
      <formula>NOT(ISERROR(SEARCH("欠",AB124)))</formula>
    </cfRule>
  </conditionalFormatting>
  <conditionalFormatting sqref="AC124">
    <cfRule type="containsText" dxfId="0" priority="4957" operator="between" text="欠">
      <formula>NOT(ISERROR(SEARCH("欠",AC124)))</formula>
    </cfRule>
  </conditionalFormatting>
  <conditionalFormatting sqref="AH124">
    <cfRule type="containsText" dxfId="0" priority="4956" operator="between" text="欠">
      <formula>NOT(ISERROR(SEARCH("欠",AH124)))</formula>
    </cfRule>
  </conditionalFormatting>
  <conditionalFormatting sqref="B125">
    <cfRule type="containsText" dxfId="1" priority="4051" operator="between" text="异常">
      <formula>NOT(ISERROR(SEARCH("异常",B125)))</formula>
    </cfRule>
  </conditionalFormatting>
  <conditionalFormatting sqref="C125">
    <cfRule type="containsText" dxfId="2" priority="4230" operator="between" text="二代">
      <formula>NOT(ISERROR(SEARCH("二代",C125)))</formula>
    </cfRule>
    <cfRule type="containsText" dxfId="3" priority="4409" operator="between" text="蛋糕">
      <formula>NOT(ISERROR(SEARCH("蛋糕",C125)))</formula>
    </cfRule>
  </conditionalFormatting>
  <conditionalFormatting sqref="AB125">
    <cfRule type="containsText" dxfId="0" priority="4950" operator="between" text="欠">
      <formula>NOT(ISERROR(SEARCH("欠",AB125)))</formula>
    </cfRule>
  </conditionalFormatting>
  <conditionalFormatting sqref="AC125">
    <cfRule type="containsText" dxfId="0" priority="4959" operator="between" text="欠">
      <formula>NOT(ISERROR(SEARCH("欠",AC125)))</formula>
    </cfRule>
  </conditionalFormatting>
  <conditionalFormatting sqref="AH125">
    <cfRule type="containsText" dxfId="0" priority="4958" operator="between" text="欠">
      <formula>NOT(ISERROR(SEARCH("欠",AH125)))</formula>
    </cfRule>
  </conditionalFormatting>
  <conditionalFormatting sqref="B126">
    <cfRule type="containsText" dxfId="1" priority="4050" operator="between" text="异常">
      <formula>NOT(ISERROR(SEARCH("异常",B126)))</formula>
    </cfRule>
  </conditionalFormatting>
  <conditionalFormatting sqref="C126">
    <cfRule type="containsText" dxfId="2" priority="4229" operator="between" text="二代">
      <formula>NOT(ISERROR(SEARCH("二代",C126)))</formula>
    </cfRule>
    <cfRule type="containsText" dxfId="3" priority="4408" operator="between" text="蛋糕">
      <formula>NOT(ISERROR(SEARCH("蛋糕",C126)))</formula>
    </cfRule>
  </conditionalFormatting>
  <conditionalFormatting sqref="AB126">
    <cfRule type="containsText" dxfId="0" priority="4951" operator="between" text="欠">
      <formula>NOT(ISERROR(SEARCH("欠",AB126)))</formula>
    </cfRule>
  </conditionalFormatting>
  <conditionalFormatting sqref="AC126">
    <cfRule type="containsText" dxfId="0" priority="4961" operator="between" text="欠">
      <formula>NOT(ISERROR(SEARCH("欠",AC126)))</formula>
    </cfRule>
  </conditionalFormatting>
  <conditionalFormatting sqref="AH126">
    <cfRule type="containsText" dxfId="0" priority="4960" operator="between" text="欠">
      <formula>NOT(ISERROR(SEARCH("欠",AH126)))</formula>
    </cfRule>
  </conditionalFormatting>
  <conditionalFormatting sqref="B127">
    <cfRule type="containsText" dxfId="1" priority="4049" operator="between" text="异常">
      <formula>NOT(ISERROR(SEARCH("异常",B127)))</formula>
    </cfRule>
  </conditionalFormatting>
  <conditionalFormatting sqref="C127">
    <cfRule type="containsText" dxfId="2" priority="4228" operator="between" text="二代">
      <formula>NOT(ISERROR(SEARCH("二代",C127)))</formula>
    </cfRule>
    <cfRule type="containsText" dxfId="3" priority="4407" operator="between" text="蛋糕">
      <formula>NOT(ISERROR(SEARCH("蛋糕",C127)))</formula>
    </cfRule>
  </conditionalFormatting>
  <conditionalFormatting sqref="X127:Y127">
    <cfRule type="containsText" dxfId="0" priority="4947" operator="between" text="欠">
      <formula>NOT(ISERROR(SEARCH("欠",X127)))</formula>
    </cfRule>
  </conditionalFormatting>
  <conditionalFormatting sqref="Z127">
    <cfRule type="containsText" dxfId="0" priority="4940" operator="between" text="欠">
      <formula>NOT(ISERROR(SEARCH("欠",Z127)))</formula>
    </cfRule>
  </conditionalFormatting>
  <conditionalFormatting sqref="AA127:AB127">
    <cfRule type="containsText" dxfId="0" priority="4939" operator="between" text="欠">
      <formula>NOT(ISERROR(SEARCH("欠",AA127)))</formula>
    </cfRule>
  </conditionalFormatting>
  <conditionalFormatting sqref="AC127:AD127">
    <cfRule type="containsText" dxfId="0" priority="4946" operator="between" text="欠">
      <formula>NOT(ISERROR(SEARCH("欠",AC127)))</formula>
    </cfRule>
  </conditionalFormatting>
  <conditionalFormatting sqref="AE127">
    <cfRule type="containsText" dxfId="0" priority="4944" operator="between" text="欠">
      <formula>NOT(ISERROR(SEARCH("欠",AE127)))</formula>
    </cfRule>
  </conditionalFormatting>
  <conditionalFormatting sqref="AF127">
    <cfRule type="containsText" dxfId="0" priority="4945" operator="between" text="欠">
      <formula>NOT(ISERROR(SEARCH("欠",AF127)))</formula>
    </cfRule>
  </conditionalFormatting>
  <conditionalFormatting sqref="AG127">
    <cfRule type="containsText" dxfId="0" priority="4943" operator="between" text="欠">
      <formula>NOT(ISERROR(SEARCH("欠",AG127)))</formula>
    </cfRule>
  </conditionalFormatting>
  <conditionalFormatting sqref="AH127">
    <cfRule type="containsText" dxfId="0" priority="4942" operator="between" text="欠">
      <formula>NOT(ISERROR(SEARCH("欠",AH127)))</formula>
    </cfRule>
  </conditionalFormatting>
  <conditionalFormatting sqref="AI127">
    <cfRule type="containsText" dxfId="0" priority="4941" operator="between" text="欠">
      <formula>NOT(ISERROR(SEARCH("欠",AI127)))</formula>
    </cfRule>
  </conditionalFormatting>
  <conditionalFormatting sqref="B128">
    <cfRule type="containsText" dxfId="1" priority="4048" operator="between" text="异常">
      <formula>NOT(ISERROR(SEARCH("异常",B128)))</formula>
    </cfRule>
  </conditionalFormatting>
  <conditionalFormatting sqref="C128">
    <cfRule type="containsText" dxfId="2" priority="4227" operator="between" text="二代">
      <formula>NOT(ISERROR(SEARCH("二代",C128)))</formula>
    </cfRule>
    <cfRule type="containsText" dxfId="3" priority="4406" operator="between" text="蛋糕">
      <formula>NOT(ISERROR(SEARCH("蛋糕",C128)))</formula>
    </cfRule>
  </conditionalFormatting>
  <conditionalFormatting sqref="X128:Y128">
    <cfRule type="containsText" dxfId="0" priority="4935" operator="between" text="欠">
      <formula>NOT(ISERROR(SEARCH("欠",X128)))</formula>
    </cfRule>
  </conditionalFormatting>
  <conditionalFormatting sqref="Z128:AB128">
    <cfRule type="containsText" dxfId="0" priority="4934" operator="between" text="欠">
      <formula>NOT(ISERROR(SEARCH("欠",Z128)))</formula>
    </cfRule>
  </conditionalFormatting>
  <conditionalFormatting sqref="AC128:AD128">
    <cfRule type="containsText" dxfId="0" priority="4933" operator="between" text="欠">
      <formula>NOT(ISERROR(SEARCH("欠",AC128)))</formula>
    </cfRule>
  </conditionalFormatting>
  <conditionalFormatting sqref="AE128">
    <cfRule type="containsText" dxfId="0" priority="4932" operator="between" text="欠">
      <formula>NOT(ISERROR(SEARCH("欠",AE128)))</formula>
    </cfRule>
  </conditionalFormatting>
  <conditionalFormatting sqref="AF128">
    <cfRule type="containsText" dxfId="0" priority="4937" operator="between" text="欠">
      <formula>NOT(ISERROR(SEARCH("欠",AF128)))</formula>
    </cfRule>
  </conditionalFormatting>
  <conditionalFormatting sqref="AG128">
    <cfRule type="containsText" dxfId="0" priority="4931" operator="between" text="欠">
      <formula>NOT(ISERROR(SEARCH("欠",AG128)))</formula>
    </cfRule>
  </conditionalFormatting>
  <conditionalFormatting sqref="AH128">
    <cfRule type="containsText" dxfId="0" priority="4930" operator="between" text="欠">
      <formula>NOT(ISERROR(SEARCH("欠",AH128)))</formula>
    </cfRule>
  </conditionalFormatting>
  <conditionalFormatting sqref="AI128">
    <cfRule type="containsText" dxfId="0" priority="4936" operator="between" text="欠">
      <formula>NOT(ISERROR(SEARCH("欠",AI128)))</formula>
    </cfRule>
  </conditionalFormatting>
  <conditionalFormatting sqref="B129">
    <cfRule type="containsText" dxfId="1" priority="4047" operator="between" text="异常">
      <formula>NOT(ISERROR(SEARCH("异常",B129)))</formula>
    </cfRule>
  </conditionalFormatting>
  <conditionalFormatting sqref="C129">
    <cfRule type="containsText" dxfId="2" priority="4226" operator="between" text="二代">
      <formula>NOT(ISERROR(SEARCH("二代",C129)))</formula>
    </cfRule>
    <cfRule type="containsText" dxfId="3" priority="4405" operator="between" text="蛋糕">
      <formula>NOT(ISERROR(SEARCH("蛋糕",C129)))</formula>
    </cfRule>
  </conditionalFormatting>
  <conditionalFormatting sqref="X129:Y129">
    <cfRule type="containsText" dxfId="0" priority="4927" operator="between" text="欠">
      <formula>NOT(ISERROR(SEARCH("欠",X129)))</formula>
    </cfRule>
  </conditionalFormatting>
  <conditionalFormatting sqref="Z129:AB129">
    <cfRule type="containsText" dxfId="0" priority="4928" operator="between" text="欠">
      <formula>NOT(ISERROR(SEARCH("欠",Z129)))</formula>
    </cfRule>
  </conditionalFormatting>
  <conditionalFormatting sqref="AC129:AD129">
    <cfRule type="containsText" dxfId="0" priority="4926" operator="between" text="欠">
      <formula>NOT(ISERROR(SEARCH("欠",AC129)))</formula>
    </cfRule>
  </conditionalFormatting>
  <conditionalFormatting sqref="AE129:AI129">
    <cfRule type="containsText" dxfId="0" priority="4925" operator="between" text="欠">
      <formula>NOT(ISERROR(SEARCH("欠",AE129)))</formula>
    </cfRule>
  </conditionalFormatting>
  <conditionalFormatting sqref="B130">
    <cfRule type="containsText" dxfId="1" priority="4046" operator="between" text="异常">
      <formula>NOT(ISERROR(SEARCH("异常",B130)))</formula>
    </cfRule>
  </conditionalFormatting>
  <conditionalFormatting sqref="C130">
    <cfRule type="containsText" dxfId="2" priority="4225" operator="between" text="二代">
      <formula>NOT(ISERROR(SEARCH("二代",C130)))</formula>
    </cfRule>
    <cfRule type="containsText" dxfId="3" priority="4404" operator="between" text="蛋糕">
      <formula>NOT(ISERROR(SEARCH("蛋糕",C130)))</formula>
    </cfRule>
  </conditionalFormatting>
  <conditionalFormatting sqref="X130:Y130">
    <cfRule type="containsText" dxfId="0" priority="4923" operator="between" text="欠">
      <formula>NOT(ISERROR(SEARCH("欠",X130)))</formula>
    </cfRule>
  </conditionalFormatting>
  <conditionalFormatting sqref="Z130:AB130">
    <cfRule type="containsText" dxfId="0" priority="4922" operator="between" text="欠">
      <formula>NOT(ISERROR(SEARCH("欠",Z130)))</formula>
    </cfRule>
  </conditionalFormatting>
  <conditionalFormatting sqref="AC130:AD130">
    <cfRule type="containsText" dxfId="0" priority="4921" operator="between" text="欠">
      <formula>NOT(ISERROR(SEARCH("欠",AC130)))</formula>
    </cfRule>
  </conditionalFormatting>
  <conditionalFormatting sqref="AE130:AI130">
    <cfRule type="containsText" dxfId="0" priority="4920" operator="between" text="欠">
      <formula>NOT(ISERROR(SEARCH("欠",AE130)))</formula>
    </cfRule>
  </conditionalFormatting>
  <conditionalFormatting sqref="B131">
    <cfRule type="containsText" dxfId="1" priority="4045" operator="between" text="异常">
      <formula>NOT(ISERROR(SEARCH("异常",B131)))</formula>
    </cfRule>
  </conditionalFormatting>
  <conditionalFormatting sqref="C131">
    <cfRule type="containsText" dxfId="2" priority="4224" operator="between" text="二代">
      <formula>NOT(ISERROR(SEARCH("二代",C131)))</formula>
    </cfRule>
    <cfRule type="containsText" dxfId="3" priority="4403" operator="between" text="蛋糕">
      <formula>NOT(ISERROR(SEARCH("蛋糕",C131)))</formula>
    </cfRule>
  </conditionalFormatting>
  <conditionalFormatting sqref="X131">
    <cfRule type="containsText" dxfId="0" priority="4915" operator="between" text="欠">
      <formula>NOT(ISERROR(SEARCH("欠",X131)))</formula>
    </cfRule>
  </conditionalFormatting>
  <conditionalFormatting sqref="Y131">
    <cfRule type="containsText" dxfId="0" priority="4909" operator="between" text="欠">
      <formula>NOT(ISERROR(SEARCH("欠",Y131)))</formula>
    </cfRule>
  </conditionalFormatting>
  <conditionalFormatting sqref="Z131">
    <cfRule type="containsText" dxfId="0" priority="4914" operator="between" text="欠">
      <formula>NOT(ISERROR(SEARCH("欠",Z131)))</formula>
    </cfRule>
  </conditionalFormatting>
  <conditionalFormatting sqref="AA131:AB131">
    <cfRule type="containsText" dxfId="0" priority="4911" operator="between" text="欠">
      <formula>NOT(ISERROR(SEARCH("欠",AA131)))</formula>
    </cfRule>
  </conditionalFormatting>
  <conditionalFormatting sqref="AC131:AD131">
    <cfRule type="containsText" dxfId="0" priority="4913" operator="between" text="欠">
      <formula>NOT(ISERROR(SEARCH("欠",AC131)))</formula>
    </cfRule>
  </conditionalFormatting>
  <conditionalFormatting sqref="AE131">
    <cfRule type="containsText" dxfId="0" priority="4917" operator="between" text="欠">
      <formula>NOT(ISERROR(SEARCH("欠",AE131)))</formula>
    </cfRule>
  </conditionalFormatting>
  <conditionalFormatting sqref="AF131">
    <cfRule type="containsText" dxfId="0" priority="4918" operator="between" text="欠">
      <formula>NOT(ISERROR(SEARCH("欠",AF131)))</formula>
    </cfRule>
  </conditionalFormatting>
  <conditionalFormatting sqref="AG131">
    <cfRule type="containsText" dxfId="0" priority="4916" operator="between" text="欠">
      <formula>NOT(ISERROR(SEARCH("欠",AG131)))</formula>
    </cfRule>
  </conditionalFormatting>
  <conditionalFormatting sqref="AH131">
    <cfRule type="containsText" dxfId="0" priority="4912" operator="between" text="欠">
      <formula>NOT(ISERROR(SEARCH("欠",AH131)))</formula>
    </cfRule>
  </conditionalFormatting>
  <conditionalFormatting sqref="AI131">
    <cfRule type="containsText" dxfId="0" priority="4910" operator="between" text="欠">
      <formula>NOT(ISERROR(SEARCH("欠",AI131)))</formula>
    </cfRule>
  </conditionalFormatting>
  <conditionalFormatting sqref="B132">
    <cfRule type="containsText" dxfId="1" priority="4044" operator="between" text="异常">
      <formula>NOT(ISERROR(SEARCH("异常",B132)))</formula>
    </cfRule>
  </conditionalFormatting>
  <conditionalFormatting sqref="C132">
    <cfRule type="containsText" dxfId="2" priority="4223" operator="between" text="二代">
      <formula>NOT(ISERROR(SEARCH("二代",C132)))</formula>
    </cfRule>
    <cfRule type="containsText" dxfId="3" priority="4402" operator="between" text="蛋糕">
      <formula>NOT(ISERROR(SEARCH("蛋糕",C132)))</formula>
    </cfRule>
  </conditionalFormatting>
  <conditionalFormatting sqref="X132">
    <cfRule type="containsText" dxfId="0" priority="4904" operator="between" text="欠">
      <formula>NOT(ISERROR(SEARCH("欠",X132)))</formula>
    </cfRule>
  </conditionalFormatting>
  <conditionalFormatting sqref="Y132">
    <cfRule type="containsText" dxfId="0" priority="4898" operator="between" text="欠">
      <formula>NOT(ISERROR(SEARCH("欠",Y132)))</formula>
    </cfRule>
  </conditionalFormatting>
  <conditionalFormatting sqref="Z132">
    <cfRule type="containsText" dxfId="0" priority="4903" operator="between" text="欠">
      <formula>NOT(ISERROR(SEARCH("欠",Z132)))</formula>
    </cfRule>
  </conditionalFormatting>
  <conditionalFormatting sqref="AA132:AB132">
    <cfRule type="containsText" dxfId="0" priority="4900" operator="between" text="欠">
      <formula>NOT(ISERROR(SEARCH("欠",AA132)))</formula>
    </cfRule>
  </conditionalFormatting>
  <conditionalFormatting sqref="AC132:AD132">
    <cfRule type="containsText" dxfId="0" priority="4902" operator="between" text="欠">
      <formula>NOT(ISERROR(SEARCH("欠",AC132)))</formula>
    </cfRule>
  </conditionalFormatting>
  <conditionalFormatting sqref="AE132">
    <cfRule type="containsText" dxfId="0" priority="4906" operator="between" text="欠">
      <formula>NOT(ISERROR(SEARCH("欠",AE132)))</formula>
    </cfRule>
  </conditionalFormatting>
  <conditionalFormatting sqref="AF132">
    <cfRule type="containsText" dxfId="0" priority="4907" operator="between" text="欠">
      <formula>NOT(ISERROR(SEARCH("欠",AF132)))</formula>
    </cfRule>
  </conditionalFormatting>
  <conditionalFormatting sqref="AG132">
    <cfRule type="containsText" dxfId="0" priority="4905" operator="between" text="欠">
      <formula>NOT(ISERROR(SEARCH("欠",AG132)))</formula>
    </cfRule>
  </conditionalFormatting>
  <conditionalFormatting sqref="AH132">
    <cfRule type="containsText" dxfId="0" priority="4901" operator="between" text="欠">
      <formula>NOT(ISERROR(SEARCH("欠",AH132)))</formula>
    </cfRule>
  </conditionalFormatting>
  <conditionalFormatting sqref="AI132">
    <cfRule type="containsText" dxfId="0" priority="4899" operator="between" text="欠">
      <formula>NOT(ISERROR(SEARCH("欠",AI132)))</formula>
    </cfRule>
  </conditionalFormatting>
  <conditionalFormatting sqref="B133">
    <cfRule type="containsText" dxfId="1" priority="4043" operator="between" text="异常">
      <formula>NOT(ISERROR(SEARCH("异常",B133)))</formula>
    </cfRule>
  </conditionalFormatting>
  <conditionalFormatting sqref="C133">
    <cfRule type="containsText" dxfId="2" priority="4222" operator="between" text="二代">
      <formula>NOT(ISERROR(SEARCH("二代",C133)))</formula>
    </cfRule>
    <cfRule type="containsText" dxfId="3" priority="4401" operator="between" text="蛋糕">
      <formula>NOT(ISERROR(SEARCH("蛋糕",C133)))</formula>
    </cfRule>
  </conditionalFormatting>
  <conditionalFormatting sqref="X133:Y133">
    <cfRule type="containsText" dxfId="0" priority="4894" operator="between" text="欠">
      <formula>NOT(ISERROR(SEARCH("欠",X133)))</formula>
    </cfRule>
  </conditionalFormatting>
  <conditionalFormatting sqref="Z133:AB133">
    <cfRule type="containsText" dxfId="0" priority="4893" operator="between" text="欠">
      <formula>NOT(ISERROR(SEARCH("欠",Z133)))</formula>
    </cfRule>
  </conditionalFormatting>
  <conditionalFormatting sqref="AC133:AD133">
    <cfRule type="containsText" dxfId="0" priority="4892" operator="between" text="欠">
      <formula>NOT(ISERROR(SEARCH("欠",AC133)))</formula>
    </cfRule>
  </conditionalFormatting>
  <conditionalFormatting sqref="AE133">
    <cfRule type="containsText" dxfId="0" priority="4891" operator="between" text="欠">
      <formula>NOT(ISERROR(SEARCH("欠",AE133)))</formula>
    </cfRule>
  </conditionalFormatting>
  <conditionalFormatting sqref="AF133">
    <cfRule type="containsText" dxfId="0" priority="4896" operator="between" text="欠">
      <formula>NOT(ISERROR(SEARCH("欠",AF133)))</formula>
    </cfRule>
  </conditionalFormatting>
  <conditionalFormatting sqref="AG133">
    <cfRule type="containsText" dxfId="0" priority="4890" operator="between" text="欠">
      <formula>NOT(ISERROR(SEARCH("欠",AG133)))</formula>
    </cfRule>
  </conditionalFormatting>
  <conditionalFormatting sqref="AH133">
    <cfRule type="containsText" dxfId="0" priority="4889" operator="between" text="欠">
      <formula>NOT(ISERROR(SEARCH("欠",AH133)))</formula>
    </cfRule>
  </conditionalFormatting>
  <conditionalFormatting sqref="AI133">
    <cfRule type="containsText" dxfId="0" priority="4895" operator="between" text="欠">
      <formula>NOT(ISERROR(SEARCH("欠",AI133)))</formula>
    </cfRule>
  </conditionalFormatting>
  <conditionalFormatting sqref="B134">
    <cfRule type="containsText" dxfId="1" priority="4042" operator="between" text="异常">
      <formula>NOT(ISERROR(SEARCH("异常",B134)))</formula>
    </cfRule>
  </conditionalFormatting>
  <conditionalFormatting sqref="C134">
    <cfRule type="containsText" dxfId="2" priority="4221" operator="between" text="二代">
      <formula>NOT(ISERROR(SEARCH("二代",C134)))</formula>
    </cfRule>
    <cfRule type="containsText" dxfId="3" priority="4400" operator="between" text="蛋糕">
      <formula>NOT(ISERROR(SEARCH("蛋糕",C134)))</formula>
    </cfRule>
  </conditionalFormatting>
  <conditionalFormatting sqref="X134:Y134">
    <cfRule type="containsText" dxfId="0" priority="4885" operator="between" text="欠">
      <formula>NOT(ISERROR(SEARCH("欠",X134)))</formula>
    </cfRule>
  </conditionalFormatting>
  <conditionalFormatting sqref="Z134:AB134">
    <cfRule type="containsText" dxfId="0" priority="4884" operator="between" text="欠">
      <formula>NOT(ISERROR(SEARCH("欠",Z134)))</formula>
    </cfRule>
  </conditionalFormatting>
  <conditionalFormatting sqref="AC134:AD134">
    <cfRule type="containsText" dxfId="0" priority="4883" operator="between" text="欠">
      <formula>NOT(ISERROR(SEARCH("欠",AC134)))</formula>
    </cfRule>
  </conditionalFormatting>
  <conditionalFormatting sqref="AE134">
    <cfRule type="containsText" dxfId="0" priority="4882" operator="between" text="欠">
      <formula>NOT(ISERROR(SEARCH("欠",AE134)))</formula>
    </cfRule>
  </conditionalFormatting>
  <conditionalFormatting sqref="AF134">
    <cfRule type="containsText" dxfId="0" priority="4887" operator="between" text="欠">
      <formula>NOT(ISERROR(SEARCH("欠",AF134)))</formula>
    </cfRule>
  </conditionalFormatting>
  <conditionalFormatting sqref="AG134">
    <cfRule type="containsText" dxfId="0" priority="4881" operator="between" text="欠">
      <formula>NOT(ISERROR(SEARCH("欠",AG134)))</formula>
    </cfRule>
  </conditionalFormatting>
  <conditionalFormatting sqref="AH134">
    <cfRule type="containsText" dxfId="0" priority="4880" operator="between" text="欠">
      <formula>NOT(ISERROR(SEARCH("欠",AH134)))</formula>
    </cfRule>
  </conditionalFormatting>
  <conditionalFormatting sqref="AI134">
    <cfRule type="containsText" dxfId="0" priority="4886" operator="between" text="欠">
      <formula>NOT(ISERROR(SEARCH("欠",AI134)))</formula>
    </cfRule>
  </conditionalFormatting>
  <conditionalFormatting sqref="B135">
    <cfRule type="containsText" dxfId="1" priority="4041" operator="between" text="异常">
      <formula>NOT(ISERROR(SEARCH("异常",B135)))</formula>
    </cfRule>
  </conditionalFormatting>
  <conditionalFormatting sqref="C135">
    <cfRule type="containsText" dxfId="2" priority="4220" operator="between" text="二代">
      <formula>NOT(ISERROR(SEARCH("二代",C135)))</formula>
    </cfRule>
    <cfRule type="containsText" dxfId="3" priority="4399" operator="between" text="蛋糕">
      <formula>NOT(ISERROR(SEARCH("蛋糕",C135)))</formula>
    </cfRule>
  </conditionalFormatting>
  <conditionalFormatting sqref="X135:Y135">
    <cfRule type="containsText" dxfId="0" priority="4877" operator="between" text="欠">
      <formula>NOT(ISERROR(SEARCH("欠",X135)))</formula>
    </cfRule>
  </conditionalFormatting>
  <conditionalFormatting sqref="Z135">
    <cfRule type="containsText" dxfId="0" priority="4878" operator="between" text="欠">
      <formula>NOT(ISERROR(SEARCH("欠",Z135)))</formula>
    </cfRule>
  </conditionalFormatting>
  <conditionalFormatting sqref="AA135:AB135">
    <cfRule type="containsText" dxfId="0" priority="4876" operator="between" text="欠">
      <formula>NOT(ISERROR(SEARCH("欠",AA135)))</formula>
    </cfRule>
  </conditionalFormatting>
  <conditionalFormatting sqref="AC135:AD135">
    <cfRule type="containsText" dxfId="0" priority="4875" operator="between" text="欠">
      <formula>NOT(ISERROR(SEARCH("欠",AC135)))</formula>
    </cfRule>
  </conditionalFormatting>
  <conditionalFormatting sqref="AE135">
    <cfRule type="containsText" dxfId="0" priority="4873" operator="between" text="欠">
      <formula>NOT(ISERROR(SEARCH("欠",AE135)))</formula>
    </cfRule>
  </conditionalFormatting>
  <conditionalFormatting sqref="AG135">
    <cfRule type="containsText" dxfId="0" priority="4872" operator="between" text="欠">
      <formula>NOT(ISERROR(SEARCH("欠",AG135)))</formula>
    </cfRule>
  </conditionalFormatting>
  <conditionalFormatting sqref="AI135">
    <cfRule type="containsText" dxfId="0" priority="4871" operator="between" text="欠">
      <formula>NOT(ISERROR(SEARCH("欠",AI135)))</formula>
    </cfRule>
  </conditionalFormatting>
  <conditionalFormatting sqref="B136">
    <cfRule type="containsText" dxfId="1" priority="4040" operator="between" text="异常">
      <formula>NOT(ISERROR(SEARCH("异常",B136)))</formula>
    </cfRule>
  </conditionalFormatting>
  <conditionalFormatting sqref="C136">
    <cfRule type="containsText" dxfId="2" priority="4219" operator="between" text="二代">
      <formula>NOT(ISERROR(SEARCH("二代",C136)))</formula>
    </cfRule>
    <cfRule type="containsText" dxfId="3" priority="4398" operator="between" text="蛋糕">
      <formula>NOT(ISERROR(SEARCH("蛋糕",C136)))</formula>
    </cfRule>
  </conditionalFormatting>
  <conditionalFormatting sqref="B137">
    <cfRule type="containsText" dxfId="1" priority="4039" operator="between" text="异常">
      <formula>NOT(ISERROR(SEARCH("异常",B137)))</formula>
    </cfRule>
  </conditionalFormatting>
  <conditionalFormatting sqref="C137">
    <cfRule type="containsText" dxfId="2" priority="4218" operator="between" text="二代">
      <formula>NOT(ISERROR(SEARCH("二代",C137)))</formula>
    </cfRule>
    <cfRule type="containsText" dxfId="3" priority="4397" operator="between" text="蛋糕">
      <formula>NOT(ISERROR(SEARCH("蛋糕",C137)))</formula>
    </cfRule>
  </conditionalFormatting>
  <conditionalFormatting sqref="AC137">
    <cfRule type="containsText" dxfId="0" priority="4863" operator="between" text="欠">
      <formula>NOT(ISERROR(SEARCH("欠",AC137)))</formula>
    </cfRule>
  </conditionalFormatting>
  <conditionalFormatting sqref="AH137:AI137">
    <cfRule type="containsText" dxfId="0" priority="4862" operator="between" text="欠">
      <formula>NOT(ISERROR(SEARCH("欠",AH137)))</formula>
    </cfRule>
  </conditionalFormatting>
  <conditionalFormatting sqref="B138">
    <cfRule type="containsText" dxfId="1" priority="4038" operator="between" text="异常">
      <formula>NOT(ISERROR(SEARCH("异常",B138)))</formula>
    </cfRule>
  </conditionalFormatting>
  <conditionalFormatting sqref="C138">
    <cfRule type="containsText" dxfId="2" priority="4217" operator="between" text="二代">
      <formula>NOT(ISERROR(SEARCH("二代",C138)))</formula>
    </cfRule>
    <cfRule type="containsText" dxfId="3" priority="4396" operator="between" text="蛋糕">
      <formula>NOT(ISERROR(SEARCH("蛋糕",C138)))</formula>
    </cfRule>
  </conditionalFormatting>
  <conditionalFormatting sqref="AC138">
    <cfRule type="containsText" dxfId="0" priority="4865" operator="between" text="欠">
      <formula>NOT(ISERROR(SEARCH("欠",AC138)))</formula>
    </cfRule>
  </conditionalFormatting>
  <conditionalFormatting sqref="AH138">
    <cfRule type="containsText" dxfId="0" priority="4864" operator="between" text="欠">
      <formula>NOT(ISERROR(SEARCH("欠",AH138)))</formula>
    </cfRule>
  </conditionalFormatting>
  <conditionalFormatting sqref="AI138">
    <cfRule type="containsText" dxfId="0" priority="4859" operator="between" text="欠">
      <formula>NOT(ISERROR(SEARCH("欠",AI138)))</formula>
    </cfRule>
  </conditionalFormatting>
  <conditionalFormatting sqref="B139">
    <cfRule type="containsText" dxfId="1" priority="4037" operator="between" text="异常">
      <formula>NOT(ISERROR(SEARCH("异常",B139)))</formula>
    </cfRule>
  </conditionalFormatting>
  <conditionalFormatting sqref="C139">
    <cfRule type="containsText" dxfId="2" priority="4216" operator="between" text="二代">
      <formula>NOT(ISERROR(SEARCH("二代",C139)))</formula>
    </cfRule>
    <cfRule type="containsText" dxfId="3" priority="4395" operator="between" text="蛋糕">
      <formula>NOT(ISERROR(SEARCH("蛋糕",C139)))</formula>
    </cfRule>
  </conditionalFormatting>
  <conditionalFormatting sqref="X139">
    <cfRule type="containsText" dxfId="0" priority="4849" operator="between" text="欠">
      <formula>NOT(ISERROR(SEARCH("欠",X139)))</formula>
    </cfRule>
  </conditionalFormatting>
  <conditionalFormatting sqref="Y139">
    <cfRule type="containsText" dxfId="0" priority="4847" operator="between" text="欠">
      <formula>NOT(ISERROR(SEARCH("欠",Y139)))</formula>
    </cfRule>
  </conditionalFormatting>
  <conditionalFormatting sqref="Z139:AB139">
    <cfRule type="containsText" dxfId="0" priority="4853" operator="between" text="欠">
      <formula>NOT(ISERROR(SEARCH("欠",Z139)))</formula>
    </cfRule>
  </conditionalFormatting>
  <conditionalFormatting sqref="AC139">
    <cfRule type="containsText" dxfId="0" priority="4854" operator="between" text="欠">
      <formula>NOT(ISERROR(SEARCH("欠",AC139)))</formula>
    </cfRule>
  </conditionalFormatting>
  <conditionalFormatting sqref="AD139">
    <cfRule type="containsText" dxfId="0" priority="4855" operator="between" text="欠">
      <formula>NOT(ISERROR(SEARCH("欠",AD139)))</formula>
    </cfRule>
  </conditionalFormatting>
  <conditionalFormatting sqref="AE139">
    <cfRule type="containsText" dxfId="0" priority="4846" operator="between" text="欠">
      <formula>NOT(ISERROR(SEARCH("欠",AE139)))</formula>
    </cfRule>
  </conditionalFormatting>
  <conditionalFormatting sqref="AF139">
    <cfRule type="containsText" dxfId="0" priority="4850" operator="between" text="欠">
      <formula>NOT(ISERROR(SEARCH("欠",AF139)))</formula>
    </cfRule>
  </conditionalFormatting>
  <conditionalFormatting sqref="AG139">
    <cfRule type="containsText" dxfId="0" priority="4845" operator="between" text="欠">
      <formula>NOT(ISERROR(SEARCH("欠",AG139)))</formula>
    </cfRule>
  </conditionalFormatting>
  <conditionalFormatting sqref="AH139">
    <cfRule type="containsText" dxfId="0" priority="4848" operator="between" text="欠">
      <formula>NOT(ISERROR(SEARCH("欠",AH139)))</formula>
    </cfRule>
  </conditionalFormatting>
  <conditionalFormatting sqref="AI139">
    <cfRule type="containsText" dxfId="0" priority="4851" operator="between" text="欠">
      <formula>NOT(ISERROR(SEARCH("欠",AI139)))</formula>
    </cfRule>
  </conditionalFormatting>
  <conditionalFormatting sqref="B140">
    <cfRule type="containsText" dxfId="1" priority="4036" operator="between" text="异常">
      <formula>NOT(ISERROR(SEARCH("异常",B140)))</formula>
    </cfRule>
  </conditionalFormatting>
  <conditionalFormatting sqref="C140">
    <cfRule type="containsText" dxfId="2" priority="4215" operator="between" text="二代">
      <formula>NOT(ISERROR(SEARCH("二代",C140)))</formula>
    </cfRule>
    <cfRule type="containsText" dxfId="3" priority="4394" operator="between" text="蛋糕">
      <formula>NOT(ISERROR(SEARCH("蛋糕",C140)))</formula>
    </cfRule>
  </conditionalFormatting>
  <conditionalFormatting sqref="AC140">
    <cfRule type="containsText" dxfId="0" priority="4836" operator="between" text="欠">
      <formula>NOT(ISERROR(SEARCH("欠",AC140)))</formula>
    </cfRule>
  </conditionalFormatting>
  <conditionalFormatting sqref="AH140">
    <cfRule type="containsText" dxfId="0" priority="4835" operator="between" text="欠">
      <formula>NOT(ISERROR(SEARCH("欠",AH140)))</formula>
    </cfRule>
  </conditionalFormatting>
  <conditionalFormatting sqref="AI140">
    <cfRule type="containsText" dxfId="0" priority="4832" operator="between" text="欠">
      <formula>NOT(ISERROR(SEARCH("欠",AI140)))</formula>
    </cfRule>
  </conditionalFormatting>
  <conditionalFormatting sqref="B141">
    <cfRule type="containsText" dxfId="1" priority="4035" operator="between" text="异常">
      <formula>NOT(ISERROR(SEARCH("异常",B141)))</formula>
    </cfRule>
  </conditionalFormatting>
  <conditionalFormatting sqref="C141">
    <cfRule type="containsText" dxfId="2" priority="4214" operator="between" text="二代">
      <formula>NOT(ISERROR(SEARCH("二代",C141)))</formula>
    </cfRule>
    <cfRule type="containsText" dxfId="3" priority="4393" operator="between" text="蛋糕">
      <formula>NOT(ISERROR(SEARCH("蛋糕",C141)))</formula>
    </cfRule>
  </conditionalFormatting>
  <conditionalFormatting sqref="AC141">
    <cfRule type="containsText" dxfId="0" priority="4838" operator="between" text="欠">
      <formula>NOT(ISERROR(SEARCH("欠",AC141)))</formula>
    </cfRule>
  </conditionalFormatting>
  <conditionalFormatting sqref="AH141:AI141">
    <cfRule type="containsText" dxfId="0" priority="4837" operator="between" text="欠">
      <formula>NOT(ISERROR(SEARCH("欠",AH141)))</formula>
    </cfRule>
  </conditionalFormatting>
  <conditionalFormatting sqref="B142">
    <cfRule type="containsText" dxfId="1" priority="4034" operator="between" text="异常">
      <formula>NOT(ISERROR(SEARCH("异常",B142)))</formula>
    </cfRule>
  </conditionalFormatting>
  <conditionalFormatting sqref="C142">
    <cfRule type="containsText" dxfId="2" priority="4213" operator="between" text="二代">
      <formula>NOT(ISERROR(SEARCH("二代",C142)))</formula>
    </cfRule>
    <cfRule type="containsText" dxfId="3" priority="4392" operator="between" text="蛋糕">
      <formula>NOT(ISERROR(SEARCH("蛋糕",C142)))</formula>
    </cfRule>
  </conditionalFormatting>
  <conditionalFormatting sqref="AB142">
    <cfRule type="containsText" dxfId="0" priority="4831" operator="between" text="欠">
      <formula>NOT(ISERROR(SEARCH("欠",AB142)))</formula>
    </cfRule>
  </conditionalFormatting>
  <conditionalFormatting sqref="AC142">
    <cfRule type="containsText" dxfId="0" priority="4844" operator="between" text="欠">
      <formula>NOT(ISERROR(SEARCH("欠",AC142)))</formula>
    </cfRule>
  </conditionalFormatting>
  <conditionalFormatting sqref="AH142:AI142">
    <cfRule type="containsText" dxfId="0" priority="4843" operator="between" text="欠">
      <formula>NOT(ISERROR(SEARCH("欠",AH142)))</formula>
    </cfRule>
  </conditionalFormatting>
  <conditionalFormatting sqref="B143">
    <cfRule type="containsText" dxfId="1" priority="4033" operator="between" text="异常">
      <formula>NOT(ISERROR(SEARCH("异常",B143)))</formula>
    </cfRule>
  </conditionalFormatting>
  <conditionalFormatting sqref="C143">
    <cfRule type="containsText" dxfId="2" priority="4212" operator="between" text="二代">
      <formula>NOT(ISERROR(SEARCH("二代",C143)))</formula>
    </cfRule>
    <cfRule type="containsText" dxfId="3" priority="4391" operator="between" text="蛋糕">
      <formula>NOT(ISERROR(SEARCH("蛋糕",C143)))</formula>
    </cfRule>
  </conditionalFormatting>
  <conditionalFormatting sqref="X143">
    <cfRule type="containsText" dxfId="0" priority="4828" operator="between" text="欠">
      <formula>NOT(ISERROR(SEARCH("欠",X143)))</formula>
    </cfRule>
  </conditionalFormatting>
  <conditionalFormatting sqref="Y143">
    <cfRule type="containsText" dxfId="0" priority="4819" operator="between" text="欠">
      <formula>NOT(ISERROR(SEARCH("欠",Y143)))</formula>
    </cfRule>
  </conditionalFormatting>
  <conditionalFormatting sqref="Z143">
    <cfRule type="containsText" dxfId="0" priority="4827" operator="between" text="欠">
      <formula>NOT(ISERROR(SEARCH("欠",Z143)))</formula>
    </cfRule>
  </conditionalFormatting>
  <conditionalFormatting sqref="AA143:AB143">
    <cfRule type="containsText" dxfId="0" priority="4822" operator="between" text="欠">
      <formula>NOT(ISERROR(SEARCH("欠",AA143)))</formula>
    </cfRule>
  </conditionalFormatting>
  <conditionalFormatting sqref="AC143:AD143">
    <cfRule type="containsText" dxfId="0" priority="4821" operator="between" text="欠">
      <formula>NOT(ISERROR(SEARCH("欠",AC143)))</formula>
    </cfRule>
  </conditionalFormatting>
  <conditionalFormatting sqref="AE143">
    <cfRule type="containsText" dxfId="0" priority="4824" operator="between" text="欠">
      <formula>NOT(ISERROR(SEARCH("欠",AE143)))</formula>
    </cfRule>
  </conditionalFormatting>
  <conditionalFormatting sqref="AF143">
    <cfRule type="containsText" dxfId="0" priority="4826" operator="between" text="欠">
      <formula>NOT(ISERROR(SEARCH("欠",AF143)))</formula>
    </cfRule>
  </conditionalFormatting>
  <conditionalFormatting sqref="AG143">
    <cfRule type="containsText" dxfId="0" priority="4823" operator="between" text="欠">
      <formula>NOT(ISERROR(SEARCH("欠",AG143)))</formula>
    </cfRule>
  </conditionalFormatting>
  <conditionalFormatting sqref="AH143">
    <cfRule type="containsText" dxfId="0" priority="4820" operator="between" text="欠">
      <formula>NOT(ISERROR(SEARCH("欠",AH143)))</formula>
    </cfRule>
  </conditionalFormatting>
  <conditionalFormatting sqref="AI143">
    <cfRule type="containsText" dxfId="0" priority="4825" operator="between" text="欠">
      <formula>NOT(ISERROR(SEARCH("欠",AI143)))</formula>
    </cfRule>
  </conditionalFormatting>
  <conditionalFormatting sqref="B144">
    <cfRule type="containsText" dxfId="1" priority="4032" operator="between" text="异常">
      <formula>NOT(ISERROR(SEARCH("异常",B144)))</formula>
    </cfRule>
  </conditionalFormatting>
  <conditionalFormatting sqref="C144">
    <cfRule type="containsText" dxfId="2" priority="4211" operator="between" text="二代">
      <formula>NOT(ISERROR(SEARCH("二代",C144)))</formula>
    </cfRule>
    <cfRule type="containsText" dxfId="3" priority="4390" operator="between" text="蛋糕">
      <formula>NOT(ISERROR(SEARCH("蛋糕",C144)))</formula>
    </cfRule>
  </conditionalFormatting>
  <conditionalFormatting sqref="X144">
    <cfRule type="containsText" dxfId="0" priority="4816" operator="between" text="欠">
      <formula>NOT(ISERROR(SEARCH("欠",X144)))</formula>
    </cfRule>
  </conditionalFormatting>
  <conditionalFormatting sqref="Y144">
    <cfRule type="containsText" dxfId="0" priority="4812" operator="between" text="欠">
      <formula>NOT(ISERROR(SEARCH("欠",Y144)))</formula>
    </cfRule>
  </conditionalFormatting>
  <conditionalFormatting sqref="Z144">
    <cfRule type="containsText" dxfId="0" priority="4815" operator="between" text="欠">
      <formula>NOT(ISERROR(SEARCH("欠",Z144)))</formula>
    </cfRule>
  </conditionalFormatting>
  <conditionalFormatting sqref="AA144:AB144">
    <cfRule type="containsText" dxfId="0" priority="4817" operator="between" text="欠">
      <formula>NOT(ISERROR(SEARCH("欠",AA144)))</formula>
    </cfRule>
  </conditionalFormatting>
  <conditionalFormatting sqref="AC144:AD144">
    <cfRule type="containsText" dxfId="0" priority="4814" operator="between" text="欠">
      <formula>NOT(ISERROR(SEARCH("欠",AC144)))</formula>
    </cfRule>
  </conditionalFormatting>
  <conditionalFormatting sqref="AE144:AI144">
    <cfRule type="containsText" dxfId="0" priority="4813" operator="between" text="欠">
      <formula>NOT(ISERROR(SEARCH("欠",AE144)))</formula>
    </cfRule>
  </conditionalFormatting>
  <conditionalFormatting sqref="B145">
    <cfRule type="containsText" dxfId="1" priority="4031" operator="between" text="异常">
      <formula>NOT(ISERROR(SEARCH("异常",B145)))</formula>
    </cfRule>
  </conditionalFormatting>
  <conditionalFormatting sqref="C145">
    <cfRule type="containsText" dxfId="2" priority="4210" operator="between" text="二代">
      <formula>NOT(ISERROR(SEARCH("二代",C145)))</formula>
    </cfRule>
    <cfRule type="containsText" dxfId="3" priority="4389" operator="between" text="蛋糕">
      <formula>NOT(ISERROR(SEARCH("蛋糕",C145)))</formula>
    </cfRule>
  </conditionalFormatting>
  <conditionalFormatting sqref="X145">
    <cfRule type="containsText" dxfId="0" priority="4810" operator="between" text="欠">
      <formula>NOT(ISERROR(SEARCH("欠",X145)))</formula>
    </cfRule>
  </conditionalFormatting>
  <conditionalFormatting sqref="Y145">
    <cfRule type="containsText" dxfId="0" priority="4801" operator="between" text="欠">
      <formula>NOT(ISERROR(SEARCH("欠",Y145)))</formula>
    </cfRule>
  </conditionalFormatting>
  <conditionalFormatting sqref="Z145">
    <cfRule type="containsText" dxfId="0" priority="4809" operator="between" text="欠">
      <formula>NOT(ISERROR(SEARCH("欠",Z145)))</formula>
    </cfRule>
  </conditionalFormatting>
  <conditionalFormatting sqref="AA145:AB145">
    <cfRule type="containsText" dxfId="0" priority="4805" operator="between" text="欠">
      <formula>NOT(ISERROR(SEARCH("欠",AA145)))</formula>
    </cfRule>
  </conditionalFormatting>
  <conditionalFormatting sqref="AC145:AD145">
    <cfRule type="containsText" dxfId="0" priority="4804" operator="between" text="欠">
      <formula>NOT(ISERROR(SEARCH("欠",AC145)))</formula>
    </cfRule>
  </conditionalFormatting>
  <conditionalFormatting sqref="AE145">
    <cfRule type="containsText" dxfId="0" priority="4807" operator="between" text="欠">
      <formula>NOT(ISERROR(SEARCH("欠",AE145)))</formula>
    </cfRule>
  </conditionalFormatting>
  <conditionalFormatting sqref="AF145">
    <cfRule type="containsText" dxfId="0" priority="4808" operator="between" text="欠">
      <formula>NOT(ISERROR(SEARCH("欠",AF145)))</formula>
    </cfRule>
  </conditionalFormatting>
  <conditionalFormatting sqref="AG145">
    <cfRule type="containsText" dxfId="0" priority="4806" operator="between" text="欠">
      <formula>NOT(ISERROR(SEARCH("欠",AG145)))</formula>
    </cfRule>
  </conditionalFormatting>
  <conditionalFormatting sqref="AH145">
    <cfRule type="containsText" dxfId="0" priority="4802" operator="between" text="欠">
      <formula>NOT(ISERROR(SEARCH("欠",AH145)))</formula>
    </cfRule>
  </conditionalFormatting>
  <conditionalFormatting sqref="AI145">
    <cfRule type="containsText" dxfId="0" priority="4803" operator="between" text="欠">
      <formula>NOT(ISERROR(SEARCH("欠",AI145)))</formula>
    </cfRule>
  </conditionalFormatting>
  <conditionalFormatting sqref="B146">
    <cfRule type="containsText" dxfId="1" priority="4030" operator="between" text="异常">
      <formula>NOT(ISERROR(SEARCH("异常",B146)))</formula>
    </cfRule>
  </conditionalFormatting>
  <conditionalFormatting sqref="C146">
    <cfRule type="containsText" dxfId="2" priority="4209" operator="between" text="二代">
      <formula>NOT(ISERROR(SEARCH("二代",C146)))</formula>
    </cfRule>
    <cfRule type="containsText" dxfId="3" priority="4388" operator="between" text="蛋糕">
      <formula>NOT(ISERROR(SEARCH("蛋糕",C146)))</formula>
    </cfRule>
  </conditionalFormatting>
  <conditionalFormatting sqref="X146">
    <cfRule type="containsText" dxfId="0" priority="4798" operator="between" text="欠">
      <formula>NOT(ISERROR(SEARCH("欠",X146)))</formula>
    </cfRule>
  </conditionalFormatting>
  <conditionalFormatting sqref="Y146">
    <cfRule type="containsText" dxfId="0" priority="4794" operator="between" text="欠">
      <formula>NOT(ISERROR(SEARCH("欠",Y146)))</formula>
    </cfRule>
  </conditionalFormatting>
  <conditionalFormatting sqref="Z146:AA146">
    <cfRule type="containsText" dxfId="0" priority="4793" operator="between" text="欠">
      <formula>NOT(ISERROR(SEARCH("欠",Z146)))</formula>
    </cfRule>
  </conditionalFormatting>
  <conditionalFormatting sqref="AB146">
    <cfRule type="containsText" dxfId="0" priority="4797" operator="between" text="欠">
      <formula>NOT(ISERROR(SEARCH("欠",AB146)))</formula>
    </cfRule>
  </conditionalFormatting>
  <conditionalFormatting sqref="AC146:AD146">
    <cfRule type="containsText" dxfId="0" priority="4796" operator="between" text="欠">
      <formula>NOT(ISERROR(SEARCH("欠",AC146)))</formula>
    </cfRule>
  </conditionalFormatting>
  <conditionalFormatting sqref="AE146">
    <cfRule type="containsText" dxfId="0" priority="4792" operator="between" text="欠">
      <formula>NOT(ISERROR(SEARCH("欠",AE146)))</formula>
    </cfRule>
  </conditionalFormatting>
  <conditionalFormatting sqref="AF146">
    <cfRule type="containsText" dxfId="0" priority="4799" operator="between" text="欠">
      <formula>NOT(ISERROR(SEARCH("欠",AF146)))</formula>
    </cfRule>
  </conditionalFormatting>
  <conditionalFormatting sqref="AG146">
    <cfRule type="containsText" dxfId="0" priority="4791" operator="between" text="欠">
      <formula>NOT(ISERROR(SEARCH("欠",AG146)))</formula>
    </cfRule>
  </conditionalFormatting>
  <conditionalFormatting sqref="AH146:AI146">
    <cfRule type="containsText" dxfId="0" priority="4795" operator="between" text="欠">
      <formula>NOT(ISERROR(SEARCH("欠",AH146)))</formula>
    </cfRule>
  </conditionalFormatting>
  <conditionalFormatting sqref="B147">
    <cfRule type="containsText" dxfId="1" priority="4029" operator="between" text="异常">
      <formula>NOT(ISERROR(SEARCH("异常",B147)))</formula>
    </cfRule>
  </conditionalFormatting>
  <conditionalFormatting sqref="C147">
    <cfRule type="containsText" dxfId="2" priority="4208" operator="between" text="二代">
      <formula>NOT(ISERROR(SEARCH("二代",C147)))</formula>
    </cfRule>
    <cfRule type="containsText" dxfId="3" priority="4387" operator="between" text="蛋糕">
      <formula>NOT(ISERROR(SEARCH("蛋糕",C147)))</formula>
    </cfRule>
  </conditionalFormatting>
  <conditionalFormatting sqref="X147:Y147">
    <cfRule type="containsText" dxfId="0" priority="4786" operator="between" text="欠">
      <formula>NOT(ISERROR(SEARCH("欠",X147)))</formula>
    </cfRule>
  </conditionalFormatting>
  <conditionalFormatting sqref="Z147">
    <cfRule type="containsText" dxfId="0" priority="4789" operator="between" text="欠">
      <formula>NOT(ISERROR(SEARCH("欠",Z147)))</formula>
    </cfRule>
  </conditionalFormatting>
  <conditionalFormatting sqref="AA147:AB147">
    <cfRule type="containsText" dxfId="0" priority="4784" operator="between" text="欠">
      <formula>NOT(ISERROR(SEARCH("欠",AA147)))</formula>
    </cfRule>
  </conditionalFormatting>
  <conditionalFormatting sqref="AC147">
    <cfRule type="containsText" dxfId="0" priority="4781" operator="between" text="欠">
      <formula>NOT(ISERROR(SEARCH("欠",AC147)))</formula>
    </cfRule>
  </conditionalFormatting>
  <conditionalFormatting sqref="AD147">
    <cfRule type="containsText" dxfId="0" priority="4782" operator="between" text="欠">
      <formula>NOT(ISERROR(SEARCH("欠",AD147)))</formula>
    </cfRule>
  </conditionalFormatting>
  <conditionalFormatting sqref="AE147:AG147">
    <cfRule type="containsText" dxfId="0" priority="4787" operator="between" text="欠">
      <formula>NOT(ISERROR(SEARCH("欠",AE147)))</formula>
    </cfRule>
  </conditionalFormatting>
  <conditionalFormatting sqref="AH147">
    <cfRule type="containsText" dxfId="0" priority="4785" operator="between" text="欠">
      <formula>NOT(ISERROR(SEARCH("欠",AH147)))</formula>
    </cfRule>
  </conditionalFormatting>
  <conditionalFormatting sqref="AI147">
    <cfRule type="containsText" dxfId="0" priority="4788" operator="between" text="欠">
      <formula>NOT(ISERROR(SEARCH("欠",AI147)))</formula>
    </cfRule>
  </conditionalFormatting>
  <conditionalFormatting sqref="B148">
    <cfRule type="containsText" dxfId="1" priority="4028" operator="between" text="异常">
      <formula>NOT(ISERROR(SEARCH("异常",B148)))</formula>
    </cfRule>
  </conditionalFormatting>
  <conditionalFormatting sqref="C148">
    <cfRule type="containsText" dxfId="2" priority="4207" operator="between" text="二代">
      <formula>NOT(ISERROR(SEARCH("二代",C148)))</formula>
    </cfRule>
    <cfRule type="containsText" dxfId="3" priority="4386" operator="between" text="蛋糕">
      <formula>NOT(ISERROR(SEARCH("蛋糕",C148)))</formula>
    </cfRule>
  </conditionalFormatting>
  <conditionalFormatting sqref="X148">
    <cfRule type="containsText" dxfId="0" priority="4780" operator="between" text="欠">
      <formula>NOT(ISERROR(SEARCH("欠",X148)))</formula>
    </cfRule>
  </conditionalFormatting>
  <conditionalFormatting sqref="Y148">
    <cfRule type="containsText" dxfId="0" priority="4771" operator="between" text="欠">
      <formula>NOT(ISERROR(SEARCH("欠",Y148)))</formula>
    </cfRule>
  </conditionalFormatting>
  <conditionalFormatting sqref="Z148">
    <cfRule type="containsText" dxfId="0" priority="4779" operator="between" text="欠">
      <formula>NOT(ISERROR(SEARCH("欠",Z148)))</formula>
    </cfRule>
  </conditionalFormatting>
  <conditionalFormatting sqref="AA148:AB148">
    <cfRule type="containsText" dxfId="0" priority="4777" operator="between" text="欠">
      <formula>NOT(ISERROR(SEARCH("欠",AA148)))</formula>
    </cfRule>
  </conditionalFormatting>
  <conditionalFormatting sqref="AC148:AD148">
    <cfRule type="containsText" dxfId="0" priority="4775" operator="between" text="欠">
      <formula>NOT(ISERROR(SEARCH("欠",AC148)))</formula>
    </cfRule>
  </conditionalFormatting>
  <conditionalFormatting sqref="AE148">
    <cfRule type="containsText" dxfId="0" priority="4774" operator="between" text="欠">
      <formula>NOT(ISERROR(SEARCH("欠",AE148)))</formula>
    </cfRule>
  </conditionalFormatting>
  <conditionalFormatting sqref="AF148">
    <cfRule type="containsText" dxfId="0" priority="4778" operator="between" text="欠">
      <formula>NOT(ISERROR(SEARCH("欠",AF148)))</formula>
    </cfRule>
  </conditionalFormatting>
  <conditionalFormatting sqref="AG148">
    <cfRule type="containsText" dxfId="0" priority="4773" operator="between" text="欠">
      <formula>NOT(ISERROR(SEARCH("欠",AG148)))</formula>
    </cfRule>
  </conditionalFormatting>
  <conditionalFormatting sqref="AH148:AI148">
    <cfRule type="containsText" dxfId="0" priority="4776" operator="between" text="欠">
      <formula>NOT(ISERROR(SEARCH("欠",AH148)))</formula>
    </cfRule>
  </conditionalFormatting>
  <conditionalFormatting sqref="B149">
    <cfRule type="containsText" dxfId="1" priority="4027" operator="between" text="异常">
      <formula>NOT(ISERROR(SEARCH("异常",B149)))</formula>
    </cfRule>
  </conditionalFormatting>
  <conditionalFormatting sqref="C149">
    <cfRule type="containsText" dxfId="2" priority="4206" operator="between" text="二代">
      <formula>NOT(ISERROR(SEARCH("二代",C149)))</formula>
    </cfRule>
    <cfRule type="containsText" dxfId="3" priority="4385" operator="between" text="蛋糕">
      <formula>NOT(ISERROR(SEARCH("蛋糕",C149)))</formula>
    </cfRule>
  </conditionalFormatting>
  <conditionalFormatting sqref="X149:Y149">
    <cfRule type="containsText" dxfId="0" priority="4768" operator="between" text="欠">
      <formula>NOT(ISERROR(SEARCH("欠",X149)))</formula>
    </cfRule>
  </conditionalFormatting>
  <conditionalFormatting sqref="Z149">
    <cfRule type="containsText" dxfId="0" priority="4772" operator="between" text="欠">
      <formula>NOT(ISERROR(SEARCH("欠",Z149)))</formula>
    </cfRule>
  </conditionalFormatting>
  <conditionalFormatting sqref="AA149:AB149">
    <cfRule type="containsText" dxfId="0" priority="4767" operator="between" text="欠">
      <formula>NOT(ISERROR(SEARCH("欠",AA149)))</formula>
    </cfRule>
  </conditionalFormatting>
  <conditionalFormatting sqref="AC149:AD149">
    <cfRule type="containsText" dxfId="0" priority="4765" operator="between" text="欠">
      <formula>NOT(ISERROR(SEARCH("欠",AC149)))</formula>
    </cfRule>
  </conditionalFormatting>
  <conditionalFormatting sqref="AF149">
    <cfRule type="containsText" dxfId="0" priority="4769" operator="between" text="欠">
      <formula>NOT(ISERROR(SEARCH("欠",AF149)))</formula>
    </cfRule>
  </conditionalFormatting>
  <conditionalFormatting sqref="AH149">
    <cfRule type="containsText" dxfId="0" priority="4766" operator="between" text="欠">
      <formula>NOT(ISERROR(SEARCH("欠",AH149)))</formula>
    </cfRule>
  </conditionalFormatting>
  <conditionalFormatting sqref="AI149">
    <cfRule type="containsText" dxfId="0" priority="4770" operator="between" text="欠">
      <formula>NOT(ISERROR(SEARCH("欠",AI149)))</formula>
    </cfRule>
  </conditionalFormatting>
  <conditionalFormatting sqref="B150">
    <cfRule type="containsText" dxfId="1" priority="4026" operator="between" text="异常">
      <formula>NOT(ISERROR(SEARCH("异常",B150)))</formula>
    </cfRule>
  </conditionalFormatting>
  <conditionalFormatting sqref="C150">
    <cfRule type="containsText" dxfId="2" priority="4205" operator="between" text="二代">
      <formula>NOT(ISERROR(SEARCH("二代",C150)))</formula>
    </cfRule>
    <cfRule type="containsText" dxfId="3" priority="4384" operator="between" text="蛋糕">
      <formula>NOT(ISERROR(SEARCH("蛋糕",C150)))</formula>
    </cfRule>
  </conditionalFormatting>
  <conditionalFormatting sqref="B151">
    <cfRule type="containsText" dxfId="1" priority="4025" operator="between" text="异常">
      <formula>NOT(ISERROR(SEARCH("异常",B151)))</formula>
    </cfRule>
  </conditionalFormatting>
  <conditionalFormatting sqref="C151">
    <cfRule type="containsText" dxfId="2" priority="4204" operator="between" text="二代">
      <formula>NOT(ISERROR(SEARCH("二代",C151)))</formula>
    </cfRule>
    <cfRule type="containsText" dxfId="3" priority="4383" operator="between" text="蛋糕">
      <formula>NOT(ISERROR(SEARCH("蛋糕",C151)))</formula>
    </cfRule>
  </conditionalFormatting>
  <conditionalFormatting sqref="AC151">
    <cfRule type="containsText" dxfId="0" priority="4763" operator="between" text="欠">
      <formula>NOT(ISERROR(SEARCH("欠",AC151)))</formula>
    </cfRule>
  </conditionalFormatting>
  <conditionalFormatting sqref="B152">
    <cfRule type="containsText" dxfId="1" priority="4024" operator="between" text="异常">
      <formula>NOT(ISERROR(SEARCH("异常",B152)))</formula>
    </cfRule>
  </conditionalFormatting>
  <conditionalFormatting sqref="C152">
    <cfRule type="containsText" dxfId="2" priority="4203" operator="between" text="二代">
      <formula>NOT(ISERROR(SEARCH("二代",C152)))</formula>
    </cfRule>
    <cfRule type="containsText" dxfId="3" priority="4382" operator="between" text="蛋糕">
      <formula>NOT(ISERROR(SEARCH("蛋糕",C152)))</formula>
    </cfRule>
  </conditionalFormatting>
  <conditionalFormatting sqref="AC152">
    <cfRule type="containsText" dxfId="0" priority="4754" operator="between" text="欠">
      <formula>NOT(ISERROR(SEARCH("欠",AC152)))</formula>
    </cfRule>
  </conditionalFormatting>
  <conditionalFormatting sqref="B153">
    <cfRule type="containsText" dxfId="1" priority="4023" operator="between" text="异常">
      <formula>NOT(ISERROR(SEARCH("异常",B153)))</formula>
    </cfRule>
  </conditionalFormatting>
  <conditionalFormatting sqref="C153">
    <cfRule type="containsText" dxfId="2" priority="4202" operator="between" text="二代">
      <formula>NOT(ISERROR(SEARCH("二代",C153)))</formula>
    </cfRule>
    <cfRule type="containsText" dxfId="3" priority="4381" operator="between" text="蛋糕">
      <formula>NOT(ISERROR(SEARCH("蛋糕",C153)))</formula>
    </cfRule>
  </conditionalFormatting>
  <conditionalFormatting sqref="X153">
    <cfRule type="containsText" dxfId="0" priority="4751" operator="between" text="欠">
      <formula>NOT(ISERROR(SEARCH("欠",X153)))</formula>
    </cfRule>
  </conditionalFormatting>
  <conditionalFormatting sqref="Y153">
    <cfRule type="containsText" dxfId="0" priority="4749" operator="between" text="欠">
      <formula>NOT(ISERROR(SEARCH("欠",Y153)))</formula>
    </cfRule>
  </conditionalFormatting>
  <conditionalFormatting sqref="Z153">
    <cfRule type="containsText" dxfId="0" priority="4744" operator="between" text="欠">
      <formula>NOT(ISERROR(SEARCH("欠",Z153)))</formula>
    </cfRule>
  </conditionalFormatting>
  <conditionalFormatting sqref="AA153">
    <cfRule type="containsText" dxfId="0" priority="4743" operator="between" text="欠">
      <formula>NOT(ISERROR(SEARCH("欠",AA153)))</formula>
    </cfRule>
  </conditionalFormatting>
  <conditionalFormatting sqref="AB153">
    <cfRule type="containsText" dxfId="0" priority="4748" operator="between" text="欠">
      <formula>NOT(ISERROR(SEARCH("欠",AB153)))</formula>
    </cfRule>
  </conditionalFormatting>
  <conditionalFormatting sqref="AC153:AD153">
    <cfRule type="containsText" dxfId="0" priority="4747" operator="between" text="欠">
      <formula>NOT(ISERROR(SEARCH("欠",AC153)))</formula>
    </cfRule>
  </conditionalFormatting>
  <conditionalFormatting sqref="AE153">
    <cfRule type="containsText" dxfId="0" priority="4745" operator="between" text="欠">
      <formula>NOT(ISERROR(SEARCH("欠",AE153)))</formula>
    </cfRule>
  </conditionalFormatting>
  <conditionalFormatting sqref="AG153">
    <cfRule type="containsText" dxfId="0" priority="4750" operator="between" text="欠">
      <formula>NOT(ISERROR(SEARCH("欠",AG153)))</formula>
    </cfRule>
  </conditionalFormatting>
  <conditionalFormatting sqref="AH153">
    <cfRule type="containsText" dxfId="0" priority="4746" operator="between" text="欠">
      <formula>NOT(ISERROR(SEARCH("欠",AH153)))</formula>
    </cfRule>
  </conditionalFormatting>
  <conditionalFormatting sqref="B154">
    <cfRule type="containsText" dxfId="1" priority="4022" operator="between" text="异常">
      <formula>NOT(ISERROR(SEARCH("异常",B154)))</formula>
    </cfRule>
  </conditionalFormatting>
  <conditionalFormatting sqref="C154">
    <cfRule type="containsText" dxfId="2" priority="4201" operator="between" text="二代">
      <formula>NOT(ISERROR(SEARCH("二代",C154)))</formula>
    </cfRule>
    <cfRule type="containsText" dxfId="3" priority="4380" operator="between" text="蛋糕">
      <formula>NOT(ISERROR(SEARCH("蛋糕",C154)))</formula>
    </cfRule>
  </conditionalFormatting>
  <conditionalFormatting sqref="X154:Y154">
    <cfRule type="containsText" dxfId="0" priority="4729" operator="between" text="欠">
      <formula>NOT(ISERROR(SEARCH("欠",X154)))</formula>
    </cfRule>
  </conditionalFormatting>
  <conditionalFormatting sqref="Z154">
    <cfRule type="containsText" dxfId="0" priority="4731" operator="between" text="欠">
      <formula>NOT(ISERROR(SEARCH("欠",Z154)))</formula>
    </cfRule>
  </conditionalFormatting>
  <conditionalFormatting sqref="AA154:AB154">
    <cfRule type="containsText" dxfId="0" priority="4724" operator="between" text="欠">
      <formula>NOT(ISERROR(SEARCH("欠",AA154)))</formula>
    </cfRule>
  </conditionalFormatting>
  <conditionalFormatting sqref="AC154:AD154">
    <cfRule type="containsText" dxfId="0" priority="4721" operator="between" text="欠">
      <formula>NOT(ISERROR(SEARCH("欠",AC154)))</formula>
    </cfRule>
  </conditionalFormatting>
  <conditionalFormatting sqref="AE154">
    <cfRule type="containsText" dxfId="0" priority="4730" operator="between" text="欠">
      <formula>NOT(ISERROR(SEARCH("欠",AE154)))</formula>
    </cfRule>
  </conditionalFormatting>
  <conditionalFormatting sqref="AF154">
    <cfRule type="containsText" dxfId="0" priority="4728" operator="between" text="欠">
      <formula>NOT(ISERROR(SEARCH("欠",AF154)))</formula>
    </cfRule>
  </conditionalFormatting>
  <conditionalFormatting sqref="AG154">
    <cfRule type="containsText" dxfId="0" priority="4725" operator="between" text="欠">
      <formula>NOT(ISERROR(SEARCH("欠",AG154)))</formula>
    </cfRule>
  </conditionalFormatting>
  <conditionalFormatting sqref="AH154">
    <cfRule type="containsText" dxfId="0" priority="4723" operator="between" text="欠">
      <formula>NOT(ISERROR(SEARCH("欠",AH154)))</formula>
    </cfRule>
  </conditionalFormatting>
  <conditionalFormatting sqref="AI154">
    <cfRule type="containsText" dxfId="0" priority="4727" operator="between" text="欠">
      <formula>NOT(ISERROR(SEARCH("欠",AI154)))</formula>
    </cfRule>
  </conditionalFormatting>
  <conditionalFormatting sqref="AK154">
    <cfRule type="containsText" dxfId="0" priority="4726" operator="between" text="欠">
      <formula>NOT(ISERROR(SEARCH("欠",AK154)))</formula>
    </cfRule>
  </conditionalFormatting>
  <conditionalFormatting sqref="B155">
    <cfRule type="containsText" dxfId="1" priority="4021" operator="between" text="异常">
      <formula>NOT(ISERROR(SEARCH("异常",B155)))</formula>
    </cfRule>
  </conditionalFormatting>
  <conditionalFormatting sqref="C155">
    <cfRule type="containsText" dxfId="2" priority="4200" operator="between" text="二代">
      <formula>NOT(ISERROR(SEARCH("二代",C155)))</formula>
    </cfRule>
    <cfRule type="containsText" dxfId="3" priority="4379" operator="between" text="蛋糕">
      <formula>NOT(ISERROR(SEARCH("蛋糕",C155)))</formula>
    </cfRule>
  </conditionalFormatting>
  <conditionalFormatting sqref="X155:Y155">
    <cfRule type="containsText" dxfId="0" priority="4717" operator="between" text="欠">
      <formula>NOT(ISERROR(SEARCH("欠",X155)))</formula>
    </cfRule>
  </conditionalFormatting>
  <conditionalFormatting sqref="Z155">
    <cfRule type="containsText" dxfId="0" priority="4720" operator="between" text="欠">
      <formula>NOT(ISERROR(SEARCH("欠",Z155)))</formula>
    </cfRule>
  </conditionalFormatting>
  <conditionalFormatting sqref="AA155:AB155">
    <cfRule type="containsText" dxfId="0" priority="4715" operator="between" text="欠">
      <formula>NOT(ISERROR(SEARCH("欠",AA155)))</formula>
    </cfRule>
  </conditionalFormatting>
  <conditionalFormatting sqref="AC155:AD155">
    <cfRule type="containsText" dxfId="0" priority="4713" operator="between" text="欠">
      <formula>NOT(ISERROR(SEARCH("欠",AC155)))</formula>
    </cfRule>
  </conditionalFormatting>
  <conditionalFormatting sqref="AE155:AG155">
    <cfRule type="containsText" dxfId="0" priority="4718" operator="between" text="欠">
      <formula>NOT(ISERROR(SEARCH("欠",AE155)))</formula>
    </cfRule>
  </conditionalFormatting>
  <conditionalFormatting sqref="AH155">
    <cfRule type="containsText" dxfId="0" priority="4716" operator="between" text="欠">
      <formula>NOT(ISERROR(SEARCH("欠",AH155)))</formula>
    </cfRule>
  </conditionalFormatting>
  <conditionalFormatting sqref="AI155">
    <cfRule type="containsText" dxfId="0" priority="4719" operator="between" text="欠">
      <formula>NOT(ISERROR(SEARCH("欠",AI155)))</formula>
    </cfRule>
  </conditionalFormatting>
  <conditionalFormatting sqref="B156">
    <cfRule type="containsText" dxfId="1" priority="4020" operator="between" text="异常">
      <formula>NOT(ISERROR(SEARCH("异常",B156)))</formula>
    </cfRule>
  </conditionalFormatting>
  <conditionalFormatting sqref="C156">
    <cfRule type="containsText" dxfId="2" priority="4199" operator="between" text="二代">
      <formula>NOT(ISERROR(SEARCH("二代",C156)))</formula>
    </cfRule>
    <cfRule type="containsText" dxfId="3" priority="4378" operator="between" text="蛋糕">
      <formula>NOT(ISERROR(SEARCH("蛋糕",C156)))</formula>
    </cfRule>
  </conditionalFormatting>
  <conditionalFormatting sqref="X156:Y156">
    <cfRule type="containsText" dxfId="0" priority="4706" operator="between" text="欠">
      <formula>NOT(ISERROR(SEARCH("欠",X156)))</formula>
    </cfRule>
  </conditionalFormatting>
  <conditionalFormatting sqref="Z156">
    <cfRule type="containsText" dxfId="0" priority="4707" operator="between" text="欠">
      <formula>NOT(ISERROR(SEARCH("欠",Z156)))</formula>
    </cfRule>
  </conditionalFormatting>
  <conditionalFormatting sqref="AA156:AB156">
    <cfRule type="containsText" dxfId="0" priority="4712" operator="between" text="欠">
      <formula>NOT(ISERROR(SEARCH("欠",AA156)))</formula>
    </cfRule>
  </conditionalFormatting>
  <conditionalFormatting sqref="AC156:AD156">
    <cfRule type="containsText" dxfId="0" priority="4710" operator="between" text="欠">
      <formula>NOT(ISERROR(SEARCH("欠",AC156)))</formula>
    </cfRule>
  </conditionalFormatting>
  <conditionalFormatting sqref="AE156">
    <cfRule type="containsText" dxfId="0" priority="4711" operator="between" text="欠">
      <formula>NOT(ISERROR(SEARCH("欠",AE156)))</formula>
    </cfRule>
  </conditionalFormatting>
  <conditionalFormatting sqref="AG156">
    <cfRule type="containsText" dxfId="0" priority="4708" operator="between" text="欠">
      <formula>NOT(ISERROR(SEARCH("欠",AG156)))</formula>
    </cfRule>
  </conditionalFormatting>
  <conditionalFormatting sqref="B157">
    <cfRule type="containsText" dxfId="1" priority="4019" operator="between" text="异常">
      <formula>NOT(ISERROR(SEARCH("异常",B157)))</formula>
    </cfRule>
  </conditionalFormatting>
  <conditionalFormatting sqref="C157">
    <cfRule type="containsText" dxfId="2" priority="4198" operator="between" text="二代">
      <formula>NOT(ISERROR(SEARCH("二代",C157)))</formula>
    </cfRule>
    <cfRule type="containsText" dxfId="3" priority="4377" operator="between" text="蛋糕">
      <formula>NOT(ISERROR(SEARCH("蛋糕",C157)))</formula>
    </cfRule>
  </conditionalFormatting>
  <conditionalFormatting sqref="X157:Y157">
    <cfRule type="containsText" dxfId="0" priority="4704" operator="between" text="欠">
      <formula>NOT(ISERROR(SEARCH("欠",X157)))</formula>
    </cfRule>
  </conditionalFormatting>
  <conditionalFormatting sqref="Z157">
    <cfRule type="containsText" dxfId="0" priority="4698" operator="between" text="欠">
      <formula>NOT(ISERROR(SEARCH("欠",Z157)))</formula>
    </cfRule>
  </conditionalFormatting>
  <conditionalFormatting sqref="AA157:AB157">
    <cfRule type="containsText" dxfId="0" priority="4703" operator="between" text="欠">
      <formula>NOT(ISERROR(SEARCH("欠",AA157)))</formula>
    </cfRule>
  </conditionalFormatting>
  <conditionalFormatting sqref="AC157:AD157">
    <cfRule type="containsText" dxfId="0" priority="4702" operator="between" text="欠">
      <formula>NOT(ISERROR(SEARCH("欠",AC157)))</formula>
    </cfRule>
  </conditionalFormatting>
  <conditionalFormatting sqref="AG157">
    <cfRule type="containsText" dxfId="0" priority="4700" operator="between" text="欠">
      <formula>NOT(ISERROR(SEARCH("欠",AG157)))</formula>
    </cfRule>
  </conditionalFormatting>
  <conditionalFormatting sqref="AK157">
    <cfRule type="containsText" dxfId="0" priority="4699" operator="between" text="欠">
      <formula>NOT(ISERROR(SEARCH("欠",AK157)))</formula>
    </cfRule>
  </conditionalFormatting>
  <conditionalFormatting sqref="B158">
    <cfRule type="containsText" dxfId="1" priority="4018" operator="between" text="异常">
      <formula>NOT(ISERROR(SEARCH("异常",B158)))</formula>
    </cfRule>
  </conditionalFormatting>
  <conditionalFormatting sqref="C158">
    <cfRule type="containsText" dxfId="2" priority="4197" operator="between" text="二代">
      <formula>NOT(ISERROR(SEARCH("二代",C158)))</formula>
    </cfRule>
    <cfRule type="containsText" dxfId="3" priority="4376" operator="between" text="蛋糕">
      <formula>NOT(ISERROR(SEARCH("蛋糕",C158)))</formula>
    </cfRule>
  </conditionalFormatting>
  <conditionalFormatting sqref="X158:Y158">
    <cfRule type="containsText" dxfId="0" priority="4695" operator="between" text="欠">
      <formula>NOT(ISERROR(SEARCH("欠",X158)))</formula>
    </cfRule>
  </conditionalFormatting>
  <conditionalFormatting sqref="Z158">
    <cfRule type="containsText" dxfId="0" priority="4696" operator="between" text="欠">
      <formula>NOT(ISERROR(SEARCH("欠",Z158)))</formula>
    </cfRule>
  </conditionalFormatting>
  <conditionalFormatting sqref="AA158">
    <cfRule type="containsText" dxfId="0" priority="4694" operator="between" text="欠">
      <formula>NOT(ISERROR(SEARCH("欠",AA158)))</formula>
    </cfRule>
  </conditionalFormatting>
  <conditionalFormatting sqref="AB158">
    <cfRule type="containsText" dxfId="0" priority="4689" operator="between" text="欠">
      <formula>NOT(ISERROR(SEARCH("欠",AB158)))</formula>
    </cfRule>
  </conditionalFormatting>
  <conditionalFormatting sqref="AC158:AD158">
    <cfRule type="containsText" dxfId="0" priority="4687" operator="between" text="欠">
      <formula>NOT(ISERROR(SEARCH("欠",AC158)))</formula>
    </cfRule>
  </conditionalFormatting>
  <conditionalFormatting sqref="AF158">
    <cfRule type="containsText" dxfId="0" priority="4692" operator="between" text="欠">
      <formula>NOT(ISERROR(SEARCH("欠",AF158)))</formula>
    </cfRule>
  </conditionalFormatting>
  <conditionalFormatting sqref="AH158">
    <cfRule type="containsText" dxfId="0" priority="4693" operator="between" text="欠">
      <formula>NOT(ISERROR(SEARCH("欠",AH158)))</formula>
    </cfRule>
  </conditionalFormatting>
  <conditionalFormatting sqref="AI158">
    <cfRule type="containsText" dxfId="0" priority="4691" operator="between" text="欠">
      <formula>NOT(ISERROR(SEARCH("欠",AI158)))</formula>
    </cfRule>
  </conditionalFormatting>
  <conditionalFormatting sqref="AK158">
    <cfRule type="containsText" dxfId="0" priority="4690" operator="between" text="欠">
      <formula>NOT(ISERROR(SEARCH("欠",AK158)))</formula>
    </cfRule>
  </conditionalFormatting>
  <conditionalFormatting sqref="B159">
    <cfRule type="containsText" dxfId="1" priority="4017" operator="between" text="异常">
      <formula>NOT(ISERROR(SEARCH("异常",B159)))</formula>
    </cfRule>
  </conditionalFormatting>
  <conditionalFormatting sqref="C159">
    <cfRule type="containsText" dxfId="2" priority="4196" operator="between" text="二代">
      <formula>NOT(ISERROR(SEARCH("二代",C159)))</formula>
    </cfRule>
    <cfRule type="containsText" dxfId="3" priority="4375" operator="between" text="蛋糕">
      <formula>NOT(ISERROR(SEARCH("蛋糕",C159)))</formula>
    </cfRule>
  </conditionalFormatting>
  <conditionalFormatting sqref="B160">
    <cfRule type="containsText" dxfId="1" priority="4016" operator="between" text="异常">
      <formula>NOT(ISERROR(SEARCH("异常",B160)))</formula>
    </cfRule>
  </conditionalFormatting>
  <conditionalFormatting sqref="C160">
    <cfRule type="containsText" dxfId="2" priority="4195" operator="between" text="二代">
      <formula>NOT(ISERROR(SEARCH("二代",C160)))</formula>
    </cfRule>
    <cfRule type="containsText" dxfId="3" priority="4374" operator="between" text="蛋糕">
      <formula>NOT(ISERROR(SEARCH("蛋糕",C160)))</formula>
    </cfRule>
  </conditionalFormatting>
  <conditionalFormatting sqref="B161">
    <cfRule type="containsText" dxfId="1" priority="4015" operator="between" text="异常">
      <formula>NOT(ISERROR(SEARCH("异常",B161)))</formula>
    </cfRule>
  </conditionalFormatting>
  <conditionalFormatting sqref="C161">
    <cfRule type="containsText" dxfId="2" priority="4194" operator="between" text="二代">
      <formula>NOT(ISERROR(SEARCH("二代",C161)))</formula>
    </cfRule>
    <cfRule type="containsText" dxfId="3" priority="4373" operator="between" text="蛋糕">
      <formula>NOT(ISERROR(SEARCH("蛋糕",C161)))</formula>
    </cfRule>
  </conditionalFormatting>
  <conditionalFormatting sqref="X161">
    <cfRule type="containsText" dxfId="0" priority="4686" operator="between" text="欠">
      <formula>NOT(ISERROR(SEARCH("欠",X161)))</formula>
    </cfRule>
  </conditionalFormatting>
  <conditionalFormatting sqref="Y161">
    <cfRule type="containsText" dxfId="0" priority="4677" operator="between" text="欠">
      <formula>NOT(ISERROR(SEARCH("欠",Y161)))</formula>
    </cfRule>
  </conditionalFormatting>
  <conditionalFormatting sqref="Z161">
    <cfRule type="containsText" dxfId="0" priority="4685" operator="between" text="欠">
      <formula>NOT(ISERROR(SEARCH("欠",Z161)))</formula>
    </cfRule>
  </conditionalFormatting>
  <conditionalFormatting sqref="AA161:AB161">
    <cfRule type="containsText" dxfId="0" priority="4676" operator="between" text="欠">
      <formula>NOT(ISERROR(SEARCH("欠",AA161)))</formula>
    </cfRule>
  </conditionalFormatting>
  <conditionalFormatting sqref="AC161">
    <cfRule type="containsText" dxfId="0" priority="4679" operator="between" text="欠">
      <formula>NOT(ISERROR(SEARCH("欠",AC161)))</formula>
    </cfRule>
  </conditionalFormatting>
  <conditionalFormatting sqref="AD161">
    <cfRule type="containsText" dxfId="0" priority="4683" operator="between" text="欠">
      <formula>NOT(ISERROR(SEARCH("欠",AD161)))</formula>
    </cfRule>
  </conditionalFormatting>
  <conditionalFormatting sqref="AE161">
    <cfRule type="containsText" dxfId="0" priority="4681" operator="between" text="欠">
      <formula>NOT(ISERROR(SEARCH("欠",AE161)))</formula>
    </cfRule>
  </conditionalFormatting>
  <conditionalFormatting sqref="AF161">
    <cfRule type="containsText" dxfId="0" priority="4684" operator="between" text="欠">
      <formula>NOT(ISERROR(SEARCH("欠",AF161)))</formula>
    </cfRule>
  </conditionalFormatting>
  <conditionalFormatting sqref="AG161">
    <cfRule type="containsText" dxfId="0" priority="4680" operator="between" text="欠">
      <formula>NOT(ISERROR(SEARCH("欠",AG161)))</formula>
    </cfRule>
  </conditionalFormatting>
  <conditionalFormatting sqref="AH161">
    <cfRule type="containsText" dxfId="0" priority="4678" operator="between" text="欠">
      <formula>NOT(ISERROR(SEARCH("欠",AH161)))</formula>
    </cfRule>
  </conditionalFormatting>
  <conditionalFormatting sqref="AI161">
    <cfRule type="containsText" dxfId="0" priority="4682" operator="between" text="欠">
      <formula>NOT(ISERROR(SEARCH("欠",AI161)))</formula>
    </cfRule>
  </conditionalFormatting>
  <conditionalFormatting sqref="AK161">
    <cfRule type="containsText" dxfId="0" priority="4674" operator="between" text="欠">
      <formula>NOT(ISERROR(SEARCH("欠",AK161)))</formula>
    </cfRule>
  </conditionalFormatting>
  <conditionalFormatting sqref="B162">
    <cfRule type="containsText" dxfId="1" priority="4014" operator="between" text="异常">
      <formula>NOT(ISERROR(SEARCH("异常",B162)))</formula>
    </cfRule>
  </conditionalFormatting>
  <conditionalFormatting sqref="C162">
    <cfRule type="containsText" dxfId="2" priority="4193" operator="between" text="二代">
      <formula>NOT(ISERROR(SEARCH("二代",C162)))</formula>
    </cfRule>
    <cfRule type="containsText" dxfId="3" priority="4372" operator="between" text="蛋糕">
      <formula>NOT(ISERROR(SEARCH("蛋糕",C162)))</formula>
    </cfRule>
  </conditionalFormatting>
  <conditionalFormatting sqref="X162:Y162">
    <cfRule type="containsText" dxfId="0" priority="4671" operator="between" text="欠">
      <formula>NOT(ISERROR(SEARCH("欠",X162)))</formula>
    </cfRule>
  </conditionalFormatting>
  <conditionalFormatting sqref="Z162">
    <cfRule type="containsText" dxfId="0" priority="4672" operator="between" text="欠">
      <formula>NOT(ISERROR(SEARCH("欠",Z162)))</formula>
    </cfRule>
  </conditionalFormatting>
  <conditionalFormatting sqref="AA162:AB162">
    <cfRule type="containsText" dxfId="0" priority="4665" operator="between" text="欠">
      <formula>NOT(ISERROR(SEARCH("欠",AA162)))</formula>
    </cfRule>
  </conditionalFormatting>
  <conditionalFormatting sqref="AC162">
    <cfRule type="containsText" dxfId="0" priority="4667" operator="between" text="欠">
      <formula>NOT(ISERROR(SEARCH("欠",AC162)))</formula>
    </cfRule>
  </conditionalFormatting>
  <conditionalFormatting sqref="AD162">
    <cfRule type="containsText" dxfId="0" priority="4666" operator="between" text="欠">
      <formula>NOT(ISERROR(SEARCH("欠",AD162)))</formula>
    </cfRule>
  </conditionalFormatting>
  <conditionalFormatting sqref="AE162">
    <cfRule type="containsText" dxfId="0" priority="4673" operator="between" text="欠">
      <formula>NOT(ISERROR(SEARCH("欠",AE162)))</formula>
    </cfRule>
  </conditionalFormatting>
  <conditionalFormatting sqref="AF162">
    <cfRule type="containsText" dxfId="0" priority="4669" operator="between" text="欠">
      <formula>NOT(ISERROR(SEARCH("欠",AF162)))</formula>
    </cfRule>
  </conditionalFormatting>
  <conditionalFormatting sqref="AG162">
    <cfRule type="containsText" dxfId="0" priority="4668" operator="between" text="欠">
      <formula>NOT(ISERROR(SEARCH("欠",AG162)))</formula>
    </cfRule>
  </conditionalFormatting>
  <conditionalFormatting sqref="AH162:AI162">
    <cfRule type="containsText" dxfId="0" priority="4670" operator="between" text="欠">
      <formula>NOT(ISERROR(SEARCH("欠",AH162)))</formula>
    </cfRule>
  </conditionalFormatting>
  <conditionalFormatting sqref="AK162">
    <cfRule type="containsText" dxfId="0" priority="4663" operator="between" text="欠">
      <formula>NOT(ISERROR(SEARCH("欠",AK162)))</formula>
    </cfRule>
  </conditionalFormatting>
  <conditionalFormatting sqref="B163">
    <cfRule type="containsText" dxfId="1" priority="4013" operator="between" text="异常">
      <formula>NOT(ISERROR(SEARCH("异常",B163)))</formula>
    </cfRule>
  </conditionalFormatting>
  <conditionalFormatting sqref="C163">
    <cfRule type="containsText" dxfId="2" priority="4192" operator="between" text="二代">
      <formula>NOT(ISERROR(SEARCH("二代",C163)))</formula>
    </cfRule>
    <cfRule type="containsText" dxfId="3" priority="4371" operator="between" text="蛋糕">
      <formula>NOT(ISERROR(SEARCH("蛋糕",C163)))</formula>
    </cfRule>
  </conditionalFormatting>
  <conditionalFormatting sqref="X163:Y163">
    <cfRule type="containsText" dxfId="0" priority="4654" operator="between" text="欠">
      <formula>NOT(ISERROR(SEARCH("欠",X163)))</formula>
    </cfRule>
  </conditionalFormatting>
  <conditionalFormatting sqref="Z163">
    <cfRule type="containsText" dxfId="0" priority="4655" operator="between" text="欠">
      <formula>NOT(ISERROR(SEARCH("欠",Z163)))</formula>
    </cfRule>
  </conditionalFormatting>
  <conditionalFormatting sqref="AA163:AB163">
    <cfRule type="containsText" dxfId="0" priority="4658" operator="between" text="欠">
      <formula>NOT(ISERROR(SEARCH("欠",AA163)))</formula>
    </cfRule>
  </conditionalFormatting>
  <conditionalFormatting sqref="AC163">
    <cfRule type="containsText" dxfId="0" priority="4657" operator="between" text="欠">
      <formula>NOT(ISERROR(SEARCH("欠",AC163)))</formula>
    </cfRule>
  </conditionalFormatting>
  <conditionalFormatting sqref="AD163">
    <cfRule type="containsText" dxfId="0" priority="4662" operator="between" text="欠">
      <formula>NOT(ISERROR(SEARCH("欠",AD163)))</formula>
    </cfRule>
  </conditionalFormatting>
  <conditionalFormatting sqref="AE163">
    <cfRule type="containsText" dxfId="0" priority="4659" operator="between" text="欠">
      <formula>NOT(ISERROR(SEARCH("欠",AE163)))</formula>
    </cfRule>
  </conditionalFormatting>
  <conditionalFormatting sqref="AF163">
    <cfRule type="containsText" dxfId="0" priority="4661" operator="between" text="欠">
      <formula>NOT(ISERROR(SEARCH("欠",AF163)))</formula>
    </cfRule>
  </conditionalFormatting>
  <conditionalFormatting sqref="AG163:AH163">
    <cfRule type="containsText" dxfId="0" priority="4656" operator="between" text="欠">
      <formula>NOT(ISERROR(SEARCH("欠",AG163)))</formula>
    </cfRule>
  </conditionalFormatting>
  <conditionalFormatting sqref="AI163">
    <cfRule type="containsText" dxfId="0" priority="4660" operator="between" text="欠">
      <formula>NOT(ISERROR(SEARCH("欠",AI163)))</formula>
    </cfRule>
  </conditionalFormatting>
  <conditionalFormatting sqref="AK163">
    <cfRule type="containsText" dxfId="0" priority="4652" operator="between" text="欠">
      <formula>NOT(ISERROR(SEARCH("欠",AK163)))</formula>
    </cfRule>
  </conditionalFormatting>
  <conditionalFormatting sqref="B164">
    <cfRule type="containsText" dxfId="1" priority="4012" operator="between" text="异常">
      <formula>NOT(ISERROR(SEARCH("异常",B164)))</formula>
    </cfRule>
  </conditionalFormatting>
  <conditionalFormatting sqref="C164">
    <cfRule type="containsText" dxfId="2" priority="4191" operator="between" text="二代">
      <formula>NOT(ISERROR(SEARCH("二代",C164)))</formula>
    </cfRule>
    <cfRule type="containsText" dxfId="3" priority="4370" operator="between" text="蛋糕">
      <formula>NOT(ISERROR(SEARCH("蛋糕",C164)))</formula>
    </cfRule>
  </conditionalFormatting>
  <conditionalFormatting sqref="X164:Y164">
    <cfRule type="containsText" dxfId="0" priority="4648" operator="between" text="欠">
      <formula>NOT(ISERROR(SEARCH("欠",X164)))</formula>
    </cfRule>
  </conditionalFormatting>
  <conditionalFormatting sqref="Z164">
    <cfRule type="containsText" dxfId="0" priority="4651" operator="between" text="欠">
      <formula>NOT(ISERROR(SEARCH("欠",Z164)))</formula>
    </cfRule>
  </conditionalFormatting>
  <conditionalFormatting sqref="AA164:AB164">
    <cfRule type="containsText" dxfId="0" priority="4645" operator="between" text="欠">
      <formula>NOT(ISERROR(SEARCH("欠",AA164)))</formula>
    </cfRule>
  </conditionalFormatting>
  <conditionalFormatting sqref="AC164:AD164">
    <cfRule type="containsText" dxfId="0" priority="4647" operator="between" text="欠">
      <formula>NOT(ISERROR(SEARCH("欠",AC164)))</formula>
    </cfRule>
  </conditionalFormatting>
  <conditionalFormatting sqref="AF164">
    <cfRule type="containsText" dxfId="0" priority="4649" operator="between" text="欠">
      <formula>NOT(ISERROR(SEARCH("欠",AF164)))</formula>
    </cfRule>
  </conditionalFormatting>
  <conditionalFormatting sqref="AH164">
    <cfRule type="containsText" dxfId="0" priority="4646" operator="between" text="欠">
      <formula>NOT(ISERROR(SEARCH("欠",AH164)))</formula>
    </cfRule>
  </conditionalFormatting>
  <conditionalFormatting sqref="AI164">
    <cfRule type="containsText" dxfId="0" priority="4650" operator="between" text="欠">
      <formula>NOT(ISERROR(SEARCH("欠",AI164)))</formula>
    </cfRule>
  </conditionalFormatting>
  <conditionalFormatting sqref="AK164">
    <cfRule type="containsText" dxfId="0" priority="4643" operator="between" text="欠">
      <formula>NOT(ISERROR(SEARCH("欠",AK164)))</formula>
    </cfRule>
  </conditionalFormatting>
  <conditionalFormatting sqref="B165">
    <cfRule type="containsText" dxfId="1" priority="4011" operator="between" text="异常">
      <formula>NOT(ISERROR(SEARCH("异常",B165)))</formula>
    </cfRule>
  </conditionalFormatting>
  <conditionalFormatting sqref="C165">
    <cfRule type="containsText" dxfId="2" priority="4190" operator="between" text="二代">
      <formula>NOT(ISERROR(SEARCH("二代",C165)))</formula>
    </cfRule>
    <cfRule type="containsText" dxfId="3" priority="4369" operator="between" text="蛋糕">
      <formula>NOT(ISERROR(SEARCH("蛋糕",C165)))</formula>
    </cfRule>
  </conditionalFormatting>
  <conditionalFormatting sqref="X165">
    <cfRule type="containsText" dxfId="0" priority="4639" operator="between" text="欠">
      <formula>NOT(ISERROR(SEARCH("欠",X165)))</formula>
    </cfRule>
  </conditionalFormatting>
  <conditionalFormatting sqref="Y165">
    <cfRule type="containsText" dxfId="0" priority="4633" operator="between" text="欠">
      <formula>NOT(ISERROR(SEARCH("欠",Y165)))</formula>
    </cfRule>
  </conditionalFormatting>
  <conditionalFormatting sqref="Z165">
    <cfRule type="containsText" dxfId="0" priority="4638" operator="between" text="欠">
      <formula>NOT(ISERROR(SEARCH("欠",Z165)))</formula>
    </cfRule>
  </conditionalFormatting>
  <conditionalFormatting sqref="AA165:AB165">
    <cfRule type="containsText" dxfId="0" priority="4635" operator="between" text="欠">
      <formula>NOT(ISERROR(SEARCH("欠",AA165)))</formula>
    </cfRule>
  </conditionalFormatting>
  <conditionalFormatting sqref="AC165:AD165">
    <cfRule type="containsText" dxfId="0" priority="4637" operator="between" text="欠">
      <formula>NOT(ISERROR(SEARCH("欠",AC165)))</formula>
    </cfRule>
  </conditionalFormatting>
  <conditionalFormatting sqref="AE165">
    <cfRule type="containsText" dxfId="0" priority="4641" operator="between" text="欠">
      <formula>NOT(ISERROR(SEARCH("欠",AE165)))</formula>
    </cfRule>
  </conditionalFormatting>
  <conditionalFormatting sqref="AF165">
    <cfRule type="containsText" dxfId="0" priority="4642" operator="between" text="欠">
      <formula>NOT(ISERROR(SEARCH("欠",AF165)))</formula>
    </cfRule>
  </conditionalFormatting>
  <conditionalFormatting sqref="AG165">
    <cfRule type="containsText" dxfId="0" priority="4640" operator="between" text="欠">
      <formula>NOT(ISERROR(SEARCH("欠",AG165)))</formula>
    </cfRule>
  </conditionalFormatting>
  <conditionalFormatting sqref="AH165">
    <cfRule type="containsText" dxfId="0" priority="4636" operator="between" text="欠">
      <formula>NOT(ISERROR(SEARCH("欠",AH165)))</formula>
    </cfRule>
  </conditionalFormatting>
  <conditionalFormatting sqref="AI165">
    <cfRule type="containsText" dxfId="0" priority="4634" operator="between" text="欠">
      <formula>NOT(ISERROR(SEARCH("欠",AI165)))</formula>
    </cfRule>
  </conditionalFormatting>
  <conditionalFormatting sqref="B166">
    <cfRule type="containsText" dxfId="1" priority="4010" operator="between" text="异常">
      <formula>NOT(ISERROR(SEARCH("异常",B166)))</formula>
    </cfRule>
  </conditionalFormatting>
  <conditionalFormatting sqref="C166">
    <cfRule type="containsText" dxfId="2" priority="4189" operator="between" text="二代">
      <formula>NOT(ISERROR(SEARCH("二代",C166)))</formula>
    </cfRule>
    <cfRule type="containsText" dxfId="3" priority="4368" operator="between" text="蛋糕">
      <formula>NOT(ISERROR(SEARCH("蛋糕",C166)))</formula>
    </cfRule>
  </conditionalFormatting>
  <conditionalFormatting sqref="X166">
    <cfRule type="containsText" dxfId="0" priority="4631" operator="between" text="欠">
      <formula>NOT(ISERROR(SEARCH("欠",X166)))</formula>
    </cfRule>
  </conditionalFormatting>
  <conditionalFormatting sqref="Y166">
    <cfRule type="containsText" dxfId="0" priority="4623" operator="between" text="欠">
      <formula>NOT(ISERROR(SEARCH("欠",Y166)))</formula>
    </cfRule>
  </conditionalFormatting>
  <conditionalFormatting sqref="Z166">
    <cfRule type="containsText" dxfId="0" priority="4630" operator="between" text="欠">
      <formula>NOT(ISERROR(SEARCH("欠",Z166)))</formula>
    </cfRule>
  </conditionalFormatting>
  <conditionalFormatting sqref="AA166:AB166">
    <cfRule type="containsText" dxfId="0" priority="4628" operator="between" text="欠">
      <formula>NOT(ISERROR(SEARCH("欠",AA166)))</formula>
    </cfRule>
  </conditionalFormatting>
  <conditionalFormatting sqref="AC166:AD166">
    <cfRule type="containsText" dxfId="0" priority="4626" operator="between" text="欠">
      <formula>NOT(ISERROR(SEARCH("欠",AC166)))</formula>
    </cfRule>
  </conditionalFormatting>
  <conditionalFormatting sqref="AE166">
    <cfRule type="containsText" dxfId="0" priority="4625" operator="between" text="欠">
      <formula>NOT(ISERROR(SEARCH("欠",AE166)))</formula>
    </cfRule>
  </conditionalFormatting>
  <conditionalFormatting sqref="AF166">
    <cfRule type="containsText" dxfId="0" priority="4629" operator="between" text="欠">
      <formula>NOT(ISERROR(SEARCH("欠",AF166)))</formula>
    </cfRule>
  </conditionalFormatting>
  <conditionalFormatting sqref="AG166">
    <cfRule type="containsText" dxfId="0" priority="4624" operator="between" text="欠">
      <formula>NOT(ISERROR(SEARCH("欠",AG166)))</formula>
    </cfRule>
  </conditionalFormatting>
  <conditionalFormatting sqref="AH166:AI166">
    <cfRule type="containsText" dxfId="0" priority="4627" operator="between" text="欠">
      <formula>NOT(ISERROR(SEARCH("欠",AH166)))</formula>
    </cfRule>
  </conditionalFormatting>
  <conditionalFormatting sqref="AK166">
    <cfRule type="containsText" dxfId="0" priority="4621" operator="between" text="欠">
      <formula>NOT(ISERROR(SEARCH("欠",AK166)))</formula>
    </cfRule>
  </conditionalFormatting>
  <conditionalFormatting sqref="B167">
    <cfRule type="containsText" dxfId="1" priority="4009" operator="between" text="异常">
      <formula>NOT(ISERROR(SEARCH("异常",B167)))</formula>
    </cfRule>
  </conditionalFormatting>
  <conditionalFormatting sqref="C167">
    <cfRule type="containsText" dxfId="2" priority="4188" operator="between" text="二代">
      <formula>NOT(ISERROR(SEARCH("二代",C167)))</formula>
    </cfRule>
    <cfRule type="containsText" dxfId="3" priority="4367" operator="between" text="蛋糕">
      <formula>NOT(ISERROR(SEARCH("蛋糕",C167)))</formula>
    </cfRule>
  </conditionalFormatting>
  <conditionalFormatting sqref="X167:Y167">
    <cfRule type="containsText" dxfId="0" priority="4612" operator="between" text="欠">
      <formula>NOT(ISERROR(SEARCH("欠",X167)))</formula>
    </cfRule>
  </conditionalFormatting>
  <conditionalFormatting sqref="Z167">
    <cfRule type="containsText" dxfId="0" priority="4613" operator="between" text="欠">
      <formula>NOT(ISERROR(SEARCH("欠",Z167)))</formula>
    </cfRule>
  </conditionalFormatting>
  <conditionalFormatting sqref="AA167:AB167">
    <cfRule type="containsText" dxfId="0" priority="4616" operator="between" text="欠">
      <formula>NOT(ISERROR(SEARCH("欠",AA167)))</formula>
    </cfRule>
  </conditionalFormatting>
  <conditionalFormatting sqref="AC167">
    <cfRule type="containsText" dxfId="0" priority="4615" operator="between" text="欠">
      <formula>NOT(ISERROR(SEARCH("欠",AC167)))</formula>
    </cfRule>
  </conditionalFormatting>
  <conditionalFormatting sqref="AD167">
    <cfRule type="containsText" dxfId="0" priority="4618" operator="between" text="欠">
      <formula>NOT(ISERROR(SEARCH("欠",AD167)))</formula>
    </cfRule>
  </conditionalFormatting>
  <conditionalFormatting sqref="AE167">
    <cfRule type="containsText" dxfId="0" priority="4617" operator="between" text="欠">
      <formula>NOT(ISERROR(SEARCH("欠",AE167)))</formula>
    </cfRule>
  </conditionalFormatting>
  <conditionalFormatting sqref="AF167">
    <cfRule type="containsText" dxfId="0" priority="4620" operator="between" text="欠">
      <formula>NOT(ISERROR(SEARCH("欠",AF167)))</formula>
    </cfRule>
  </conditionalFormatting>
  <conditionalFormatting sqref="AG167:AH167">
    <cfRule type="containsText" dxfId="0" priority="4614" operator="between" text="欠">
      <formula>NOT(ISERROR(SEARCH("欠",AG167)))</formula>
    </cfRule>
  </conditionalFormatting>
  <conditionalFormatting sqref="AI167">
    <cfRule type="containsText" dxfId="0" priority="4619" operator="between" text="欠">
      <formula>NOT(ISERROR(SEARCH("欠",AI167)))</formula>
    </cfRule>
  </conditionalFormatting>
  <conditionalFormatting sqref="AK167">
    <cfRule type="containsText" dxfId="0" priority="4610" operator="between" text="欠">
      <formula>NOT(ISERROR(SEARCH("欠",AK167)))</formula>
    </cfRule>
  </conditionalFormatting>
  <conditionalFormatting sqref="B168">
    <cfRule type="containsText" dxfId="1" priority="4008" operator="between" text="异常">
      <formula>NOT(ISERROR(SEARCH("异常",B168)))</formula>
    </cfRule>
  </conditionalFormatting>
  <conditionalFormatting sqref="C168">
    <cfRule type="containsText" dxfId="2" priority="4187" operator="between" text="二代">
      <formula>NOT(ISERROR(SEARCH("二代",C168)))</formula>
    </cfRule>
    <cfRule type="containsText" dxfId="3" priority="4366" operator="between" text="蛋糕">
      <formula>NOT(ISERROR(SEARCH("蛋糕",C168)))</formula>
    </cfRule>
  </conditionalFormatting>
  <conditionalFormatting sqref="B169">
    <cfRule type="containsText" dxfId="1" priority="4007" operator="between" text="异常">
      <formula>NOT(ISERROR(SEARCH("异常",B169)))</formula>
    </cfRule>
  </conditionalFormatting>
  <conditionalFormatting sqref="C169">
    <cfRule type="containsText" dxfId="2" priority="4186" operator="between" text="二代">
      <formula>NOT(ISERROR(SEARCH("二代",C169)))</formula>
    </cfRule>
    <cfRule type="containsText" dxfId="3" priority="4365" operator="between" text="蛋糕">
      <formula>NOT(ISERROR(SEARCH("蛋糕",C169)))</formula>
    </cfRule>
  </conditionalFormatting>
  <conditionalFormatting sqref="Y169">
    <cfRule type="containsText" dxfId="0" priority="4604" operator="between" text="欠">
      <formula>NOT(ISERROR(SEARCH("欠",Y169)))</formula>
    </cfRule>
  </conditionalFormatting>
  <conditionalFormatting sqref="AC169">
    <cfRule type="containsText" dxfId="0" priority="4601" operator="between" text="欠">
      <formula>NOT(ISERROR(SEARCH("欠",AC169)))</formula>
    </cfRule>
  </conditionalFormatting>
  <conditionalFormatting sqref="B170">
    <cfRule type="containsText" dxfId="1" priority="4006" operator="between" text="异常">
      <formula>NOT(ISERROR(SEARCH("异常",B170)))</formula>
    </cfRule>
  </conditionalFormatting>
  <conditionalFormatting sqref="C170">
    <cfRule type="containsText" dxfId="2" priority="4185" operator="between" text="二代">
      <formula>NOT(ISERROR(SEARCH("二代",C170)))</formula>
    </cfRule>
    <cfRule type="containsText" dxfId="3" priority="4364" operator="between" text="蛋糕">
      <formula>NOT(ISERROR(SEARCH("蛋糕",C170)))</formula>
    </cfRule>
  </conditionalFormatting>
  <conditionalFormatting sqref="Y170">
    <cfRule type="containsText" dxfId="0" priority="4605" operator="between" text="欠">
      <formula>NOT(ISERROR(SEARCH("欠",Y170)))</formula>
    </cfRule>
  </conditionalFormatting>
  <conditionalFormatting sqref="AC170">
    <cfRule type="containsText" dxfId="0" priority="4599" operator="between" text="欠">
      <formula>NOT(ISERROR(SEARCH("欠",AC170)))</formula>
    </cfRule>
  </conditionalFormatting>
  <conditionalFormatting sqref="B171">
    <cfRule type="containsText" dxfId="1" priority="4005" operator="between" text="异常">
      <formula>NOT(ISERROR(SEARCH("异常",B171)))</formula>
    </cfRule>
  </conditionalFormatting>
  <conditionalFormatting sqref="C171">
    <cfRule type="containsText" dxfId="2" priority="4184" operator="between" text="二代">
      <formula>NOT(ISERROR(SEARCH("二代",C171)))</formula>
    </cfRule>
    <cfRule type="containsText" dxfId="3" priority="4363" operator="between" text="蛋糕">
      <formula>NOT(ISERROR(SEARCH("蛋糕",C171)))</formula>
    </cfRule>
  </conditionalFormatting>
  <conditionalFormatting sqref="X171:Y171">
    <cfRule type="containsText" dxfId="0" priority="4590" operator="between" text="欠">
      <formula>NOT(ISERROR(SEARCH("欠",X171)))</formula>
    </cfRule>
  </conditionalFormatting>
  <conditionalFormatting sqref="Z171">
    <cfRule type="containsText" dxfId="0" priority="4592" operator="between" text="欠">
      <formula>NOT(ISERROR(SEARCH("欠",Z171)))</formula>
    </cfRule>
  </conditionalFormatting>
  <conditionalFormatting sqref="AA171:AB171">
    <cfRule type="containsText" dxfId="0" priority="4585" operator="between" text="欠">
      <formula>NOT(ISERROR(SEARCH("欠",AA171)))</formula>
    </cfRule>
  </conditionalFormatting>
  <conditionalFormatting sqref="AC171:AD171">
    <cfRule type="containsText" dxfId="0" priority="4582" operator="between" text="欠">
      <formula>NOT(ISERROR(SEARCH("欠",AC171)))</formula>
    </cfRule>
  </conditionalFormatting>
  <conditionalFormatting sqref="AE171">
    <cfRule type="containsText" dxfId="0" priority="4591" operator="between" text="欠">
      <formula>NOT(ISERROR(SEARCH("欠",AE171)))</formula>
    </cfRule>
  </conditionalFormatting>
  <conditionalFormatting sqref="AF171">
    <cfRule type="containsText" dxfId="0" priority="4589" operator="between" text="欠">
      <formula>NOT(ISERROR(SEARCH("欠",AF171)))</formula>
    </cfRule>
  </conditionalFormatting>
  <conditionalFormatting sqref="AG171">
    <cfRule type="containsText" dxfId="0" priority="4586" operator="between" text="欠">
      <formula>NOT(ISERROR(SEARCH("欠",AG171)))</formula>
    </cfRule>
  </conditionalFormatting>
  <conditionalFormatting sqref="AH171">
    <cfRule type="containsText" dxfId="0" priority="4584" operator="between" text="欠">
      <formula>NOT(ISERROR(SEARCH("欠",AH171)))</formula>
    </cfRule>
  </conditionalFormatting>
  <conditionalFormatting sqref="AI171">
    <cfRule type="containsText" dxfId="0" priority="4588" operator="between" text="欠">
      <formula>NOT(ISERROR(SEARCH("欠",AI171)))</formula>
    </cfRule>
  </conditionalFormatting>
  <conditionalFormatting sqref="AK171">
    <cfRule type="containsText" dxfId="0" priority="4587" operator="between" text="欠">
      <formula>NOT(ISERROR(SEARCH("欠",AK171)))</formula>
    </cfRule>
  </conditionalFormatting>
  <conditionalFormatting sqref="B172">
    <cfRule type="containsText" dxfId="1" priority="4004" operator="between" text="异常">
      <formula>NOT(ISERROR(SEARCH("异常",B172)))</formula>
    </cfRule>
  </conditionalFormatting>
  <conditionalFormatting sqref="C172">
    <cfRule type="containsText" dxfId="2" priority="4183" operator="between" text="二代">
      <formula>NOT(ISERROR(SEARCH("二代",C172)))</formula>
    </cfRule>
    <cfRule type="containsText" dxfId="3" priority="4362" operator="between" text="蛋糕">
      <formula>NOT(ISERROR(SEARCH("蛋糕",C172)))</formula>
    </cfRule>
  </conditionalFormatting>
  <conditionalFormatting sqref="X172">
    <cfRule type="containsText" dxfId="0" priority="4573" operator="between" text="欠">
      <formula>NOT(ISERROR(SEARCH("欠",X172)))</formula>
    </cfRule>
  </conditionalFormatting>
  <conditionalFormatting sqref="Y172">
    <cfRule type="containsText" dxfId="0" priority="4580" operator="between" text="欠">
      <formula>NOT(ISERROR(SEARCH("欠",Y172)))</formula>
    </cfRule>
  </conditionalFormatting>
  <conditionalFormatting sqref="Z172">
    <cfRule type="containsText" dxfId="0" priority="4581" operator="between" text="欠">
      <formula>NOT(ISERROR(SEARCH("欠",Z172)))</formula>
    </cfRule>
  </conditionalFormatting>
  <conditionalFormatting sqref="AA172">
    <cfRule type="containsText" dxfId="0" priority="4579" operator="between" text="欠">
      <formula>NOT(ISERROR(SEARCH("欠",AA172)))</formula>
    </cfRule>
  </conditionalFormatting>
  <conditionalFormatting sqref="AB172">
    <cfRule type="containsText" dxfId="0" priority="4574" operator="between" text="欠">
      <formula>NOT(ISERROR(SEARCH("欠",AB172)))</formula>
    </cfRule>
  </conditionalFormatting>
  <conditionalFormatting sqref="AC172">
    <cfRule type="containsText" dxfId="0" priority="4572" operator="between" text="欠">
      <formula>NOT(ISERROR(SEARCH("欠",AC172)))</formula>
    </cfRule>
  </conditionalFormatting>
  <conditionalFormatting sqref="AD172">
    <cfRule type="containsText" dxfId="0" priority="4571" operator="between" text="欠">
      <formula>NOT(ISERROR(SEARCH("欠",AD172)))</formula>
    </cfRule>
  </conditionalFormatting>
  <conditionalFormatting sqref="AE172">
    <cfRule type="containsText" dxfId="0" priority="4576" operator="between" text="欠">
      <formula>NOT(ISERROR(SEARCH("欠",AE172)))</formula>
    </cfRule>
  </conditionalFormatting>
  <conditionalFormatting sqref="AF172">
    <cfRule type="containsText" dxfId="0" priority="4577" operator="between" text="欠">
      <formula>NOT(ISERROR(SEARCH("欠",AF172)))</formula>
    </cfRule>
  </conditionalFormatting>
  <conditionalFormatting sqref="AG172">
    <cfRule type="containsText" dxfId="0" priority="4575" operator="between" text="欠">
      <formula>NOT(ISERROR(SEARCH("欠",AG172)))</formula>
    </cfRule>
  </conditionalFormatting>
  <conditionalFormatting sqref="AH172:AI172">
    <cfRule type="containsText" dxfId="0" priority="4578" operator="between" text="欠">
      <formula>NOT(ISERROR(SEARCH("欠",AH172)))</formula>
    </cfRule>
  </conditionalFormatting>
  <conditionalFormatting sqref="B173">
    <cfRule type="containsText" dxfId="1" priority="4003" operator="between" text="异常">
      <formula>NOT(ISERROR(SEARCH("异常",B173)))</formula>
    </cfRule>
  </conditionalFormatting>
  <conditionalFormatting sqref="C173">
    <cfRule type="containsText" dxfId="2" priority="4182" operator="between" text="二代">
      <formula>NOT(ISERROR(SEARCH("二代",C173)))</formula>
    </cfRule>
    <cfRule type="containsText" dxfId="3" priority="4361" operator="between" text="蛋糕">
      <formula>NOT(ISERROR(SEARCH("蛋糕",C173)))</formula>
    </cfRule>
  </conditionalFormatting>
  <conditionalFormatting sqref="B174">
    <cfRule type="containsText" dxfId="1" priority="4002" operator="between" text="异常">
      <formula>NOT(ISERROR(SEARCH("异常",B174)))</formula>
    </cfRule>
  </conditionalFormatting>
  <conditionalFormatting sqref="C174">
    <cfRule type="containsText" dxfId="2" priority="4181" operator="between" text="二代">
      <formula>NOT(ISERROR(SEARCH("二代",C174)))</formula>
    </cfRule>
    <cfRule type="containsText" dxfId="3" priority="4360" operator="between" text="蛋糕">
      <formula>NOT(ISERROR(SEARCH("蛋糕",C174)))</formula>
    </cfRule>
  </conditionalFormatting>
  <conditionalFormatting sqref="B175">
    <cfRule type="containsText" dxfId="1" priority="4001" operator="between" text="异常">
      <formula>NOT(ISERROR(SEARCH("异常",B175)))</formula>
    </cfRule>
  </conditionalFormatting>
  <conditionalFormatting sqref="C175">
    <cfRule type="containsText" dxfId="2" priority="4180" operator="between" text="二代">
      <formula>NOT(ISERROR(SEARCH("二代",C175)))</formula>
    </cfRule>
    <cfRule type="containsText" dxfId="3" priority="4359" operator="between" text="蛋糕">
      <formula>NOT(ISERROR(SEARCH("蛋糕",C175)))</formula>
    </cfRule>
  </conditionalFormatting>
  <conditionalFormatting sqref="AH175">
    <cfRule type="containsText" dxfId="0" priority="4553" operator="between" text="欠">
      <formula>NOT(ISERROR(SEARCH("欠",AH175)))</formula>
    </cfRule>
  </conditionalFormatting>
  <conditionalFormatting sqref="AI175">
    <cfRule type="containsText" dxfId="0" priority="4552" operator="between" text="欠">
      <formula>NOT(ISERROR(SEARCH("欠",AI175)))</formula>
    </cfRule>
  </conditionalFormatting>
  <conditionalFormatting sqref="B176">
    <cfRule type="containsText" dxfId="1" priority="4000" operator="between" text="异常">
      <formula>NOT(ISERROR(SEARCH("异常",B176)))</formula>
    </cfRule>
  </conditionalFormatting>
  <conditionalFormatting sqref="C176">
    <cfRule type="containsText" dxfId="2" priority="4179" operator="between" text="二代">
      <formula>NOT(ISERROR(SEARCH("二代",C176)))</formula>
    </cfRule>
    <cfRule type="containsText" dxfId="3" priority="4358" operator="between" text="蛋糕">
      <formula>NOT(ISERROR(SEARCH("蛋糕",C176)))</formula>
    </cfRule>
  </conditionalFormatting>
  <conditionalFormatting sqref="AH176:AI176">
    <cfRule type="containsText" dxfId="0" priority="4555" operator="between" text="欠">
      <formula>NOT(ISERROR(SEARCH("欠",AH176)))</formula>
    </cfRule>
  </conditionalFormatting>
  <conditionalFormatting sqref="B177">
    <cfRule type="containsText" dxfId="1" priority="3999" operator="between" text="异常">
      <formula>NOT(ISERROR(SEARCH("异常",B177)))</formula>
    </cfRule>
  </conditionalFormatting>
  <conditionalFormatting sqref="C177">
    <cfRule type="containsText" dxfId="2" priority="4178" operator="between" text="二代">
      <formula>NOT(ISERROR(SEARCH("二代",C177)))</formula>
    </cfRule>
    <cfRule type="containsText" dxfId="3" priority="4357" operator="between" text="蛋糕">
      <formula>NOT(ISERROR(SEARCH("蛋糕",C177)))</formula>
    </cfRule>
  </conditionalFormatting>
  <conditionalFormatting sqref="AE177">
    <cfRule type="containsText" dxfId="0" priority="4562" operator="between" text="欠">
      <formula>NOT(ISERROR(SEARCH("欠",AE177)))</formula>
    </cfRule>
  </conditionalFormatting>
  <conditionalFormatting sqref="AG177">
    <cfRule type="containsText" dxfId="0" priority="4561" operator="between" text="欠">
      <formula>NOT(ISERROR(SEARCH("欠",AG177)))</formula>
    </cfRule>
  </conditionalFormatting>
  <conditionalFormatting sqref="AH177:AI177">
    <cfRule type="containsText" dxfId="0" priority="4563" operator="between" text="欠">
      <formula>NOT(ISERROR(SEARCH("欠",AH177)))</formula>
    </cfRule>
  </conditionalFormatting>
  <conditionalFormatting sqref="B178">
    <cfRule type="containsText" dxfId="1" priority="3998" operator="between" text="异常">
      <formula>NOT(ISERROR(SEARCH("异常",B178)))</formula>
    </cfRule>
  </conditionalFormatting>
  <conditionalFormatting sqref="C178">
    <cfRule type="containsText" dxfId="2" priority="4177" operator="between" text="二代">
      <formula>NOT(ISERROR(SEARCH("二代",C178)))</formula>
    </cfRule>
    <cfRule type="containsText" dxfId="3" priority="4356" operator="between" text="蛋糕">
      <formula>NOT(ISERROR(SEARCH("蛋糕",C178)))</formula>
    </cfRule>
  </conditionalFormatting>
  <conditionalFormatting sqref="B179">
    <cfRule type="containsText" dxfId="1" priority="3997" operator="between" text="异常">
      <formula>NOT(ISERROR(SEARCH("异常",B179)))</formula>
    </cfRule>
  </conditionalFormatting>
  <conditionalFormatting sqref="C179">
    <cfRule type="containsText" dxfId="2" priority="4176" operator="between" text="二代">
      <formula>NOT(ISERROR(SEARCH("二代",C179)))</formula>
    </cfRule>
    <cfRule type="containsText" dxfId="3" priority="4355" operator="between" text="蛋糕">
      <formula>NOT(ISERROR(SEARCH("蛋糕",C179)))</formula>
    </cfRule>
  </conditionalFormatting>
  <conditionalFormatting sqref="AC179:AD179">
    <cfRule type="containsText" dxfId="0" priority="4567" operator="between" text="欠">
      <formula>NOT(ISERROR(SEARCH("欠",AC179)))</formula>
    </cfRule>
  </conditionalFormatting>
  <conditionalFormatting sqref="B180">
    <cfRule type="containsText" dxfId="1" priority="4534" operator="between" text="异常">
      <formula>NOT(ISERROR(SEARCH("异常",B180)))</formula>
    </cfRule>
  </conditionalFormatting>
  <conditionalFormatting sqref="C180">
    <cfRule type="containsText" dxfId="2" priority="4535" operator="between" text="二代">
      <formula>NOT(ISERROR(SEARCH("二代",C180)))</formula>
    </cfRule>
    <cfRule type="containsText" dxfId="3" priority="4536" operator="between" text="蛋糕">
      <formula>NOT(ISERROR(SEARCH("蛋糕",C180)))</formula>
    </cfRule>
  </conditionalFormatting>
  <conditionalFormatting sqref="X180:Y180">
    <cfRule type="containsText" dxfId="0" priority="4545" operator="between" text="欠">
      <formula>NOT(ISERROR(SEARCH("欠",X180)))</formula>
    </cfRule>
  </conditionalFormatting>
  <conditionalFormatting sqref="Z180">
    <cfRule type="containsText" dxfId="0" priority="4547" operator="between" text="欠">
      <formula>NOT(ISERROR(SEARCH("欠",Z180)))</formula>
    </cfRule>
  </conditionalFormatting>
  <conditionalFormatting sqref="AA180:AB180">
    <cfRule type="containsText" dxfId="0" priority="4540" operator="between" text="欠">
      <formula>NOT(ISERROR(SEARCH("欠",AA180)))</formula>
    </cfRule>
  </conditionalFormatting>
  <conditionalFormatting sqref="AC180:AD180">
    <cfRule type="containsText" dxfId="0" priority="4537" operator="between" text="欠">
      <formula>NOT(ISERROR(SEARCH("欠",AC180)))</formula>
    </cfRule>
  </conditionalFormatting>
  <conditionalFormatting sqref="AE180">
    <cfRule type="containsText" dxfId="0" priority="4546" operator="between" text="欠">
      <formula>NOT(ISERROR(SEARCH("欠",AE180)))</formula>
    </cfRule>
  </conditionalFormatting>
  <conditionalFormatting sqref="AF180">
    <cfRule type="containsText" dxfId="0" priority="4544" operator="between" text="欠">
      <formula>NOT(ISERROR(SEARCH("欠",AF180)))</formula>
    </cfRule>
  </conditionalFormatting>
  <conditionalFormatting sqref="AG180">
    <cfRule type="containsText" dxfId="0" priority="4541" operator="between" text="欠">
      <formula>NOT(ISERROR(SEARCH("欠",AG180)))</formula>
    </cfRule>
  </conditionalFormatting>
  <conditionalFormatting sqref="AH180">
    <cfRule type="containsText" dxfId="0" priority="4539" operator="between" text="欠">
      <formula>NOT(ISERROR(SEARCH("欠",AH180)))</formula>
    </cfRule>
  </conditionalFormatting>
  <conditionalFormatting sqref="AI180">
    <cfRule type="containsText" dxfId="0" priority="4543" operator="between" text="欠">
      <formula>NOT(ISERROR(SEARCH("欠",AI180)))</formula>
    </cfRule>
  </conditionalFormatting>
  <conditionalFormatting sqref="AK180">
    <cfRule type="containsText" dxfId="0" priority="4542" operator="between" text="欠">
      <formula>NOT(ISERROR(SEARCH("欠",AK180)))</formula>
    </cfRule>
  </conditionalFormatting>
  <conditionalFormatting sqref="B181">
    <cfRule type="containsText" dxfId="1" priority="3983" operator="between" text="异常">
      <formula>NOT(ISERROR(SEARCH("异常",B181)))</formula>
    </cfRule>
  </conditionalFormatting>
  <conditionalFormatting sqref="C181">
    <cfRule type="containsText" dxfId="2" priority="3984" operator="between" text="二代">
      <formula>NOT(ISERROR(SEARCH("二代",C181)))</formula>
    </cfRule>
    <cfRule type="containsText" dxfId="3" priority="3985" operator="between" text="蛋糕">
      <formula>NOT(ISERROR(SEARCH("蛋糕",C181)))</formula>
    </cfRule>
  </conditionalFormatting>
  <conditionalFormatting sqref="X181">
    <cfRule type="containsText" dxfId="0" priority="3988" operator="between" text="欠">
      <formula>NOT(ISERROR(SEARCH("欠",X181)))</formula>
    </cfRule>
  </conditionalFormatting>
  <conditionalFormatting sqref="Y181">
    <cfRule type="containsText" dxfId="0" priority="3995" operator="between" text="欠">
      <formula>NOT(ISERROR(SEARCH("欠",Y181)))</formula>
    </cfRule>
  </conditionalFormatting>
  <conditionalFormatting sqref="Z181">
    <cfRule type="containsText" dxfId="0" priority="3996" operator="between" text="欠">
      <formula>NOT(ISERROR(SEARCH("欠",Z181)))</formula>
    </cfRule>
  </conditionalFormatting>
  <conditionalFormatting sqref="AA181">
    <cfRule type="containsText" dxfId="0" priority="3994" operator="between" text="欠">
      <formula>NOT(ISERROR(SEARCH("欠",AA181)))</formula>
    </cfRule>
  </conditionalFormatting>
  <conditionalFormatting sqref="AB181">
    <cfRule type="containsText" dxfId="0" priority="3989" operator="between" text="欠">
      <formula>NOT(ISERROR(SEARCH("欠",AB181)))</formula>
    </cfRule>
  </conditionalFormatting>
  <conditionalFormatting sqref="AC181">
    <cfRule type="containsText" dxfId="0" priority="3987" operator="between" text="欠">
      <formula>NOT(ISERROR(SEARCH("欠",AC181)))</formula>
    </cfRule>
  </conditionalFormatting>
  <conditionalFormatting sqref="AD181">
    <cfRule type="containsText" dxfId="0" priority="3986" operator="between" text="欠">
      <formula>NOT(ISERROR(SEARCH("欠",AD181)))</formula>
    </cfRule>
  </conditionalFormatting>
  <conditionalFormatting sqref="AE181">
    <cfRule type="containsText" dxfId="0" priority="3991" operator="between" text="欠">
      <formula>NOT(ISERROR(SEARCH("欠",AE181)))</formula>
    </cfRule>
  </conditionalFormatting>
  <conditionalFormatting sqref="AF181">
    <cfRule type="containsText" dxfId="0" priority="3992" operator="between" text="欠">
      <formula>NOT(ISERROR(SEARCH("欠",AF181)))</formula>
    </cfRule>
  </conditionalFormatting>
  <conditionalFormatting sqref="AG181">
    <cfRule type="containsText" dxfId="0" priority="3990" operator="between" text="欠">
      <formula>NOT(ISERROR(SEARCH("欠",AG181)))</formula>
    </cfRule>
  </conditionalFormatting>
  <conditionalFormatting sqref="AH181:AI181">
    <cfRule type="containsText" dxfId="0" priority="3993" operator="between" text="欠">
      <formula>NOT(ISERROR(SEARCH("欠",AH181)))</formula>
    </cfRule>
  </conditionalFormatting>
  <conditionalFormatting sqref="B182">
    <cfRule type="containsText" dxfId="1" priority="3969" operator="between" text="异常">
      <formula>NOT(ISERROR(SEARCH("异常",B182)))</formula>
    </cfRule>
  </conditionalFormatting>
  <conditionalFormatting sqref="C182">
    <cfRule type="containsText" dxfId="2" priority="3970" operator="between" text="二代">
      <formula>NOT(ISERROR(SEARCH("二代",C182)))</formula>
    </cfRule>
    <cfRule type="containsText" dxfId="3" priority="3971" operator="between" text="蛋糕">
      <formula>NOT(ISERROR(SEARCH("蛋糕",C182)))</formula>
    </cfRule>
  </conditionalFormatting>
  <conditionalFormatting sqref="X182">
    <cfRule type="containsText" dxfId="0" priority="3977" operator="between" text="欠">
      <formula>NOT(ISERROR(SEARCH("欠",X182)))</formula>
    </cfRule>
  </conditionalFormatting>
  <conditionalFormatting sqref="Y182">
    <cfRule type="containsText" dxfId="0" priority="3976" operator="between" text="欠">
      <formula>NOT(ISERROR(SEARCH("欠",Y182)))</formula>
    </cfRule>
  </conditionalFormatting>
  <conditionalFormatting sqref="Z182">
    <cfRule type="containsText" dxfId="0" priority="3981" operator="between" text="欠">
      <formula>NOT(ISERROR(SEARCH("欠",Z182)))</formula>
    </cfRule>
  </conditionalFormatting>
  <conditionalFormatting sqref="AA182:AB182">
    <cfRule type="containsText" dxfId="0" priority="3973" operator="between" text="欠">
      <formula>NOT(ISERROR(SEARCH("欠",AA182)))</formula>
    </cfRule>
  </conditionalFormatting>
  <conditionalFormatting sqref="AC182">
    <cfRule type="containsText" dxfId="0" priority="3974" operator="between" text="欠">
      <formula>NOT(ISERROR(SEARCH("欠",AC182)))</formula>
    </cfRule>
  </conditionalFormatting>
  <conditionalFormatting sqref="AD182">
    <cfRule type="containsText" dxfId="0" priority="3975" operator="between" text="欠">
      <formula>NOT(ISERROR(SEARCH("欠",AD182)))</formula>
    </cfRule>
  </conditionalFormatting>
  <conditionalFormatting sqref="AE182">
    <cfRule type="containsText" dxfId="0" priority="3979" operator="between" text="欠">
      <formula>NOT(ISERROR(SEARCH("欠",AE182)))</formula>
    </cfRule>
  </conditionalFormatting>
  <conditionalFormatting sqref="AF182">
    <cfRule type="containsText" dxfId="0" priority="3982" operator="between" text="欠">
      <formula>NOT(ISERROR(SEARCH("欠",AF182)))</formula>
    </cfRule>
  </conditionalFormatting>
  <conditionalFormatting sqref="AG182">
    <cfRule type="containsText" dxfId="0" priority="3978" operator="between" text="欠">
      <formula>NOT(ISERROR(SEARCH("欠",AG182)))</formula>
    </cfRule>
  </conditionalFormatting>
  <conditionalFormatting sqref="AH182:AI182">
    <cfRule type="containsText" dxfId="0" priority="3980" operator="between" text="欠">
      <formula>NOT(ISERROR(SEARCH("欠",AH182)))</formula>
    </cfRule>
  </conditionalFormatting>
  <conditionalFormatting sqref="AK182">
    <cfRule type="containsText" dxfId="0" priority="3972" operator="between" text="欠">
      <formula>NOT(ISERROR(SEARCH("欠",AK182)))</formula>
    </cfRule>
  </conditionalFormatting>
  <conditionalFormatting sqref="B183">
    <cfRule type="containsText" dxfId="1" priority="3956" operator="between" text="异常">
      <formula>NOT(ISERROR(SEARCH("异常",B183)))</formula>
    </cfRule>
  </conditionalFormatting>
  <conditionalFormatting sqref="C183">
    <cfRule type="containsText" dxfId="2" priority="3957" operator="between" text="二代">
      <formula>NOT(ISERROR(SEARCH("二代",C183)))</formula>
    </cfRule>
    <cfRule type="containsText" dxfId="3" priority="3958" operator="between" text="蛋糕">
      <formula>NOT(ISERROR(SEARCH("蛋糕",C183)))</formula>
    </cfRule>
  </conditionalFormatting>
  <conditionalFormatting sqref="X183">
    <cfRule type="containsText" dxfId="0" priority="3968" operator="between" text="欠">
      <formula>NOT(ISERROR(SEARCH("欠",X183)))</formula>
    </cfRule>
  </conditionalFormatting>
  <conditionalFormatting sqref="Y183">
    <cfRule type="containsText" dxfId="0" priority="3961" operator="between" text="欠">
      <formula>NOT(ISERROR(SEARCH("欠",Y183)))</formula>
    </cfRule>
  </conditionalFormatting>
  <conditionalFormatting sqref="Z183">
    <cfRule type="containsText" dxfId="0" priority="3967" operator="between" text="欠">
      <formula>NOT(ISERROR(SEARCH("欠",Z183)))</formula>
    </cfRule>
  </conditionalFormatting>
  <conditionalFormatting sqref="AA183:AB183">
    <cfRule type="containsText" dxfId="0" priority="3960" operator="between" text="欠">
      <formula>NOT(ISERROR(SEARCH("欠",AA183)))</formula>
    </cfRule>
  </conditionalFormatting>
  <conditionalFormatting sqref="AC183:AD183">
    <cfRule type="containsText" dxfId="0" priority="3964" operator="between" text="欠">
      <formula>NOT(ISERROR(SEARCH("欠",AC183)))</formula>
    </cfRule>
  </conditionalFormatting>
  <conditionalFormatting sqref="AE183">
    <cfRule type="containsText" dxfId="0" priority="3963" operator="between" text="欠">
      <formula>NOT(ISERROR(SEARCH("欠",AE183)))</formula>
    </cfRule>
  </conditionalFormatting>
  <conditionalFormatting sqref="AF183">
    <cfRule type="containsText" dxfId="0" priority="3966" operator="between" text="欠">
      <formula>NOT(ISERROR(SEARCH("欠",AF183)))</formula>
    </cfRule>
  </conditionalFormatting>
  <conditionalFormatting sqref="AG183">
    <cfRule type="containsText" dxfId="0" priority="3962" operator="between" text="欠">
      <formula>NOT(ISERROR(SEARCH("欠",AG183)))</formula>
    </cfRule>
  </conditionalFormatting>
  <conditionalFormatting sqref="AH183:AI183">
    <cfRule type="containsText" dxfId="0" priority="3965" operator="between" text="欠">
      <formula>NOT(ISERROR(SEARCH("欠",AH183)))</formula>
    </cfRule>
  </conditionalFormatting>
  <conditionalFormatting sqref="AK183">
    <cfRule type="containsText" dxfId="0" priority="3959" operator="between" text="欠">
      <formula>NOT(ISERROR(SEARCH("欠",AK183)))</formula>
    </cfRule>
  </conditionalFormatting>
  <conditionalFormatting sqref="B184">
    <cfRule type="containsText" dxfId="1" priority="3942" operator="between" text="异常">
      <formula>NOT(ISERROR(SEARCH("异常",B184)))</formula>
    </cfRule>
  </conditionalFormatting>
  <conditionalFormatting sqref="C184">
    <cfRule type="containsText" dxfId="2" priority="3943" operator="between" text="二代">
      <formula>NOT(ISERROR(SEARCH("二代",C184)))</formula>
    </cfRule>
    <cfRule type="containsText" dxfId="3" priority="3944" operator="between" text="蛋糕">
      <formula>NOT(ISERROR(SEARCH("蛋糕",C184)))</formula>
    </cfRule>
  </conditionalFormatting>
  <conditionalFormatting sqref="X184:Y184">
    <cfRule type="containsText" dxfId="0" priority="3953" operator="between" text="欠">
      <formula>NOT(ISERROR(SEARCH("欠",X184)))</formula>
    </cfRule>
  </conditionalFormatting>
  <conditionalFormatting sqref="Z184">
    <cfRule type="containsText" dxfId="0" priority="3947" operator="between" text="欠">
      <formula>NOT(ISERROR(SEARCH("欠",Z184)))</formula>
    </cfRule>
  </conditionalFormatting>
  <conditionalFormatting sqref="AA184">
    <cfRule type="containsText" dxfId="0" priority="3946" operator="between" text="欠">
      <formula>NOT(ISERROR(SEARCH("欠",AA184)))</formula>
    </cfRule>
  </conditionalFormatting>
  <conditionalFormatting sqref="AB184">
    <cfRule type="containsText" dxfId="0" priority="3952" operator="between" text="欠">
      <formula>NOT(ISERROR(SEARCH("欠",AB184)))</formula>
    </cfRule>
  </conditionalFormatting>
  <conditionalFormatting sqref="AC184:AD184">
    <cfRule type="containsText" dxfId="0" priority="3951" operator="between" text="欠">
      <formula>NOT(ISERROR(SEARCH("欠",AC184)))</formula>
    </cfRule>
  </conditionalFormatting>
  <conditionalFormatting sqref="AE184">
    <cfRule type="containsText" dxfId="0" priority="3949" operator="between" text="欠">
      <formula>NOT(ISERROR(SEARCH("欠",AE184)))</formula>
    </cfRule>
  </conditionalFormatting>
  <conditionalFormatting sqref="AF184">
    <cfRule type="containsText" dxfId="0" priority="3954" operator="between" text="欠">
      <formula>NOT(ISERROR(SEARCH("欠",AF184)))</formula>
    </cfRule>
  </conditionalFormatting>
  <conditionalFormatting sqref="AG184">
    <cfRule type="containsText" dxfId="0" priority="3950" operator="between" text="欠">
      <formula>NOT(ISERROR(SEARCH("欠",AG184)))</formula>
    </cfRule>
  </conditionalFormatting>
  <conditionalFormatting sqref="AH184">
    <cfRule type="containsText" dxfId="0" priority="3948" operator="between" text="欠">
      <formula>NOT(ISERROR(SEARCH("欠",AH184)))</formula>
    </cfRule>
  </conditionalFormatting>
  <conditionalFormatting sqref="AI184">
    <cfRule type="containsText" dxfId="0" priority="3955" operator="between" text="欠">
      <formula>NOT(ISERROR(SEARCH("欠",AI184)))</formula>
    </cfRule>
  </conditionalFormatting>
  <conditionalFormatting sqref="AK184">
    <cfRule type="containsText" dxfId="0" priority="3945" operator="between" text="欠">
      <formula>NOT(ISERROR(SEARCH("欠",AK184)))</formula>
    </cfRule>
  </conditionalFormatting>
  <conditionalFormatting sqref="B185">
    <cfRule type="containsText" dxfId="1" priority="3930" operator="between" text="异常">
      <formula>NOT(ISERROR(SEARCH("异常",B185)))</formula>
    </cfRule>
  </conditionalFormatting>
  <conditionalFormatting sqref="C185">
    <cfRule type="containsText" dxfId="2" priority="3931" operator="between" text="二代">
      <formula>NOT(ISERROR(SEARCH("二代",C185)))</formula>
    </cfRule>
    <cfRule type="containsText" dxfId="3" priority="3932" operator="between" text="蛋糕">
      <formula>NOT(ISERROR(SEARCH("蛋糕",C185)))</formula>
    </cfRule>
  </conditionalFormatting>
  <conditionalFormatting sqref="X185:Y185">
    <cfRule type="containsText" dxfId="0" priority="3938" operator="between" text="欠">
      <formula>NOT(ISERROR(SEARCH("欠",X185)))</formula>
    </cfRule>
  </conditionalFormatting>
  <conditionalFormatting sqref="Z185">
    <cfRule type="containsText" dxfId="0" priority="3941" operator="between" text="欠">
      <formula>NOT(ISERROR(SEARCH("欠",Z185)))</formula>
    </cfRule>
  </conditionalFormatting>
  <conditionalFormatting sqref="AA185:AB185">
    <cfRule type="containsText" dxfId="0" priority="3934" operator="between" text="欠">
      <formula>NOT(ISERROR(SEARCH("欠",AA185)))</formula>
    </cfRule>
  </conditionalFormatting>
  <conditionalFormatting sqref="AC185">
    <cfRule type="containsText" dxfId="0" priority="3937" operator="between" text="欠">
      <formula>NOT(ISERROR(SEARCH("欠",AC185)))</formula>
    </cfRule>
  </conditionalFormatting>
  <conditionalFormatting sqref="AD185">
    <cfRule type="containsText" dxfId="0" priority="3935" operator="between" text="欠">
      <formula>NOT(ISERROR(SEARCH("欠",AD185)))</formula>
    </cfRule>
  </conditionalFormatting>
  <conditionalFormatting sqref="AF185">
    <cfRule type="containsText" dxfId="0" priority="3939" operator="between" text="欠">
      <formula>NOT(ISERROR(SEARCH("欠",AF185)))</formula>
    </cfRule>
  </conditionalFormatting>
  <conditionalFormatting sqref="AH185">
    <cfRule type="containsText" dxfId="0" priority="3936" operator="between" text="欠">
      <formula>NOT(ISERROR(SEARCH("欠",AH185)))</formula>
    </cfRule>
  </conditionalFormatting>
  <conditionalFormatting sqref="AI185">
    <cfRule type="containsText" dxfId="0" priority="3940" operator="between" text="欠">
      <formula>NOT(ISERROR(SEARCH("欠",AI185)))</formula>
    </cfRule>
  </conditionalFormatting>
  <conditionalFormatting sqref="AK185">
    <cfRule type="containsText" dxfId="0" priority="3933" operator="between" text="欠">
      <formula>NOT(ISERROR(SEARCH("欠",AK185)))</formula>
    </cfRule>
  </conditionalFormatting>
  <conditionalFormatting sqref="B186">
    <cfRule type="containsText" dxfId="1" priority="3916" operator="between" text="异常">
      <formula>NOT(ISERROR(SEARCH("异常",B186)))</formula>
    </cfRule>
  </conditionalFormatting>
  <conditionalFormatting sqref="C186">
    <cfRule type="containsText" dxfId="2" priority="3917" operator="between" text="二代">
      <formula>NOT(ISERROR(SEARCH("二代",C186)))</formula>
    </cfRule>
    <cfRule type="containsText" dxfId="3" priority="3918" operator="between" text="蛋糕">
      <formula>NOT(ISERROR(SEARCH("蛋糕",C186)))</formula>
    </cfRule>
  </conditionalFormatting>
  <conditionalFormatting sqref="X186">
    <cfRule type="containsText" dxfId="0" priority="3924" operator="between" text="欠">
      <formula>NOT(ISERROR(SEARCH("欠",X186)))</formula>
    </cfRule>
  </conditionalFormatting>
  <conditionalFormatting sqref="Y186">
    <cfRule type="containsText" dxfId="0" priority="3923" operator="between" text="欠">
      <formula>NOT(ISERROR(SEARCH("欠",Y186)))</formula>
    </cfRule>
  </conditionalFormatting>
  <conditionalFormatting sqref="Z186">
    <cfRule type="containsText" dxfId="0" priority="3929" operator="between" text="欠">
      <formula>NOT(ISERROR(SEARCH("欠",Z186)))</formula>
    </cfRule>
  </conditionalFormatting>
  <conditionalFormatting sqref="AA186:AB186">
    <cfRule type="containsText" dxfId="0" priority="3920" operator="between" text="欠">
      <formula>NOT(ISERROR(SEARCH("欠",AA186)))</formula>
    </cfRule>
  </conditionalFormatting>
  <conditionalFormatting sqref="AC186">
    <cfRule type="containsText" dxfId="0" priority="3922" operator="between" text="欠">
      <formula>NOT(ISERROR(SEARCH("欠",AC186)))</formula>
    </cfRule>
  </conditionalFormatting>
  <conditionalFormatting sqref="AD186">
    <cfRule type="containsText" dxfId="0" priority="3921" operator="between" text="欠">
      <formula>NOT(ISERROR(SEARCH("欠",AD186)))</formula>
    </cfRule>
  </conditionalFormatting>
  <conditionalFormatting sqref="AE186">
    <cfRule type="containsText" dxfId="0" priority="3926" operator="between" text="欠">
      <formula>NOT(ISERROR(SEARCH("欠",AE186)))</formula>
    </cfRule>
  </conditionalFormatting>
  <conditionalFormatting sqref="AF186">
    <cfRule type="containsText" dxfId="0" priority="3927" operator="between" text="欠">
      <formula>NOT(ISERROR(SEARCH("欠",AF186)))</formula>
    </cfRule>
  </conditionalFormatting>
  <conditionalFormatting sqref="AG186">
    <cfRule type="containsText" dxfId="0" priority="3925" operator="between" text="欠">
      <formula>NOT(ISERROR(SEARCH("欠",AG186)))</formula>
    </cfRule>
  </conditionalFormatting>
  <conditionalFormatting sqref="AH186:AI186">
    <cfRule type="containsText" dxfId="0" priority="3928" operator="between" text="欠">
      <formula>NOT(ISERROR(SEARCH("欠",AH186)))</formula>
    </cfRule>
  </conditionalFormatting>
  <conditionalFormatting sqref="AK186">
    <cfRule type="containsText" dxfId="0" priority="3919" operator="between" text="欠">
      <formula>NOT(ISERROR(SEARCH("欠",AK186)))</formula>
    </cfRule>
  </conditionalFormatting>
  <conditionalFormatting sqref="B187">
    <cfRule type="containsText" dxfId="1" priority="3902" operator="between" text="异常">
      <formula>NOT(ISERROR(SEARCH("异常",B187)))</formula>
    </cfRule>
  </conditionalFormatting>
  <conditionalFormatting sqref="C187">
    <cfRule type="containsText" dxfId="2" priority="3903" operator="between" text="二代">
      <formula>NOT(ISERROR(SEARCH("二代",C187)))</formula>
    </cfRule>
    <cfRule type="containsText" dxfId="3" priority="3904" operator="between" text="蛋糕">
      <formula>NOT(ISERROR(SEARCH("蛋糕",C187)))</formula>
    </cfRule>
  </conditionalFormatting>
  <conditionalFormatting sqref="X187">
    <cfRule type="containsText" dxfId="0" priority="3913" operator="between" text="欠">
      <formula>NOT(ISERROR(SEARCH("欠",X187)))</formula>
    </cfRule>
  </conditionalFormatting>
  <conditionalFormatting sqref="Y187">
    <cfRule type="containsText" dxfId="0" priority="3915" operator="between" text="欠">
      <formula>NOT(ISERROR(SEARCH("欠",Y187)))</formula>
    </cfRule>
  </conditionalFormatting>
  <conditionalFormatting sqref="Z187:AA187">
    <cfRule type="containsText" dxfId="0" priority="3912" operator="between" text="欠">
      <formula>NOT(ISERROR(SEARCH("欠",Z187)))</formula>
    </cfRule>
  </conditionalFormatting>
  <conditionalFormatting sqref="AB187">
    <cfRule type="containsText" dxfId="0" priority="3914" operator="between" text="欠">
      <formula>NOT(ISERROR(SEARCH("欠",AB187)))</formula>
    </cfRule>
  </conditionalFormatting>
  <conditionalFormatting sqref="AC187">
    <cfRule type="containsText" dxfId="0" priority="3908" operator="between" text="欠">
      <formula>NOT(ISERROR(SEARCH("欠",AC187)))</formula>
    </cfRule>
  </conditionalFormatting>
  <conditionalFormatting sqref="AD187">
    <cfRule type="containsText" dxfId="0" priority="3909" operator="between" text="欠">
      <formula>NOT(ISERROR(SEARCH("欠",AD187)))</formula>
    </cfRule>
  </conditionalFormatting>
  <conditionalFormatting sqref="AE187">
    <cfRule type="containsText" dxfId="0" priority="3906" operator="between" text="欠">
      <formula>NOT(ISERROR(SEARCH("欠",AE187)))</formula>
    </cfRule>
  </conditionalFormatting>
  <conditionalFormatting sqref="AF187">
    <cfRule type="containsText" dxfId="0" priority="3910" operator="between" text="欠">
      <formula>NOT(ISERROR(SEARCH("欠",AF187)))</formula>
    </cfRule>
  </conditionalFormatting>
  <conditionalFormatting sqref="AG187">
    <cfRule type="containsText" dxfId="0" priority="3905" operator="between" text="欠">
      <formula>NOT(ISERROR(SEARCH("欠",AG187)))</formula>
    </cfRule>
  </conditionalFormatting>
  <conditionalFormatting sqref="AH187">
    <cfRule type="containsText" dxfId="0" priority="3907" operator="between" text="欠">
      <formula>NOT(ISERROR(SEARCH("欠",AH187)))</formula>
    </cfRule>
  </conditionalFormatting>
  <conditionalFormatting sqref="AI187">
    <cfRule type="containsText" dxfId="0" priority="3911" operator="between" text="欠">
      <formula>NOT(ISERROR(SEARCH("欠",AI187)))</formula>
    </cfRule>
  </conditionalFormatting>
  <conditionalFormatting sqref="B188">
    <cfRule type="containsText" dxfId="1" priority="3888" operator="between" text="异常">
      <formula>NOT(ISERROR(SEARCH("异常",B188)))</formula>
    </cfRule>
  </conditionalFormatting>
  <conditionalFormatting sqref="C188">
    <cfRule type="containsText" dxfId="2" priority="3889" operator="between" text="二代">
      <formula>NOT(ISERROR(SEARCH("二代",C188)))</formula>
    </cfRule>
    <cfRule type="containsText" dxfId="3" priority="3890" operator="between" text="蛋糕">
      <formula>NOT(ISERROR(SEARCH("蛋糕",C188)))</formula>
    </cfRule>
  </conditionalFormatting>
  <conditionalFormatting sqref="X188">
    <cfRule type="containsText" dxfId="0" priority="3895" operator="between" text="欠">
      <formula>NOT(ISERROR(SEARCH("欠",X188)))</formula>
    </cfRule>
  </conditionalFormatting>
  <conditionalFormatting sqref="Y188">
    <cfRule type="containsText" dxfId="0" priority="3894" operator="between" text="欠">
      <formula>NOT(ISERROR(SEARCH("欠",Y188)))</formula>
    </cfRule>
  </conditionalFormatting>
  <conditionalFormatting sqref="Z188">
    <cfRule type="containsText" dxfId="0" priority="3901" operator="between" text="欠">
      <formula>NOT(ISERROR(SEARCH("欠",Z188)))</formula>
    </cfRule>
  </conditionalFormatting>
  <conditionalFormatting sqref="AA188:AB188">
    <cfRule type="containsText" dxfId="0" priority="3896" operator="between" text="欠">
      <formula>NOT(ISERROR(SEARCH("欠",AA188)))</formula>
    </cfRule>
  </conditionalFormatting>
  <conditionalFormatting sqref="AC188">
    <cfRule type="containsText" dxfId="0" priority="3893" operator="between" text="欠">
      <formula>NOT(ISERROR(SEARCH("欠",AC188)))</formula>
    </cfRule>
  </conditionalFormatting>
  <conditionalFormatting sqref="AD188">
    <cfRule type="containsText" dxfId="0" priority="3892" operator="between" text="欠">
      <formula>NOT(ISERROR(SEARCH("欠",AD188)))</formula>
    </cfRule>
  </conditionalFormatting>
  <conditionalFormatting sqref="AE188">
    <cfRule type="containsText" dxfId="0" priority="3898" operator="between" text="欠">
      <formula>NOT(ISERROR(SEARCH("欠",AE188)))</formula>
    </cfRule>
  </conditionalFormatting>
  <conditionalFormatting sqref="AF188">
    <cfRule type="containsText" dxfId="0" priority="3899" operator="between" text="欠">
      <formula>NOT(ISERROR(SEARCH("欠",AF188)))</formula>
    </cfRule>
  </conditionalFormatting>
  <conditionalFormatting sqref="AG188">
    <cfRule type="containsText" dxfId="0" priority="3897" operator="between" text="欠">
      <formula>NOT(ISERROR(SEARCH("欠",AG188)))</formula>
    </cfRule>
  </conditionalFormatting>
  <conditionalFormatting sqref="AH188:AI188">
    <cfRule type="containsText" dxfId="0" priority="3900" operator="between" text="欠">
      <formula>NOT(ISERROR(SEARCH("欠",AH188)))</formula>
    </cfRule>
  </conditionalFormatting>
  <conditionalFormatting sqref="AK188">
    <cfRule type="containsText" dxfId="0" priority="3891" operator="between" text="欠">
      <formula>NOT(ISERROR(SEARCH("欠",AK188)))</formula>
    </cfRule>
  </conditionalFormatting>
  <conditionalFormatting sqref="B189">
    <cfRule type="containsText" dxfId="1" priority="3880" operator="between" text="异常">
      <formula>NOT(ISERROR(SEARCH("异常",B189)))</formula>
    </cfRule>
  </conditionalFormatting>
  <conditionalFormatting sqref="X189:Y189">
    <cfRule type="containsText" dxfId="0" priority="3887" operator="between" text="欠">
      <formula>NOT(ISERROR(SEARCH("欠",X189)))</formula>
    </cfRule>
  </conditionalFormatting>
  <conditionalFormatting sqref="Z189:AB189">
    <cfRule type="containsText" dxfId="0" priority="3886" operator="between" text="欠">
      <formula>NOT(ISERROR(SEARCH("欠",Z189)))</formula>
    </cfRule>
  </conditionalFormatting>
  <conditionalFormatting sqref="AC189:AD189">
    <cfRule type="containsText" dxfId="0" priority="3885" operator="between" text="欠">
      <formula>NOT(ISERROR(SEARCH("欠",AC189)))</formula>
    </cfRule>
  </conditionalFormatting>
  <conditionalFormatting sqref="AE189">
    <cfRule type="containsText" dxfId="0" priority="3883" operator="between" text="欠">
      <formula>NOT(ISERROR(SEARCH("欠",AE189)))</formula>
    </cfRule>
  </conditionalFormatting>
  <conditionalFormatting sqref="AG189">
    <cfRule type="containsText" dxfId="0" priority="3882" operator="between" text="欠">
      <formula>NOT(ISERROR(SEARCH("欠",AG189)))</formula>
    </cfRule>
  </conditionalFormatting>
  <conditionalFormatting sqref="AH189">
    <cfRule type="containsText" dxfId="0" priority="3881" operator="between" text="欠">
      <formula>NOT(ISERROR(SEARCH("欠",AH189)))</formula>
    </cfRule>
  </conditionalFormatting>
  <conditionalFormatting sqref="X190">
    <cfRule type="containsText" dxfId="0" priority="3864" operator="between" text="欠">
      <formula>NOT(ISERROR(SEARCH("欠",X190)))</formula>
    </cfRule>
  </conditionalFormatting>
  <conditionalFormatting sqref="Y190">
    <cfRule type="containsText" dxfId="0" priority="3862" operator="between" text="欠">
      <formula>NOT(ISERROR(SEARCH("欠",Y190)))</formula>
    </cfRule>
  </conditionalFormatting>
  <conditionalFormatting sqref="Z190">
    <cfRule type="containsText" dxfId="0" priority="3855" operator="between" text="欠">
      <formula>NOT(ISERROR(SEARCH("欠",Z190)))</formula>
    </cfRule>
  </conditionalFormatting>
  <conditionalFormatting sqref="AA190">
    <cfRule type="containsText" dxfId="0" priority="3854" operator="between" text="欠">
      <formula>NOT(ISERROR(SEARCH("欠",AA190)))</formula>
    </cfRule>
  </conditionalFormatting>
  <conditionalFormatting sqref="AC190:AD190">
    <cfRule type="containsText" dxfId="0" priority="3860" operator="between" text="欠">
      <formula>NOT(ISERROR(SEARCH("欠",AC190)))</formula>
    </cfRule>
  </conditionalFormatting>
  <conditionalFormatting sqref="AE190">
    <cfRule type="containsText" dxfId="0" priority="3858" operator="between" text="欠">
      <formula>NOT(ISERROR(SEARCH("欠",AE190)))</formula>
    </cfRule>
  </conditionalFormatting>
  <conditionalFormatting sqref="AF190">
    <cfRule type="containsText" dxfId="0" priority="3871" operator="between" text="欠">
      <formula>NOT(ISERROR(SEARCH("欠",AF190)))</formula>
    </cfRule>
  </conditionalFormatting>
  <conditionalFormatting sqref="AG190">
    <cfRule type="containsText" dxfId="0" priority="3863" operator="between" text="欠">
      <formula>NOT(ISERROR(SEARCH("欠",AG190)))</formula>
    </cfRule>
  </conditionalFormatting>
  <conditionalFormatting sqref="AH190">
    <cfRule type="containsText" dxfId="0" priority="3856" operator="between" text="欠">
      <formula>NOT(ISERROR(SEARCH("欠",AH190)))</formula>
    </cfRule>
  </conditionalFormatting>
  <conditionalFormatting sqref="AI190">
    <cfRule type="containsText" dxfId="0" priority="3851" operator="between" text="欠">
      <formula>NOT(ISERROR(SEARCH("欠",AI190)))</formula>
    </cfRule>
  </conditionalFormatting>
  <conditionalFormatting sqref="X191:Y191">
    <cfRule type="containsText" dxfId="0" priority="3866" operator="between" text="欠">
      <formula>NOT(ISERROR(SEARCH("欠",X191)))</formula>
    </cfRule>
  </conditionalFormatting>
  <conditionalFormatting sqref="Z191">
    <cfRule type="containsText" dxfId="0" priority="3870" operator="between" text="欠">
      <formula>NOT(ISERROR(SEARCH("欠",Z191)))</formula>
    </cfRule>
  </conditionalFormatting>
  <conditionalFormatting sqref="AC191">
    <cfRule type="containsText" dxfId="0" priority="3859" operator="between" text="欠">
      <formula>NOT(ISERROR(SEARCH("欠",AC191)))</formula>
    </cfRule>
  </conditionalFormatting>
  <conditionalFormatting sqref="AD191">
    <cfRule type="containsText" dxfId="0" priority="3868" operator="between" text="欠">
      <formula>NOT(ISERROR(SEARCH("欠",AD191)))</formula>
    </cfRule>
  </conditionalFormatting>
  <conditionalFormatting sqref="AF191">
    <cfRule type="containsText" dxfId="0" priority="3857" operator="between" text="欠">
      <formula>NOT(ISERROR(SEARCH("欠",AF191)))</formula>
    </cfRule>
  </conditionalFormatting>
  <conditionalFormatting sqref="AH191">
    <cfRule type="containsText" dxfId="0" priority="3865" operator="between" text="欠">
      <formula>NOT(ISERROR(SEARCH("欠",AH191)))</formula>
    </cfRule>
  </conditionalFormatting>
  <conditionalFormatting sqref="AI191">
    <cfRule type="containsText" dxfId="0" priority="3869" operator="between" text="欠">
      <formula>NOT(ISERROR(SEARCH("欠",AI191)))</formula>
    </cfRule>
  </conditionalFormatting>
  <conditionalFormatting sqref="X192">
    <cfRule type="containsText" dxfId="0" priority="3879" operator="between" text="欠">
      <formula>NOT(ISERROR(SEARCH("欠",X192)))</formula>
    </cfRule>
  </conditionalFormatting>
  <conditionalFormatting sqref="Y192">
    <cfRule type="containsText" dxfId="0" priority="3872" operator="between" text="欠">
      <formula>NOT(ISERROR(SEARCH("欠",Y192)))</formula>
    </cfRule>
  </conditionalFormatting>
  <conditionalFormatting sqref="Z192">
    <cfRule type="containsText" dxfId="0" priority="3878" operator="between" text="欠">
      <formula>NOT(ISERROR(SEARCH("欠",Z192)))</formula>
    </cfRule>
  </conditionalFormatting>
  <conditionalFormatting sqref="AC192:AD192">
    <cfRule type="containsText" dxfId="0" priority="3876" operator="between" text="欠">
      <formula>NOT(ISERROR(SEARCH("欠",AC192)))</formula>
    </cfRule>
  </conditionalFormatting>
  <conditionalFormatting sqref="AE192">
    <cfRule type="containsText" dxfId="0" priority="3874" operator="between" text="欠">
      <formula>NOT(ISERROR(SEARCH("欠",AE192)))</formula>
    </cfRule>
  </conditionalFormatting>
  <conditionalFormatting sqref="AF192">
    <cfRule type="containsText" dxfId="0" priority="3877" operator="between" text="欠">
      <formula>NOT(ISERROR(SEARCH("欠",AF192)))</formula>
    </cfRule>
  </conditionalFormatting>
  <conditionalFormatting sqref="AG192">
    <cfRule type="containsText" dxfId="0" priority="3873" operator="between" text="欠">
      <formula>NOT(ISERROR(SEARCH("欠",AG192)))</formula>
    </cfRule>
  </conditionalFormatting>
  <conditionalFormatting sqref="AH192">
    <cfRule type="containsText" dxfId="0" priority="3875" operator="between" text="欠">
      <formula>NOT(ISERROR(SEARCH("欠",AH192)))</formula>
    </cfRule>
  </conditionalFormatting>
  <conditionalFormatting sqref="AI192">
    <cfRule type="containsText" dxfId="0" priority="3852" operator="between" text="欠">
      <formula>NOT(ISERROR(SEARCH("欠",AI192)))</formula>
    </cfRule>
  </conditionalFormatting>
  <conditionalFormatting sqref="AC194">
    <cfRule type="containsText" dxfId="0" priority="3833" operator="between" text="欠">
      <formula>NOT(ISERROR(SEARCH("欠",AC194)))</formula>
    </cfRule>
  </conditionalFormatting>
  <conditionalFormatting sqref="AD194">
    <cfRule type="containsText" dxfId="0" priority="3832" operator="between" text="欠">
      <formula>NOT(ISERROR(SEARCH("欠",AD194)))</formula>
    </cfRule>
  </conditionalFormatting>
  <conditionalFormatting sqref="AI198">
    <cfRule type="containsText" dxfId="0" priority="3806" operator="between" text="欠">
      <formula>NOT(ISERROR(SEARCH("欠",AI198)))</formula>
    </cfRule>
  </conditionalFormatting>
  <conditionalFormatting sqref="AC199">
    <cfRule type="containsText" dxfId="0" priority="3790" operator="between" text="欠">
      <formula>NOT(ISERROR(SEARCH("欠",AC199)))</formula>
    </cfRule>
  </conditionalFormatting>
  <conditionalFormatting sqref="AD199">
    <cfRule type="containsText" dxfId="0" priority="3791" operator="between" text="欠">
      <formula>NOT(ISERROR(SEARCH("欠",AD199)))</formula>
    </cfRule>
  </conditionalFormatting>
  <conditionalFormatting sqref="AI200">
    <cfRule type="containsText" dxfId="0" priority="3789" operator="between" text="欠">
      <formula>NOT(ISERROR(SEARCH("欠",AI200)))</formula>
    </cfRule>
  </conditionalFormatting>
  <conditionalFormatting sqref="AI201">
    <cfRule type="containsText" dxfId="0" priority="3809" operator="between" text="欠">
      <formula>NOT(ISERROR(SEARCH("欠",AI201)))</formula>
    </cfRule>
  </conditionalFormatting>
  <conditionalFormatting sqref="AF202">
    <cfRule type="containsText" dxfId="0" priority="3805" operator="between" text="欠">
      <formula>NOT(ISERROR(SEARCH("欠",AF202)))</formula>
    </cfRule>
  </conditionalFormatting>
  <conditionalFormatting sqref="AI203">
    <cfRule type="containsText" dxfId="0" priority="3788" operator="between" text="欠">
      <formula>NOT(ISERROR(SEARCH("欠",AI203)))</formula>
    </cfRule>
  </conditionalFormatting>
  <conditionalFormatting sqref="X204">
    <cfRule type="containsText" dxfId="0" priority="3795" operator="between" text="欠">
      <formula>NOT(ISERROR(SEARCH("欠",X204)))</formula>
    </cfRule>
  </conditionalFormatting>
  <conditionalFormatting sqref="Y204">
    <cfRule type="containsText" dxfId="0" priority="3798" operator="between" text="欠">
      <formula>NOT(ISERROR(SEARCH("欠",Y204)))</formula>
    </cfRule>
  </conditionalFormatting>
  <conditionalFormatting sqref="Z204">
    <cfRule type="containsText" dxfId="0" priority="3797" operator="between" text="欠">
      <formula>NOT(ISERROR(SEARCH("欠",Z204)))</formula>
    </cfRule>
  </conditionalFormatting>
  <conditionalFormatting sqref="AA204:AB204">
    <cfRule type="containsText" dxfId="0" priority="3796" operator="between" text="欠">
      <formula>NOT(ISERROR(SEARCH("欠",AA204)))</formula>
    </cfRule>
  </conditionalFormatting>
  <conditionalFormatting sqref="AC204:AD204">
    <cfRule type="containsText" dxfId="0" priority="3794" operator="between" text="欠">
      <formula>NOT(ISERROR(SEARCH("欠",AC204)))</formula>
    </cfRule>
  </conditionalFormatting>
  <conditionalFormatting sqref="AE204">
    <cfRule type="containsText" dxfId="0" priority="3793" operator="between" text="欠">
      <formula>NOT(ISERROR(SEARCH("欠",AE204)))</formula>
    </cfRule>
  </conditionalFormatting>
  <conditionalFormatting sqref="AF204">
    <cfRule type="containsText" dxfId="0" priority="3808" operator="between" text="欠">
      <formula>NOT(ISERROR(SEARCH("欠",AF204)))</formula>
    </cfRule>
  </conditionalFormatting>
  <conditionalFormatting sqref="AG204:AH204">
    <cfRule type="containsText" dxfId="0" priority="3792" operator="between" text="欠">
      <formula>NOT(ISERROR(SEARCH("欠",AG204)))</formula>
    </cfRule>
  </conditionalFormatting>
  <conditionalFormatting sqref="AI204">
    <cfRule type="containsText" dxfId="0" priority="3811" operator="between" text="欠">
      <formula>NOT(ISERROR(SEARCH("欠",AI204)))</formula>
    </cfRule>
  </conditionalFormatting>
  <conditionalFormatting sqref="B205">
    <cfRule type="containsText" dxfId="1" priority="3770" operator="between" text="异常">
      <formula>NOT(ISERROR(SEARCH("异常",B205)))</formula>
    </cfRule>
  </conditionalFormatting>
  <conditionalFormatting sqref="C205">
    <cfRule type="containsText" dxfId="2" priority="3771" operator="between" text="二代">
      <formula>NOT(ISERROR(SEARCH("二代",C205)))</formula>
    </cfRule>
    <cfRule type="containsText" dxfId="3" priority="3772" operator="between" text="蛋糕">
      <formula>NOT(ISERROR(SEARCH("蛋糕",C205)))</formula>
    </cfRule>
  </conditionalFormatting>
  <conditionalFormatting sqref="X205:Y205">
    <cfRule type="containsText" dxfId="0" priority="3780" operator="between" text="欠">
      <formula>NOT(ISERROR(SEARCH("欠",X205)))</formula>
    </cfRule>
  </conditionalFormatting>
  <conditionalFormatting sqref="Z205">
    <cfRule type="containsText" dxfId="0" priority="3781" operator="between" text="欠">
      <formula>NOT(ISERROR(SEARCH("欠",Z205)))</formula>
    </cfRule>
  </conditionalFormatting>
  <conditionalFormatting sqref="AA205">
    <cfRule type="containsText" dxfId="0" priority="3779" operator="between" text="欠">
      <formula>NOT(ISERROR(SEARCH("欠",AA205)))</formula>
    </cfRule>
  </conditionalFormatting>
  <conditionalFormatting sqref="AB205">
    <cfRule type="containsText" dxfId="0" priority="3774" operator="between" text="欠">
      <formula>NOT(ISERROR(SEARCH("欠",AB205)))</formula>
    </cfRule>
  </conditionalFormatting>
  <conditionalFormatting sqref="AC205:AD205">
    <cfRule type="containsText" dxfId="0" priority="3773" operator="between" text="欠">
      <formula>NOT(ISERROR(SEARCH("欠",AC205)))</formula>
    </cfRule>
  </conditionalFormatting>
  <conditionalFormatting sqref="AF205">
    <cfRule type="containsText" dxfId="0" priority="3777" operator="between" text="欠">
      <formula>NOT(ISERROR(SEARCH("欠",AF205)))</formula>
    </cfRule>
  </conditionalFormatting>
  <conditionalFormatting sqref="AH205">
    <cfRule type="containsText" dxfId="0" priority="3778" operator="between" text="欠">
      <formula>NOT(ISERROR(SEARCH("欠",AH205)))</formula>
    </cfRule>
  </conditionalFormatting>
  <conditionalFormatting sqref="AI205">
    <cfRule type="containsText" dxfId="0" priority="3776" operator="between" text="欠">
      <formula>NOT(ISERROR(SEARCH("欠",AI205)))</formula>
    </cfRule>
  </conditionalFormatting>
  <conditionalFormatting sqref="AK205">
    <cfRule type="containsText" dxfId="0" priority="3775" operator="between" text="欠">
      <formula>NOT(ISERROR(SEARCH("欠",AK205)))</formula>
    </cfRule>
  </conditionalFormatting>
  <conditionalFormatting sqref="Y206">
    <cfRule type="containsText" dxfId="0" priority="3765" operator="between" text="欠">
      <formula>NOT(ISERROR(SEARCH("欠",Y206)))</formula>
    </cfRule>
  </conditionalFormatting>
  <conditionalFormatting sqref="AC206:AD206">
    <cfRule type="containsText" dxfId="0" priority="3763" operator="between" text="欠">
      <formula>NOT(ISERROR(SEARCH("欠",AC206)))</formula>
    </cfRule>
  </conditionalFormatting>
  <conditionalFormatting sqref="AH206">
    <cfRule type="containsText" dxfId="0" priority="3761" operator="between" text="欠">
      <formula>NOT(ISERROR(SEARCH("欠",AH206)))</formula>
    </cfRule>
  </conditionalFormatting>
  <conditionalFormatting sqref="AC207:AD207">
    <cfRule type="containsText" dxfId="0" priority="3762" operator="between" text="欠">
      <formula>NOT(ISERROR(SEARCH("欠",AC207)))</formula>
    </cfRule>
  </conditionalFormatting>
  <conditionalFormatting sqref="AH207">
    <cfRule type="containsText" dxfId="0" priority="3760" operator="between" text="欠">
      <formula>NOT(ISERROR(SEARCH("欠",AH207)))</formula>
    </cfRule>
  </conditionalFormatting>
  <conditionalFormatting sqref="AI207">
    <cfRule type="containsText" dxfId="0" priority="3749" operator="between" text="欠">
      <formula>NOT(ISERROR(SEARCH("欠",AI207)))</formula>
    </cfRule>
  </conditionalFormatting>
  <conditionalFormatting sqref="X208">
    <cfRule type="containsText" dxfId="0" priority="3752" operator="between" text="欠">
      <formula>NOT(ISERROR(SEARCH("欠",X208)))</formula>
    </cfRule>
  </conditionalFormatting>
  <conditionalFormatting sqref="AC208:AD208">
    <cfRule type="containsText" dxfId="0" priority="3750" operator="between" text="欠">
      <formula>NOT(ISERROR(SEARCH("欠",AC208)))</formula>
    </cfRule>
  </conditionalFormatting>
  <conditionalFormatting sqref="AE208">
    <cfRule type="containsText" dxfId="0" priority="3755" operator="between" text="欠">
      <formula>NOT(ISERROR(SEARCH("欠",AE208)))</formula>
    </cfRule>
  </conditionalFormatting>
  <conditionalFormatting sqref="AG208">
    <cfRule type="containsText" dxfId="0" priority="3753" operator="between" text="欠">
      <formula>NOT(ISERROR(SEARCH("欠",AG208)))</formula>
    </cfRule>
  </conditionalFormatting>
  <conditionalFormatting sqref="AH208">
    <cfRule type="containsText" dxfId="0" priority="3754" operator="between" text="欠">
      <formula>NOT(ISERROR(SEARCH("欠",AH208)))</formula>
    </cfRule>
  </conditionalFormatting>
  <conditionalFormatting sqref="AI208">
    <cfRule type="containsText" dxfId="0" priority="3751" operator="between" text="欠">
      <formula>NOT(ISERROR(SEARCH("欠",AI208)))</formula>
    </cfRule>
  </conditionalFormatting>
  <conditionalFormatting sqref="B209">
    <cfRule type="containsText" dxfId="1" priority="3720" operator="between" text="异常">
      <formula>NOT(ISERROR(SEARCH("异常",B209)))</formula>
    </cfRule>
  </conditionalFormatting>
  <conditionalFormatting sqref="C209">
    <cfRule type="containsText" dxfId="3" priority="3719" operator="between" text="蛋糕">
      <formula>NOT(ISERROR(SEARCH("蛋糕",C209)))</formula>
    </cfRule>
    <cfRule type="containsText" dxfId="2" priority="3718" operator="between" text="二代">
      <formula>NOT(ISERROR(SEARCH("二代",C209)))</formula>
    </cfRule>
  </conditionalFormatting>
  <conditionalFormatting sqref="X209">
    <cfRule type="containsText" dxfId="0" priority="3731" operator="between" text="欠">
      <formula>NOT(ISERROR(SEARCH("欠",X209)))</formula>
    </cfRule>
  </conditionalFormatting>
  <conditionalFormatting sqref="Y209">
    <cfRule type="containsText" dxfId="0" priority="3727" operator="between" text="欠">
      <formula>NOT(ISERROR(SEARCH("欠",Y209)))</formula>
    </cfRule>
  </conditionalFormatting>
  <conditionalFormatting sqref="Z209">
    <cfRule type="containsText" dxfId="0" priority="3730" operator="between" text="欠">
      <formula>NOT(ISERROR(SEARCH("欠",Z209)))</formula>
    </cfRule>
  </conditionalFormatting>
  <conditionalFormatting sqref="AA209">
    <cfRule type="containsText" dxfId="0" priority="3725" operator="between" text="欠">
      <formula>NOT(ISERROR(SEARCH("欠",AA209)))</formula>
    </cfRule>
  </conditionalFormatting>
  <conditionalFormatting sqref="AB209">
    <cfRule type="containsText" dxfId="0" priority="3724" operator="between" text="欠">
      <formula>NOT(ISERROR(SEARCH("欠",AB209)))</formula>
    </cfRule>
  </conditionalFormatting>
  <conditionalFormatting sqref="AC209">
    <cfRule type="containsText" dxfId="0" priority="3723" operator="between" text="欠">
      <formula>NOT(ISERROR(SEARCH("欠",AC209)))</formula>
    </cfRule>
  </conditionalFormatting>
  <conditionalFormatting sqref="AD209">
    <cfRule type="containsText" dxfId="0" priority="3721" operator="between" text="欠">
      <formula>NOT(ISERROR(SEARCH("欠",AD209)))</formula>
    </cfRule>
  </conditionalFormatting>
  <conditionalFormatting sqref="AE209">
    <cfRule type="containsText" dxfId="0" priority="3729" operator="between" text="欠">
      <formula>NOT(ISERROR(SEARCH("欠",AE209)))</formula>
    </cfRule>
  </conditionalFormatting>
  <conditionalFormatting sqref="AF209">
    <cfRule type="containsText" dxfId="0" priority="3732" operator="between" text="欠">
      <formula>NOT(ISERROR(SEARCH("欠",AF209)))</formula>
    </cfRule>
  </conditionalFormatting>
  <conditionalFormatting sqref="AG209">
    <cfRule type="containsText" dxfId="0" priority="3726" operator="between" text="欠">
      <formula>NOT(ISERROR(SEARCH("欠",AG209)))</formula>
    </cfRule>
  </conditionalFormatting>
  <conditionalFormatting sqref="AH209">
    <cfRule type="containsText" dxfId="0" priority="3722" operator="between" text="欠">
      <formula>NOT(ISERROR(SEARCH("欠",AH209)))</formula>
    </cfRule>
  </conditionalFormatting>
  <conditionalFormatting sqref="AI209">
    <cfRule type="containsText" dxfId="0" priority="3728" operator="between" text="欠">
      <formula>NOT(ISERROR(SEARCH("欠",AI209)))</formula>
    </cfRule>
  </conditionalFormatting>
  <conditionalFormatting sqref="B210">
    <cfRule type="containsText" dxfId="1" priority="3735" operator="between" text="异常">
      <formula>NOT(ISERROR(SEARCH("异常",B210)))</formula>
    </cfRule>
  </conditionalFormatting>
  <conditionalFormatting sqref="C210">
    <cfRule type="containsText" dxfId="2" priority="3733" operator="between" text="二代">
      <formula>NOT(ISERROR(SEARCH("二代",C210)))</formula>
    </cfRule>
    <cfRule type="containsText" dxfId="3" priority="3734" operator="between" text="蛋糕">
      <formula>NOT(ISERROR(SEARCH("蛋糕",C210)))</formula>
    </cfRule>
  </conditionalFormatting>
  <conditionalFormatting sqref="X210">
    <cfRule type="containsText" dxfId="0" priority="3744" operator="between" text="欠">
      <formula>NOT(ISERROR(SEARCH("欠",X210)))</formula>
    </cfRule>
  </conditionalFormatting>
  <conditionalFormatting sqref="Y210">
    <cfRule type="containsText" dxfId="0" priority="3740" operator="between" text="欠">
      <formula>NOT(ISERROR(SEARCH("欠",Y210)))</formula>
    </cfRule>
  </conditionalFormatting>
  <conditionalFormatting sqref="Z210">
    <cfRule type="containsText" dxfId="0" priority="3739" operator="between" text="欠">
      <formula>NOT(ISERROR(SEARCH("欠",Z210)))</formula>
    </cfRule>
  </conditionalFormatting>
  <conditionalFormatting sqref="AA210:AB210">
    <cfRule type="containsText" dxfId="0" priority="3738" operator="between" text="欠">
      <formula>NOT(ISERROR(SEARCH("欠",AA210)))</formula>
    </cfRule>
  </conditionalFormatting>
  <conditionalFormatting sqref="AC210:AD210">
    <cfRule type="containsText" dxfId="0" priority="3743" operator="between" text="欠">
      <formula>NOT(ISERROR(SEARCH("欠",AC210)))</formula>
    </cfRule>
  </conditionalFormatting>
  <conditionalFormatting sqref="AE210">
    <cfRule type="containsText" dxfId="0" priority="3737" operator="between" text="欠">
      <formula>NOT(ISERROR(SEARCH("欠",AE210)))</formula>
    </cfRule>
  </conditionalFormatting>
  <conditionalFormatting sqref="AF210">
    <cfRule type="containsText" dxfId="0" priority="3745" operator="between" text="欠">
      <formula>NOT(ISERROR(SEARCH("欠",AF210)))</formula>
    </cfRule>
  </conditionalFormatting>
  <conditionalFormatting sqref="AG210">
    <cfRule type="containsText" dxfId="0" priority="3736" operator="between" text="欠">
      <formula>NOT(ISERROR(SEARCH("欠",AG210)))</formula>
    </cfRule>
  </conditionalFormatting>
  <conditionalFormatting sqref="AH210">
    <cfRule type="containsText" dxfId="0" priority="3742" operator="between" text="欠">
      <formula>NOT(ISERROR(SEARCH("欠",AH210)))</formula>
    </cfRule>
  </conditionalFormatting>
  <conditionalFormatting sqref="AI210">
    <cfRule type="containsText" dxfId="0" priority="3741" operator="between" text="欠">
      <formula>NOT(ISERROR(SEARCH("欠",AI210)))</formula>
    </cfRule>
  </conditionalFormatting>
  <conditionalFormatting sqref="Y211">
    <cfRule type="containsText" dxfId="0" priority="3695" operator="between" text="欠">
      <formula>NOT(ISERROR(SEARCH("欠",Y211)))</formula>
    </cfRule>
  </conditionalFormatting>
  <conditionalFormatting sqref="AC211">
    <cfRule type="containsText" dxfId="0" priority="3701" operator="between" text="欠">
      <formula>NOT(ISERROR(SEARCH("欠",AC211)))</formula>
    </cfRule>
  </conditionalFormatting>
  <conditionalFormatting sqref="AF211">
    <cfRule type="containsText" dxfId="0" priority="3703" operator="between" text="欠">
      <formula>NOT(ISERROR(SEARCH("欠",AF211)))</formula>
    </cfRule>
  </conditionalFormatting>
  <conditionalFormatting sqref="AI211">
    <cfRule type="containsText" dxfId="0" priority="3696" operator="between" text="欠">
      <formula>NOT(ISERROR(SEARCH("欠",AI211)))</formula>
    </cfRule>
  </conditionalFormatting>
  <conditionalFormatting sqref="AL211">
    <cfRule type="containsText" dxfId="0" priority="3689" operator="between" text="欠">
      <formula>NOT(ISERROR(SEARCH("欠",AL211)))</formula>
    </cfRule>
  </conditionalFormatting>
  <conditionalFormatting sqref="Y212">
    <cfRule type="containsText" dxfId="0" priority="3688" operator="between" text="欠">
      <formula>NOT(ISERROR(SEARCH("欠",Y212)))</formula>
    </cfRule>
  </conditionalFormatting>
  <conditionalFormatting sqref="AC212">
    <cfRule type="containsText" dxfId="0" priority="3700" operator="between" text="欠">
      <formula>NOT(ISERROR(SEARCH("欠",AC212)))</formula>
    </cfRule>
  </conditionalFormatting>
  <conditionalFormatting sqref="AF212">
    <cfRule type="containsText" dxfId="0" priority="3694" operator="between" text="欠">
      <formula>NOT(ISERROR(SEARCH("欠",AF212)))</formula>
    </cfRule>
  </conditionalFormatting>
  <conditionalFormatting sqref="AI212">
    <cfRule type="containsText" dxfId="0" priority="3697" operator="between" text="欠">
      <formula>NOT(ISERROR(SEARCH("欠",AI212)))</formula>
    </cfRule>
  </conditionalFormatting>
  <conditionalFormatting sqref="AL212">
    <cfRule type="containsText" dxfId="0" priority="3686" operator="between" text="欠">
      <formula>NOT(ISERROR(SEARCH("欠",AL212)))</formula>
    </cfRule>
  </conditionalFormatting>
  <conditionalFormatting sqref="B213">
    <cfRule type="containsText" dxfId="1" priority="3671" operator="between" text="异常">
      <formula>NOT(ISERROR(SEARCH("异常",B213)))</formula>
    </cfRule>
  </conditionalFormatting>
  <conditionalFormatting sqref="C213">
    <cfRule type="containsText" dxfId="2" priority="3669" operator="between" text="二代">
      <formula>NOT(ISERROR(SEARCH("二代",C213)))</formula>
    </cfRule>
    <cfRule type="containsText" dxfId="3" priority="3670" operator="between" text="蛋糕">
      <formula>NOT(ISERROR(SEARCH("蛋糕",C213)))</formula>
    </cfRule>
  </conditionalFormatting>
  <conditionalFormatting sqref="X213">
    <cfRule type="containsText" dxfId="0" priority="3680" operator="between" text="欠">
      <formula>NOT(ISERROR(SEARCH("欠",X213)))</formula>
    </cfRule>
  </conditionalFormatting>
  <conditionalFormatting sqref="Y213">
    <cfRule type="containsText" dxfId="0" priority="3672" operator="between" text="欠">
      <formula>NOT(ISERROR(SEARCH("欠",Y213)))</formula>
    </cfRule>
  </conditionalFormatting>
  <conditionalFormatting sqref="Z213">
    <cfRule type="containsText" dxfId="0" priority="3681" operator="between" text="欠">
      <formula>NOT(ISERROR(SEARCH("欠",Z213)))</formula>
    </cfRule>
  </conditionalFormatting>
  <conditionalFormatting sqref="AA213:AB213">
    <cfRule type="containsText" dxfId="0" priority="3676" operator="between" text="欠">
      <formula>NOT(ISERROR(SEARCH("欠",AA213)))</formula>
    </cfRule>
  </conditionalFormatting>
  <conditionalFormatting sqref="AC213">
    <cfRule type="containsText" dxfId="0" priority="3682" operator="between" text="欠">
      <formula>NOT(ISERROR(SEARCH("欠",AC213)))</formula>
    </cfRule>
  </conditionalFormatting>
  <conditionalFormatting sqref="AD213">
    <cfRule type="containsText" dxfId="0" priority="3683" operator="between" text="欠">
      <formula>NOT(ISERROR(SEARCH("欠",AD213)))</formula>
    </cfRule>
  </conditionalFormatting>
  <conditionalFormatting sqref="AE213">
    <cfRule type="containsText" dxfId="0" priority="3677" operator="between" text="欠">
      <formula>NOT(ISERROR(SEARCH("欠",AE213)))</formula>
    </cfRule>
  </conditionalFormatting>
  <conditionalFormatting sqref="AF213">
    <cfRule type="containsText" dxfId="0" priority="3678" operator="between" text="欠">
      <formula>NOT(ISERROR(SEARCH("欠",AF213)))</formula>
    </cfRule>
  </conditionalFormatting>
  <conditionalFormatting sqref="AG213">
    <cfRule type="containsText" dxfId="0" priority="3674" operator="between" text="欠">
      <formula>NOT(ISERROR(SEARCH("欠",AG213)))</formula>
    </cfRule>
  </conditionalFormatting>
  <conditionalFormatting sqref="AH213">
    <cfRule type="containsText" dxfId="0" priority="3675" operator="between" text="欠">
      <formula>NOT(ISERROR(SEARCH("欠",AH213)))</formula>
    </cfRule>
  </conditionalFormatting>
  <conditionalFormatting sqref="AI213">
    <cfRule type="containsText" dxfId="0" priority="3679" operator="between" text="欠">
      <formula>NOT(ISERROR(SEARCH("欠",AI213)))</formula>
    </cfRule>
  </conditionalFormatting>
  <conditionalFormatting sqref="AL213">
    <cfRule type="containsText" dxfId="0" priority="3673" operator="between" text="欠">
      <formula>NOT(ISERROR(SEARCH("欠",AL213)))</formula>
    </cfRule>
  </conditionalFormatting>
  <conditionalFormatting sqref="B214">
    <cfRule type="containsText" dxfId="1" priority="3655" operator="between" text="异常">
      <formula>NOT(ISERROR(SEARCH("异常",B214)))</formula>
    </cfRule>
  </conditionalFormatting>
  <conditionalFormatting sqref="C214">
    <cfRule type="containsText" dxfId="3" priority="3654" operator="between" text="蛋糕">
      <formula>NOT(ISERROR(SEARCH("蛋糕",C214)))</formula>
    </cfRule>
    <cfRule type="containsText" dxfId="2" priority="3653" operator="between" text="二代">
      <formula>NOT(ISERROR(SEARCH("二代",C214)))</formula>
    </cfRule>
  </conditionalFormatting>
  <conditionalFormatting sqref="X214">
    <cfRule type="containsText" dxfId="0" priority="3660" operator="between" text="欠">
      <formula>NOT(ISERROR(SEARCH("欠",X214)))</formula>
    </cfRule>
  </conditionalFormatting>
  <conditionalFormatting sqref="Y214">
    <cfRule type="containsText" dxfId="0" priority="3657" operator="between" text="欠">
      <formula>NOT(ISERROR(SEARCH("欠",Y214)))</formula>
    </cfRule>
  </conditionalFormatting>
  <conditionalFormatting sqref="Z214">
    <cfRule type="containsText" dxfId="0" priority="3665" operator="between" text="欠">
      <formula>NOT(ISERROR(SEARCH("欠",Z214)))</formula>
    </cfRule>
  </conditionalFormatting>
  <conditionalFormatting sqref="AA214">
    <cfRule type="containsText" dxfId="0" priority="3659" operator="between" text="欠">
      <formula>NOT(ISERROR(SEARCH("欠",AA214)))</formula>
    </cfRule>
  </conditionalFormatting>
  <conditionalFormatting sqref="AB214">
    <cfRule type="containsText" dxfId="0" priority="3656" operator="between" text="欠">
      <formula>NOT(ISERROR(SEARCH("欠",AB214)))</formula>
    </cfRule>
  </conditionalFormatting>
  <conditionalFormatting sqref="AC214">
    <cfRule type="containsText" dxfId="0" priority="3666" operator="between" text="欠">
      <formula>NOT(ISERROR(SEARCH("欠",AC214)))</formula>
    </cfRule>
  </conditionalFormatting>
  <conditionalFormatting sqref="AD214">
    <cfRule type="containsText" dxfId="0" priority="3667" operator="between" text="欠">
      <formula>NOT(ISERROR(SEARCH("欠",AD214)))</formula>
    </cfRule>
  </conditionalFormatting>
  <conditionalFormatting sqref="AE214">
    <cfRule type="containsText" dxfId="0" priority="3662" operator="between" text="欠">
      <formula>NOT(ISERROR(SEARCH("欠",AE214)))</formula>
    </cfRule>
  </conditionalFormatting>
  <conditionalFormatting sqref="AF214">
    <cfRule type="containsText" dxfId="0" priority="3668" operator="between" text="欠">
      <formula>NOT(ISERROR(SEARCH("欠",AF214)))</formula>
    </cfRule>
  </conditionalFormatting>
  <conditionalFormatting sqref="AG214">
    <cfRule type="containsText" dxfId="0" priority="3661" operator="between" text="欠">
      <formula>NOT(ISERROR(SEARCH("欠",AG214)))</formula>
    </cfRule>
  </conditionalFormatting>
  <conditionalFormatting sqref="AH214">
    <cfRule type="containsText" dxfId="0" priority="3663" operator="between" text="欠">
      <formula>NOT(ISERROR(SEARCH("欠",AH214)))</formula>
    </cfRule>
  </conditionalFormatting>
  <conditionalFormatting sqref="AI214">
    <cfRule type="containsText" dxfId="0" priority="3664" operator="between" text="欠">
      <formula>NOT(ISERROR(SEARCH("欠",AI214)))</formula>
    </cfRule>
  </conditionalFormatting>
  <conditionalFormatting sqref="AL214">
    <cfRule type="containsText" dxfId="0" priority="3658" operator="between" text="欠">
      <formula>NOT(ISERROR(SEARCH("欠",AL214)))</formula>
    </cfRule>
  </conditionalFormatting>
  <conditionalFormatting sqref="B215">
    <cfRule type="containsText" dxfId="1" priority="3706" operator="between" text="异常">
      <formula>NOT(ISERROR(SEARCH("异常",B215)))</formula>
    </cfRule>
  </conditionalFormatting>
  <conditionalFormatting sqref="C215">
    <cfRule type="containsText" dxfId="2" priority="3704" operator="between" text="二代">
      <formula>NOT(ISERROR(SEARCH("二代",C215)))</formula>
    </cfRule>
    <cfRule type="containsText" dxfId="3" priority="3705" operator="between" text="蛋糕">
      <formula>NOT(ISERROR(SEARCH("蛋糕",C215)))</formula>
    </cfRule>
  </conditionalFormatting>
  <conditionalFormatting sqref="X215">
    <cfRule type="containsText" dxfId="0" priority="3717" operator="between" text="欠">
      <formula>NOT(ISERROR(SEARCH("欠",X215)))</formula>
    </cfRule>
  </conditionalFormatting>
  <conditionalFormatting sqref="Y215">
    <cfRule type="containsText" dxfId="0" priority="3716" operator="between" text="欠">
      <formula>NOT(ISERROR(SEARCH("欠",Y215)))</formula>
    </cfRule>
  </conditionalFormatting>
  <conditionalFormatting sqref="Z215">
    <cfRule type="containsText" dxfId="0" priority="3713" operator="between" text="欠">
      <formula>NOT(ISERROR(SEARCH("欠",Z215)))</formula>
    </cfRule>
  </conditionalFormatting>
  <conditionalFormatting sqref="AA215:AB215">
    <cfRule type="containsText" dxfId="0" priority="3709" operator="between" text="欠">
      <formula>NOT(ISERROR(SEARCH("欠",AA215)))</formula>
    </cfRule>
  </conditionalFormatting>
  <conditionalFormatting sqref="AC215">
    <cfRule type="containsText" dxfId="0" priority="3714" operator="between" text="欠">
      <formula>NOT(ISERROR(SEARCH("欠",AC215)))</formula>
    </cfRule>
  </conditionalFormatting>
  <conditionalFormatting sqref="AD215">
    <cfRule type="containsText" dxfId="0" priority="3715" operator="between" text="欠">
      <formula>NOT(ISERROR(SEARCH("欠",AD215)))</formula>
    </cfRule>
  </conditionalFormatting>
  <conditionalFormatting sqref="AE215">
    <cfRule type="containsText" dxfId="0" priority="3710" operator="between" text="欠">
      <formula>NOT(ISERROR(SEARCH("欠",AE215)))</formula>
    </cfRule>
  </conditionalFormatting>
  <conditionalFormatting sqref="AF215">
    <cfRule type="containsText" dxfId="0" priority="3711" operator="between" text="欠">
      <formula>NOT(ISERROR(SEARCH("欠",AF215)))</formula>
    </cfRule>
  </conditionalFormatting>
  <conditionalFormatting sqref="AG215">
    <cfRule type="containsText" dxfId="0" priority="3707" operator="between" text="欠">
      <formula>NOT(ISERROR(SEARCH("欠",AG215)))</formula>
    </cfRule>
  </conditionalFormatting>
  <conditionalFormatting sqref="AH215">
    <cfRule type="containsText" dxfId="0" priority="3708" operator="between" text="欠">
      <formula>NOT(ISERROR(SEARCH("欠",AH215)))</formula>
    </cfRule>
  </conditionalFormatting>
  <conditionalFormatting sqref="AI215">
    <cfRule type="containsText" dxfId="0" priority="3712" operator="between" text="欠">
      <formula>NOT(ISERROR(SEARCH("欠",AI215)))</formula>
    </cfRule>
  </conditionalFormatting>
  <conditionalFormatting sqref="AC216">
    <cfRule type="containsText" dxfId="0" priority="3639" operator="between" text="欠">
      <formula>NOT(ISERROR(SEARCH("欠",AC216)))</formula>
    </cfRule>
  </conditionalFormatting>
  <conditionalFormatting sqref="AD216">
    <cfRule type="containsText" dxfId="0" priority="3640" operator="between" text="欠">
      <formula>NOT(ISERROR(SEARCH("欠",AD216)))</formula>
    </cfRule>
  </conditionalFormatting>
  <conditionalFormatting sqref="AF216">
    <cfRule type="containsText" dxfId="0" priority="3646" operator="between" text="欠">
      <formula>NOT(ISERROR(SEARCH("欠",AF216)))</formula>
    </cfRule>
  </conditionalFormatting>
  <conditionalFormatting sqref="AI216">
    <cfRule type="containsText" dxfId="0" priority="3648" operator="between" text="欠">
      <formula>NOT(ISERROR(SEARCH("欠",AI216)))</formula>
    </cfRule>
  </conditionalFormatting>
  <conditionalFormatting sqref="AC217">
    <cfRule type="containsText" dxfId="0" priority="3637" operator="between" text="欠">
      <formula>NOT(ISERROR(SEARCH("欠",AC217)))</formula>
    </cfRule>
  </conditionalFormatting>
  <conditionalFormatting sqref="AD217">
    <cfRule type="containsText" dxfId="0" priority="3638" operator="between" text="欠">
      <formula>NOT(ISERROR(SEARCH("欠",AD217)))</formula>
    </cfRule>
  </conditionalFormatting>
  <conditionalFormatting sqref="AI217">
    <cfRule type="containsText" dxfId="0" priority="3636" operator="between" text="欠">
      <formula>NOT(ISERROR(SEARCH("欠",AI217)))</formula>
    </cfRule>
  </conditionalFormatting>
  <conditionalFormatting sqref="AC218">
    <cfRule type="containsText" dxfId="0" priority="3650" operator="between" text="欠">
      <formula>NOT(ISERROR(SEARCH("欠",AC218)))</formula>
    </cfRule>
  </conditionalFormatting>
  <conditionalFormatting sqref="AD218">
    <cfRule type="containsText" dxfId="0" priority="3651" operator="between" text="欠">
      <formula>NOT(ISERROR(SEARCH("欠",AD218)))</formula>
    </cfRule>
  </conditionalFormatting>
  <conditionalFormatting sqref="AI218">
    <cfRule type="containsText" dxfId="0" priority="3647" operator="between" text="欠">
      <formula>NOT(ISERROR(SEARCH("欠",AI218)))</formula>
    </cfRule>
  </conditionalFormatting>
  <conditionalFormatting sqref="B219">
    <cfRule type="containsText" dxfId="1" priority="3622" operator="between" text="异常">
      <formula>NOT(ISERROR(SEARCH("异常",B219)))</formula>
    </cfRule>
  </conditionalFormatting>
  <conditionalFormatting sqref="C219">
    <cfRule type="containsText" dxfId="2" priority="3620" operator="between" text="二代">
      <formula>NOT(ISERROR(SEARCH("二代",C219)))</formula>
    </cfRule>
    <cfRule type="containsText" dxfId="3" priority="3621" operator="between" text="蛋糕">
      <formula>NOT(ISERROR(SEARCH("蛋糕",C219)))</formula>
    </cfRule>
  </conditionalFormatting>
  <conditionalFormatting sqref="Y219">
    <cfRule type="containsText" dxfId="0" priority="3628" operator="between" text="欠">
      <formula>NOT(ISERROR(SEARCH("欠",Y219)))</formula>
    </cfRule>
  </conditionalFormatting>
  <conditionalFormatting sqref="Z219">
    <cfRule type="containsText" dxfId="0" priority="3626" operator="between" text="欠">
      <formula>NOT(ISERROR(SEARCH("欠",Z219)))</formula>
    </cfRule>
  </conditionalFormatting>
  <conditionalFormatting sqref="AA219:AB219">
    <cfRule type="containsText" dxfId="0" priority="3625" operator="between" text="欠">
      <formula>NOT(ISERROR(SEARCH("欠",AA219)))</formula>
    </cfRule>
  </conditionalFormatting>
  <conditionalFormatting sqref="AC219:AD219">
    <cfRule type="containsText" dxfId="0" priority="3624" operator="between" text="欠">
      <formula>NOT(ISERROR(SEARCH("欠",AC219)))</formula>
    </cfRule>
  </conditionalFormatting>
  <conditionalFormatting sqref="AF219">
    <cfRule type="containsText" dxfId="0" priority="3629" operator="between" text="欠">
      <formula>NOT(ISERROR(SEARCH("欠",AF219)))</formula>
    </cfRule>
  </conditionalFormatting>
  <conditionalFormatting sqref="AH219">
    <cfRule type="containsText" dxfId="0" priority="3623" operator="between" text="欠">
      <formula>NOT(ISERROR(SEARCH("欠",AH219)))</formula>
    </cfRule>
  </conditionalFormatting>
  <conditionalFormatting sqref="AI219">
    <cfRule type="containsText" dxfId="0" priority="3627" operator="between" text="欠">
      <formula>NOT(ISERROR(SEARCH("欠",AI219)))</formula>
    </cfRule>
  </conditionalFormatting>
  <conditionalFormatting sqref="B220">
    <cfRule type="containsText" dxfId="1" priority="3612" operator="between" text="异常">
      <formula>NOT(ISERROR(SEARCH("异常",B220)))</formula>
    </cfRule>
  </conditionalFormatting>
  <conditionalFormatting sqref="C220">
    <cfRule type="containsText" dxfId="2" priority="3609" operator="between" text="二代">
      <formula>NOT(ISERROR(SEARCH("二代",C220)))</formula>
    </cfRule>
    <cfRule type="containsText" dxfId="3" priority="3610" operator="between" text="蛋糕">
      <formula>NOT(ISERROR(SEARCH("蛋糕",C220)))</formula>
    </cfRule>
  </conditionalFormatting>
  <conditionalFormatting sqref="Y220">
    <cfRule type="containsText" dxfId="0" priority="3614" operator="between" text="欠">
      <formula>NOT(ISERROR(SEARCH("欠",Y220)))</formula>
    </cfRule>
  </conditionalFormatting>
  <conditionalFormatting sqref="Z220">
    <cfRule type="containsText" dxfId="0" priority="3618" operator="between" text="欠">
      <formula>NOT(ISERROR(SEARCH("欠",Z220)))</formula>
    </cfRule>
  </conditionalFormatting>
  <conditionalFormatting sqref="AA220:AB220">
    <cfRule type="containsText" dxfId="0" priority="3617" operator="between" text="欠">
      <formula>NOT(ISERROR(SEARCH("欠",AA220)))</formula>
    </cfRule>
  </conditionalFormatting>
  <conditionalFormatting sqref="AC220">
    <cfRule type="containsText" dxfId="0" priority="3616" operator="between" text="欠">
      <formula>NOT(ISERROR(SEARCH("欠",AC220)))</formula>
    </cfRule>
  </conditionalFormatting>
  <conditionalFormatting sqref="AD220">
    <cfRule type="containsText" dxfId="0" priority="3613" operator="between" text="欠">
      <formula>NOT(ISERROR(SEARCH("欠",AD220)))</formula>
    </cfRule>
  </conditionalFormatting>
  <conditionalFormatting sqref="AF220">
    <cfRule type="containsText" dxfId="0" priority="3611" operator="between" text="欠">
      <formula>NOT(ISERROR(SEARCH("欠",AF220)))</formula>
    </cfRule>
  </conditionalFormatting>
  <conditionalFormatting sqref="AH220">
    <cfRule type="containsText" dxfId="0" priority="3615" operator="between" text="欠">
      <formula>NOT(ISERROR(SEARCH("欠",AH220)))</formula>
    </cfRule>
  </conditionalFormatting>
  <conditionalFormatting sqref="AI220">
    <cfRule type="containsText" dxfId="0" priority="3619" operator="between" text="欠">
      <formula>NOT(ISERROR(SEARCH("欠",AI220)))</formula>
    </cfRule>
  </conditionalFormatting>
  <conditionalFormatting sqref="B221">
    <cfRule type="containsText" dxfId="1" priority="3598" operator="between" text="异常">
      <formula>NOT(ISERROR(SEARCH("异常",B221)))</formula>
    </cfRule>
  </conditionalFormatting>
  <conditionalFormatting sqref="C221">
    <cfRule type="containsText" dxfId="2" priority="3596" operator="between" text="二代">
      <formula>NOT(ISERROR(SEARCH("二代",C221)))</formula>
    </cfRule>
    <cfRule type="containsText" dxfId="3" priority="3597" operator="between" text="蛋糕">
      <formula>NOT(ISERROR(SEARCH("蛋糕",C221)))</formula>
    </cfRule>
  </conditionalFormatting>
  <conditionalFormatting sqref="X221">
    <cfRule type="containsText" dxfId="0" priority="3608" operator="between" text="欠">
      <formula>NOT(ISERROR(SEARCH("欠",X221)))</formula>
    </cfRule>
  </conditionalFormatting>
  <conditionalFormatting sqref="Y221">
    <cfRule type="containsText" dxfId="0" priority="3601" operator="between" text="欠">
      <formula>NOT(ISERROR(SEARCH("欠",Y221)))</formula>
    </cfRule>
  </conditionalFormatting>
  <conditionalFormatting sqref="Z221">
    <cfRule type="containsText" dxfId="0" priority="3607" operator="between" text="欠">
      <formula>NOT(ISERROR(SEARCH("欠",Z221)))</formula>
    </cfRule>
  </conditionalFormatting>
  <conditionalFormatting sqref="AA221:AB221">
    <cfRule type="containsText" dxfId="0" priority="3600" operator="between" text="欠">
      <formula>NOT(ISERROR(SEARCH("欠",AA221)))</formula>
    </cfRule>
  </conditionalFormatting>
  <conditionalFormatting sqref="AC221:AD221">
    <cfRule type="containsText" dxfId="0" priority="3604" operator="between" text="欠">
      <formula>NOT(ISERROR(SEARCH("欠",AC221)))</formula>
    </cfRule>
  </conditionalFormatting>
  <conditionalFormatting sqref="AE221">
    <cfRule type="containsText" dxfId="0" priority="3603" operator="between" text="欠">
      <formula>NOT(ISERROR(SEARCH("欠",AE221)))</formula>
    </cfRule>
  </conditionalFormatting>
  <conditionalFormatting sqref="AF221">
    <cfRule type="containsText" dxfId="0" priority="3606" operator="between" text="欠">
      <formula>NOT(ISERROR(SEARCH("欠",AF221)))</formula>
    </cfRule>
  </conditionalFormatting>
  <conditionalFormatting sqref="AG221">
    <cfRule type="containsText" dxfId="0" priority="3602" operator="between" text="欠">
      <formula>NOT(ISERROR(SEARCH("欠",AG221)))</formula>
    </cfRule>
  </conditionalFormatting>
  <conditionalFormatting sqref="AH221:AI221">
    <cfRule type="containsText" dxfId="0" priority="3605" operator="between" text="欠">
      <formula>NOT(ISERROR(SEARCH("欠",AH221)))</formula>
    </cfRule>
  </conditionalFormatting>
  <conditionalFormatting sqref="AK221">
    <cfRule type="containsText" dxfId="0" priority="3599" operator="between" text="欠">
      <formula>NOT(ISERROR(SEARCH("欠",AK221)))</formula>
    </cfRule>
  </conditionalFormatting>
  <conditionalFormatting sqref="B222">
    <cfRule type="containsText" dxfId="1" priority="3585" operator="between" text="异常">
      <formula>NOT(ISERROR(SEARCH("异常",B222)))</formula>
    </cfRule>
  </conditionalFormatting>
  <conditionalFormatting sqref="C222">
    <cfRule type="containsText" dxfId="2" priority="3583" operator="between" text="二代">
      <formula>NOT(ISERROR(SEARCH("二代",C222)))</formula>
    </cfRule>
    <cfRule type="containsText" dxfId="3" priority="3584" operator="between" text="蛋糕">
      <formula>NOT(ISERROR(SEARCH("蛋糕",C222)))</formula>
    </cfRule>
  </conditionalFormatting>
  <conditionalFormatting sqref="X222">
    <cfRule type="containsText" dxfId="0" priority="3586" operator="between" text="欠">
      <formula>NOT(ISERROR(SEARCH("欠",X222)))</formula>
    </cfRule>
  </conditionalFormatting>
  <conditionalFormatting sqref="Y222">
    <cfRule type="containsText" dxfId="0" priority="3589" operator="between" text="欠">
      <formula>NOT(ISERROR(SEARCH("欠",Y222)))</formula>
    </cfRule>
  </conditionalFormatting>
  <conditionalFormatting sqref="Z222">
    <cfRule type="containsText" dxfId="0" priority="3593" operator="between" text="欠">
      <formula>NOT(ISERROR(SEARCH("欠",Z222)))</formula>
    </cfRule>
  </conditionalFormatting>
  <conditionalFormatting sqref="AA222:AB222">
    <cfRule type="containsText" dxfId="0" priority="3592" operator="between" text="欠">
      <formula>NOT(ISERROR(SEARCH("欠",AA222)))</formula>
    </cfRule>
  </conditionalFormatting>
  <conditionalFormatting sqref="AC222:AD222">
    <cfRule type="containsText" dxfId="0" priority="3591" operator="between" text="欠">
      <formula>NOT(ISERROR(SEARCH("欠",AC222)))</formula>
    </cfRule>
  </conditionalFormatting>
  <conditionalFormatting sqref="AE222">
    <cfRule type="containsText" dxfId="0" priority="3588" operator="between" text="欠">
      <formula>NOT(ISERROR(SEARCH("欠",AE222)))</formula>
    </cfRule>
  </conditionalFormatting>
  <conditionalFormatting sqref="AF222">
    <cfRule type="containsText" dxfId="0" priority="3594" operator="between" text="欠">
      <formula>NOT(ISERROR(SEARCH("欠",AF222)))</formula>
    </cfRule>
  </conditionalFormatting>
  <conditionalFormatting sqref="AG222">
    <cfRule type="containsText" dxfId="0" priority="3587" operator="between" text="欠">
      <formula>NOT(ISERROR(SEARCH("欠",AG222)))</formula>
    </cfRule>
  </conditionalFormatting>
  <conditionalFormatting sqref="AH222">
    <cfRule type="containsText" dxfId="0" priority="3590" operator="between" text="欠">
      <formula>NOT(ISERROR(SEARCH("欠",AH222)))</formula>
    </cfRule>
  </conditionalFormatting>
  <conditionalFormatting sqref="AI222">
    <cfRule type="containsText" dxfId="0" priority="3595" operator="between" text="欠">
      <formula>NOT(ISERROR(SEARCH("欠",AI222)))</formula>
    </cfRule>
  </conditionalFormatting>
  <conditionalFormatting sqref="B223">
    <cfRule type="containsText" dxfId="1" priority="3572" operator="between" text="异常">
      <formula>NOT(ISERROR(SEARCH("异常",B223)))</formula>
    </cfRule>
  </conditionalFormatting>
  <conditionalFormatting sqref="C223">
    <cfRule type="containsText" dxfId="2" priority="3569" operator="between" text="二代">
      <formula>NOT(ISERROR(SEARCH("二代",C223)))</formula>
    </cfRule>
    <cfRule type="containsText" dxfId="3" priority="3570" operator="between" text="蛋糕">
      <formula>NOT(ISERROR(SEARCH("蛋糕",C223)))</formula>
    </cfRule>
  </conditionalFormatting>
  <conditionalFormatting sqref="X223">
    <cfRule type="containsText" dxfId="0" priority="3578" operator="between" text="欠">
      <formula>NOT(ISERROR(SEARCH("欠",X223)))</formula>
    </cfRule>
  </conditionalFormatting>
  <conditionalFormatting sqref="Y223">
    <cfRule type="containsText" dxfId="0" priority="3573" operator="between" text="欠">
      <formula>NOT(ISERROR(SEARCH("欠",Y223)))</formula>
    </cfRule>
  </conditionalFormatting>
  <conditionalFormatting sqref="Z223">
    <cfRule type="containsText" dxfId="0" priority="3580" operator="between" text="欠">
      <formula>NOT(ISERROR(SEARCH("欠",Z223)))</formula>
    </cfRule>
  </conditionalFormatting>
  <conditionalFormatting sqref="AA223">
    <cfRule type="containsText" dxfId="0" priority="3579" operator="between" text="欠">
      <formula>NOT(ISERROR(SEARCH("欠",AA223)))</formula>
    </cfRule>
  </conditionalFormatting>
  <conditionalFormatting sqref="AB223">
    <cfRule type="containsText" dxfId="0" priority="3582" operator="between" text="欠">
      <formula>NOT(ISERROR(SEARCH("欠",AB223)))</formula>
    </cfRule>
  </conditionalFormatting>
  <conditionalFormatting sqref="AC223:AD223">
    <cfRule type="containsText" dxfId="0" priority="3577" operator="between" text="欠">
      <formula>NOT(ISERROR(SEARCH("欠",AC223)))</formula>
    </cfRule>
  </conditionalFormatting>
  <conditionalFormatting sqref="AE223">
    <cfRule type="containsText" dxfId="0" priority="3576" operator="between" text="欠">
      <formula>NOT(ISERROR(SEARCH("欠",AE223)))</formula>
    </cfRule>
  </conditionalFormatting>
  <conditionalFormatting sqref="AF223">
    <cfRule type="containsText" dxfId="0" priority="3581" operator="between" text="欠">
      <formula>NOT(ISERROR(SEARCH("欠",AF223)))</formula>
    </cfRule>
  </conditionalFormatting>
  <conditionalFormatting sqref="AG223:AH223">
    <cfRule type="containsText" dxfId="0" priority="3575" operator="between" text="欠">
      <formula>NOT(ISERROR(SEARCH("欠",AG223)))</formula>
    </cfRule>
  </conditionalFormatting>
  <conditionalFormatting sqref="AI223">
    <cfRule type="containsText" dxfId="0" priority="3571" operator="between" text="欠">
      <formula>NOT(ISERROR(SEARCH("欠",AI223)))</formula>
    </cfRule>
  </conditionalFormatting>
  <conditionalFormatting sqref="AL223">
    <cfRule type="containsText" dxfId="0" priority="3574" operator="between" text="欠">
      <formula>NOT(ISERROR(SEARCH("欠",AL223)))</formula>
    </cfRule>
  </conditionalFormatting>
  <conditionalFormatting sqref="AA224">
    <cfRule type="containsText" dxfId="0" priority="3554" operator="between" text="欠">
      <formula>NOT(ISERROR(SEARCH("欠",AA224)))</formula>
    </cfRule>
  </conditionalFormatting>
  <conditionalFormatting sqref="AE224:AG224">
    <cfRule type="containsText" dxfId="0" priority="3553" operator="between" text="欠">
      <formula>NOT(ISERROR(SEARCH("欠",AE224)))</formula>
    </cfRule>
  </conditionalFormatting>
  <conditionalFormatting sqref="AH224">
    <cfRule type="containsText" dxfId="0" priority="3555" operator="between" text="欠">
      <formula>NOT(ISERROR(SEARCH("欠",AH224)))</formula>
    </cfRule>
  </conditionalFormatting>
  <conditionalFormatting sqref="AI224">
    <cfRule type="containsText" dxfId="0" priority="3568" operator="between" text="欠">
      <formula>NOT(ISERROR(SEARCH("欠",AI224)))</formula>
    </cfRule>
  </conditionalFormatting>
  <conditionalFormatting sqref="AB226">
    <cfRule type="containsText" dxfId="0" priority="3552" operator="between" text="欠">
      <formula>NOT(ISERROR(SEARCH("欠",AB226)))</formula>
    </cfRule>
  </conditionalFormatting>
  <conditionalFormatting sqref="B227">
    <cfRule type="containsText" dxfId="1" priority="3536" operator="between" text="异常">
      <formula>NOT(ISERROR(SEARCH("异常",B227)))</formula>
    </cfRule>
  </conditionalFormatting>
  <conditionalFormatting sqref="C227">
    <cfRule type="containsText" dxfId="2" priority="3533" operator="between" text="二代">
      <formula>NOT(ISERROR(SEARCH("二代",C227)))</formula>
    </cfRule>
    <cfRule type="containsText" dxfId="3" priority="3534" operator="between" text="蛋糕">
      <formula>NOT(ISERROR(SEARCH("蛋糕",C227)))</formula>
    </cfRule>
  </conditionalFormatting>
  <conditionalFormatting sqref="X227">
    <cfRule type="containsText" dxfId="0" priority="3546" operator="between" text="欠">
      <formula>NOT(ISERROR(SEARCH("欠",X227)))</formula>
    </cfRule>
  </conditionalFormatting>
  <conditionalFormatting sqref="Y227">
    <cfRule type="containsText" dxfId="0" priority="3548" operator="between" text="欠">
      <formula>NOT(ISERROR(SEARCH("欠",Y227)))</formula>
    </cfRule>
  </conditionalFormatting>
  <conditionalFormatting sqref="Z227">
    <cfRule type="containsText" dxfId="0" priority="3545" operator="between" text="欠">
      <formula>NOT(ISERROR(SEARCH("欠",Z227)))</formula>
    </cfRule>
  </conditionalFormatting>
  <conditionalFormatting sqref="AA227">
    <cfRule type="containsText" dxfId="0" priority="3541" operator="between" text="欠">
      <formula>NOT(ISERROR(SEARCH("欠",AA227)))</formula>
    </cfRule>
  </conditionalFormatting>
  <conditionalFormatting sqref="AB227">
    <cfRule type="containsText" dxfId="0" priority="3547" operator="between" text="欠">
      <formula>NOT(ISERROR(SEARCH("欠",AB227)))</formula>
    </cfRule>
  </conditionalFormatting>
  <conditionalFormatting sqref="AC227">
    <cfRule type="containsText" dxfId="0" priority="3540" operator="between" text="欠">
      <formula>NOT(ISERROR(SEARCH("欠",AC227)))</formula>
    </cfRule>
  </conditionalFormatting>
  <conditionalFormatting sqref="AD227">
    <cfRule type="containsText" dxfId="0" priority="3542" operator="between" text="欠">
      <formula>NOT(ISERROR(SEARCH("欠",AD227)))</formula>
    </cfRule>
  </conditionalFormatting>
  <conditionalFormatting sqref="AE227">
    <cfRule type="containsText" dxfId="0" priority="3538" operator="between" text="欠">
      <formula>NOT(ISERROR(SEARCH("欠",AE227)))</formula>
    </cfRule>
  </conditionalFormatting>
  <conditionalFormatting sqref="AF227">
    <cfRule type="containsText" dxfId="0" priority="3543" operator="between" text="欠">
      <formula>NOT(ISERROR(SEARCH("欠",AF227)))</formula>
    </cfRule>
  </conditionalFormatting>
  <conditionalFormatting sqref="AG227">
    <cfRule type="containsText" dxfId="0" priority="3537" operator="between" text="欠">
      <formula>NOT(ISERROR(SEARCH("欠",AG227)))</formula>
    </cfRule>
  </conditionalFormatting>
  <conditionalFormatting sqref="AH227">
    <cfRule type="containsText" dxfId="0" priority="3539" operator="between" text="欠">
      <formula>NOT(ISERROR(SEARCH("欠",AH227)))</formula>
    </cfRule>
  </conditionalFormatting>
  <conditionalFormatting sqref="AI227">
    <cfRule type="containsText" dxfId="0" priority="3544" operator="between" text="欠">
      <formula>NOT(ISERROR(SEARCH("欠",AI227)))</formula>
    </cfRule>
  </conditionalFormatting>
  <conditionalFormatting sqref="AL227">
    <cfRule type="containsText" dxfId="0" priority="3535" operator="between" text="欠">
      <formula>NOT(ISERROR(SEARCH("欠",AL227)))</formula>
    </cfRule>
  </conditionalFormatting>
  <conditionalFormatting sqref="B228">
    <cfRule type="containsText" dxfId="1" priority="3529" operator="between" text="异常">
      <formula>NOT(ISERROR(SEARCH("异常",B228)))</formula>
    </cfRule>
  </conditionalFormatting>
  <conditionalFormatting sqref="C228">
    <cfRule type="containsText" dxfId="2" priority="3530" operator="between" text="二代">
      <formula>NOT(ISERROR(SEARCH("二代",C228)))</formula>
    </cfRule>
    <cfRule type="containsText" dxfId="3" priority="3531" operator="between" text="蛋糕">
      <formula>NOT(ISERROR(SEARCH("蛋糕",C228)))</formula>
    </cfRule>
  </conditionalFormatting>
  <conditionalFormatting sqref="Y228">
    <cfRule type="containsText" dxfId="0" priority="3523" operator="between" text="欠">
      <formula>NOT(ISERROR(SEARCH("欠",Y228)))</formula>
    </cfRule>
  </conditionalFormatting>
  <conditionalFormatting sqref="Z228">
    <cfRule type="containsText" dxfId="0" priority="3532" operator="between" text="欠">
      <formula>NOT(ISERROR(SEARCH("欠",Z228)))</formula>
    </cfRule>
  </conditionalFormatting>
  <conditionalFormatting sqref="AA228:AB228">
    <cfRule type="containsText" dxfId="0" priority="3526" operator="between" text="欠">
      <formula>NOT(ISERROR(SEARCH("欠",AA228)))</formula>
    </cfRule>
  </conditionalFormatting>
  <conditionalFormatting sqref="AC228:AD228">
    <cfRule type="containsText" dxfId="0" priority="3525" operator="between" text="欠">
      <formula>NOT(ISERROR(SEARCH("欠",AC228)))</formula>
    </cfRule>
  </conditionalFormatting>
  <conditionalFormatting sqref="AF228">
    <cfRule type="containsText" dxfId="0" priority="3527" operator="between" text="欠">
      <formula>NOT(ISERROR(SEARCH("欠",AF228)))</formula>
    </cfRule>
  </conditionalFormatting>
  <conditionalFormatting sqref="AH228">
    <cfRule type="containsText" dxfId="0" priority="3524" operator="between" text="欠">
      <formula>NOT(ISERROR(SEARCH("欠",AH228)))</formula>
    </cfRule>
  </conditionalFormatting>
  <conditionalFormatting sqref="AI228">
    <cfRule type="containsText" dxfId="0" priority="3528" operator="between" text="欠">
      <formula>NOT(ISERROR(SEARCH("欠",AI228)))</formula>
    </cfRule>
  </conditionalFormatting>
  <conditionalFormatting sqref="B229">
    <cfRule type="containsText" dxfId="1" priority="3519" operator="between" text="异常">
      <formula>NOT(ISERROR(SEARCH("异常",B229)))</formula>
    </cfRule>
  </conditionalFormatting>
  <conditionalFormatting sqref="C229">
    <cfRule type="containsText" dxfId="2" priority="3520" operator="between" text="二代">
      <formula>NOT(ISERROR(SEARCH("二代",C229)))</formula>
    </cfRule>
    <cfRule type="containsText" dxfId="3" priority="3521" operator="between" text="蛋糕">
      <formula>NOT(ISERROR(SEARCH("蛋糕",C229)))</formula>
    </cfRule>
  </conditionalFormatting>
  <conditionalFormatting sqref="Y229">
    <cfRule type="containsText" dxfId="0" priority="3513" operator="between" text="欠">
      <formula>NOT(ISERROR(SEARCH("欠",Y229)))</formula>
    </cfRule>
  </conditionalFormatting>
  <conditionalFormatting sqref="Z229">
    <cfRule type="containsText" dxfId="0" priority="3522" operator="between" text="欠">
      <formula>NOT(ISERROR(SEARCH("欠",Z229)))</formula>
    </cfRule>
  </conditionalFormatting>
  <conditionalFormatting sqref="AA229:AB229">
    <cfRule type="containsText" dxfId="0" priority="3516" operator="between" text="欠">
      <formula>NOT(ISERROR(SEARCH("欠",AA229)))</formula>
    </cfRule>
  </conditionalFormatting>
  <conditionalFormatting sqref="AC229:AD229">
    <cfRule type="containsText" dxfId="0" priority="3515" operator="between" text="欠">
      <formula>NOT(ISERROR(SEARCH("欠",AC229)))</formula>
    </cfRule>
  </conditionalFormatting>
  <conditionalFormatting sqref="AF229">
    <cfRule type="containsText" dxfId="0" priority="3517" operator="between" text="欠">
      <formula>NOT(ISERROR(SEARCH("欠",AF229)))</formula>
    </cfRule>
  </conditionalFormatting>
  <conditionalFormatting sqref="AH229">
    <cfRule type="containsText" dxfId="0" priority="3514" operator="between" text="欠">
      <formula>NOT(ISERROR(SEARCH("欠",AH229)))</formula>
    </cfRule>
  </conditionalFormatting>
  <conditionalFormatting sqref="AI229">
    <cfRule type="containsText" dxfId="0" priority="3518" operator="between" text="欠">
      <formula>NOT(ISERROR(SEARCH("欠",AI229)))</formula>
    </cfRule>
  </conditionalFormatting>
  <conditionalFormatting sqref="C230">
    <cfRule type="containsText" dxfId="2" priority="3510" operator="between" text="二代">
      <formula>NOT(ISERROR(SEARCH("二代",C230)))</formula>
    </cfRule>
    <cfRule type="containsText" dxfId="3" priority="3511" operator="between" text="蛋糕">
      <formula>NOT(ISERROR(SEARCH("蛋糕",C230)))</formula>
    </cfRule>
  </conditionalFormatting>
  <conditionalFormatting sqref="Y230">
    <cfRule type="containsText" dxfId="0" priority="3503" operator="between" text="欠">
      <formula>NOT(ISERROR(SEARCH("欠",Y230)))</formula>
    </cfRule>
  </conditionalFormatting>
  <conditionalFormatting sqref="Z230">
    <cfRule type="containsText" dxfId="0" priority="3512" operator="between" text="欠">
      <formula>NOT(ISERROR(SEARCH("欠",Z230)))</formula>
    </cfRule>
  </conditionalFormatting>
  <conditionalFormatting sqref="AA230:AB230">
    <cfRule type="containsText" dxfId="0" priority="3506" operator="between" text="欠">
      <formula>NOT(ISERROR(SEARCH("欠",AA230)))</formula>
    </cfRule>
  </conditionalFormatting>
  <conditionalFormatting sqref="AC230">
    <cfRule type="containsText" dxfId="0" priority="3502" operator="between" text="欠">
      <formula>NOT(ISERROR(SEARCH("欠",AC230)))</formula>
    </cfRule>
  </conditionalFormatting>
  <conditionalFormatting sqref="AD230">
    <cfRule type="containsText" dxfId="0" priority="3505" operator="between" text="欠">
      <formula>NOT(ISERROR(SEARCH("欠",AD230)))</formula>
    </cfRule>
  </conditionalFormatting>
  <conditionalFormatting sqref="AF230">
    <cfRule type="containsText" dxfId="0" priority="3507" operator="between" text="欠">
      <formula>NOT(ISERROR(SEARCH("欠",AF230)))</formula>
    </cfRule>
  </conditionalFormatting>
  <conditionalFormatting sqref="AH230">
    <cfRule type="containsText" dxfId="0" priority="3504" operator="between" text="欠">
      <formula>NOT(ISERROR(SEARCH("欠",AH230)))</formula>
    </cfRule>
  </conditionalFormatting>
  <conditionalFormatting sqref="AI230">
    <cfRule type="containsText" dxfId="0" priority="3508" operator="between" text="欠">
      <formula>NOT(ISERROR(SEARCH("欠",AI230)))</formula>
    </cfRule>
  </conditionalFormatting>
  <conditionalFormatting sqref="C231">
    <cfRule type="containsText" dxfId="2" priority="3491" operator="between" text="二代">
      <formula>NOT(ISERROR(SEARCH("二代",C231)))</formula>
    </cfRule>
    <cfRule type="containsText" dxfId="3" priority="3492" operator="between" text="蛋糕">
      <formula>NOT(ISERROR(SEARCH("蛋糕",C231)))</formula>
    </cfRule>
  </conditionalFormatting>
  <conditionalFormatting sqref="U231">
    <cfRule type="containsText" dxfId="0" priority="3493" operator="between" text="欠">
      <formula>NOT(ISERROR(SEARCH("欠",U231)))</formula>
    </cfRule>
  </conditionalFormatting>
  <conditionalFormatting sqref="V231">
    <cfRule type="containsText" dxfId="0" priority="3501" operator="between" text="欠">
      <formula>NOT(ISERROR(SEARCH("欠",V231)))</formula>
    </cfRule>
  </conditionalFormatting>
  <conditionalFormatting sqref="X231">
    <cfRule type="containsText" dxfId="0" priority="3496" operator="between" text="欠">
      <formula>NOT(ISERROR(SEARCH("欠",X231)))</formula>
    </cfRule>
  </conditionalFormatting>
  <conditionalFormatting sqref="Y231:Z231">
    <cfRule type="containsText" dxfId="0" priority="3500" operator="between" text="欠">
      <formula>NOT(ISERROR(SEARCH("欠",Y231)))</formula>
    </cfRule>
  </conditionalFormatting>
  <conditionalFormatting sqref="AA231:AB231">
    <cfRule type="containsText" dxfId="0" priority="3499" operator="between" text="欠">
      <formula>NOT(ISERROR(SEARCH("欠",AA231)))</formula>
    </cfRule>
  </conditionalFormatting>
  <conditionalFormatting sqref="AC231">
    <cfRule type="containsText" dxfId="0" priority="3497" operator="between" text="欠">
      <formula>NOT(ISERROR(SEARCH("欠",AC231)))</formula>
    </cfRule>
  </conditionalFormatting>
  <conditionalFormatting sqref="AE231">
    <cfRule type="containsText" dxfId="0" priority="3495" operator="between" text="欠">
      <formula>NOT(ISERROR(SEARCH("欠",AE231)))</formula>
    </cfRule>
  </conditionalFormatting>
  <conditionalFormatting sqref="C232">
    <cfRule type="containsText" dxfId="2" priority="3477" operator="between" text="二代">
      <formula>NOT(ISERROR(SEARCH("二代",C232)))</formula>
    </cfRule>
    <cfRule type="containsText" dxfId="3" priority="3478" operator="between" text="蛋糕">
      <formula>NOT(ISERROR(SEARCH("蛋糕",C232)))</formula>
    </cfRule>
  </conditionalFormatting>
  <conditionalFormatting sqref="X232">
    <cfRule type="containsText" dxfId="0" priority="3485" operator="between" text="欠">
      <formula>NOT(ISERROR(SEARCH("欠",X232)))</formula>
    </cfRule>
  </conditionalFormatting>
  <conditionalFormatting sqref="Y232">
    <cfRule type="containsText" dxfId="0" priority="3487" operator="between" text="欠">
      <formula>NOT(ISERROR(SEARCH("欠",Y232)))</formula>
    </cfRule>
  </conditionalFormatting>
  <conditionalFormatting sqref="Z232">
    <cfRule type="containsText" dxfId="0" priority="3486" operator="between" text="欠">
      <formula>NOT(ISERROR(SEARCH("欠",Z232)))</formula>
    </cfRule>
  </conditionalFormatting>
  <conditionalFormatting sqref="AA232:AB232">
    <cfRule type="containsText" dxfId="0" priority="3484" operator="between" text="欠">
      <formula>NOT(ISERROR(SEARCH("欠",AA232)))</formula>
    </cfRule>
  </conditionalFormatting>
  <conditionalFormatting sqref="AC232">
    <cfRule type="containsText" dxfId="0" priority="3488" operator="between" text="欠">
      <formula>NOT(ISERROR(SEARCH("欠",AC232)))</formula>
    </cfRule>
  </conditionalFormatting>
  <conditionalFormatting sqref="AD232">
    <cfRule type="containsText" dxfId="0" priority="3489" operator="between" text="欠">
      <formula>NOT(ISERROR(SEARCH("欠",AD232)))</formula>
    </cfRule>
  </conditionalFormatting>
  <conditionalFormatting sqref="AE232">
    <cfRule type="containsText" dxfId="0" priority="3482" operator="between" text="欠">
      <formula>NOT(ISERROR(SEARCH("欠",AE232)))</formula>
    </cfRule>
  </conditionalFormatting>
  <conditionalFormatting sqref="AF232">
    <cfRule type="containsText" dxfId="0" priority="3490" operator="between" text="欠">
      <formula>NOT(ISERROR(SEARCH("欠",AF232)))</formula>
    </cfRule>
  </conditionalFormatting>
  <conditionalFormatting sqref="AG232">
    <cfRule type="containsText" dxfId="0" priority="3481" operator="between" text="欠">
      <formula>NOT(ISERROR(SEARCH("欠",AG232)))</formula>
    </cfRule>
  </conditionalFormatting>
  <conditionalFormatting sqref="AH232">
    <cfRule type="containsText" dxfId="0" priority="3483" operator="between" text="欠">
      <formula>NOT(ISERROR(SEARCH("欠",AH232)))</formula>
    </cfRule>
  </conditionalFormatting>
  <conditionalFormatting sqref="AI232">
    <cfRule type="containsText" dxfId="0" priority="3480" operator="between" text="欠">
      <formula>NOT(ISERROR(SEARCH("欠",AI232)))</formula>
    </cfRule>
  </conditionalFormatting>
  <conditionalFormatting sqref="C233">
    <cfRule type="containsText" dxfId="2" priority="3461" operator="between" text="二代">
      <formula>NOT(ISERROR(SEARCH("二代",C233)))</formula>
    </cfRule>
    <cfRule type="containsText" dxfId="3" priority="3462" operator="between" text="蛋糕">
      <formula>NOT(ISERROR(SEARCH("蛋糕",C233)))</formula>
    </cfRule>
  </conditionalFormatting>
  <conditionalFormatting sqref="X233">
    <cfRule type="containsText" dxfId="0" priority="3473" operator="between" text="欠">
      <formula>NOT(ISERROR(SEARCH("欠",X233)))</formula>
    </cfRule>
  </conditionalFormatting>
  <conditionalFormatting sqref="Y233">
    <cfRule type="containsText" dxfId="0" priority="3475" operator="between" text="欠">
      <formula>NOT(ISERROR(SEARCH("欠",Y233)))</formula>
    </cfRule>
  </conditionalFormatting>
  <conditionalFormatting sqref="Z233">
    <cfRule type="containsText" dxfId="0" priority="3467" operator="between" text="欠">
      <formula>NOT(ISERROR(SEARCH("欠",Z233)))</formula>
    </cfRule>
  </conditionalFormatting>
  <conditionalFormatting sqref="AA233">
    <cfRule type="containsText" dxfId="0" priority="3466" operator="between" text="欠">
      <formula>NOT(ISERROR(SEARCH("欠",AA233)))</formula>
    </cfRule>
  </conditionalFormatting>
  <conditionalFormatting sqref="AB233">
    <cfRule type="containsText" dxfId="0" priority="3474" operator="between" text="欠">
      <formula>NOT(ISERROR(SEARCH("欠",AB233)))</formula>
    </cfRule>
  </conditionalFormatting>
  <conditionalFormatting sqref="AC233">
    <cfRule type="containsText" dxfId="0" priority="3471" operator="between" text="欠">
      <formula>NOT(ISERROR(SEARCH("欠",AC233)))</formula>
    </cfRule>
  </conditionalFormatting>
  <conditionalFormatting sqref="AD233">
    <cfRule type="containsText" dxfId="0" priority="3469" operator="between" text="欠">
      <formula>NOT(ISERROR(SEARCH("欠",AD233)))</formula>
    </cfRule>
  </conditionalFormatting>
  <conditionalFormatting sqref="AE233">
    <cfRule type="containsText" dxfId="0" priority="3468" operator="between" text="欠">
      <formula>NOT(ISERROR(SEARCH("欠",AE233)))</formula>
    </cfRule>
  </conditionalFormatting>
  <conditionalFormatting sqref="AF233">
    <cfRule type="containsText" dxfId="0" priority="3476" operator="between" text="欠">
      <formula>NOT(ISERROR(SEARCH("欠",AF233)))</formula>
    </cfRule>
  </conditionalFormatting>
  <conditionalFormatting sqref="AG233">
    <cfRule type="containsText" dxfId="0" priority="3472" operator="between" text="欠">
      <formula>NOT(ISERROR(SEARCH("欠",AG233)))</formula>
    </cfRule>
  </conditionalFormatting>
  <conditionalFormatting sqref="AH233">
    <cfRule type="containsText" dxfId="0" priority="3470" operator="between" text="欠">
      <formula>NOT(ISERROR(SEARCH("欠",AH233)))</formula>
    </cfRule>
  </conditionalFormatting>
  <conditionalFormatting sqref="AI233">
    <cfRule type="containsText" dxfId="0" priority="3465" operator="between" text="欠">
      <formula>NOT(ISERROR(SEARCH("欠",AI233)))</formula>
    </cfRule>
  </conditionalFormatting>
  <conditionalFormatting sqref="AK233">
    <cfRule type="containsText" dxfId="0" priority="3464" operator="between" text="欠">
      <formula>NOT(ISERROR(SEARCH("欠",AK233)))</formula>
    </cfRule>
  </conditionalFormatting>
  <conditionalFormatting sqref="B234">
    <cfRule type="containsText" dxfId="1" priority="3456" operator="between" text="异常">
      <formula>NOT(ISERROR(SEARCH("异常",B234)))</formula>
    </cfRule>
  </conditionalFormatting>
  <conditionalFormatting sqref="C234">
    <cfRule type="containsText" dxfId="3" priority="3458" operator="between" text="蛋糕">
      <formula>NOT(ISERROR(SEARCH("蛋糕",C234)))</formula>
    </cfRule>
    <cfRule type="containsText" dxfId="2" priority="3457" operator="between" text="二代">
      <formula>NOT(ISERROR(SEARCH("二代",C234)))</formula>
    </cfRule>
  </conditionalFormatting>
  <conditionalFormatting sqref="AC234:AD234">
    <cfRule type="containsText" dxfId="0" priority="3460" operator="between" text="欠">
      <formula>NOT(ISERROR(SEARCH("欠",AC234)))</formula>
    </cfRule>
  </conditionalFormatting>
  <conditionalFormatting sqref="B235">
    <cfRule type="containsText" dxfId="1" priority="3452" operator="between" text="异常">
      <formula>NOT(ISERROR(SEARCH("异常",B235)))</formula>
    </cfRule>
  </conditionalFormatting>
  <conditionalFormatting sqref="C235">
    <cfRule type="containsText" dxfId="2" priority="3453" operator="between" text="二代">
      <formula>NOT(ISERROR(SEARCH("二代",C235)))</formula>
    </cfRule>
    <cfRule type="containsText" dxfId="3" priority="3454" operator="between" text="蛋糕">
      <formula>NOT(ISERROR(SEARCH("蛋糕",C235)))</formula>
    </cfRule>
  </conditionalFormatting>
  <conditionalFormatting sqref="AC235:AD235">
    <cfRule type="containsText" dxfId="0" priority="3455" operator="between" text="欠">
      <formula>NOT(ISERROR(SEARCH("欠",AC235)))</formula>
    </cfRule>
  </conditionalFormatting>
  <conditionalFormatting sqref="B236">
    <cfRule type="containsText" dxfId="1" priority="3436" operator="between" text="异常">
      <formula>NOT(ISERROR(SEARCH("异常",B236)))</formula>
    </cfRule>
  </conditionalFormatting>
  <conditionalFormatting sqref="C236">
    <cfRule type="containsText" dxfId="2" priority="3434" operator="between" text="二代">
      <formula>NOT(ISERROR(SEARCH("二代",C236)))</formula>
    </cfRule>
    <cfRule type="containsText" dxfId="3" priority="3435" operator="between" text="蛋糕">
      <formula>NOT(ISERROR(SEARCH("蛋糕",C236)))</formula>
    </cfRule>
  </conditionalFormatting>
  <conditionalFormatting sqref="X236">
    <cfRule type="containsText" dxfId="0" priority="3440" operator="between" text="欠">
      <formula>NOT(ISERROR(SEARCH("欠",X236)))</formula>
    </cfRule>
  </conditionalFormatting>
  <conditionalFormatting sqref="Y236">
    <cfRule type="containsText" dxfId="0" priority="3438" operator="between" text="欠">
      <formula>NOT(ISERROR(SEARCH("欠",Y236)))</formula>
    </cfRule>
  </conditionalFormatting>
  <conditionalFormatting sqref="Z236">
    <cfRule type="containsText" dxfId="0" priority="3446" operator="between" text="欠">
      <formula>NOT(ISERROR(SEARCH("欠",Z236)))</formula>
    </cfRule>
  </conditionalFormatting>
  <conditionalFormatting sqref="AA236:AB236">
    <cfRule type="containsText" dxfId="0" priority="3444" operator="between" text="欠">
      <formula>NOT(ISERROR(SEARCH("欠",AA236)))</formula>
    </cfRule>
  </conditionalFormatting>
  <conditionalFormatting sqref="AC236:AD236">
    <cfRule type="containsText" dxfId="0" priority="3439" operator="between" text="欠">
      <formula>NOT(ISERROR(SEARCH("欠",AC236)))</formula>
    </cfRule>
  </conditionalFormatting>
  <conditionalFormatting sqref="AE236">
    <cfRule type="containsText" dxfId="0" priority="3442" operator="between" text="欠">
      <formula>NOT(ISERROR(SEARCH("欠",AE236)))</formula>
    </cfRule>
  </conditionalFormatting>
  <conditionalFormatting sqref="AF236">
    <cfRule type="containsText" dxfId="0" priority="3445" operator="between" text="欠">
      <formula>NOT(ISERROR(SEARCH("欠",AF236)))</formula>
    </cfRule>
  </conditionalFormatting>
  <conditionalFormatting sqref="AG236">
    <cfRule type="containsText" dxfId="0" priority="3441" operator="between" text="欠">
      <formula>NOT(ISERROR(SEARCH("欠",AG236)))</formula>
    </cfRule>
  </conditionalFormatting>
  <conditionalFormatting sqref="AH236">
    <cfRule type="containsText" dxfId="0" priority="3443" operator="between" text="欠">
      <formula>NOT(ISERROR(SEARCH("欠",AH236)))</formula>
    </cfRule>
  </conditionalFormatting>
  <conditionalFormatting sqref="AI236">
    <cfRule type="containsText" dxfId="0" priority="3447" operator="between" text="欠">
      <formula>NOT(ISERROR(SEARCH("欠",AI236)))</formula>
    </cfRule>
  </conditionalFormatting>
  <conditionalFormatting sqref="AL236">
    <cfRule type="containsText" dxfId="0" priority="3437" operator="between" text="欠">
      <formula>NOT(ISERROR(SEARCH("欠",AL236)))</formula>
    </cfRule>
  </conditionalFormatting>
  <conditionalFormatting sqref="B237">
    <cfRule type="containsText" dxfId="1" priority="3423" operator="between" text="异常">
      <formula>NOT(ISERROR(SEARCH("异常",B237)))</formula>
    </cfRule>
  </conditionalFormatting>
  <conditionalFormatting sqref="C237">
    <cfRule type="containsText" dxfId="2" priority="3421" operator="between" text="二代">
      <formula>NOT(ISERROR(SEARCH("二代",C237)))</formula>
    </cfRule>
    <cfRule type="containsText" dxfId="3" priority="3422" operator="between" text="蛋糕">
      <formula>NOT(ISERROR(SEARCH("蛋糕",C237)))</formula>
    </cfRule>
  </conditionalFormatting>
  <conditionalFormatting sqref="X237">
    <cfRule type="containsText" dxfId="0" priority="3428" operator="between" text="欠">
      <formula>NOT(ISERROR(SEARCH("欠",X237)))</formula>
    </cfRule>
  </conditionalFormatting>
  <conditionalFormatting sqref="Y237">
    <cfRule type="containsText" dxfId="0" priority="3431" operator="between" text="欠">
      <formula>NOT(ISERROR(SEARCH("欠",Y237)))</formula>
    </cfRule>
  </conditionalFormatting>
  <conditionalFormatting sqref="Z237">
    <cfRule type="containsText" dxfId="0" priority="3430" operator="between" text="欠">
      <formula>NOT(ISERROR(SEARCH("欠",Z237)))</formula>
    </cfRule>
  </conditionalFormatting>
  <conditionalFormatting sqref="AA237:AB237">
    <cfRule type="containsText" dxfId="0" priority="3429" operator="between" text="欠">
      <formula>NOT(ISERROR(SEARCH("欠",AA237)))</formula>
    </cfRule>
  </conditionalFormatting>
  <conditionalFormatting sqref="AC237:AD237">
    <cfRule type="containsText" dxfId="0" priority="3427" operator="between" text="欠">
      <formula>NOT(ISERROR(SEARCH("欠",AC237)))</formula>
    </cfRule>
  </conditionalFormatting>
  <conditionalFormatting sqref="AE237">
    <cfRule type="containsText" dxfId="0" priority="3426" operator="between" text="欠">
      <formula>NOT(ISERROR(SEARCH("欠",AE237)))</formula>
    </cfRule>
  </conditionalFormatting>
  <conditionalFormatting sqref="AF237">
    <cfRule type="containsText" dxfId="0" priority="3432" operator="between" text="欠">
      <formula>NOT(ISERROR(SEARCH("欠",AF237)))</formula>
    </cfRule>
  </conditionalFormatting>
  <conditionalFormatting sqref="AG237:AH237">
    <cfRule type="containsText" dxfId="0" priority="3425" operator="between" text="欠">
      <formula>NOT(ISERROR(SEARCH("欠",AG237)))</formula>
    </cfRule>
  </conditionalFormatting>
  <conditionalFormatting sqref="AI237">
    <cfRule type="containsText" dxfId="0" priority="3433" operator="between" text="欠">
      <formula>NOT(ISERROR(SEARCH("欠",AI237)))</formula>
    </cfRule>
  </conditionalFormatting>
  <conditionalFormatting sqref="AL237">
    <cfRule type="containsText" dxfId="0" priority="3424" operator="between" text="欠">
      <formula>NOT(ISERROR(SEARCH("欠",AL237)))</formula>
    </cfRule>
  </conditionalFormatting>
  <conditionalFormatting sqref="B238">
    <cfRule type="containsText" dxfId="1" priority="3410" operator="between" text="异常">
      <formula>NOT(ISERROR(SEARCH("异常",B238)))</formula>
    </cfRule>
  </conditionalFormatting>
  <conditionalFormatting sqref="C238">
    <cfRule type="containsText" dxfId="2" priority="3408" operator="between" text="二代">
      <formula>NOT(ISERROR(SEARCH("二代",C238)))</formula>
    </cfRule>
    <cfRule type="containsText" dxfId="3" priority="3409" operator="between" text="蛋糕">
      <formula>NOT(ISERROR(SEARCH("蛋糕",C238)))</formula>
    </cfRule>
  </conditionalFormatting>
  <conditionalFormatting sqref="X238">
    <cfRule type="containsText" dxfId="0" priority="3417" operator="between" text="欠">
      <formula>NOT(ISERROR(SEARCH("欠",X238)))</formula>
    </cfRule>
  </conditionalFormatting>
  <conditionalFormatting sqref="Y238">
    <cfRule type="containsText" dxfId="0" priority="3420" operator="between" text="欠">
      <formula>NOT(ISERROR(SEARCH("欠",Y238)))</formula>
    </cfRule>
  </conditionalFormatting>
  <conditionalFormatting sqref="Z238">
    <cfRule type="containsText" dxfId="0" priority="3414" operator="between" text="欠">
      <formula>NOT(ISERROR(SEARCH("欠",Z238)))</formula>
    </cfRule>
  </conditionalFormatting>
  <conditionalFormatting sqref="AA238">
    <cfRule type="containsText" dxfId="0" priority="3411" operator="between" text="欠">
      <formula>NOT(ISERROR(SEARCH("欠",AA238)))</formula>
    </cfRule>
  </conditionalFormatting>
  <conditionalFormatting sqref="AB238">
    <cfRule type="containsText" dxfId="0" priority="3419" operator="between" text="欠">
      <formula>NOT(ISERROR(SEARCH("欠",AB238)))</formula>
    </cfRule>
  </conditionalFormatting>
  <conditionalFormatting sqref="AC238:AD238">
    <cfRule type="containsText" dxfId="0" priority="3416" operator="between" text="欠">
      <formula>NOT(ISERROR(SEARCH("欠",AC238)))</formula>
    </cfRule>
  </conditionalFormatting>
  <conditionalFormatting sqref="AE238:AF238">
    <cfRule type="containsText" dxfId="0" priority="3415" operator="between" text="欠">
      <formula>NOT(ISERROR(SEARCH("欠",AE238)))</formula>
    </cfRule>
  </conditionalFormatting>
  <conditionalFormatting sqref="AG238">
    <cfRule type="containsText" dxfId="0" priority="3413" operator="between" text="欠">
      <formula>NOT(ISERROR(SEARCH("欠",AG238)))</formula>
    </cfRule>
  </conditionalFormatting>
  <conditionalFormatting sqref="AH238">
    <cfRule type="containsText" dxfId="0" priority="3412" operator="between" text="欠">
      <formula>NOT(ISERROR(SEARCH("欠",AH238)))</formula>
    </cfRule>
  </conditionalFormatting>
  <conditionalFormatting sqref="AI238">
    <cfRule type="containsText" dxfId="0" priority="3418" operator="between" text="欠">
      <formula>NOT(ISERROR(SEARCH("欠",AI238)))</formula>
    </cfRule>
  </conditionalFormatting>
  <conditionalFormatting sqref="B239">
    <cfRule type="containsText" dxfId="1" priority="3398" operator="between" text="异常">
      <formula>NOT(ISERROR(SEARCH("异常",B239)))</formula>
    </cfRule>
  </conditionalFormatting>
  <conditionalFormatting sqref="C239">
    <cfRule type="containsText" dxfId="2" priority="3396" operator="between" text="二代">
      <formula>NOT(ISERROR(SEARCH("二代",C239)))</formula>
    </cfRule>
    <cfRule type="containsText" dxfId="3" priority="3397" operator="between" text="蛋糕">
      <formula>NOT(ISERROR(SEARCH("蛋糕",C239)))</formula>
    </cfRule>
  </conditionalFormatting>
  <conditionalFormatting sqref="X239">
    <cfRule type="containsText" dxfId="0" priority="3406" operator="between" text="欠">
      <formula>NOT(ISERROR(SEARCH("欠",X239)))</formula>
    </cfRule>
  </conditionalFormatting>
  <conditionalFormatting sqref="Y239">
    <cfRule type="containsText" dxfId="0" priority="3407" operator="between" text="欠">
      <formula>NOT(ISERROR(SEARCH("欠",Y239)))</formula>
    </cfRule>
  </conditionalFormatting>
  <conditionalFormatting sqref="Z239">
    <cfRule type="containsText" dxfId="0" priority="3402" operator="between" text="欠">
      <formula>NOT(ISERROR(SEARCH("欠",Z239)))</formula>
    </cfRule>
  </conditionalFormatting>
  <conditionalFormatting sqref="AA239">
    <cfRule type="containsText" dxfId="0" priority="3401" operator="between" text="欠">
      <formula>NOT(ISERROR(SEARCH("欠",AA239)))</formula>
    </cfRule>
  </conditionalFormatting>
  <conditionalFormatting sqref="AB239">
    <cfRule type="containsText" dxfId="0" priority="3405" operator="between" text="欠">
      <formula>NOT(ISERROR(SEARCH("欠",AB239)))</formula>
    </cfRule>
  </conditionalFormatting>
  <conditionalFormatting sqref="AC239:AD239">
    <cfRule type="containsText" dxfId="0" priority="3404" operator="between" text="欠">
      <formula>NOT(ISERROR(SEARCH("欠",AC239)))</formula>
    </cfRule>
  </conditionalFormatting>
  <conditionalFormatting sqref="AE239">
    <cfRule type="containsText" dxfId="0" priority="3403" operator="between" text="欠">
      <formula>NOT(ISERROR(SEARCH("欠",AE239)))</formula>
    </cfRule>
  </conditionalFormatting>
  <conditionalFormatting sqref="AG239">
    <cfRule type="containsText" dxfId="0" priority="3399" operator="between" text="欠">
      <formula>NOT(ISERROR(SEARCH("欠",AG239)))</formula>
    </cfRule>
  </conditionalFormatting>
  <conditionalFormatting sqref="B240">
    <cfRule type="containsText" dxfId="1" priority="3384" operator="between" text="异常">
      <formula>NOT(ISERROR(SEARCH("异常",B240)))</formula>
    </cfRule>
  </conditionalFormatting>
  <conditionalFormatting sqref="C240">
    <cfRule type="containsText" dxfId="2" priority="3382" operator="between" text="二代">
      <formula>NOT(ISERROR(SEARCH("二代",C240)))</formula>
    </cfRule>
    <cfRule type="containsText" dxfId="3" priority="3383" operator="between" text="蛋糕">
      <formula>NOT(ISERROR(SEARCH("蛋糕",C240)))</formula>
    </cfRule>
  </conditionalFormatting>
  <conditionalFormatting sqref="X240">
    <cfRule type="containsText" dxfId="0" priority="3392" operator="between" text="欠">
      <formula>NOT(ISERROR(SEARCH("欠",X240)))</formula>
    </cfRule>
  </conditionalFormatting>
  <conditionalFormatting sqref="Y240">
    <cfRule type="containsText" dxfId="0" priority="3395" operator="between" text="欠">
      <formula>NOT(ISERROR(SEARCH("欠",Y240)))</formula>
    </cfRule>
  </conditionalFormatting>
  <conditionalFormatting sqref="Z240">
    <cfRule type="containsText" dxfId="0" priority="3387" operator="between" text="欠">
      <formula>NOT(ISERROR(SEARCH("欠",Z240)))</formula>
    </cfRule>
  </conditionalFormatting>
  <conditionalFormatting sqref="AA240">
    <cfRule type="containsText" dxfId="0" priority="3386" operator="between" text="欠">
      <formula>NOT(ISERROR(SEARCH("欠",AA240)))</formula>
    </cfRule>
  </conditionalFormatting>
  <conditionalFormatting sqref="AB240">
    <cfRule type="containsText" dxfId="0" priority="3394" operator="between" text="欠">
      <formula>NOT(ISERROR(SEARCH("欠",AB240)))</formula>
    </cfRule>
  </conditionalFormatting>
  <conditionalFormatting sqref="AC240:AD240">
    <cfRule type="containsText" dxfId="0" priority="3390" operator="between" text="欠">
      <formula>NOT(ISERROR(SEARCH("欠",AC240)))</formula>
    </cfRule>
  </conditionalFormatting>
  <conditionalFormatting sqref="AE240">
    <cfRule type="containsText" dxfId="0" priority="3388" operator="between" text="欠">
      <formula>NOT(ISERROR(SEARCH("欠",AE240)))</formula>
    </cfRule>
  </conditionalFormatting>
  <conditionalFormatting sqref="AF240">
    <cfRule type="containsText" dxfId="0" priority="3393" operator="between" text="欠">
      <formula>NOT(ISERROR(SEARCH("欠",AF240)))</formula>
    </cfRule>
  </conditionalFormatting>
  <conditionalFormatting sqref="AG240">
    <cfRule type="containsText" dxfId="0" priority="3391" operator="between" text="欠">
      <formula>NOT(ISERROR(SEARCH("欠",AG240)))</formula>
    </cfRule>
  </conditionalFormatting>
  <conditionalFormatting sqref="AH240">
    <cfRule type="containsText" dxfId="0" priority="3389" operator="between" text="欠">
      <formula>NOT(ISERROR(SEARCH("欠",AH240)))</formula>
    </cfRule>
  </conditionalFormatting>
  <conditionalFormatting sqref="AI240">
    <cfRule type="containsText" dxfId="0" priority="3385" operator="between" text="欠">
      <formula>NOT(ISERROR(SEARCH("欠",AI240)))</formula>
    </cfRule>
  </conditionalFormatting>
  <conditionalFormatting sqref="B241">
    <cfRule type="containsText" dxfId="1" priority="3374" operator="between" text="异常">
      <formula>NOT(ISERROR(SEARCH("异常",B241)))</formula>
    </cfRule>
  </conditionalFormatting>
  <conditionalFormatting sqref="C241">
    <cfRule type="containsText" dxfId="2" priority="3372" operator="between" text="二代">
      <formula>NOT(ISERROR(SEARCH("二代",C241)))</formula>
    </cfRule>
    <cfRule type="containsText" dxfId="3" priority="3373" operator="between" text="蛋糕">
      <formula>NOT(ISERROR(SEARCH("蛋糕",C241)))</formula>
    </cfRule>
  </conditionalFormatting>
  <conditionalFormatting sqref="X241">
    <cfRule type="containsText" dxfId="0" priority="3381" operator="between" text="欠">
      <formula>NOT(ISERROR(SEARCH("欠",X241)))</formula>
    </cfRule>
  </conditionalFormatting>
  <conditionalFormatting sqref="Y241">
    <cfRule type="containsText" dxfId="0" priority="3377" operator="between" text="欠">
      <formula>NOT(ISERROR(SEARCH("欠",Y241)))</formula>
    </cfRule>
  </conditionalFormatting>
  <conditionalFormatting sqref="Z241">
    <cfRule type="containsText" dxfId="0" priority="3380" operator="between" text="欠">
      <formula>NOT(ISERROR(SEARCH("欠",Z241)))</formula>
    </cfRule>
  </conditionalFormatting>
  <conditionalFormatting sqref="AA241:AB241">
    <cfRule type="containsText" dxfId="0" priority="3376" operator="between" text="欠">
      <formula>NOT(ISERROR(SEARCH("欠",AA241)))</formula>
    </cfRule>
  </conditionalFormatting>
  <conditionalFormatting sqref="AC241:AD241">
    <cfRule type="containsText" dxfId="0" priority="3379" operator="between" text="欠">
      <formula>NOT(ISERROR(SEARCH("欠",AC241)))</formula>
    </cfRule>
  </conditionalFormatting>
  <conditionalFormatting sqref="AE241:AI241">
    <cfRule type="containsText" dxfId="0" priority="3378" operator="between" text="欠">
      <formula>NOT(ISERROR(SEARCH("欠",AE241)))</formula>
    </cfRule>
  </conditionalFormatting>
  <conditionalFormatting sqref="AK241">
    <cfRule type="containsText" dxfId="0" priority="3375" operator="between" text="欠">
      <formula>NOT(ISERROR(SEARCH("欠",AK241)))</formula>
    </cfRule>
  </conditionalFormatting>
  <conditionalFormatting sqref="B242">
    <cfRule type="containsText" dxfId="1" priority="3361" operator="between" text="异常">
      <formula>NOT(ISERROR(SEARCH("异常",B242)))</formula>
    </cfRule>
  </conditionalFormatting>
  <conditionalFormatting sqref="C242">
    <cfRule type="containsText" dxfId="2" priority="3358" operator="between" text="二代">
      <formula>NOT(ISERROR(SEARCH("二代",C242)))</formula>
    </cfRule>
    <cfRule type="containsText" dxfId="3" priority="3359" operator="between" text="蛋糕">
      <formula>NOT(ISERROR(SEARCH("蛋糕",C242)))</formula>
    </cfRule>
  </conditionalFormatting>
  <conditionalFormatting sqref="X242:Y242">
    <cfRule type="containsText" dxfId="0" priority="3369" operator="between" text="欠">
      <formula>NOT(ISERROR(SEARCH("欠",X242)))</formula>
    </cfRule>
  </conditionalFormatting>
  <conditionalFormatting sqref="Z242">
    <cfRule type="containsText" dxfId="0" priority="3368" operator="between" text="欠">
      <formula>NOT(ISERROR(SEARCH("欠",Z242)))</formula>
    </cfRule>
  </conditionalFormatting>
  <conditionalFormatting sqref="AA242">
    <cfRule type="containsText" dxfId="0" priority="3362" operator="between" text="欠">
      <formula>NOT(ISERROR(SEARCH("欠",AA242)))</formula>
    </cfRule>
  </conditionalFormatting>
  <conditionalFormatting sqref="AB242">
    <cfRule type="containsText" dxfId="0" priority="3365" operator="between" text="欠">
      <formula>NOT(ISERROR(SEARCH("欠",AB242)))</formula>
    </cfRule>
  </conditionalFormatting>
  <conditionalFormatting sqref="AC242:AD242">
    <cfRule type="containsText" dxfId="0" priority="3364" operator="between" text="欠">
      <formula>NOT(ISERROR(SEARCH("欠",AC242)))</formula>
    </cfRule>
  </conditionalFormatting>
  <conditionalFormatting sqref="AE242">
    <cfRule type="containsText" dxfId="0" priority="3367" operator="between" text="欠">
      <formula>NOT(ISERROR(SEARCH("欠",AE242)))</formula>
    </cfRule>
  </conditionalFormatting>
  <conditionalFormatting sqref="AF242">
    <cfRule type="containsText" dxfId="0" priority="3371" operator="between" text="欠">
      <formula>NOT(ISERROR(SEARCH("欠",AF242)))</formula>
    </cfRule>
  </conditionalFormatting>
  <conditionalFormatting sqref="AG242">
    <cfRule type="containsText" dxfId="0" priority="3366" operator="between" text="欠">
      <formula>NOT(ISERROR(SEARCH("欠",AG242)))</formula>
    </cfRule>
  </conditionalFormatting>
  <conditionalFormatting sqref="AH242">
    <cfRule type="containsText" dxfId="0" priority="3363" operator="between" text="欠">
      <formula>NOT(ISERROR(SEARCH("欠",AH242)))</formula>
    </cfRule>
  </conditionalFormatting>
  <conditionalFormatting sqref="AI242">
    <cfRule type="containsText" dxfId="0" priority="3370" operator="between" text="欠">
      <formula>NOT(ISERROR(SEARCH("欠",AI242)))</formula>
    </cfRule>
  </conditionalFormatting>
  <conditionalFormatting sqref="AL242">
    <cfRule type="containsText" dxfId="0" priority="3360" operator="between" text="欠">
      <formula>NOT(ISERROR(SEARCH("欠",AL242)))</formula>
    </cfRule>
  </conditionalFormatting>
  <conditionalFormatting sqref="B243">
    <cfRule type="containsText" dxfId="1" priority="3348" operator="between" text="异常">
      <formula>NOT(ISERROR(SEARCH("异常",B243)))</formula>
    </cfRule>
  </conditionalFormatting>
  <conditionalFormatting sqref="C243">
    <cfRule type="containsText" dxfId="2" priority="3346" operator="between" text="二代">
      <formula>NOT(ISERROR(SEARCH("二代",C243)))</formula>
    </cfRule>
    <cfRule type="containsText" dxfId="3" priority="3347" operator="between" text="蛋糕">
      <formula>NOT(ISERROR(SEARCH("蛋糕",C243)))</formula>
    </cfRule>
  </conditionalFormatting>
  <conditionalFormatting sqref="X243:Y243">
    <cfRule type="containsText" dxfId="0" priority="3357" operator="between" text="欠">
      <formula>NOT(ISERROR(SEARCH("欠",X243)))</formula>
    </cfRule>
  </conditionalFormatting>
  <conditionalFormatting sqref="Z243">
    <cfRule type="containsText" dxfId="0" priority="3356" operator="between" text="欠">
      <formula>NOT(ISERROR(SEARCH("欠",Z243)))</formula>
    </cfRule>
  </conditionalFormatting>
  <conditionalFormatting sqref="AA243:AB243">
    <cfRule type="containsText" dxfId="0" priority="3354" operator="between" text="欠">
      <formula>NOT(ISERROR(SEARCH("欠",AA243)))</formula>
    </cfRule>
  </conditionalFormatting>
  <conditionalFormatting sqref="AC243:AD243">
    <cfRule type="containsText" dxfId="0" priority="3353" operator="between" text="欠">
      <formula>NOT(ISERROR(SEARCH("欠",AC243)))</formula>
    </cfRule>
  </conditionalFormatting>
  <conditionalFormatting sqref="AE243">
    <cfRule type="containsText" dxfId="0" priority="3350" operator="between" text="欠">
      <formula>NOT(ISERROR(SEARCH("欠",AE243)))</formula>
    </cfRule>
  </conditionalFormatting>
  <conditionalFormatting sqref="AF243">
    <cfRule type="containsText" dxfId="0" priority="3355" operator="between" text="欠">
      <formula>NOT(ISERROR(SEARCH("欠",AF243)))</formula>
    </cfRule>
  </conditionalFormatting>
  <conditionalFormatting sqref="AG243">
    <cfRule type="containsText" dxfId="0" priority="3349" operator="between" text="欠">
      <formula>NOT(ISERROR(SEARCH("欠",AG243)))</formula>
    </cfRule>
  </conditionalFormatting>
  <conditionalFormatting sqref="AH243">
    <cfRule type="containsText" dxfId="0" priority="3352" operator="between" text="欠">
      <formula>NOT(ISERROR(SEARCH("欠",AH243)))</formula>
    </cfRule>
  </conditionalFormatting>
  <conditionalFormatting sqref="AI243">
    <cfRule type="containsText" dxfId="0" priority="3351" operator="between" text="欠">
      <formula>NOT(ISERROR(SEARCH("欠",AI243)))</formula>
    </cfRule>
  </conditionalFormatting>
  <conditionalFormatting sqref="B244">
    <cfRule type="containsText" dxfId="1" priority="3336" operator="between" text="异常">
      <formula>NOT(ISERROR(SEARCH("异常",B244)))</formula>
    </cfRule>
  </conditionalFormatting>
  <conditionalFormatting sqref="C244">
    <cfRule type="containsText" dxfId="2" priority="3334" operator="between" text="二代">
      <formula>NOT(ISERROR(SEARCH("二代",C244)))</formula>
    </cfRule>
    <cfRule type="containsText" dxfId="3" priority="3335" operator="between" text="蛋糕">
      <formula>NOT(ISERROR(SEARCH("蛋糕",C244)))</formula>
    </cfRule>
  </conditionalFormatting>
  <conditionalFormatting sqref="X244">
    <cfRule type="containsText" dxfId="0" priority="3345" operator="between" text="欠">
      <formula>NOT(ISERROR(SEARCH("欠",X244)))</formula>
    </cfRule>
  </conditionalFormatting>
  <conditionalFormatting sqref="Y244">
    <cfRule type="containsText" dxfId="0" priority="3338" operator="between" text="欠">
      <formula>NOT(ISERROR(SEARCH("欠",Y244)))</formula>
    </cfRule>
  </conditionalFormatting>
  <conditionalFormatting sqref="Z244">
    <cfRule type="containsText" dxfId="0" priority="3344" operator="between" text="欠">
      <formula>NOT(ISERROR(SEARCH("欠",Z244)))</formula>
    </cfRule>
  </conditionalFormatting>
  <conditionalFormatting sqref="AA244:AB244">
    <cfRule type="containsText" dxfId="0" priority="3337" operator="between" text="欠">
      <formula>NOT(ISERROR(SEARCH("欠",AA244)))</formula>
    </cfRule>
  </conditionalFormatting>
  <conditionalFormatting sqref="AC244:AD244">
    <cfRule type="containsText" dxfId="0" priority="3341" operator="between" text="欠">
      <formula>NOT(ISERROR(SEARCH("欠",AC244)))</formula>
    </cfRule>
  </conditionalFormatting>
  <conditionalFormatting sqref="AE244">
    <cfRule type="containsText" dxfId="0" priority="3340" operator="between" text="欠">
      <formula>NOT(ISERROR(SEARCH("欠",AE244)))</formula>
    </cfRule>
  </conditionalFormatting>
  <conditionalFormatting sqref="AF244">
    <cfRule type="containsText" dxfId="0" priority="3343" operator="between" text="欠">
      <formula>NOT(ISERROR(SEARCH("欠",AF244)))</formula>
    </cfRule>
  </conditionalFormatting>
  <conditionalFormatting sqref="AG244">
    <cfRule type="containsText" dxfId="0" priority="3339" operator="between" text="欠">
      <formula>NOT(ISERROR(SEARCH("欠",AG244)))</formula>
    </cfRule>
  </conditionalFormatting>
  <conditionalFormatting sqref="AH244:AI244">
    <cfRule type="containsText" dxfId="0" priority="3342" operator="between" text="欠">
      <formula>NOT(ISERROR(SEARCH("欠",AH244)))</formula>
    </cfRule>
  </conditionalFormatting>
  <conditionalFormatting sqref="B245">
    <cfRule type="containsText" dxfId="1" priority="3321" operator="between" text="异常">
      <formula>NOT(ISERROR(SEARCH("异常",B245)))</formula>
    </cfRule>
  </conditionalFormatting>
  <conditionalFormatting sqref="C245">
    <cfRule type="containsText" dxfId="2" priority="3319" operator="between" text="二代">
      <formula>NOT(ISERROR(SEARCH("二代",C245)))</formula>
    </cfRule>
    <cfRule type="containsText" dxfId="3" priority="3320" operator="between" text="蛋糕">
      <formula>NOT(ISERROR(SEARCH("蛋糕",C245)))</formula>
    </cfRule>
  </conditionalFormatting>
  <conditionalFormatting sqref="X245">
    <cfRule type="containsText" dxfId="0" priority="3325" operator="between" text="欠">
      <formula>NOT(ISERROR(SEARCH("欠",X245)))</formula>
    </cfRule>
  </conditionalFormatting>
  <conditionalFormatting sqref="Y245">
    <cfRule type="containsText" dxfId="0" priority="3322" operator="between" text="欠">
      <formula>NOT(ISERROR(SEARCH("欠",Y245)))</formula>
    </cfRule>
  </conditionalFormatting>
  <conditionalFormatting sqref="Z245">
    <cfRule type="containsText" dxfId="0" priority="3330" operator="between" text="欠">
      <formula>NOT(ISERROR(SEARCH("欠",Z245)))</formula>
    </cfRule>
  </conditionalFormatting>
  <conditionalFormatting sqref="AA245:AB245">
    <cfRule type="containsText" dxfId="0" priority="3329" operator="between" text="欠">
      <formula>NOT(ISERROR(SEARCH("欠",AA245)))</formula>
    </cfRule>
  </conditionalFormatting>
  <conditionalFormatting sqref="AC245">
    <cfRule type="containsText" dxfId="0" priority="3332" operator="between" text="欠">
      <formula>NOT(ISERROR(SEARCH("欠",AC245)))</formula>
    </cfRule>
  </conditionalFormatting>
  <conditionalFormatting sqref="AD245">
    <cfRule type="containsText" dxfId="0" priority="3333" operator="between" text="欠">
      <formula>NOT(ISERROR(SEARCH("欠",AD245)))</formula>
    </cfRule>
  </conditionalFormatting>
  <conditionalFormatting sqref="AE245">
    <cfRule type="containsText" dxfId="0" priority="3327" operator="between" text="欠">
      <formula>NOT(ISERROR(SEARCH("欠",AE245)))</formula>
    </cfRule>
  </conditionalFormatting>
  <conditionalFormatting sqref="AF245">
    <cfRule type="containsText" dxfId="0" priority="3331" operator="between" text="欠">
      <formula>NOT(ISERROR(SEARCH("欠",AF245)))</formula>
    </cfRule>
  </conditionalFormatting>
  <conditionalFormatting sqref="AG245">
    <cfRule type="containsText" dxfId="0" priority="3326" operator="between" text="欠">
      <formula>NOT(ISERROR(SEARCH("欠",AG245)))</formula>
    </cfRule>
  </conditionalFormatting>
  <conditionalFormatting sqref="AH245">
    <cfRule type="containsText" dxfId="0" priority="3328" operator="between" text="欠">
      <formula>NOT(ISERROR(SEARCH("欠",AH245)))</formula>
    </cfRule>
  </conditionalFormatting>
  <conditionalFormatting sqref="AI245">
    <cfRule type="containsText" dxfId="0" priority="3323" operator="between" text="欠">
      <formula>NOT(ISERROR(SEARCH("欠",AI245)))</formula>
    </cfRule>
  </conditionalFormatting>
  <conditionalFormatting sqref="AL245">
    <cfRule type="containsText" dxfId="0" priority="3324" operator="between" text="欠">
      <formula>NOT(ISERROR(SEARCH("欠",AL245)))</formula>
    </cfRule>
  </conditionalFormatting>
  <conditionalFormatting sqref="B246">
    <cfRule type="containsText" dxfId="1" priority="3307" operator="between" text="异常">
      <formula>NOT(ISERROR(SEARCH("异常",B246)))</formula>
    </cfRule>
  </conditionalFormatting>
  <conditionalFormatting sqref="C246">
    <cfRule type="containsText" dxfId="2" priority="3305" operator="between" text="二代">
      <formula>NOT(ISERROR(SEARCH("二代",C246)))</formula>
    </cfRule>
    <cfRule type="containsText" dxfId="3" priority="3306" operator="between" text="蛋糕">
      <formula>NOT(ISERROR(SEARCH("蛋糕",C246)))</formula>
    </cfRule>
  </conditionalFormatting>
  <conditionalFormatting sqref="X246">
    <cfRule type="containsText" dxfId="0" priority="3311" operator="between" text="欠">
      <formula>NOT(ISERROR(SEARCH("欠",X246)))</formula>
    </cfRule>
  </conditionalFormatting>
  <conditionalFormatting sqref="Y246">
    <cfRule type="containsText" dxfId="0" priority="3308" operator="between" text="欠">
      <formula>NOT(ISERROR(SEARCH("欠",Y246)))</formula>
    </cfRule>
  </conditionalFormatting>
  <conditionalFormatting sqref="Z246">
    <cfRule type="containsText" dxfId="0" priority="3317" operator="between" text="欠">
      <formula>NOT(ISERROR(SEARCH("欠",Z246)))</formula>
    </cfRule>
  </conditionalFormatting>
  <conditionalFormatting sqref="AA246:AB246">
    <cfRule type="containsText" dxfId="0" priority="3315" operator="between" text="欠">
      <formula>NOT(ISERROR(SEARCH("欠",AA246)))</formula>
    </cfRule>
  </conditionalFormatting>
  <conditionalFormatting sqref="AC246:AD246">
    <cfRule type="containsText" dxfId="0" priority="3310" operator="between" text="欠">
      <formula>NOT(ISERROR(SEARCH("欠",AC246)))</formula>
    </cfRule>
  </conditionalFormatting>
  <conditionalFormatting sqref="AE246">
    <cfRule type="containsText" dxfId="0" priority="3313" operator="between" text="欠">
      <formula>NOT(ISERROR(SEARCH("欠",AE246)))</formula>
    </cfRule>
  </conditionalFormatting>
  <conditionalFormatting sqref="AF246">
    <cfRule type="containsText" dxfId="0" priority="3316" operator="between" text="欠">
      <formula>NOT(ISERROR(SEARCH("欠",AF246)))</formula>
    </cfRule>
  </conditionalFormatting>
  <conditionalFormatting sqref="AG246">
    <cfRule type="containsText" dxfId="0" priority="3312" operator="between" text="欠">
      <formula>NOT(ISERROR(SEARCH("欠",AG246)))</formula>
    </cfRule>
  </conditionalFormatting>
  <conditionalFormatting sqref="AH246">
    <cfRule type="containsText" dxfId="0" priority="3314" operator="between" text="欠">
      <formula>NOT(ISERROR(SEARCH("欠",AH246)))</formula>
    </cfRule>
  </conditionalFormatting>
  <conditionalFormatting sqref="AI246">
    <cfRule type="containsText" dxfId="0" priority="3318" operator="between" text="欠">
      <formula>NOT(ISERROR(SEARCH("欠",AI246)))</formula>
    </cfRule>
  </conditionalFormatting>
  <conditionalFormatting sqref="AL246">
    <cfRule type="containsText" dxfId="0" priority="3309" operator="between" text="欠">
      <formula>NOT(ISERROR(SEARCH("欠",AL246)))</formula>
    </cfRule>
  </conditionalFormatting>
  <conditionalFormatting sqref="AE249">
    <cfRule type="containsText" dxfId="0" priority="1468" operator="between" text="欠">
      <formula>NOT(ISERROR(SEARCH("欠",AE249)))</formula>
    </cfRule>
  </conditionalFormatting>
  <conditionalFormatting sqref="AF249">
    <cfRule type="containsText" dxfId="0" priority="1467" operator="between" text="欠">
      <formula>NOT(ISERROR(SEARCH("欠",AF249)))</formula>
    </cfRule>
  </conditionalFormatting>
  <conditionalFormatting sqref="AG249">
    <cfRule type="containsText" dxfId="0" priority="1466" operator="between" text="欠">
      <formula>NOT(ISERROR(SEARCH("欠",AG249)))</formula>
    </cfRule>
  </conditionalFormatting>
  <conditionalFormatting sqref="AH249">
    <cfRule type="containsText" dxfId="0" priority="1465" operator="between" text="欠">
      <formula>NOT(ISERROR(SEARCH("欠",AH249)))</formula>
    </cfRule>
  </conditionalFormatting>
  <conditionalFormatting sqref="AI249">
    <cfRule type="containsText" dxfId="0" priority="1464" operator="between" text="欠">
      <formula>NOT(ISERROR(SEARCH("欠",AI249)))</formula>
    </cfRule>
  </conditionalFormatting>
  <conditionalFormatting sqref="Y250">
    <cfRule type="containsText" dxfId="0" priority="3264" operator="between" text="欠">
      <formula>NOT(ISERROR(SEARCH("欠",Y250)))</formula>
    </cfRule>
  </conditionalFormatting>
  <conditionalFormatting sqref="AA250:AB250">
    <cfRule type="containsText" dxfId="0" priority="3268" operator="between" text="欠">
      <formula>NOT(ISERROR(SEARCH("欠",AA250)))</formula>
    </cfRule>
  </conditionalFormatting>
  <conditionalFormatting sqref="AF250">
    <cfRule type="containsText" dxfId="0" priority="3269" operator="between" text="欠">
      <formula>NOT(ISERROR(SEARCH("欠",AF250)))</formula>
    </cfRule>
  </conditionalFormatting>
  <conditionalFormatting sqref="AI250">
    <cfRule type="containsText" dxfId="0" priority="3262" operator="between" text="欠">
      <formula>NOT(ISERROR(SEARCH("欠",AI250)))</formula>
    </cfRule>
  </conditionalFormatting>
  <conditionalFormatting sqref="Y251">
    <cfRule type="containsText" dxfId="0" priority="3254" operator="between" text="欠">
      <formula>NOT(ISERROR(SEARCH("欠",Y251)))</formula>
    </cfRule>
  </conditionalFormatting>
  <conditionalFormatting sqref="AC251">
    <cfRule type="containsText" dxfId="0" priority="3255" operator="between" text="欠">
      <formula>NOT(ISERROR(SEARCH("欠",AC251)))</formula>
    </cfRule>
  </conditionalFormatting>
  <conditionalFormatting sqref="AD251">
    <cfRule type="containsText" dxfId="0" priority="3274" operator="between" text="欠">
      <formula>NOT(ISERROR(SEARCH("欠",AD251)))</formula>
    </cfRule>
  </conditionalFormatting>
  <conditionalFormatting sqref="Y252">
    <cfRule type="containsText" dxfId="0" priority="3257" operator="between" text="欠">
      <formula>NOT(ISERROR(SEARCH("欠",Y252)))</formula>
    </cfRule>
  </conditionalFormatting>
  <conditionalFormatting sqref="AC252">
    <cfRule type="containsText" dxfId="0" priority="3258" operator="between" text="欠">
      <formula>NOT(ISERROR(SEARCH("欠",AC252)))</formula>
    </cfRule>
  </conditionalFormatting>
  <conditionalFormatting sqref="Y253">
    <cfRule type="containsText" dxfId="0" priority="3246" operator="between" text="欠">
      <formula>NOT(ISERROR(SEARCH("欠",Y253)))</formula>
    </cfRule>
  </conditionalFormatting>
  <conditionalFormatting sqref="AC253:AD253">
    <cfRule type="containsText" dxfId="0" priority="3251" operator="between" text="欠">
      <formula>NOT(ISERROR(SEARCH("欠",AC253)))</formula>
    </cfRule>
  </conditionalFormatting>
  <conditionalFormatting sqref="Y254">
    <cfRule type="containsText" dxfId="0" priority="3247" operator="between" text="欠">
      <formula>NOT(ISERROR(SEARCH("欠",Y254)))</formula>
    </cfRule>
  </conditionalFormatting>
  <conditionalFormatting sqref="AB254">
    <cfRule type="containsText" dxfId="0" priority="3244" operator="between" text="欠">
      <formula>NOT(ISERROR(SEARCH("欠",AB254)))</formula>
    </cfRule>
  </conditionalFormatting>
  <conditionalFormatting sqref="Y255">
    <cfRule type="containsText" dxfId="0" priority="3253" operator="between" text="欠">
      <formula>NOT(ISERROR(SEARCH("欠",Y255)))</formula>
    </cfRule>
  </conditionalFormatting>
  <conditionalFormatting sqref="AC255:AD255">
    <cfRule type="containsText" dxfId="0" priority="3250" operator="between" text="欠">
      <formula>NOT(ISERROR(SEARCH("欠",AC255)))</formula>
    </cfRule>
  </conditionalFormatting>
  <conditionalFormatting sqref="Y256">
    <cfRule type="containsText" dxfId="0" priority="3252" operator="between" text="欠">
      <formula>NOT(ISERROR(SEARCH("欠",Y256)))</formula>
    </cfRule>
  </conditionalFormatting>
  <conditionalFormatting sqref="AI256">
    <cfRule type="containsText" dxfId="0" priority="3249" operator="between" text="欠">
      <formula>NOT(ISERROR(SEARCH("欠",AI256)))</formula>
    </cfRule>
  </conditionalFormatting>
  <conditionalFormatting sqref="B257">
    <cfRule type="containsText" dxfId="1" priority="3231" operator="between" text="异常">
      <formula>NOT(ISERROR(SEARCH("异常",B257)))</formula>
    </cfRule>
  </conditionalFormatting>
  <conditionalFormatting sqref="C257">
    <cfRule type="containsText" dxfId="2" priority="3229" operator="between" text="二代">
      <formula>NOT(ISERROR(SEARCH("二代",C257)))</formula>
    </cfRule>
    <cfRule type="containsText" dxfId="3" priority="3230" operator="between" text="蛋糕">
      <formula>NOT(ISERROR(SEARCH("蛋糕",C257)))</formula>
    </cfRule>
  </conditionalFormatting>
  <conditionalFormatting sqref="X257:Y257">
    <cfRule type="containsText" dxfId="0" priority="3240" operator="between" text="欠">
      <formula>NOT(ISERROR(SEARCH("欠",X257)))</formula>
    </cfRule>
  </conditionalFormatting>
  <conditionalFormatting sqref="Z257">
    <cfRule type="containsText" dxfId="0" priority="3239" operator="between" text="欠">
      <formula>NOT(ISERROR(SEARCH("欠",Z257)))</formula>
    </cfRule>
  </conditionalFormatting>
  <conditionalFormatting sqref="AA257">
    <cfRule type="containsText" dxfId="0" priority="3236" operator="between" text="欠">
      <formula>NOT(ISERROR(SEARCH("欠",AA257)))</formula>
    </cfRule>
  </conditionalFormatting>
  <conditionalFormatting sqref="AB257">
    <cfRule type="containsText" dxfId="0" priority="3235" operator="between" text="欠">
      <formula>NOT(ISERROR(SEARCH("欠",AB257)))</formula>
    </cfRule>
  </conditionalFormatting>
  <conditionalFormatting sqref="AC257:AD257">
    <cfRule type="containsText" dxfId="0" priority="3234" operator="between" text="欠">
      <formula>NOT(ISERROR(SEARCH("欠",AC257)))</formula>
    </cfRule>
  </conditionalFormatting>
  <conditionalFormatting sqref="AE257">
    <cfRule type="containsText" dxfId="0" priority="3238" operator="between" text="欠">
      <formula>NOT(ISERROR(SEARCH("欠",AE257)))</formula>
    </cfRule>
  </conditionalFormatting>
  <conditionalFormatting sqref="AF257">
    <cfRule type="containsText" dxfId="0" priority="3241" operator="between" text="欠">
      <formula>NOT(ISERROR(SEARCH("欠",AF257)))</formula>
    </cfRule>
  </conditionalFormatting>
  <conditionalFormatting sqref="AG257">
    <cfRule type="containsText" dxfId="0" priority="3237" operator="between" text="欠">
      <formula>NOT(ISERROR(SEARCH("欠",AG257)))</formula>
    </cfRule>
  </conditionalFormatting>
  <conditionalFormatting sqref="AH257">
    <cfRule type="containsText" dxfId="0" priority="3233" operator="between" text="欠">
      <formula>NOT(ISERROR(SEARCH("欠",AH257)))</formula>
    </cfRule>
  </conditionalFormatting>
  <conditionalFormatting sqref="AI257">
    <cfRule type="containsText" dxfId="0" priority="3232" operator="between" text="欠">
      <formula>NOT(ISERROR(SEARCH("欠",AI257)))</formula>
    </cfRule>
  </conditionalFormatting>
  <conditionalFormatting sqref="B258">
    <cfRule type="containsText" dxfId="1" priority="3218" operator="between" text="异常">
      <formula>NOT(ISERROR(SEARCH("异常",B258)))</formula>
    </cfRule>
  </conditionalFormatting>
  <conditionalFormatting sqref="C258">
    <cfRule type="containsText" dxfId="2" priority="3216" operator="between" text="二代">
      <formula>NOT(ISERROR(SEARCH("二代",C258)))</formula>
    </cfRule>
    <cfRule type="containsText" dxfId="3" priority="3217" operator="between" text="蛋糕">
      <formula>NOT(ISERROR(SEARCH("蛋糕",C258)))</formula>
    </cfRule>
  </conditionalFormatting>
  <conditionalFormatting sqref="X258:Y258">
    <cfRule type="containsText" dxfId="0" priority="3228" operator="between" text="欠">
      <formula>NOT(ISERROR(SEARCH("欠",X258)))</formula>
    </cfRule>
  </conditionalFormatting>
  <conditionalFormatting sqref="Z258">
    <cfRule type="containsText" dxfId="0" priority="3227" operator="between" text="欠">
      <formula>NOT(ISERROR(SEARCH("欠",Z258)))</formula>
    </cfRule>
  </conditionalFormatting>
  <conditionalFormatting sqref="AA258">
    <cfRule type="containsText" dxfId="0" priority="3222" operator="between" text="欠">
      <formula>NOT(ISERROR(SEARCH("欠",AA258)))</formula>
    </cfRule>
  </conditionalFormatting>
  <conditionalFormatting sqref="AB258">
    <cfRule type="containsText" dxfId="0" priority="3221" operator="between" text="欠">
      <formula>NOT(ISERROR(SEARCH("欠",AB258)))</formula>
    </cfRule>
  </conditionalFormatting>
  <conditionalFormatting sqref="AC258:AD258">
    <cfRule type="containsText" dxfId="0" priority="3220" operator="between" text="欠">
      <formula>NOT(ISERROR(SEARCH("欠",AC258)))</formula>
    </cfRule>
  </conditionalFormatting>
  <conditionalFormatting sqref="AE258">
    <cfRule type="containsText" dxfId="0" priority="3224" operator="between" text="欠">
      <formula>NOT(ISERROR(SEARCH("欠",AE258)))</formula>
    </cfRule>
  </conditionalFormatting>
  <conditionalFormatting sqref="AF258">
    <cfRule type="containsText" dxfId="0" priority="3225" operator="between" text="欠">
      <formula>NOT(ISERROR(SEARCH("欠",AF258)))</formula>
    </cfRule>
  </conditionalFormatting>
  <conditionalFormatting sqref="AG258">
    <cfRule type="containsText" dxfId="0" priority="3223" operator="between" text="欠">
      <formula>NOT(ISERROR(SEARCH("欠",AG258)))</formula>
    </cfRule>
  </conditionalFormatting>
  <conditionalFormatting sqref="AH258">
    <cfRule type="containsText" dxfId="0" priority="3219" operator="between" text="欠">
      <formula>NOT(ISERROR(SEARCH("欠",AH258)))</formula>
    </cfRule>
  </conditionalFormatting>
  <conditionalFormatting sqref="AI258">
    <cfRule type="containsText" dxfId="0" priority="3226" operator="between" text="欠">
      <formula>NOT(ISERROR(SEARCH("欠",AI258)))</formula>
    </cfRule>
  </conditionalFormatting>
  <conditionalFormatting sqref="B259">
    <cfRule type="containsText" dxfId="1" priority="3205" operator="between" text="异常">
      <formula>NOT(ISERROR(SEARCH("异常",B259)))</formula>
    </cfRule>
  </conditionalFormatting>
  <conditionalFormatting sqref="C259">
    <cfRule type="containsText" dxfId="2" priority="3203" operator="between" text="二代">
      <formula>NOT(ISERROR(SEARCH("二代",C259)))</formula>
    </cfRule>
    <cfRule type="containsText" dxfId="3" priority="3204" operator="between" text="蛋糕">
      <formula>NOT(ISERROR(SEARCH("蛋糕",C259)))</formula>
    </cfRule>
  </conditionalFormatting>
  <conditionalFormatting sqref="X259">
    <cfRule type="containsText" dxfId="0" priority="3211" operator="between" text="欠">
      <formula>NOT(ISERROR(SEARCH("欠",X259)))</formula>
    </cfRule>
  </conditionalFormatting>
  <conditionalFormatting sqref="Y259">
    <cfRule type="containsText" dxfId="0" priority="3214" operator="between" text="欠">
      <formula>NOT(ISERROR(SEARCH("欠",Y259)))</formula>
    </cfRule>
  </conditionalFormatting>
  <conditionalFormatting sqref="Z259">
    <cfRule type="containsText" dxfId="0" priority="3207" operator="between" text="欠">
      <formula>NOT(ISERROR(SEARCH("欠",Z259)))</formula>
    </cfRule>
  </conditionalFormatting>
  <conditionalFormatting sqref="AA259:AB259">
    <cfRule type="containsText" dxfId="0" priority="3206" operator="between" text="欠">
      <formula>NOT(ISERROR(SEARCH("欠",AA259)))</formula>
    </cfRule>
  </conditionalFormatting>
  <conditionalFormatting sqref="AC259:AD259">
    <cfRule type="containsText" dxfId="0" priority="3213" operator="between" text="欠">
      <formula>NOT(ISERROR(SEARCH("欠",AC259)))</formula>
    </cfRule>
  </conditionalFormatting>
  <conditionalFormatting sqref="AE259">
    <cfRule type="containsText" dxfId="0" priority="3209" operator="between" text="欠">
      <formula>NOT(ISERROR(SEARCH("欠",AE259)))</formula>
    </cfRule>
  </conditionalFormatting>
  <conditionalFormatting sqref="AF259">
    <cfRule type="containsText" dxfId="0" priority="3215" operator="between" text="欠">
      <formula>NOT(ISERROR(SEARCH("欠",AF259)))</formula>
    </cfRule>
  </conditionalFormatting>
  <conditionalFormatting sqref="AG259">
    <cfRule type="containsText" dxfId="0" priority="3208" operator="between" text="欠">
      <formula>NOT(ISERROR(SEARCH("欠",AG259)))</formula>
    </cfRule>
  </conditionalFormatting>
  <conditionalFormatting sqref="AH259">
    <cfRule type="containsText" dxfId="0" priority="3210" operator="between" text="欠">
      <formula>NOT(ISERROR(SEARCH("欠",AH259)))</formula>
    </cfRule>
  </conditionalFormatting>
  <conditionalFormatting sqref="AI259">
    <cfRule type="containsText" dxfId="0" priority="3212" operator="between" text="欠">
      <formula>NOT(ISERROR(SEARCH("欠",AI259)))</formula>
    </cfRule>
  </conditionalFormatting>
  <conditionalFormatting sqref="B260">
    <cfRule type="containsText" dxfId="1" priority="3192" operator="between" text="异常">
      <formula>NOT(ISERROR(SEARCH("异常",B260)))</formula>
    </cfRule>
  </conditionalFormatting>
  <conditionalFormatting sqref="C260">
    <cfRule type="containsText" dxfId="2" priority="3190" operator="between" text="二代">
      <formula>NOT(ISERROR(SEARCH("二代",C260)))</formula>
    </cfRule>
    <cfRule type="containsText" dxfId="3" priority="3191" operator="between" text="蛋糕">
      <formula>NOT(ISERROR(SEARCH("蛋糕",C260)))</formula>
    </cfRule>
  </conditionalFormatting>
  <conditionalFormatting sqref="X260">
    <cfRule type="containsText" dxfId="0" priority="3202" operator="between" text="欠">
      <formula>NOT(ISERROR(SEARCH("欠",X260)))</formula>
    </cfRule>
  </conditionalFormatting>
  <conditionalFormatting sqref="Y260">
    <cfRule type="containsText" dxfId="0" priority="3195" operator="between" text="欠">
      <formula>NOT(ISERROR(SEARCH("欠",Y260)))</formula>
    </cfRule>
  </conditionalFormatting>
  <conditionalFormatting sqref="Z260">
    <cfRule type="containsText" dxfId="0" priority="3201" operator="between" text="欠">
      <formula>NOT(ISERROR(SEARCH("欠",Z260)))</formula>
    </cfRule>
  </conditionalFormatting>
  <conditionalFormatting sqref="AA260:AB260">
    <cfRule type="containsText" dxfId="0" priority="3194" operator="between" text="欠">
      <formula>NOT(ISERROR(SEARCH("欠",AA260)))</formula>
    </cfRule>
  </conditionalFormatting>
  <conditionalFormatting sqref="AC260:AD260">
    <cfRule type="containsText" dxfId="0" priority="3199" operator="between" text="欠">
      <formula>NOT(ISERROR(SEARCH("欠",AC260)))</formula>
    </cfRule>
  </conditionalFormatting>
  <conditionalFormatting sqref="AE260">
    <cfRule type="containsText" dxfId="0" priority="3197" operator="between" text="欠">
      <formula>NOT(ISERROR(SEARCH("欠",AE260)))</formula>
    </cfRule>
  </conditionalFormatting>
  <conditionalFormatting sqref="AF260">
    <cfRule type="containsText" dxfId="0" priority="3200" operator="between" text="欠">
      <formula>NOT(ISERROR(SEARCH("欠",AF260)))</formula>
    </cfRule>
  </conditionalFormatting>
  <conditionalFormatting sqref="AG260">
    <cfRule type="containsText" dxfId="0" priority="3196" operator="between" text="欠">
      <formula>NOT(ISERROR(SEARCH("欠",AG260)))</formula>
    </cfRule>
  </conditionalFormatting>
  <conditionalFormatting sqref="AH260:AI260">
    <cfRule type="containsText" dxfId="0" priority="3198" operator="between" text="欠">
      <formula>NOT(ISERROR(SEARCH("欠",AH260)))</formula>
    </cfRule>
  </conditionalFormatting>
  <conditionalFormatting sqref="AK260">
    <cfRule type="containsText" dxfId="0" priority="3193" operator="between" text="欠">
      <formula>NOT(ISERROR(SEARCH("欠",AK260)))</formula>
    </cfRule>
  </conditionalFormatting>
  <conditionalFormatting sqref="B261">
    <cfRule type="containsText" dxfId="1" priority="3177" operator="between" text="异常">
      <formula>NOT(ISERROR(SEARCH("异常",B261)))</formula>
    </cfRule>
  </conditionalFormatting>
  <conditionalFormatting sqref="C261">
    <cfRule type="containsText" dxfId="2" priority="3175" operator="between" text="二代">
      <formula>NOT(ISERROR(SEARCH("二代",C261)))</formula>
    </cfRule>
    <cfRule type="containsText" dxfId="3" priority="3176" operator="between" text="蛋糕">
      <formula>NOT(ISERROR(SEARCH("蛋糕",C261)))</formula>
    </cfRule>
  </conditionalFormatting>
  <conditionalFormatting sqref="X261">
    <cfRule type="containsText" dxfId="0" priority="3182" operator="between" text="欠">
      <formula>NOT(ISERROR(SEARCH("欠",X261)))</formula>
    </cfRule>
  </conditionalFormatting>
  <conditionalFormatting sqref="Y261">
    <cfRule type="containsText" dxfId="0" priority="3180" operator="between" text="欠">
      <formula>NOT(ISERROR(SEARCH("欠",Y261)))</formula>
    </cfRule>
  </conditionalFormatting>
  <conditionalFormatting sqref="Z261">
    <cfRule type="containsText" dxfId="0" priority="3179" operator="between" text="欠">
      <formula>NOT(ISERROR(SEARCH("欠",Z261)))</formula>
    </cfRule>
  </conditionalFormatting>
  <conditionalFormatting sqref="AA261">
    <cfRule type="containsText" dxfId="0" priority="3181" operator="between" text="欠">
      <formula>NOT(ISERROR(SEARCH("欠",AA261)))</formula>
    </cfRule>
  </conditionalFormatting>
  <conditionalFormatting sqref="AB261">
    <cfRule type="containsText" dxfId="0" priority="3187" operator="between" text="欠">
      <formula>NOT(ISERROR(SEARCH("欠",AB261)))</formula>
    </cfRule>
  </conditionalFormatting>
  <conditionalFormatting sqref="AC261:AD261">
    <cfRule type="containsText" dxfId="0" priority="3186" operator="between" text="欠">
      <formula>NOT(ISERROR(SEARCH("欠",AC261)))</formula>
    </cfRule>
  </conditionalFormatting>
  <conditionalFormatting sqref="AE261">
    <cfRule type="containsText" dxfId="0" priority="3184" operator="between" text="欠">
      <formula>NOT(ISERROR(SEARCH("欠",AE261)))</formula>
    </cfRule>
  </conditionalFormatting>
  <conditionalFormatting sqref="AF261">
    <cfRule type="containsText" dxfId="0" priority="3188" operator="between" text="欠">
      <formula>NOT(ISERROR(SEARCH("欠",AF261)))</formula>
    </cfRule>
  </conditionalFormatting>
  <conditionalFormatting sqref="AG261">
    <cfRule type="containsText" dxfId="0" priority="3183" operator="between" text="欠">
      <formula>NOT(ISERROR(SEARCH("欠",AG261)))</formula>
    </cfRule>
  </conditionalFormatting>
  <conditionalFormatting sqref="AH261">
    <cfRule type="containsText" dxfId="0" priority="3185" operator="between" text="欠">
      <formula>NOT(ISERROR(SEARCH("欠",AH261)))</formula>
    </cfRule>
  </conditionalFormatting>
  <conditionalFormatting sqref="AI261">
    <cfRule type="containsText" dxfId="0" priority="3189" operator="between" text="欠">
      <formula>NOT(ISERROR(SEARCH("欠",AI261)))</formula>
    </cfRule>
  </conditionalFormatting>
  <conditionalFormatting sqref="AL261">
    <cfRule type="containsText" dxfId="0" priority="3178" operator="between" text="欠">
      <formula>NOT(ISERROR(SEARCH("欠",AL261)))</formula>
    </cfRule>
  </conditionalFormatting>
  <conditionalFormatting sqref="B262">
    <cfRule type="containsText" dxfId="1" priority="3167" operator="between" text="异常">
      <formula>NOT(ISERROR(SEARCH("异常",B262)))</formula>
    </cfRule>
  </conditionalFormatting>
  <conditionalFormatting sqref="C262">
    <cfRule type="containsText" dxfId="2" priority="3165" operator="between" text="二代">
      <formula>NOT(ISERROR(SEARCH("二代",C262)))</formula>
    </cfRule>
    <cfRule type="containsText" dxfId="3" priority="3166" operator="between" text="蛋糕">
      <formula>NOT(ISERROR(SEARCH("蛋糕",C262)))</formula>
    </cfRule>
  </conditionalFormatting>
  <conditionalFormatting sqref="Y262">
    <cfRule type="containsText" dxfId="0" priority="3169" operator="between" text="欠">
      <formula>NOT(ISERROR(SEARCH("欠",Y262)))</formula>
    </cfRule>
  </conditionalFormatting>
  <conditionalFormatting sqref="Z262">
    <cfRule type="containsText" dxfId="0" priority="3174" operator="between" text="欠">
      <formula>NOT(ISERROR(SEARCH("欠",Z262)))</formula>
    </cfRule>
  </conditionalFormatting>
  <conditionalFormatting sqref="AA262:AB262">
    <cfRule type="containsText" dxfId="0" priority="3172" operator="between" text="欠">
      <formula>NOT(ISERROR(SEARCH("欠",AA262)))</formula>
    </cfRule>
  </conditionalFormatting>
  <conditionalFormatting sqref="AC262:AD262">
    <cfRule type="containsText" dxfId="0" priority="3171" operator="between" text="欠">
      <formula>NOT(ISERROR(SEARCH("欠",AC262)))</formula>
    </cfRule>
  </conditionalFormatting>
  <conditionalFormatting sqref="AF262">
    <cfRule type="containsText" dxfId="0" priority="3173" operator="between" text="欠">
      <formula>NOT(ISERROR(SEARCH("欠",AF262)))</formula>
    </cfRule>
  </conditionalFormatting>
  <conditionalFormatting sqref="AH262">
    <cfRule type="containsText" dxfId="0" priority="3170" operator="between" text="欠">
      <formula>NOT(ISERROR(SEARCH("欠",AH262)))</formula>
    </cfRule>
  </conditionalFormatting>
  <conditionalFormatting sqref="AI262">
    <cfRule type="containsText" dxfId="0" priority="3168" operator="between" text="欠">
      <formula>NOT(ISERROR(SEARCH("欠",AI262)))</formula>
    </cfRule>
  </conditionalFormatting>
  <conditionalFormatting sqref="B263">
    <cfRule type="containsText" dxfId="1" priority="3153" operator="between" text="异常">
      <formula>NOT(ISERROR(SEARCH("异常",B263)))</formula>
    </cfRule>
  </conditionalFormatting>
  <conditionalFormatting sqref="C263">
    <cfRule type="containsText" dxfId="2" priority="3151" operator="between" text="二代">
      <formula>NOT(ISERROR(SEARCH("二代",C263)))</formula>
    </cfRule>
    <cfRule type="containsText" dxfId="3" priority="3152" operator="between" text="蛋糕">
      <formula>NOT(ISERROR(SEARCH("蛋糕",C263)))</formula>
    </cfRule>
  </conditionalFormatting>
  <conditionalFormatting sqref="X263">
    <cfRule type="containsText" dxfId="0" priority="3155" operator="between" text="欠">
      <formula>NOT(ISERROR(SEARCH("欠",X263)))</formula>
    </cfRule>
  </conditionalFormatting>
  <conditionalFormatting sqref="Y263">
    <cfRule type="containsText" dxfId="0" priority="3158" operator="between" text="欠">
      <formula>NOT(ISERROR(SEARCH("欠",Y263)))</formula>
    </cfRule>
  </conditionalFormatting>
  <conditionalFormatting sqref="Z263">
    <cfRule type="containsText" dxfId="0" priority="3162" operator="between" text="欠">
      <formula>NOT(ISERROR(SEARCH("欠",Z263)))</formula>
    </cfRule>
  </conditionalFormatting>
  <conditionalFormatting sqref="AA263:AB263">
    <cfRule type="containsText" dxfId="0" priority="3161" operator="between" text="欠">
      <formula>NOT(ISERROR(SEARCH("欠",AA263)))</formula>
    </cfRule>
  </conditionalFormatting>
  <conditionalFormatting sqref="AC263:AD263">
    <cfRule type="containsText" dxfId="0" priority="3160" operator="between" text="欠">
      <formula>NOT(ISERROR(SEARCH("欠",AC263)))</formula>
    </cfRule>
  </conditionalFormatting>
  <conditionalFormatting sqref="AE263">
    <cfRule type="containsText" dxfId="0" priority="3157" operator="between" text="欠">
      <formula>NOT(ISERROR(SEARCH("欠",AE263)))</formula>
    </cfRule>
  </conditionalFormatting>
  <conditionalFormatting sqref="AF263">
    <cfRule type="containsText" dxfId="0" priority="3163" operator="between" text="欠">
      <formula>NOT(ISERROR(SEARCH("欠",AF263)))</formula>
    </cfRule>
  </conditionalFormatting>
  <conditionalFormatting sqref="AG263">
    <cfRule type="containsText" dxfId="0" priority="3156" operator="between" text="欠">
      <formula>NOT(ISERROR(SEARCH("欠",AG263)))</formula>
    </cfRule>
  </conditionalFormatting>
  <conditionalFormatting sqref="AH263">
    <cfRule type="containsText" dxfId="0" priority="3159" operator="between" text="欠">
      <formula>NOT(ISERROR(SEARCH("欠",AH263)))</formula>
    </cfRule>
  </conditionalFormatting>
  <conditionalFormatting sqref="AI263">
    <cfRule type="containsText" dxfId="0" priority="3164" operator="between" text="欠">
      <formula>NOT(ISERROR(SEARCH("欠",AI263)))</formula>
    </cfRule>
  </conditionalFormatting>
  <conditionalFormatting sqref="AL263">
    <cfRule type="containsText" dxfId="0" priority="3154" operator="between" text="欠">
      <formula>NOT(ISERROR(SEARCH("欠",AL263)))</formula>
    </cfRule>
  </conditionalFormatting>
  <conditionalFormatting sqref="B264">
    <cfRule type="containsText" dxfId="1" priority="3073" operator="between" text="异常">
      <formula>NOT(ISERROR(SEARCH("异常",B264)))</formula>
    </cfRule>
  </conditionalFormatting>
  <conditionalFormatting sqref="C264">
    <cfRule type="containsText" dxfId="2" priority="3071" operator="between" text="二代">
      <formula>NOT(ISERROR(SEARCH("二代",C264)))</formula>
    </cfRule>
    <cfRule type="containsText" dxfId="3" priority="3072" operator="between" text="蛋糕">
      <formula>NOT(ISERROR(SEARCH("蛋糕",C264)))</formula>
    </cfRule>
  </conditionalFormatting>
  <conditionalFormatting sqref="X264">
    <cfRule type="containsText" dxfId="0" priority="3082" operator="between" text="欠">
      <formula>NOT(ISERROR(SEARCH("欠",X264)))</formula>
    </cfRule>
  </conditionalFormatting>
  <conditionalFormatting sqref="Y264">
    <cfRule type="containsText" dxfId="0" priority="3074" operator="between" text="欠">
      <formula>NOT(ISERROR(SEARCH("欠",Y264)))</formula>
    </cfRule>
  </conditionalFormatting>
  <conditionalFormatting sqref="Z264">
    <cfRule type="containsText" dxfId="0" priority="3083" operator="between" text="欠">
      <formula>NOT(ISERROR(SEARCH("欠",Z264)))</formula>
    </cfRule>
  </conditionalFormatting>
  <conditionalFormatting sqref="AA264">
    <cfRule type="containsText" dxfId="0" priority="3080" operator="between" text="欠">
      <formula>NOT(ISERROR(SEARCH("欠",AA264)))</formula>
    </cfRule>
  </conditionalFormatting>
  <conditionalFormatting sqref="AB264">
    <cfRule type="containsText" dxfId="0" priority="3078" operator="between" text="欠">
      <formula>NOT(ISERROR(SEARCH("欠",AB264)))</formula>
    </cfRule>
  </conditionalFormatting>
  <conditionalFormatting sqref="AC264">
    <cfRule type="containsText" dxfId="0" priority="3084" operator="between" text="欠">
      <formula>NOT(ISERROR(SEARCH("欠",AC264)))</formula>
    </cfRule>
  </conditionalFormatting>
  <conditionalFormatting sqref="AD264">
    <cfRule type="containsText" dxfId="0" priority="3085" operator="between" text="欠">
      <formula>NOT(ISERROR(SEARCH("欠",AD264)))</formula>
    </cfRule>
  </conditionalFormatting>
  <conditionalFormatting sqref="AE264">
    <cfRule type="containsText" dxfId="0" priority="3079" operator="between" text="欠">
      <formula>NOT(ISERROR(SEARCH("欠",AE264)))</formula>
    </cfRule>
  </conditionalFormatting>
  <conditionalFormatting sqref="AF264">
    <cfRule type="containsText" dxfId="0" priority="3086" operator="between" text="欠">
      <formula>NOT(ISERROR(SEARCH("欠",AF264)))</formula>
    </cfRule>
  </conditionalFormatting>
  <conditionalFormatting sqref="AG264">
    <cfRule type="containsText" dxfId="0" priority="3076" operator="between" text="欠">
      <formula>NOT(ISERROR(SEARCH("欠",AG264)))</formula>
    </cfRule>
  </conditionalFormatting>
  <conditionalFormatting sqref="AH264">
    <cfRule type="containsText" dxfId="0" priority="3077" operator="between" text="欠">
      <formula>NOT(ISERROR(SEARCH("欠",AH264)))</formula>
    </cfRule>
  </conditionalFormatting>
  <conditionalFormatting sqref="AI264">
    <cfRule type="containsText" dxfId="0" priority="3081" operator="between" text="欠">
      <formula>NOT(ISERROR(SEARCH("欠",AI264)))</formula>
    </cfRule>
  </conditionalFormatting>
  <conditionalFormatting sqref="AL264">
    <cfRule type="containsText" dxfId="0" priority="3075" operator="between" text="欠">
      <formula>NOT(ISERROR(SEARCH("欠",AL264)))</formula>
    </cfRule>
  </conditionalFormatting>
  <conditionalFormatting sqref="B265">
    <cfRule type="containsText" dxfId="1" priority="3139" operator="between" text="异常">
      <formula>NOT(ISERROR(SEARCH("异常",B265)))</formula>
    </cfRule>
  </conditionalFormatting>
  <conditionalFormatting sqref="C265">
    <cfRule type="containsText" dxfId="2" priority="3137" operator="between" text="二代">
      <formula>NOT(ISERROR(SEARCH("二代",C265)))</formula>
    </cfRule>
    <cfRule type="containsText" dxfId="3" priority="3138" operator="between" text="蛋糕">
      <formula>NOT(ISERROR(SEARCH("蛋糕",C265)))</formula>
    </cfRule>
  </conditionalFormatting>
  <conditionalFormatting sqref="X265">
    <cfRule type="containsText" dxfId="0" priority="3145" operator="between" text="欠">
      <formula>NOT(ISERROR(SEARCH("欠",X265)))</formula>
    </cfRule>
  </conditionalFormatting>
  <conditionalFormatting sqref="Y265">
    <cfRule type="containsText" dxfId="0" priority="3142" operator="between" text="欠">
      <formula>NOT(ISERROR(SEARCH("欠",Y265)))</formula>
    </cfRule>
  </conditionalFormatting>
  <conditionalFormatting sqref="Z265">
    <cfRule type="containsText" dxfId="0" priority="3148" operator="between" text="欠">
      <formula>NOT(ISERROR(SEARCH("欠",Z265)))</formula>
    </cfRule>
  </conditionalFormatting>
  <conditionalFormatting sqref="AA265:AB265">
    <cfRule type="containsText" dxfId="0" priority="3144" operator="between" text="欠">
      <formula>NOT(ISERROR(SEARCH("欠",AA265)))</formula>
    </cfRule>
  </conditionalFormatting>
  <conditionalFormatting sqref="AC265">
    <cfRule type="containsText" dxfId="0" priority="3149" operator="between" text="欠">
      <formula>NOT(ISERROR(SEARCH("欠",AC265)))</formula>
    </cfRule>
  </conditionalFormatting>
  <conditionalFormatting sqref="AD265">
    <cfRule type="containsText" dxfId="0" priority="3150" operator="between" text="欠">
      <formula>NOT(ISERROR(SEARCH("欠",AD265)))</formula>
    </cfRule>
  </conditionalFormatting>
  <conditionalFormatting sqref="AE265">
    <cfRule type="containsText" dxfId="0" priority="3141" operator="between" text="欠">
      <formula>NOT(ISERROR(SEARCH("欠",AE265)))</formula>
    </cfRule>
  </conditionalFormatting>
  <conditionalFormatting sqref="AF265">
    <cfRule type="containsText" dxfId="0" priority="3146" operator="between" text="欠">
      <formula>NOT(ISERROR(SEARCH("欠",AF265)))</formula>
    </cfRule>
  </conditionalFormatting>
  <conditionalFormatting sqref="AG265">
    <cfRule type="containsText" dxfId="0" priority="3140" operator="between" text="欠">
      <formula>NOT(ISERROR(SEARCH("欠",AG265)))</formula>
    </cfRule>
  </conditionalFormatting>
  <conditionalFormatting sqref="AH265">
    <cfRule type="containsText" dxfId="0" priority="3143" operator="between" text="欠">
      <formula>NOT(ISERROR(SEARCH("欠",AH265)))</formula>
    </cfRule>
  </conditionalFormatting>
  <conditionalFormatting sqref="AI265">
    <cfRule type="containsText" dxfId="0" priority="3147" operator="between" text="欠">
      <formula>NOT(ISERROR(SEARCH("欠",AI265)))</formula>
    </cfRule>
  </conditionalFormatting>
  <conditionalFormatting sqref="B266">
    <cfRule type="containsText" dxfId="1" priority="3126" operator="between" text="异常">
      <formula>NOT(ISERROR(SEARCH("异常",B266)))</formula>
    </cfRule>
  </conditionalFormatting>
  <conditionalFormatting sqref="C266">
    <cfRule type="containsText" dxfId="2" priority="3124" operator="between" text="二代">
      <formula>NOT(ISERROR(SEARCH("二代",C266)))</formula>
    </cfRule>
    <cfRule type="containsText" dxfId="3" priority="3125" operator="between" text="蛋糕">
      <formula>NOT(ISERROR(SEARCH("蛋糕",C266)))</formula>
    </cfRule>
  </conditionalFormatting>
  <conditionalFormatting sqref="X266">
    <cfRule type="containsText" dxfId="0" priority="3132" operator="between" text="欠">
      <formula>NOT(ISERROR(SEARCH("欠",X266)))</formula>
    </cfRule>
  </conditionalFormatting>
  <conditionalFormatting sqref="Y266">
    <cfRule type="containsText" dxfId="0" priority="3128" operator="between" text="欠">
      <formula>NOT(ISERROR(SEARCH("欠",Y266)))</formula>
    </cfRule>
  </conditionalFormatting>
  <conditionalFormatting sqref="Z266">
    <cfRule type="containsText" dxfId="0" priority="3127" operator="between" text="欠">
      <formula>NOT(ISERROR(SEARCH("欠",Z266)))</formula>
    </cfRule>
  </conditionalFormatting>
  <conditionalFormatting sqref="AA266">
    <cfRule type="containsText" dxfId="0" priority="3131" operator="between" text="欠">
      <formula>NOT(ISERROR(SEARCH("欠",AA266)))</formula>
    </cfRule>
  </conditionalFormatting>
  <conditionalFormatting sqref="AB266">
    <cfRule type="containsText" dxfId="0" priority="3135" operator="between" text="欠">
      <formula>NOT(ISERROR(SEARCH("欠",AB266)))</formula>
    </cfRule>
  </conditionalFormatting>
  <conditionalFormatting sqref="AC266:AD266">
    <cfRule type="containsText" dxfId="0" priority="3130" operator="between" text="欠">
      <formula>NOT(ISERROR(SEARCH("欠",AC266)))</formula>
    </cfRule>
  </conditionalFormatting>
  <conditionalFormatting sqref="AE266">
    <cfRule type="containsText" dxfId="0" priority="3134" operator="between" text="欠">
      <formula>NOT(ISERROR(SEARCH("欠",AE266)))</formula>
    </cfRule>
  </conditionalFormatting>
  <conditionalFormatting sqref="AG266">
    <cfRule type="containsText" dxfId="0" priority="3133" operator="between" text="欠">
      <formula>NOT(ISERROR(SEARCH("欠",AG266)))</formula>
    </cfRule>
  </conditionalFormatting>
  <conditionalFormatting sqref="AH266">
    <cfRule type="containsText" dxfId="0" priority="3136" operator="between" text="欠">
      <formula>NOT(ISERROR(SEARCH("欠",AH266)))</formula>
    </cfRule>
  </conditionalFormatting>
  <conditionalFormatting sqref="Z267">
    <cfRule type="containsText" dxfId="0" priority="3117" operator="between" text="欠">
      <formula>NOT(ISERROR(SEARCH("欠",Z267)))</formula>
    </cfRule>
  </conditionalFormatting>
  <conditionalFormatting sqref="AE268">
    <cfRule type="containsText" dxfId="0" priority="3105" operator="between" text="欠">
      <formula>NOT(ISERROR(SEARCH("欠",AE268)))</formula>
    </cfRule>
  </conditionalFormatting>
  <conditionalFormatting sqref="AG268">
    <cfRule type="containsText" dxfId="0" priority="3106" operator="between" text="欠">
      <formula>NOT(ISERROR(SEARCH("欠",AG268)))</formula>
    </cfRule>
  </conditionalFormatting>
  <conditionalFormatting sqref="AB269">
    <cfRule type="containsText" dxfId="0" priority="3115" operator="between" text="欠">
      <formula>NOT(ISERROR(SEARCH("欠",AB269)))</formula>
    </cfRule>
  </conditionalFormatting>
  <conditionalFormatting sqref="AC269:AD269">
    <cfRule type="containsText" dxfId="0" priority="3114" operator="between" text="欠">
      <formula>NOT(ISERROR(SEARCH("欠",AC269)))</formula>
    </cfRule>
  </conditionalFormatting>
  <conditionalFormatting sqref="AH269">
    <cfRule type="containsText" dxfId="0" priority="3113" operator="between" text="欠">
      <formula>NOT(ISERROR(SEARCH("欠",AH269)))</formula>
    </cfRule>
  </conditionalFormatting>
  <conditionalFormatting sqref="AL269">
    <cfRule type="containsText" dxfId="0" priority="3102" operator="between" text="欠">
      <formula>NOT(ISERROR(SEARCH("欠",AL269)))</formula>
    </cfRule>
  </conditionalFormatting>
  <conditionalFormatting sqref="AC270">
    <cfRule type="containsText" dxfId="0" priority="3101" operator="between" text="欠">
      <formula>NOT(ISERROR(SEARCH("欠",AC270)))</formula>
    </cfRule>
  </conditionalFormatting>
  <conditionalFormatting sqref="C271">
    <cfRule type="containsText" dxfId="2" priority="3087" operator="between" text="二代">
      <formula>NOT(ISERROR(SEARCH("二代",C271)))</formula>
    </cfRule>
    <cfRule type="containsText" dxfId="3" priority="3088" operator="between" text="蛋糕">
      <formula>NOT(ISERROR(SEARCH("蛋糕",C271)))</formula>
    </cfRule>
  </conditionalFormatting>
  <conditionalFormatting sqref="X271">
    <cfRule type="containsText" dxfId="0" priority="3090" operator="between" text="欠">
      <formula>NOT(ISERROR(SEARCH("欠",X271)))</formula>
    </cfRule>
  </conditionalFormatting>
  <conditionalFormatting sqref="Y271">
    <cfRule type="containsText" dxfId="0" priority="3089" operator="between" text="欠">
      <formula>NOT(ISERROR(SEARCH("欠",Y271)))</formula>
    </cfRule>
  </conditionalFormatting>
  <conditionalFormatting sqref="Z271:AB271">
    <cfRule type="containsText" dxfId="0" priority="3093" operator="between" text="欠">
      <formula>NOT(ISERROR(SEARCH("欠",Z271)))</formula>
    </cfRule>
  </conditionalFormatting>
  <conditionalFormatting sqref="AC271:AD271">
    <cfRule type="containsText" dxfId="0" priority="3092" operator="between" text="欠">
      <formula>NOT(ISERROR(SEARCH("欠",AC271)))</formula>
    </cfRule>
  </conditionalFormatting>
  <conditionalFormatting sqref="AE271:AI271">
    <cfRule type="containsText" dxfId="0" priority="3091" operator="between" text="欠">
      <formula>NOT(ISERROR(SEARCH("欠",AE271)))</formula>
    </cfRule>
  </conditionalFormatting>
  <conditionalFormatting sqref="AL275">
    <cfRule type="containsText" dxfId="0" priority="3103" operator="between" text="欠">
      <formula>NOT(ISERROR(SEARCH("欠",AL275)))</formula>
    </cfRule>
  </conditionalFormatting>
  <conditionalFormatting sqref="B276">
    <cfRule type="containsText" dxfId="1" priority="3059" operator="between" text="异常">
      <formula>NOT(ISERROR(SEARCH("异常",B276)))</formula>
    </cfRule>
  </conditionalFormatting>
  <conditionalFormatting sqref="C276">
    <cfRule type="containsText" dxfId="2" priority="3060" operator="between" text="二代">
      <formula>NOT(ISERROR(SEARCH("二代",C276)))</formula>
    </cfRule>
    <cfRule type="containsText" dxfId="3" priority="3061" operator="between" text="蛋糕">
      <formula>NOT(ISERROR(SEARCH("蛋糕",C276)))</formula>
    </cfRule>
  </conditionalFormatting>
  <conditionalFormatting sqref="X276">
    <cfRule type="containsText" dxfId="0" priority="3066" operator="between" text="欠">
      <formula>NOT(ISERROR(SEARCH("欠",X276)))</formula>
    </cfRule>
  </conditionalFormatting>
  <conditionalFormatting sqref="Y276">
    <cfRule type="containsText" dxfId="0" priority="3063" operator="between" text="欠">
      <formula>NOT(ISERROR(SEARCH("欠",Y276)))</formula>
    </cfRule>
  </conditionalFormatting>
  <conditionalFormatting sqref="Z276">
    <cfRule type="containsText" dxfId="0" priority="3070" operator="between" text="欠">
      <formula>NOT(ISERROR(SEARCH("欠",Z276)))</formula>
    </cfRule>
  </conditionalFormatting>
  <conditionalFormatting sqref="AA276:AB276">
    <cfRule type="containsText" dxfId="0" priority="3065" operator="between" text="欠">
      <formula>NOT(ISERROR(SEARCH("欠",AA276)))</formula>
    </cfRule>
  </conditionalFormatting>
  <conditionalFormatting sqref="AC276:AD276">
    <cfRule type="containsText" dxfId="0" priority="3062" operator="between" text="欠">
      <formula>NOT(ISERROR(SEARCH("欠",AC276)))</formula>
    </cfRule>
  </conditionalFormatting>
  <conditionalFormatting sqref="AE276">
    <cfRule type="containsText" dxfId="0" priority="3068" operator="between" text="欠">
      <formula>NOT(ISERROR(SEARCH("欠",AE276)))</formula>
    </cfRule>
  </conditionalFormatting>
  <conditionalFormatting sqref="AG276">
    <cfRule type="containsText" dxfId="0" priority="3067" operator="between" text="欠">
      <formula>NOT(ISERROR(SEARCH("欠",AG276)))</formula>
    </cfRule>
  </conditionalFormatting>
  <conditionalFormatting sqref="AI276">
    <cfRule type="containsText" dxfId="0" priority="3069" operator="between" text="欠">
      <formula>NOT(ISERROR(SEARCH("欠",AI276)))</formula>
    </cfRule>
  </conditionalFormatting>
  <conditionalFormatting sqref="B277">
    <cfRule type="containsText" dxfId="1" priority="3047" operator="between" text="异常">
      <formula>NOT(ISERROR(SEARCH("异常",B277)))</formula>
    </cfRule>
  </conditionalFormatting>
  <conditionalFormatting sqref="C277">
    <cfRule type="containsText" dxfId="2" priority="3045" operator="between" text="二代">
      <formula>NOT(ISERROR(SEARCH("二代",C277)))</formula>
    </cfRule>
    <cfRule type="containsText" dxfId="3" priority="3046" operator="between" text="蛋糕">
      <formula>NOT(ISERROR(SEARCH("蛋糕",C277)))</formula>
    </cfRule>
  </conditionalFormatting>
  <conditionalFormatting sqref="X277">
    <cfRule type="containsText" dxfId="0" priority="3054" operator="between" text="欠">
      <formula>NOT(ISERROR(SEARCH("欠",X277)))</formula>
    </cfRule>
  </conditionalFormatting>
  <conditionalFormatting sqref="Y277">
    <cfRule type="containsText" dxfId="0" priority="3048" operator="between" text="欠">
      <formula>NOT(ISERROR(SEARCH("欠",Y277)))</formula>
    </cfRule>
  </conditionalFormatting>
  <conditionalFormatting sqref="Z277">
    <cfRule type="containsText" dxfId="0" priority="3055" operator="between" text="欠">
      <formula>NOT(ISERROR(SEARCH("欠",Z277)))</formula>
    </cfRule>
  </conditionalFormatting>
  <conditionalFormatting sqref="AA277:AB277">
    <cfRule type="containsText" dxfId="0" priority="3051" operator="between" text="欠">
      <formula>NOT(ISERROR(SEARCH("欠",AA277)))</formula>
    </cfRule>
  </conditionalFormatting>
  <conditionalFormatting sqref="AC277">
    <cfRule type="containsText" dxfId="0" priority="3056" operator="between" text="欠">
      <formula>NOT(ISERROR(SEARCH("欠",AC277)))</formula>
    </cfRule>
  </conditionalFormatting>
  <conditionalFormatting sqref="AD277">
    <cfRule type="containsText" dxfId="0" priority="3057" operator="between" text="欠">
      <formula>NOT(ISERROR(SEARCH("欠",AD277)))</formula>
    </cfRule>
  </conditionalFormatting>
  <conditionalFormatting sqref="AE277">
    <cfRule type="containsText" dxfId="0" priority="3052" operator="between" text="欠">
      <formula>NOT(ISERROR(SEARCH("欠",AE277)))</formula>
    </cfRule>
  </conditionalFormatting>
  <conditionalFormatting sqref="AF277">
    <cfRule type="containsText" dxfId="0" priority="3053" operator="between" text="欠">
      <formula>NOT(ISERROR(SEARCH("欠",AF277)))</formula>
    </cfRule>
  </conditionalFormatting>
  <conditionalFormatting sqref="AG277">
    <cfRule type="containsText" dxfId="0" priority="3049" operator="between" text="欠">
      <formula>NOT(ISERROR(SEARCH("欠",AG277)))</formula>
    </cfRule>
  </conditionalFormatting>
  <conditionalFormatting sqref="AH277">
    <cfRule type="containsText" dxfId="0" priority="3050" operator="between" text="欠">
      <formula>NOT(ISERROR(SEARCH("欠",AH277)))</formula>
    </cfRule>
  </conditionalFormatting>
  <conditionalFormatting sqref="AI277">
    <cfRule type="containsText" dxfId="0" priority="3058" operator="between" text="欠">
      <formula>NOT(ISERROR(SEARCH("欠",AI277)))</formula>
    </cfRule>
  </conditionalFormatting>
  <conditionalFormatting sqref="B278">
    <cfRule type="containsText" dxfId="1" priority="3034" operator="between" text="异常">
      <formula>NOT(ISERROR(SEARCH("异常",B278)))</formula>
    </cfRule>
  </conditionalFormatting>
  <conditionalFormatting sqref="C278">
    <cfRule type="containsText" dxfId="2" priority="3032" operator="between" text="二代">
      <formula>NOT(ISERROR(SEARCH("二代",C278)))</formula>
    </cfRule>
    <cfRule type="containsText" dxfId="3" priority="3033" operator="between" text="蛋糕">
      <formula>NOT(ISERROR(SEARCH("蛋糕",C278)))</formula>
    </cfRule>
  </conditionalFormatting>
  <conditionalFormatting sqref="X278:Y278">
    <cfRule type="containsText" dxfId="0" priority="3037" operator="between" text="欠">
      <formula>NOT(ISERROR(SEARCH("欠",X278)))</formula>
    </cfRule>
  </conditionalFormatting>
  <conditionalFormatting sqref="Z278">
    <cfRule type="containsText" dxfId="0" priority="3044" operator="between" text="欠">
      <formula>NOT(ISERROR(SEARCH("欠",Z278)))</formula>
    </cfRule>
  </conditionalFormatting>
  <conditionalFormatting sqref="AA278">
    <cfRule type="containsText" dxfId="0" priority="3042" operator="between" text="欠">
      <formula>NOT(ISERROR(SEARCH("欠",AA278)))</formula>
    </cfRule>
  </conditionalFormatting>
  <conditionalFormatting sqref="AB278">
    <cfRule type="containsText" dxfId="0" priority="3038" operator="between" text="欠">
      <formula>NOT(ISERROR(SEARCH("欠",AB278)))</formula>
    </cfRule>
  </conditionalFormatting>
  <conditionalFormatting sqref="AC278:AD278">
    <cfRule type="containsText" dxfId="0" priority="3036" operator="between" text="欠">
      <formula>NOT(ISERROR(SEARCH("欠",AC278)))</formula>
    </cfRule>
  </conditionalFormatting>
  <conditionalFormatting sqref="AE278">
    <cfRule type="containsText" dxfId="0" priority="3040" operator="between" text="欠">
      <formula>NOT(ISERROR(SEARCH("欠",AE278)))</formula>
    </cfRule>
  </conditionalFormatting>
  <conditionalFormatting sqref="AF278">
    <cfRule type="containsText" dxfId="0" priority="3035" operator="between" text="欠">
      <formula>NOT(ISERROR(SEARCH("欠",AF278)))</formula>
    </cfRule>
  </conditionalFormatting>
  <conditionalFormatting sqref="AG278">
    <cfRule type="containsText" dxfId="0" priority="3039" operator="between" text="欠">
      <formula>NOT(ISERROR(SEARCH("欠",AG278)))</formula>
    </cfRule>
  </conditionalFormatting>
  <conditionalFormatting sqref="AH278">
    <cfRule type="containsText" dxfId="0" priority="3041" operator="between" text="欠">
      <formula>NOT(ISERROR(SEARCH("欠",AH278)))</formula>
    </cfRule>
  </conditionalFormatting>
  <conditionalFormatting sqref="AI278">
    <cfRule type="containsText" dxfId="0" priority="3043" operator="between" text="欠">
      <formula>NOT(ISERROR(SEARCH("欠",AI278)))</formula>
    </cfRule>
  </conditionalFormatting>
  <conditionalFormatting sqref="B279">
    <cfRule type="containsText" dxfId="1" priority="3020" operator="between" text="异常">
      <formula>NOT(ISERROR(SEARCH("异常",B279)))</formula>
    </cfRule>
  </conditionalFormatting>
  <conditionalFormatting sqref="C279">
    <cfRule type="containsText" dxfId="2" priority="3018" operator="between" text="二代">
      <formula>NOT(ISERROR(SEARCH("二代",C279)))</formula>
    </cfRule>
    <cfRule type="containsText" dxfId="3" priority="3019" operator="between" text="蛋糕">
      <formula>NOT(ISERROR(SEARCH("蛋糕",C279)))</formula>
    </cfRule>
  </conditionalFormatting>
  <conditionalFormatting sqref="X279">
    <cfRule type="containsText" dxfId="0" priority="3027" operator="between" text="欠">
      <formula>NOT(ISERROR(SEARCH("欠",X279)))</formula>
    </cfRule>
  </conditionalFormatting>
  <conditionalFormatting sqref="Y279">
    <cfRule type="containsText" dxfId="0" priority="3025" operator="between" text="欠">
      <formula>NOT(ISERROR(SEARCH("欠",Y279)))</formula>
    </cfRule>
  </conditionalFormatting>
  <conditionalFormatting sqref="Z279">
    <cfRule type="containsText" dxfId="0" priority="3031" operator="between" text="欠">
      <formula>NOT(ISERROR(SEARCH("欠",Z279)))</formula>
    </cfRule>
  </conditionalFormatting>
  <conditionalFormatting sqref="AA279">
    <cfRule type="containsText" dxfId="0" priority="3030" operator="between" text="欠">
      <formula>NOT(ISERROR(SEARCH("欠",AA279)))</formula>
    </cfRule>
  </conditionalFormatting>
  <conditionalFormatting sqref="AB279">
    <cfRule type="containsText" dxfId="0" priority="3026" operator="between" text="欠">
      <formula>NOT(ISERROR(SEARCH("欠",AB279)))</formula>
    </cfRule>
  </conditionalFormatting>
  <conditionalFormatting sqref="AC279:AD279">
    <cfRule type="containsText" dxfId="0" priority="3021" operator="between" text="欠">
      <formula>NOT(ISERROR(SEARCH("欠",AC279)))</formula>
    </cfRule>
  </conditionalFormatting>
  <conditionalFormatting sqref="AE279">
    <cfRule type="containsText" dxfId="0" priority="3024" operator="between" text="欠">
      <formula>NOT(ISERROR(SEARCH("欠",AE279)))</formula>
    </cfRule>
  </conditionalFormatting>
  <conditionalFormatting sqref="AF279">
    <cfRule type="containsText" dxfId="0" priority="3028" operator="between" text="欠">
      <formula>NOT(ISERROR(SEARCH("欠",AF279)))</formula>
    </cfRule>
  </conditionalFormatting>
  <conditionalFormatting sqref="AG279">
    <cfRule type="containsText" dxfId="0" priority="3023" operator="between" text="欠">
      <formula>NOT(ISERROR(SEARCH("欠",AG279)))</formula>
    </cfRule>
  </conditionalFormatting>
  <conditionalFormatting sqref="AH279">
    <cfRule type="containsText" dxfId="0" priority="3022" operator="between" text="欠">
      <formula>NOT(ISERROR(SEARCH("欠",AH279)))</formula>
    </cfRule>
  </conditionalFormatting>
  <conditionalFormatting sqref="AI279">
    <cfRule type="containsText" dxfId="0" priority="3029" operator="between" text="欠">
      <formula>NOT(ISERROR(SEARCH("欠",AI279)))</formula>
    </cfRule>
  </conditionalFormatting>
  <conditionalFormatting sqref="B280">
    <cfRule type="containsText" dxfId="1" priority="3007" operator="between" text="异常">
      <formula>NOT(ISERROR(SEARCH("异常",B280)))</formula>
    </cfRule>
  </conditionalFormatting>
  <conditionalFormatting sqref="C280">
    <cfRule type="containsText" dxfId="2" priority="3005" operator="between" text="二代">
      <formula>NOT(ISERROR(SEARCH("二代",C280)))</formula>
    </cfRule>
    <cfRule type="containsText" dxfId="3" priority="3006" operator="between" text="蛋糕">
      <formula>NOT(ISERROR(SEARCH("蛋糕",C280)))</formula>
    </cfRule>
  </conditionalFormatting>
  <conditionalFormatting sqref="X280">
    <cfRule type="containsText" dxfId="0" priority="3014" operator="between" text="欠">
      <formula>NOT(ISERROR(SEARCH("欠",X280)))</formula>
    </cfRule>
  </conditionalFormatting>
  <conditionalFormatting sqref="Y280">
    <cfRule type="containsText" dxfId="0" priority="3013" operator="between" text="欠">
      <formula>NOT(ISERROR(SEARCH("欠",Y280)))</formula>
    </cfRule>
  </conditionalFormatting>
  <conditionalFormatting sqref="Z280">
    <cfRule type="containsText" dxfId="0" priority="3017" operator="between" text="欠">
      <formula>NOT(ISERROR(SEARCH("欠",Z280)))</formula>
    </cfRule>
  </conditionalFormatting>
  <conditionalFormatting sqref="AA280">
    <cfRule type="containsText" dxfId="0" priority="3016" operator="between" text="欠">
      <formula>NOT(ISERROR(SEARCH("欠",AA280)))</formula>
    </cfRule>
  </conditionalFormatting>
  <conditionalFormatting sqref="AB280">
    <cfRule type="containsText" dxfId="0" priority="3008" operator="between" text="欠">
      <formula>NOT(ISERROR(SEARCH("欠",AB280)))</formula>
    </cfRule>
  </conditionalFormatting>
  <conditionalFormatting sqref="AC280:AD280">
    <cfRule type="containsText" dxfId="0" priority="3015" operator="between" text="欠">
      <formula>NOT(ISERROR(SEARCH("欠",AC280)))</formula>
    </cfRule>
  </conditionalFormatting>
  <conditionalFormatting sqref="AE280">
    <cfRule type="containsText" dxfId="0" priority="3011" operator="between" text="欠">
      <formula>NOT(ISERROR(SEARCH("欠",AE280)))</formula>
    </cfRule>
  </conditionalFormatting>
  <conditionalFormatting sqref="AF280">
    <cfRule type="containsText" dxfId="0" priority="3009" operator="between" text="欠">
      <formula>NOT(ISERROR(SEARCH("欠",AF280)))</formula>
    </cfRule>
  </conditionalFormatting>
  <conditionalFormatting sqref="AG280:AH280">
    <cfRule type="containsText" dxfId="0" priority="3010" operator="between" text="欠">
      <formula>NOT(ISERROR(SEARCH("欠",AG280)))</formula>
    </cfRule>
  </conditionalFormatting>
  <conditionalFormatting sqref="AI280">
    <cfRule type="containsText" dxfId="0" priority="3012" operator="between" text="欠">
      <formula>NOT(ISERROR(SEARCH("欠",AI280)))</formula>
    </cfRule>
  </conditionalFormatting>
  <conditionalFormatting sqref="AA281:AB281">
    <cfRule type="containsText" dxfId="0" priority="2989" operator="between" text="欠">
      <formula>NOT(ISERROR(SEARCH("欠",AA281)))</formula>
    </cfRule>
  </conditionalFormatting>
  <conditionalFormatting sqref="AE281">
    <cfRule type="containsText" dxfId="0" priority="2987" operator="between" text="欠">
      <formula>NOT(ISERROR(SEARCH("欠",AE281)))</formula>
    </cfRule>
  </conditionalFormatting>
  <conditionalFormatting sqref="AF281">
    <cfRule type="containsText" dxfId="0" priority="3003" operator="between" text="欠">
      <formula>NOT(ISERROR(SEARCH("欠",AF281)))</formula>
    </cfRule>
  </conditionalFormatting>
  <conditionalFormatting sqref="AG281">
    <cfRule type="containsText" dxfId="0" priority="2986" operator="between" text="欠">
      <formula>NOT(ISERROR(SEARCH("欠",AG281)))</formula>
    </cfRule>
  </conditionalFormatting>
  <conditionalFormatting sqref="AA282:AB282">
    <cfRule type="containsText" dxfId="0" priority="2983" operator="between" text="欠">
      <formula>NOT(ISERROR(SEARCH("欠",AA282)))</formula>
    </cfRule>
  </conditionalFormatting>
  <conditionalFormatting sqref="AH282">
    <cfRule type="containsText" dxfId="0" priority="2985" operator="between" text="欠">
      <formula>NOT(ISERROR(SEARCH("欠",AH282)))</formula>
    </cfRule>
  </conditionalFormatting>
  <conditionalFormatting sqref="AH283">
    <cfRule type="containsText" dxfId="0" priority="2980" operator="between" text="欠">
      <formula>NOT(ISERROR(SEARCH("欠",AH283)))</formula>
    </cfRule>
  </conditionalFormatting>
  <conditionalFormatting sqref="AI283">
    <cfRule type="containsText" dxfId="0" priority="2984" operator="between" text="欠">
      <formula>NOT(ISERROR(SEARCH("欠",AI283)))</formula>
    </cfRule>
  </conditionalFormatting>
  <conditionalFormatting sqref="AH284:AI284">
    <cfRule type="containsText" dxfId="0" priority="2981" operator="between" text="欠">
      <formula>NOT(ISERROR(SEARCH("欠",AH284)))</formula>
    </cfRule>
  </conditionalFormatting>
  <conditionalFormatting sqref="B287">
    <cfRule type="containsText" dxfId="1" priority="2963" operator="between" text="异常">
      <formula>NOT(ISERROR(SEARCH("异常",B287)))</formula>
    </cfRule>
  </conditionalFormatting>
  <conditionalFormatting sqref="C287">
    <cfRule type="containsText" dxfId="2" priority="2960" operator="between" text="二代">
      <formula>NOT(ISERROR(SEARCH("二代",C287)))</formula>
    </cfRule>
    <cfRule type="containsText" dxfId="3" priority="2961" operator="between" text="蛋糕">
      <formula>NOT(ISERROR(SEARCH("蛋糕",C287)))</formula>
    </cfRule>
  </conditionalFormatting>
  <conditionalFormatting sqref="X287">
    <cfRule type="containsText" dxfId="0" priority="2964" operator="between" text="欠">
      <formula>NOT(ISERROR(SEARCH("欠",X287)))</formula>
    </cfRule>
  </conditionalFormatting>
  <conditionalFormatting sqref="Y287">
    <cfRule type="containsText" dxfId="0" priority="2966" operator="between" text="欠">
      <formula>NOT(ISERROR(SEARCH("欠",Y287)))</formula>
    </cfRule>
  </conditionalFormatting>
  <conditionalFormatting sqref="Z287">
    <cfRule type="containsText" dxfId="0" priority="2971" operator="between" text="欠">
      <formula>NOT(ISERROR(SEARCH("欠",Z287)))</formula>
    </cfRule>
  </conditionalFormatting>
  <conditionalFormatting sqref="AA287:AB287">
    <cfRule type="containsText" dxfId="0" priority="2970" operator="between" text="欠">
      <formula>NOT(ISERROR(SEARCH("欠",AA287)))</formula>
    </cfRule>
  </conditionalFormatting>
  <conditionalFormatting sqref="AC287:AD287">
    <cfRule type="containsText" dxfId="0" priority="2969" operator="between" text="欠">
      <formula>NOT(ISERROR(SEARCH("欠",AC287)))</formula>
    </cfRule>
  </conditionalFormatting>
  <conditionalFormatting sqref="AE287">
    <cfRule type="containsText" dxfId="0" priority="2967" operator="between" text="欠">
      <formula>NOT(ISERROR(SEARCH("欠",AE287)))</formula>
    </cfRule>
  </conditionalFormatting>
  <conditionalFormatting sqref="AF287">
    <cfRule type="containsText" dxfId="0" priority="2972" operator="between" text="欠">
      <formula>NOT(ISERROR(SEARCH("欠",AF287)))</formula>
    </cfRule>
  </conditionalFormatting>
  <conditionalFormatting sqref="AG287">
    <cfRule type="containsText" dxfId="0" priority="2965" operator="between" text="欠">
      <formula>NOT(ISERROR(SEARCH("欠",AG287)))</formula>
    </cfRule>
  </conditionalFormatting>
  <conditionalFormatting sqref="AH287">
    <cfRule type="containsText" dxfId="0" priority="2968" operator="between" text="欠">
      <formula>NOT(ISERROR(SEARCH("欠",AH287)))</formula>
    </cfRule>
  </conditionalFormatting>
  <conditionalFormatting sqref="AI287">
    <cfRule type="containsText" dxfId="0" priority="2973" operator="between" text="欠">
      <formula>NOT(ISERROR(SEARCH("欠",AI287)))</formula>
    </cfRule>
  </conditionalFormatting>
  <conditionalFormatting sqref="AL287">
    <cfRule type="containsText" dxfId="0" priority="2962" operator="between" text="欠">
      <formula>NOT(ISERROR(SEARCH("欠",AL287)))</formula>
    </cfRule>
  </conditionalFormatting>
  <conditionalFormatting sqref="AD288">
    <cfRule type="containsText" dxfId="0" priority="2955" operator="between" text="欠">
      <formula>NOT(ISERROR(SEARCH("欠",AD288)))</formula>
    </cfRule>
  </conditionalFormatting>
  <conditionalFormatting sqref="AD289">
    <cfRule type="containsText" dxfId="0" priority="2959" operator="between" text="欠">
      <formula>NOT(ISERROR(SEARCH("欠",AD289)))</formula>
    </cfRule>
  </conditionalFormatting>
  <conditionalFormatting sqref="AK289">
    <cfRule type="containsText" dxfId="0" priority="2947" operator="between" text="欠">
      <formula>NOT(ISERROR(SEARCH("欠",AK289)))</formula>
    </cfRule>
  </conditionalFormatting>
  <conditionalFormatting sqref="B290">
    <cfRule type="containsText" dxfId="1" priority="2932" operator="between" text="异常">
      <formula>NOT(ISERROR(SEARCH("异常",B290)))</formula>
    </cfRule>
  </conditionalFormatting>
  <conditionalFormatting sqref="C290">
    <cfRule type="containsText" dxfId="2" priority="2930" operator="between" text="二代">
      <formula>NOT(ISERROR(SEARCH("二代",C290)))</formula>
    </cfRule>
    <cfRule type="containsText" dxfId="3" priority="2931" operator="between" text="蛋糕">
      <formula>NOT(ISERROR(SEARCH("蛋糕",C290)))</formula>
    </cfRule>
  </conditionalFormatting>
  <conditionalFormatting sqref="X290">
    <cfRule type="containsText" dxfId="0" priority="2938" operator="between" text="欠">
      <formula>NOT(ISERROR(SEARCH("欠",X290)))</formula>
    </cfRule>
  </conditionalFormatting>
  <conditionalFormatting sqref="Y290">
    <cfRule type="containsText" dxfId="0" priority="2937" operator="between" text="欠">
      <formula>NOT(ISERROR(SEARCH("欠",Y290)))</formula>
    </cfRule>
  </conditionalFormatting>
  <conditionalFormatting sqref="Z290">
    <cfRule type="containsText" dxfId="0" priority="2933" operator="between" text="欠">
      <formula>NOT(ISERROR(SEARCH("欠",Z290)))</formula>
    </cfRule>
  </conditionalFormatting>
  <conditionalFormatting sqref="AA290">
    <cfRule type="containsText" dxfId="0" priority="2934" operator="between" text="欠">
      <formula>NOT(ISERROR(SEARCH("欠",AA290)))</formula>
    </cfRule>
  </conditionalFormatting>
  <conditionalFormatting sqref="AB290">
    <cfRule type="containsText" dxfId="0" priority="2943" operator="between" text="欠">
      <formula>NOT(ISERROR(SEARCH("欠",AB290)))</formula>
    </cfRule>
  </conditionalFormatting>
  <conditionalFormatting sqref="AC290:AD290">
    <cfRule type="containsText" dxfId="0" priority="2942" operator="between" text="欠">
      <formula>NOT(ISERROR(SEARCH("欠",AC290)))</formula>
    </cfRule>
  </conditionalFormatting>
  <conditionalFormatting sqref="AE290">
    <cfRule type="containsText" dxfId="0" priority="2940" operator="between" text="欠">
      <formula>NOT(ISERROR(SEARCH("欠",AE290)))</formula>
    </cfRule>
  </conditionalFormatting>
  <conditionalFormatting sqref="AF290">
    <cfRule type="containsText" dxfId="0" priority="2936" operator="between" text="欠">
      <formula>NOT(ISERROR(SEARCH("欠",AF290)))</formula>
    </cfRule>
  </conditionalFormatting>
  <conditionalFormatting sqref="AG290">
    <cfRule type="containsText" dxfId="0" priority="2939" operator="between" text="欠">
      <formula>NOT(ISERROR(SEARCH("欠",AG290)))</formula>
    </cfRule>
  </conditionalFormatting>
  <conditionalFormatting sqref="AH290">
    <cfRule type="containsText" dxfId="0" priority="2941" operator="between" text="欠">
      <formula>NOT(ISERROR(SEARCH("欠",AH290)))</formula>
    </cfRule>
  </conditionalFormatting>
  <conditionalFormatting sqref="AI290">
    <cfRule type="containsText" dxfId="0" priority="2935" operator="between" text="欠">
      <formula>NOT(ISERROR(SEARCH("欠",AI290)))</formula>
    </cfRule>
  </conditionalFormatting>
  <conditionalFormatting sqref="Y291">
    <cfRule type="containsText" dxfId="0" priority="2911" operator="between" text="欠">
      <formula>NOT(ISERROR(SEARCH("欠",Y291)))</formula>
    </cfRule>
  </conditionalFormatting>
  <conditionalFormatting sqref="AA291">
    <cfRule type="containsText" dxfId="0" priority="2909" operator="between" text="欠">
      <formula>NOT(ISERROR(SEARCH("欠",AA291)))</formula>
    </cfRule>
  </conditionalFormatting>
  <conditionalFormatting sqref="AB291">
    <cfRule type="containsText" dxfId="0" priority="2927" operator="between" text="欠">
      <formula>NOT(ISERROR(SEARCH("欠",AB291)))</formula>
    </cfRule>
  </conditionalFormatting>
  <conditionalFormatting sqref="AC291:AD291">
    <cfRule type="containsText" dxfId="0" priority="2916" operator="between" text="欠">
      <formula>NOT(ISERROR(SEARCH("欠",AC291)))</formula>
    </cfRule>
  </conditionalFormatting>
  <conditionalFormatting sqref="AE291">
    <cfRule type="containsText" dxfId="0" priority="2922" operator="between" text="欠">
      <formula>NOT(ISERROR(SEARCH("欠",AE291)))</formula>
    </cfRule>
  </conditionalFormatting>
  <conditionalFormatting sqref="AF291">
    <cfRule type="containsText" dxfId="0" priority="2910" operator="between" text="欠">
      <formula>NOT(ISERROR(SEARCH("欠",AF291)))</formula>
    </cfRule>
  </conditionalFormatting>
  <conditionalFormatting sqref="AG291">
    <cfRule type="containsText" dxfId="0" priority="2921" operator="between" text="欠">
      <formula>NOT(ISERROR(SEARCH("欠",AG291)))</formula>
    </cfRule>
  </conditionalFormatting>
  <conditionalFormatting sqref="AH291">
    <cfRule type="containsText" dxfId="0" priority="2923" operator="between" text="欠">
      <formula>NOT(ISERROR(SEARCH("欠",AH291)))</formula>
    </cfRule>
  </conditionalFormatting>
  <conditionalFormatting sqref="AI291">
    <cfRule type="containsText" dxfId="0" priority="2915" operator="between" text="欠">
      <formula>NOT(ISERROR(SEARCH("欠",AI291)))</formula>
    </cfRule>
  </conditionalFormatting>
  <conditionalFormatting sqref="B294">
    <cfRule type="containsText" dxfId="1" priority="2904" operator="between" text="异常">
      <formula>NOT(ISERROR(SEARCH("异常",B294)))</formula>
    </cfRule>
  </conditionalFormatting>
  <conditionalFormatting sqref="C294">
    <cfRule type="containsText" dxfId="2" priority="2902" operator="between" text="二代">
      <formula>NOT(ISERROR(SEARCH("二代",C294)))</formula>
    </cfRule>
    <cfRule type="containsText" dxfId="3" priority="2903" operator="between" text="蛋糕">
      <formula>NOT(ISERROR(SEARCH("蛋糕",C294)))</formula>
    </cfRule>
  </conditionalFormatting>
  <conditionalFormatting sqref="X294:Y294">
    <cfRule type="containsText" dxfId="0" priority="2908" operator="between" text="欠">
      <formula>NOT(ISERROR(SEARCH("欠",X294)))</formula>
    </cfRule>
  </conditionalFormatting>
  <conditionalFormatting sqref="Z294:AB294">
    <cfRule type="containsText" dxfId="0" priority="2905" operator="between" text="欠">
      <formula>NOT(ISERROR(SEARCH("欠",Z294)))</formula>
    </cfRule>
  </conditionalFormatting>
  <conditionalFormatting sqref="AC294:AD294">
    <cfRule type="containsText" dxfId="0" priority="2907" operator="between" text="欠">
      <formula>NOT(ISERROR(SEARCH("欠",AC294)))</formula>
    </cfRule>
  </conditionalFormatting>
  <conditionalFormatting sqref="AE294:AI294">
    <cfRule type="containsText" dxfId="0" priority="2906" operator="between" text="欠">
      <formula>NOT(ISERROR(SEARCH("欠",AE294)))</formula>
    </cfRule>
  </conditionalFormatting>
  <conditionalFormatting sqref="X297">
    <cfRule type="containsText" dxfId="0" priority="2890" operator="between" text="欠">
      <formula>NOT(ISERROR(SEARCH("欠",X297)))</formula>
    </cfRule>
  </conditionalFormatting>
  <conditionalFormatting sqref="Y297">
    <cfRule type="containsText" dxfId="0" priority="2891" operator="between" text="欠">
      <formula>NOT(ISERROR(SEARCH("欠",Y297)))</formula>
    </cfRule>
  </conditionalFormatting>
  <conditionalFormatting sqref="AC297:AD297">
    <cfRule type="containsText" dxfId="0" priority="2889" operator="between" text="欠">
      <formula>NOT(ISERROR(SEARCH("欠",AC297)))</formula>
    </cfRule>
  </conditionalFormatting>
  <conditionalFormatting sqref="AE297">
    <cfRule type="containsText" dxfId="0" priority="2888" operator="between" text="欠">
      <formula>NOT(ISERROR(SEARCH("欠",AE297)))</formula>
    </cfRule>
  </conditionalFormatting>
  <conditionalFormatting sqref="AF297">
    <cfRule type="containsText" dxfId="0" priority="2892" operator="between" text="欠">
      <formula>NOT(ISERROR(SEARCH("欠",AF297)))</formula>
    </cfRule>
  </conditionalFormatting>
  <conditionalFormatting sqref="AG297:AH297">
    <cfRule type="containsText" dxfId="0" priority="2887" operator="between" text="欠">
      <formula>NOT(ISERROR(SEARCH("欠",AG297)))</formula>
    </cfRule>
  </conditionalFormatting>
  <conditionalFormatting sqref="AI297">
    <cfRule type="containsText" dxfId="0" priority="2893" operator="between" text="欠">
      <formula>NOT(ISERROR(SEARCH("欠",AI297)))</formula>
    </cfRule>
  </conditionalFormatting>
  <conditionalFormatting sqref="Y298">
    <cfRule type="containsText" dxfId="0" priority="2875" operator="between" text="欠">
      <formula>NOT(ISERROR(SEARCH("欠",Y298)))</formula>
    </cfRule>
  </conditionalFormatting>
  <conditionalFormatting sqref="Z298">
    <cfRule type="containsText" dxfId="0" priority="2835" operator="between" text="欠">
      <formula>NOT(ISERROR(SEARCH("欠",Z298)))</formula>
    </cfRule>
  </conditionalFormatting>
  <conditionalFormatting sqref="AA298:AB298">
    <cfRule type="containsText" dxfId="0" priority="2834" operator="between" text="欠">
      <formula>NOT(ISERROR(SEARCH("欠",AA298)))</formula>
    </cfRule>
  </conditionalFormatting>
  <conditionalFormatting sqref="AA299:AB299">
    <cfRule type="containsText" dxfId="0" priority="2874" operator="between" text="欠">
      <formula>NOT(ISERROR(SEARCH("欠",AA299)))</formula>
    </cfRule>
  </conditionalFormatting>
  <conditionalFormatting sqref="AC299">
    <cfRule type="containsText" dxfId="0" priority="2870" operator="between" text="欠">
      <formula>NOT(ISERROR(SEARCH("欠",AC299)))</formula>
    </cfRule>
  </conditionalFormatting>
  <conditionalFormatting sqref="AA300:AB300">
    <cfRule type="containsText" dxfId="0" priority="2865" operator="between" text="欠">
      <formula>NOT(ISERROR(SEARCH("欠",AA300)))</formula>
    </cfRule>
  </conditionalFormatting>
  <conditionalFormatting sqref="AE300">
    <cfRule type="containsText" dxfId="0" priority="2861" operator="between" text="欠">
      <formula>NOT(ISERROR(SEARCH("欠",AE300)))</formula>
    </cfRule>
  </conditionalFormatting>
  <conditionalFormatting sqref="AG300">
    <cfRule type="containsText" dxfId="0" priority="2860" operator="between" text="欠">
      <formula>NOT(ISERROR(SEARCH("欠",AG300)))</formula>
    </cfRule>
  </conditionalFormatting>
  <conditionalFormatting sqref="AI300">
    <cfRule type="containsText" dxfId="0" priority="2862" operator="between" text="欠">
      <formula>NOT(ISERROR(SEARCH("欠",AI300)))</formula>
    </cfRule>
  </conditionalFormatting>
  <conditionalFormatting sqref="AA301:AB301">
    <cfRule type="containsText" dxfId="0" priority="2856" operator="between" text="欠">
      <formula>NOT(ISERROR(SEARCH("欠",AA301)))</formula>
    </cfRule>
  </conditionalFormatting>
  <conditionalFormatting sqref="AE301">
    <cfRule type="containsText" dxfId="0" priority="2858" operator="between" text="欠">
      <formula>NOT(ISERROR(SEARCH("欠",AE301)))</formula>
    </cfRule>
  </conditionalFormatting>
  <conditionalFormatting sqref="AF301">
    <cfRule type="containsText" dxfId="0" priority="2859" operator="between" text="欠">
      <formula>NOT(ISERROR(SEARCH("欠",AF301)))</formula>
    </cfRule>
  </conditionalFormatting>
  <conditionalFormatting sqref="AG301">
    <cfRule type="containsText" dxfId="0" priority="2857" operator="between" text="欠">
      <formula>NOT(ISERROR(SEARCH("欠",AG301)))</formula>
    </cfRule>
  </conditionalFormatting>
  <conditionalFormatting sqref="AI301">
    <cfRule type="containsText" dxfId="0" priority="2855" operator="between" text="欠">
      <formula>NOT(ISERROR(SEARCH("欠",AI301)))</formula>
    </cfRule>
  </conditionalFormatting>
  <conditionalFormatting sqref="X302">
    <cfRule type="containsText" dxfId="0" priority="2845" operator="between" text="欠">
      <formula>NOT(ISERROR(SEARCH("欠",X302)))</formula>
    </cfRule>
  </conditionalFormatting>
  <conditionalFormatting sqref="Y302">
    <cfRule type="containsText" dxfId="0" priority="2853" operator="between" text="欠">
      <formula>NOT(ISERROR(SEARCH("欠",Y302)))</formula>
    </cfRule>
  </conditionalFormatting>
  <conditionalFormatting sqref="AC302:AD302">
    <cfRule type="containsText" dxfId="0" priority="2851" operator="between" text="欠">
      <formula>NOT(ISERROR(SEARCH("欠",AC302)))</formula>
    </cfRule>
  </conditionalFormatting>
  <conditionalFormatting sqref="AH302">
    <cfRule type="containsText" dxfId="0" priority="2850" operator="between" text="欠">
      <formula>NOT(ISERROR(SEARCH("欠",AH302)))</formula>
    </cfRule>
  </conditionalFormatting>
  <conditionalFormatting sqref="AI302">
    <cfRule type="containsText" dxfId="0" priority="2848" operator="between" text="欠">
      <formula>NOT(ISERROR(SEARCH("欠",AI302)))</formula>
    </cfRule>
  </conditionalFormatting>
  <conditionalFormatting sqref="X303">
    <cfRule type="containsText" dxfId="0" priority="2837" operator="between" text="欠">
      <formula>NOT(ISERROR(SEARCH("欠",X303)))</formula>
    </cfRule>
  </conditionalFormatting>
  <conditionalFormatting sqref="AC303:AD303">
    <cfRule type="containsText" dxfId="0" priority="2841" operator="between" text="欠">
      <formula>NOT(ISERROR(SEARCH("欠",AC303)))</formula>
    </cfRule>
  </conditionalFormatting>
  <conditionalFormatting sqref="AE303">
    <cfRule type="containsText" dxfId="0" priority="2842" operator="between" text="欠">
      <formula>NOT(ISERROR(SEARCH("欠",AE303)))</formula>
    </cfRule>
  </conditionalFormatting>
  <conditionalFormatting sqref="AG303">
    <cfRule type="containsText" dxfId="0" priority="2838" operator="between" text="欠">
      <formula>NOT(ISERROR(SEARCH("欠",AG303)))</formula>
    </cfRule>
  </conditionalFormatting>
  <conditionalFormatting sqref="AI303">
    <cfRule type="containsText" dxfId="0" priority="2839" operator="between" text="欠">
      <formula>NOT(ISERROR(SEARCH("欠",AI303)))</formula>
    </cfRule>
  </conditionalFormatting>
  <conditionalFormatting sqref="X304">
    <cfRule type="containsText" dxfId="0" priority="2878" operator="between" text="欠">
      <formula>NOT(ISERROR(SEARCH("欠",X304)))</formula>
    </cfRule>
  </conditionalFormatting>
  <conditionalFormatting sqref="AA304">
    <cfRule type="containsText" dxfId="0" priority="2844" operator="between" text="欠">
      <formula>NOT(ISERROR(SEARCH("欠",AA304)))</formula>
    </cfRule>
  </conditionalFormatting>
  <conditionalFormatting sqref="AC304:AD304">
    <cfRule type="containsText" dxfId="0" priority="2836" operator="between" text="欠">
      <formula>NOT(ISERROR(SEARCH("欠",AC304)))</formula>
    </cfRule>
  </conditionalFormatting>
  <conditionalFormatting sqref="AF304">
    <cfRule type="containsText" dxfId="0" priority="2879" operator="between" text="欠">
      <formula>NOT(ISERROR(SEARCH("欠",AF304)))</formula>
    </cfRule>
  </conditionalFormatting>
  <conditionalFormatting sqref="AH304">
    <cfRule type="containsText" dxfId="0" priority="2843" operator="between" text="欠">
      <formula>NOT(ISERROR(SEARCH("欠",AH304)))</formula>
    </cfRule>
  </conditionalFormatting>
  <conditionalFormatting sqref="AI304">
    <cfRule type="containsText" dxfId="0" priority="2880" operator="between" text="欠">
      <formula>NOT(ISERROR(SEARCH("欠",AI304)))</formula>
    </cfRule>
  </conditionalFormatting>
  <conditionalFormatting sqref="B305">
    <cfRule type="containsText" dxfId="1" priority="2817" operator="between" text="异常">
      <formula>NOT(ISERROR(SEARCH("异常",B305)))</formula>
    </cfRule>
  </conditionalFormatting>
  <conditionalFormatting sqref="C305">
    <cfRule type="containsText" dxfId="2" priority="2815" operator="between" text="二代">
      <formula>NOT(ISERROR(SEARCH("二代",C305)))</formula>
    </cfRule>
    <cfRule type="containsText" dxfId="3" priority="2816" operator="between" text="蛋糕">
      <formula>NOT(ISERROR(SEARCH("蛋糕",C305)))</formula>
    </cfRule>
  </conditionalFormatting>
  <conditionalFormatting sqref="X305">
    <cfRule type="containsText" dxfId="0" priority="2825" operator="between" text="欠">
      <formula>NOT(ISERROR(SEARCH("欠",X305)))</formula>
    </cfRule>
  </conditionalFormatting>
  <conditionalFormatting sqref="Y305">
    <cfRule type="containsText" dxfId="0" priority="2818" operator="between" text="欠">
      <formula>NOT(ISERROR(SEARCH("欠",Y305)))</formula>
    </cfRule>
  </conditionalFormatting>
  <conditionalFormatting sqref="Z305">
    <cfRule type="containsText" dxfId="0" priority="2826" operator="between" text="欠">
      <formula>NOT(ISERROR(SEARCH("欠",Z305)))</formula>
    </cfRule>
  </conditionalFormatting>
  <conditionalFormatting sqref="AA305">
    <cfRule type="containsText" dxfId="0" priority="2822" operator="between" text="欠">
      <formula>NOT(ISERROR(SEARCH("欠",AA305)))</formula>
    </cfRule>
  </conditionalFormatting>
  <conditionalFormatting sqref="AB305">
    <cfRule type="containsText" dxfId="0" priority="2827" operator="between" text="欠">
      <formula>NOT(ISERROR(SEARCH("欠",AB305)))</formula>
    </cfRule>
  </conditionalFormatting>
  <conditionalFormatting sqref="AC305">
    <cfRule type="containsText" dxfId="0" priority="2828" operator="between" text="欠">
      <formula>NOT(ISERROR(SEARCH("欠",AC305)))</formula>
    </cfRule>
  </conditionalFormatting>
  <conditionalFormatting sqref="AD305">
    <cfRule type="containsText" dxfId="0" priority="2829" operator="between" text="欠">
      <formula>NOT(ISERROR(SEARCH("欠",AD305)))</formula>
    </cfRule>
  </conditionalFormatting>
  <conditionalFormatting sqref="AE305">
    <cfRule type="containsText" dxfId="0" priority="2823" operator="between" text="欠">
      <formula>NOT(ISERROR(SEARCH("欠",AE305)))</formula>
    </cfRule>
  </conditionalFormatting>
  <conditionalFormatting sqref="AF305">
    <cfRule type="containsText" dxfId="0" priority="2824" operator="between" text="欠">
      <formula>NOT(ISERROR(SEARCH("欠",AF305)))</formula>
    </cfRule>
  </conditionalFormatting>
  <conditionalFormatting sqref="AG305">
    <cfRule type="containsText" dxfId="0" priority="2820" operator="between" text="欠">
      <formula>NOT(ISERROR(SEARCH("欠",AG305)))</formula>
    </cfRule>
  </conditionalFormatting>
  <conditionalFormatting sqref="AH305">
    <cfRule type="containsText" dxfId="0" priority="2821" operator="between" text="欠">
      <formula>NOT(ISERROR(SEARCH("欠",AH305)))</formula>
    </cfRule>
  </conditionalFormatting>
  <conditionalFormatting sqref="AI305">
    <cfRule type="containsText" dxfId="0" priority="2819" operator="between" text="欠">
      <formula>NOT(ISERROR(SEARCH("欠",AI305)))</formula>
    </cfRule>
  </conditionalFormatting>
  <conditionalFormatting sqref="B306">
    <cfRule type="containsText" dxfId="1" priority="2804" operator="between" text="异常">
      <formula>NOT(ISERROR(SEARCH("异常",B306)))</formula>
    </cfRule>
  </conditionalFormatting>
  <conditionalFormatting sqref="C306">
    <cfRule type="containsText" dxfId="2" priority="2802" operator="between" text="二代">
      <formula>NOT(ISERROR(SEARCH("二代",C306)))</formula>
    </cfRule>
    <cfRule type="containsText" dxfId="3" priority="2803" operator="between" text="蛋糕">
      <formula>NOT(ISERROR(SEARCH("蛋糕",C306)))</formula>
    </cfRule>
  </conditionalFormatting>
  <conditionalFormatting sqref="X306">
    <cfRule type="containsText" dxfId="0" priority="2811" operator="between" text="欠">
      <formula>NOT(ISERROR(SEARCH("欠",X306)))</formula>
    </cfRule>
  </conditionalFormatting>
  <conditionalFormatting sqref="Y306">
    <cfRule type="containsText" dxfId="0" priority="2814" operator="between" text="欠">
      <formula>NOT(ISERROR(SEARCH("欠",Y306)))</formula>
    </cfRule>
  </conditionalFormatting>
  <conditionalFormatting sqref="Z306">
    <cfRule type="containsText" dxfId="0" priority="2813" operator="between" text="欠">
      <formula>NOT(ISERROR(SEARCH("欠",Z306)))</formula>
    </cfRule>
  </conditionalFormatting>
  <conditionalFormatting sqref="AA306:AB306">
    <cfRule type="containsText" dxfId="0" priority="2810" operator="between" text="欠">
      <formula>NOT(ISERROR(SEARCH("欠",AA306)))</formula>
    </cfRule>
  </conditionalFormatting>
  <conditionalFormatting sqref="AC306:AD306">
    <cfRule type="containsText" dxfId="0" priority="2809" operator="between" text="欠">
      <formula>NOT(ISERROR(SEARCH("欠",AC306)))</formula>
    </cfRule>
  </conditionalFormatting>
  <conditionalFormatting sqref="AE306">
    <cfRule type="containsText" dxfId="0" priority="2806" operator="between" text="欠">
      <formula>NOT(ISERROR(SEARCH("欠",AE306)))</formula>
    </cfRule>
  </conditionalFormatting>
  <conditionalFormatting sqref="AF306">
    <cfRule type="containsText" dxfId="0" priority="2812" operator="between" text="欠">
      <formula>NOT(ISERROR(SEARCH("欠",AF306)))</formula>
    </cfRule>
  </conditionalFormatting>
  <conditionalFormatting sqref="AG306">
    <cfRule type="containsText" dxfId="0" priority="2805" operator="between" text="欠">
      <formula>NOT(ISERROR(SEARCH("欠",AG306)))</formula>
    </cfRule>
  </conditionalFormatting>
  <conditionalFormatting sqref="AH306">
    <cfRule type="containsText" dxfId="0" priority="2808" operator="between" text="欠">
      <formula>NOT(ISERROR(SEARCH("欠",AH306)))</formula>
    </cfRule>
  </conditionalFormatting>
  <conditionalFormatting sqref="AI306">
    <cfRule type="containsText" dxfId="0" priority="2807" operator="between" text="欠">
      <formula>NOT(ISERROR(SEARCH("欠",AI306)))</formula>
    </cfRule>
  </conditionalFormatting>
  <conditionalFormatting sqref="B307">
    <cfRule type="containsText" dxfId="1" priority="2790" operator="between" text="异常">
      <formula>NOT(ISERROR(SEARCH("异常",B307)))</formula>
    </cfRule>
  </conditionalFormatting>
  <conditionalFormatting sqref="C307">
    <cfRule type="containsText" dxfId="2" priority="2788" operator="between" text="二代">
      <formula>NOT(ISERROR(SEARCH("二代",C307)))</formula>
    </cfRule>
    <cfRule type="containsText" dxfId="3" priority="2789" operator="between" text="蛋糕">
      <formula>NOT(ISERROR(SEARCH("蛋糕",C307)))</formula>
    </cfRule>
  </conditionalFormatting>
  <conditionalFormatting sqref="X307">
    <cfRule type="containsText" dxfId="0" priority="2797" operator="between" text="欠">
      <formula>NOT(ISERROR(SEARCH("欠",X307)))</formula>
    </cfRule>
  </conditionalFormatting>
  <conditionalFormatting sqref="Y307">
    <cfRule type="containsText" dxfId="0" priority="2795" operator="between" text="欠">
      <formula>NOT(ISERROR(SEARCH("欠",Y307)))</formula>
    </cfRule>
  </conditionalFormatting>
  <conditionalFormatting sqref="Z307">
    <cfRule type="containsText" dxfId="0" priority="2801" operator="between" text="欠">
      <formula>NOT(ISERROR(SEARCH("欠",Z307)))</formula>
    </cfRule>
  </conditionalFormatting>
  <conditionalFormatting sqref="AA307">
    <cfRule type="containsText" dxfId="0" priority="2800" operator="between" text="欠">
      <formula>NOT(ISERROR(SEARCH("欠",AA307)))</formula>
    </cfRule>
  </conditionalFormatting>
  <conditionalFormatting sqref="AB307">
    <cfRule type="containsText" dxfId="0" priority="2796" operator="between" text="欠">
      <formula>NOT(ISERROR(SEARCH("欠",AB307)))</formula>
    </cfRule>
  </conditionalFormatting>
  <conditionalFormatting sqref="AC307:AD307">
    <cfRule type="containsText" dxfId="0" priority="2791" operator="between" text="欠">
      <formula>NOT(ISERROR(SEARCH("欠",AC307)))</formula>
    </cfRule>
  </conditionalFormatting>
  <conditionalFormatting sqref="AE307">
    <cfRule type="containsText" dxfId="0" priority="2794" operator="between" text="欠">
      <formula>NOT(ISERROR(SEARCH("欠",AE307)))</formula>
    </cfRule>
  </conditionalFormatting>
  <conditionalFormatting sqref="AF307">
    <cfRule type="containsText" dxfId="0" priority="2798" operator="between" text="欠">
      <formula>NOT(ISERROR(SEARCH("欠",AF307)))</formula>
    </cfRule>
  </conditionalFormatting>
  <conditionalFormatting sqref="AG307">
    <cfRule type="containsText" dxfId="0" priority="2793" operator="between" text="欠">
      <formula>NOT(ISERROR(SEARCH("欠",AG307)))</formula>
    </cfRule>
  </conditionalFormatting>
  <conditionalFormatting sqref="AH307">
    <cfRule type="containsText" dxfId="0" priority="2792" operator="between" text="欠">
      <formula>NOT(ISERROR(SEARCH("欠",AH307)))</formula>
    </cfRule>
  </conditionalFormatting>
  <conditionalFormatting sqref="AI307">
    <cfRule type="containsText" dxfId="0" priority="2799" operator="between" text="欠">
      <formula>NOT(ISERROR(SEARCH("欠",AI307)))</formula>
    </cfRule>
  </conditionalFormatting>
  <conditionalFormatting sqref="B308">
    <cfRule type="containsText" dxfId="1" priority="2777" operator="between" text="异常">
      <formula>NOT(ISERROR(SEARCH("异常",B308)))</formula>
    </cfRule>
  </conditionalFormatting>
  <conditionalFormatting sqref="C308">
    <cfRule type="containsText" dxfId="2" priority="2775" operator="between" text="二代">
      <formula>NOT(ISERROR(SEARCH("二代",C308)))</formula>
    </cfRule>
    <cfRule type="containsText" dxfId="3" priority="2776" operator="between" text="蛋糕">
      <formula>NOT(ISERROR(SEARCH("蛋糕",C308)))</formula>
    </cfRule>
  </conditionalFormatting>
  <conditionalFormatting sqref="X308">
    <cfRule type="containsText" dxfId="0" priority="2784" operator="between" text="欠">
      <formula>NOT(ISERROR(SEARCH("欠",X308)))</formula>
    </cfRule>
  </conditionalFormatting>
  <conditionalFormatting sqref="Y308">
    <cfRule type="containsText" dxfId="0" priority="2783" operator="between" text="欠">
      <formula>NOT(ISERROR(SEARCH("欠",Y308)))</formula>
    </cfRule>
  </conditionalFormatting>
  <conditionalFormatting sqref="Z308">
    <cfRule type="containsText" dxfId="0" priority="2787" operator="between" text="欠">
      <formula>NOT(ISERROR(SEARCH("欠",Z308)))</formula>
    </cfRule>
  </conditionalFormatting>
  <conditionalFormatting sqref="AA308">
    <cfRule type="containsText" dxfId="0" priority="2785" operator="between" text="欠">
      <formula>NOT(ISERROR(SEARCH("欠",AA308)))</formula>
    </cfRule>
  </conditionalFormatting>
  <conditionalFormatting sqref="AB308">
    <cfRule type="containsText" dxfId="0" priority="2778" operator="between" text="欠">
      <formula>NOT(ISERROR(SEARCH("欠",AB308)))</formula>
    </cfRule>
  </conditionalFormatting>
  <conditionalFormatting sqref="AC308:AD308">
    <cfRule type="containsText" dxfId="0" priority="2786" operator="between" text="欠">
      <formula>NOT(ISERROR(SEARCH("欠",AC308)))</formula>
    </cfRule>
  </conditionalFormatting>
  <conditionalFormatting sqref="AE308">
    <cfRule type="containsText" dxfId="0" priority="2781" operator="between" text="欠">
      <formula>NOT(ISERROR(SEARCH("欠",AE308)))</formula>
    </cfRule>
  </conditionalFormatting>
  <conditionalFormatting sqref="AF308">
    <cfRule type="containsText" dxfId="0" priority="2779" operator="between" text="欠">
      <formula>NOT(ISERROR(SEARCH("欠",AF308)))</formula>
    </cfRule>
  </conditionalFormatting>
  <conditionalFormatting sqref="AG308:AH308">
    <cfRule type="containsText" dxfId="0" priority="2780" operator="between" text="欠">
      <formula>NOT(ISERROR(SEARCH("欠",AG308)))</formula>
    </cfRule>
  </conditionalFormatting>
  <conditionalFormatting sqref="AI308">
    <cfRule type="containsText" dxfId="0" priority="2782" operator="between" text="欠">
      <formula>NOT(ISERROR(SEARCH("欠",AI308)))</formula>
    </cfRule>
  </conditionalFormatting>
  <conditionalFormatting sqref="B309">
    <cfRule type="containsText" dxfId="1" priority="2686" operator="between" text="异常">
      <formula>NOT(ISERROR(SEARCH("异常",B309)))</formula>
    </cfRule>
  </conditionalFormatting>
  <conditionalFormatting sqref="C309">
    <cfRule type="containsText" dxfId="2" priority="2683" operator="between" text="二代">
      <formula>NOT(ISERROR(SEARCH("二代",C309)))</formula>
    </cfRule>
    <cfRule type="containsText" dxfId="3" priority="2684" operator="between" text="蛋糕">
      <formula>NOT(ISERROR(SEARCH("蛋糕",C309)))</formula>
    </cfRule>
  </conditionalFormatting>
  <conditionalFormatting sqref="X309">
    <cfRule type="containsText" dxfId="0" priority="2691" operator="between" text="欠">
      <formula>NOT(ISERROR(SEARCH("欠",X309)))</formula>
    </cfRule>
  </conditionalFormatting>
  <conditionalFormatting sqref="Y309">
    <cfRule type="containsText" dxfId="0" priority="2694" operator="between" text="欠">
      <formula>NOT(ISERROR(SEARCH("欠",Y309)))</formula>
    </cfRule>
  </conditionalFormatting>
  <conditionalFormatting sqref="Z309">
    <cfRule type="containsText" dxfId="0" priority="2693" operator="between" text="欠">
      <formula>NOT(ISERROR(SEARCH("欠",Z309)))</formula>
    </cfRule>
  </conditionalFormatting>
  <conditionalFormatting sqref="AA309:AB309">
    <cfRule type="containsText" dxfId="0" priority="2692" operator="between" text="欠">
      <formula>NOT(ISERROR(SEARCH("欠",AA309)))</formula>
    </cfRule>
  </conditionalFormatting>
  <conditionalFormatting sqref="AC309:AD309">
    <cfRule type="containsText" dxfId="0" priority="2690" operator="between" text="欠">
      <formula>NOT(ISERROR(SEARCH("欠",AC309)))</formula>
    </cfRule>
  </conditionalFormatting>
  <conditionalFormatting sqref="AE309">
    <cfRule type="containsText" dxfId="0" priority="2689" operator="between" text="欠">
      <formula>NOT(ISERROR(SEARCH("欠",AE309)))</formula>
    </cfRule>
  </conditionalFormatting>
  <conditionalFormatting sqref="AF309">
    <cfRule type="containsText" dxfId="0" priority="2695" operator="between" text="欠">
      <formula>NOT(ISERROR(SEARCH("欠",AF309)))</formula>
    </cfRule>
  </conditionalFormatting>
  <conditionalFormatting sqref="AG309:AH309">
    <cfRule type="containsText" dxfId="0" priority="2688" operator="between" text="欠">
      <formula>NOT(ISERROR(SEARCH("欠",AG309)))</formula>
    </cfRule>
  </conditionalFormatting>
  <conditionalFormatting sqref="AI309">
    <cfRule type="containsText" dxfId="0" priority="2685" operator="between" text="欠">
      <formula>NOT(ISERROR(SEARCH("欠",AI309)))</formula>
    </cfRule>
  </conditionalFormatting>
  <conditionalFormatting sqref="AL309">
    <cfRule type="containsText" dxfId="0" priority="2687" operator="between" text="欠">
      <formula>NOT(ISERROR(SEARCH("欠",AL309)))</formula>
    </cfRule>
  </conditionalFormatting>
  <conditionalFormatting sqref="B311">
    <cfRule type="containsText" dxfId="1" priority="2765" operator="between" text="异常">
      <formula>NOT(ISERROR(SEARCH("异常",B311)))</formula>
    </cfRule>
  </conditionalFormatting>
  <conditionalFormatting sqref="C311">
    <cfRule type="containsText" dxfId="2" priority="2763" operator="between" text="二代">
      <formula>NOT(ISERROR(SEARCH("二代",C311)))</formula>
    </cfRule>
    <cfRule type="containsText" dxfId="3" priority="2764" operator="between" text="蛋糕">
      <formula>NOT(ISERROR(SEARCH("蛋糕",C311)))</formula>
    </cfRule>
  </conditionalFormatting>
  <conditionalFormatting sqref="X311">
    <cfRule type="containsText" dxfId="0" priority="2772" operator="between" text="欠">
      <formula>NOT(ISERROR(SEARCH("欠",X311)))</formula>
    </cfRule>
  </conditionalFormatting>
  <conditionalFormatting sqref="Y311">
    <cfRule type="containsText" dxfId="0" priority="2774" operator="between" text="欠">
      <formula>NOT(ISERROR(SEARCH("欠",Y311)))</formula>
    </cfRule>
  </conditionalFormatting>
  <conditionalFormatting sqref="Z311">
    <cfRule type="containsText" dxfId="0" priority="2773" operator="between" text="欠">
      <formula>NOT(ISERROR(SEARCH("欠",Z311)))</formula>
    </cfRule>
  </conditionalFormatting>
  <conditionalFormatting sqref="AA311:AB311">
    <cfRule type="containsText" dxfId="0" priority="2769" operator="between" text="欠">
      <formula>NOT(ISERROR(SEARCH("欠",AA311)))</formula>
    </cfRule>
  </conditionalFormatting>
  <conditionalFormatting sqref="AC311:AD311">
    <cfRule type="containsText" dxfId="0" priority="2771" operator="between" text="欠">
      <formula>NOT(ISERROR(SEARCH("欠",AC311)))</formula>
    </cfRule>
  </conditionalFormatting>
  <conditionalFormatting sqref="AE311">
    <cfRule type="containsText" dxfId="0" priority="2767" operator="between" text="欠">
      <formula>NOT(ISERROR(SEARCH("欠",AE311)))</formula>
    </cfRule>
  </conditionalFormatting>
  <conditionalFormatting sqref="AG311">
    <cfRule type="containsText" dxfId="0" priority="2766" operator="between" text="欠">
      <formula>NOT(ISERROR(SEARCH("欠",AG311)))</formula>
    </cfRule>
  </conditionalFormatting>
  <conditionalFormatting sqref="AH311">
    <cfRule type="containsText" dxfId="0" priority="2770" operator="between" text="欠">
      <formula>NOT(ISERROR(SEARCH("欠",AH311)))</formula>
    </cfRule>
  </conditionalFormatting>
  <conditionalFormatting sqref="X326">
    <cfRule type="containsText" dxfId="0" priority="2747" operator="between" text="欠">
      <formula>NOT(ISERROR(SEARCH("欠",X326)))</formula>
    </cfRule>
  </conditionalFormatting>
  <conditionalFormatting sqref="AB326">
    <cfRule type="containsText" dxfId="0" priority="2759" operator="between" text="欠">
      <formula>NOT(ISERROR(SEARCH("欠",AB326)))</formula>
    </cfRule>
  </conditionalFormatting>
  <conditionalFormatting sqref="AC326:AD326">
    <cfRule type="containsText" dxfId="0" priority="2746" operator="between" text="欠">
      <formula>NOT(ISERROR(SEARCH("欠",AC326)))</formula>
    </cfRule>
  </conditionalFormatting>
  <conditionalFormatting sqref="AE326">
    <cfRule type="containsText" dxfId="0" priority="2745" operator="between" text="欠">
      <formula>NOT(ISERROR(SEARCH("欠",AE326)))</formula>
    </cfRule>
  </conditionalFormatting>
  <conditionalFormatting sqref="AF326">
    <cfRule type="containsText" dxfId="0" priority="2756" operator="between" text="欠">
      <formula>NOT(ISERROR(SEARCH("欠",AF326)))</formula>
    </cfRule>
  </conditionalFormatting>
  <conditionalFormatting sqref="AG326:AH326">
    <cfRule type="containsText" dxfId="0" priority="2744" operator="between" text="欠">
      <formula>NOT(ISERROR(SEARCH("欠",AG326)))</formula>
    </cfRule>
  </conditionalFormatting>
  <conditionalFormatting sqref="AI326">
    <cfRule type="containsText" dxfId="0" priority="2761" operator="between" text="欠">
      <formula>NOT(ISERROR(SEARCH("欠",AI326)))</formula>
    </cfRule>
  </conditionalFormatting>
  <conditionalFormatting sqref="X327">
    <cfRule type="containsText" dxfId="0" priority="2722" operator="between" text="欠">
      <formula>NOT(ISERROR(SEARCH("欠",X327)))</formula>
    </cfRule>
  </conditionalFormatting>
  <conditionalFormatting sqref="AB327">
    <cfRule type="containsText" dxfId="0" priority="2760" operator="between" text="欠">
      <formula>NOT(ISERROR(SEARCH("欠",AB327)))</formula>
    </cfRule>
  </conditionalFormatting>
  <conditionalFormatting sqref="AC327:AD327">
    <cfRule type="containsText" dxfId="0" priority="2721" operator="between" text="欠">
      <formula>NOT(ISERROR(SEARCH("欠",AC327)))</formula>
    </cfRule>
  </conditionalFormatting>
  <conditionalFormatting sqref="AE327">
    <cfRule type="containsText" dxfId="0" priority="2720" operator="between" text="欠">
      <formula>NOT(ISERROR(SEARCH("欠",AE327)))</formula>
    </cfRule>
  </conditionalFormatting>
  <conditionalFormatting sqref="AF327">
    <cfRule type="containsText" dxfId="0" priority="2723" operator="between" text="欠">
      <formula>NOT(ISERROR(SEARCH("欠",AF327)))</formula>
    </cfRule>
  </conditionalFormatting>
  <conditionalFormatting sqref="AG327:AH327">
    <cfRule type="containsText" dxfId="0" priority="2719" operator="between" text="欠">
      <formula>NOT(ISERROR(SEARCH("欠",AG327)))</formula>
    </cfRule>
  </conditionalFormatting>
  <conditionalFormatting sqref="AI327">
    <cfRule type="containsText" dxfId="0" priority="2724" operator="between" text="欠">
      <formula>NOT(ISERROR(SEARCH("欠",AI327)))</formula>
    </cfRule>
  </conditionalFormatting>
  <conditionalFormatting sqref="AL327">
    <cfRule type="containsText" dxfId="0" priority="2718" operator="between" text="欠">
      <formula>NOT(ISERROR(SEARCH("欠",AL327)))</formula>
    </cfRule>
  </conditionalFormatting>
  <conditionalFormatting sqref="X328">
    <cfRule type="containsText" dxfId="0" priority="2729" operator="between" text="欠">
      <formula>NOT(ISERROR(SEARCH("欠",X328)))</formula>
    </cfRule>
  </conditionalFormatting>
  <conditionalFormatting sqref="AC328:AD328">
    <cfRule type="containsText" dxfId="0" priority="2728" operator="between" text="欠">
      <formula>NOT(ISERROR(SEARCH("欠",AC328)))</formula>
    </cfRule>
  </conditionalFormatting>
  <conditionalFormatting sqref="AE328">
    <cfRule type="containsText" dxfId="0" priority="2727" operator="between" text="欠">
      <formula>NOT(ISERROR(SEARCH("欠",AE328)))</formula>
    </cfRule>
  </conditionalFormatting>
  <conditionalFormatting sqref="AF328">
    <cfRule type="containsText" dxfId="0" priority="2730" operator="between" text="欠">
      <formula>NOT(ISERROR(SEARCH("欠",AF328)))</formula>
    </cfRule>
  </conditionalFormatting>
  <conditionalFormatting sqref="AG328:AH328">
    <cfRule type="containsText" dxfId="0" priority="2726" operator="between" text="欠">
      <formula>NOT(ISERROR(SEARCH("欠",AG328)))</formula>
    </cfRule>
  </conditionalFormatting>
  <conditionalFormatting sqref="AI328">
    <cfRule type="containsText" dxfId="0" priority="2731" operator="between" text="欠">
      <formula>NOT(ISERROR(SEARCH("欠",AI328)))</formula>
    </cfRule>
  </conditionalFormatting>
  <conditionalFormatting sqref="AL328">
    <cfRule type="containsText" dxfId="0" priority="2725" operator="between" text="欠">
      <formula>NOT(ISERROR(SEARCH("欠",AL328)))</formula>
    </cfRule>
  </conditionalFormatting>
  <conditionalFormatting sqref="X329">
    <cfRule type="containsText" dxfId="0" priority="2715" operator="between" text="欠">
      <formula>NOT(ISERROR(SEARCH("欠",X329)))</formula>
    </cfRule>
  </conditionalFormatting>
  <conditionalFormatting sqref="Y329">
    <cfRule type="containsText" dxfId="0" priority="2753" operator="between" text="欠">
      <formula>NOT(ISERROR(SEARCH("欠",Y329)))</formula>
    </cfRule>
  </conditionalFormatting>
  <conditionalFormatting sqref="AC329:AD329">
    <cfRule type="containsText" dxfId="0" priority="2714" operator="between" text="欠">
      <formula>NOT(ISERROR(SEARCH("欠",AC329)))</formula>
    </cfRule>
  </conditionalFormatting>
  <conditionalFormatting sqref="AE329">
    <cfRule type="containsText" dxfId="0" priority="2713" operator="between" text="欠">
      <formula>NOT(ISERROR(SEARCH("欠",AE329)))</formula>
    </cfRule>
  </conditionalFormatting>
  <conditionalFormatting sqref="AF329">
    <cfRule type="containsText" dxfId="0" priority="2716" operator="between" text="欠">
      <formula>NOT(ISERROR(SEARCH("欠",AF329)))</formula>
    </cfRule>
  </conditionalFormatting>
  <conditionalFormatting sqref="AG329:AH329">
    <cfRule type="containsText" dxfId="0" priority="2712" operator="between" text="欠">
      <formula>NOT(ISERROR(SEARCH("欠",AG329)))</formula>
    </cfRule>
  </conditionalFormatting>
  <conditionalFormatting sqref="AI329">
    <cfRule type="containsText" dxfId="0" priority="2717" operator="between" text="欠">
      <formula>NOT(ISERROR(SEARCH("欠",AI329)))</formula>
    </cfRule>
  </conditionalFormatting>
  <conditionalFormatting sqref="AL329">
    <cfRule type="containsText" dxfId="0" priority="2711" operator="between" text="欠">
      <formula>NOT(ISERROR(SEARCH("欠",AL329)))</formula>
    </cfRule>
  </conditionalFormatting>
  <conditionalFormatting sqref="X330">
    <cfRule type="containsText" dxfId="0" priority="2707" operator="between" text="欠">
      <formula>NOT(ISERROR(SEARCH("欠",X330)))</formula>
    </cfRule>
  </conditionalFormatting>
  <conditionalFormatting sqref="Y330">
    <cfRule type="containsText" dxfId="0" priority="2708" operator="between" text="欠">
      <formula>NOT(ISERROR(SEARCH("欠",Y330)))</formula>
    </cfRule>
  </conditionalFormatting>
  <conditionalFormatting sqref="AB330">
    <cfRule type="containsText" dxfId="0" priority="2702" operator="between" text="欠">
      <formula>NOT(ISERROR(SEARCH("欠",AB330)))</formula>
    </cfRule>
  </conditionalFormatting>
  <conditionalFormatting sqref="AC330:AD330">
    <cfRule type="containsText" dxfId="0" priority="2706" operator="between" text="欠">
      <formula>NOT(ISERROR(SEARCH("欠",AC330)))</formula>
    </cfRule>
  </conditionalFormatting>
  <conditionalFormatting sqref="AE330">
    <cfRule type="containsText" dxfId="0" priority="2705" operator="between" text="欠">
      <formula>NOT(ISERROR(SEARCH("欠",AE330)))</formula>
    </cfRule>
  </conditionalFormatting>
  <conditionalFormatting sqref="AF330">
    <cfRule type="containsText" dxfId="0" priority="2709" operator="between" text="欠">
      <formula>NOT(ISERROR(SEARCH("欠",AF330)))</formula>
    </cfRule>
  </conditionalFormatting>
  <conditionalFormatting sqref="AG330:AH330">
    <cfRule type="containsText" dxfId="0" priority="2704" operator="between" text="欠">
      <formula>NOT(ISERROR(SEARCH("欠",AG330)))</formula>
    </cfRule>
  </conditionalFormatting>
  <conditionalFormatting sqref="AI330">
    <cfRule type="containsText" dxfId="0" priority="2710" operator="between" text="欠">
      <formula>NOT(ISERROR(SEARCH("欠",AI330)))</formula>
    </cfRule>
  </conditionalFormatting>
  <conditionalFormatting sqref="AL330">
    <cfRule type="containsText" dxfId="0" priority="2703" operator="between" text="欠">
      <formula>NOT(ISERROR(SEARCH("欠",AL330)))</formula>
    </cfRule>
  </conditionalFormatting>
  <conditionalFormatting sqref="Y331">
    <cfRule type="containsText" dxfId="0" priority="2700" operator="between" text="欠">
      <formula>NOT(ISERROR(SEARCH("欠",Y331)))</formula>
    </cfRule>
  </conditionalFormatting>
  <conditionalFormatting sqref="Y332">
    <cfRule type="containsText" dxfId="0" priority="2740" operator="between" text="欠">
      <formula>NOT(ISERROR(SEARCH("欠",Y332)))</formula>
    </cfRule>
  </conditionalFormatting>
  <conditionalFormatting sqref="AF333">
    <cfRule type="containsText" dxfId="0" priority="2732" operator="between" text="欠">
      <formula>NOT(ISERROR(SEARCH("欠",AF333)))</formula>
    </cfRule>
  </conditionalFormatting>
  <conditionalFormatting sqref="AI333">
    <cfRule type="containsText" dxfId="0" priority="2733" operator="between" text="欠">
      <formula>NOT(ISERROR(SEARCH("欠",AI333)))</formula>
    </cfRule>
  </conditionalFormatting>
  <conditionalFormatting sqref="AL333">
    <cfRule type="containsText" dxfId="0" priority="2734" operator="between" text="欠">
      <formula>NOT(ISERROR(SEARCH("欠",AL333)))</formula>
    </cfRule>
  </conditionalFormatting>
  <conditionalFormatting sqref="AI335">
    <cfRule type="containsText" dxfId="0" priority="2754" operator="between" text="欠">
      <formula>NOT(ISERROR(SEARCH("欠",AI335)))</formula>
    </cfRule>
  </conditionalFormatting>
  <conditionalFormatting sqref="AI337">
    <cfRule type="containsText" dxfId="0" priority="2757" operator="between" text="欠">
      <formula>NOT(ISERROR(SEARCH("欠",AI337)))</formula>
    </cfRule>
  </conditionalFormatting>
  <conditionalFormatting sqref="Y338">
    <cfRule type="containsText" dxfId="0" priority="2701" operator="between" text="欠">
      <formula>NOT(ISERROR(SEARCH("欠",Y338)))</formula>
    </cfRule>
  </conditionalFormatting>
  <conditionalFormatting sqref="AA338">
    <cfRule type="containsText" dxfId="0" priority="2751" operator="between" text="欠">
      <formula>NOT(ISERROR(SEARCH("欠",AA338)))</formula>
    </cfRule>
  </conditionalFormatting>
  <conditionalFormatting sqref="AF338">
    <cfRule type="containsText" dxfId="0" priority="2752" operator="between" text="欠">
      <formula>NOT(ISERROR(SEARCH("欠",AF338)))</formula>
    </cfRule>
  </conditionalFormatting>
  <conditionalFormatting sqref="B339">
    <cfRule type="containsText" dxfId="1" priority="2678" operator="between" text="异常">
      <formula>NOT(ISERROR(SEARCH("异常",B339)))</formula>
    </cfRule>
  </conditionalFormatting>
  <conditionalFormatting sqref="C339">
    <cfRule type="containsText" dxfId="2" priority="2676" operator="between" text="二代">
      <formula>NOT(ISERROR(SEARCH("二代",C339)))</formula>
    </cfRule>
    <cfRule type="containsText" dxfId="3" priority="2677" operator="between" text="蛋糕">
      <formula>NOT(ISERROR(SEARCH("蛋糕",C339)))</formula>
    </cfRule>
  </conditionalFormatting>
  <conditionalFormatting sqref="X339:Y339">
    <cfRule type="containsText" dxfId="0" priority="2682" operator="between" text="欠">
      <formula>NOT(ISERROR(SEARCH("欠",X339)))</formula>
    </cfRule>
  </conditionalFormatting>
  <conditionalFormatting sqref="Z339:AB339">
    <cfRule type="containsText" dxfId="0" priority="2679" operator="between" text="欠">
      <formula>NOT(ISERROR(SEARCH("欠",Z339)))</formula>
    </cfRule>
  </conditionalFormatting>
  <conditionalFormatting sqref="AC339:AD339">
    <cfRule type="containsText" dxfId="0" priority="2681" operator="between" text="欠">
      <formula>NOT(ISERROR(SEARCH("欠",AC339)))</formula>
    </cfRule>
  </conditionalFormatting>
  <conditionalFormatting sqref="AE339:AI339">
    <cfRule type="containsText" dxfId="0" priority="2680" operator="between" text="欠">
      <formula>NOT(ISERROR(SEARCH("欠",AE339)))</formula>
    </cfRule>
  </conditionalFormatting>
  <conditionalFormatting sqref="Y340">
    <cfRule type="containsText" dxfId="0" priority="2642" operator="between" text="欠">
      <formula>NOT(ISERROR(SEARCH("欠",Y340)))</formula>
    </cfRule>
  </conditionalFormatting>
  <conditionalFormatting sqref="AC340">
    <cfRule type="containsText" dxfId="0" priority="2674" operator="between" text="欠">
      <formula>NOT(ISERROR(SEARCH("欠",AC340)))</formula>
    </cfRule>
  </conditionalFormatting>
  <conditionalFormatting sqref="AD340">
    <cfRule type="containsText" dxfId="0" priority="2643" operator="between" text="欠">
      <formula>NOT(ISERROR(SEARCH("欠",AD340)))</formula>
    </cfRule>
  </conditionalFormatting>
  <conditionalFormatting sqref="Y341">
    <cfRule type="containsText" dxfId="0" priority="2645" operator="between" text="欠">
      <formula>NOT(ISERROR(SEARCH("欠",Y341)))</formula>
    </cfRule>
  </conditionalFormatting>
  <conditionalFormatting sqref="AC341:AD341">
    <cfRule type="containsText" dxfId="0" priority="2646" operator="between" text="欠">
      <formula>NOT(ISERROR(SEARCH("欠",AC341)))</formula>
    </cfRule>
  </conditionalFormatting>
  <conditionalFormatting sqref="Y342">
    <cfRule type="containsText" dxfId="0" priority="2647" operator="between" text="欠">
      <formula>NOT(ISERROR(SEARCH("欠",Y342)))</formula>
    </cfRule>
  </conditionalFormatting>
  <conditionalFormatting sqref="AA342:AB342">
    <cfRule type="containsText" dxfId="0" priority="2650" operator="between" text="欠">
      <formula>NOT(ISERROR(SEARCH("欠",AA342)))</formula>
    </cfRule>
  </conditionalFormatting>
  <conditionalFormatting sqref="AC342:AD342">
    <cfRule type="containsText" dxfId="0" priority="2649" operator="between" text="欠">
      <formula>NOT(ISERROR(SEARCH("欠",AC342)))</formula>
    </cfRule>
  </conditionalFormatting>
  <conditionalFormatting sqref="Y343">
    <cfRule type="containsText" dxfId="0" priority="2651" operator="between" text="欠">
      <formula>NOT(ISERROR(SEARCH("欠",Y343)))</formula>
    </cfRule>
  </conditionalFormatting>
  <conditionalFormatting sqref="AA343:AB343">
    <cfRule type="containsText" dxfId="0" priority="2653" operator="between" text="欠">
      <formula>NOT(ISERROR(SEARCH("欠",AA343)))</formula>
    </cfRule>
  </conditionalFormatting>
  <conditionalFormatting sqref="AC343:AD343">
    <cfRule type="containsText" dxfId="0" priority="2652" operator="between" text="欠">
      <formula>NOT(ISERROR(SEARCH("欠",AC343)))</formula>
    </cfRule>
  </conditionalFormatting>
  <conditionalFormatting sqref="Y344">
    <cfRule type="containsText" dxfId="0" priority="2654" operator="between" text="欠">
      <formula>NOT(ISERROR(SEARCH("欠",Y344)))</formula>
    </cfRule>
  </conditionalFormatting>
  <conditionalFormatting sqref="AA344:AB344">
    <cfRule type="containsText" dxfId="0" priority="2656" operator="between" text="欠">
      <formula>NOT(ISERROR(SEARCH("欠",AA344)))</formula>
    </cfRule>
  </conditionalFormatting>
  <conditionalFormatting sqref="AC344:AD344">
    <cfRule type="containsText" dxfId="0" priority="2655" operator="between" text="欠">
      <formula>NOT(ISERROR(SEARCH("欠",AC344)))</formula>
    </cfRule>
  </conditionalFormatting>
  <conditionalFormatting sqref="AF344">
    <cfRule type="containsText" dxfId="0" priority="2637" operator="between" text="欠">
      <formula>NOT(ISERROR(SEARCH("欠",AF344)))</formula>
    </cfRule>
  </conditionalFormatting>
  <conditionalFormatting sqref="AH344">
    <cfRule type="containsText" dxfId="0" priority="2639" operator="between" text="欠">
      <formula>NOT(ISERROR(SEARCH("欠",AH344)))</formula>
    </cfRule>
  </conditionalFormatting>
  <conditionalFormatting sqref="AI344">
    <cfRule type="containsText" dxfId="0" priority="2636" operator="between" text="欠">
      <formula>NOT(ISERROR(SEARCH("欠",AI344)))</formula>
    </cfRule>
  </conditionalFormatting>
  <conditionalFormatting sqref="Y345">
    <cfRule type="containsText" dxfId="0" priority="2657" operator="between" text="欠">
      <formula>NOT(ISERROR(SEARCH("欠",Y345)))</formula>
    </cfRule>
  </conditionalFormatting>
  <conditionalFormatting sqref="AA345:AB345">
    <cfRule type="containsText" dxfId="0" priority="2660" operator="between" text="欠">
      <formula>NOT(ISERROR(SEARCH("欠",AA345)))</formula>
    </cfRule>
  </conditionalFormatting>
  <conditionalFormatting sqref="AC345:AD345">
    <cfRule type="containsText" dxfId="0" priority="2659" operator="between" text="欠">
      <formula>NOT(ISERROR(SEARCH("欠",AC345)))</formula>
    </cfRule>
  </conditionalFormatting>
  <conditionalFormatting sqref="AH345">
    <cfRule type="containsText" dxfId="0" priority="2658" operator="between" text="欠">
      <formula>NOT(ISERROR(SEARCH("欠",AH345)))</formula>
    </cfRule>
  </conditionalFormatting>
  <conditionalFormatting sqref="AA346:AB346">
    <cfRule type="containsText" dxfId="0" priority="2664" operator="between" text="欠">
      <formula>NOT(ISERROR(SEARCH("欠",AA346)))</formula>
    </cfRule>
  </conditionalFormatting>
  <conditionalFormatting sqref="AC346:AD346">
    <cfRule type="containsText" dxfId="0" priority="2663" operator="between" text="欠">
      <formula>NOT(ISERROR(SEARCH("欠",AC346)))</formula>
    </cfRule>
  </conditionalFormatting>
  <conditionalFormatting sqref="AH346">
    <cfRule type="containsText" dxfId="0" priority="2662" operator="between" text="欠">
      <formula>NOT(ISERROR(SEARCH("欠",AH346)))</formula>
    </cfRule>
  </conditionalFormatting>
  <conditionalFormatting sqref="AA347:AB347">
    <cfRule type="containsText" dxfId="0" priority="2667" operator="between" text="欠">
      <formula>NOT(ISERROR(SEARCH("欠",AA347)))</formula>
    </cfRule>
  </conditionalFormatting>
  <conditionalFormatting sqref="AC347:AD347">
    <cfRule type="containsText" dxfId="0" priority="2666" operator="between" text="欠">
      <formula>NOT(ISERROR(SEARCH("欠",AC347)))</formula>
    </cfRule>
  </conditionalFormatting>
  <conditionalFormatting sqref="AH347">
    <cfRule type="containsText" dxfId="0" priority="2665" operator="between" text="欠">
      <formula>NOT(ISERROR(SEARCH("欠",AH347)))</formula>
    </cfRule>
  </conditionalFormatting>
  <conditionalFormatting sqref="AA348:AB348">
    <cfRule type="containsText" dxfId="0" priority="2670" operator="between" text="欠">
      <formula>NOT(ISERROR(SEARCH("欠",AA348)))</formula>
    </cfRule>
  </conditionalFormatting>
  <conditionalFormatting sqref="AC348:AD348">
    <cfRule type="containsText" dxfId="0" priority="2669" operator="between" text="欠">
      <formula>NOT(ISERROR(SEARCH("欠",AC348)))</formula>
    </cfRule>
  </conditionalFormatting>
  <conditionalFormatting sqref="AH348">
    <cfRule type="containsText" dxfId="0" priority="2668" operator="between" text="欠">
      <formula>NOT(ISERROR(SEARCH("欠",AH348)))</formula>
    </cfRule>
  </conditionalFormatting>
  <conditionalFormatting sqref="B349">
    <cfRule type="containsText" dxfId="1" priority="2623" operator="between" text="异常">
      <formula>NOT(ISERROR(SEARCH("异常",B349)))</formula>
    </cfRule>
  </conditionalFormatting>
  <conditionalFormatting sqref="C349">
    <cfRule type="containsText" dxfId="2" priority="2621" operator="between" text="二代">
      <formula>NOT(ISERROR(SEARCH("二代",C349)))</formula>
    </cfRule>
    <cfRule type="containsText" dxfId="3" priority="2622" operator="between" text="蛋糕">
      <formula>NOT(ISERROR(SEARCH("蛋糕",C349)))</formula>
    </cfRule>
  </conditionalFormatting>
  <conditionalFormatting sqref="X349">
    <cfRule type="containsText" dxfId="0" priority="2627" operator="between" text="欠">
      <formula>NOT(ISERROR(SEARCH("欠",X349)))</formula>
    </cfRule>
  </conditionalFormatting>
  <conditionalFormatting sqref="Y349">
    <cfRule type="containsText" dxfId="0" priority="2624" operator="between" text="欠">
      <formula>NOT(ISERROR(SEARCH("欠",Y349)))</formula>
    </cfRule>
  </conditionalFormatting>
  <conditionalFormatting sqref="Z349">
    <cfRule type="containsText" dxfId="0" priority="2631" operator="between" text="欠">
      <formula>NOT(ISERROR(SEARCH("欠",Z349)))</formula>
    </cfRule>
  </conditionalFormatting>
  <conditionalFormatting sqref="AA349:AB349">
    <cfRule type="containsText" dxfId="0" priority="2626" operator="between" text="欠">
      <formula>NOT(ISERROR(SEARCH("欠",AA349)))</formula>
    </cfRule>
  </conditionalFormatting>
  <conditionalFormatting sqref="AC349:AD349">
    <cfRule type="containsText" dxfId="0" priority="2625" operator="between" text="欠">
      <formula>NOT(ISERROR(SEARCH("欠",AC349)))</formula>
    </cfRule>
  </conditionalFormatting>
  <conditionalFormatting sqref="AE349">
    <cfRule type="containsText" dxfId="0" priority="2629" operator="between" text="欠">
      <formula>NOT(ISERROR(SEARCH("欠",AE349)))</formula>
    </cfRule>
  </conditionalFormatting>
  <conditionalFormatting sqref="AF349">
    <cfRule type="containsText" dxfId="0" priority="2632" operator="between" text="欠">
      <formula>NOT(ISERROR(SEARCH("欠",AF349)))</formula>
    </cfRule>
  </conditionalFormatting>
  <conditionalFormatting sqref="AG349">
    <cfRule type="containsText" dxfId="0" priority="2628" operator="between" text="欠">
      <formula>NOT(ISERROR(SEARCH("欠",AG349)))</formula>
    </cfRule>
  </conditionalFormatting>
  <conditionalFormatting sqref="AH349">
    <cfRule type="containsText" dxfId="0" priority="2630" operator="between" text="欠">
      <formula>NOT(ISERROR(SEARCH("欠",AH349)))</formula>
    </cfRule>
  </conditionalFormatting>
  <conditionalFormatting sqref="AI349">
    <cfRule type="containsText" dxfId="0" priority="2633" operator="between" text="欠">
      <formula>NOT(ISERROR(SEARCH("欠",AI349)))</formula>
    </cfRule>
  </conditionalFormatting>
  <conditionalFormatting sqref="B350">
    <cfRule type="containsText" dxfId="1" priority="2617" operator="between" text="异常">
      <formula>NOT(ISERROR(SEARCH("异常",B350)))</formula>
    </cfRule>
  </conditionalFormatting>
  <conditionalFormatting sqref="C350">
    <cfRule type="containsText" dxfId="2" priority="2618" operator="between" text="二代">
      <formula>NOT(ISERROR(SEARCH("二代",C350)))</formula>
    </cfRule>
    <cfRule type="containsText" dxfId="3" priority="2619" operator="between" text="蛋糕">
      <formula>NOT(ISERROR(SEARCH("蛋糕",C350)))</formula>
    </cfRule>
  </conditionalFormatting>
  <conditionalFormatting sqref="Y350">
    <cfRule type="containsText" dxfId="0" priority="2612" operator="between" text="欠">
      <formula>NOT(ISERROR(SEARCH("欠",Y350)))</formula>
    </cfRule>
  </conditionalFormatting>
  <conditionalFormatting sqref="Z350">
    <cfRule type="containsText" dxfId="0" priority="2620" operator="between" text="欠">
      <formula>NOT(ISERROR(SEARCH("欠",Z350)))</formula>
    </cfRule>
  </conditionalFormatting>
  <conditionalFormatting sqref="AC350:AD350">
    <cfRule type="containsText" dxfId="0" priority="2615" operator="between" text="欠">
      <formula>NOT(ISERROR(SEARCH("欠",AC350)))</formula>
    </cfRule>
  </conditionalFormatting>
  <conditionalFormatting sqref="AG350">
    <cfRule type="containsText" dxfId="0" priority="2600" operator="between" text="欠">
      <formula>NOT(ISERROR(SEARCH("欠",AG350)))</formula>
    </cfRule>
  </conditionalFormatting>
  <conditionalFormatting sqref="AH350">
    <cfRule type="containsText" dxfId="0" priority="2614" operator="between" text="欠">
      <formula>NOT(ISERROR(SEARCH("欠",AH350)))</formula>
    </cfRule>
  </conditionalFormatting>
  <conditionalFormatting sqref="AI350">
    <cfRule type="containsText" dxfId="0" priority="2613" operator="between" text="欠">
      <formula>NOT(ISERROR(SEARCH("欠",AI350)))</formula>
    </cfRule>
  </conditionalFormatting>
  <conditionalFormatting sqref="B351">
    <cfRule type="containsText" dxfId="1" priority="2606" operator="between" text="异常">
      <formula>NOT(ISERROR(SEARCH("异常",B351)))</formula>
    </cfRule>
  </conditionalFormatting>
  <conditionalFormatting sqref="C351">
    <cfRule type="containsText" dxfId="2" priority="2607" operator="between" text="二代">
      <formula>NOT(ISERROR(SEARCH("二代",C351)))</formula>
    </cfRule>
    <cfRule type="containsText" dxfId="3" priority="2608" operator="between" text="蛋糕">
      <formula>NOT(ISERROR(SEARCH("蛋糕",C351)))</formula>
    </cfRule>
  </conditionalFormatting>
  <conditionalFormatting sqref="Y351">
    <cfRule type="containsText" dxfId="0" priority="2602" operator="between" text="欠">
      <formula>NOT(ISERROR(SEARCH("欠",Y351)))</formula>
    </cfRule>
  </conditionalFormatting>
  <conditionalFormatting sqref="Z351">
    <cfRule type="containsText" dxfId="0" priority="2609" operator="between" text="欠">
      <formula>NOT(ISERROR(SEARCH("欠",Z351)))</formula>
    </cfRule>
  </conditionalFormatting>
  <conditionalFormatting sqref="AC351:AD351">
    <cfRule type="containsText" dxfId="0" priority="2605" operator="between" text="欠">
      <formula>NOT(ISERROR(SEARCH("欠",AC351)))</formula>
    </cfRule>
  </conditionalFormatting>
  <conditionalFormatting sqref="AG351">
    <cfRule type="containsText" dxfId="0" priority="2601" operator="between" text="欠">
      <formula>NOT(ISERROR(SEARCH("欠",AG351)))</formula>
    </cfRule>
  </conditionalFormatting>
  <conditionalFormatting sqref="AH351">
    <cfRule type="containsText" dxfId="0" priority="2604" operator="between" text="欠">
      <formula>NOT(ISERROR(SEARCH("欠",AH351)))</formula>
    </cfRule>
  </conditionalFormatting>
  <conditionalFormatting sqref="AI351">
    <cfRule type="containsText" dxfId="0" priority="2603" operator="between" text="欠">
      <formula>NOT(ISERROR(SEARCH("欠",AI351)))</formula>
    </cfRule>
  </conditionalFormatting>
  <conditionalFormatting sqref="X352">
    <cfRule type="containsText" dxfId="0" priority="2574" operator="between" text="欠">
      <formula>NOT(ISERROR(SEARCH("欠",X352)))</formula>
    </cfRule>
  </conditionalFormatting>
  <conditionalFormatting sqref="AB352">
    <cfRule type="containsText" dxfId="0" priority="2573" operator="between" text="欠">
      <formula>NOT(ISERROR(SEARCH("欠",AB352)))</formula>
    </cfRule>
  </conditionalFormatting>
  <conditionalFormatting sqref="AC352">
    <cfRule type="containsText" dxfId="0" priority="2572" operator="between" text="欠">
      <formula>NOT(ISERROR(SEARCH("欠",AC352)))</formula>
    </cfRule>
  </conditionalFormatting>
  <conditionalFormatting sqref="AD352">
    <cfRule type="containsText" dxfId="0" priority="2559" operator="between" text="欠">
      <formula>NOT(ISERROR(SEARCH("欠",AD352)))</formula>
    </cfRule>
  </conditionalFormatting>
  <conditionalFormatting sqref="AH352">
    <cfRule type="containsText" dxfId="0" priority="2571" operator="between" text="欠">
      <formula>NOT(ISERROR(SEARCH("欠",AH352)))</formula>
    </cfRule>
  </conditionalFormatting>
  <conditionalFormatting sqref="AB353">
    <cfRule type="containsText" dxfId="0" priority="2580" operator="between" text="欠">
      <formula>NOT(ISERROR(SEARCH("欠",AB353)))</formula>
    </cfRule>
  </conditionalFormatting>
  <conditionalFormatting sqref="AC353">
    <cfRule type="containsText" dxfId="0" priority="2578" operator="between" text="欠">
      <formula>NOT(ISERROR(SEARCH("欠",AC353)))</formula>
    </cfRule>
  </conditionalFormatting>
  <conditionalFormatting sqref="AD353">
    <cfRule type="containsText" dxfId="0" priority="2560" operator="between" text="欠">
      <formula>NOT(ISERROR(SEARCH("欠",AD353)))</formula>
    </cfRule>
  </conditionalFormatting>
  <conditionalFormatting sqref="AH353">
    <cfRule type="containsText" dxfId="0" priority="2576" operator="between" text="欠">
      <formula>NOT(ISERROR(SEARCH("欠",AH353)))</formula>
    </cfRule>
  </conditionalFormatting>
  <conditionalFormatting sqref="AI353">
    <cfRule type="containsText" dxfId="0" priority="2592" operator="between" text="欠">
      <formula>NOT(ISERROR(SEARCH("欠",AI353)))</formula>
    </cfRule>
  </conditionalFormatting>
  <conditionalFormatting sqref="AB354">
    <cfRule type="containsText" dxfId="0" priority="2579" operator="between" text="欠">
      <formula>NOT(ISERROR(SEARCH("欠",AB354)))</formula>
    </cfRule>
  </conditionalFormatting>
  <conditionalFormatting sqref="AH354">
    <cfRule type="containsText" dxfId="0" priority="2575" operator="between" text="欠">
      <formula>NOT(ISERROR(SEARCH("欠",AH354)))</formula>
    </cfRule>
  </conditionalFormatting>
  <conditionalFormatting sqref="AB355">
    <cfRule type="containsText" dxfId="0" priority="2591" operator="between" text="欠">
      <formula>NOT(ISERROR(SEARCH("欠",AB355)))</formula>
    </cfRule>
  </conditionalFormatting>
  <conditionalFormatting sqref="AC355">
    <cfRule type="containsText" dxfId="0" priority="2583" operator="between" text="欠">
      <formula>NOT(ISERROR(SEARCH("欠",AC355)))</formula>
    </cfRule>
  </conditionalFormatting>
  <conditionalFormatting sqref="AH355">
    <cfRule type="containsText" dxfId="0" priority="2582" operator="between" text="欠">
      <formula>NOT(ISERROR(SEARCH("欠",AH355)))</formula>
    </cfRule>
  </conditionalFormatting>
  <conditionalFormatting sqref="AA356:AB356">
    <cfRule type="containsText" dxfId="0" priority="2588" operator="between" text="欠">
      <formula>NOT(ISERROR(SEARCH("欠",AA356)))</formula>
    </cfRule>
  </conditionalFormatting>
  <conditionalFormatting sqref="AC356:AD356">
    <cfRule type="containsText" dxfId="0" priority="2570" operator="between" text="欠">
      <formula>NOT(ISERROR(SEARCH("欠",AC356)))</formula>
    </cfRule>
  </conditionalFormatting>
  <conditionalFormatting sqref="AE356">
    <cfRule type="containsText" dxfId="0" priority="2569" operator="between" text="欠">
      <formula>NOT(ISERROR(SEARCH("欠",AE356)))</formula>
    </cfRule>
  </conditionalFormatting>
  <conditionalFormatting sqref="AG356">
    <cfRule type="containsText" dxfId="0" priority="2567" operator="between" text="欠">
      <formula>NOT(ISERROR(SEARCH("欠",AG356)))</formula>
    </cfRule>
  </conditionalFormatting>
  <conditionalFormatting sqref="AH356">
    <cfRule type="containsText" dxfId="0" priority="2594" operator="between" text="欠">
      <formula>NOT(ISERROR(SEARCH("欠",AH356)))</formula>
    </cfRule>
  </conditionalFormatting>
  <conditionalFormatting sqref="AJ356">
    <cfRule type="containsText" dxfId="0" priority="2555" operator="between" text="欠">
      <formula>NOT(ISERROR(SEARCH("欠",AJ356)))</formula>
    </cfRule>
  </conditionalFormatting>
  <conditionalFormatting sqref="AI357">
    <cfRule type="containsText" dxfId="0" priority="2553" operator="between" text="欠">
      <formula>NOT(ISERROR(SEARCH("欠",AI357)))</formula>
    </cfRule>
  </conditionalFormatting>
  <conditionalFormatting sqref="AL358">
    <cfRule type="containsText" dxfId="0" priority="2551" operator="between" text="欠">
      <formula>NOT(ISERROR(SEARCH("欠",AL358)))</formula>
    </cfRule>
  </conditionalFormatting>
  <conditionalFormatting sqref="AI360">
    <cfRule type="containsText" dxfId="0" priority="2597" operator="between" text="欠">
      <formula>NOT(ISERROR(SEARCH("欠",AI360)))</formula>
    </cfRule>
  </conditionalFormatting>
  <conditionalFormatting sqref="AC363">
    <cfRule type="containsText" dxfId="0" priority="2547" operator="between" text="欠">
      <formula>NOT(ISERROR(SEARCH("欠",AC363)))</formula>
    </cfRule>
  </conditionalFormatting>
  <conditionalFormatting sqref="AD363">
    <cfRule type="containsText" dxfId="0" priority="2548" operator="between" text="欠">
      <formula>NOT(ISERROR(SEARCH("欠",AD363)))</formula>
    </cfRule>
  </conditionalFormatting>
  <conditionalFormatting sqref="AF363">
    <cfRule type="containsText" dxfId="0" priority="2557" operator="between" text="欠">
      <formula>NOT(ISERROR(SEARCH("欠",AF363)))</formula>
    </cfRule>
  </conditionalFormatting>
  <conditionalFormatting sqref="AL363">
    <cfRule type="containsText" dxfId="0" priority="2556" operator="between" text="欠">
      <formula>NOT(ISERROR(SEARCH("欠",AL363)))</formula>
    </cfRule>
  </conditionalFormatting>
  <conditionalFormatting sqref="AD365">
    <cfRule type="containsText" dxfId="0" priority="2554" operator="between" text="欠">
      <formula>NOT(ISERROR(SEARCH("欠",AD365)))</formula>
    </cfRule>
  </conditionalFormatting>
  <conditionalFormatting sqref="AI365">
    <cfRule type="containsText" dxfId="0" priority="2558" operator="between" text="欠">
      <formula>NOT(ISERROR(SEARCH("欠",AI365)))</formula>
    </cfRule>
  </conditionalFormatting>
  <conditionalFormatting sqref="B366">
    <cfRule type="containsText" dxfId="1" priority="2533" operator="between" text="异常">
      <formula>NOT(ISERROR(SEARCH("异常",B366)))</formula>
    </cfRule>
  </conditionalFormatting>
  <conditionalFormatting sqref="C366">
    <cfRule type="containsText" dxfId="2" priority="2531" operator="between" text="二代">
      <formula>NOT(ISERROR(SEARCH("二代",C366)))</formula>
    </cfRule>
    <cfRule type="containsText" dxfId="3" priority="2532" operator="between" text="蛋糕">
      <formula>NOT(ISERROR(SEARCH("蛋糕",C366)))</formula>
    </cfRule>
  </conditionalFormatting>
  <conditionalFormatting sqref="X366">
    <cfRule type="containsText" dxfId="0" priority="2543" operator="between" text="欠">
      <formula>NOT(ISERROR(SEARCH("欠",X366)))</formula>
    </cfRule>
  </conditionalFormatting>
  <conditionalFormatting sqref="Y366">
    <cfRule type="containsText" dxfId="0" priority="2545" operator="between" text="欠">
      <formula>NOT(ISERROR(SEARCH("欠",Y366)))</formula>
    </cfRule>
  </conditionalFormatting>
  <conditionalFormatting sqref="Z366">
    <cfRule type="containsText" dxfId="0" priority="2536" operator="between" text="欠">
      <formula>NOT(ISERROR(SEARCH("欠",Z366)))</formula>
    </cfRule>
  </conditionalFormatting>
  <conditionalFormatting sqref="AA366">
    <cfRule type="containsText" dxfId="0" priority="2535" operator="between" text="欠">
      <formula>NOT(ISERROR(SEARCH("欠",AA366)))</formula>
    </cfRule>
  </conditionalFormatting>
  <conditionalFormatting sqref="AB366">
    <cfRule type="containsText" dxfId="0" priority="2544" operator="between" text="欠">
      <formula>NOT(ISERROR(SEARCH("欠",AB366)))</formula>
    </cfRule>
  </conditionalFormatting>
  <conditionalFormatting sqref="AC366">
    <cfRule type="containsText" dxfId="0" priority="2540" operator="between" text="欠">
      <formula>NOT(ISERROR(SEARCH("欠",AC366)))</formula>
    </cfRule>
  </conditionalFormatting>
  <conditionalFormatting sqref="AD366">
    <cfRule type="containsText" dxfId="0" priority="2539" operator="between" text="欠">
      <formula>NOT(ISERROR(SEARCH("欠",AD366)))</formula>
    </cfRule>
  </conditionalFormatting>
  <conditionalFormatting sqref="AE366">
    <cfRule type="containsText" dxfId="0" priority="2538" operator="between" text="欠">
      <formula>NOT(ISERROR(SEARCH("欠",AE366)))</formula>
    </cfRule>
  </conditionalFormatting>
  <conditionalFormatting sqref="AF366">
    <cfRule type="containsText" dxfId="0" priority="2546" operator="between" text="欠">
      <formula>NOT(ISERROR(SEARCH("欠",AF366)))</formula>
    </cfRule>
  </conditionalFormatting>
  <conditionalFormatting sqref="AG366">
    <cfRule type="containsText" dxfId="0" priority="2541" operator="between" text="欠">
      <formula>NOT(ISERROR(SEARCH("欠",AG366)))</formula>
    </cfRule>
  </conditionalFormatting>
  <conditionalFormatting sqref="AH366">
    <cfRule type="containsText" dxfId="0" priority="2537" operator="between" text="欠">
      <formula>NOT(ISERROR(SEARCH("欠",AH366)))</formula>
    </cfRule>
  </conditionalFormatting>
  <conditionalFormatting sqref="AI366">
    <cfRule type="containsText" dxfId="0" priority="2542" operator="between" text="欠">
      <formula>NOT(ISERROR(SEARCH("欠",AI366)))</formula>
    </cfRule>
  </conditionalFormatting>
  <conditionalFormatting sqref="AK366">
    <cfRule type="containsText" dxfId="0" priority="2534" operator="between" text="欠">
      <formula>NOT(ISERROR(SEARCH("欠",AK366)))</formula>
    </cfRule>
  </conditionalFormatting>
  <conditionalFormatting sqref="B367">
    <cfRule type="containsText" dxfId="1" priority="2519" operator="between" text="异常">
      <formula>NOT(ISERROR(SEARCH("异常",B367)))</formula>
    </cfRule>
  </conditionalFormatting>
  <conditionalFormatting sqref="C367">
    <cfRule type="containsText" dxfId="2" priority="2517" operator="between" text="二代">
      <formula>NOT(ISERROR(SEARCH("二代",C367)))</formula>
    </cfRule>
    <cfRule type="containsText" dxfId="3" priority="2518" operator="between" text="蛋糕">
      <formula>NOT(ISERROR(SEARCH("蛋糕",C367)))</formula>
    </cfRule>
  </conditionalFormatting>
  <conditionalFormatting sqref="X367">
    <cfRule type="containsText" dxfId="0" priority="2525" operator="between" text="欠">
      <formula>NOT(ISERROR(SEARCH("欠",X367)))</formula>
    </cfRule>
  </conditionalFormatting>
  <conditionalFormatting sqref="Y367">
    <cfRule type="containsText" dxfId="0" priority="2524" operator="between" text="欠">
      <formula>NOT(ISERROR(SEARCH("欠",Y367)))</formula>
    </cfRule>
  </conditionalFormatting>
  <conditionalFormatting sqref="Z367">
    <cfRule type="containsText" dxfId="0" priority="2530" operator="between" text="欠">
      <formula>NOT(ISERROR(SEARCH("欠",Z367)))</formula>
    </cfRule>
  </conditionalFormatting>
  <conditionalFormatting sqref="AA367:AB367">
    <cfRule type="containsText" dxfId="0" priority="2521" operator="between" text="欠">
      <formula>NOT(ISERROR(SEARCH("欠",AA367)))</formula>
    </cfRule>
  </conditionalFormatting>
  <conditionalFormatting sqref="AC367">
    <cfRule type="containsText" dxfId="0" priority="2523" operator="between" text="欠">
      <formula>NOT(ISERROR(SEARCH("欠",AC367)))</formula>
    </cfRule>
  </conditionalFormatting>
  <conditionalFormatting sqref="AD367">
    <cfRule type="containsText" dxfId="0" priority="2522" operator="between" text="欠">
      <formula>NOT(ISERROR(SEARCH("欠",AD367)))</formula>
    </cfRule>
  </conditionalFormatting>
  <conditionalFormatting sqref="AE367">
    <cfRule type="containsText" dxfId="0" priority="2527" operator="between" text="欠">
      <formula>NOT(ISERROR(SEARCH("欠",AE367)))</formula>
    </cfRule>
  </conditionalFormatting>
  <conditionalFormatting sqref="AF367">
    <cfRule type="containsText" dxfId="0" priority="2528" operator="between" text="欠">
      <formula>NOT(ISERROR(SEARCH("欠",AF367)))</formula>
    </cfRule>
  </conditionalFormatting>
  <conditionalFormatting sqref="AG367">
    <cfRule type="containsText" dxfId="0" priority="2526" operator="between" text="欠">
      <formula>NOT(ISERROR(SEARCH("欠",AG367)))</formula>
    </cfRule>
  </conditionalFormatting>
  <conditionalFormatting sqref="AH367:AI367">
    <cfRule type="containsText" dxfId="0" priority="2529" operator="between" text="欠">
      <formula>NOT(ISERROR(SEARCH("欠",AH367)))</formula>
    </cfRule>
  </conditionalFormatting>
  <conditionalFormatting sqref="AK367">
    <cfRule type="containsText" dxfId="0" priority="2520" operator="between" text="欠">
      <formula>NOT(ISERROR(SEARCH("欠",AK367)))</formula>
    </cfRule>
  </conditionalFormatting>
  <conditionalFormatting sqref="B368">
    <cfRule type="containsText" dxfId="1" priority="2491" operator="between" text="异常">
      <formula>NOT(ISERROR(SEARCH("异常",B368)))</formula>
    </cfRule>
  </conditionalFormatting>
  <conditionalFormatting sqref="C368">
    <cfRule type="containsText" dxfId="2" priority="2489" operator="between" text="二代">
      <formula>NOT(ISERROR(SEARCH("二代",C368)))</formula>
    </cfRule>
    <cfRule type="containsText" dxfId="3" priority="2490" operator="between" text="蛋糕">
      <formula>NOT(ISERROR(SEARCH("蛋糕",C368)))</formula>
    </cfRule>
  </conditionalFormatting>
  <conditionalFormatting sqref="X368">
    <cfRule type="containsText" dxfId="0" priority="2501" operator="between" text="欠">
      <formula>NOT(ISERROR(SEARCH("欠",X368)))</formula>
    </cfRule>
  </conditionalFormatting>
  <conditionalFormatting sqref="Y368">
    <cfRule type="containsText" dxfId="0" priority="2493" operator="between" text="欠">
      <formula>NOT(ISERROR(SEARCH("欠",Y368)))</formula>
    </cfRule>
  </conditionalFormatting>
  <conditionalFormatting sqref="Z368">
    <cfRule type="containsText" dxfId="0" priority="2500" operator="between" text="欠">
      <formula>NOT(ISERROR(SEARCH("欠",Z368)))</formula>
    </cfRule>
  </conditionalFormatting>
  <conditionalFormatting sqref="AA368:AB368">
    <cfRule type="containsText" dxfId="0" priority="2496" operator="between" text="欠">
      <formula>NOT(ISERROR(SEARCH("欠",AA368)))</formula>
    </cfRule>
  </conditionalFormatting>
  <conditionalFormatting sqref="AC368:AD368">
    <cfRule type="containsText" dxfId="0" priority="2497" operator="between" text="欠">
      <formula>NOT(ISERROR(SEARCH("欠",AC368)))</formula>
    </cfRule>
  </conditionalFormatting>
  <conditionalFormatting sqref="AE368">
    <cfRule type="containsText" dxfId="0" priority="2495" operator="between" text="欠">
      <formula>NOT(ISERROR(SEARCH("欠",AE368)))</formula>
    </cfRule>
  </conditionalFormatting>
  <conditionalFormatting sqref="AF368">
    <cfRule type="containsText" dxfId="0" priority="2499" operator="between" text="欠">
      <formula>NOT(ISERROR(SEARCH("欠",AF368)))</formula>
    </cfRule>
  </conditionalFormatting>
  <conditionalFormatting sqref="AG368">
    <cfRule type="containsText" dxfId="0" priority="2494" operator="between" text="欠">
      <formula>NOT(ISERROR(SEARCH("欠",AG368)))</formula>
    </cfRule>
  </conditionalFormatting>
  <conditionalFormatting sqref="AH368:AI368">
    <cfRule type="containsText" dxfId="0" priority="2498" operator="between" text="欠">
      <formula>NOT(ISERROR(SEARCH("欠",AH368)))</formula>
    </cfRule>
  </conditionalFormatting>
  <conditionalFormatting sqref="AK368">
    <cfRule type="containsText" dxfId="0" priority="2492" operator="between" text="欠">
      <formula>NOT(ISERROR(SEARCH("欠",AK368)))</formula>
    </cfRule>
  </conditionalFormatting>
  <conditionalFormatting sqref="B369">
    <cfRule type="containsText" dxfId="1" priority="2477" operator="between" text="异常">
      <formula>NOT(ISERROR(SEARCH("异常",B369)))</formula>
    </cfRule>
  </conditionalFormatting>
  <conditionalFormatting sqref="C369">
    <cfRule type="containsText" dxfId="2" priority="2475" operator="between" text="二代">
      <formula>NOT(ISERROR(SEARCH("二代",C369)))</formula>
    </cfRule>
    <cfRule type="containsText" dxfId="3" priority="2476" operator="between" text="蛋糕">
      <formula>NOT(ISERROR(SEARCH("蛋糕",C369)))</formula>
    </cfRule>
  </conditionalFormatting>
  <conditionalFormatting sqref="X369">
    <cfRule type="containsText" dxfId="0" priority="2484" operator="between" text="欠">
      <formula>NOT(ISERROR(SEARCH("欠",X369)))</formula>
    </cfRule>
  </conditionalFormatting>
  <conditionalFormatting sqref="Y369">
    <cfRule type="containsText" dxfId="0" priority="2482" operator="between" text="欠">
      <formula>NOT(ISERROR(SEARCH("欠",Y369)))</formula>
    </cfRule>
  </conditionalFormatting>
  <conditionalFormatting sqref="Z369">
    <cfRule type="containsText" dxfId="0" priority="2488" operator="between" text="欠">
      <formula>NOT(ISERROR(SEARCH("欠",Z369)))</formula>
    </cfRule>
  </conditionalFormatting>
  <conditionalFormatting sqref="AA369">
    <cfRule type="containsText" dxfId="0" priority="2487" operator="between" text="欠">
      <formula>NOT(ISERROR(SEARCH("欠",AA369)))</formula>
    </cfRule>
  </conditionalFormatting>
  <conditionalFormatting sqref="AB369">
    <cfRule type="containsText" dxfId="0" priority="2483" operator="between" text="欠">
      <formula>NOT(ISERROR(SEARCH("欠",AB369)))</formula>
    </cfRule>
  </conditionalFormatting>
  <conditionalFormatting sqref="AC369:AD369">
    <cfRule type="containsText" dxfId="0" priority="2478" operator="between" text="欠">
      <formula>NOT(ISERROR(SEARCH("欠",AC369)))</formula>
    </cfRule>
  </conditionalFormatting>
  <conditionalFormatting sqref="AE369">
    <cfRule type="containsText" dxfId="0" priority="2481" operator="between" text="欠">
      <formula>NOT(ISERROR(SEARCH("欠",AE369)))</formula>
    </cfRule>
  </conditionalFormatting>
  <conditionalFormatting sqref="AF369">
    <cfRule type="containsText" dxfId="0" priority="2485" operator="between" text="欠">
      <formula>NOT(ISERROR(SEARCH("欠",AF369)))</formula>
    </cfRule>
  </conditionalFormatting>
  <conditionalFormatting sqref="AG369">
    <cfRule type="containsText" dxfId="0" priority="2480" operator="between" text="欠">
      <formula>NOT(ISERROR(SEARCH("欠",AG369)))</formula>
    </cfRule>
  </conditionalFormatting>
  <conditionalFormatting sqref="AH369">
    <cfRule type="containsText" dxfId="0" priority="2479" operator="between" text="欠">
      <formula>NOT(ISERROR(SEARCH("欠",AH369)))</formula>
    </cfRule>
  </conditionalFormatting>
  <conditionalFormatting sqref="AI369">
    <cfRule type="containsText" dxfId="0" priority="2486" operator="between" text="欠">
      <formula>NOT(ISERROR(SEARCH("欠",AI369)))</formula>
    </cfRule>
  </conditionalFormatting>
  <conditionalFormatting sqref="B370">
    <cfRule type="containsText" dxfId="1" priority="2462" operator="between" text="异常">
      <formula>NOT(ISERROR(SEARCH("异常",B370)))</formula>
    </cfRule>
  </conditionalFormatting>
  <conditionalFormatting sqref="C370">
    <cfRule type="containsText" dxfId="2" priority="2460" operator="between" text="二代">
      <formula>NOT(ISERROR(SEARCH("二代",C370)))</formula>
    </cfRule>
    <cfRule type="containsText" dxfId="3" priority="2461" operator="between" text="蛋糕">
      <formula>NOT(ISERROR(SEARCH("蛋糕",C370)))</formula>
    </cfRule>
  </conditionalFormatting>
  <conditionalFormatting sqref="X370">
    <cfRule type="containsText" dxfId="0" priority="2471" operator="between" text="欠">
      <formula>NOT(ISERROR(SEARCH("欠",X370)))</formula>
    </cfRule>
  </conditionalFormatting>
  <conditionalFormatting sqref="Y370">
    <cfRule type="containsText" dxfId="0" priority="2473" operator="between" text="欠">
      <formula>NOT(ISERROR(SEARCH("欠",Y370)))</formula>
    </cfRule>
  </conditionalFormatting>
  <conditionalFormatting sqref="Z370">
    <cfRule type="containsText" dxfId="0" priority="2465" operator="between" text="欠">
      <formula>NOT(ISERROR(SEARCH("欠",Z370)))</formula>
    </cfRule>
  </conditionalFormatting>
  <conditionalFormatting sqref="AA370">
    <cfRule type="containsText" dxfId="0" priority="2464" operator="between" text="欠">
      <formula>NOT(ISERROR(SEARCH("欠",AA370)))</formula>
    </cfRule>
  </conditionalFormatting>
  <conditionalFormatting sqref="AB370">
    <cfRule type="containsText" dxfId="0" priority="2472" operator="between" text="欠">
      <formula>NOT(ISERROR(SEARCH("欠",AB370)))</formula>
    </cfRule>
  </conditionalFormatting>
  <conditionalFormatting sqref="AC370:AD370">
    <cfRule type="containsText" dxfId="0" priority="2468" operator="between" text="欠">
      <formula>NOT(ISERROR(SEARCH("欠",AC370)))</formula>
    </cfRule>
  </conditionalFormatting>
  <conditionalFormatting sqref="AE370">
    <cfRule type="containsText" dxfId="0" priority="2466" operator="between" text="欠">
      <formula>NOT(ISERROR(SEARCH("欠",AE370)))</formula>
    </cfRule>
  </conditionalFormatting>
  <conditionalFormatting sqref="AF370">
    <cfRule type="containsText" dxfId="0" priority="2474" operator="between" text="欠">
      <formula>NOT(ISERROR(SEARCH("欠",AF370)))</formula>
    </cfRule>
  </conditionalFormatting>
  <conditionalFormatting sqref="AG370">
    <cfRule type="containsText" dxfId="0" priority="2469" operator="between" text="欠">
      <formula>NOT(ISERROR(SEARCH("欠",AG370)))</formula>
    </cfRule>
  </conditionalFormatting>
  <conditionalFormatting sqref="AH370">
    <cfRule type="containsText" dxfId="0" priority="2467" operator="between" text="欠">
      <formula>NOT(ISERROR(SEARCH("欠",AH370)))</formula>
    </cfRule>
  </conditionalFormatting>
  <conditionalFormatting sqref="AI370">
    <cfRule type="containsText" dxfId="0" priority="2470" operator="between" text="欠">
      <formula>NOT(ISERROR(SEARCH("欠",AI370)))</formula>
    </cfRule>
  </conditionalFormatting>
  <conditionalFormatting sqref="AK370">
    <cfRule type="containsText" dxfId="0" priority="2463" operator="between" text="欠">
      <formula>NOT(ISERROR(SEARCH("欠",AK370)))</formula>
    </cfRule>
  </conditionalFormatting>
  <conditionalFormatting sqref="B371">
    <cfRule type="containsText" dxfId="1" priority="2436" operator="between" text="异常">
      <formula>NOT(ISERROR(SEARCH("异常",B371)))</formula>
    </cfRule>
  </conditionalFormatting>
  <conditionalFormatting sqref="C371">
    <cfRule type="containsText" dxfId="2" priority="2434" operator="between" text="二代">
      <formula>NOT(ISERROR(SEARCH("二代",C371)))</formula>
    </cfRule>
    <cfRule type="containsText" dxfId="3" priority="2435" operator="between" text="蛋糕">
      <formula>NOT(ISERROR(SEARCH("蛋糕",C371)))</formula>
    </cfRule>
  </conditionalFormatting>
  <conditionalFormatting sqref="X371">
    <cfRule type="containsText" dxfId="0" priority="2446" operator="between" text="欠">
      <formula>NOT(ISERROR(SEARCH("欠",X371)))</formula>
    </cfRule>
  </conditionalFormatting>
  <conditionalFormatting sqref="Y371">
    <cfRule type="containsText" dxfId="0" priority="2445" operator="between" text="欠">
      <formula>NOT(ISERROR(SEARCH("欠",Y371)))</formula>
    </cfRule>
  </conditionalFormatting>
  <conditionalFormatting sqref="Z371">
    <cfRule type="containsText" dxfId="0" priority="2448" operator="between" text="欠">
      <formula>NOT(ISERROR(SEARCH("欠",Z371)))</formula>
    </cfRule>
  </conditionalFormatting>
  <conditionalFormatting sqref="AA371:AB371">
    <cfRule type="containsText" dxfId="0" priority="2444" operator="between" text="欠">
      <formula>NOT(ISERROR(SEARCH("欠",AA371)))</formula>
    </cfRule>
  </conditionalFormatting>
  <conditionalFormatting sqref="AC371:AD371">
    <cfRule type="containsText" dxfId="0" priority="2443" operator="between" text="欠">
      <formula>NOT(ISERROR(SEARCH("欠",AC371)))</formula>
    </cfRule>
  </conditionalFormatting>
  <conditionalFormatting sqref="AE371">
    <cfRule type="containsText" dxfId="0" priority="2440" operator="between" text="欠">
      <formula>NOT(ISERROR(SEARCH("欠",AE371)))</formula>
    </cfRule>
  </conditionalFormatting>
  <conditionalFormatting sqref="AF371">
    <cfRule type="containsText" dxfId="0" priority="2441" operator="between" text="欠">
      <formula>NOT(ISERROR(SEARCH("欠",AF371)))</formula>
    </cfRule>
  </conditionalFormatting>
  <conditionalFormatting sqref="AG371">
    <cfRule type="containsText" dxfId="0" priority="2439" operator="between" text="欠">
      <formula>NOT(ISERROR(SEARCH("欠",AG371)))</formula>
    </cfRule>
  </conditionalFormatting>
  <conditionalFormatting sqref="AH371">
    <cfRule type="containsText" dxfId="0" priority="2442" operator="between" text="欠">
      <formula>NOT(ISERROR(SEARCH("欠",AH371)))</formula>
    </cfRule>
  </conditionalFormatting>
  <conditionalFormatting sqref="AI371">
    <cfRule type="containsText" dxfId="0" priority="2447" operator="between" text="欠">
      <formula>NOT(ISERROR(SEARCH("欠",AI371)))</formula>
    </cfRule>
  </conditionalFormatting>
  <conditionalFormatting sqref="AK371">
    <cfRule type="containsText" dxfId="0" priority="2438" operator="between" text="欠">
      <formula>NOT(ISERROR(SEARCH("欠",AK371)))</formula>
    </cfRule>
  </conditionalFormatting>
  <conditionalFormatting sqref="AL371">
    <cfRule type="containsText" dxfId="0" priority="2437" operator="between" text="欠">
      <formula>NOT(ISERROR(SEARCH("欠",AL371)))</formula>
    </cfRule>
  </conditionalFormatting>
  <conditionalFormatting sqref="X372">
    <cfRule type="containsText" dxfId="0" priority="2426" operator="between" text="欠">
      <formula>NOT(ISERROR(SEARCH("欠",X372)))</formula>
    </cfRule>
  </conditionalFormatting>
  <conditionalFormatting sqref="Y372">
    <cfRule type="containsText" dxfId="0" priority="2428" operator="between" text="欠">
      <formula>NOT(ISERROR(SEARCH("欠",Y372)))</formula>
    </cfRule>
  </conditionalFormatting>
  <conditionalFormatting sqref="AA372:AB372">
    <cfRule type="containsText" dxfId="0" priority="2420" operator="between" text="欠">
      <formula>NOT(ISERROR(SEARCH("欠",AA372)))</formula>
    </cfRule>
  </conditionalFormatting>
  <conditionalFormatting sqref="AC372:AD372">
    <cfRule type="containsText" dxfId="0" priority="2408" operator="between" text="欠">
      <formula>NOT(ISERROR(SEARCH("欠",AC372)))</formula>
    </cfRule>
  </conditionalFormatting>
  <conditionalFormatting sqref="AF372">
    <cfRule type="containsText" dxfId="0" priority="2423" operator="between" text="欠">
      <formula>NOT(ISERROR(SEARCH("欠",AF372)))</formula>
    </cfRule>
  </conditionalFormatting>
  <conditionalFormatting sqref="AH372">
    <cfRule type="containsText" dxfId="0" priority="2424" operator="between" text="欠">
      <formula>NOT(ISERROR(SEARCH("欠",AH372)))</formula>
    </cfRule>
  </conditionalFormatting>
  <conditionalFormatting sqref="AI372">
    <cfRule type="containsText" dxfId="0" priority="2419" operator="between" text="欠">
      <formula>NOT(ISERROR(SEARCH("欠",AI372)))</formula>
    </cfRule>
  </conditionalFormatting>
  <conditionalFormatting sqref="X373:Y373">
    <cfRule type="containsText" dxfId="0" priority="2430" operator="between" text="欠">
      <formula>NOT(ISERROR(SEARCH("欠",X373)))</formula>
    </cfRule>
  </conditionalFormatting>
  <conditionalFormatting sqref="AC373">
    <cfRule type="containsText" dxfId="0" priority="2417" operator="between" text="欠">
      <formula>NOT(ISERROR(SEARCH("欠",AC373)))</formula>
    </cfRule>
  </conditionalFormatting>
  <conditionalFormatting sqref="AD373">
    <cfRule type="containsText" dxfId="0" priority="2425" operator="between" text="欠">
      <formula>NOT(ISERROR(SEARCH("欠",AD373)))</formula>
    </cfRule>
  </conditionalFormatting>
  <conditionalFormatting sqref="AF373">
    <cfRule type="containsText" dxfId="0" priority="2431" operator="between" text="欠">
      <formula>NOT(ISERROR(SEARCH("欠",AF373)))</formula>
    </cfRule>
  </conditionalFormatting>
  <conditionalFormatting sqref="AH373">
    <cfRule type="containsText" dxfId="0" priority="2416" operator="between" text="欠">
      <formula>NOT(ISERROR(SEARCH("欠",AH373)))</formula>
    </cfRule>
  </conditionalFormatting>
  <conditionalFormatting sqref="AI373">
    <cfRule type="containsText" dxfId="0" priority="2432" operator="between" text="欠">
      <formula>NOT(ISERROR(SEARCH("欠",AI373)))</formula>
    </cfRule>
  </conditionalFormatting>
  <conditionalFormatting sqref="X374">
    <cfRule type="containsText" dxfId="0" priority="2409" operator="between" text="欠">
      <formula>NOT(ISERROR(SEARCH("欠",X374)))</formula>
    </cfRule>
  </conditionalFormatting>
  <conditionalFormatting sqref="Y374">
    <cfRule type="containsText" dxfId="0" priority="2415" operator="between" text="欠">
      <formula>NOT(ISERROR(SEARCH("欠",Y374)))</formula>
    </cfRule>
  </conditionalFormatting>
  <conditionalFormatting sqref="AA374">
    <cfRule type="containsText" dxfId="0" priority="2418" operator="between" text="欠">
      <formula>NOT(ISERROR(SEARCH("欠",AA374)))</formula>
    </cfRule>
  </conditionalFormatting>
  <conditionalFormatting sqref="AB374">
    <cfRule type="containsText" dxfId="0" priority="2413" operator="between" text="欠">
      <formula>NOT(ISERROR(SEARCH("欠",AB374)))</formula>
    </cfRule>
  </conditionalFormatting>
  <conditionalFormatting sqref="AC374:AD374">
    <cfRule type="containsText" dxfId="0" priority="2412" operator="between" text="欠">
      <formula>NOT(ISERROR(SEARCH("欠",AC374)))</formula>
    </cfRule>
  </conditionalFormatting>
  <conditionalFormatting sqref="AE374">
    <cfRule type="containsText" dxfId="0" priority="2414" operator="between" text="欠">
      <formula>NOT(ISERROR(SEARCH("欠",AE374)))</formula>
    </cfRule>
  </conditionalFormatting>
  <conditionalFormatting sqref="AF374">
    <cfRule type="containsText" dxfId="0" priority="2433" operator="between" text="欠">
      <formula>NOT(ISERROR(SEARCH("欠",AF374)))</formula>
    </cfRule>
  </conditionalFormatting>
  <conditionalFormatting sqref="AG374">
    <cfRule type="containsText" dxfId="0" priority="2410" operator="between" text="欠">
      <formula>NOT(ISERROR(SEARCH("欠",AG374)))</formula>
    </cfRule>
  </conditionalFormatting>
  <conditionalFormatting sqref="AH374">
    <cfRule type="containsText" dxfId="0" priority="2411" operator="between" text="欠">
      <formula>NOT(ISERROR(SEARCH("欠",AH374)))</formula>
    </cfRule>
  </conditionalFormatting>
  <conditionalFormatting sqref="AI374">
    <cfRule type="containsText" dxfId="0" priority="2429" operator="between" text="欠">
      <formula>NOT(ISERROR(SEARCH("欠",AI374)))</formula>
    </cfRule>
  </conditionalFormatting>
  <conditionalFormatting sqref="Y375">
    <cfRule type="containsText" dxfId="0" priority="2367" operator="between" text="欠">
      <formula>NOT(ISERROR(SEARCH("欠",Y375)))</formula>
    </cfRule>
  </conditionalFormatting>
  <conditionalFormatting sqref="AF375">
    <cfRule type="containsText" dxfId="0" priority="2403" operator="between" text="欠">
      <formula>NOT(ISERROR(SEARCH("欠",AF375)))</formula>
    </cfRule>
  </conditionalFormatting>
  <conditionalFormatting sqref="Y376">
    <cfRule type="containsText" dxfId="0" priority="2380" operator="between" text="欠">
      <formula>NOT(ISERROR(SEARCH("欠",Y376)))</formula>
    </cfRule>
  </conditionalFormatting>
  <conditionalFormatting sqref="AF376">
    <cfRule type="containsText" dxfId="0" priority="2398" operator="between" text="欠">
      <formula>NOT(ISERROR(SEARCH("欠",AF376)))</formula>
    </cfRule>
  </conditionalFormatting>
  <conditionalFormatting sqref="AI376">
    <cfRule type="containsText" dxfId="0" priority="2400" operator="between" text="欠">
      <formula>NOT(ISERROR(SEARCH("欠",AI376)))</formula>
    </cfRule>
  </conditionalFormatting>
  <conditionalFormatting sqref="Y377">
    <cfRule type="containsText" dxfId="0" priority="2382" operator="between" text="欠">
      <formula>NOT(ISERROR(SEARCH("欠",Y377)))</formula>
    </cfRule>
  </conditionalFormatting>
  <conditionalFormatting sqref="AA377">
    <cfRule type="containsText" dxfId="0" priority="2387" operator="between" text="欠">
      <formula>NOT(ISERROR(SEARCH("欠",AA377)))</formula>
    </cfRule>
  </conditionalFormatting>
  <conditionalFormatting sqref="AE377">
    <cfRule type="containsText" dxfId="0" priority="2381" operator="between" text="欠">
      <formula>NOT(ISERROR(SEARCH("欠",AE377)))</formula>
    </cfRule>
  </conditionalFormatting>
  <conditionalFormatting sqref="AH377">
    <cfRule type="containsText" dxfId="0" priority="2384" operator="between" text="欠">
      <formula>NOT(ISERROR(SEARCH("欠",AH377)))</formula>
    </cfRule>
  </conditionalFormatting>
  <conditionalFormatting sqref="Z378">
    <cfRule type="containsText" dxfId="0" priority="2402" operator="between" text="欠">
      <formula>NOT(ISERROR(SEARCH("欠",Z378)))</formula>
    </cfRule>
  </conditionalFormatting>
  <conditionalFormatting sqref="AA378:AB378">
    <cfRule type="containsText" dxfId="0" priority="2386" operator="between" text="欠">
      <formula>NOT(ISERROR(SEARCH("欠",AA378)))</formula>
    </cfRule>
  </conditionalFormatting>
  <conditionalFormatting sqref="AB379">
    <cfRule type="containsText" dxfId="0" priority="2377" operator="between" text="欠">
      <formula>NOT(ISERROR(SEARCH("欠",AB379)))</formula>
    </cfRule>
  </conditionalFormatting>
  <conditionalFormatting sqref="X380">
    <cfRule type="containsText" dxfId="0" priority="2372" operator="between" text="欠">
      <formula>NOT(ISERROR(SEARCH("欠",X380)))</formula>
    </cfRule>
  </conditionalFormatting>
  <conditionalFormatting sqref="Y380">
    <cfRule type="containsText" dxfId="0" priority="2375" operator="between" text="欠">
      <formula>NOT(ISERROR(SEARCH("欠",Y380)))</formula>
    </cfRule>
  </conditionalFormatting>
  <conditionalFormatting sqref="AB380">
    <cfRule type="containsText" dxfId="0" priority="2370" operator="between" text="欠">
      <formula>NOT(ISERROR(SEARCH("欠",AB380)))</formula>
    </cfRule>
  </conditionalFormatting>
  <conditionalFormatting sqref="AE380">
    <cfRule type="containsText" dxfId="0" priority="2374" operator="between" text="欠">
      <formula>NOT(ISERROR(SEARCH("欠",AE380)))</formula>
    </cfRule>
  </conditionalFormatting>
  <conditionalFormatting sqref="AG380">
    <cfRule type="containsText" dxfId="0" priority="2373" operator="between" text="欠">
      <formula>NOT(ISERROR(SEARCH("欠",AG380)))</formula>
    </cfRule>
  </conditionalFormatting>
  <conditionalFormatting sqref="AH380">
    <cfRule type="containsText" dxfId="0" priority="2376" operator="between" text="欠">
      <formula>NOT(ISERROR(SEARCH("欠",AH380)))</formula>
    </cfRule>
  </conditionalFormatting>
  <conditionalFormatting sqref="B381">
    <cfRule type="containsText" dxfId="1" priority="2353" operator="between" text="异常">
      <formula>NOT(ISERROR(SEARCH("异常",B381)))</formula>
    </cfRule>
  </conditionalFormatting>
  <conditionalFormatting sqref="C381">
    <cfRule type="containsText" dxfId="2" priority="2351" operator="between" text="二代">
      <formula>NOT(ISERROR(SEARCH("二代",C381)))</formula>
    </cfRule>
    <cfRule type="containsText" dxfId="3" priority="2352" operator="between" text="蛋糕">
      <formula>NOT(ISERROR(SEARCH("蛋糕",C381)))</formula>
    </cfRule>
  </conditionalFormatting>
  <conditionalFormatting sqref="X381:Y381">
    <cfRule type="containsText" dxfId="0" priority="2356" operator="between" text="欠">
      <formula>NOT(ISERROR(SEARCH("欠",X381)))</formula>
    </cfRule>
  </conditionalFormatting>
  <conditionalFormatting sqref="Z381">
    <cfRule type="containsText" dxfId="0" priority="2364" operator="between" text="欠">
      <formula>NOT(ISERROR(SEARCH("欠",Z381)))</formula>
    </cfRule>
  </conditionalFormatting>
  <conditionalFormatting sqref="AA381">
    <cfRule type="containsText" dxfId="0" priority="2363" operator="between" text="欠">
      <formula>NOT(ISERROR(SEARCH("欠",AA381)))</formula>
    </cfRule>
  </conditionalFormatting>
  <conditionalFormatting sqref="AB381">
    <cfRule type="containsText" dxfId="0" priority="2361" operator="between" text="欠">
      <formula>NOT(ISERROR(SEARCH("欠",AB381)))</formula>
    </cfRule>
  </conditionalFormatting>
  <conditionalFormatting sqref="AC381">
    <cfRule type="containsText" dxfId="0" priority="2354" operator="between" text="欠">
      <formula>NOT(ISERROR(SEARCH("欠",AC381)))</formula>
    </cfRule>
  </conditionalFormatting>
  <conditionalFormatting sqref="AD381">
    <cfRule type="containsText" dxfId="0" priority="2355" operator="between" text="欠">
      <formula>NOT(ISERROR(SEARCH("欠",AD381)))</formula>
    </cfRule>
  </conditionalFormatting>
  <conditionalFormatting sqref="AE381">
    <cfRule type="containsText" dxfId="0" priority="2358" operator="between" text="欠">
      <formula>NOT(ISERROR(SEARCH("欠",AE381)))</formula>
    </cfRule>
  </conditionalFormatting>
  <conditionalFormatting sqref="AF381">
    <cfRule type="containsText" dxfId="0" priority="2359" operator="between" text="欠">
      <formula>NOT(ISERROR(SEARCH("欠",AF381)))</formula>
    </cfRule>
  </conditionalFormatting>
  <conditionalFormatting sqref="AG381">
    <cfRule type="containsText" dxfId="0" priority="2357" operator="between" text="欠">
      <formula>NOT(ISERROR(SEARCH("欠",AG381)))</formula>
    </cfRule>
  </conditionalFormatting>
  <conditionalFormatting sqref="AH381">
    <cfRule type="containsText" dxfId="0" priority="2360" operator="between" text="欠">
      <formula>NOT(ISERROR(SEARCH("欠",AH381)))</formula>
    </cfRule>
  </conditionalFormatting>
  <conditionalFormatting sqref="AI381">
    <cfRule type="containsText" dxfId="0" priority="2362" operator="between" text="欠">
      <formula>NOT(ISERROR(SEARCH("欠",AI381)))</formula>
    </cfRule>
  </conditionalFormatting>
  <conditionalFormatting sqref="B382">
    <cfRule type="containsText" dxfId="1" priority="2339" operator="between" text="异常">
      <formula>NOT(ISERROR(SEARCH("异常",B382)))</formula>
    </cfRule>
  </conditionalFormatting>
  <conditionalFormatting sqref="C382">
    <cfRule type="containsText" dxfId="2" priority="2337" operator="between" text="二代">
      <formula>NOT(ISERROR(SEARCH("二代",C382)))</formula>
    </cfRule>
    <cfRule type="containsText" dxfId="3" priority="2338" operator="between" text="蛋糕">
      <formula>NOT(ISERROR(SEARCH("蛋糕",C382)))</formula>
    </cfRule>
  </conditionalFormatting>
  <conditionalFormatting sqref="X382">
    <cfRule type="containsText" dxfId="0" priority="2347" operator="between" text="欠">
      <formula>NOT(ISERROR(SEARCH("欠",X382)))</formula>
    </cfRule>
  </conditionalFormatting>
  <conditionalFormatting sqref="Y382">
    <cfRule type="containsText" dxfId="0" priority="2340" operator="between" text="欠">
      <formula>NOT(ISERROR(SEARCH("欠",Y382)))</formula>
    </cfRule>
  </conditionalFormatting>
  <conditionalFormatting sqref="Z382">
    <cfRule type="containsText" dxfId="0" priority="2348" operator="between" text="欠">
      <formula>NOT(ISERROR(SEARCH("欠",Z382)))</formula>
    </cfRule>
  </conditionalFormatting>
  <conditionalFormatting sqref="AA382:AB382">
    <cfRule type="containsText" dxfId="0" priority="2343" operator="between" text="欠">
      <formula>NOT(ISERROR(SEARCH("欠",AA382)))</formula>
    </cfRule>
  </conditionalFormatting>
  <conditionalFormatting sqref="AC382">
    <cfRule type="containsText" dxfId="0" priority="2349" operator="between" text="欠">
      <formula>NOT(ISERROR(SEARCH("欠",AC382)))</formula>
    </cfRule>
  </conditionalFormatting>
  <conditionalFormatting sqref="AD382">
    <cfRule type="containsText" dxfId="0" priority="2350" operator="between" text="欠">
      <formula>NOT(ISERROR(SEARCH("欠",AD382)))</formula>
    </cfRule>
  </conditionalFormatting>
  <conditionalFormatting sqref="AE382">
    <cfRule type="containsText" dxfId="0" priority="2344" operator="between" text="欠">
      <formula>NOT(ISERROR(SEARCH("欠",AE382)))</formula>
    </cfRule>
  </conditionalFormatting>
  <conditionalFormatting sqref="AF382">
    <cfRule type="containsText" dxfId="0" priority="2345" operator="between" text="欠">
      <formula>NOT(ISERROR(SEARCH("欠",AF382)))</formula>
    </cfRule>
  </conditionalFormatting>
  <conditionalFormatting sqref="AG382">
    <cfRule type="containsText" dxfId="0" priority="2341" operator="between" text="欠">
      <formula>NOT(ISERROR(SEARCH("欠",AG382)))</formula>
    </cfRule>
  </conditionalFormatting>
  <conditionalFormatting sqref="AH382">
    <cfRule type="containsText" dxfId="0" priority="2342" operator="between" text="欠">
      <formula>NOT(ISERROR(SEARCH("欠",AH382)))</formula>
    </cfRule>
  </conditionalFormatting>
  <conditionalFormatting sqref="AI382">
    <cfRule type="containsText" dxfId="0" priority="2346" operator="between" text="欠">
      <formula>NOT(ISERROR(SEARCH("欠",AI382)))</formula>
    </cfRule>
  </conditionalFormatting>
  <conditionalFormatting sqref="B383">
    <cfRule type="containsText" dxfId="1" priority="2326" operator="between" text="异常">
      <formula>NOT(ISERROR(SEARCH("异常",B383)))</formula>
    </cfRule>
  </conditionalFormatting>
  <conditionalFormatting sqref="C383">
    <cfRule type="containsText" dxfId="2" priority="2323" operator="between" text="二代">
      <formula>NOT(ISERROR(SEARCH("二代",C383)))</formula>
    </cfRule>
    <cfRule type="containsText" dxfId="3" priority="2324" operator="between" text="蛋糕">
      <formula>NOT(ISERROR(SEARCH("蛋糕",C383)))</formula>
    </cfRule>
  </conditionalFormatting>
  <conditionalFormatting sqref="X383">
    <cfRule type="containsText" dxfId="0" priority="2332" operator="between" text="欠">
      <formula>NOT(ISERROR(SEARCH("欠",X383)))</formula>
    </cfRule>
  </conditionalFormatting>
  <conditionalFormatting sqref="Y383">
    <cfRule type="containsText" dxfId="0" priority="2334" operator="between" text="欠">
      <formula>NOT(ISERROR(SEARCH("欠",Y383)))</formula>
    </cfRule>
  </conditionalFormatting>
  <conditionalFormatting sqref="Z383">
    <cfRule type="containsText" dxfId="0" priority="2335" operator="between" text="欠">
      <formula>NOT(ISERROR(SEARCH("欠",Z383)))</formula>
    </cfRule>
  </conditionalFormatting>
  <conditionalFormatting sqref="AA383:AB383">
    <cfRule type="containsText" dxfId="0" priority="2331" operator="between" text="欠">
      <formula>NOT(ISERROR(SEARCH("欠",AA383)))</formula>
    </cfRule>
  </conditionalFormatting>
  <conditionalFormatting sqref="AC383:AD383">
    <cfRule type="containsText" dxfId="0" priority="2330" operator="between" text="欠">
      <formula>NOT(ISERROR(SEARCH("欠",AC383)))</formula>
    </cfRule>
  </conditionalFormatting>
  <conditionalFormatting sqref="AE383">
    <cfRule type="containsText" dxfId="0" priority="2333" operator="between" text="欠">
      <formula>NOT(ISERROR(SEARCH("欠",AE383)))</formula>
    </cfRule>
  </conditionalFormatting>
  <conditionalFormatting sqref="AF383">
    <cfRule type="containsText" dxfId="0" priority="2336" operator="between" text="欠">
      <formula>NOT(ISERROR(SEARCH("欠",AF383)))</formula>
    </cfRule>
  </conditionalFormatting>
  <conditionalFormatting sqref="AG383">
    <cfRule type="containsText" dxfId="0" priority="2328" operator="between" text="欠">
      <formula>NOT(ISERROR(SEARCH("欠",AG383)))</formula>
    </cfRule>
  </conditionalFormatting>
  <conditionalFormatting sqref="AH383">
    <cfRule type="containsText" dxfId="0" priority="2329" operator="between" text="欠">
      <formula>NOT(ISERROR(SEARCH("欠",AH383)))</formula>
    </cfRule>
  </conditionalFormatting>
  <conditionalFormatting sqref="AI383">
    <cfRule type="containsText" dxfId="0" priority="2327" operator="between" text="欠">
      <formula>NOT(ISERROR(SEARCH("欠",AI383)))</formula>
    </cfRule>
  </conditionalFormatting>
  <conditionalFormatting sqref="AL383">
    <cfRule type="containsText" dxfId="0" priority="2325" operator="between" text="欠">
      <formula>NOT(ISERROR(SEARCH("欠",AL383)))</formula>
    </cfRule>
  </conditionalFormatting>
  <conditionalFormatting sqref="B384">
    <cfRule type="containsText" dxfId="1" priority="2312" operator="between" text="异常">
      <formula>NOT(ISERROR(SEARCH("异常",B384)))</formula>
    </cfRule>
  </conditionalFormatting>
  <conditionalFormatting sqref="C384">
    <cfRule type="containsText" dxfId="2" priority="2310" operator="between" text="二代">
      <formula>NOT(ISERROR(SEARCH("二代",C384)))</formula>
    </cfRule>
    <cfRule type="containsText" dxfId="3" priority="2311" operator="between" text="蛋糕">
      <formula>NOT(ISERROR(SEARCH("蛋糕",C384)))</formula>
    </cfRule>
  </conditionalFormatting>
  <conditionalFormatting sqref="X384">
    <cfRule type="containsText" dxfId="0" priority="2318" operator="between" text="欠">
      <formula>NOT(ISERROR(SEARCH("欠",X384)))</formula>
    </cfRule>
  </conditionalFormatting>
  <conditionalFormatting sqref="Y384">
    <cfRule type="containsText" dxfId="0" priority="2319" operator="between" text="欠">
      <formula>NOT(ISERROR(SEARCH("欠",Y384)))</formula>
    </cfRule>
  </conditionalFormatting>
  <conditionalFormatting sqref="Z384">
    <cfRule type="containsText" dxfId="0" priority="2322" operator="between" text="欠">
      <formula>NOT(ISERROR(SEARCH("欠",Z384)))</formula>
    </cfRule>
  </conditionalFormatting>
  <conditionalFormatting sqref="AA384">
    <cfRule type="containsText" dxfId="0" priority="2321" operator="between" text="欠">
      <formula>NOT(ISERROR(SEARCH("欠",AA384)))</formula>
    </cfRule>
  </conditionalFormatting>
  <conditionalFormatting sqref="AB384">
    <cfRule type="containsText" dxfId="0" priority="2317" operator="between" text="欠">
      <formula>NOT(ISERROR(SEARCH("欠",AB384)))</formula>
    </cfRule>
  </conditionalFormatting>
  <conditionalFormatting sqref="AC384:AD384">
    <cfRule type="containsText" dxfId="0" priority="2316" operator="between" text="欠">
      <formula>NOT(ISERROR(SEARCH("欠",AC384)))</formula>
    </cfRule>
  </conditionalFormatting>
  <conditionalFormatting sqref="AE384">
    <cfRule type="containsText" dxfId="0" priority="2315" operator="between" text="欠">
      <formula>NOT(ISERROR(SEARCH("欠",AE384)))</formula>
    </cfRule>
  </conditionalFormatting>
  <conditionalFormatting sqref="AF384">
    <cfRule type="containsText" dxfId="0" priority="2313" operator="between" text="欠">
      <formula>NOT(ISERROR(SEARCH("欠",AF384)))</formula>
    </cfRule>
  </conditionalFormatting>
  <conditionalFormatting sqref="AG384:AH384">
    <cfRule type="containsText" dxfId="0" priority="2314" operator="between" text="欠">
      <formula>NOT(ISERROR(SEARCH("欠",AG384)))</formula>
    </cfRule>
  </conditionalFormatting>
  <conditionalFormatting sqref="AI384">
    <cfRule type="containsText" dxfId="0" priority="2320" operator="between" text="欠">
      <formula>NOT(ISERROR(SEARCH("欠",AI384)))</formula>
    </cfRule>
  </conditionalFormatting>
  <conditionalFormatting sqref="B385">
    <cfRule type="containsText" dxfId="1" priority="2302" operator="between" text="异常">
      <formula>NOT(ISERROR(SEARCH("异常",B385)))</formula>
    </cfRule>
  </conditionalFormatting>
  <conditionalFormatting sqref="C385">
    <cfRule type="containsText" dxfId="2" priority="2296" operator="between" text="二代">
      <formula>NOT(ISERROR(SEARCH("二代",C385)))</formula>
    </cfRule>
    <cfRule type="containsText" dxfId="3" priority="2297" operator="between" text="蛋糕">
      <formula>NOT(ISERROR(SEARCH("蛋糕",C385)))</formula>
    </cfRule>
  </conditionalFormatting>
  <conditionalFormatting sqref="X385">
    <cfRule type="containsText" dxfId="0" priority="2305" operator="between" text="欠">
      <formula>NOT(ISERROR(SEARCH("欠",X385)))</formula>
    </cfRule>
  </conditionalFormatting>
  <conditionalFormatting sqref="Y385">
    <cfRule type="containsText" dxfId="0" priority="2298" operator="between" text="欠">
      <formula>NOT(ISERROR(SEARCH("欠",Y385)))</formula>
    </cfRule>
  </conditionalFormatting>
  <conditionalFormatting sqref="Z385">
    <cfRule type="containsText" dxfId="0" priority="2308" operator="between" text="欠">
      <formula>NOT(ISERROR(SEARCH("欠",Z385)))</formula>
    </cfRule>
  </conditionalFormatting>
  <conditionalFormatting sqref="AA385:AB385">
    <cfRule type="containsText" dxfId="0" priority="2307" operator="between" text="欠">
      <formula>NOT(ISERROR(SEARCH("欠",AA385)))</formula>
    </cfRule>
  </conditionalFormatting>
  <conditionalFormatting sqref="AC385:AD385">
    <cfRule type="containsText" dxfId="0" priority="2304" operator="between" text="欠">
      <formula>NOT(ISERROR(SEARCH("欠",AC385)))</formula>
    </cfRule>
  </conditionalFormatting>
  <conditionalFormatting sqref="AE385">
    <cfRule type="containsText" dxfId="0" priority="2299" operator="between" text="欠">
      <formula>NOT(ISERROR(SEARCH("欠",AE385)))</formula>
    </cfRule>
  </conditionalFormatting>
  <conditionalFormatting sqref="AF385">
    <cfRule type="containsText" dxfId="0" priority="2309" operator="between" text="欠">
      <formula>NOT(ISERROR(SEARCH("欠",AF385)))</formula>
    </cfRule>
  </conditionalFormatting>
  <conditionalFormatting sqref="AG385">
    <cfRule type="containsText" dxfId="0" priority="2300" operator="between" text="欠">
      <formula>NOT(ISERROR(SEARCH("欠",AG385)))</formula>
    </cfRule>
  </conditionalFormatting>
  <conditionalFormatting sqref="AH385">
    <cfRule type="containsText" dxfId="0" priority="2306" operator="between" text="欠">
      <formula>NOT(ISERROR(SEARCH("欠",AH385)))</formula>
    </cfRule>
  </conditionalFormatting>
  <conditionalFormatting sqref="AI385">
    <cfRule type="containsText" dxfId="0" priority="2303" operator="between" text="欠">
      <formula>NOT(ISERROR(SEARCH("欠",AI385)))</formula>
    </cfRule>
  </conditionalFormatting>
  <conditionalFormatting sqref="AL385">
    <cfRule type="containsText" dxfId="0" priority="2301" operator="between" text="欠">
      <formula>NOT(ISERROR(SEARCH("欠",AL385)))</formula>
    </cfRule>
  </conditionalFormatting>
  <conditionalFormatting sqref="X388">
    <cfRule type="containsText" dxfId="0" priority="2270" operator="between" text="欠">
      <formula>NOT(ISERROR(SEARCH("欠",X388)))</formula>
    </cfRule>
  </conditionalFormatting>
  <conditionalFormatting sqref="Y388">
    <cfRule type="containsText" dxfId="0" priority="2269" operator="between" text="欠">
      <formula>NOT(ISERROR(SEARCH("欠",Y388)))</formula>
    </cfRule>
  </conditionalFormatting>
  <conditionalFormatting sqref="Z388">
    <cfRule type="containsText" dxfId="0" priority="2276" operator="between" text="欠">
      <formula>NOT(ISERROR(SEARCH("欠",Z388)))</formula>
    </cfRule>
  </conditionalFormatting>
  <conditionalFormatting sqref="AA388:AB388">
    <cfRule type="containsText" dxfId="0" priority="2275" operator="between" text="欠">
      <formula>NOT(ISERROR(SEARCH("欠",AA388)))</formula>
    </cfRule>
  </conditionalFormatting>
  <conditionalFormatting sqref="AC388:AD388">
    <cfRule type="containsText" dxfId="0" priority="2274" operator="between" text="欠">
      <formula>NOT(ISERROR(SEARCH("欠",AC388)))</formula>
    </cfRule>
  </conditionalFormatting>
  <conditionalFormatting sqref="Y389">
    <cfRule type="containsText" dxfId="0" priority="2278" operator="between" text="欠">
      <formula>NOT(ISERROR(SEARCH("欠",Y389)))</formula>
    </cfRule>
  </conditionalFormatting>
  <conditionalFormatting sqref="Z389">
    <cfRule type="containsText" dxfId="0" priority="2282" operator="between" text="欠">
      <formula>NOT(ISERROR(SEARCH("欠",Z389)))</formula>
    </cfRule>
  </conditionalFormatting>
  <conditionalFormatting sqref="AA389">
    <cfRule type="containsText" dxfId="0" priority="2279" operator="between" text="欠">
      <formula>NOT(ISERROR(SEARCH("欠",AA389)))</formula>
    </cfRule>
  </conditionalFormatting>
  <conditionalFormatting sqref="AB389">
    <cfRule type="containsText" dxfId="0" priority="2268" operator="between" text="欠">
      <formula>NOT(ISERROR(SEARCH("欠",AB389)))</formula>
    </cfRule>
  </conditionalFormatting>
  <conditionalFormatting sqref="AC389:AD389">
    <cfRule type="containsText" dxfId="0" priority="2280" operator="between" text="欠">
      <formula>NOT(ISERROR(SEARCH("欠",AC389)))</formula>
    </cfRule>
  </conditionalFormatting>
  <conditionalFormatting sqref="AC390:AD390">
    <cfRule type="containsText" dxfId="0" priority="2244" operator="between" text="欠">
      <formula>NOT(ISERROR(SEARCH("欠",AC390)))</formula>
    </cfRule>
  </conditionalFormatting>
  <conditionalFormatting sqref="AE390:AG390">
    <cfRule type="containsText" dxfId="0" priority="2243" operator="between" text="欠">
      <formula>NOT(ISERROR(SEARCH("欠",AE390)))</formula>
    </cfRule>
  </conditionalFormatting>
  <conditionalFormatting sqref="AH390">
    <cfRule type="containsText" dxfId="0" priority="2245" operator="between" text="欠">
      <formula>NOT(ISERROR(SEARCH("欠",AH390)))</formula>
    </cfRule>
  </conditionalFormatting>
  <conditionalFormatting sqref="AI390">
    <cfRule type="containsText" dxfId="0" priority="2242" operator="between" text="欠">
      <formula>NOT(ISERROR(SEARCH("欠",AI390)))</formula>
    </cfRule>
  </conditionalFormatting>
  <conditionalFormatting sqref="AK390">
    <cfRule type="containsText" dxfId="0" priority="2232" operator="between" text="欠">
      <formula>NOT(ISERROR(SEARCH("欠",AK390)))</formula>
    </cfRule>
  </conditionalFormatting>
  <conditionalFormatting sqref="AA394">
    <cfRule type="containsText" dxfId="0" priority="2260" operator="between" text="欠">
      <formula>NOT(ISERROR(SEARCH("欠",AA394)))</formula>
    </cfRule>
  </conditionalFormatting>
  <conditionalFormatting sqref="X398">
    <cfRule type="containsText" dxfId="0" priority="2241" operator="between" text="欠">
      <formula>NOT(ISERROR(SEARCH("欠",X398)))</formula>
    </cfRule>
  </conditionalFormatting>
  <conditionalFormatting sqref="AA398">
    <cfRule type="containsText" dxfId="0" priority="2235" operator="between" text="欠">
      <formula>NOT(ISERROR(SEARCH("欠",AA398)))</formula>
    </cfRule>
  </conditionalFormatting>
  <conditionalFormatting sqref="AB398">
    <cfRule type="containsText" dxfId="0" priority="2240" operator="between" text="欠">
      <formula>NOT(ISERROR(SEARCH("欠",AB398)))</formula>
    </cfRule>
  </conditionalFormatting>
  <conditionalFormatting sqref="AC398:AD398">
    <cfRule type="containsText" dxfId="0" priority="2239" operator="between" text="欠">
      <formula>NOT(ISERROR(SEARCH("欠",AC398)))</formula>
    </cfRule>
  </conditionalFormatting>
  <conditionalFormatting sqref="AE398">
    <cfRule type="containsText" dxfId="0" priority="2238" operator="between" text="欠">
      <formula>NOT(ISERROR(SEARCH("欠",AE398)))</formula>
    </cfRule>
  </conditionalFormatting>
  <conditionalFormatting sqref="AG398">
    <cfRule type="containsText" dxfId="0" priority="2234" operator="between" text="欠">
      <formula>NOT(ISERROR(SEARCH("欠",AG398)))</formula>
    </cfRule>
  </conditionalFormatting>
  <conditionalFormatting sqref="AH398">
    <cfRule type="containsText" dxfId="0" priority="2237" operator="between" text="欠">
      <formula>NOT(ISERROR(SEARCH("欠",AH398)))</formula>
    </cfRule>
  </conditionalFormatting>
  <conditionalFormatting sqref="B399">
    <cfRule type="containsText" dxfId="1" priority="2219" operator="between" text="异常">
      <formula>NOT(ISERROR(SEARCH("异常",B399)))</formula>
    </cfRule>
  </conditionalFormatting>
  <conditionalFormatting sqref="C399">
    <cfRule type="containsText" dxfId="2" priority="2217" operator="between" text="二代">
      <formula>NOT(ISERROR(SEARCH("二代",C399)))</formula>
    </cfRule>
    <cfRule type="containsText" dxfId="3" priority="2218" operator="between" text="蛋糕">
      <formula>NOT(ISERROR(SEARCH("蛋糕",C399)))</formula>
    </cfRule>
  </conditionalFormatting>
  <conditionalFormatting sqref="X399:Y399">
    <cfRule type="containsText" dxfId="0" priority="2225" operator="between" text="欠">
      <formula>NOT(ISERROR(SEARCH("欠",X399)))</formula>
    </cfRule>
  </conditionalFormatting>
  <conditionalFormatting sqref="Z399:AB399">
    <cfRule type="containsText" dxfId="0" priority="2220" operator="between" text="欠">
      <formula>NOT(ISERROR(SEARCH("欠",Z399)))</formula>
    </cfRule>
  </conditionalFormatting>
  <conditionalFormatting sqref="AC399:AD399">
    <cfRule type="containsText" dxfId="0" priority="2224" operator="between" text="欠">
      <formula>NOT(ISERROR(SEARCH("欠",AC399)))</formula>
    </cfRule>
  </conditionalFormatting>
  <conditionalFormatting sqref="AE399">
    <cfRule type="containsText" dxfId="0" priority="2223" operator="between" text="欠">
      <formula>NOT(ISERROR(SEARCH("欠",AE399)))</formula>
    </cfRule>
  </conditionalFormatting>
  <conditionalFormatting sqref="AF399">
    <cfRule type="containsText" dxfId="0" priority="2227" operator="between" text="欠">
      <formula>NOT(ISERROR(SEARCH("欠",AF399)))</formula>
    </cfRule>
  </conditionalFormatting>
  <conditionalFormatting sqref="AG399">
    <cfRule type="containsText" dxfId="0" priority="2222" operator="between" text="欠">
      <formula>NOT(ISERROR(SEARCH("欠",AG399)))</formula>
    </cfRule>
  </conditionalFormatting>
  <conditionalFormatting sqref="AH399">
    <cfRule type="containsText" dxfId="0" priority="2221" operator="between" text="欠">
      <formula>NOT(ISERROR(SEARCH("欠",AH399)))</formula>
    </cfRule>
  </conditionalFormatting>
  <conditionalFormatting sqref="AI399">
    <cfRule type="containsText" dxfId="0" priority="2226" operator="between" text="欠">
      <formula>NOT(ISERROR(SEARCH("欠",AI399)))</formula>
    </cfRule>
  </conditionalFormatting>
  <conditionalFormatting sqref="B400">
    <cfRule type="containsText" dxfId="1" priority="2205" operator="between" text="异常">
      <formula>NOT(ISERROR(SEARCH("异常",B400)))</formula>
    </cfRule>
  </conditionalFormatting>
  <conditionalFormatting sqref="C400">
    <cfRule type="containsText" dxfId="2" priority="2203" operator="between" text="二代">
      <formula>NOT(ISERROR(SEARCH("二代",C400)))</formula>
    </cfRule>
    <cfRule type="containsText" dxfId="3" priority="2204" operator="between" text="蛋糕">
      <formula>NOT(ISERROR(SEARCH("蛋糕",C400)))</formula>
    </cfRule>
  </conditionalFormatting>
  <conditionalFormatting sqref="X400">
    <cfRule type="containsText" dxfId="0" priority="2211" operator="between" text="欠">
      <formula>NOT(ISERROR(SEARCH("欠",X400)))</formula>
    </cfRule>
  </conditionalFormatting>
  <conditionalFormatting sqref="Y400">
    <cfRule type="containsText" dxfId="0" priority="2206" operator="between" text="欠">
      <formula>NOT(ISERROR(SEARCH("欠",Y400)))</formula>
    </cfRule>
  </conditionalFormatting>
  <conditionalFormatting sqref="Z400">
    <cfRule type="containsText" dxfId="0" priority="2214" operator="between" text="欠">
      <formula>NOT(ISERROR(SEARCH("欠",Z400)))</formula>
    </cfRule>
  </conditionalFormatting>
  <conditionalFormatting sqref="AA400">
    <cfRule type="containsText" dxfId="0" priority="2215" operator="between" text="欠">
      <formula>NOT(ISERROR(SEARCH("欠",AA400)))</formula>
    </cfRule>
  </conditionalFormatting>
  <conditionalFormatting sqref="AB400">
    <cfRule type="containsText" dxfId="0" priority="2210" operator="between" text="欠">
      <formula>NOT(ISERROR(SEARCH("欠",AB400)))</formula>
    </cfRule>
  </conditionalFormatting>
  <conditionalFormatting sqref="AC400">
    <cfRule type="containsText" dxfId="0" priority="2208" operator="between" text="欠">
      <formula>NOT(ISERROR(SEARCH("欠",AC400)))</formula>
    </cfRule>
  </conditionalFormatting>
  <conditionalFormatting sqref="AD400">
    <cfRule type="containsText" dxfId="0" priority="2209" operator="between" text="欠">
      <formula>NOT(ISERROR(SEARCH("欠",AD400)))</formula>
    </cfRule>
  </conditionalFormatting>
  <conditionalFormatting sqref="AF400">
    <cfRule type="containsText" dxfId="0" priority="2213" operator="between" text="欠">
      <formula>NOT(ISERROR(SEARCH("欠",AF400)))</formula>
    </cfRule>
  </conditionalFormatting>
  <conditionalFormatting sqref="AH400">
    <cfRule type="containsText" dxfId="0" priority="2207" operator="between" text="欠">
      <formula>NOT(ISERROR(SEARCH("欠",AH400)))</formula>
    </cfRule>
  </conditionalFormatting>
  <conditionalFormatting sqref="AI400">
    <cfRule type="containsText" dxfId="0" priority="2212" operator="between" text="欠">
      <formula>NOT(ISERROR(SEARCH("欠",AI400)))</formula>
    </cfRule>
  </conditionalFormatting>
  <conditionalFormatting sqref="B401">
    <cfRule type="containsText" dxfId="1" priority="2190" operator="between" text="异常">
      <formula>NOT(ISERROR(SEARCH("异常",B401)))</formula>
    </cfRule>
  </conditionalFormatting>
  <conditionalFormatting sqref="C401">
    <cfRule type="containsText" dxfId="2" priority="2191" operator="between" text="二代">
      <formula>NOT(ISERROR(SEARCH("二代",C401)))</formula>
    </cfRule>
    <cfRule type="containsText" dxfId="3" priority="2192" operator="between" text="蛋糕">
      <formula>NOT(ISERROR(SEARCH("蛋糕",C401)))</formula>
    </cfRule>
  </conditionalFormatting>
  <conditionalFormatting sqref="X401">
    <cfRule type="containsText" dxfId="0" priority="2189" operator="between" text="欠">
      <formula>NOT(ISERROR(SEARCH("欠",X401)))</formula>
    </cfRule>
  </conditionalFormatting>
  <conditionalFormatting sqref="Y401">
    <cfRule type="containsText" dxfId="0" priority="2200" operator="between" text="欠">
      <formula>NOT(ISERROR(SEARCH("欠",Y401)))</formula>
    </cfRule>
  </conditionalFormatting>
  <conditionalFormatting sqref="Z401">
    <cfRule type="containsText" dxfId="0" priority="2202" operator="between" text="欠">
      <formula>NOT(ISERROR(SEARCH("欠",Z401)))</formula>
    </cfRule>
  </conditionalFormatting>
  <conditionalFormatting sqref="AA401:AB401">
    <cfRule type="containsText" dxfId="0" priority="2195" operator="between" text="欠">
      <formula>NOT(ISERROR(SEARCH("欠",AA401)))</formula>
    </cfRule>
  </conditionalFormatting>
  <conditionalFormatting sqref="AC401:AD401">
    <cfRule type="containsText" dxfId="0" priority="2193" operator="between" text="欠">
      <formula>NOT(ISERROR(SEARCH("欠",AC401)))</formula>
    </cfRule>
  </conditionalFormatting>
  <conditionalFormatting sqref="AE401">
    <cfRule type="containsText" dxfId="0" priority="2201" operator="between" text="欠">
      <formula>NOT(ISERROR(SEARCH("欠",AE401)))</formula>
    </cfRule>
  </conditionalFormatting>
  <conditionalFormatting sqref="AF401">
    <cfRule type="containsText" dxfId="0" priority="2199" operator="between" text="欠">
      <formula>NOT(ISERROR(SEARCH("欠",AF401)))</formula>
    </cfRule>
  </conditionalFormatting>
  <conditionalFormatting sqref="AG401">
    <cfRule type="containsText" dxfId="0" priority="2196" operator="between" text="欠">
      <formula>NOT(ISERROR(SEARCH("欠",AG401)))</formula>
    </cfRule>
  </conditionalFormatting>
  <conditionalFormatting sqref="AH401">
    <cfRule type="containsText" dxfId="0" priority="2194" operator="between" text="欠">
      <formula>NOT(ISERROR(SEARCH("欠",AH401)))</formula>
    </cfRule>
  </conditionalFormatting>
  <conditionalFormatting sqref="AI401">
    <cfRule type="containsText" dxfId="0" priority="2198" operator="between" text="欠">
      <formula>NOT(ISERROR(SEARCH("欠",AI401)))</formula>
    </cfRule>
  </conditionalFormatting>
  <conditionalFormatting sqref="AK401">
    <cfRule type="containsText" dxfId="0" priority="2197" operator="between" text="欠">
      <formula>NOT(ISERROR(SEARCH("欠",AK401)))</formula>
    </cfRule>
  </conditionalFormatting>
  <conditionalFormatting sqref="B402">
    <cfRule type="containsText" dxfId="1" priority="2177" operator="between" text="异常">
      <formula>NOT(ISERROR(SEARCH("异常",B402)))</formula>
    </cfRule>
  </conditionalFormatting>
  <conditionalFormatting sqref="C402">
    <cfRule type="containsText" dxfId="2" priority="2174" operator="between" text="二代">
      <formula>NOT(ISERROR(SEARCH("二代",C402)))</formula>
    </cfRule>
    <cfRule type="containsText" dxfId="3" priority="2175" operator="between" text="蛋糕">
      <formula>NOT(ISERROR(SEARCH("蛋糕",C402)))</formula>
    </cfRule>
  </conditionalFormatting>
  <conditionalFormatting sqref="X402">
    <cfRule type="containsText" dxfId="0" priority="2182" operator="between" text="欠">
      <formula>NOT(ISERROR(SEARCH("欠",X402)))</formula>
    </cfRule>
  </conditionalFormatting>
  <conditionalFormatting sqref="Y402">
    <cfRule type="containsText" dxfId="0" priority="2176" operator="between" text="欠">
      <formula>NOT(ISERROR(SEARCH("欠",Y402)))</formula>
    </cfRule>
  </conditionalFormatting>
  <conditionalFormatting sqref="Z402">
    <cfRule type="containsText" dxfId="0" priority="2187" operator="between" text="欠">
      <formula>NOT(ISERROR(SEARCH("欠",Z402)))</formula>
    </cfRule>
  </conditionalFormatting>
  <conditionalFormatting sqref="AA402:AB402">
    <cfRule type="containsText" dxfId="0" priority="2181" operator="between" text="欠">
      <formula>NOT(ISERROR(SEARCH("欠",AA402)))</formula>
    </cfRule>
  </conditionalFormatting>
  <conditionalFormatting sqref="AC402">
    <cfRule type="containsText" dxfId="0" priority="2180" operator="between" text="欠">
      <formula>NOT(ISERROR(SEARCH("欠",AC402)))</formula>
    </cfRule>
  </conditionalFormatting>
  <conditionalFormatting sqref="AD402">
    <cfRule type="containsText" dxfId="0" priority="2186" operator="between" text="欠">
      <formula>NOT(ISERROR(SEARCH("欠",AD402)))</formula>
    </cfRule>
  </conditionalFormatting>
  <conditionalFormatting sqref="AE402">
    <cfRule type="containsText" dxfId="0" priority="2184" operator="between" text="欠">
      <formula>NOT(ISERROR(SEARCH("欠",AE402)))</formula>
    </cfRule>
  </conditionalFormatting>
  <conditionalFormatting sqref="AF402">
    <cfRule type="containsText" dxfId="0" priority="2188" operator="between" text="欠">
      <formula>NOT(ISERROR(SEARCH("欠",AF402)))</formula>
    </cfRule>
  </conditionalFormatting>
  <conditionalFormatting sqref="AG402">
    <cfRule type="containsText" dxfId="0" priority="2183" operator="between" text="欠">
      <formula>NOT(ISERROR(SEARCH("欠",AG402)))</formula>
    </cfRule>
  </conditionalFormatting>
  <conditionalFormatting sqref="AH402">
    <cfRule type="containsText" dxfId="0" priority="2185" operator="between" text="欠">
      <formula>NOT(ISERROR(SEARCH("欠",AH402)))</formula>
    </cfRule>
  </conditionalFormatting>
  <conditionalFormatting sqref="AI402">
    <cfRule type="containsText" dxfId="0" priority="2179" operator="between" text="欠">
      <formula>NOT(ISERROR(SEARCH("欠",AI402)))</formula>
    </cfRule>
  </conditionalFormatting>
  <conditionalFormatting sqref="AL402">
    <cfRule type="containsText" dxfId="0" priority="2178" operator="between" text="欠">
      <formula>NOT(ISERROR(SEARCH("欠",AL402)))</formula>
    </cfRule>
  </conditionalFormatting>
  <conditionalFormatting sqref="X403">
    <cfRule type="containsText" dxfId="0" priority="2165" operator="between" text="欠">
      <formula>NOT(ISERROR(SEARCH("欠",X403)))</formula>
    </cfRule>
  </conditionalFormatting>
  <conditionalFormatting sqref="Y403">
    <cfRule type="containsText" dxfId="0" priority="2168" operator="between" text="欠">
      <formula>NOT(ISERROR(SEARCH("欠",Y403)))</formula>
    </cfRule>
  </conditionalFormatting>
  <conditionalFormatting sqref="Z403">
    <cfRule type="containsText" dxfId="0" priority="2167" operator="between" text="欠">
      <formula>NOT(ISERROR(SEARCH("欠",Z403)))</formula>
    </cfRule>
  </conditionalFormatting>
  <conditionalFormatting sqref="AA403:AB403">
    <cfRule type="containsText" dxfId="0" priority="2166" operator="between" text="欠">
      <formula>NOT(ISERROR(SEARCH("欠",AA403)))</formula>
    </cfRule>
  </conditionalFormatting>
  <conditionalFormatting sqref="AC403:AD403">
    <cfRule type="containsText" dxfId="0" priority="2164" operator="between" text="欠">
      <formula>NOT(ISERROR(SEARCH("欠",AC403)))</formula>
    </cfRule>
  </conditionalFormatting>
  <conditionalFormatting sqref="AE403">
    <cfRule type="containsText" dxfId="0" priority="2163" operator="between" text="欠">
      <formula>NOT(ISERROR(SEARCH("欠",AE403)))</formula>
    </cfRule>
  </conditionalFormatting>
  <conditionalFormatting sqref="AF403">
    <cfRule type="containsText" dxfId="0" priority="2155" operator="between" text="欠">
      <formula>NOT(ISERROR(SEARCH("欠",AF403)))</formula>
    </cfRule>
  </conditionalFormatting>
  <conditionalFormatting sqref="AG403:AH403">
    <cfRule type="containsText" dxfId="0" priority="2162" operator="between" text="欠">
      <formula>NOT(ISERROR(SEARCH("欠",AG403)))</formula>
    </cfRule>
  </conditionalFormatting>
  <conditionalFormatting sqref="AI403">
    <cfRule type="containsText" dxfId="0" priority="2156" operator="between" text="欠">
      <formula>NOT(ISERROR(SEARCH("欠",AI403)))</formula>
    </cfRule>
  </conditionalFormatting>
  <conditionalFormatting sqref="AL403">
    <cfRule type="containsText" dxfId="0" priority="2159" operator="between" text="欠">
      <formula>NOT(ISERROR(SEARCH("欠",AL403)))</formula>
    </cfRule>
  </conditionalFormatting>
  <conditionalFormatting sqref="X404:Y404">
    <cfRule type="containsText" dxfId="0" priority="2158" operator="between" text="欠">
      <formula>NOT(ISERROR(SEARCH("欠",X404)))</formula>
    </cfRule>
  </conditionalFormatting>
  <conditionalFormatting sqref="Z404">
    <cfRule type="containsText" dxfId="0" priority="2161" operator="between" text="欠">
      <formula>NOT(ISERROR(SEARCH("欠",Z404)))</formula>
    </cfRule>
  </conditionalFormatting>
  <conditionalFormatting sqref="AA404:AB404">
    <cfRule type="containsText" dxfId="0" priority="2160" operator="between" text="欠">
      <formula>NOT(ISERROR(SEARCH("欠",AA404)))</formula>
    </cfRule>
  </conditionalFormatting>
  <conditionalFormatting sqref="AC404:AD404">
    <cfRule type="containsText" dxfId="0" priority="2157" operator="between" text="欠">
      <formula>NOT(ISERROR(SEARCH("欠",AC404)))</formula>
    </cfRule>
  </conditionalFormatting>
  <conditionalFormatting sqref="AE404">
    <cfRule type="containsText" dxfId="0" priority="2170" operator="between" text="欠">
      <formula>NOT(ISERROR(SEARCH("欠",AE404)))</formula>
    </cfRule>
  </conditionalFormatting>
  <conditionalFormatting sqref="AF404">
    <cfRule type="containsText" dxfId="0" priority="2172" operator="between" text="欠">
      <formula>NOT(ISERROR(SEARCH("欠",AF404)))</formula>
    </cfRule>
  </conditionalFormatting>
  <conditionalFormatting sqref="AG404">
    <cfRule type="containsText" dxfId="0" priority="2169" operator="between" text="欠">
      <formula>NOT(ISERROR(SEARCH("欠",AG404)))</formula>
    </cfRule>
  </conditionalFormatting>
  <conditionalFormatting sqref="AH404">
    <cfRule type="containsText" dxfId="0" priority="2171" operator="between" text="欠">
      <formula>NOT(ISERROR(SEARCH("欠",AH404)))</formula>
    </cfRule>
  </conditionalFormatting>
  <conditionalFormatting sqref="AI404">
    <cfRule type="containsText" dxfId="0" priority="2173" operator="between" text="欠">
      <formula>NOT(ISERROR(SEARCH("欠",AI404)))</formula>
    </cfRule>
  </conditionalFormatting>
  <conditionalFormatting sqref="B405">
    <cfRule type="containsText" dxfId="1" priority="2140" operator="between" text="异常">
      <formula>NOT(ISERROR(SEARCH("异常",B405)))</formula>
    </cfRule>
  </conditionalFormatting>
  <conditionalFormatting sqref="C405">
    <cfRule type="containsText" dxfId="2" priority="2138" operator="between" text="二代">
      <formula>NOT(ISERROR(SEARCH("二代",C405)))</formula>
    </cfRule>
    <cfRule type="containsText" dxfId="3" priority="2139" operator="between" text="蛋糕">
      <formula>NOT(ISERROR(SEARCH("蛋糕",C405)))</formula>
    </cfRule>
  </conditionalFormatting>
  <conditionalFormatting sqref="X405">
    <cfRule type="containsText" dxfId="0" priority="2148" operator="between" text="欠">
      <formula>NOT(ISERROR(SEARCH("欠",X405)))</formula>
    </cfRule>
  </conditionalFormatting>
  <conditionalFormatting sqref="Y405">
    <cfRule type="containsText" dxfId="0" priority="2141" operator="between" text="欠">
      <formula>NOT(ISERROR(SEARCH("欠",Y405)))</formula>
    </cfRule>
  </conditionalFormatting>
  <conditionalFormatting sqref="Z405">
    <cfRule type="containsText" dxfId="0" priority="2149" operator="between" text="欠">
      <formula>NOT(ISERROR(SEARCH("欠",Z405)))</formula>
    </cfRule>
  </conditionalFormatting>
  <conditionalFormatting sqref="AA405:AB405">
    <cfRule type="containsText" dxfId="0" priority="2144" operator="between" text="欠">
      <formula>NOT(ISERROR(SEARCH("欠",AA405)))</formula>
    </cfRule>
  </conditionalFormatting>
  <conditionalFormatting sqref="AC405">
    <cfRule type="containsText" dxfId="0" priority="2150" operator="between" text="欠">
      <formula>NOT(ISERROR(SEARCH("欠",AC405)))</formula>
    </cfRule>
  </conditionalFormatting>
  <conditionalFormatting sqref="AD405">
    <cfRule type="containsText" dxfId="0" priority="2151" operator="between" text="欠">
      <formula>NOT(ISERROR(SEARCH("欠",AD405)))</formula>
    </cfRule>
  </conditionalFormatting>
  <conditionalFormatting sqref="AE405">
    <cfRule type="containsText" dxfId="0" priority="2145" operator="between" text="欠">
      <formula>NOT(ISERROR(SEARCH("欠",AE405)))</formula>
    </cfRule>
  </conditionalFormatting>
  <conditionalFormatting sqref="AF405">
    <cfRule type="containsText" dxfId="0" priority="2146" operator="between" text="欠">
      <formula>NOT(ISERROR(SEARCH("欠",AF405)))</formula>
    </cfRule>
  </conditionalFormatting>
  <conditionalFormatting sqref="AG405">
    <cfRule type="containsText" dxfId="0" priority="2142" operator="between" text="欠">
      <formula>NOT(ISERROR(SEARCH("欠",AG405)))</formula>
    </cfRule>
  </conditionalFormatting>
  <conditionalFormatting sqref="AH405">
    <cfRule type="containsText" dxfId="0" priority="2143" operator="between" text="欠">
      <formula>NOT(ISERROR(SEARCH("欠",AH405)))</formula>
    </cfRule>
  </conditionalFormatting>
  <conditionalFormatting sqref="AI405">
    <cfRule type="containsText" dxfId="0" priority="2147" operator="between" text="欠">
      <formula>NOT(ISERROR(SEARCH("欠",AI405)))</formula>
    </cfRule>
  </conditionalFormatting>
  <conditionalFormatting sqref="B406">
    <cfRule type="containsText" dxfId="1" priority="2126" operator="between" text="异常">
      <formula>NOT(ISERROR(SEARCH("异常",B406)))</formula>
    </cfRule>
  </conditionalFormatting>
  <conditionalFormatting sqref="C406">
    <cfRule type="containsText" dxfId="2" priority="2124" operator="between" text="二代">
      <formula>NOT(ISERROR(SEARCH("二代",C406)))</formula>
    </cfRule>
    <cfRule type="containsText" dxfId="3" priority="2125" operator="between" text="蛋糕">
      <formula>NOT(ISERROR(SEARCH("蛋糕",C406)))</formula>
    </cfRule>
  </conditionalFormatting>
  <conditionalFormatting sqref="X406">
    <cfRule type="containsText" dxfId="0" priority="2135" operator="between" text="欠">
      <formula>NOT(ISERROR(SEARCH("欠",X406)))</formula>
    </cfRule>
  </conditionalFormatting>
  <conditionalFormatting sqref="Y406">
    <cfRule type="containsText" dxfId="0" priority="2131" operator="between" text="欠">
      <formula>NOT(ISERROR(SEARCH("欠",Y406)))</formula>
    </cfRule>
  </conditionalFormatting>
  <conditionalFormatting sqref="Z406">
    <cfRule type="containsText" dxfId="0" priority="2137" operator="between" text="欠">
      <formula>NOT(ISERROR(SEARCH("欠",Z406)))</formula>
    </cfRule>
  </conditionalFormatting>
  <conditionalFormatting sqref="AA406">
    <cfRule type="containsText" dxfId="0" priority="2134" operator="between" text="欠">
      <formula>NOT(ISERROR(SEARCH("欠",AA406)))</formula>
    </cfRule>
  </conditionalFormatting>
  <conditionalFormatting sqref="AB406">
    <cfRule type="containsText" dxfId="0" priority="2127" operator="between" text="欠">
      <formula>NOT(ISERROR(SEARCH("欠",AB406)))</formula>
    </cfRule>
  </conditionalFormatting>
  <conditionalFormatting sqref="AC406:AD406">
    <cfRule type="containsText" dxfId="0" priority="2133" operator="between" text="欠">
      <formula>NOT(ISERROR(SEARCH("欠",AC406)))</formula>
    </cfRule>
  </conditionalFormatting>
  <conditionalFormatting sqref="AE406">
    <cfRule type="containsText" dxfId="0" priority="2129" operator="between" text="欠">
      <formula>NOT(ISERROR(SEARCH("欠",AE406)))</formula>
    </cfRule>
  </conditionalFormatting>
  <conditionalFormatting sqref="AF406">
    <cfRule type="containsText" dxfId="0" priority="2136" operator="between" text="欠">
      <formula>NOT(ISERROR(SEARCH("欠",AF406)))</formula>
    </cfRule>
  </conditionalFormatting>
  <conditionalFormatting sqref="AG406">
    <cfRule type="containsText" dxfId="0" priority="2128" operator="between" text="欠">
      <formula>NOT(ISERROR(SEARCH("欠",AG406)))</formula>
    </cfRule>
  </conditionalFormatting>
  <conditionalFormatting sqref="AH406">
    <cfRule type="containsText" dxfId="0" priority="2132" operator="between" text="欠">
      <formula>NOT(ISERROR(SEARCH("欠",AH406)))</formula>
    </cfRule>
  </conditionalFormatting>
  <conditionalFormatting sqref="AI406">
    <cfRule type="containsText" dxfId="0" priority="2130" operator="between" text="欠">
      <formula>NOT(ISERROR(SEARCH("欠",AI406)))</formula>
    </cfRule>
  </conditionalFormatting>
  <conditionalFormatting sqref="AH408">
    <cfRule type="containsText" dxfId="0" priority="2071" operator="between" text="欠">
      <formula>NOT(ISERROR(SEARCH("欠",AH408)))</formula>
    </cfRule>
  </conditionalFormatting>
  <conditionalFormatting sqref="Z409">
    <cfRule type="containsText" dxfId="0" priority="2085" operator="between" text="欠">
      <formula>NOT(ISERROR(SEARCH("欠",Z409)))</formula>
    </cfRule>
  </conditionalFormatting>
  <conditionalFormatting sqref="AH409">
    <cfRule type="containsText" dxfId="0" priority="2082" operator="between" text="欠">
      <formula>NOT(ISERROR(SEARCH("欠",AH409)))</formula>
    </cfRule>
  </conditionalFormatting>
  <conditionalFormatting sqref="AG411">
    <cfRule type="containsText" dxfId="0" priority="2091" operator="between" text="欠">
      <formula>NOT(ISERROR(SEARCH("欠",AG411)))</formula>
    </cfRule>
  </conditionalFormatting>
  <conditionalFormatting sqref="AH411">
    <cfRule type="containsText" dxfId="0" priority="2095" operator="between" text="欠">
      <formula>NOT(ISERROR(SEARCH("欠",AH411)))</formula>
    </cfRule>
  </conditionalFormatting>
  <conditionalFormatting sqref="AH412">
    <cfRule type="containsText" dxfId="0" priority="2094" operator="between" text="欠">
      <formula>NOT(ISERROR(SEARCH("欠",AH412)))</formula>
    </cfRule>
  </conditionalFormatting>
  <conditionalFormatting sqref="AH413">
    <cfRule type="containsText" dxfId="0" priority="2093" operator="between" text="欠">
      <formula>NOT(ISERROR(SEARCH("欠",AH413)))</formula>
    </cfRule>
  </conditionalFormatting>
  <conditionalFormatting sqref="X414">
    <cfRule type="containsText" dxfId="0" priority="2102" operator="between" text="欠">
      <formula>NOT(ISERROR(SEARCH("欠",X414)))</formula>
    </cfRule>
  </conditionalFormatting>
  <conditionalFormatting sqref="Y414">
    <cfRule type="containsText" dxfId="0" priority="2104" operator="between" text="欠">
      <formula>NOT(ISERROR(SEARCH("欠",Y414)))</formula>
    </cfRule>
  </conditionalFormatting>
  <conditionalFormatting sqref="Z414">
    <cfRule type="containsText" dxfId="0" priority="2103" operator="between" text="欠">
      <formula>NOT(ISERROR(SEARCH("欠",Z414)))</formula>
    </cfRule>
  </conditionalFormatting>
  <conditionalFormatting sqref="AA414:AB414">
    <cfRule type="containsText" dxfId="0" priority="2101" operator="between" text="欠">
      <formula>NOT(ISERROR(SEARCH("欠",AA414)))</formula>
    </cfRule>
  </conditionalFormatting>
  <conditionalFormatting sqref="AC414:AD414">
    <cfRule type="containsText" dxfId="0" priority="2100" operator="between" text="欠">
      <formula>NOT(ISERROR(SEARCH("欠",AC414)))</formula>
    </cfRule>
  </conditionalFormatting>
  <conditionalFormatting sqref="AE414">
    <cfRule type="containsText" dxfId="0" priority="2099" operator="between" text="欠">
      <formula>NOT(ISERROR(SEARCH("欠",AE414)))</formula>
    </cfRule>
  </conditionalFormatting>
  <conditionalFormatting sqref="AG414:AH414">
    <cfRule type="containsText" dxfId="0" priority="2098" operator="between" text="欠">
      <formula>NOT(ISERROR(SEARCH("欠",AG414)))</formula>
    </cfRule>
  </conditionalFormatting>
  <conditionalFormatting sqref="B415">
    <cfRule type="containsText" dxfId="1" priority="2056" operator="between" text="异常">
      <formula>NOT(ISERROR(SEARCH("异常",B415)))</formula>
    </cfRule>
  </conditionalFormatting>
  <conditionalFormatting sqref="C415">
    <cfRule type="containsText" dxfId="2" priority="2054" operator="between" text="二代">
      <formula>NOT(ISERROR(SEARCH("二代",C415)))</formula>
    </cfRule>
    <cfRule type="containsText" dxfId="3" priority="2055" operator="between" text="蛋糕">
      <formula>NOT(ISERROR(SEARCH("蛋糕",C415)))</formula>
    </cfRule>
  </conditionalFormatting>
  <conditionalFormatting sqref="X415">
    <cfRule type="containsText" dxfId="0" priority="2067" operator="between" text="欠">
      <formula>NOT(ISERROR(SEARCH("欠",X415)))</formula>
    </cfRule>
  </conditionalFormatting>
  <conditionalFormatting sqref="Y415">
    <cfRule type="containsText" dxfId="0" priority="2066" operator="between" text="欠">
      <formula>NOT(ISERROR(SEARCH("欠",Y415)))</formula>
    </cfRule>
  </conditionalFormatting>
  <conditionalFormatting sqref="Z415">
    <cfRule type="containsText" dxfId="0" priority="2068" operator="between" text="欠">
      <formula>NOT(ISERROR(SEARCH("欠",Z415)))</formula>
    </cfRule>
  </conditionalFormatting>
  <conditionalFormatting sqref="AA415:AB415">
    <cfRule type="containsText" dxfId="0" priority="2065" operator="between" text="欠">
      <formula>NOT(ISERROR(SEARCH("欠",AA415)))</formula>
    </cfRule>
  </conditionalFormatting>
  <conditionalFormatting sqref="AC415:AD415">
    <cfRule type="containsText" dxfId="0" priority="2064" operator="between" text="欠">
      <formula>NOT(ISERROR(SEARCH("欠",AC415)))</formula>
    </cfRule>
  </conditionalFormatting>
  <conditionalFormatting sqref="AE415">
    <cfRule type="containsText" dxfId="0" priority="2061" operator="between" text="欠">
      <formula>NOT(ISERROR(SEARCH("欠",AE415)))</formula>
    </cfRule>
  </conditionalFormatting>
  <conditionalFormatting sqref="AF415">
    <cfRule type="containsText" dxfId="0" priority="2062" operator="between" text="欠">
      <formula>NOT(ISERROR(SEARCH("欠",AF415)))</formula>
    </cfRule>
  </conditionalFormatting>
  <conditionalFormatting sqref="AG415">
    <cfRule type="containsText" dxfId="0" priority="2060" operator="between" text="欠">
      <formula>NOT(ISERROR(SEARCH("欠",AG415)))</formula>
    </cfRule>
  </conditionalFormatting>
  <conditionalFormatting sqref="AH415">
    <cfRule type="containsText" dxfId="0" priority="2063" operator="between" text="欠">
      <formula>NOT(ISERROR(SEARCH("欠",AH415)))</formula>
    </cfRule>
  </conditionalFormatting>
  <conditionalFormatting sqref="AI415">
    <cfRule type="containsText" dxfId="0" priority="2057" operator="between" text="欠">
      <formula>NOT(ISERROR(SEARCH("欠",AI415)))</formula>
    </cfRule>
  </conditionalFormatting>
  <conditionalFormatting sqref="AK415">
    <cfRule type="containsText" dxfId="0" priority="2059" operator="between" text="欠">
      <formula>NOT(ISERROR(SEARCH("欠",AK415)))</formula>
    </cfRule>
  </conditionalFormatting>
  <conditionalFormatting sqref="AL415">
    <cfRule type="containsText" dxfId="0" priority="2058" operator="between" text="欠">
      <formula>NOT(ISERROR(SEARCH("欠",AL415)))</formula>
    </cfRule>
  </conditionalFormatting>
  <conditionalFormatting sqref="Z416">
    <cfRule type="containsText" dxfId="0" priority="2052" operator="between" text="欠">
      <formula>NOT(ISERROR(SEARCH("欠",Z416)))</formula>
    </cfRule>
  </conditionalFormatting>
  <conditionalFormatting sqref="Y419">
    <cfRule type="containsText" dxfId="0" priority="2038" operator="between" text="欠">
      <formula>NOT(ISERROR(SEARCH("欠",Y419)))</formula>
    </cfRule>
  </conditionalFormatting>
  <conditionalFormatting sqref="AC419:AD419">
    <cfRule type="containsText" dxfId="0" priority="2037" operator="between" text="欠">
      <formula>NOT(ISERROR(SEARCH("欠",AC419)))</formula>
    </cfRule>
  </conditionalFormatting>
  <conditionalFormatting sqref="AF419">
    <cfRule type="containsText" dxfId="0" priority="2053" operator="between" text="欠">
      <formula>NOT(ISERROR(SEARCH("欠",AF419)))</formula>
    </cfRule>
  </conditionalFormatting>
  <conditionalFormatting sqref="AI419">
    <cfRule type="containsText" dxfId="0" priority="2034" operator="between" text="欠">
      <formula>NOT(ISERROR(SEARCH("欠",AI419)))</formula>
    </cfRule>
  </conditionalFormatting>
  <conditionalFormatting sqref="Y420">
    <cfRule type="containsText" dxfId="0" priority="2039" operator="between" text="欠">
      <formula>NOT(ISERROR(SEARCH("欠",Y420)))</formula>
    </cfRule>
  </conditionalFormatting>
  <conditionalFormatting sqref="AC420:AD420">
    <cfRule type="containsText" dxfId="0" priority="2036" operator="between" text="欠">
      <formula>NOT(ISERROR(SEARCH("欠",AC420)))</formula>
    </cfRule>
  </conditionalFormatting>
  <conditionalFormatting sqref="B421">
    <cfRule type="containsText" dxfId="1" priority="2026" operator="between" text="异常">
      <formula>NOT(ISERROR(SEARCH("异常",B421)))</formula>
    </cfRule>
  </conditionalFormatting>
  <conditionalFormatting sqref="C421">
    <cfRule type="containsText" dxfId="2" priority="2022" operator="between" text="二代">
      <formula>NOT(ISERROR(SEARCH("二代",C421)))</formula>
    </cfRule>
    <cfRule type="containsText" dxfId="3" priority="2023" operator="between" text="蛋糕">
      <formula>NOT(ISERROR(SEARCH("蛋糕",C421)))</formula>
    </cfRule>
  </conditionalFormatting>
  <conditionalFormatting sqref="Y421">
    <cfRule type="containsText" dxfId="0" priority="2024" operator="between" text="欠">
      <formula>NOT(ISERROR(SEARCH("欠",Y421)))</formula>
    </cfRule>
  </conditionalFormatting>
  <conditionalFormatting sqref="Z421">
    <cfRule type="containsText" dxfId="0" priority="2030" operator="between" text="欠">
      <formula>NOT(ISERROR(SEARCH("欠",Z421)))</formula>
    </cfRule>
  </conditionalFormatting>
  <conditionalFormatting sqref="AA421:AB421">
    <cfRule type="containsText" dxfId="0" priority="2029" operator="between" text="欠">
      <formula>NOT(ISERROR(SEARCH("欠",AA421)))</formula>
    </cfRule>
  </conditionalFormatting>
  <conditionalFormatting sqref="AC421:AD421">
    <cfRule type="containsText" dxfId="0" priority="2028" operator="between" text="欠">
      <formula>NOT(ISERROR(SEARCH("欠",AC421)))</formula>
    </cfRule>
  </conditionalFormatting>
  <conditionalFormatting sqref="AH421">
    <cfRule type="containsText" dxfId="0" priority="2027" operator="between" text="欠">
      <formula>NOT(ISERROR(SEARCH("欠",AH421)))</formula>
    </cfRule>
  </conditionalFormatting>
  <conditionalFormatting sqref="AI421">
    <cfRule type="containsText" dxfId="0" priority="2025" operator="between" text="欠">
      <formula>NOT(ISERROR(SEARCH("欠",AI421)))</formula>
    </cfRule>
  </conditionalFormatting>
  <conditionalFormatting sqref="Y422">
    <cfRule type="containsText" dxfId="0" priority="2003" operator="between" text="欠">
      <formula>NOT(ISERROR(SEARCH("欠",Y422)))</formula>
    </cfRule>
  </conditionalFormatting>
  <conditionalFormatting sqref="AH422">
    <cfRule type="containsText" dxfId="0" priority="2004" operator="between" text="欠">
      <formula>NOT(ISERROR(SEARCH("欠",AH422)))</formula>
    </cfRule>
  </conditionalFormatting>
  <conditionalFormatting sqref="Y423">
    <cfRule type="containsText" dxfId="0" priority="2008" operator="between" text="欠">
      <formula>NOT(ISERROR(SEARCH("欠",Y423)))</formula>
    </cfRule>
  </conditionalFormatting>
  <conditionalFormatting sqref="AC423">
    <cfRule type="containsText" dxfId="0" priority="2019" operator="between" text="欠">
      <formula>NOT(ISERROR(SEARCH("欠",AC423)))</formula>
    </cfRule>
  </conditionalFormatting>
  <conditionalFormatting sqref="AH423">
    <cfRule type="containsText" dxfId="0" priority="2013" operator="between" text="欠">
      <formula>NOT(ISERROR(SEARCH("欠",AH423)))</formula>
    </cfRule>
  </conditionalFormatting>
  <conditionalFormatting sqref="AJ423">
    <cfRule type="containsText" dxfId="0" priority="1998" operator="between" text="欠">
      <formula>NOT(ISERROR(SEARCH("欠",AJ423)))</formula>
    </cfRule>
  </conditionalFormatting>
  <conditionalFormatting sqref="Y424">
    <cfRule type="containsText" dxfId="0" priority="1991" operator="between" text="欠">
      <formula>NOT(ISERROR(SEARCH("欠",Y424)))</formula>
    </cfRule>
  </conditionalFormatting>
  <conditionalFormatting sqref="AC424:AD424">
    <cfRule type="containsText" dxfId="0" priority="2018" operator="between" text="欠">
      <formula>NOT(ISERROR(SEARCH("欠",AC424)))</formula>
    </cfRule>
  </conditionalFormatting>
  <conditionalFormatting sqref="AH424">
    <cfRule type="containsText" dxfId="0" priority="2012" operator="between" text="欠">
      <formula>NOT(ISERROR(SEARCH("欠",AH424)))</formula>
    </cfRule>
  </conditionalFormatting>
  <conditionalFormatting sqref="Y425">
    <cfRule type="containsText" dxfId="0" priority="2007" operator="between" text="欠">
      <formula>NOT(ISERROR(SEARCH("欠",Y425)))</formula>
    </cfRule>
  </conditionalFormatting>
  <conditionalFormatting sqref="AC425">
    <cfRule type="containsText" dxfId="0" priority="1995" operator="between" text="欠">
      <formula>NOT(ISERROR(SEARCH("欠",AC425)))</formula>
    </cfRule>
  </conditionalFormatting>
  <conditionalFormatting sqref="Y426">
    <cfRule type="containsText" dxfId="0" priority="1990" operator="between" text="欠">
      <formula>NOT(ISERROR(SEARCH("欠",Y426)))</formula>
    </cfRule>
  </conditionalFormatting>
  <conditionalFormatting sqref="AC426">
    <cfRule type="containsText" dxfId="0" priority="2016" operator="between" text="欠">
      <formula>NOT(ISERROR(SEARCH("欠",AC426)))</formula>
    </cfRule>
  </conditionalFormatting>
  <conditionalFormatting sqref="AJ426">
    <cfRule type="containsText" dxfId="0" priority="1997" operator="between" text="欠">
      <formula>NOT(ISERROR(SEARCH("欠",AJ426)))</formula>
    </cfRule>
  </conditionalFormatting>
  <conditionalFormatting sqref="Y427">
    <cfRule type="containsText" dxfId="0" priority="2006" operator="between" text="欠">
      <formula>NOT(ISERROR(SEARCH("欠",Y427)))</formula>
    </cfRule>
  </conditionalFormatting>
  <conditionalFormatting sqref="AC427">
    <cfRule type="containsText" dxfId="0" priority="2015" operator="between" text="欠">
      <formula>NOT(ISERROR(SEARCH("欠",AC427)))</formula>
    </cfRule>
  </conditionalFormatting>
  <conditionalFormatting sqref="AH427">
    <cfRule type="containsText" dxfId="0" priority="2010" operator="between" text="欠">
      <formula>NOT(ISERROR(SEARCH("欠",AH427)))</formula>
    </cfRule>
  </conditionalFormatting>
  <conditionalFormatting sqref="X428">
    <cfRule type="containsText" dxfId="0" priority="2020" operator="between" text="欠">
      <formula>NOT(ISERROR(SEARCH("欠",X428)))</formula>
    </cfRule>
  </conditionalFormatting>
  <conditionalFormatting sqref="Y428">
    <cfRule type="containsText" dxfId="0" priority="1989" operator="between" text="欠">
      <formula>NOT(ISERROR(SEARCH("欠",Y428)))</formula>
    </cfRule>
  </conditionalFormatting>
  <conditionalFormatting sqref="AC428:AD428">
    <cfRule type="containsText" dxfId="0" priority="2014" operator="between" text="欠">
      <formula>NOT(ISERROR(SEARCH("欠",AC428)))</formula>
    </cfRule>
  </conditionalFormatting>
  <conditionalFormatting sqref="AH428">
    <cfRule type="containsText" dxfId="0" priority="2009" operator="between" text="欠">
      <formula>NOT(ISERROR(SEARCH("欠",AH428)))</formula>
    </cfRule>
  </conditionalFormatting>
  <conditionalFormatting sqref="X429">
    <cfRule type="containsText" dxfId="0" priority="1983" operator="between" text="欠">
      <formula>NOT(ISERROR(SEARCH("欠",X429)))</formula>
    </cfRule>
  </conditionalFormatting>
  <conditionalFormatting sqref="Y429">
    <cfRule type="containsText" dxfId="0" priority="1979" operator="between" text="欠">
      <formula>NOT(ISERROR(SEARCH("欠",Y429)))</formula>
    </cfRule>
  </conditionalFormatting>
  <conditionalFormatting sqref="Z429">
    <cfRule type="containsText" dxfId="0" priority="1986" operator="between" text="欠">
      <formula>NOT(ISERROR(SEARCH("欠",Z429)))</formula>
    </cfRule>
  </conditionalFormatting>
  <conditionalFormatting sqref="AA429:AB429">
    <cfRule type="containsText" dxfId="0" priority="1982" operator="between" text="欠">
      <formula>NOT(ISERROR(SEARCH("欠",AA429)))</formula>
    </cfRule>
  </conditionalFormatting>
  <conditionalFormatting sqref="AC429:AD429">
    <cfRule type="containsText" dxfId="0" priority="1981" operator="between" text="欠">
      <formula>NOT(ISERROR(SEARCH("欠",AC429)))</formula>
    </cfRule>
  </conditionalFormatting>
  <conditionalFormatting sqref="AF429">
    <cfRule type="containsText" dxfId="0" priority="1985" operator="between" text="欠">
      <formula>NOT(ISERROR(SEARCH("欠",AF429)))</formula>
    </cfRule>
  </conditionalFormatting>
  <conditionalFormatting sqref="AI429">
    <cfRule type="containsText" dxfId="0" priority="1984" operator="between" text="欠">
      <formula>NOT(ISERROR(SEARCH("欠",AI429)))</formula>
    </cfRule>
  </conditionalFormatting>
  <conditionalFormatting sqref="Y430">
    <cfRule type="containsText" dxfId="0" priority="1974" operator="between" text="欠">
      <formula>NOT(ISERROR(SEARCH("欠",Y430)))</formula>
    </cfRule>
  </conditionalFormatting>
  <conditionalFormatting sqref="Z430">
    <cfRule type="containsText" dxfId="0" priority="1978" operator="between" text="欠">
      <formula>NOT(ISERROR(SEARCH("欠",Z430)))</formula>
    </cfRule>
  </conditionalFormatting>
  <conditionalFormatting sqref="AA430">
    <cfRule type="containsText" dxfId="0" priority="1976" operator="between" text="欠">
      <formula>NOT(ISERROR(SEARCH("欠",AA430)))</formula>
    </cfRule>
  </conditionalFormatting>
  <conditionalFormatting sqref="AB430">
    <cfRule type="containsText" dxfId="0" priority="1969" operator="between" text="欠">
      <formula>NOT(ISERROR(SEARCH("欠",AB430)))</formula>
    </cfRule>
  </conditionalFormatting>
  <conditionalFormatting sqref="AC430:AD430">
    <cfRule type="containsText" dxfId="0" priority="1975" operator="between" text="欠">
      <formula>NOT(ISERROR(SEARCH("欠",AC430)))</formula>
    </cfRule>
  </conditionalFormatting>
  <conditionalFormatting sqref="AF430">
    <cfRule type="containsText" dxfId="0" priority="1977" operator="between" text="欠">
      <formula>NOT(ISERROR(SEARCH("欠",AF430)))</formula>
    </cfRule>
  </conditionalFormatting>
  <conditionalFormatting sqref="AI430">
    <cfRule type="containsText" dxfId="0" priority="1973" operator="between" text="欠">
      <formula>NOT(ISERROR(SEARCH("欠",AI430)))</formula>
    </cfRule>
  </conditionalFormatting>
  <conditionalFormatting sqref="B431">
    <cfRule type="containsText" dxfId="1" priority="1959" operator="between" text="异常">
      <formula>NOT(ISERROR(SEARCH("异常",B431)))</formula>
    </cfRule>
  </conditionalFormatting>
  <conditionalFormatting sqref="C431">
    <cfRule type="containsText" dxfId="2" priority="1957" operator="between" text="二代">
      <formula>NOT(ISERROR(SEARCH("二代",C431)))</formula>
    </cfRule>
    <cfRule type="containsText" dxfId="3" priority="1958" operator="between" text="蛋糕">
      <formula>NOT(ISERROR(SEARCH("蛋糕",C431)))</formula>
    </cfRule>
  </conditionalFormatting>
  <conditionalFormatting sqref="X431">
    <cfRule type="containsText" dxfId="0" priority="1967" operator="between" text="欠">
      <formula>NOT(ISERROR(SEARCH("欠",X431)))</formula>
    </cfRule>
  </conditionalFormatting>
  <conditionalFormatting sqref="Y431">
    <cfRule type="containsText" dxfId="0" priority="1968" operator="between" text="欠">
      <formula>NOT(ISERROR(SEARCH("欠",Y431)))</formula>
    </cfRule>
  </conditionalFormatting>
  <conditionalFormatting sqref="Z431">
    <cfRule type="containsText" dxfId="0" priority="1963" operator="between" text="欠">
      <formula>NOT(ISERROR(SEARCH("欠",Z431)))</formula>
    </cfRule>
  </conditionalFormatting>
  <conditionalFormatting sqref="AA431">
    <cfRule type="containsText" dxfId="0" priority="1961" operator="between" text="欠">
      <formula>NOT(ISERROR(SEARCH("欠",AA431)))</formula>
    </cfRule>
  </conditionalFormatting>
  <conditionalFormatting sqref="AB431">
    <cfRule type="containsText" dxfId="0" priority="1966" operator="between" text="欠">
      <formula>NOT(ISERROR(SEARCH("欠",AB431)))</formula>
    </cfRule>
  </conditionalFormatting>
  <conditionalFormatting sqref="AC431:AD431">
    <cfRule type="containsText" dxfId="0" priority="1965" operator="between" text="欠">
      <formula>NOT(ISERROR(SEARCH("欠",AC431)))</formula>
    </cfRule>
  </conditionalFormatting>
  <conditionalFormatting sqref="AE431">
    <cfRule type="containsText" dxfId="0" priority="1964" operator="between" text="欠">
      <formula>NOT(ISERROR(SEARCH("欠",AE431)))</formula>
    </cfRule>
  </conditionalFormatting>
  <conditionalFormatting sqref="AG431">
    <cfRule type="containsText" dxfId="0" priority="1960" operator="between" text="欠">
      <formula>NOT(ISERROR(SEARCH("欠",AG431)))</formula>
    </cfRule>
  </conditionalFormatting>
  <conditionalFormatting sqref="B432">
    <cfRule type="containsText" dxfId="1" priority="1956" operator="between" text="异常">
      <formula>NOT(ISERROR(SEARCH("异常",B432)))</formula>
    </cfRule>
  </conditionalFormatting>
  <conditionalFormatting sqref="C432">
    <cfRule type="containsText" dxfId="2" priority="1954" operator="between" text="二代">
      <formula>NOT(ISERROR(SEARCH("二代",C432)))</formula>
    </cfRule>
    <cfRule type="containsText" dxfId="3" priority="1955" operator="between" text="蛋糕">
      <formula>NOT(ISERROR(SEARCH("蛋糕",C432)))</formula>
    </cfRule>
  </conditionalFormatting>
  <conditionalFormatting sqref="X433">
    <cfRule type="containsText" dxfId="0" priority="1946" operator="between" text="欠">
      <formula>NOT(ISERROR(SEARCH("欠",X433)))</formula>
    </cfRule>
  </conditionalFormatting>
  <conditionalFormatting sqref="Y433">
    <cfRule type="containsText" dxfId="0" priority="1942" operator="between" text="欠">
      <formula>NOT(ISERROR(SEARCH("欠",Y433)))</formula>
    </cfRule>
  </conditionalFormatting>
  <conditionalFormatting sqref="AB433">
    <cfRule type="containsText" dxfId="0" priority="1945" operator="between" text="欠">
      <formula>NOT(ISERROR(SEARCH("欠",AB433)))</formula>
    </cfRule>
  </conditionalFormatting>
  <conditionalFormatting sqref="AF433">
    <cfRule type="containsText" dxfId="0" priority="1951" operator="between" text="欠">
      <formula>NOT(ISERROR(SEARCH("欠",AF433)))</formula>
    </cfRule>
  </conditionalFormatting>
  <conditionalFormatting sqref="AH433">
    <cfRule type="containsText" dxfId="0" priority="1943" operator="between" text="欠">
      <formula>NOT(ISERROR(SEARCH("欠",AH433)))</formula>
    </cfRule>
  </conditionalFormatting>
  <conditionalFormatting sqref="AI433">
    <cfRule type="containsText" dxfId="0" priority="1950" operator="between" text="欠">
      <formula>NOT(ISERROR(SEARCH("欠",AI433)))</formula>
    </cfRule>
  </conditionalFormatting>
  <conditionalFormatting sqref="X434">
    <cfRule type="containsText" dxfId="0" priority="1949" operator="between" text="欠">
      <formula>NOT(ISERROR(SEARCH("欠",X434)))</formula>
    </cfRule>
  </conditionalFormatting>
  <conditionalFormatting sqref="Y434">
    <cfRule type="containsText" dxfId="0" priority="1947" operator="between" text="欠">
      <formula>NOT(ISERROR(SEARCH("欠",Y434)))</formula>
    </cfRule>
  </conditionalFormatting>
  <conditionalFormatting sqref="AF434">
    <cfRule type="containsText" dxfId="0" priority="1940" operator="between" text="欠">
      <formula>NOT(ISERROR(SEARCH("欠",AF434)))</formula>
    </cfRule>
  </conditionalFormatting>
  <conditionalFormatting sqref="AH434">
    <cfRule type="containsText" dxfId="0" priority="1948" operator="between" text="欠">
      <formula>NOT(ISERROR(SEARCH("欠",AH434)))</formula>
    </cfRule>
  </conditionalFormatting>
  <conditionalFormatting sqref="AI434">
    <cfRule type="containsText" dxfId="0" priority="1939" operator="between" text="欠">
      <formula>NOT(ISERROR(SEARCH("欠",AI434)))</formula>
    </cfRule>
  </conditionalFormatting>
  <conditionalFormatting sqref="B435">
    <cfRule type="containsText" dxfId="1" priority="1924" operator="between" text="异常">
      <formula>NOT(ISERROR(SEARCH("异常",B435)))</formula>
    </cfRule>
  </conditionalFormatting>
  <conditionalFormatting sqref="C435">
    <cfRule type="containsText" dxfId="2" priority="1922" operator="between" text="二代">
      <formula>NOT(ISERROR(SEARCH("二代",C435)))</formula>
    </cfRule>
    <cfRule type="containsText" dxfId="3" priority="1923" operator="between" text="蛋糕">
      <formula>NOT(ISERROR(SEARCH("蛋糕",C435)))</formula>
    </cfRule>
  </conditionalFormatting>
  <conditionalFormatting sqref="X435">
    <cfRule type="containsText" dxfId="0" priority="1931" operator="between" text="欠">
      <formula>NOT(ISERROR(SEARCH("欠",X435)))</formula>
    </cfRule>
  </conditionalFormatting>
  <conditionalFormatting sqref="Y435">
    <cfRule type="containsText" dxfId="0" priority="1930" operator="between" text="欠">
      <formula>NOT(ISERROR(SEARCH("欠",Y435)))</formula>
    </cfRule>
  </conditionalFormatting>
  <conditionalFormatting sqref="Z435">
    <cfRule type="containsText" dxfId="0" priority="1932" operator="between" text="欠">
      <formula>NOT(ISERROR(SEARCH("欠",Z435)))</formula>
    </cfRule>
  </conditionalFormatting>
  <conditionalFormatting sqref="AA435:AB435">
    <cfRule type="containsText" dxfId="0" priority="1928" operator="between" text="欠">
      <formula>NOT(ISERROR(SEARCH("欠",AA435)))</formula>
    </cfRule>
  </conditionalFormatting>
  <conditionalFormatting sqref="AC435">
    <cfRule type="containsText" dxfId="0" priority="1933" operator="between" text="欠">
      <formula>NOT(ISERROR(SEARCH("欠",AC435)))</formula>
    </cfRule>
  </conditionalFormatting>
  <conditionalFormatting sqref="AD435">
    <cfRule type="containsText" dxfId="0" priority="1934" operator="between" text="欠">
      <formula>NOT(ISERROR(SEARCH("欠",AD435)))</formula>
    </cfRule>
  </conditionalFormatting>
  <conditionalFormatting sqref="AE435">
    <cfRule type="containsText" dxfId="0" priority="1926" operator="between" text="欠">
      <formula>NOT(ISERROR(SEARCH("欠",AE435)))</formula>
    </cfRule>
  </conditionalFormatting>
  <conditionalFormatting sqref="AF435">
    <cfRule type="containsText" dxfId="0" priority="1929" operator="between" text="欠">
      <formula>NOT(ISERROR(SEARCH("欠",AF435)))</formula>
    </cfRule>
  </conditionalFormatting>
  <conditionalFormatting sqref="AG435">
    <cfRule type="containsText" dxfId="0" priority="1925" operator="between" text="欠">
      <formula>NOT(ISERROR(SEARCH("欠",AG435)))</formula>
    </cfRule>
  </conditionalFormatting>
  <conditionalFormatting sqref="AH435">
    <cfRule type="containsText" dxfId="0" priority="1927" operator="between" text="欠">
      <formula>NOT(ISERROR(SEARCH("欠",AH435)))</formula>
    </cfRule>
  </conditionalFormatting>
  <conditionalFormatting sqref="AI435">
    <cfRule type="containsText" dxfId="0" priority="1935" operator="between" text="欠">
      <formula>NOT(ISERROR(SEARCH("欠",AI435)))</formula>
    </cfRule>
  </conditionalFormatting>
  <conditionalFormatting sqref="B436">
    <cfRule type="containsText" dxfId="1" priority="1911" operator="between" text="异常">
      <formula>NOT(ISERROR(SEARCH("异常",B436)))</formula>
    </cfRule>
  </conditionalFormatting>
  <conditionalFormatting sqref="C436">
    <cfRule type="containsText" dxfId="2" priority="1909" operator="between" text="二代">
      <formula>NOT(ISERROR(SEARCH("二代",C436)))</formula>
    </cfRule>
    <cfRule type="containsText" dxfId="3" priority="1910" operator="between" text="蛋糕">
      <formula>NOT(ISERROR(SEARCH("蛋糕",C436)))</formula>
    </cfRule>
  </conditionalFormatting>
  <conditionalFormatting sqref="X436">
    <cfRule type="containsText" dxfId="0" priority="1916" operator="between" text="欠">
      <formula>NOT(ISERROR(SEARCH("欠",X436)))</formula>
    </cfRule>
  </conditionalFormatting>
  <conditionalFormatting sqref="Y436">
    <cfRule type="containsText" dxfId="0" priority="1917" operator="between" text="欠">
      <formula>NOT(ISERROR(SEARCH("欠",Y436)))</formula>
    </cfRule>
  </conditionalFormatting>
  <conditionalFormatting sqref="Z436">
    <cfRule type="containsText" dxfId="0" priority="1921" operator="between" text="欠">
      <formula>NOT(ISERROR(SEARCH("欠",Z436)))</formula>
    </cfRule>
  </conditionalFormatting>
  <conditionalFormatting sqref="AA436">
    <cfRule type="containsText" dxfId="0" priority="1920" operator="between" text="欠">
      <formula>NOT(ISERROR(SEARCH("欠",AA436)))</formula>
    </cfRule>
  </conditionalFormatting>
  <conditionalFormatting sqref="AB436">
    <cfRule type="containsText" dxfId="0" priority="1915" operator="between" text="欠">
      <formula>NOT(ISERROR(SEARCH("欠",AB436)))</formula>
    </cfRule>
  </conditionalFormatting>
  <conditionalFormatting sqref="AC436:AD436">
    <cfRule type="containsText" dxfId="0" priority="1914" operator="between" text="欠">
      <formula>NOT(ISERROR(SEARCH("欠",AC436)))</formula>
    </cfRule>
  </conditionalFormatting>
  <conditionalFormatting sqref="AE436">
    <cfRule type="containsText" dxfId="0" priority="1913" operator="between" text="欠">
      <formula>NOT(ISERROR(SEARCH("欠",AE436)))</formula>
    </cfRule>
  </conditionalFormatting>
  <conditionalFormatting sqref="AF436">
    <cfRule type="containsText" dxfId="0" priority="1918" operator="between" text="欠">
      <formula>NOT(ISERROR(SEARCH("欠",AF436)))</formula>
    </cfRule>
  </conditionalFormatting>
  <conditionalFormatting sqref="AG436:AH436">
    <cfRule type="containsText" dxfId="0" priority="1912" operator="between" text="欠">
      <formula>NOT(ISERROR(SEARCH("欠",AG436)))</formula>
    </cfRule>
  </conditionalFormatting>
  <conditionalFormatting sqref="AI436">
    <cfRule type="containsText" dxfId="0" priority="1919" operator="between" text="欠">
      <formula>NOT(ISERROR(SEARCH("欠",AI436)))</formula>
    </cfRule>
  </conditionalFormatting>
  <conditionalFormatting sqref="B437">
    <cfRule type="containsText" dxfId="1" priority="1899" operator="between" text="异常">
      <formula>NOT(ISERROR(SEARCH("异常",B437)))</formula>
    </cfRule>
  </conditionalFormatting>
  <conditionalFormatting sqref="C437">
    <cfRule type="containsText" dxfId="2" priority="1897" operator="between" text="二代">
      <formula>NOT(ISERROR(SEARCH("二代",C437)))</formula>
    </cfRule>
    <cfRule type="containsText" dxfId="3" priority="1898" operator="between" text="蛋糕">
      <formula>NOT(ISERROR(SEARCH("蛋糕",C437)))</formula>
    </cfRule>
  </conditionalFormatting>
  <conditionalFormatting sqref="X437:Y437">
    <cfRule type="containsText" dxfId="0" priority="1907" operator="between" text="欠">
      <formula>NOT(ISERROR(SEARCH("欠",X437)))</formula>
    </cfRule>
  </conditionalFormatting>
  <conditionalFormatting sqref="Z437">
    <cfRule type="containsText" dxfId="0" priority="1906" operator="between" text="欠">
      <formula>NOT(ISERROR(SEARCH("欠",Z437)))</formula>
    </cfRule>
  </conditionalFormatting>
  <conditionalFormatting sqref="AC437">
    <cfRule type="containsText" dxfId="0" priority="1908" operator="between" text="欠">
      <formula>NOT(ISERROR(SEARCH("欠",AC437)))</formula>
    </cfRule>
  </conditionalFormatting>
  <conditionalFormatting sqref="AD437">
    <cfRule type="containsText" dxfId="0" priority="1905" operator="between" text="欠">
      <formula>NOT(ISERROR(SEARCH("欠",AD437)))</formula>
    </cfRule>
  </conditionalFormatting>
  <conditionalFormatting sqref="AE437">
    <cfRule type="containsText" dxfId="0" priority="1903" operator="between" text="欠">
      <formula>NOT(ISERROR(SEARCH("欠",AE437)))</formula>
    </cfRule>
  </conditionalFormatting>
  <conditionalFormatting sqref="AF437">
    <cfRule type="containsText" dxfId="0" priority="1902" operator="between" text="欠">
      <formula>NOT(ISERROR(SEARCH("欠",AF437)))</formula>
    </cfRule>
  </conditionalFormatting>
  <conditionalFormatting sqref="AG437">
    <cfRule type="containsText" dxfId="0" priority="1901" operator="between" text="欠">
      <formula>NOT(ISERROR(SEARCH("欠",AG437)))</formula>
    </cfRule>
  </conditionalFormatting>
  <conditionalFormatting sqref="AH437">
    <cfRule type="containsText" dxfId="0" priority="1900" operator="between" text="欠">
      <formula>NOT(ISERROR(SEARCH("欠",AH437)))</formula>
    </cfRule>
  </conditionalFormatting>
  <conditionalFormatting sqref="AI437">
    <cfRule type="containsText" dxfId="0" priority="1904" operator="between" text="欠">
      <formula>NOT(ISERROR(SEARCH("欠",AI437)))</formula>
    </cfRule>
  </conditionalFormatting>
  <conditionalFormatting sqref="B441">
    <cfRule type="containsText" dxfId="1" priority="1870" operator="between" text="异常">
      <formula>NOT(ISERROR(SEARCH("异常",B441)))</formula>
    </cfRule>
  </conditionalFormatting>
  <conditionalFormatting sqref="C441">
    <cfRule type="containsText" dxfId="2" priority="1868" operator="between" text="二代">
      <formula>NOT(ISERROR(SEARCH("二代",C441)))</formula>
    </cfRule>
    <cfRule type="containsText" dxfId="3" priority="1869" operator="between" text="蛋糕">
      <formula>NOT(ISERROR(SEARCH("蛋糕",C441)))</formula>
    </cfRule>
  </conditionalFormatting>
  <conditionalFormatting sqref="X441">
    <cfRule type="containsText" dxfId="0" priority="1880" operator="between" text="欠">
      <formula>NOT(ISERROR(SEARCH("欠",X441)))</formula>
    </cfRule>
  </conditionalFormatting>
  <conditionalFormatting sqref="Y441">
    <cfRule type="containsText" dxfId="0" priority="1879" operator="between" text="欠">
      <formula>NOT(ISERROR(SEARCH("欠",Y441)))</formula>
    </cfRule>
  </conditionalFormatting>
  <conditionalFormatting sqref="Z441">
    <cfRule type="containsText" dxfId="0" priority="1882" operator="between" text="欠">
      <formula>NOT(ISERROR(SEARCH("欠",Z441)))</formula>
    </cfRule>
  </conditionalFormatting>
  <conditionalFormatting sqref="AA441:AB441">
    <cfRule type="containsText" dxfId="0" priority="1878" operator="between" text="欠">
      <formula>NOT(ISERROR(SEARCH("欠",AA441)))</formula>
    </cfRule>
  </conditionalFormatting>
  <conditionalFormatting sqref="AC441:AD441">
    <cfRule type="containsText" dxfId="0" priority="1877" operator="between" text="欠">
      <formula>NOT(ISERROR(SEARCH("欠",AC441)))</formula>
    </cfRule>
  </conditionalFormatting>
  <conditionalFormatting sqref="AE441">
    <cfRule type="containsText" dxfId="0" priority="1874" operator="between" text="欠">
      <formula>NOT(ISERROR(SEARCH("欠",AE441)))</formula>
    </cfRule>
  </conditionalFormatting>
  <conditionalFormatting sqref="AF441">
    <cfRule type="containsText" dxfId="0" priority="1875" operator="between" text="欠">
      <formula>NOT(ISERROR(SEARCH("欠",AF441)))</formula>
    </cfRule>
  </conditionalFormatting>
  <conditionalFormatting sqref="AG441">
    <cfRule type="containsText" dxfId="0" priority="1873" operator="between" text="欠">
      <formula>NOT(ISERROR(SEARCH("欠",AG441)))</formula>
    </cfRule>
  </conditionalFormatting>
  <conditionalFormatting sqref="AH441">
    <cfRule type="containsText" dxfId="0" priority="1876" operator="between" text="欠">
      <formula>NOT(ISERROR(SEARCH("欠",AH441)))</formula>
    </cfRule>
  </conditionalFormatting>
  <conditionalFormatting sqref="AI441">
    <cfRule type="containsText" dxfId="0" priority="1881" operator="between" text="欠">
      <formula>NOT(ISERROR(SEARCH("欠",AI441)))</formula>
    </cfRule>
  </conditionalFormatting>
  <conditionalFormatting sqref="AK441">
    <cfRule type="containsText" dxfId="0" priority="1872" operator="between" text="欠">
      <formula>NOT(ISERROR(SEARCH("欠",AK441)))</formula>
    </cfRule>
  </conditionalFormatting>
  <conditionalFormatting sqref="AL441">
    <cfRule type="containsText" dxfId="0" priority="1871" operator="between" text="欠">
      <formula>NOT(ISERROR(SEARCH("欠",AL441)))</formula>
    </cfRule>
  </conditionalFormatting>
  <conditionalFormatting sqref="B443">
    <cfRule type="containsText" dxfId="1" priority="1855" operator="between" text="异常">
      <formula>NOT(ISERROR(SEARCH("异常",B443)))</formula>
    </cfRule>
  </conditionalFormatting>
  <conditionalFormatting sqref="C443">
    <cfRule type="containsText" dxfId="2" priority="1853" operator="between" text="二代">
      <formula>NOT(ISERROR(SEARCH("二代",C443)))</formula>
    </cfRule>
    <cfRule type="containsText" dxfId="3" priority="1854" operator="between" text="蛋糕">
      <formula>NOT(ISERROR(SEARCH("蛋糕",C443)))</formula>
    </cfRule>
  </conditionalFormatting>
  <conditionalFormatting sqref="X443">
    <cfRule type="containsText" dxfId="0" priority="1864" operator="between" text="欠">
      <formula>NOT(ISERROR(SEARCH("欠",X443)))</formula>
    </cfRule>
  </conditionalFormatting>
  <conditionalFormatting sqref="Y443">
    <cfRule type="containsText" dxfId="0" priority="1856" operator="between" text="欠">
      <formula>NOT(ISERROR(SEARCH("欠",Y443)))</formula>
    </cfRule>
  </conditionalFormatting>
  <conditionalFormatting sqref="Z443">
    <cfRule type="containsText" dxfId="0" priority="1865" operator="between" text="欠">
      <formula>NOT(ISERROR(SEARCH("欠",Z443)))</formula>
    </cfRule>
  </conditionalFormatting>
  <conditionalFormatting sqref="AA443:AB443">
    <cfRule type="containsText" dxfId="0" priority="1860" operator="between" text="欠">
      <formula>NOT(ISERROR(SEARCH("欠",AA443)))</formula>
    </cfRule>
  </conditionalFormatting>
  <conditionalFormatting sqref="AC443">
    <cfRule type="containsText" dxfId="0" priority="1866" operator="between" text="欠">
      <formula>NOT(ISERROR(SEARCH("欠",AC443)))</formula>
    </cfRule>
  </conditionalFormatting>
  <conditionalFormatting sqref="AD443">
    <cfRule type="containsText" dxfId="0" priority="1867" operator="between" text="欠">
      <formula>NOT(ISERROR(SEARCH("欠",AD443)))</formula>
    </cfRule>
  </conditionalFormatting>
  <conditionalFormatting sqref="AE443">
    <cfRule type="containsText" dxfId="0" priority="1861" operator="between" text="欠">
      <formula>NOT(ISERROR(SEARCH("欠",AE443)))</formula>
    </cfRule>
  </conditionalFormatting>
  <conditionalFormatting sqref="AF443">
    <cfRule type="containsText" dxfId="0" priority="1862" operator="between" text="欠">
      <formula>NOT(ISERROR(SEARCH("欠",AF443)))</formula>
    </cfRule>
  </conditionalFormatting>
  <conditionalFormatting sqref="AG443">
    <cfRule type="containsText" dxfId="0" priority="1858" operator="between" text="欠">
      <formula>NOT(ISERROR(SEARCH("欠",AG443)))</formula>
    </cfRule>
  </conditionalFormatting>
  <conditionalFormatting sqref="AH443">
    <cfRule type="containsText" dxfId="0" priority="1859" operator="between" text="欠">
      <formula>NOT(ISERROR(SEARCH("欠",AH443)))</formula>
    </cfRule>
  </conditionalFormatting>
  <conditionalFormatting sqref="AI443">
    <cfRule type="containsText" dxfId="0" priority="1863" operator="between" text="欠">
      <formula>NOT(ISERROR(SEARCH("欠",AI443)))</formula>
    </cfRule>
  </conditionalFormatting>
  <conditionalFormatting sqref="AL443">
    <cfRule type="containsText" dxfId="0" priority="1857" operator="between" text="欠">
      <formula>NOT(ISERROR(SEARCH("欠",AL443)))</formula>
    </cfRule>
  </conditionalFormatting>
  <conditionalFormatting sqref="B444">
    <cfRule type="containsText" dxfId="1" priority="1843" operator="between" text="异常">
      <formula>NOT(ISERROR(SEARCH("异常",B444)))</formula>
    </cfRule>
  </conditionalFormatting>
  <conditionalFormatting sqref="C444">
    <cfRule type="containsText" dxfId="2" priority="1841" operator="between" text="二代">
      <formula>NOT(ISERROR(SEARCH("二代",C444)))</formula>
    </cfRule>
    <cfRule type="containsText" dxfId="3" priority="1842" operator="between" text="蛋糕">
      <formula>NOT(ISERROR(SEARCH("蛋糕",C444)))</formula>
    </cfRule>
  </conditionalFormatting>
  <conditionalFormatting sqref="Y444">
    <cfRule type="containsText" dxfId="0" priority="1851" operator="between" text="欠">
      <formula>NOT(ISERROR(SEARCH("欠",Y444)))</formula>
    </cfRule>
  </conditionalFormatting>
  <conditionalFormatting sqref="Z444">
    <cfRule type="containsText" dxfId="0" priority="1849" operator="between" text="欠">
      <formula>NOT(ISERROR(SEARCH("欠",Z444)))</formula>
    </cfRule>
  </conditionalFormatting>
  <conditionalFormatting sqref="AA444:AB444">
    <cfRule type="containsText" dxfId="0" priority="1846" operator="between" text="欠">
      <formula>NOT(ISERROR(SEARCH("欠",AA444)))</formula>
    </cfRule>
  </conditionalFormatting>
  <conditionalFormatting sqref="AC444">
    <cfRule type="containsText" dxfId="0" priority="1850" operator="between" text="欠">
      <formula>NOT(ISERROR(SEARCH("欠",AC444)))</formula>
    </cfRule>
  </conditionalFormatting>
  <conditionalFormatting sqref="AD444">
    <cfRule type="containsText" dxfId="0" priority="1845" operator="between" text="欠">
      <formula>NOT(ISERROR(SEARCH("欠",AD444)))</formula>
    </cfRule>
  </conditionalFormatting>
  <conditionalFormatting sqref="AF444">
    <cfRule type="containsText" dxfId="0" priority="1844" operator="between" text="欠">
      <formula>NOT(ISERROR(SEARCH("欠",AF444)))</formula>
    </cfRule>
  </conditionalFormatting>
  <conditionalFormatting sqref="AH444">
    <cfRule type="containsText" dxfId="0" priority="1848" operator="between" text="欠">
      <formula>NOT(ISERROR(SEARCH("欠",AH444)))</formula>
    </cfRule>
  </conditionalFormatting>
  <conditionalFormatting sqref="AI444">
    <cfRule type="containsText" dxfId="0" priority="1847" operator="between" text="欠">
      <formula>NOT(ISERROR(SEARCH("欠",AI444)))</formula>
    </cfRule>
  </conditionalFormatting>
  <conditionalFormatting sqref="B445">
    <cfRule type="containsText" dxfId="1" priority="1830" operator="between" text="异常">
      <formula>NOT(ISERROR(SEARCH("异常",B445)))</formula>
    </cfRule>
  </conditionalFormatting>
  <conditionalFormatting sqref="C445">
    <cfRule type="containsText" dxfId="2" priority="1828" operator="between" text="二代">
      <formula>NOT(ISERROR(SEARCH("二代",C445)))</formula>
    </cfRule>
    <cfRule type="containsText" dxfId="3" priority="1829" operator="between" text="蛋糕">
      <formula>NOT(ISERROR(SEARCH("蛋糕",C445)))</formula>
    </cfRule>
  </conditionalFormatting>
  <conditionalFormatting sqref="Y445">
    <cfRule type="containsText" dxfId="0" priority="1837" operator="between" text="欠">
      <formula>NOT(ISERROR(SEARCH("欠",Y445)))</formula>
    </cfRule>
  </conditionalFormatting>
  <conditionalFormatting sqref="Z445">
    <cfRule type="containsText" dxfId="0" priority="1839" operator="between" text="欠">
      <formula>NOT(ISERROR(SEARCH("欠",Z445)))</formula>
    </cfRule>
  </conditionalFormatting>
  <conditionalFormatting sqref="AA445:AB445">
    <cfRule type="containsText" dxfId="0" priority="1835" operator="between" text="欠">
      <formula>NOT(ISERROR(SEARCH("欠",AA445)))</formula>
    </cfRule>
  </conditionalFormatting>
  <conditionalFormatting sqref="AB445">
    <cfRule type="containsText" dxfId="0" priority="1838" operator="between" text="欠">
      <formula>NOT(ISERROR(SEARCH("欠",AB445)))</formula>
    </cfRule>
  </conditionalFormatting>
  <conditionalFormatting sqref="AC445">
    <cfRule type="containsText" dxfId="0" priority="1834" operator="between" text="欠">
      <formula>NOT(ISERROR(SEARCH("欠",AC445)))</formula>
    </cfRule>
  </conditionalFormatting>
  <conditionalFormatting sqref="AD445">
    <cfRule type="containsText" dxfId="0" priority="1831" operator="between" text="欠">
      <formula>NOT(ISERROR(SEARCH("欠",AD445)))</formula>
    </cfRule>
  </conditionalFormatting>
  <conditionalFormatting sqref="AF445">
    <cfRule type="containsText" dxfId="0" priority="1836" operator="between" text="欠">
      <formula>NOT(ISERROR(SEARCH("欠",AF445)))</formula>
    </cfRule>
  </conditionalFormatting>
  <conditionalFormatting sqref="AH445">
    <cfRule type="containsText" dxfId="0" priority="1833" operator="between" text="欠">
      <formula>NOT(ISERROR(SEARCH("欠",AH445)))</formula>
    </cfRule>
  </conditionalFormatting>
  <conditionalFormatting sqref="AI445">
    <cfRule type="containsText" dxfId="0" priority="1832" operator="between" text="欠">
      <formula>NOT(ISERROR(SEARCH("欠",AI445)))</formula>
    </cfRule>
  </conditionalFormatting>
  <conditionalFormatting sqref="B446">
    <cfRule type="containsText" dxfId="1" priority="1822" operator="between" text="异常">
      <formula>NOT(ISERROR(SEARCH("异常",B446)))</formula>
    </cfRule>
  </conditionalFormatting>
  <conditionalFormatting sqref="C446">
    <cfRule type="containsText" dxfId="2" priority="1823" operator="between" text="二代">
      <formula>NOT(ISERROR(SEARCH("二代",C446)))</formula>
    </cfRule>
    <cfRule type="containsText" dxfId="3" priority="1824" operator="between" text="蛋糕">
      <formula>NOT(ISERROR(SEARCH("蛋糕",C446)))</formula>
    </cfRule>
  </conditionalFormatting>
  <conditionalFormatting sqref="Y446">
    <cfRule type="containsText" dxfId="0" priority="1819" operator="between" text="欠">
      <formula>NOT(ISERROR(SEARCH("欠",Y446)))</formula>
    </cfRule>
  </conditionalFormatting>
  <conditionalFormatting sqref="Z446">
    <cfRule type="containsText" dxfId="0" priority="1827" operator="between" text="欠">
      <formula>NOT(ISERROR(SEARCH("欠",Z446)))</formula>
    </cfRule>
  </conditionalFormatting>
  <conditionalFormatting sqref="AA446:AB446">
    <cfRule type="containsText" dxfId="0" priority="1820" operator="between" text="欠">
      <formula>NOT(ISERROR(SEARCH("欠",AA446)))</formula>
    </cfRule>
  </conditionalFormatting>
  <conditionalFormatting sqref="AD446">
    <cfRule type="containsText" dxfId="0" priority="1826" operator="between" text="欠">
      <formula>NOT(ISERROR(SEARCH("欠",AD446)))</formula>
    </cfRule>
  </conditionalFormatting>
  <conditionalFormatting sqref="AF446">
    <cfRule type="containsText" dxfId="0" priority="1821" operator="between" text="欠">
      <formula>NOT(ISERROR(SEARCH("欠",AF446)))</formula>
    </cfRule>
  </conditionalFormatting>
  <conditionalFormatting sqref="AH446">
    <cfRule type="containsText" dxfId="0" priority="1818" operator="between" text="欠">
      <formula>NOT(ISERROR(SEARCH("欠",AH446)))</formula>
    </cfRule>
  </conditionalFormatting>
  <conditionalFormatting sqref="AI446">
    <cfRule type="containsText" dxfId="0" priority="1825" operator="between" text="欠">
      <formula>NOT(ISERROR(SEARCH("欠",AI446)))</formula>
    </cfRule>
  </conditionalFormatting>
  <conditionalFormatting sqref="B447">
    <cfRule type="containsText" dxfId="1" priority="1814" operator="between" text="异常">
      <formula>NOT(ISERROR(SEARCH("异常",B447)))</formula>
    </cfRule>
  </conditionalFormatting>
  <conditionalFormatting sqref="C447">
    <cfRule type="containsText" dxfId="2" priority="1815" operator="between" text="二代">
      <formula>NOT(ISERROR(SEARCH("二代",C447)))</formula>
    </cfRule>
    <cfRule type="containsText" dxfId="3" priority="1816" operator="between" text="蛋糕">
      <formula>NOT(ISERROR(SEARCH("蛋糕",C447)))</formula>
    </cfRule>
  </conditionalFormatting>
  <conditionalFormatting sqref="Y447">
    <cfRule type="containsText" dxfId="0" priority="1808" operator="between" text="欠">
      <formula>NOT(ISERROR(SEARCH("欠",Y447)))</formula>
    </cfRule>
  </conditionalFormatting>
  <conditionalFormatting sqref="Z447">
    <cfRule type="containsText" dxfId="0" priority="1817" operator="between" text="欠">
      <formula>NOT(ISERROR(SEARCH("欠",Z447)))</formula>
    </cfRule>
  </conditionalFormatting>
  <conditionalFormatting sqref="AA447:AB447">
    <cfRule type="containsText" dxfId="0" priority="1811" operator="between" text="欠">
      <formula>NOT(ISERROR(SEARCH("欠",AA447)))</formula>
    </cfRule>
  </conditionalFormatting>
  <conditionalFormatting sqref="AC447">
    <cfRule type="containsText" dxfId="0" priority="1807" operator="between" text="欠">
      <formula>NOT(ISERROR(SEARCH("欠",AC447)))</formula>
    </cfRule>
  </conditionalFormatting>
  <conditionalFormatting sqref="AD447">
    <cfRule type="containsText" dxfId="0" priority="1810" operator="between" text="欠">
      <formula>NOT(ISERROR(SEARCH("欠",AD447)))</formula>
    </cfRule>
  </conditionalFormatting>
  <conditionalFormatting sqref="AF447">
    <cfRule type="containsText" dxfId="0" priority="1812" operator="between" text="欠">
      <formula>NOT(ISERROR(SEARCH("欠",AF447)))</formula>
    </cfRule>
  </conditionalFormatting>
  <conditionalFormatting sqref="AH447">
    <cfRule type="containsText" dxfId="0" priority="1809" operator="between" text="欠">
      <formula>NOT(ISERROR(SEARCH("欠",AH447)))</formula>
    </cfRule>
  </conditionalFormatting>
  <conditionalFormatting sqref="AI447">
    <cfRule type="containsText" dxfId="0" priority="1813" operator="between" text="欠">
      <formula>NOT(ISERROR(SEARCH("欠",AI447)))</formula>
    </cfRule>
  </conditionalFormatting>
  <conditionalFormatting sqref="AC450:AD450">
    <cfRule type="containsText" dxfId="0" priority="1794" operator="between" text="欠">
      <formula>NOT(ISERROR(SEARCH("欠",AC450)))</formula>
    </cfRule>
  </conditionalFormatting>
  <conditionalFormatting sqref="AH450">
    <cfRule type="containsText" dxfId="0" priority="1793" operator="between" text="欠">
      <formula>NOT(ISERROR(SEARCH("欠",AH450)))</formula>
    </cfRule>
  </conditionalFormatting>
  <conditionalFormatting sqref="AI450">
    <cfRule type="containsText" dxfId="0" priority="1792" operator="between" text="欠">
      <formula>NOT(ISERROR(SEARCH("欠",AI450)))</formula>
    </cfRule>
  </conditionalFormatting>
  <conditionalFormatting sqref="Y451">
    <cfRule type="containsText" dxfId="0" priority="1790" operator="between" text="欠">
      <formula>NOT(ISERROR(SEARCH("欠",Y451)))</formula>
    </cfRule>
  </conditionalFormatting>
  <conditionalFormatting sqref="AC451:AD451">
    <cfRule type="containsText" dxfId="0" priority="1791" operator="between" text="欠">
      <formula>NOT(ISERROR(SEARCH("欠",AC451)))</formula>
    </cfRule>
  </conditionalFormatting>
  <conditionalFormatting sqref="AH451">
    <cfRule type="containsText" dxfId="0" priority="1789" operator="between" text="欠">
      <formula>NOT(ISERROR(SEARCH("欠",AH451)))</formula>
    </cfRule>
  </conditionalFormatting>
  <conditionalFormatting sqref="AI451">
    <cfRule type="containsText" dxfId="0" priority="1788" operator="between" text="欠">
      <formula>NOT(ISERROR(SEARCH("欠",AI451)))</formula>
    </cfRule>
  </conditionalFormatting>
  <conditionalFormatting sqref="AH452">
    <cfRule type="containsText" dxfId="0" priority="1773" operator="between" text="欠">
      <formula>NOT(ISERROR(SEARCH("欠",AH452)))</formula>
    </cfRule>
  </conditionalFormatting>
  <conditionalFormatting sqref="AC453:AD453">
    <cfRule type="containsText" dxfId="0" priority="1775" operator="between" text="欠">
      <formula>NOT(ISERROR(SEARCH("欠",AC453)))</formula>
    </cfRule>
  </conditionalFormatting>
  <conditionalFormatting sqref="AH453">
    <cfRule type="containsText" dxfId="0" priority="1774" operator="between" text="欠">
      <formula>NOT(ISERROR(SEARCH("欠",AH453)))</formula>
    </cfRule>
  </conditionalFormatting>
  <conditionalFormatting sqref="AC454:AD454">
    <cfRule type="containsText" dxfId="0" priority="1777" operator="between" text="欠">
      <formula>NOT(ISERROR(SEARCH("欠",AC454)))</formula>
    </cfRule>
  </conditionalFormatting>
  <conditionalFormatting sqref="AH454">
    <cfRule type="containsText" dxfId="0" priority="1776" operator="between" text="欠">
      <formula>NOT(ISERROR(SEARCH("欠",AH454)))</formula>
    </cfRule>
  </conditionalFormatting>
  <conditionalFormatting sqref="AA455:AB455">
    <cfRule type="containsText" dxfId="0" priority="1784" operator="between" text="欠">
      <formula>NOT(ISERROR(SEARCH("欠",AA455)))</formula>
    </cfRule>
  </conditionalFormatting>
  <conditionalFormatting sqref="AC455:AD455">
    <cfRule type="containsText" dxfId="0" priority="1783" operator="between" text="欠">
      <formula>NOT(ISERROR(SEARCH("欠",AC455)))</formula>
    </cfRule>
  </conditionalFormatting>
  <conditionalFormatting sqref="AH455">
    <cfRule type="containsText" dxfId="0" priority="1782" operator="between" text="欠">
      <formula>NOT(ISERROR(SEARCH("欠",AH455)))</formula>
    </cfRule>
  </conditionalFormatting>
  <conditionalFormatting sqref="AA456:AB456">
    <cfRule type="containsText" dxfId="0" priority="1772" operator="between" text="欠">
      <formula>NOT(ISERROR(SEARCH("欠",AA456)))</formula>
    </cfRule>
  </conditionalFormatting>
  <conditionalFormatting sqref="AC456:AD456">
    <cfRule type="containsText" dxfId="0" priority="1770" operator="between" text="欠">
      <formula>NOT(ISERROR(SEARCH("欠",AC456)))</formula>
    </cfRule>
  </conditionalFormatting>
  <conditionalFormatting sqref="AA457:AB457">
    <cfRule type="containsText" dxfId="0" priority="1771" operator="between" text="欠">
      <formula>NOT(ISERROR(SEARCH("欠",AA457)))</formula>
    </cfRule>
  </conditionalFormatting>
  <conditionalFormatting sqref="AC457:AD457">
    <cfRule type="containsText" dxfId="0" priority="1769" operator="between" text="欠">
      <formula>NOT(ISERROR(SEARCH("欠",AC457)))</formula>
    </cfRule>
  </conditionalFormatting>
  <conditionalFormatting sqref="AA458">
    <cfRule type="containsText" dxfId="0" priority="1750" operator="between" text="欠">
      <formula>NOT(ISERROR(SEARCH("欠",AA458)))</formula>
    </cfRule>
  </conditionalFormatting>
  <conditionalFormatting sqref="AB458">
    <cfRule type="containsText" dxfId="0" priority="1758" operator="between" text="欠">
      <formula>NOT(ISERROR(SEARCH("欠",AB458)))</formula>
    </cfRule>
  </conditionalFormatting>
  <conditionalFormatting sqref="AC458:AD458">
    <cfRule type="containsText" dxfId="0" priority="1757" operator="between" text="欠">
      <formula>NOT(ISERROR(SEARCH("欠",AC458)))</formula>
    </cfRule>
  </conditionalFormatting>
  <conditionalFormatting sqref="AA459">
    <cfRule type="containsText" dxfId="0" priority="1765" operator="between" text="欠">
      <formula>NOT(ISERROR(SEARCH("欠",AA459)))</formula>
    </cfRule>
  </conditionalFormatting>
  <conditionalFormatting sqref="AC459:AD459">
    <cfRule type="containsText" dxfId="0" priority="1764" operator="between" text="欠">
      <formula>NOT(ISERROR(SEARCH("欠",AC459)))</formula>
    </cfRule>
  </conditionalFormatting>
  <conditionalFormatting sqref="AH459">
    <cfRule type="containsText" dxfId="0" priority="1761" operator="between" text="欠">
      <formula>NOT(ISERROR(SEARCH("欠",AH459)))</formula>
    </cfRule>
  </conditionalFormatting>
  <conditionalFormatting sqref="AC460:AD460">
    <cfRule type="containsText" dxfId="0" priority="1763" operator="between" text="欠">
      <formula>NOT(ISERROR(SEARCH("欠",AC460)))</formula>
    </cfRule>
  </conditionalFormatting>
  <conditionalFormatting sqref="AG460">
    <cfRule type="containsText" dxfId="0" priority="1747" operator="between" text="欠">
      <formula>NOT(ISERROR(SEARCH("欠",AG460)))</formula>
    </cfRule>
  </conditionalFormatting>
  <conditionalFormatting sqref="AH460">
    <cfRule type="containsText" dxfId="0" priority="1760" operator="between" text="欠">
      <formula>NOT(ISERROR(SEARCH("欠",AH460)))</formula>
    </cfRule>
  </conditionalFormatting>
  <conditionalFormatting sqref="AC461:AD461">
    <cfRule type="containsText" dxfId="0" priority="1762" operator="between" text="欠">
      <formula>NOT(ISERROR(SEARCH("欠",AC461)))</formula>
    </cfRule>
  </conditionalFormatting>
  <conditionalFormatting sqref="AH461">
    <cfRule type="containsText" dxfId="0" priority="1759" operator="between" text="欠">
      <formula>NOT(ISERROR(SEARCH("欠",AH461)))</formula>
    </cfRule>
  </conditionalFormatting>
  <conditionalFormatting sqref="AC462:AD462">
    <cfRule type="containsText" dxfId="0" priority="1768" operator="between" text="欠">
      <formula>NOT(ISERROR(SEARCH("欠",AC462)))</formula>
    </cfRule>
  </conditionalFormatting>
  <conditionalFormatting sqref="AH462">
    <cfRule type="containsText" dxfId="0" priority="1766" operator="between" text="欠">
      <formula>NOT(ISERROR(SEARCH("欠",AH462)))</formula>
    </cfRule>
  </conditionalFormatting>
  <conditionalFormatting sqref="AH463">
    <cfRule type="containsText" dxfId="0" priority="1756" operator="between" text="欠">
      <formula>NOT(ISERROR(SEARCH("欠",AH463)))</formula>
    </cfRule>
  </conditionalFormatting>
  <conditionalFormatting sqref="C464">
    <cfRule type="containsText" dxfId="2" priority="1738" operator="between" text="二代">
      <formula>NOT(ISERROR(SEARCH("二代",C464)))</formula>
    </cfRule>
    <cfRule type="containsText" dxfId="3" priority="1739" operator="between" text="蛋糕">
      <formula>NOT(ISERROR(SEARCH("蛋糕",C464)))</formula>
    </cfRule>
  </conditionalFormatting>
  <conditionalFormatting sqref="AA466:AB466">
    <cfRule type="containsText" dxfId="0" priority="1742" operator="between" text="欠">
      <formula>NOT(ISERROR(SEARCH("欠",AA466)))</formula>
    </cfRule>
  </conditionalFormatting>
  <conditionalFormatting sqref="X467">
    <cfRule type="containsText" dxfId="0" priority="1730" operator="between" text="欠">
      <formula>NOT(ISERROR(SEARCH("欠",X467)))</formula>
    </cfRule>
  </conditionalFormatting>
  <conditionalFormatting sqref="Y467">
    <cfRule type="containsText" dxfId="0" priority="1727" operator="between" text="欠">
      <formula>NOT(ISERROR(SEARCH("欠",Y467)))</formula>
    </cfRule>
  </conditionalFormatting>
  <conditionalFormatting sqref="AA467:AB467">
    <cfRule type="containsText" dxfId="0" priority="1726" operator="between" text="欠">
      <formula>NOT(ISERROR(SEARCH("欠",AA467)))</formula>
    </cfRule>
  </conditionalFormatting>
  <conditionalFormatting sqref="AC467:AD467">
    <cfRule type="containsText" dxfId="0" priority="1729" operator="between" text="欠">
      <formula>NOT(ISERROR(SEARCH("欠",AC467)))</formula>
    </cfRule>
  </conditionalFormatting>
  <conditionalFormatting sqref="AG467">
    <cfRule type="containsText" dxfId="0" priority="1724" operator="between" text="欠">
      <formula>NOT(ISERROR(SEARCH("欠",AG467)))</formula>
    </cfRule>
  </conditionalFormatting>
  <conditionalFormatting sqref="AH467">
    <cfRule type="containsText" dxfId="0" priority="1728" operator="between" text="欠">
      <formula>NOT(ISERROR(SEARCH("欠",AH467)))</formula>
    </cfRule>
  </conditionalFormatting>
  <conditionalFormatting sqref="X468">
    <cfRule type="containsText" dxfId="0" priority="1723" operator="between" text="欠">
      <formula>NOT(ISERROR(SEARCH("欠",X468)))</formula>
    </cfRule>
  </conditionalFormatting>
  <conditionalFormatting sqref="Y468">
    <cfRule type="containsText" dxfId="0" priority="1715" operator="between" text="欠">
      <formula>NOT(ISERROR(SEARCH("欠",Y468)))</formula>
    </cfRule>
  </conditionalFormatting>
  <conditionalFormatting sqref="AA468:AB468">
    <cfRule type="containsText" dxfId="0" priority="1722" operator="between" text="欠">
      <formula>NOT(ISERROR(SEARCH("欠",AA468)))</formula>
    </cfRule>
  </conditionalFormatting>
  <conditionalFormatting sqref="AC468:AD468">
    <cfRule type="containsText" dxfId="0" priority="1721" operator="between" text="欠">
      <formula>NOT(ISERROR(SEARCH("欠",AC468)))</formula>
    </cfRule>
  </conditionalFormatting>
  <conditionalFormatting sqref="AG468">
    <cfRule type="containsText" dxfId="0" priority="1717" operator="between" text="欠">
      <formula>NOT(ISERROR(SEARCH("欠",AG468)))</formula>
    </cfRule>
  </conditionalFormatting>
  <conditionalFormatting sqref="AH468">
    <cfRule type="containsText" dxfId="0" priority="1716" operator="between" text="欠">
      <formula>NOT(ISERROR(SEARCH("欠",AH468)))</formula>
    </cfRule>
  </conditionalFormatting>
  <conditionalFormatting sqref="B469">
    <cfRule type="containsText" dxfId="1" priority="1701" operator="between" text="异常">
      <formula>NOT(ISERROR(SEARCH("异常",B469)))</formula>
    </cfRule>
  </conditionalFormatting>
  <conditionalFormatting sqref="C469">
    <cfRule type="containsText" dxfId="2" priority="1699" operator="between" text="二代">
      <formula>NOT(ISERROR(SEARCH("二代",C469)))</formula>
    </cfRule>
    <cfRule type="containsText" dxfId="3" priority="1700" operator="between" text="蛋糕">
      <formula>NOT(ISERROR(SEARCH("蛋糕",C469)))</formula>
    </cfRule>
  </conditionalFormatting>
  <conditionalFormatting sqref="X469">
    <cfRule type="containsText" dxfId="0" priority="1707" operator="between" text="欠">
      <formula>NOT(ISERROR(SEARCH("欠",X469)))</formula>
    </cfRule>
  </conditionalFormatting>
  <conditionalFormatting sqref="Y469">
    <cfRule type="containsText" dxfId="0" priority="1706" operator="between" text="欠">
      <formula>NOT(ISERROR(SEARCH("欠",Y469)))</formula>
    </cfRule>
  </conditionalFormatting>
  <conditionalFormatting sqref="Z469">
    <cfRule type="containsText" dxfId="0" priority="1702" operator="between" text="欠">
      <formula>NOT(ISERROR(SEARCH("欠",Z469)))</formula>
    </cfRule>
  </conditionalFormatting>
  <conditionalFormatting sqref="AA469">
    <cfRule type="containsText" dxfId="0" priority="1703" operator="between" text="欠">
      <formula>NOT(ISERROR(SEARCH("欠",AA469)))</formula>
    </cfRule>
  </conditionalFormatting>
  <conditionalFormatting sqref="AB469">
    <cfRule type="containsText" dxfId="0" priority="1712" operator="between" text="欠">
      <formula>NOT(ISERROR(SEARCH("欠",AB469)))</formula>
    </cfRule>
  </conditionalFormatting>
  <conditionalFormatting sqref="AC469:AD469">
    <cfRule type="containsText" dxfId="0" priority="1711" operator="between" text="欠">
      <formula>NOT(ISERROR(SEARCH("欠",AC469)))</formula>
    </cfRule>
  </conditionalFormatting>
  <conditionalFormatting sqref="AE469">
    <cfRule type="containsText" dxfId="0" priority="1709" operator="between" text="欠">
      <formula>NOT(ISERROR(SEARCH("欠",AE469)))</formula>
    </cfRule>
  </conditionalFormatting>
  <conditionalFormatting sqref="AF469">
    <cfRule type="containsText" dxfId="0" priority="1705" operator="between" text="欠">
      <formula>NOT(ISERROR(SEARCH("欠",AF469)))</formula>
    </cfRule>
  </conditionalFormatting>
  <conditionalFormatting sqref="AG469">
    <cfRule type="containsText" dxfId="0" priority="1708" operator="between" text="欠">
      <formula>NOT(ISERROR(SEARCH("欠",AG469)))</formula>
    </cfRule>
  </conditionalFormatting>
  <conditionalFormatting sqref="AH469">
    <cfRule type="containsText" dxfId="0" priority="1710" operator="between" text="欠">
      <formula>NOT(ISERROR(SEARCH("欠",AH469)))</formula>
    </cfRule>
  </conditionalFormatting>
  <conditionalFormatting sqref="AI469">
    <cfRule type="containsText" dxfId="0" priority="1704" operator="between" text="欠">
      <formula>NOT(ISERROR(SEARCH("欠",AI469)))</formula>
    </cfRule>
  </conditionalFormatting>
  <conditionalFormatting sqref="AF470">
    <cfRule type="containsText" dxfId="0" priority="1698" operator="between" text="欠">
      <formula>NOT(ISERROR(SEARCH("欠",AF470)))</formula>
    </cfRule>
  </conditionalFormatting>
  <conditionalFormatting sqref="AH470">
    <cfRule type="containsText" dxfId="0" priority="1687" operator="between" text="欠">
      <formula>NOT(ISERROR(SEARCH("欠",AH470)))</formula>
    </cfRule>
  </conditionalFormatting>
  <conditionalFormatting sqref="AI470">
    <cfRule type="containsText" dxfId="0" priority="1689" operator="between" text="欠">
      <formula>NOT(ISERROR(SEARCH("欠",AI470)))</formula>
    </cfRule>
  </conditionalFormatting>
  <conditionalFormatting sqref="AC472:AD472">
    <cfRule type="containsText" dxfId="0" priority="1695" operator="between" text="欠">
      <formula>NOT(ISERROR(SEARCH("欠",AC472)))</formula>
    </cfRule>
  </conditionalFormatting>
  <conditionalFormatting sqref="B473">
    <cfRule type="containsText" dxfId="1" priority="1672" operator="between" text="异常">
      <formula>NOT(ISERROR(SEARCH("异常",B473)))</formula>
    </cfRule>
  </conditionalFormatting>
  <conditionalFormatting sqref="C473">
    <cfRule type="containsText" dxfId="2" priority="1669" operator="between" text="二代">
      <formula>NOT(ISERROR(SEARCH("二代",C473)))</formula>
    </cfRule>
    <cfRule type="containsText" dxfId="3" priority="1670" operator="between" text="蛋糕">
      <formula>NOT(ISERROR(SEARCH("蛋糕",C473)))</formula>
    </cfRule>
  </conditionalFormatting>
  <conditionalFormatting sqref="X473">
    <cfRule type="containsText" dxfId="0" priority="1680" operator="between" text="欠">
      <formula>NOT(ISERROR(SEARCH("欠",X473)))</formula>
    </cfRule>
  </conditionalFormatting>
  <conditionalFormatting sqref="Y473">
    <cfRule type="containsText" dxfId="0" priority="1678" operator="between" text="欠">
      <formula>NOT(ISERROR(SEARCH("欠",Y473)))</formula>
    </cfRule>
  </conditionalFormatting>
  <conditionalFormatting sqref="Z473">
    <cfRule type="containsText" dxfId="0" priority="1681" operator="between" text="欠">
      <formula>NOT(ISERROR(SEARCH("欠",Z473)))</formula>
    </cfRule>
  </conditionalFormatting>
  <conditionalFormatting sqref="AA473:AB473">
    <cfRule type="containsText" dxfId="0" priority="1677" operator="between" text="欠">
      <formula>NOT(ISERROR(SEARCH("欠",AA473)))</formula>
    </cfRule>
  </conditionalFormatting>
  <conditionalFormatting sqref="AC473">
    <cfRule type="containsText" dxfId="0" priority="1683" operator="between" text="欠">
      <formula>NOT(ISERROR(SEARCH("欠",AC473)))</formula>
    </cfRule>
  </conditionalFormatting>
  <conditionalFormatting sqref="AD473">
    <cfRule type="containsText" dxfId="0" priority="1671" operator="between" text="欠">
      <formula>NOT(ISERROR(SEARCH("欠",AD473)))</formula>
    </cfRule>
  </conditionalFormatting>
  <conditionalFormatting sqref="AE473">
    <cfRule type="containsText" dxfId="0" priority="1676" operator="between" text="欠">
      <formula>NOT(ISERROR(SEARCH("欠",AE473)))</formula>
    </cfRule>
  </conditionalFormatting>
  <conditionalFormatting sqref="AF473">
    <cfRule type="containsText" dxfId="0" priority="1682" operator="between" text="欠">
      <formula>NOT(ISERROR(SEARCH("欠",AF473)))</formula>
    </cfRule>
  </conditionalFormatting>
  <conditionalFormatting sqref="AG473">
    <cfRule type="containsText" dxfId="0" priority="1674" operator="between" text="欠">
      <formula>NOT(ISERROR(SEARCH("欠",AG473)))</formula>
    </cfRule>
  </conditionalFormatting>
  <conditionalFormatting sqref="AH473">
    <cfRule type="containsText" dxfId="0" priority="1679" operator="between" text="欠">
      <formula>NOT(ISERROR(SEARCH("欠",AH473)))</formula>
    </cfRule>
  </conditionalFormatting>
  <conditionalFormatting sqref="AI473">
    <cfRule type="containsText" dxfId="0" priority="1675" operator="between" text="欠">
      <formula>NOT(ISERROR(SEARCH("欠",AI473)))</formula>
    </cfRule>
  </conditionalFormatting>
  <conditionalFormatting sqref="AL473">
    <cfRule type="containsText" dxfId="0" priority="1673" operator="between" text="欠">
      <formula>NOT(ISERROR(SEARCH("欠",AL473)))</formula>
    </cfRule>
  </conditionalFormatting>
  <conditionalFormatting sqref="B474">
    <cfRule type="containsText" dxfId="1" priority="1660" operator="between" text="异常">
      <formula>NOT(ISERROR(SEARCH("异常",B474)))</formula>
    </cfRule>
  </conditionalFormatting>
  <conditionalFormatting sqref="C474">
    <cfRule type="containsText" dxfId="2" priority="1658" operator="between" text="二代">
      <formula>NOT(ISERROR(SEARCH("二代",C474)))</formula>
    </cfRule>
    <cfRule type="containsText" dxfId="3" priority="1659" operator="between" text="蛋糕">
      <formula>NOT(ISERROR(SEARCH("蛋糕",C474)))</formula>
    </cfRule>
  </conditionalFormatting>
  <conditionalFormatting sqref="X474:Y474">
    <cfRule type="containsText" dxfId="0" priority="1665" operator="between" text="欠">
      <formula>NOT(ISERROR(SEARCH("欠",X474)))</formula>
    </cfRule>
  </conditionalFormatting>
  <conditionalFormatting sqref="Z474">
    <cfRule type="containsText" dxfId="0" priority="1668" operator="between" text="欠">
      <formula>NOT(ISERROR(SEARCH("欠",Z474)))</formula>
    </cfRule>
  </conditionalFormatting>
  <conditionalFormatting sqref="AA474:AB474">
    <cfRule type="containsText" dxfId="0" priority="1662" operator="between" text="欠">
      <formula>NOT(ISERROR(SEARCH("欠",AA474)))</formula>
    </cfRule>
  </conditionalFormatting>
  <conditionalFormatting sqref="AC474:AD474">
    <cfRule type="containsText" dxfId="0" priority="1664" operator="between" text="欠">
      <formula>NOT(ISERROR(SEARCH("欠",AC474)))</formula>
    </cfRule>
  </conditionalFormatting>
  <conditionalFormatting sqref="AF474">
    <cfRule type="containsText" dxfId="0" priority="1666" operator="between" text="欠">
      <formula>NOT(ISERROR(SEARCH("欠",AF474)))</formula>
    </cfRule>
  </conditionalFormatting>
  <conditionalFormatting sqref="AH474">
    <cfRule type="containsText" dxfId="0" priority="1663" operator="between" text="欠">
      <formula>NOT(ISERROR(SEARCH("欠",AH474)))</formula>
    </cfRule>
  </conditionalFormatting>
  <conditionalFormatting sqref="AI474">
    <cfRule type="containsText" dxfId="0" priority="1667" operator="between" text="欠">
      <formula>NOT(ISERROR(SEARCH("欠",AI474)))</formula>
    </cfRule>
  </conditionalFormatting>
  <conditionalFormatting sqref="AK474">
    <cfRule type="containsText" dxfId="0" priority="1661" operator="between" text="欠">
      <formula>NOT(ISERROR(SEARCH("欠",AK474)))</formula>
    </cfRule>
  </conditionalFormatting>
  <conditionalFormatting sqref="B475">
    <cfRule type="containsText" dxfId="1" priority="1645" operator="between" text="异常">
      <formula>NOT(ISERROR(SEARCH("异常",B475)))</formula>
    </cfRule>
  </conditionalFormatting>
  <conditionalFormatting sqref="C475">
    <cfRule type="containsText" dxfId="2" priority="1643" operator="between" text="二代">
      <formula>NOT(ISERROR(SEARCH("二代",C475)))</formula>
    </cfRule>
    <cfRule type="containsText" dxfId="3" priority="1644" operator="between" text="蛋糕">
      <formula>NOT(ISERROR(SEARCH("蛋糕",C475)))</formula>
    </cfRule>
  </conditionalFormatting>
  <conditionalFormatting sqref="X475">
    <cfRule type="containsText" dxfId="0" priority="1655" operator="between" text="欠">
      <formula>NOT(ISERROR(SEARCH("欠",X475)))</formula>
    </cfRule>
  </conditionalFormatting>
  <conditionalFormatting sqref="Y475">
    <cfRule type="containsText" dxfId="0" priority="1654" operator="between" text="欠">
      <formula>NOT(ISERROR(SEARCH("欠",Y475)))</formula>
    </cfRule>
  </conditionalFormatting>
  <conditionalFormatting sqref="Z475">
    <cfRule type="containsText" dxfId="0" priority="1657" operator="between" text="欠">
      <formula>NOT(ISERROR(SEARCH("欠",Z475)))</formula>
    </cfRule>
  </conditionalFormatting>
  <conditionalFormatting sqref="AA475:AB475">
    <cfRule type="containsText" dxfId="0" priority="1653" operator="between" text="欠">
      <formula>NOT(ISERROR(SEARCH("欠",AA475)))</formula>
    </cfRule>
  </conditionalFormatting>
  <conditionalFormatting sqref="AC475:AD475">
    <cfRule type="containsText" dxfId="0" priority="1652" operator="between" text="欠">
      <formula>NOT(ISERROR(SEARCH("欠",AC475)))</formula>
    </cfRule>
  </conditionalFormatting>
  <conditionalFormatting sqref="AE475">
    <cfRule type="containsText" dxfId="0" priority="1649" operator="between" text="欠">
      <formula>NOT(ISERROR(SEARCH("欠",AE475)))</formula>
    </cfRule>
  </conditionalFormatting>
  <conditionalFormatting sqref="AF475">
    <cfRule type="containsText" dxfId="0" priority="1650" operator="between" text="欠">
      <formula>NOT(ISERROR(SEARCH("欠",AF475)))</formula>
    </cfRule>
  </conditionalFormatting>
  <conditionalFormatting sqref="AG475">
    <cfRule type="containsText" dxfId="0" priority="1648" operator="between" text="欠">
      <formula>NOT(ISERROR(SEARCH("欠",AG475)))</formula>
    </cfRule>
  </conditionalFormatting>
  <conditionalFormatting sqref="AH475">
    <cfRule type="containsText" dxfId="0" priority="1651" operator="between" text="欠">
      <formula>NOT(ISERROR(SEARCH("欠",AH475)))</formula>
    </cfRule>
  </conditionalFormatting>
  <conditionalFormatting sqref="AI475">
    <cfRule type="containsText" dxfId="0" priority="1656" operator="between" text="欠">
      <formula>NOT(ISERROR(SEARCH("欠",AI475)))</formula>
    </cfRule>
  </conditionalFormatting>
  <conditionalFormatting sqref="AK475">
    <cfRule type="containsText" dxfId="0" priority="1647" operator="between" text="欠">
      <formula>NOT(ISERROR(SEARCH("欠",AK475)))</formula>
    </cfRule>
  </conditionalFormatting>
  <conditionalFormatting sqref="AL475">
    <cfRule type="containsText" dxfId="0" priority="1646" operator="between" text="欠">
      <formula>NOT(ISERROR(SEARCH("欠",AL475)))</formula>
    </cfRule>
  </conditionalFormatting>
  <conditionalFormatting sqref="B476">
    <cfRule type="containsText" dxfId="1" priority="1632" operator="between" text="异常">
      <formula>NOT(ISERROR(SEARCH("异常",B476)))</formula>
    </cfRule>
  </conditionalFormatting>
  <conditionalFormatting sqref="C476">
    <cfRule type="containsText" dxfId="2" priority="1630" operator="between" text="二代">
      <formula>NOT(ISERROR(SEARCH("二代",C476)))</formula>
    </cfRule>
    <cfRule type="containsText" dxfId="3" priority="1631" operator="between" text="蛋糕">
      <formula>NOT(ISERROR(SEARCH("蛋糕",C476)))</formula>
    </cfRule>
  </conditionalFormatting>
  <conditionalFormatting sqref="X476">
    <cfRule type="containsText" dxfId="0" priority="1640" operator="between" text="欠">
      <formula>NOT(ISERROR(SEARCH("欠",X476)))</formula>
    </cfRule>
  </conditionalFormatting>
  <conditionalFormatting sqref="Y476">
    <cfRule type="containsText" dxfId="0" priority="1639" operator="between" text="欠">
      <formula>NOT(ISERROR(SEARCH("欠",Y476)))</formula>
    </cfRule>
  </conditionalFormatting>
  <conditionalFormatting sqref="Z476">
    <cfRule type="containsText" dxfId="0" priority="1642" operator="between" text="欠">
      <formula>NOT(ISERROR(SEARCH("欠",Z476)))</formula>
    </cfRule>
  </conditionalFormatting>
  <conditionalFormatting sqref="AA476:AB476">
    <cfRule type="containsText" dxfId="0" priority="1638" operator="between" text="欠">
      <formula>NOT(ISERROR(SEARCH("欠",AA476)))</formula>
    </cfRule>
  </conditionalFormatting>
  <conditionalFormatting sqref="AC476:AD476">
    <cfRule type="containsText" dxfId="0" priority="1637" operator="between" text="欠">
      <formula>NOT(ISERROR(SEARCH("欠",AC476)))</formula>
    </cfRule>
  </conditionalFormatting>
  <conditionalFormatting sqref="AE476">
    <cfRule type="containsText" dxfId="0" priority="1629" operator="between" text="欠">
      <formula>NOT(ISERROR(SEARCH("欠",AE476)))</formula>
    </cfRule>
  </conditionalFormatting>
  <conditionalFormatting sqref="AF476">
    <cfRule type="containsText" dxfId="0" priority="1628" operator="between" text="欠">
      <formula>NOT(ISERROR(SEARCH("欠",AF476)))</formula>
    </cfRule>
  </conditionalFormatting>
  <conditionalFormatting sqref="AG476">
    <cfRule type="containsText" dxfId="0" priority="1635" operator="between" text="欠">
      <formula>NOT(ISERROR(SEARCH("欠",AG476)))</formula>
    </cfRule>
  </conditionalFormatting>
  <conditionalFormatting sqref="AH476">
    <cfRule type="containsText" dxfId="0" priority="1636" operator="between" text="欠">
      <formula>NOT(ISERROR(SEARCH("欠",AH476)))</formula>
    </cfRule>
  </conditionalFormatting>
  <conditionalFormatting sqref="AI476">
    <cfRule type="containsText" dxfId="0" priority="1641" operator="between" text="欠">
      <formula>NOT(ISERROR(SEARCH("欠",AI476)))</formula>
    </cfRule>
  </conditionalFormatting>
  <conditionalFormatting sqref="AK476">
    <cfRule type="containsText" dxfId="0" priority="1634" operator="between" text="欠">
      <formula>NOT(ISERROR(SEARCH("欠",AK476)))</formula>
    </cfRule>
  </conditionalFormatting>
  <conditionalFormatting sqref="AL476">
    <cfRule type="containsText" dxfId="0" priority="1633" operator="between" text="欠">
      <formula>NOT(ISERROR(SEARCH("欠",AL476)))</formula>
    </cfRule>
  </conditionalFormatting>
  <conditionalFormatting sqref="B477">
    <cfRule type="containsText" dxfId="1" priority="1619" operator="between" text="异常">
      <formula>NOT(ISERROR(SEARCH("异常",B477)))</formula>
    </cfRule>
  </conditionalFormatting>
  <conditionalFormatting sqref="C477">
    <cfRule type="containsText" dxfId="2" priority="1617" operator="between" text="二代">
      <formula>NOT(ISERROR(SEARCH("二代",C477)))</formula>
    </cfRule>
    <cfRule type="containsText" dxfId="3" priority="1618" operator="between" text="蛋糕">
      <formula>NOT(ISERROR(SEARCH("蛋糕",C477)))</formula>
    </cfRule>
  </conditionalFormatting>
  <conditionalFormatting sqref="X477:Y477">
    <cfRule type="containsText" dxfId="0" priority="1627" operator="between" text="欠">
      <formula>NOT(ISERROR(SEARCH("欠",X477)))</formula>
    </cfRule>
  </conditionalFormatting>
  <conditionalFormatting sqref="Z477">
    <cfRule type="containsText" dxfId="0" priority="1626" operator="between" text="欠">
      <formula>NOT(ISERROR(SEARCH("欠",Z477)))</formula>
    </cfRule>
  </conditionalFormatting>
  <conditionalFormatting sqref="AA477:AB477">
    <cfRule type="containsText" dxfId="0" priority="1620" operator="between" text="欠">
      <formula>NOT(ISERROR(SEARCH("欠",AA477)))</formula>
    </cfRule>
  </conditionalFormatting>
  <conditionalFormatting sqref="AC477:AD477">
    <cfRule type="containsText" dxfId="0" priority="1625" operator="between" text="欠">
      <formula>NOT(ISERROR(SEARCH("欠",AC477)))</formula>
    </cfRule>
  </conditionalFormatting>
  <conditionalFormatting sqref="AE477">
    <cfRule type="containsText" dxfId="0" priority="1623" operator="between" text="欠">
      <formula>NOT(ISERROR(SEARCH("欠",AE477)))</formula>
    </cfRule>
  </conditionalFormatting>
  <conditionalFormatting sqref="AF477">
    <cfRule type="containsText" dxfId="0" priority="1621" operator="between" text="欠">
      <formula>NOT(ISERROR(SEARCH("欠",AF477)))</formula>
    </cfRule>
  </conditionalFormatting>
  <conditionalFormatting sqref="AG477">
    <cfRule type="containsText" dxfId="0" priority="1622" operator="between" text="欠">
      <formula>NOT(ISERROR(SEARCH("欠",AG477)))</formula>
    </cfRule>
  </conditionalFormatting>
  <conditionalFormatting sqref="AH477:AI477">
    <cfRule type="containsText" dxfId="0" priority="1624" operator="between" text="欠">
      <formula>NOT(ISERROR(SEARCH("欠",AH477)))</formula>
    </cfRule>
  </conditionalFormatting>
  <conditionalFormatting sqref="B478">
    <cfRule type="containsText" dxfId="1" priority="1610" operator="between" text="异常">
      <formula>NOT(ISERROR(SEARCH("异常",B478)))</formula>
    </cfRule>
  </conditionalFormatting>
  <conditionalFormatting sqref="C478">
    <cfRule type="containsText" dxfId="2" priority="1607" operator="between" text="二代">
      <formula>NOT(ISERROR(SEARCH("二代",C478)))</formula>
    </cfRule>
    <cfRule type="containsText" dxfId="3" priority="1608" operator="between" text="蛋糕">
      <formula>NOT(ISERROR(SEARCH("蛋糕",C478)))</formula>
    </cfRule>
  </conditionalFormatting>
  <conditionalFormatting sqref="Y478">
    <cfRule type="containsText" dxfId="0" priority="1609" operator="between" text="欠">
      <formula>NOT(ISERROR(SEARCH("欠",Y478)))</formula>
    </cfRule>
  </conditionalFormatting>
  <conditionalFormatting sqref="Z478">
    <cfRule type="containsText" dxfId="0" priority="1611" operator="between" text="欠">
      <formula>NOT(ISERROR(SEARCH("欠",Z478)))</formula>
    </cfRule>
  </conditionalFormatting>
  <conditionalFormatting sqref="AA478:AB478">
    <cfRule type="containsText" dxfId="0" priority="1616" operator="between" text="欠">
      <formula>NOT(ISERROR(SEARCH("欠",AA478)))</formula>
    </cfRule>
  </conditionalFormatting>
  <conditionalFormatting sqref="AC478:AD478">
    <cfRule type="containsText" dxfId="0" priority="1615" operator="between" text="欠">
      <formula>NOT(ISERROR(SEARCH("欠",AC478)))</formula>
    </cfRule>
  </conditionalFormatting>
  <conditionalFormatting sqref="AF478">
    <cfRule type="containsText" dxfId="0" priority="1612" operator="between" text="欠">
      <formula>NOT(ISERROR(SEARCH("欠",AF478)))</formula>
    </cfRule>
  </conditionalFormatting>
  <conditionalFormatting sqref="AH478">
    <cfRule type="containsText" dxfId="0" priority="1614" operator="between" text="欠">
      <formula>NOT(ISERROR(SEARCH("欠",AH478)))</formula>
    </cfRule>
  </conditionalFormatting>
  <conditionalFormatting sqref="AI478">
    <cfRule type="containsText" dxfId="0" priority="1613" operator="between" text="欠">
      <formula>NOT(ISERROR(SEARCH("欠",AI478)))</formula>
    </cfRule>
  </conditionalFormatting>
  <conditionalFormatting sqref="B479">
    <cfRule type="containsText" dxfId="1" priority="1595" operator="between" text="异常">
      <formula>NOT(ISERROR(SEARCH("异常",B479)))</formula>
    </cfRule>
  </conditionalFormatting>
  <conditionalFormatting sqref="C479">
    <cfRule type="containsText" dxfId="2" priority="1593" operator="between" text="二代">
      <formula>NOT(ISERROR(SEARCH("二代",C479)))</formula>
    </cfRule>
    <cfRule type="containsText" dxfId="3" priority="1594" operator="between" text="蛋糕">
      <formula>NOT(ISERROR(SEARCH("蛋糕",C479)))</formula>
    </cfRule>
  </conditionalFormatting>
  <conditionalFormatting sqref="X479">
    <cfRule type="containsText" dxfId="0" priority="1604" operator="between" text="欠">
      <formula>NOT(ISERROR(SEARCH("欠",X479)))</formula>
    </cfRule>
  </conditionalFormatting>
  <conditionalFormatting sqref="Y479">
    <cfRule type="containsText" dxfId="0" priority="1601" operator="between" text="欠">
      <formula>NOT(ISERROR(SEARCH("欠",Y479)))</formula>
    </cfRule>
  </conditionalFormatting>
  <conditionalFormatting sqref="Z479">
    <cfRule type="containsText" dxfId="0" priority="1606" operator="between" text="欠">
      <formula>NOT(ISERROR(SEARCH("欠",Z479)))</formula>
    </cfRule>
  </conditionalFormatting>
  <conditionalFormatting sqref="AA479">
    <cfRule type="containsText" dxfId="0" priority="1605" operator="between" text="欠">
      <formula>NOT(ISERROR(SEARCH("欠",AA479)))</formula>
    </cfRule>
  </conditionalFormatting>
  <conditionalFormatting sqref="AB479">
    <cfRule type="containsText" dxfId="0" priority="1592" operator="between" text="欠">
      <formula>NOT(ISERROR(SEARCH("欠",AB479)))</formula>
    </cfRule>
  </conditionalFormatting>
  <conditionalFormatting sqref="AC479:AD479">
    <cfRule type="containsText" dxfId="0" priority="1603" operator="between" text="欠">
      <formula>NOT(ISERROR(SEARCH("欠",AC479)))</formula>
    </cfRule>
  </conditionalFormatting>
  <conditionalFormatting sqref="AE479">
    <cfRule type="containsText" dxfId="0" priority="1599" operator="between" text="欠">
      <formula>NOT(ISERROR(SEARCH("欠",AE479)))</formula>
    </cfRule>
  </conditionalFormatting>
  <conditionalFormatting sqref="AF479">
    <cfRule type="containsText" dxfId="0" priority="1597" operator="between" text="欠">
      <formula>NOT(ISERROR(SEARCH("欠",AF479)))</formula>
    </cfRule>
  </conditionalFormatting>
  <conditionalFormatting sqref="AG479">
    <cfRule type="containsText" dxfId="0" priority="1598" operator="between" text="欠">
      <formula>NOT(ISERROR(SEARCH("欠",AG479)))</formula>
    </cfRule>
  </conditionalFormatting>
  <conditionalFormatting sqref="AH479">
    <cfRule type="containsText" dxfId="0" priority="1602" operator="between" text="欠">
      <formula>NOT(ISERROR(SEARCH("欠",AH479)))</formula>
    </cfRule>
  </conditionalFormatting>
  <conditionalFormatting sqref="AI479">
    <cfRule type="containsText" dxfId="0" priority="1600" operator="between" text="欠">
      <formula>NOT(ISERROR(SEARCH("欠",AI479)))</formula>
    </cfRule>
  </conditionalFormatting>
  <conditionalFormatting sqref="AK479">
    <cfRule type="containsText" dxfId="0" priority="1596" operator="between" text="欠">
      <formula>NOT(ISERROR(SEARCH("欠",AK479)))</formula>
    </cfRule>
  </conditionalFormatting>
  <conditionalFormatting sqref="AC480">
    <cfRule type="containsText" dxfId="0" priority="1574" operator="between" text="欠">
      <formula>NOT(ISERROR(SEARCH("欠",AC480)))</formula>
    </cfRule>
  </conditionalFormatting>
  <conditionalFormatting sqref="AA483:AB483">
    <cfRule type="containsText" dxfId="0" priority="1583" operator="between" text="欠">
      <formula>NOT(ISERROR(SEARCH("欠",AA483)))</formula>
    </cfRule>
  </conditionalFormatting>
  <conditionalFormatting sqref="AC483">
    <cfRule type="containsText" dxfId="0" priority="1582" operator="between" text="欠">
      <formula>NOT(ISERROR(SEARCH("欠",AC483)))</formula>
    </cfRule>
  </conditionalFormatting>
  <conditionalFormatting sqref="AD483">
    <cfRule type="containsText" dxfId="0" priority="1578" operator="between" text="欠">
      <formula>NOT(ISERROR(SEARCH("欠",AD483)))</formula>
    </cfRule>
  </conditionalFormatting>
  <conditionalFormatting sqref="AH483">
    <cfRule type="containsText" dxfId="0" priority="1581" operator="between" text="欠">
      <formula>NOT(ISERROR(SEARCH("欠",AH483)))</formula>
    </cfRule>
  </conditionalFormatting>
  <conditionalFormatting sqref="AI483">
    <cfRule type="containsText" dxfId="0" priority="1580" operator="between" text="欠">
      <formula>NOT(ISERROR(SEARCH("欠",AI483)))</formula>
    </cfRule>
  </conditionalFormatting>
  <conditionalFormatting sqref="AA484:AB484">
    <cfRule type="containsText" dxfId="0" priority="1567" operator="between" text="欠">
      <formula>NOT(ISERROR(SEARCH("欠",AA484)))</formula>
    </cfRule>
  </conditionalFormatting>
  <conditionalFormatting sqref="AF484">
    <cfRule type="containsText" dxfId="0" priority="1538" operator="between" text="欠">
      <formula>NOT(ISERROR(SEARCH("欠",AF484)))</formula>
    </cfRule>
  </conditionalFormatting>
  <conditionalFormatting sqref="AH484">
    <cfRule type="containsText" dxfId="0" priority="1563" operator="between" text="欠">
      <formula>NOT(ISERROR(SEARCH("欠",AH484)))</formula>
    </cfRule>
  </conditionalFormatting>
  <conditionalFormatting sqref="AA485:AB485">
    <cfRule type="containsText" dxfId="0" priority="1566" operator="between" text="欠">
      <formula>NOT(ISERROR(SEARCH("欠",AA485)))</formula>
    </cfRule>
  </conditionalFormatting>
  <conditionalFormatting sqref="AC485">
    <cfRule type="containsText" dxfId="0" priority="1564" operator="between" text="欠">
      <formula>NOT(ISERROR(SEARCH("欠",AC485)))</formula>
    </cfRule>
  </conditionalFormatting>
  <conditionalFormatting sqref="AF485">
    <cfRule type="containsText" dxfId="0" priority="1569" operator="between" text="欠">
      <formula>NOT(ISERROR(SEARCH("欠",AF485)))</formula>
    </cfRule>
  </conditionalFormatting>
  <conditionalFormatting sqref="AH485">
    <cfRule type="containsText" dxfId="0" priority="1562" operator="between" text="欠">
      <formula>NOT(ISERROR(SEARCH("欠",AH485)))</formula>
    </cfRule>
  </conditionalFormatting>
  <conditionalFormatting sqref="AA486:AB486">
    <cfRule type="containsText" dxfId="0" priority="1553" operator="between" text="欠">
      <formula>NOT(ISERROR(SEARCH("欠",AA486)))</formula>
    </cfRule>
  </conditionalFormatting>
  <conditionalFormatting sqref="AC486">
    <cfRule type="containsText" dxfId="0" priority="1551" operator="between" text="欠">
      <formula>NOT(ISERROR(SEARCH("欠",AC486)))</formula>
    </cfRule>
  </conditionalFormatting>
  <conditionalFormatting sqref="AD486">
    <cfRule type="containsText" dxfId="0" priority="1532" operator="between" text="欠">
      <formula>NOT(ISERROR(SEARCH("欠",AD486)))</formula>
    </cfRule>
  </conditionalFormatting>
  <conditionalFormatting sqref="AF486">
    <cfRule type="containsText" dxfId="0" priority="1530" operator="between" text="欠">
      <formula>NOT(ISERROR(SEARCH("欠",AF486)))</formula>
    </cfRule>
  </conditionalFormatting>
  <conditionalFormatting sqref="AH486">
    <cfRule type="containsText" dxfId="0" priority="1568" operator="between" text="欠">
      <formula>NOT(ISERROR(SEARCH("欠",AH486)))</formula>
    </cfRule>
  </conditionalFormatting>
  <conditionalFormatting sqref="AI486">
    <cfRule type="containsText" dxfId="0" priority="1572" operator="between" text="欠">
      <formula>NOT(ISERROR(SEARCH("欠",AI486)))</formula>
    </cfRule>
  </conditionalFormatting>
  <conditionalFormatting sqref="AA487:AB487">
    <cfRule type="containsText" dxfId="0" priority="1552" operator="between" text="欠">
      <formula>NOT(ISERROR(SEARCH("欠",AA487)))</formula>
    </cfRule>
  </conditionalFormatting>
  <conditionalFormatting sqref="AC487">
    <cfRule type="containsText" dxfId="0" priority="1550" operator="between" text="欠">
      <formula>NOT(ISERROR(SEARCH("欠",AC487)))</formula>
    </cfRule>
  </conditionalFormatting>
  <conditionalFormatting sqref="AD487">
    <cfRule type="containsText" dxfId="0" priority="1533" operator="between" text="欠">
      <formula>NOT(ISERROR(SEARCH("欠",AD487)))</formula>
    </cfRule>
  </conditionalFormatting>
  <conditionalFormatting sqref="AH487">
    <cfRule type="containsText" dxfId="0" priority="1549" operator="between" text="欠">
      <formula>NOT(ISERROR(SEARCH("欠",AH487)))</formula>
    </cfRule>
  </conditionalFormatting>
  <conditionalFormatting sqref="AI487">
    <cfRule type="containsText" dxfId="0" priority="1548" operator="between" text="欠">
      <formula>NOT(ISERROR(SEARCH("欠",AI487)))</formula>
    </cfRule>
  </conditionalFormatting>
  <conditionalFormatting sqref="AA488:AB488">
    <cfRule type="containsText" dxfId="0" priority="1557" operator="between" text="欠">
      <formula>NOT(ISERROR(SEARCH("欠",AA488)))</formula>
    </cfRule>
  </conditionalFormatting>
  <conditionalFormatting sqref="AC488">
    <cfRule type="containsText" dxfId="0" priority="1556" operator="between" text="欠">
      <formula>NOT(ISERROR(SEARCH("欠",AC488)))</formula>
    </cfRule>
  </conditionalFormatting>
  <conditionalFormatting sqref="AD488">
    <cfRule type="containsText" dxfId="0" priority="1534" operator="between" text="欠">
      <formula>NOT(ISERROR(SEARCH("欠",AD488)))</formula>
    </cfRule>
  </conditionalFormatting>
  <conditionalFormatting sqref="AH488">
    <cfRule type="containsText" dxfId="0" priority="1555" operator="between" text="欠">
      <formula>NOT(ISERROR(SEARCH("欠",AH488)))</formula>
    </cfRule>
  </conditionalFormatting>
  <conditionalFormatting sqref="AI488">
    <cfRule type="containsText" dxfId="0" priority="1571" operator="between" text="欠">
      <formula>NOT(ISERROR(SEARCH("欠",AI488)))</formula>
    </cfRule>
  </conditionalFormatting>
  <conditionalFormatting sqref="Y489">
    <cfRule type="containsText" dxfId="0" priority="1541" operator="between" text="欠">
      <formula>NOT(ISERROR(SEARCH("欠",Y489)))</formula>
    </cfRule>
  </conditionalFormatting>
  <conditionalFormatting sqref="AA489:AB489">
    <cfRule type="containsText" dxfId="0" priority="1547" operator="between" text="欠">
      <formula>NOT(ISERROR(SEARCH("欠",AA489)))</formula>
    </cfRule>
  </conditionalFormatting>
  <conditionalFormatting sqref="AC489">
    <cfRule type="containsText" dxfId="0" priority="1545" operator="between" text="欠">
      <formula>NOT(ISERROR(SEARCH("欠",AC489)))</formula>
    </cfRule>
  </conditionalFormatting>
  <conditionalFormatting sqref="AD489">
    <cfRule type="containsText" dxfId="0" priority="1535" operator="between" text="欠">
      <formula>NOT(ISERROR(SEARCH("欠",AD489)))</formula>
    </cfRule>
  </conditionalFormatting>
  <conditionalFormatting sqref="AF489">
    <cfRule type="containsText" dxfId="0" priority="1539" operator="between" text="欠">
      <formula>NOT(ISERROR(SEARCH("欠",AF489)))</formula>
    </cfRule>
  </conditionalFormatting>
  <conditionalFormatting sqref="AH489">
    <cfRule type="containsText" dxfId="0" priority="1543" operator="between" text="欠">
      <formula>NOT(ISERROR(SEARCH("欠",AH489)))</formula>
    </cfRule>
  </conditionalFormatting>
  <conditionalFormatting sqref="Y490">
    <cfRule type="containsText" dxfId="0" priority="1540" operator="between" text="欠">
      <formula>NOT(ISERROR(SEARCH("欠",Y490)))</formula>
    </cfRule>
  </conditionalFormatting>
  <conditionalFormatting sqref="AA490:AB490">
    <cfRule type="containsText" dxfId="0" priority="1546" operator="between" text="欠">
      <formula>NOT(ISERROR(SEARCH("欠",AA490)))</formula>
    </cfRule>
  </conditionalFormatting>
  <conditionalFormatting sqref="AC490">
    <cfRule type="containsText" dxfId="0" priority="1544" operator="between" text="欠">
      <formula>NOT(ISERROR(SEARCH("欠",AC490)))</formula>
    </cfRule>
  </conditionalFormatting>
  <conditionalFormatting sqref="AD490">
    <cfRule type="containsText" dxfId="0" priority="1536" operator="between" text="欠">
      <formula>NOT(ISERROR(SEARCH("欠",AD490)))</formula>
    </cfRule>
  </conditionalFormatting>
  <conditionalFormatting sqref="AF490">
    <cfRule type="containsText" dxfId="0" priority="1573" operator="between" text="欠">
      <formula>NOT(ISERROR(SEARCH("欠",AF490)))</formula>
    </cfRule>
  </conditionalFormatting>
  <conditionalFormatting sqref="AH490">
    <cfRule type="containsText" dxfId="0" priority="1542" operator="between" text="欠">
      <formula>NOT(ISERROR(SEARCH("欠",AH490)))</formula>
    </cfRule>
  </conditionalFormatting>
  <conditionalFormatting sqref="B491">
    <cfRule type="containsText" dxfId="1" priority="1515" operator="between" text="异常">
      <formula>NOT(ISERROR(SEARCH("异常",B491)))</formula>
    </cfRule>
  </conditionalFormatting>
  <conditionalFormatting sqref="C491">
    <cfRule type="containsText" dxfId="2" priority="1516" operator="between" text="二代">
      <formula>NOT(ISERROR(SEARCH("二代",C491)))</formula>
    </cfRule>
    <cfRule type="containsText" dxfId="3" priority="1517" operator="between" text="蛋糕">
      <formula>NOT(ISERROR(SEARCH("蛋糕",C491)))</formula>
    </cfRule>
  </conditionalFormatting>
  <conditionalFormatting sqref="X491">
    <cfRule type="containsText" dxfId="0" priority="1524" operator="between" text="欠">
      <formula>NOT(ISERROR(SEARCH("欠",X491)))</formula>
    </cfRule>
  </conditionalFormatting>
  <conditionalFormatting sqref="Y491">
    <cfRule type="containsText" dxfId="0" priority="1522" operator="between" text="欠">
      <formula>NOT(ISERROR(SEARCH("欠",Y491)))</formula>
    </cfRule>
  </conditionalFormatting>
  <conditionalFormatting sqref="Z491">
    <cfRule type="containsText" dxfId="0" priority="1526" operator="between" text="欠">
      <formula>NOT(ISERROR(SEARCH("欠",Z491)))</formula>
    </cfRule>
  </conditionalFormatting>
  <conditionalFormatting sqref="AA491:AB491">
    <cfRule type="containsText" dxfId="0" priority="1523" operator="between" text="欠">
      <formula>NOT(ISERROR(SEARCH("欠",AA491)))</formula>
    </cfRule>
  </conditionalFormatting>
  <conditionalFormatting sqref="AC491:AD491">
    <cfRule type="containsText" dxfId="0" priority="1518" operator="between" text="欠">
      <formula>NOT(ISERROR(SEARCH("欠",AC491)))</formula>
    </cfRule>
  </conditionalFormatting>
  <conditionalFormatting sqref="AE491">
    <cfRule type="containsText" dxfId="0" priority="1521" operator="between" text="欠">
      <formula>NOT(ISERROR(SEARCH("欠",AE491)))</formula>
    </cfRule>
  </conditionalFormatting>
  <conditionalFormatting sqref="AF491">
    <cfRule type="containsText" dxfId="0" priority="1519" operator="between" text="欠">
      <formula>NOT(ISERROR(SEARCH("欠",AF491)))</formula>
    </cfRule>
  </conditionalFormatting>
  <conditionalFormatting sqref="AG491">
    <cfRule type="containsText" dxfId="0" priority="1520" operator="between" text="欠">
      <formula>NOT(ISERROR(SEARCH("欠",AG491)))</formula>
    </cfRule>
  </conditionalFormatting>
  <conditionalFormatting sqref="AH491">
    <cfRule type="containsText" dxfId="0" priority="1527" operator="between" text="欠">
      <formula>NOT(ISERROR(SEARCH("欠",AH491)))</formula>
    </cfRule>
  </conditionalFormatting>
  <conditionalFormatting sqref="AI491">
    <cfRule type="containsText" dxfId="0" priority="1525" operator="between" text="欠">
      <formula>NOT(ISERROR(SEARCH("欠",AI491)))</formula>
    </cfRule>
  </conditionalFormatting>
  <conditionalFormatting sqref="B492">
    <cfRule type="containsText" dxfId="1" priority="1448" operator="between" text="异常">
      <formula>NOT(ISERROR(SEARCH("异常",B492)))</formula>
    </cfRule>
  </conditionalFormatting>
  <conditionalFormatting sqref="C492">
    <cfRule type="containsText" dxfId="2" priority="1449" operator="between" text="二代">
      <formula>NOT(ISERROR(SEARCH("二代",C492)))</formula>
    </cfRule>
    <cfRule type="containsText" dxfId="3" priority="1450" operator="between" text="蛋糕">
      <formula>NOT(ISERROR(SEARCH("蛋糕",C492)))</formula>
    </cfRule>
  </conditionalFormatting>
  <conditionalFormatting sqref="X492">
    <cfRule type="containsText" dxfId="0" priority="1447" operator="between" text="欠">
      <formula>NOT(ISERROR(SEARCH("欠",X492)))</formula>
    </cfRule>
  </conditionalFormatting>
  <conditionalFormatting sqref="Y492">
    <cfRule type="containsText" dxfId="0" priority="1457" operator="between" text="欠">
      <formula>NOT(ISERROR(SEARCH("欠",Y492)))</formula>
    </cfRule>
  </conditionalFormatting>
  <conditionalFormatting sqref="Z492">
    <cfRule type="containsText" dxfId="0" priority="1458" operator="between" text="欠">
      <formula>NOT(ISERROR(SEARCH("欠",Z492)))</formula>
    </cfRule>
  </conditionalFormatting>
  <conditionalFormatting sqref="AA492:AB492">
    <cfRule type="containsText" dxfId="0" priority="1456" operator="between" text="欠">
      <formula>NOT(ISERROR(SEARCH("欠",AA492)))</formula>
    </cfRule>
  </conditionalFormatting>
  <conditionalFormatting sqref="AC492:AD492">
    <cfRule type="containsText" dxfId="0" priority="1455" operator="between" text="欠">
      <formula>NOT(ISERROR(SEARCH("欠",AC492)))</formula>
    </cfRule>
  </conditionalFormatting>
  <conditionalFormatting sqref="AE492">
    <cfRule type="containsText" dxfId="0" priority="1453" operator="between" text="欠">
      <formula>NOT(ISERROR(SEARCH("欠",AE492)))</formula>
    </cfRule>
  </conditionalFormatting>
  <conditionalFormatting sqref="AF492">
    <cfRule type="containsText" dxfId="0" priority="1452" operator="between" text="欠">
      <formula>NOT(ISERROR(SEARCH("欠",AF492)))</formula>
    </cfRule>
  </conditionalFormatting>
  <conditionalFormatting sqref="AG492">
    <cfRule type="containsText" dxfId="0" priority="1446" operator="between" text="欠">
      <formula>NOT(ISERROR(SEARCH("欠",AG492)))</formula>
    </cfRule>
  </conditionalFormatting>
  <conditionalFormatting sqref="AH492">
    <cfRule type="containsText" dxfId="0" priority="1454" operator="between" text="欠">
      <formula>NOT(ISERROR(SEARCH("欠",AH492)))</formula>
    </cfRule>
  </conditionalFormatting>
  <conditionalFormatting sqref="AI492">
    <cfRule type="containsText" dxfId="0" priority="1451" operator="between" text="欠">
      <formula>NOT(ISERROR(SEARCH("欠",AI492)))</formula>
    </cfRule>
  </conditionalFormatting>
  <conditionalFormatting sqref="AE493">
    <cfRule type="containsText" dxfId="0" priority="1472" operator="between" text="欠">
      <formula>NOT(ISERROR(SEARCH("欠",AE493)))</formula>
    </cfRule>
  </conditionalFormatting>
  <conditionalFormatting sqref="AF493">
    <cfRule type="containsText" dxfId="0" priority="1484" operator="between" text="欠">
      <formula>NOT(ISERROR(SEARCH("欠",AF493)))</formula>
    </cfRule>
  </conditionalFormatting>
  <conditionalFormatting sqref="AI493">
    <cfRule type="containsText" dxfId="0" priority="1461" operator="between" text="欠">
      <formula>NOT(ISERROR(SEARCH("欠",AI493)))</formula>
    </cfRule>
  </conditionalFormatting>
  <conditionalFormatting sqref="Y494">
    <cfRule type="containsText" dxfId="0" priority="1495" operator="between" text="欠">
      <formula>NOT(ISERROR(SEARCH("欠",Y494)))</formula>
    </cfRule>
  </conditionalFormatting>
  <conditionalFormatting sqref="Z494">
    <cfRule type="containsText" dxfId="0" priority="1496" operator="between" text="欠">
      <formula>NOT(ISERROR(SEARCH("欠",Z494)))</formula>
    </cfRule>
  </conditionalFormatting>
  <conditionalFormatting sqref="AE494">
    <cfRule type="containsText" dxfId="0" priority="1469" operator="between" text="欠">
      <formula>NOT(ISERROR(SEARCH("欠",AE494)))</formula>
    </cfRule>
  </conditionalFormatting>
  <conditionalFormatting sqref="AF494">
    <cfRule type="containsText" dxfId="0" priority="1497" operator="between" text="欠">
      <formula>NOT(ISERROR(SEARCH("欠",AF494)))</formula>
    </cfRule>
  </conditionalFormatting>
  <conditionalFormatting sqref="AI494">
    <cfRule type="containsText" dxfId="0" priority="1482" operator="between" text="欠">
      <formula>NOT(ISERROR(SEARCH("欠",AI494)))</formula>
    </cfRule>
  </conditionalFormatting>
  <conditionalFormatting sqref="AL494">
    <cfRule type="containsText" dxfId="0" priority="1480" operator="between" text="欠">
      <formula>NOT(ISERROR(SEARCH("欠",AL494)))</formula>
    </cfRule>
  </conditionalFormatting>
  <conditionalFormatting sqref="AG495">
    <cfRule type="containsText" dxfId="0" priority="1459" operator="between" text="欠">
      <formula>NOT(ISERROR(SEARCH("欠",AG495)))</formula>
    </cfRule>
  </conditionalFormatting>
  <conditionalFormatting sqref="AE496">
    <cfRule type="containsText" dxfId="0" priority="1476" operator="between" text="欠">
      <formula>NOT(ISERROR(SEARCH("欠",AE496)))</formula>
    </cfRule>
  </conditionalFormatting>
  <conditionalFormatting sqref="AF496">
    <cfRule type="containsText" dxfId="0" priority="1475" operator="between" text="欠">
      <formula>NOT(ISERROR(SEARCH("欠",AF496)))</formula>
    </cfRule>
  </conditionalFormatting>
  <conditionalFormatting sqref="AF497">
    <cfRule type="containsText" dxfId="0" priority="1471" operator="between" text="欠">
      <formula>NOT(ISERROR(SEARCH("欠",AF497)))</formula>
    </cfRule>
  </conditionalFormatting>
  <conditionalFormatting sqref="AF498">
    <cfRule type="containsText" dxfId="0" priority="1463" operator="between" text="欠">
      <formula>NOT(ISERROR(SEARCH("欠",AF498)))</formula>
    </cfRule>
  </conditionalFormatting>
  <conditionalFormatting sqref="X499">
    <cfRule type="containsText" dxfId="0" priority="1511" operator="between" text="欠">
      <formula>NOT(ISERROR(SEARCH("欠",X499)))</formula>
    </cfRule>
  </conditionalFormatting>
  <conditionalFormatting sqref="AC499">
    <cfRule type="containsText" dxfId="0" priority="1501" operator="between" text="欠">
      <formula>NOT(ISERROR(SEARCH("欠",AC499)))</formula>
    </cfRule>
  </conditionalFormatting>
  <conditionalFormatting sqref="AD499">
    <cfRule type="containsText" dxfId="0" priority="1502" operator="between" text="欠">
      <formula>NOT(ISERROR(SEARCH("欠",AD499)))</formula>
    </cfRule>
  </conditionalFormatting>
  <conditionalFormatting sqref="AF499">
    <cfRule type="containsText" dxfId="0" priority="1508" operator="between" text="欠">
      <formula>NOT(ISERROR(SEARCH("欠",AF499)))</formula>
    </cfRule>
  </conditionalFormatting>
  <conditionalFormatting sqref="AH499">
    <cfRule type="containsText" dxfId="0" priority="1514" operator="between" text="欠">
      <formula>NOT(ISERROR(SEARCH("欠",AH499)))</formula>
    </cfRule>
  </conditionalFormatting>
  <conditionalFormatting sqref="X501">
    <cfRule type="containsText" dxfId="0" priority="1505" operator="between" text="欠">
      <formula>NOT(ISERROR(SEARCH("欠",X501)))</formula>
    </cfRule>
  </conditionalFormatting>
  <conditionalFormatting sqref="AC501:AD501">
    <cfRule type="containsText" dxfId="0" priority="1504" operator="between" text="欠">
      <formula>NOT(ISERROR(SEARCH("欠",AC501)))</formula>
    </cfRule>
  </conditionalFormatting>
  <conditionalFormatting sqref="AE502">
    <cfRule type="containsText" dxfId="0" priority="1470" operator="between" text="欠">
      <formula>NOT(ISERROR(SEARCH("欠",AE502)))</formula>
    </cfRule>
  </conditionalFormatting>
  <conditionalFormatting sqref="AG502">
    <cfRule type="containsText" dxfId="0" priority="1460" operator="between" text="欠">
      <formula>NOT(ISERROR(SEARCH("欠",AG502)))</formula>
    </cfRule>
  </conditionalFormatting>
  <conditionalFormatting sqref="AE503">
    <cfRule type="containsText" dxfId="0" priority="1473" operator="between" text="欠">
      <formula>NOT(ISERROR(SEARCH("欠",AE503)))</formula>
    </cfRule>
  </conditionalFormatting>
  <conditionalFormatting sqref="AF503">
    <cfRule type="containsText" dxfId="0" priority="1474" operator="between" text="欠">
      <formula>NOT(ISERROR(SEARCH("欠",AF503)))</formula>
    </cfRule>
  </conditionalFormatting>
  <conditionalFormatting sqref="AE504">
    <cfRule type="containsText" dxfId="0" priority="1477" operator="between" text="欠">
      <formula>NOT(ISERROR(SEARCH("欠",AE504)))</formula>
    </cfRule>
  </conditionalFormatting>
  <conditionalFormatting sqref="B505">
    <cfRule type="containsText" dxfId="1" priority="1436" operator="between" text="异常">
      <formula>NOT(ISERROR(SEARCH("异常",B505)))</formula>
    </cfRule>
  </conditionalFormatting>
  <conditionalFormatting sqref="C505">
    <cfRule type="containsText" dxfId="2" priority="1434" operator="between" text="二代">
      <formula>NOT(ISERROR(SEARCH("二代",C505)))</formula>
    </cfRule>
    <cfRule type="containsText" dxfId="3" priority="1435" operator="between" text="蛋糕">
      <formula>NOT(ISERROR(SEARCH("蛋糕",C505)))</formula>
    </cfRule>
  </conditionalFormatting>
  <conditionalFormatting sqref="X505">
    <cfRule type="containsText" dxfId="0" priority="1439" operator="between" text="欠">
      <formula>NOT(ISERROR(SEARCH("欠",X505)))</formula>
    </cfRule>
  </conditionalFormatting>
  <conditionalFormatting sqref="Y505">
    <cfRule type="containsText" dxfId="0" priority="1443" operator="between" text="欠">
      <formula>NOT(ISERROR(SEARCH("欠",Y505)))</formula>
    </cfRule>
  </conditionalFormatting>
  <conditionalFormatting sqref="Z505">
    <cfRule type="containsText" dxfId="0" priority="1445" operator="between" text="欠">
      <formula>NOT(ISERROR(SEARCH("欠",Z505)))</formula>
    </cfRule>
  </conditionalFormatting>
  <conditionalFormatting sqref="AA505:AB505">
    <cfRule type="containsText" dxfId="0" priority="1442" operator="between" text="欠">
      <formula>NOT(ISERROR(SEARCH("欠",AA505)))</formula>
    </cfRule>
  </conditionalFormatting>
  <conditionalFormatting sqref="AC505:AD505">
    <cfRule type="containsText" dxfId="0" priority="1438" operator="between" text="欠">
      <formula>NOT(ISERROR(SEARCH("欠",AC505)))</formula>
    </cfRule>
  </conditionalFormatting>
  <conditionalFormatting sqref="AE505">
    <cfRule type="containsText" dxfId="0" priority="1441" operator="between" text="欠">
      <formula>NOT(ISERROR(SEARCH("欠",AE505)))</formula>
    </cfRule>
  </conditionalFormatting>
  <conditionalFormatting sqref="AG505">
    <cfRule type="containsText" dxfId="0" priority="1440" operator="between" text="欠">
      <formula>NOT(ISERROR(SEARCH("欠",AG505)))</formula>
    </cfRule>
  </conditionalFormatting>
  <conditionalFormatting sqref="AI505">
    <cfRule type="containsText" dxfId="0" priority="1444" operator="between" text="欠">
      <formula>NOT(ISERROR(SEARCH("欠",AI505)))</formula>
    </cfRule>
  </conditionalFormatting>
  <conditionalFormatting sqref="AL505">
    <cfRule type="containsText" dxfId="0" priority="1437" operator="between" text="欠">
      <formula>NOT(ISERROR(SEARCH("欠",AL505)))</formula>
    </cfRule>
  </conditionalFormatting>
  <conditionalFormatting sqref="B506">
    <cfRule type="containsText" dxfId="1" priority="3280" operator="between" text="异常">
      <formula>NOT(ISERROR(SEARCH("异常",B506)))</formula>
    </cfRule>
  </conditionalFormatting>
  <conditionalFormatting sqref="C506">
    <cfRule type="containsText" dxfId="2" priority="3278" operator="between" text="二代">
      <formula>NOT(ISERROR(SEARCH("二代",C506)))</formula>
    </cfRule>
    <cfRule type="containsText" dxfId="3" priority="3279" operator="between" text="蛋糕">
      <formula>NOT(ISERROR(SEARCH("蛋糕",C506)))</formula>
    </cfRule>
  </conditionalFormatting>
  <conditionalFormatting sqref="X506">
    <cfRule type="containsText" dxfId="0" priority="3289" operator="between" text="欠">
      <formula>NOT(ISERROR(SEARCH("欠",X506)))</formula>
    </cfRule>
  </conditionalFormatting>
  <conditionalFormatting sqref="Y506">
    <cfRule type="containsText" dxfId="0" priority="3286" operator="between" text="欠">
      <formula>NOT(ISERROR(SEARCH("欠",Y506)))</formula>
    </cfRule>
  </conditionalFormatting>
  <conditionalFormatting sqref="Z506">
    <cfRule type="containsText" dxfId="0" priority="3291" operator="between" text="欠">
      <formula>NOT(ISERROR(SEARCH("欠",Z506)))</formula>
    </cfRule>
  </conditionalFormatting>
  <conditionalFormatting sqref="AA506">
    <cfRule type="containsText" dxfId="0" priority="3290" operator="between" text="欠">
      <formula>NOT(ISERROR(SEARCH("欠",AA506)))</formula>
    </cfRule>
  </conditionalFormatting>
  <conditionalFormatting sqref="AB506">
    <cfRule type="containsText" dxfId="0" priority="3277" operator="between" text="欠">
      <formula>NOT(ISERROR(SEARCH("欠",AB506)))</formula>
    </cfRule>
  </conditionalFormatting>
  <conditionalFormatting sqref="AC506:AD506">
    <cfRule type="containsText" dxfId="0" priority="3288" operator="between" text="欠">
      <formula>NOT(ISERROR(SEARCH("欠",AC506)))</formula>
    </cfRule>
  </conditionalFormatting>
  <conditionalFormatting sqref="AE506">
    <cfRule type="containsText" dxfId="0" priority="3284" operator="between" text="欠">
      <formula>NOT(ISERROR(SEARCH("欠",AE506)))</formula>
    </cfRule>
  </conditionalFormatting>
  <conditionalFormatting sqref="AF506">
    <cfRule type="containsText" dxfId="0" priority="3282" operator="between" text="欠">
      <formula>NOT(ISERROR(SEARCH("欠",AF506)))</formula>
    </cfRule>
  </conditionalFormatting>
  <conditionalFormatting sqref="AG506">
    <cfRule type="containsText" dxfId="0" priority="3283" operator="between" text="欠">
      <formula>NOT(ISERROR(SEARCH("欠",AG506)))</formula>
    </cfRule>
  </conditionalFormatting>
  <conditionalFormatting sqref="AH506">
    <cfRule type="containsText" dxfId="0" priority="3287" operator="between" text="欠">
      <formula>NOT(ISERROR(SEARCH("欠",AH506)))</formula>
    </cfRule>
  </conditionalFormatting>
  <conditionalFormatting sqref="AI506">
    <cfRule type="containsText" dxfId="0" priority="3285" operator="between" text="欠">
      <formula>NOT(ISERROR(SEARCH("欠",AI506)))</formula>
    </cfRule>
  </conditionalFormatting>
  <conditionalFormatting sqref="AK506">
    <cfRule type="containsText" dxfId="0" priority="3281" operator="between" text="欠">
      <formula>NOT(ISERROR(SEARCH("欠",AK506)))</formula>
    </cfRule>
  </conditionalFormatting>
  <conditionalFormatting sqref="AF518">
    <cfRule type="containsText" dxfId="0" priority="1431" operator="between" text="欠">
      <formula>NOT(ISERROR(SEARCH("欠",AF518)))</formula>
    </cfRule>
  </conditionalFormatting>
  <conditionalFormatting sqref="AI518">
    <cfRule type="containsText" dxfId="0" priority="1433" operator="between" text="欠">
      <formula>NOT(ISERROR(SEARCH("欠",AI518)))</formula>
    </cfRule>
  </conditionalFormatting>
  <conditionalFormatting sqref="AF523">
    <cfRule type="containsText" dxfId="0" priority="1426" operator="between" text="欠">
      <formula>NOT(ISERROR(SEARCH("欠",AF523)))</formula>
    </cfRule>
  </conditionalFormatting>
  <conditionalFormatting sqref="AI523">
    <cfRule type="containsText" dxfId="0" priority="1427" operator="between" text="欠">
      <formula>NOT(ISERROR(SEARCH("欠",AI523)))</formula>
    </cfRule>
  </conditionalFormatting>
  <conditionalFormatting sqref="AK523">
    <cfRule type="containsText" dxfId="0" priority="1428" operator="between" text="欠">
      <formula>NOT(ISERROR(SEARCH("欠",AK523)))</formula>
    </cfRule>
  </conditionalFormatting>
  <conditionalFormatting sqref="AE526">
    <cfRule type="containsText" dxfId="0" priority="1415" operator="between" text="欠">
      <formula>NOT(ISERROR(SEARCH("欠",AE526)))</formula>
    </cfRule>
  </conditionalFormatting>
  <conditionalFormatting sqref="AG526">
    <cfRule type="containsText" dxfId="0" priority="1414" operator="between" text="欠">
      <formula>NOT(ISERROR(SEARCH("欠",AG526)))</formula>
    </cfRule>
  </conditionalFormatting>
  <conditionalFormatting sqref="B528">
    <cfRule type="containsText" dxfId="1" priority="1404" operator="between" text="异常">
      <formula>NOT(ISERROR(SEARCH("异常",B528)))</formula>
    </cfRule>
  </conditionalFormatting>
  <conditionalFormatting sqref="C528">
    <cfRule type="containsText" dxfId="2" priority="1402" operator="between" text="二代">
      <formula>NOT(ISERROR(SEARCH("二代",C528)))</formula>
    </cfRule>
    <cfRule type="containsText" dxfId="3" priority="1403" operator="between" text="蛋糕">
      <formula>NOT(ISERROR(SEARCH("蛋糕",C528)))</formula>
    </cfRule>
  </conditionalFormatting>
  <conditionalFormatting sqref="Y528">
    <cfRule type="containsText" dxfId="0" priority="1407" operator="between" text="欠">
      <formula>NOT(ISERROR(SEARCH("欠",Y528)))</formula>
    </cfRule>
  </conditionalFormatting>
  <conditionalFormatting sqref="Z528">
    <cfRule type="containsText" dxfId="0" priority="1405" operator="between" text="欠">
      <formula>NOT(ISERROR(SEARCH("欠",Z528)))</formula>
    </cfRule>
  </conditionalFormatting>
  <conditionalFormatting sqref="AA528:AB528">
    <cfRule type="containsText" dxfId="0" priority="1410" operator="between" text="欠">
      <formula>NOT(ISERROR(SEARCH("欠",AA528)))</formula>
    </cfRule>
  </conditionalFormatting>
  <conditionalFormatting sqref="AC528:AD528">
    <cfRule type="containsText" dxfId="0" priority="1409" operator="between" text="欠">
      <formula>NOT(ISERROR(SEARCH("欠",AC528)))</formula>
    </cfRule>
  </conditionalFormatting>
  <conditionalFormatting sqref="AH528">
    <cfRule type="containsText" dxfId="0" priority="1408" operator="between" text="欠">
      <formula>NOT(ISERROR(SEARCH("欠",AH528)))</formula>
    </cfRule>
  </conditionalFormatting>
  <conditionalFormatting sqref="AI528">
    <cfRule type="containsText" dxfId="0" priority="1406" operator="between" text="欠">
      <formula>NOT(ISERROR(SEARCH("欠",AI528)))</formula>
    </cfRule>
  </conditionalFormatting>
  <conditionalFormatting sqref="AG529">
    <cfRule type="containsText" dxfId="0" priority="1380" operator="between" text="欠">
      <formula>NOT(ISERROR(SEARCH("欠",AG529)))</formula>
    </cfRule>
  </conditionalFormatting>
  <conditionalFormatting sqref="AK529">
    <cfRule type="containsText" dxfId="0" priority="1379" operator="between" text="欠">
      <formula>NOT(ISERROR(SEARCH("欠",AK529)))</formula>
    </cfRule>
  </conditionalFormatting>
  <conditionalFormatting sqref="AC530">
    <cfRule type="containsText" dxfId="0" priority="1385" operator="between" text="欠">
      <formula>NOT(ISERROR(SEARCH("欠",AC530)))</formula>
    </cfRule>
  </conditionalFormatting>
  <conditionalFormatting sqref="AD530">
    <cfRule type="containsText" dxfId="0" priority="1384" operator="between" text="欠">
      <formula>NOT(ISERROR(SEARCH("欠",AD530)))</formula>
    </cfRule>
  </conditionalFormatting>
  <conditionalFormatting sqref="AG530">
    <cfRule type="containsText" dxfId="0" priority="1377" operator="between" text="欠">
      <formula>NOT(ISERROR(SEARCH("欠",AG530)))</formula>
    </cfRule>
  </conditionalFormatting>
  <conditionalFormatting sqref="AH530">
    <cfRule type="containsText" dxfId="0" priority="1376" operator="between" text="欠">
      <formula>NOT(ISERROR(SEARCH("欠",AH530)))</formula>
    </cfRule>
  </conditionalFormatting>
  <conditionalFormatting sqref="AC531:AD531">
    <cfRule type="containsText" dxfId="0" priority="1398" operator="between" text="欠">
      <formula>NOT(ISERROR(SEARCH("欠",AC531)))</formula>
    </cfRule>
  </conditionalFormatting>
  <conditionalFormatting sqref="AG531">
    <cfRule type="containsText" dxfId="0" priority="1373" operator="between" text="欠">
      <formula>NOT(ISERROR(SEARCH("欠",AG531)))</formula>
    </cfRule>
  </conditionalFormatting>
  <conditionalFormatting sqref="AH531">
    <cfRule type="containsText" dxfId="0" priority="1397" operator="between" text="欠">
      <formula>NOT(ISERROR(SEARCH("欠",AH531)))</formula>
    </cfRule>
  </conditionalFormatting>
  <conditionalFormatting sqref="AK532">
    <cfRule type="containsText" dxfId="0" priority="1374" operator="between" text="欠">
      <formula>NOT(ISERROR(SEARCH("欠",AK532)))</formula>
    </cfRule>
  </conditionalFormatting>
  <conditionalFormatting sqref="AD533">
    <cfRule type="containsText" dxfId="0" priority="1401" operator="between" text="欠">
      <formula>NOT(ISERROR(SEARCH("欠",AD533)))</formula>
    </cfRule>
  </conditionalFormatting>
  <conditionalFormatting sqref="AH533">
    <cfRule type="containsText" dxfId="0" priority="1375" operator="between" text="欠">
      <formula>NOT(ISERROR(SEARCH("欠",AH533)))</formula>
    </cfRule>
  </conditionalFormatting>
  <conditionalFormatting sqref="X534">
    <cfRule type="containsText" dxfId="0" priority="1390" operator="between" text="欠">
      <formula>NOT(ISERROR(SEARCH("欠",X534)))</formula>
    </cfRule>
  </conditionalFormatting>
  <conditionalFormatting sqref="Y534">
    <cfRule type="containsText" dxfId="0" priority="1396" operator="between" text="欠">
      <formula>NOT(ISERROR(SEARCH("欠",Y534)))</formula>
    </cfRule>
  </conditionalFormatting>
  <conditionalFormatting sqref="AA534:AB534">
    <cfRule type="containsText" dxfId="0" priority="1389" operator="between" text="欠">
      <formula>NOT(ISERROR(SEARCH("欠",AA534)))</formula>
    </cfRule>
  </conditionalFormatting>
  <conditionalFormatting sqref="AC534:AD534">
    <cfRule type="containsText" dxfId="0" priority="1388" operator="between" text="欠">
      <formula>NOT(ISERROR(SEARCH("欠",AC534)))</formula>
    </cfRule>
  </conditionalFormatting>
  <conditionalFormatting sqref="AG534">
    <cfRule type="containsText" dxfId="0" priority="1378" operator="between" text="欠">
      <formula>NOT(ISERROR(SEARCH("欠",AG534)))</formula>
    </cfRule>
  </conditionalFormatting>
  <conditionalFormatting sqref="AH534">
    <cfRule type="containsText" dxfId="0" priority="1387" operator="between" text="欠">
      <formula>NOT(ISERROR(SEARCH("欠",AH534)))</formula>
    </cfRule>
  </conditionalFormatting>
  <conditionalFormatting sqref="AA535:AB535">
    <cfRule type="containsText" dxfId="0" priority="1369" operator="between" text="欠">
      <formula>NOT(ISERROR(SEARCH("欠",AA535)))</formula>
    </cfRule>
  </conditionalFormatting>
  <conditionalFormatting sqref="AA536:AB536">
    <cfRule type="containsText" dxfId="0" priority="1368" operator="between" text="欠">
      <formula>NOT(ISERROR(SEARCH("欠",AA536)))</formula>
    </cfRule>
  </conditionalFormatting>
  <conditionalFormatting sqref="AA537:AB537">
    <cfRule type="containsText" dxfId="0" priority="1367" operator="between" text="欠">
      <formula>NOT(ISERROR(SEARCH("欠",AA537)))</formula>
    </cfRule>
  </conditionalFormatting>
  <conditionalFormatting sqref="B538">
    <cfRule type="containsText" dxfId="1" priority="1353" operator="between" text="异常">
      <formula>NOT(ISERROR(SEARCH("异常",B538)))</formula>
    </cfRule>
  </conditionalFormatting>
  <conditionalFormatting sqref="C538">
    <cfRule type="containsText" dxfId="2" priority="1354" operator="between" text="二代">
      <formula>NOT(ISERROR(SEARCH("二代",C538)))</formula>
    </cfRule>
    <cfRule type="containsText" dxfId="3" priority="1355" operator="between" text="蛋糕">
      <formula>NOT(ISERROR(SEARCH("蛋糕",C538)))</formula>
    </cfRule>
  </conditionalFormatting>
  <conditionalFormatting sqref="Y538">
    <cfRule type="containsText" dxfId="0" priority="1347" operator="between" text="欠">
      <formula>NOT(ISERROR(SEARCH("欠",Y538)))</formula>
    </cfRule>
  </conditionalFormatting>
  <conditionalFormatting sqref="Z538">
    <cfRule type="containsText" dxfId="0" priority="1356" operator="between" text="欠">
      <formula>NOT(ISERROR(SEARCH("欠",Z538)))</formula>
    </cfRule>
  </conditionalFormatting>
  <conditionalFormatting sqref="AA538:AB538">
    <cfRule type="containsText" dxfId="0" priority="1350" operator="between" text="欠">
      <formula>NOT(ISERROR(SEARCH("欠",AA538)))</formula>
    </cfRule>
  </conditionalFormatting>
  <conditionalFormatting sqref="AC538:AD538">
    <cfRule type="containsText" dxfId="0" priority="1349" operator="between" text="欠">
      <formula>NOT(ISERROR(SEARCH("欠",AC538)))</formula>
    </cfRule>
  </conditionalFormatting>
  <conditionalFormatting sqref="AF538">
    <cfRule type="containsText" dxfId="0" priority="1351" operator="between" text="欠">
      <formula>NOT(ISERROR(SEARCH("欠",AF538)))</formula>
    </cfRule>
  </conditionalFormatting>
  <conditionalFormatting sqref="AH538">
    <cfRule type="containsText" dxfId="0" priority="1348" operator="between" text="欠">
      <formula>NOT(ISERROR(SEARCH("欠",AH538)))</formula>
    </cfRule>
  </conditionalFormatting>
  <conditionalFormatting sqref="AI538">
    <cfRule type="containsText" dxfId="0" priority="1352" operator="between" text="欠">
      <formula>NOT(ISERROR(SEARCH("欠",AI538)))</formula>
    </cfRule>
  </conditionalFormatting>
  <conditionalFormatting sqref="B539">
    <cfRule type="containsText" dxfId="1" priority="1340" operator="between" text="异常">
      <formula>NOT(ISERROR(SEARCH("异常",B539)))</formula>
    </cfRule>
  </conditionalFormatting>
  <conditionalFormatting sqref="C539">
    <cfRule type="containsText" dxfId="2" priority="1338" operator="between" text="二代">
      <formula>NOT(ISERROR(SEARCH("二代",C539)))</formula>
    </cfRule>
    <cfRule type="containsText" dxfId="3" priority="1339" operator="between" text="蛋糕">
      <formula>NOT(ISERROR(SEARCH("蛋糕",C539)))</formula>
    </cfRule>
  </conditionalFormatting>
  <conditionalFormatting sqref="Y539">
    <cfRule type="containsText" dxfId="0" priority="1345" operator="between" text="欠">
      <formula>NOT(ISERROR(SEARCH("欠",Y539)))</formula>
    </cfRule>
  </conditionalFormatting>
  <conditionalFormatting sqref="Z539">
    <cfRule type="containsText" dxfId="0" priority="1337" operator="between" text="欠">
      <formula>NOT(ISERROR(SEARCH("欠",Z539)))</formula>
    </cfRule>
  </conditionalFormatting>
  <conditionalFormatting sqref="AA539:AB539">
    <cfRule type="containsText" dxfId="0" priority="1336" operator="between" text="欠">
      <formula>NOT(ISERROR(SEARCH("欠",AA539)))</formula>
    </cfRule>
  </conditionalFormatting>
  <conditionalFormatting sqref="AC539:AD539">
    <cfRule type="containsText" dxfId="0" priority="1343" operator="between" text="欠">
      <formula>NOT(ISERROR(SEARCH("欠",AC539)))</formula>
    </cfRule>
  </conditionalFormatting>
  <conditionalFormatting sqref="AC539">
    <cfRule type="containsText" dxfId="0" priority="1346" operator="between" text="欠">
      <formula>NOT(ISERROR(SEARCH("欠",AC539)))</formula>
    </cfRule>
  </conditionalFormatting>
  <conditionalFormatting sqref="AF539">
    <cfRule type="containsText" dxfId="0" priority="1342" operator="between" text="欠">
      <formula>NOT(ISERROR(SEARCH("欠",AF539)))</formula>
    </cfRule>
  </conditionalFormatting>
  <conditionalFormatting sqref="AH539">
    <cfRule type="containsText" dxfId="0" priority="1341" operator="between" text="欠">
      <formula>NOT(ISERROR(SEARCH("欠",AH539)))</formula>
    </cfRule>
  </conditionalFormatting>
  <conditionalFormatting sqref="AI539">
    <cfRule type="containsText" dxfId="0" priority="1344" operator="between" text="欠">
      <formula>NOT(ISERROR(SEARCH("欠",AI539)))</formula>
    </cfRule>
  </conditionalFormatting>
  <conditionalFormatting sqref="B540">
    <cfRule type="containsText" dxfId="1" priority="1323" operator="between" text="异常">
      <formula>NOT(ISERROR(SEARCH("异常",B540)))</formula>
    </cfRule>
  </conditionalFormatting>
  <conditionalFormatting sqref="C540">
    <cfRule type="containsText" dxfId="2" priority="1321" operator="between" text="二代">
      <formula>NOT(ISERROR(SEARCH("二代",C540)))</formula>
    </cfRule>
    <cfRule type="containsText" dxfId="3" priority="1322" operator="between" text="蛋糕">
      <formula>NOT(ISERROR(SEARCH("蛋糕",C540)))</formula>
    </cfRule>
  </conditionalFormatting>
  <conditionalFormatting sqref="X540">
    <cfRule type="containsText" dxfId="0" priority="1333" operator="between" text="欠">
      <formula>NOT(ISERROR(SEARCH("欠",X540)))</formula>
    </cfRule>
  </conditionalFormatting>
  <conditionalFormatting sqref="Y540">
    <cfRule type="containsText" dxfId="0" priority="1329" operator="between" text="欠">
      <formula>NOT(ISERROR(SEARCH("欠",Y540)))</formula>
    </cfRule>
  </conditionalFormatting>
  <conditionalFormatting sqref="Z540">
    <cfRule type="containsText" dxfId="0" priority="1327" operator="between" text="欠">
      <formula>NOT(ISERROR(SEARCH("欠",Z540)))</formula>
    </cfRule>
  </conditionalFormatting>
  <conditionalFormatting sqref="AA540">
    <cfRule type="containsText" dxfId="0" priority="1332" operator="between" text="欠">
      <formula>NOT(ISERROR(SEARCH("欠",AA540)))</formula>
    </cfRule>
  </conditionalFormatting>
  <conditionalFormatting sqref="AB540">
    <cfRule type="containsText" dxfId="0" priority="1334" operator="between" text="欠">
      <formula>NOT(ISERROR(SEARCH("欠",AB540)))</formula>
    </cfRule>
  </conditionalFormatting>
  <conditionalFormatting sqref="AC540:AD540">
    <cfRule type="containsText" dxfId="0" priority="1331" operator="between" text="欠">
      <formula>NOT(ISERROR(SEARCH("欠",AC540)))</formula>
    </cfRule>
  </conditionalFormatting>
  <conditionalFormatting sqref="AE540">
    <cfRule type="containsText" dxfId="0" priority="1328" operator="between" text="欠">
      <formula>NOT(ISERROR(SEARCH("欠",AE540)))</formula>
    </cfRule>
  </conditionalFormatting>
  <conditionalFormatting sqref="AF540">
    <cfRule type="containsText" dxfId="0" priority="1326" operator="between" text="欠">
      <formula>NOT(ISERROR(SEARCH("欠",AF540)))</formula>
    </cfRule>
  </conditionalFormatting>
  <conditionalFormatting sqref="AG540">
    <cfRule type="containsText" dxfId="0" priority="1324" operator="between" text="欠">
      <formula>NOT(ISERROR(SEARCH("欠",AG540)))</formula>
    </cfRule>
  </conditionalFormatting>
  <conditionalFormatting sqref="AH540">
    <cfRule type="containsText" dxfId="0" priority="1330" operator="between" text="欠">
      <formula>NOT(ISERROR(SEARCH("欠",AH540)))</formula>
    </cfRule>
  </conditionalFormatting>
  <conditionalFormatting sqref="AI540">
    <cfRule type="containsText" dxfId="0" priority="1325" operator="between" text="欠">
      <formula>NOT(ISERROR(SEARCH("欠",AI540)))</formula>
    </cfRule>
  </conditionalFormatting>
  <conditionalFormatting sqref="AC543">
    <cfRule type="containsText" dxfId="0" priority="1298" operator="between" text="欠">
      <formula>NOT(ISERROR(SEARCH("欠",AC543)))</formula>
    </cfRule>
  </conditionalFormatting>
  <conditionalFormatting sqref="AA547">
    <cfRule type="containsText" dxfId="0" priority="1312" operator="between" text="欠">
      <formula>NOT(ISERROR(SEARCH("欠",AA547)))</formula>
    </cfRule>
  </conditionalFormatting>
  <conditionalFormatting sqref="AC547:AD547">
    <cfRule type="containsText" dxfId="0" priority="1309" operator="between" text="欠">
      <formula>NOT(ISERROR(SEARCH("欠",AC547)))</formula>
    </cfRule>
  </conditionalFormatting>
  <conditionalFormatting sqref="AA554">
    <cfRule type="containsText" dxfId="0" priority="1310" operator="between" text="欠">
      <formula>NOT(ISERROR(SEARCH("欠",AA554)))</formula>
    </cfRule>
  </conditionalFormatting>
  <conditionalFormatting sqref="AD554">
    <cfRule type="containsText" dxfId="0" priority="1307" operator="between" text="欠">
      <formula>NOT(ISERROR(SEARCH("欠",AD554)))</formula>
    </cfRule>
  </conditionalFormatting>
  <conditionalFormatting sqref="AH554">
    <cfRule type="containsText" dxfId="0" priority="1305" operator="between" text="欠">
      <formula>NOT(ISERROR(SEARCH("欠",AH554)))</formula>
    </cfRule>
  </conditionalFormatting>
  <conditionalFormatting sqref="AA555">
    <cfRule type="containsText" dxfId="0" priority="1316" operator="between" text="欠">
      <formula>NOT(ISERROR(SEARCH("欠",AA555)))</formula>
    </cfRule>
  </conditionalFormatting>
  <conditionalFormatting sqref="AH555">
    <cfRule type="containsText" dxfId="0" priority="1315" operator="between" text="欠">
      <formula>NOT(ISERROR(SEARCH("欠",AH555)))</formula>
    </cfRule>
  </conditionalFormatting>
  <conditionalFormatting sqref="AA556">
    <cfRule type="containsText" dxfId="0" priority="1318" operator="between" text="欠">
      <formula>NOT(ISERROR(SEARCH("欠",AA556)))</formula>
    </cfRule>
  </conditionalFormatting>
  <conditionalFormatting sqref="AC556:AD556">
    <cfRule type="containsText" dxfId="0" priority="1317" operator="between" text="欠">
      <formula>NOT(ISERROR(SEARCH("欠",AC556)))</formula>
    </cfRule>
  </conditionalFormatting>
  <conditionalFormatting sqref="AH556">
    <cfRule type="containsText" dxfId="0" priority="1304" operator="between" text="欠">
      <formula>NOT(ISERROR(SEARCH("欠",AH556)))</formula>
    </cfRule>
  </conditionalFormatting>
  <conditionalFormatting sqref="B557">
    <cfRule type="containsText" dxfId="1" priority="1287" operator="between" text="异常">
      <formula>NOT(ISERROR(SEARCH("异常",B557)))</formula>
    </cfRule>
  </conditionalFormatting>
  <conditionalFormatting sqref="C557">
    <cfRule type="containsText" dxfId="2" priority="1285" operator="between" text="二代">
      <formula>NOT(ISERROR(SEARCH("二代",C557)))</formula>
    </cfRule>
    <cfRule type="containsText" dxfId="3" priority="1286" operator="between" text="蛋糕">
      <formula>NOT(ISERROR(SEARCH("蛋糕",C557)))</formula>
    </cfRule>
  </conditionalFormatting>
  <conditionalFormatting sqref="Y557">
    <cfRule type="containsText" dxfId="0" priority="1294" operator="between" text="欠">
      <formula>NOT(ISERROR(SEARCH("欠",Y557)))</formula>
    </cfRule>
  </conditionalFormatting>
  <conditionalFormatting sqref="Z557">
    <cfRule type="containsText" dxfId="0" priority="1296" operator="between" text="欠">
      <formula>NOT(ISERROR(SEARCH("欠",Z557)))</formula>
    </cfRule>
  </conditionalFormatting>
  <conditionalFormatting sqref="AA557:AB557">
    <cfRule type="containsText" dxfId="0" priority="1292" operator="between" text="欠">
      <formula>NOT(ISERROR(SEARCH("欠",AA557)))</formula>
    </cfRule>
  </conditionalFormatting>
  <conditionalFormatting sqref="AB557">
    <cfRule type="containsText" dxfId="0" priority="1295" operator="between" text="欠">
      <formula>NOT(ISERROR(SEARCH("欠",AB557)))</formula>
    </cfRule>
  </conditionalFormatting>
  <conditionalFormatting sqref="AC557">
    <cfRule type="containsText" dxfId="0" priority="1291" operator="between" text="欠">
      <formula>NOT(ISERROR(SEARCH("欠",AC557)))</formula>
    </cfRule>
  </conditionalFormatting>
  <conditionalFormatting sqref="AD557">
    <cfRule type="containsText" dxfId="0" priority="1288" operator="between" text="欠">
      <formula>NOT(ISERROR(SEARCH("欠",AD557)))</formula>
    </cfRule>
  </conditionalFormatting>
  <conditionalFormatting sqref="AF557">
    <cfRule type="containsText" dxfId="0" priority="1293" operator="between" text="欠">
      <formula>NOT(ISERROR(SEARCH("欠",AF557)))</formula>
    </cfRule>
  </conditionalFormatting>
  <conditionalFormatting sqref="AH557">
    <cfRule type="containsText" dxfId="0" priority="1289" operator="between" text="欠">
      <formula>NOT(ISERROR(SEARCH("欠",AH557)))</formula>
    </cfRule>
  </conditionalFormatting>
  <conditionalFormatting sqref="AI557">
    <cfRule type="containsText" dxfId="0" priority="1290" operator="between" text="欠">
      <formula>NOT(ISERROR(SEARCH("欠",AI557)))</formula>
    </cfRule>
  </conditionalFormatting>
  <conditionalFormatting sqref="B560">
    <cfRule type="containsText" dxfId="1" priority="1273" operator="between" text="异常">
      <formula>NOT(ISERROR(SEARCH("异常",B560)))</formula>
    </cfRule>
  </conditionalFormatting>
  <conditionalFormatting sqref="C560">
    <cfRule type="containsText" dxfId="2" priority="1274" operator="between" text="二代">
      <formula>NOT(ISERROR(SEARCH("二代",C560)))</formula>
    </cfRule>
    <cfRule type="containsText" dxfId="3" priority="1275" operator="between" text="蛋糕">
      <formula>NOT(ISERROR(SEARCH("蛋糕",C560)))</formula>
    </cfRule>
  </conditionalFormatting>
  <conditionalFormatting sqref="AA560:AB560">
    <cfRule type="containsText" dxfId="0" priority="1272" operator="between" text="欠">
      <formula>NOT(ISERROR(SEARCH("欠",AA560)))</formula>
    </cfRule>
  </conditionalFormatting>
  <conditionalFormatting sqref="B561">
    <cfRule type="containsText" dxfId="1" priority="1260" operator="between" text="异常">
      <formula>NOT(ISERROR(SEARCH("异常",B561)))</formula>
    </cfRule>
  </conditionalFormatting>
  <conditionalFormatting sqref="C561">
    <cfRule type="containsText" dxfId="2" priority="1258" operator="between" text="二代">
      <formula>NOT(ISERROR(SEARCH("二代",C561)))</formula>
    </cfRule>
    <cfRule type="containsText" dxfId="3" priority="1259" operator="between" text="蛋糕">
      <formula>NOT(ISERROR(SEARCH("蛋糕",C561)))</formula>
    </cfRule>
  </conditionalFormatting>
  <conditionalFormatting sqref="E561">
    <cfRule type="containsText" dxfId="0" priority="1265" operator="between" text="欠">
      <formula>NOT(ISERROR(SEARCH("欠",E561)))</formula>
    </cfRule>
  </conditionalFormatting>
  <conditionalFormatting sqref="X561">
    <cfRule type="containsText" dxfId="0" priority="1266" operator="between" text="欠">
      <formula>NOT(ISERROR(SEARCH("欠",X561)))</formula>
    </cfRule>
  </conditionalFormatting>
  <conditionalFormatting sqref="Y561">
    <cfRule type="containsText" dxfId="0" priority="1267" operator="between" text="欠">
      <formula>NOT(ISERROR(SEARCH("欠",Y561)))</formula>
    </cfRule>
  </conditionalFormatting>
  <conditionalFormatting sqref="Z561">
    <cfRule type="containsText" dxfId="0" priority="1257" operator="between" text="欠">
      <formula>NOT(ISERROR(SEARCH("欠",Z561)))</formula>
    </cfRule>
  </conditionalFormatting>
  <conditionalFormatting sqref="AA561">
    <cfRule type="containsText" dxfId="0" priority="1256" operator="between" text="欠">
      <formula>NOT(ISERROR(SEARCH("欠",AA561)))</formula>
    </cfRule>
  </conditionalFormatting>
  <conditionalFormatting sqref="AB561">
    <cfRule type="containsText" dxfId="0" priority="1262" operator="between" text="欠">
      <formula>NOT(ISERROR(SEARCH("欠",AB561)))</formula>
    </cfRule>
  </conditionalFormatting>
  <conditionalFormatting sqref="AC561:AD561">
    <cfRule type="containsText" dxfId="0" priority="1268" operator="between" text="欠">
      <formula>NOT(ISERROR(SEARCH("欠",AC561)))</formula>
    </cfRule>
  </conditionalFormatting>
  <conditionalFormatting sqref="AE561">
    <cfRule type="containsText" dxfId="0" priority="1263" operator="between" text="欠">
      <formula>NOT(ISERROR(SEARCH("欠",AE561)))</formula>
    </cfRule>
  </conditionalFormatting>
  <conditionalFormatting sqref="AG561">
    <cfRule type="containsText" dxfId="0" priority="1261" operator="between" text="欠">
      <formula>NOT(ISERROR(SEARCH("欠",AG561)))</formula>
    </cfRule>
  </conditionalFormatting>
  <conditionalFormatting sqref="B562">
    <cfRule type="containsText" dxfId="1" priority="1250" operator="between" text="异常">
      <formula>NOT(ISERROR(SEARCH("异常",B562)))</formula>
    </cfRule>
  </conditionalFormatting>
  <conditionalFormatting sqref="C562">
    <cfRule type="containsText" dxfId="2" priority="1251" operator="between" text="二代">
      <formula>NOT(ISERROR(SEARCH("二代",C562)))</formula>
    </cfRule>
    <cfRule type="containsText" dxfId="3" priority="1252" operator="between" text="蛋糕">
      <formula>NOT(ISERROR(SEARCH("蛋糕",C562)))</formula>
    </cfRule>
  </conditionalFormatting>
  <conditionalFormatting sqref="Y562">
    <cfRule type="containsText" dxfId="0" priority="1246" operator="between" text="欠">
      <formula>NOT(ISERROR(SEARCH("欠",Y562)))</formula>
    </cfRule>
  </conditionalFormatting>
  <conditionalFormatting sqref="Z562">
    <cfRule type="containsText" dxfId="0" priority="1255" operator="between" text="欠">
      <formula>NOT(ISERROR(SEARCH("欠",Z562)))</formula>
    </cfRule>
  </conditionalFormatting>
  <conditionalFormatting sqref="AA562:AB562">
    <cfRule type="containsText" dxfId="0" priority="1249" operator="between" text="欠">
      <formula>NOT(ISERROR(SEARCH("欠",AA562)))</formula>
    </cfRule>
  </conditionalFormatting>
  <conditionalFormatting sqref="AC562:AD562">
    <cfRule type="containsText" dxfId="0" priority="1248" operator="between" text="欠">
      <formula>NOT(ISERROR(SEARCH("欠",AC562)))</formula>
    </cfRule>
  </conditionalFormatting>
  <conditionalFormatting sqref="AF562">
    <cfRule type="containsText" dxfId="0" priority="1253" operator="between" text="欠">
      <formula>NOT(ISERROR(SEARCH("欠",AF562)))</formula>
    </cfRule>
  </conditionalFormatting>
  <conditionalFormatting sqref="AH562">
    <cfRule type="containsText" dxfId="0" priority="1247" operator="between" text="欠">
      <formula>NOT(ISERROR(SEARCH("欠",AH562)))</formula>
    </cfRule>
  </conditionalFormatting>
  <conditionalFormatting sqref="AI562">
    <cfRule type="containsText" dxfId="0" priority="1254" operator="between" text="欠">
      <formula>NOT(ISERROR(SEARCH("欠",AI562)))</formula>
    </cfRule>
  </conditionalFormatting>
  <conditionalFormatting sqref="B563">
    <cfRule type="containsText" dxfId="1" priority="1242" operator="between" text="异常">
      <formula>NOT(ISERROR(SEARCH("异常",B563)))</formula>
    </cfRule>
  </conditionalFormatting>
  <conditionalFormatting sqref="C563">
    <cfRule type="containsText" dxfId="2" priority="1243" operator="between" text="二代">
      <formula>NOT(ISERROR(SEARCH("二代",C563)))</formula>
    </cfRule>
    <cfRule type="containsText" dxfId="3" priority="1244" operator="between" text="蛋糕">
      <formula>NOT(ISERROR(SEARCH("蛋糕",C563)))</formula>
    </cfRule>
  </conditionalFormatting>
  <conditionalFormatting sqref="Y563">
    <cfRule type="containsText" dxfId="0" priority="1236" operator="between" text="欠">
      <formula>NOT(ISERROR(SEARCH("欠",Y563)))</formula>
    </cfRule>
  </conditionalFormatting>
  <conditionalFormatting sqref="Z563">
    <cfRule type="containsText" dxfId="0" priority="1241" operator="between" text="欠">
      <formula>NOT(ISERROR(SEARCH("欠",Z563)))</formula>
    </cfRule>
  </conditionalFormatting>
  <conditionalFormatting sqref="AA563:AB563">
    <cfRule type="containsText" dxfId="0" priority="1239" operator="between" text="欠">
      <formula>NOT(ISERROR(SEARCH("欠",AA563)))</formula>
    </cfRule>
  </conditionalFormatting>
  <conditionalFormatting sqref="AC563:AD563">
    <cfRule type="containsText" dxfId="0" priority="1238" operator="between" text="欠">
      <formula>NOT(ISERROR(SEARCH("欠",AC563)))</formula>
    </cfRule>
  </conditionalFormatting>
  <conditionalFormatting sqref="AF563">
    <cfRule type="containsText" dxfId="0" priority="1235" operator="between" text="欠">
      <formula>NOT(ISERROR(SEARCH("欠",AF563)))</formula>
    </cfRule>
  </conditionalFormatting>
  <conditionalFormatting sqref="AH563">
    <cfRule type="containsText" dxfId="0" priority="1237" operator="between" text="欠">
      <formula>NOT(ISERROR(SEARCH("欠",AH563)))</formula>
    </cfRule>
  </conditionalFormatting>
  <conditionalFormatting sqref="AI563">
    <cfRule type="containsText" dxfId="0" priority="1240" operator="between" text="欠">
      <formula>NOT(ISERROR(SEARCH("欠",AI563)))</formula>
    </cfRule>
  </conditionalFormatting>
  <conditionalFormatting sqref="B564">
    <cfRule type="containsText" dxfId="1" priority="1224" operator="between" text="异常">
      <formula>NOT(ISERROR(SEARCH("异常",B564)))</formula>
    </cfRule>
  </conditionalFormatting>
  <conditionalFormatting sqref="C564">
    <cfRule type="containsText" dxfId="2" priority="1222" operator="between" text="二代">
      <formula>NOT(ISERROR(SEARCH("二代",C564)))</formula>
    </cfRule>
    <cfRule type="containsText" dxfId="3" priority="1223" operator="between" text="蛋糕">
      <formula>NOT(ISERROR(SEARCH("蛋糕",C564)))</formula>
    </cfRule>
  </conditionalFormatting>
  <conditionalFormatting sqref="X564">
    <cfRule type="containsText" dxfId="0" priority="1232" operator="between" text="欠">
      <formula>NOT(ISERROR(SEARCH("欠",X564)))</formula>
    </cfRule>
  </conditionalFormatting>
  <conditionalFormatting sqref="Y564">
    <cfRule type="containsText" dxfId="0" priority="1234" operator="between" text="欠">
      <formula>NOT(ISERROR(SEARCH("欠",Y564)))</formula>
    </cfRule>
  </conditionalFormatting>
  <conditionalFormatting sqref="Z564:AB564">
    <cfRule type="containsText" dxfId="0" priority="1231" operator="between" text="欠">
      <formula>NOT(ISERROR(SEARCH("欠",Z564)))</formula>
    </cfRule>
  </conditionalFormatting>
  <conditionalFormatting sqref="AC564">
    <cfRule type="containsText" dxfId="0" priority="1233" operator="between" text="欠">
      <formula>NOT(ISERROR(SEARCH("欠",AC564)))</formula>
    </cfRule>
  </conditionalFormatting>
  <conditionalFormatting sqref="AD564">
    <cfRule type="containsText" dxfId="0" priority="1230" operator="between" text="欠">
      <formula>NOT(ISERROR(SEARCH("欠",AD564)))</formula>
    </cfRule>
  </conditionalFormatting>
  <conditionalFormatting sqref="AE564">
    <cfRule type="containsText" dxfId="0" priority="1228" operator="between" text="欠">
      <formula>NOT(ISERROR(SEARCH("欠",AE564)))</formula>
    </cfRule>
  </conditionalFormatting>
  <conditionalFormatting sqref="AF564">
    <cfRule type="containsText" dxfId="0" priority="1227" operator="between" text="欠">
      <formula>NOT(ISERROR(SEARCH("欠",AF564)))</formula>
    </cfRule>
  </conditionalFormatting>
  <conditionalFormatting sqref="AG564">
    <cfRule type="containsText" dxfId="0" priority="1226" operator="between" text="欠">
      <formula>NOT(ISERROR(SEARCH("欠",AG564)))</formula>
    </cfRule>
  </conditionalFormatting>
  <conditionalFormatting sqref="AH564">
    <cfRule type="containsText" dxfId="0" priority="1225" operator="between" text="欠">
      <formula>NOT(ISERROR(SEARCH("欠",AH564)))</formula>
    </cfRule>
  </conditionalFormatting>
  <conditionalFormatting sqref="AI564">
    <cfRule type="containsText" dxfId="0" priority="1229" operator="between" text="欠">
      <formula>NOT(ISERROR(SEARCH("欠",AI564)))</formula>
    </cfRule>
  </conditionalFormatting>
  <conditionalFormatting sqref="B565">
    <cfRule type="containsText" dxfId="1" priority="1209" operator="between" text="异常">
      <formula>NOT(ISERROR(SEARCH("异常",B565)))</formula>
    </cfRule>
  </conditionalFormatting>
  <conditionalFormatting sqref="C565">
    <cfRule type="containsText" dxfId="2" priority="1207" operator="between" text="二代">
      <formula>NOT(ISERROR(SEARCH("二代",C565)))</formula>
    </cfRule>
    <cfRule type="containsText" dxfId="3" priority="1208" operator="between" text="蛋糕">
      <formula>NOT(ISERROR(SEARCH("蛋糕",C565)))</formula>
    </cfRule>
  </conditionalFormatting>
  <conditionalFormatting sqref="X565">
    <cfRule type="containsText" dxfId="0" priority="1213" operator="between" text="欠">
      <formula>NOT(ISERROR(SEARCH("欠",X565)))</formula>
    </cfRule>
  </conditionalFormatting>
  <conditionalFormatting sqref="Y565">
    <cfRule type="containsText" dxfId="0" priority="1212" operator="between" text="欠">
      <formula>NOT(ISERROR(SEARCH("欠",Y565)))</formula>
    </cfRule>
  </conditionalFormatting>
  <conditionalFormatting sqref="Z565">
    <cfRule type="containsText" dxfId="0" priority="1219" operator="between" text="欠">
      <formula>NOT(ISERROR(SEARCH("欠",Z565)))</formula>
    </cfRule>
  </conditionalFormatting>
  <conditionalFormatting sqref="Z565:AB565">
    <cfRule type="containsText" dxfId="0" priority="1221" operator="between" text="欠">
      <formula>NOT(ISERROR(SEARCH("欠",Z565)))</formula>
    </cfRule>
  </conditionalFormatting>
  <conditionalFormatting sqref="AA565:AB565">
    <cfRule type="containsText" dxfId="0" priority="1217" operator="between" text="欠">
      <formula>NOT(ISERROR(SEARCH("欠",AA565)))</formula>
    </cfRule>
  </conditionalFormatting>
  <conditionalFormatting sqref="AC565:AD565">
    <cfRule type="containsText" dxfId="0" priority="1211" operator="between" text="欠">
      <formula>NOT(ISERROR(SEARCH("欠",AC565)))</formula>
    </cfRule>
  </conditionalFormatting>
  <conditionalFormatting sqref="AE565">
    <cfRule type="containsText" dxfId="0" priority="1215" operator="between" text="欠">
      <formula>NOT(ISERROR(SEARCH("欠",AE565)))</formula>
    </cfRule>
  </conditionalFormatting>
  <conditionalFormatting sqref="AF565">
    <cfRule type="containsText" dxfId="0" priority="1218" operator="between" text="欠">
      <formula>NOT(ISERROR(SEARCH("欠",AF565)))</formula>
    </cfRule>
  </conditionalFormatting>
  <conditionalFormatting sqref="AG565">
    <cfRule type="containsText" dxfId="0" priority="1214" operator="between" text="欠">
      <formula>NOT(ISERROR(SEARCH("欠",AG565)))</formula>
    </cfRule>
  </conditionalFormatting>
  <conditionalFormatting sqref="AH565">
    <cfRule type="containsText" dxfId="0" priority="1216" operator="between" text="欠">
      <formula>NOT(ISERROR(SEARCH("欠",AH565)))</formula>
    </cfRule>
  </conditionalFormatting>
  <conditionalFormatting sqref="AI565">
    <cfRule type="containsText" dxfId="0" priority="1220" operator="between" text="欠">
      <formula>NOT(ISERROR(SEARCH("欠",AI565)))</formula>
    </cfRule>
  </conditionalFormatting>
  <conditionalFormatting sqref="AL565">
    <cfRule type="containsText" dxfId="0" priority="1210" operator="between" text="欠">
      <formula>NOT(ISERROR(SEARCH("欠",AL565)))</formula>
    </cfRule>
  </conditionalFormatting>
  <conditionalFormatting sqref="B566">
    <cfRule type="containsText" dxfId="1" priority="1196" operator="between" text="异常">
      <formula>NOT(ISERROR(SEARCH("异常",B566)))</formula>
    </cfRule>
  </conditionalFormatting>
  <conditionalFormatting sqref="C566">
    <cfRule type="containsText" dxfId="2" priority="1194" operator="between" text="二代">
      <formula>NOT(ISERROR(SEARCH("二代",C566)))</formula>
    </cfRule>
    <cfRule type="containsText" dxfId="3" priority="1195" operator="between" text="蛋糕">
      <formula>NOT(ISERROR(SEARCH("蛋糕",C566)))</formula>
    </cfRule>
  </conditionalFormatting>
  <conditionalFormatting sqref="X566">
    <cfRule type="containsText" dxfId="0" priority="1205" operator="between" text="欠">
      <formula>NOT(ISERROR(SEARCH("欠",X566)))</formula>
    </cfRule>
  </conditionalFormatting>
  <conditionalFormatting sqref="Y566">
    <cfRule type="containsText" dxfId="0" priority="1201" operator="between" text="欠">
      <formula>NOT(ISERROR(SEARCH("欠",Y566)))</formula>
    </cfRule>
  </conditionalFormatting>
  <conditionalFormatting sqref="Z566">
    <cfRule type="containsText" dxfId="0" priority="1206" operator="between" text="欠">
      <formula>NOT(ISERROR(SEARCH("欠",Z566)))</formula>
    </cfRule>
  </conditionalFormatting>
  <conditionalFormatting sqref="AA566:AB566">
    <cfRule type="containsText" dxfId="0" priority="1204" operator="between" text="欠">
      <formula>NOT(ISERROR(SEARCH("欠",AA566)))</formula>
    </cfRule>
  </conditionalFormatting>
  <conditionalFormatting sqref="AC566:AD566">
    <cfRule type="containsText" dxfId="0" priority="1203" operator="between" text="欠">
      <formula>NOT(ISERROR(SEARCH("欠",AC566)))</formula>
    </cfRule>
  </conditionalFormatting>
  <conditionalFormatting sqref="AE566">
    <cfRule type="containsText" dxfId="0" priority="1199" operator="between" text="欠">
      <formula>NOT(ISERROR(SEARCH("欠",AE566)))</formula>
    </cfRule>
  </conditionalFormatting>
  <conditionalFormatting sqref="AF566">
    <cfRule type="containsText" dxfId="0" priority="1200" operator="between" text="欠">
      <formula>NOT(ISERROR(SEARCH("欠",AF566)))</formula>
    </cfRule>
  </conditionalFormatting>
  <conditionalFormatting sqref="AG566">
    <cfRule type="containsText" dxfId="0" priority="1198" operator="between" text="欠">
      <formula>NOT(ISERROR(SEARCH("欠",AG566)))</formula>
    </cfRule>
  </conditionalFormatting>
  <conditionalFormatting sqref="AH566">
    <cfRule type="containsText" dxfId="0" priority="1202" operator="between" text="欠">
      <formula>NOT(ISERROR(SEARCH("欠",AH566)))</formula>
    </cfRule>
  </conditionalFormatting>
  <conditionalFormatting sqref="AI566">
    <cfRule type="containsText" dxfId="0" priority="1197" operator="between" text="欠">
      <formula>NOT(ISERROR(SEARCH("欠",AI566)))</formula>
    </cfRule>
  </conditionalFormatting>
  <conditionalFormatting sqref="B567">
    <cfRule type="containsText" dxfId="1" priority="1184" operator="between" text="异常">
      <formula>NOT(ISERROR(SEARCH("异常",B567)))</formula>
    </cfRule>
  </conditionalFormatting>
  <conditionalFormatting sqref="C567">
    <cfRule type="containsText" dxfId="2" priority="1182" operator="between" text="二代">
      <formula>NOT(ISERROR(SEARCH("二代",C567)))</formula>
    </cfRule>
    <cfRule type="containsText" dxfId="3" priority="1183" operator="between" text="蛋糕">
      <formula>NOT(ISERROR(SEARCH("蛋糕",C567)))</formula>
    </cfRule>
  </conditionalFormatting>
  <conditionalFormatting sqref="Y567">
    <cfRule type="containsText" dxfId="0" priority="1191" operator="between" text="欠">
      <formula>NOT(ISERROR(SEARCH("欠",Y567)))</formula>
    </cfRule>
  </conditionalFormatting>
  <conditionalFormatting sqref="Z567">
    <cfRule type="containsText" dxfId="0" priority="1186" operator="between" text="欠">
      <formula>NOT(ISERROR(SEARCH("欠",Z567)))</formula>
    </cfRule>
  </conditionalFormatting>
  <conditionalFormatting sqref="AA567">
    <cfRule type="containsText" dxfId="0" priority="1193" operator="between" text="欠">
      <formula>NOT(ISERROR(SEARCH("欠",AA567)))</formula>
    </cfRule>
  </conditionalFormatting>
  <conditionalFormatting sqref="AB567">
    <cfRule type="containsText" dxfId="0" priority="1189" operator="between" text="欠">
      <formula>NOT(ISERROR(SEARCH("欠",AB567)))</formula>
    </cfRule>
  </conditionalFormatting>
  <conditionalFormatting sqref="AC567:AD567">
    <cfRule type="containsText" dxfId="0" priority="1188" operator="between" text="欠">
      <formula>NOT(ISERROR(SEARCH("欠",AC567)))</formula>
    </cfRule>
  </conditionalFormatting>
  <conditionalFormatting sqref="AF567">
    <cfRule type="containsText" dxfId="0" priority="1192" operator="between" text="欠">
      <formula>NOT(ISERROR(SEARCH("欠",AF567)))</formula>
    </cfRule>
  </conditionalFormatting>
  <conditionalFormatting sqref="AH567">
    <cfRule type="containsText" dxfId="0" priority="1187" operator="between" text="欠">
      <formula>NOT(ISERROR(SEARCH("欠",AH567)))</formula>
    </cfRule>
  </conditionalFormatting>
  <conditionalFormatting sqref="AI567">
    <cfRule type="containsText" dxfId="0" priority="1190" operator="between" text="欠">
      <formula>NOT(ISERROR(SEARCH("欠",AI567)))</formula>
    </cfRule>
  </conditionalFormatting>
  <conditionalFormatting sqref="AK567">
    <cfRule type="containsText" dxfId="0" priority="1185" operator="between" text="欠">
      <formula>NOT(ISERROR(SEARCH("欠",AK567)))</formula>
    </cfRule>
  </conditionalFormatting>
  <conditionalFormatting sqref="B568">
    <cfRule type="containsText" dxfId="1" priority="1172" operator="between" text="异常">
      <formula>NOT(ISERROR(SEARCH("异常",B568)))</formula>
    </cfRule>
  </conditionalFormatting>
  <conditionalFormatting sqref="C568">
    <cfRule type="containsText" dxfId="2" priority="1173" operator="between" text="二代">
      <formula>NOT(ISERROR(SEARCH("二代",C568)))</formula>
    </cfRule>
    <cfRule type="containsText" dxfId="3" priority="1174" operator="between" text="蛋糕">
      <formula>NOT(ISERROR(SEARCH("蛋糕",C568)))</formula>
    </cfRule>
  </conditionalFormatting>
  <conditionalFormatting sqref="Y568">
    <cfRule type="containsText" dxfId="0" priority="1176" operator="between" text="欠">
      <formula>NOT(ISERROR(SEARCH("欠",Y568)))</formula>
    </cfRule>
  </conditionalFormatting>
  <conditionalFormatting sqref="Z568">
    <cfRule type="containsText" dxfId="0" priority="1181" operator="between" text="欠">
      <formula>NOT(ISERROR(SEARCH("欠",Z568)))</formula>
    </cfRule>
  </conditionalFormatting>
  <conditionalFormatting sqref="AA568:AB568">
    <cfRule type="containsText" dxfId="0" priority="1180" operator="between" text="欠">
      <formula>NOT(ISERROR(SEARCH("欠",AA568)))</formula>
    </cfRule>
  </conditionalFormatting>
  <conditionalFormatting sqref="AC568:AD568">
    <cfRule type="containsText" dxfId="0" priority="1179" operator="between" text="欠">
      <formula>NOT(ISERROR(SEARCH("欠",AC568)))</formula>
    </cfRule>
  </conditionalFormatting>
  <conditionalFormatting sqref="AF568">
    <cfRule type="containsText" dxfId="0" priority="1175" operator="between" text="欠">
      <formula>NOT(ISERROR(SEARCH("欠",AF568)))</formula>
    </cfRule>
  </conditionalFormatting>
  <conditionalFormatting sqref="AH568">
    <cfRule type="containsText" dxfId="0" priority="1178" operator="between" text="欠">
      <formula>NOT(ISERROR(SEARCH("欠",AH568)))</formula>
    </cfRule>
  </conditionalFormatting>
  <conditionalFormatting sqref="AI568">
    <cfRule type="containsText" dxfId="0" priority="1177" operator="between" text="欠">
      <formula>NOT(ISERROR(SEARCH("欠",AI568)))</formula>
    </cfRule>
  </conditionalFormatting>
  <conditionalFormatting sqref="AC569:AD569">
    <cfRule type="containsText" dxfId="0" priority="1078" operator="between" text="欠">
      <formula>NOT(ISERROR(SEARCH("欠",AC569)))</formula>
    </cfRule>
  </conditionalFormatting>
  <conditionalFormatting sqref="AG569">
    <cfRule type="containsText" dxfId="0" priority="1081" operator="between" text="欠">
      <formula>NOT(ISERROR(SEARCH("欠",AG569)))</formula>
    </cfRule>
  </conditionalFormatting>
  <conditionalFormatting sqref="AH569">
    <cfRule type="containsText" dxfId="0" priority="1075" operator="between" text="欠">
      <formula>NOT(ISERROR(SEARCH("欠",AH569)))</formula>
    </cfRule>
  </conditionalFormatting>
  <conditionalFormatting sqref="AI569">
    <cfRule type="containsText" dxfId="0" priority="1073" operator="between" text="欠">
      <formula>NOT(ISERROR(SEARCH("欠",AI569)))</formula>
    </cfRule>
  </conditionalFormatting>
  <conditionalFormatting sqref="AC570:AD570">
    <cfRule type="containsText" dxfId="0" priority="1077" operator="between" text="欠">
      <formula>NOT(ISERROR(SEARCH("欠",AC570)))</formula>
    </cfRule>
  </conditionalFormatting>
  <conditionalFormatting sqref="AF570">
    <cfRule type="containsText" dxfId="0" priority="1068" operator="between" text="欠">
      <formula>NOT(ISERROR(SEARCH("欠",AF570)))</formula>
    </cfRule>
  </conditionalFormatting>
  <conditionalFormatting sqref="AI570">
    <cfRule type="containsText" dxfId="0" priority="1072" operator="between" text="欠">
      <formula>NOT(ISERROR(SEARCH("欠",AI570)))</formula>
    </cfRule>
  </conditionalFormatting>
  <conditionalFormatting sqref="AC571:AD571">
    <cfRule type="containsText" dxfId="0" priority="1076" operator="between" text="欠">
      <formula>NOT(ISERROR(SEARCH("欠",AC571)))</formula>
    </cfRule>
  </conditionalFormatting>
  <conditionalFormatting sqref="AI571">
    <cfRule type="containsText" dxfId="0" priority="1071" operator="between" text="欠">
      <formula>NOT(ISERROR(SEARCH("欠",AI571)))</formula>
    </cfRule>
  </conditionalFormatting>
  <conditionalFormatting sqref="X573">
    <cfRule type="containsText" dxfId="0" priority="1062" operator="between" text="欠">
      <formula>NOT(ISERROR(SEARCH("欠",X573)))</formula>
    </cfRule>
  </conditionalFormatting>
  <conditionalFormatting sqref="B574">
    <cfRule type="containsText" dxfId="1" priority="1041" operator="between" text="异常">
      <formula>NOT(ISERROR(SEARCH("异常",B574)))</formula>
    </cfRule>
  </conditionalFormatting>
  <conditionalFormatting sqref="C574">
    <cfRule type="containsText" dxfId="2" priority="1039" operator="between" text="二代">
      <formula>NOT(ISERROR(SEARCH("二代",C574)))</formula>
    </cfRule>
    <cfRule type="containsText" dxfId="3" priority="1040" operator="between" text="蛋糕">
      <formula>NOT(ISERROR(SEARCH("蛋糕",C574)))</formula>
    </cfRule>
  </conditionalFormatting>
  <conditionalFormatting sqref="X574">
    <cfRule type="containsText" dxfId="0" priority="1051" operator="between" text="欠">
      <formula>NOT(ISERROR(SEARCH("欠",X574)))</formula>
    </cfRule>
  </conditionalFormatting>
  <conditionalFormatting sqref="Y574">
    <cfRule type="containsText" dxfId="0" priority="1050" operator="between" text="欠">
      <formula>NOT(ISERROR(SEARCH("欠",Y574)))</formula>
    </cfRule>
  </conditionalFormatting>
  <conditionalFormatting sqref="Z574">
    <cfRule type="containsText" dxfId="0" priority="1053" operator="between" text="欠">
      <formula>NOT(ISERROR(SEARCH("欠",Z574)))</formula>
    </cfRule>
  </conditionalFormatting>
  <conditionalFormatting sqref="AA574:AB574">
    <cfRule type="containsText" dxfId="0" priority="1049" operator="between" text="欠">
      <formula>NOT(ISERROR(SEARCH("欠",AA574)))</formula>
    </cfRule>
  </conditionalFormatting>
  <conditionalFormatting sqref="AC574:AD574">
    <cfRule type="containsText" dxfId="0" priority="1048" operator="between" text="欠">
      <formula>NOT(ISERROR(SEARCH("欠",AC574)))</formula>
    </cfRule>
  </conditionalFormatting>
  <conditionalFormatting sqref="AE574">
    <cfRule type="containsText" dxfId="0" priority="1045" operator="between" text="欠">
      <formula>NOT(ISERROR(SEARCH("欠",AE574)))</formula>
    </cfRule>
  </conditionalFormatting>
  <conditionalFormatting sqref="AF574">
    <cfRule type="containsText" dxfId="0" priority="1046" operator="between" text="欠">
      <formula>NOT(ISERROR(SEARCH("欠",AF574)))</formula>
    </cfRule>
  </conditionalFormatting>
  <conditionalFormatting sqref="AG574">
    <cfRule type="containsText" dxfId="0" priority="1044" operator="between" text="欠">
      <formula>NOT(ISERROR(SEARCH("欠",AG574)))</formula>
    </cfRule>
  </conditionalFormatting>
  <conditionalFormatting sqref="AH574">
    <cfRule type="containsText" dxfId="0" priority="1047" operator="between" text="欠">
      <formula>NOT(ISERROR(SEARCH("欠",AH574)))</formula>
    </cfRule>
  </conditionalFormatting>
  <conditionalFormatting sqref="AI574">
    <cfRule type="containsText" dxfId="0" priority="1052" operator="between" text="欠">
      <formula>NOT(ISERROR(SEARCH("欠",AI574)))</formula>
    </cfRule>
  </conditionalFormatting>
  <conditionalFormatting sqref="AK574">
    <cfRule type="containsText" dxfId="0" priority="1043" operator="between" text="欠">
      <formula>NOT(ISERROR(SEARCH("欠",AK574)))</formula>
    </cfRule>
  </conditionalFormatting>
  <conditionalFormatting sqref="AL574">
    <cfRule type="containsText" dxfId="0" priority="1042" operator="between" text="欠">
      <formula>NOT(ISERROR(SEARCH("欠",AL574)))</formula>
    </cfRule>
  </conditionalFormatting>
  <conditionalFormatting sqref="B575">
    <cfRule type="containsText" dxfId="1" priority="1026" operator="between" text="异常">
      <formula>NOT(ISERROR(SEARCH("异常",B575)))</formula>
    </cfRule>
  </conditionalFormatting>
  <conditionalFormatting sqref="C575">
    <cfRule type="containsText" dxfId="2" priority="1024" operator="between" text="二代">
      <formula>NOT(ISERROR(SEARCH("二代",C575)))</formula>
    </cfRule>
    <cfRule type="containsText" dxfId="3" priority="1025" operator="between" text="蛋糕">
      <formula>NOT(ISERROR(SEARCH("蛋糕",C575)))</formula>
    </cfRule>
  </conditionalFormatting>
  <conditionalFormatting sqref="X575">
    <cfRule type="containsText" dxfId="0" priority="1033" operator="between" text="欠">
      <formula>NOT(ISERROR(SEARCH("欠",X575)))</formula>
    </cfRule>
  </conditionalFormatting>
  <conditionalFormatting sqref="Y575">
    <cfRule type="containsText" dxfId="0" priority="1027" operator="between" text="欠">
      <formula>NOT(ISERROR(SEARCH("欠",Y575)))</formula>
    </cfRule>
  </conditionalFormatting>
  <conditionalFormatting sqref="Z575">
    <cfRule type="containsText" dxfId="0" priority="1034" operator="between" text="欠">
      <formula>NOT(ISERROR(SEARCH("欠",Z575)))</formula>
    </cfRule>
  </conditionalFormatting>
  <conditionalFormatting sqref="AA575:AB575">
    <cfRule type="containsText" dxfId="0" priority="1031" operator="between" text="欠">
      <formula>NOT(ISERROR(SEARCH("欠",AA575)))</formula>
    </cfRule>
  </conditionalFormatting>
  <conditionalFormatting sqref="AC575">
    <cfRule type="containsText" dxfId="0" priority="1035" operator="between" text="欠">
      <formula>NOT(ISERROR(SEARCH("欠",AC575)))</formula>
    </cfRule>
  </conditionalFormatting>
  <conditionalFormatting sqref="AD575">
    <cfRule type="containsText" dxfId="0" priority="1036" operator="between" text="欠">
      <formula>NOT(ISERROR(SEARCH("欠",AD575)))</formula>
    </cfRule>
  </conditionalFormatting>
  <conditionalFormatting sqref="AE575">
    <cfRule type="containsText" dxfId="0" priority="1032" operator="between" text="欠">
      <formula>NOT(ISERROR(SEARCH("欠",AE575)))</formula>
    </cfRule>
  </conditionalFormatting>
  <conditionalFormatting sqref="AF575">
    <cfRule type="containsText" dxfId="0" priority="1037" operator="between" text="欠">
      <formula>NOT(ISERROR(SEARCH("欠",AF575)))</formula>
    </cfRule>
  </conditionalFormatting>
  <conditionalFormatting sqref="AG575">
    <cfRule type="containsText" dxfId="0" priority="1029" operator="between" text="欠">
      <formula>NOT(ISERROR(SEARCH("欠",AG575)))</formula>
    </cfRule>
  </conditionalFormatting>
  <conditionalFormatting sqref="AH575">
    <cfRule type="containsText" dxfId="0" priority="1030" operator="between" text="欠">
      <formula>NOT(ISERROR(SEARCH("欠",AH575)))</formula>
    </cfRule>
  </conditionalFormatting>
  <conditionalFormatting sqref="AI575">
    <cfRule type="containsText" dxfId="0" priority="1038" operator="between" text="欠">
      <formula>NOT(ISERROR(SEARCH("欠",AI575)))</formula>
    </cfRule>
  </conditionalFormatting>
  <conditionalFormatting sqref="AL575">
    <cfRule type="containsText" dxfId="0" priority="1028" operator="between" text="欠">
      <formula>NOT(ISERROR(SEARCH("欠",AL575)))</formula>
    </cfRule>
  </conditionalFormatting>
  <conditionalFormatting sqref="B576">
    <cfRule type="containsText" dxfId="1" priority="1013" operator="between" text="异常">
      <formula>NOT(ISERROR(SEARCH("异常",B576)))</formula>
    </cfRule>
  </conditionalFormatting>
  <conditionalFormatting sqref="C576">
    <cfRule type="containsText" dxfId="2" priority="1011" operator="between" text="二代">
      <formula>NOT(ISERROR(SEARCH("二代",C576)))</formula>
    </cfRule>
    <cfRule type="containsText" dxfId="3" priority="1012" operator="between" text="蛋糕">
      <formula>NOT(ISERROR(SEARCH("蛋糕",C576)))</formula>
    </cfRule>
  </conditionalFormatting>
  <conditionalFormatting sqref="X576">
    <cfRule type="containsText" dxfId="0" priority="1021" operator="between" text="欠">
      <formula>NOT(ISERROR(SEARCH("欠",X576)))</formula>
    </cfRule>
  </conditionalFormatting>
  <conditionalFormatting sqref="Y576">
    <cfRule type="containsText" dxfId="0" priority="1017" operator="between" text="欠">
      <formula>NOT(ISERROR(SEARCH("欠",Y576)))</formula>
    </cfRule>
  </conditionalFormatting>
  <conditionalFormatting sqref="Z576">
    <cfRule type="containsText" dxfId="0" priority="1023" operator="between" text="欠">
      <formula>NOT(ISERROR(SEARCH("欠",Z576)))</formula>
    </cfRule>
  </conditionalFormatting>
  <conditionalFormatting sqref="AA576:AB576">
    <cfRule type="containsText" dxfId="0" priority="1020" operator="between" text="欠">
      <formula>NOT(ISERROR(SEARCH("欠",AA576)))</formula>
    </cfRule>
  </conditionalFormatting>
  <conditionalFormatting sqref="AC576:AD576">
    <cfRule type="containsText" dxfId="0" priority="1019" operator="between" text="欠">
      <formula>NOT(ISERROR(SEARCH("欠",AC576)))</formula>
    </cfRule>
  </conditionalFormatting>
  <conditionalFormatting sqref="AE576">
    <cfRule type="containsText" dxfId="0" priority="1015" operator="between" text="欠">
      <formula>NOT(ISERROR(SEARCH("欠",AE576)))</formula>
    </cfRule>
  </conditionalFormatting>
  <conditionalFormatting sqref="AF576">
    <cfRule type="containsText" dxfId="0" priority="1022" operator="between" text="欠">
      <formula>NOT(ISERROR(SEARCH("欠",AF576)))</formula>
    </cfRule>
  </conditionalFormatting>
  <conditionalFormatting sqref="AG576">
    <cfRule type="containsText" dxfId="0" priority="1014" operator="between" text="欠">
      <formula>NOT(ISERROR(SEARCH("欠",AG576)))</formula>
    </cfRule>
  </conditionalFormatting>
  <conditionalFormatting sqref="AH576">
    <cfRule type="containsText" dxfId="0" priority="1018" operator="between" text="欠">
      <formula>NOT(ISERROR(SEARCH("欠",AH576)))</formula>
    </cfRule>
  </conditionalFormatting>
  <conditionalFormatting sqref="AI576">
    <cfRule type="containsText" dxfId="0" priority="1016" operator="between" text="欠">
      <formula>NOT(ISERROR(SEARCH("欠",AI576)))</formula>
    </cfRule>
  </conditionalFormatting>
  <conditionalFormatting sqref="B577">
    <cfRule type="containsText" dxfId="1" priority="1001" operator="between" text="异常">
      <formula>NOT(ISERROR(SEARCH("异常",B577)))</formula>
    </cfRule>
  </conditionalFormatting>
  <conditionalFormatting sqref="C577">
    <cfRule type="containsText" dxfId="2" priority="999" operator="between" text="二代">
      <formula>NOT(ISERROR(SEARCH("二代",C577)))</formula>
    </cfRule>
    <cfRule type="containsText" dxfId="3" priority="1000" operator="between" text="蛋糕">
      <formula>NOT(ISERROR(SEARCH("蛋糕",C577)))</formula>
    </cfRule>
  </conditionalFormatting>
  <conditionalFormatting sqref="X577:Y577">
    <cfRule type="containsText" dxfId="0" priority="1004" operator="between" text="欠">
      <formula>NOT(ISERROR(SEARCH("欠",X577)))</formula>
    </cfRule>
  </conditionalFormatting>
  <conditionalFormatting sqref="AA577">
    <cfRule type="containsText" dxfId="0" priority="1009" operator="between" text="欠">
      <formula>NOT(ISERROR(SEARCH("欠",AA577)))</formula>
    </cfRule>
  </conditionalFormatting>
  <conditionalFormatting sqref="AB577">
    <cfRule type="containsText" dxfId="0" priority="1005" operator="between" text="欠">
      <formula>NOT(ISERROR(SEARCH("欠",AB577)))</formula>
    </cfRule>
  </conditionalFormatting>
  <conditionalFormatting sqref="AC577:AD577">
    <cfRule type="containsText" dxfId="0" priority="1003" operator="between" text="欠">
      <formula>NOT(ISERROR(SEARCH("欠",AC577)))</formula>
    </cfRule>
  </conditionalFormatting>
  <conditionalFormatting sqref="AE577">
    <cfRule type="containsText" dxfId="0" priority="1007" operator="between" text="欠">
      <formula>NOT(ISERROR(SEARCH("欠",AE577)))</formula>
    </cfRule>
  </conditionalFormatting>
  <conditionalFormatting sqref="AF577">
    <cfRule type="containsText" dxfId="0" priority="1002" operator="between" text="欠">
      <formula>NOT(ISERROR(SEARCH("欠",AF577)))</formula>
    </cfRule>
  </conditionalFormatting>
  <conditionalFormatting sqref="AG577">
    <cfRule type="containsText" dxfId="0" priority="1006" operator="between" text="欠">
      <formula>NOT(ISERROR(SEARCH("欠",AG577)))</formula>
    </cfRule>
  </conditionalFormatting>
  <conditionalFormatting sqref="AH577">
    <cfRule type="containsText" dxfId="0" priority="1008" operator="between" text="欠">
      <formula>NOT(ISERROR(SEARCH("欠",AH577)))</formula>
    </cfRule>
  </conditionalFormatting>
  <conditionalFormatting sqref="AI577">
    <cfRule type="containsText" dxfId="0" priority="1010" operator="between" text="欠">
      <formula>NOT(ISERROR(SEARCH("欠",AI577)))</formula>
    </cfRule>
  </conditionalFormatting>
  <conditionalFormatting sqref="B578">
    <cfRule type="containsText" dxfId="1" priority="990" operator="between" text="异常">
      <formula>NOT(ISERROR(SEARCH("异常",B578)))</formula>
    </cfRule>
  </conditionalFormatting>
  <conditionalFormatting sqref="C578">
    <cfRule type="containsText" dxfId="2" priority="988" operator="between" text="二代">
      <formula>NOT(ISERROR(SEARCH("二代",C578)))</formula>
    </cfRule>
    <cfRule type="containsText" dxfId="3" priority="989" operator="between" text="蛋糕">
      <formula>NOT(ISERROR(SEARCH("蛋糕",C578)))</formula>
    </cfRule>
  </conditionalFormatting>
  <conditionalFormatting sqref="Y578">
    <cfRule type="containsText" dxfId="0" priority="995" operator="between" text="欠">
      <formula>NOT(ISERROR(SEARCH("欠",Y578)))</formula>
    </cfRule>
  </conditionalFormatting>
  <conditionalFormatting sqref="Z578">
    <cfRule type="containsText" dxfId="0" priority="996" operator="between" text="欠">
      <formula>NOT(ISERROR(SEARCH("欠",Z578)))</formula>
    </cfRule>
  </conditionalFormatting>
  <conditionalFormatting sqref="AA578:AB578">
    <cfRule type="containsText" dxfId="0" priority="987" operator="between" text="欠">
      <formula>NOT(ISERROR(SEARCH("欠",AA578)))</formula>
    </cfRule>
  </conditionalFormatting>
  <conditionalFormatting sqref="AC578">
    <cfRule type="containsText" dxfId="0" priority="994" operator="between" text="欠">
      <formula>NOT(ISERROR(SEARCH("欠",AC578)))</formula>
    </cfRule>
  </conditionalFormatting>
  <conditionalFormatting sqref="AD578">
    <cfRule type="containsText" dxfId="0" priority="991" operator="between" text="欠">
      <formula>NOT(ISERROR(SEARCH("欠",AD578)))</formula>
    </cfRule>
  </conditionalFormatting>
  <conditionalFormatting sqref="AF578">
    <cfRule type="containsText" dxfId="0" priority="992" operator="between" text="欠">
      <formula>NOT(ISERROR(SEARCH("欠",AF578)))</formula>
    </cfRule>
  </conditionalFormatting>
  <conditionalFormatting sqref="AH578">
    <cfRule type="containsText" dxfId="0" priority="993" operator="between" text="欠">
      <formula>NOT(ISERROR(SEARCH("欠",AH578)))</formula>
    </cfRule>
  </conditionalFormatting>
  <conditionalFormatting sqref="AI578">
    <cfRule type="containsText" dxfId="0" priority="998" operator="between" text="欠">
      <formula>NOT(ISERROR(SEARCH("欠",AI578)))</formula>
    </cfRule>
  </conditionalFormatting>
  <conditionalFormatting sqref="B579">
    <cfRule type="containsText" dxfId="1" priority="977" operator="between" text="异常">
      <formula>NOT(ISERROR(SEARCH("异常",B579)))</formula>
    </cfRule>
  </conditionalFormatting>
  <conditionalFormatting sqref="C579">
    <cfRule type="containsText" dxfId="2" priority="978" operator="between" text="二代">
      <formula>NOT(ISERROR(SEARCH("二代",C579)))</formula>
    </cfRule>
    <cfRule type="containsText" dxfId="3" priority="979" operator="between" text="蛋糕">
      <formula>NOT(ISERROR(SEARCH("蛋糕",C579)))</formula>
    </cfRule>
  </conditionalFormatting>
  <conditionalFormatting sqref="X579">
    <cfRule type="containsText" dxfId="0" priority="976" operator="between" text="欠">
      <formula>NOT(ISERROR(SEARCH("欠",X579)))</formula>
    </cfRule>
  </conditionalFormatting>
  <conditionalFormatting sqref="Y579">
    <cfRule type="containsText" dxfId="0" priority="985" operator="between" text="欠">
      <formula>NOT(ISERROR(SEARCH("欠",Y579)))</formula>
    </cfRule>
  </conditionalFormatting>
  <conditionalFormatting sqref="Z579">
    <cfRule type="containsText" dxfId="0" priority="986" operator="between" text="欠">
      <formula>NOT(ISERROR(SEARCH("欠",Z579)))</formula>
    </cfRule>
  </conditionalFormatting>
  <conditionalFormatting sqref="AA579:AB579">
    <cfRule type="containsText" dxfId="0" priority="980" operator="between" text="欠">
      <formula>NOT(ISERROR(SEARCH("欠",AA579)))</formula>
    </cfRule>
  </conditionalFormatting>
  <conditionalFormatting sqref="AC579:AD579">
    <cfRule type="containsText" dxfId="0" priority="984" operator="between" text="欠">
      <formula>NOT(ISERROR(SEARCH("欠",AC579)))</formula>
    </cfRule>
  </conditionalFormatting>
  <conditionalFormatting sqref="AF579">
    <cfRule type="containsText" dxfId="0" priority="982" operator="between" text="欠">
      <formula>NOT(ISERROR(SEARCH("欠",AF579)))</formula>
    </cfRule>
  </conditionalFormatting>
  <conditionalFormatting sqref="AH579">
    <cfRule type="containsText" dxfId="0" priority="983" operator="between" text="欠">
      <formula>NOT(ISERROR(SEARCH("欠",AH579)))</formula>
    </cfRule>
  </conditionalFormatting>
  <conditionalFormatting sqref="AI579">
    <cfRule type="containsText" dxfId="0" priority="981" operator="between" text="欠">
      <formula>NOT(ISERROR(SEARCH("欠",AI579)))</formula>
    </cfRule>
  </conditionalFormatting>
  <conditionalFormatting sqref="B580">
    <cfRule type="containsText" dxfId="1" priority="1166" operator="between" text="异常">
      <formula>NOT(ISERROR(SEARCH("异常",B580)))</formula>
    </cfRule>
  </conditionalFormatting>
  <conditionalFormatting sqref="C580">
    <cfRule type="containsText" dxfId="2" priority="1163" operator="between" text="二代">
      <formula>NOT(ISERROR(SEARCH("二代",C580)))</formula>
    </cfRule>
    <cfRule type="containsText" dxfId="3" priority="1164" operator="between" text="蛋糕">
      <formula>NOT(ISERROR(SEARCH("蛋糕",C580)))</formula>
    </cfRule>
  </conditionalFormatting>
  <conditionalFormatting sqref="Y580">
    <cfRule type="containsText" dxfId="0" priority="1168" operator="between" text="欠">
      <formula>NOT(ISERROR(SEARCH("欠",Y580)))</formula>
    </cfRule>
  </conditionalFormatting>
  <conditionalFormatting sqref="Z580">
    <cfRule type="containsText" dxfId="0" priority="1161" operator="between" text="欠">
      <formula>NOT(ISERROR(SEARCH("欠",Z580)))</formula>
    </cfRule>
  </conditionalFormatting>
  <conditionalFormatting sqref="AA580:AB580">
    <cfRule type="containsText" dxfId="0" priority="1162" operator="between" text="欠">
      <formula>NOT(ISERROR(SEARCH("欠",AA580)))</formula>
    </cfRule>
  </conditionalFormatting>
  <conditionalFormatting sqref="AD580">
    <cfRule type="containsText" dxfId="0" priority="1170" operator="between" text="欠">
      <formula>NOT(ISERROR(SEARCH("欠",AD580)))</formula>
    </cfRule>
  </conditionalFormatting>
  <conditionalFormatting sqref="AF580">
    <cfRule type="containsText" dxfId="0" priority="1167" operator="between" text="欠">
      <formula>NOT(ISERROR(SEARCH("欠",AF580)))</formula>
    </cfRule>
  </conditionalFormatting>
  <conditionalFormatting sqref="AH580">
    <cfRule type="containsText" dxfId="0" priority="1169" operator="between" text="欠">
      <formula>NOT(ISERROR(SEARCH("欠",AH580)))</formula>
    </cfRule>
  </conditionalFormatting>
  <conditionalFormatting sqref="AI580">
    <cfRule type="containsText" dxfId="0" priority="1171" operator="between" text="欠">
      <formula>NOT(ISERROR(SEARCH("欠",AI580)))</formula>
    </cfRule>
  </conditionalFormatting>
  <conditionalFormatting sqref="AL580">
    <cfRule type="containsText" dxfId="0" priority="1165" operator="between" text="欠">
      <formula>NOT(ISERROR(SEARCH("欠",AL580)))</formula>
    </cfRule>
  </conditionalFormatting>
  <conditionalFormatting sqref="Z581">
    <cfRule type="containsText" dxfId="0" priority="1148" operator="between" text="欠">
      <formula>NOT(ISERROR(SEARCH("欠",Z581)))</formula>
    </cfRule>
  </conditionalFormatting>
  <conditionalFormatting sqref="AA581:AB581">
    <cfRule type="containsText" dxfId="0" priority="1151" operator="between" text="欠">
      <formula>NOT(ISERROR(SEARCH("欠",AA581)))</formula>
    </cfRule>
  </conditionalFormatting>
  <conditionalFormatting sqref="Z582">
    <cfRule type="containsText" dxfId="0" priority="1147" operator="between" text="欠">
      <formula>NOT(ISERROR(SEARCH("欠",Z582)))</formula>
    </cfRule>
  </conditionalFormatting>
  <conditionalFormatting sqref="AA582:AB582">
    <cfRule type="containsText" dxfId="0" priority="1150" operator="between" text="欠">
      <formula>NOT(ISERROR(SEARCH("欠",AA582)))</formula>
    </cfRule>
  </conditionalFormatting>
  <conditionalFormatting sqref="Z583">
    <cfRule type="containsText" dxfId="0" priority="1146" operator="between" text="欠">
      <formula>NOT(ISERROR(SEARCH("欠",Z583)))</formula>
    </cfRule>
  </conditionalFormatting>
  <conditionalFormatting sqref="AA583:AB583">
    <cfRule type="containsText" dxfId="0" priority="1149" operator="between" text="欠">
      <formula>NOT(ISERROR(SEARCH("欠",AA583)))</formula>
    </cfRule>
  </conditionalFormatting>
  <conditionalFormatting sqref="B584">
    <cfRule type="containsText" dxfId="1" priority="1139" operator="between" text="异常">
      <formula>NOT(ISERROR(SEARCH("异常",B584)))</formula>
    </cfRule>
  </conditionalFormatting>
  <conditionalFormatting sqref="C584">
    <cfRule type="containsText" dxfId="2" priority="1137" operator="between" text="二代">
      <formula>NOT(ISERROR(SEARCH("二代",C584)))</formula>
    </cfRule>
    <cfRule type="containsText" dxfId="3" priority="1138" operator="between" text="蛋糕">
      <formula>NOT(ISERROR(SEARCH("蛋糕",C584)))</formula>
    </cfRule>
  </conditionalFormatting>
  <conditionalFormatting sqref="Y584">
    <cfRule type="containsText" dxfId="0" priority="1143" operator="between" text="欠">
      <formula>NOT(ISERROR(SEARCH("欠",Y584)))</formula>
    </cfRule>
  </conditionalFormatting>
  <conditionalFormatting sqref="Z584">
    <cfRule type="containsText" dxfId="0" priority="1135" operator="between" text="欠">
      <formula>NOT(ISERROR(SEARCH("欠",Z584)))</formula>
    </cfRule>
  </conditionalFormatting>
  <conditionalFormatting sqref="AA584:AB584">
    <cfRule type="containsText" dxfId="0" priority="1136" operator="between" text="欠">
      <formula>NOT(ISERROR(SEARCH("欠",AA584)))</formula>
    </cfRule>
  </conditionalFormatting>
  <conditionalFormatting sqref="AD584">
    <cfRule type="containsText" dxfId="0" priority="1142" operator="between" text="欠">
      <formula>NOT(ISERROR(SEARCH("欠",AD584)))</formula>
    </cfRule>
  </conditionalFormatting>
  <conditionalFormatting sqref="AF584">
    <cfRule type="containsText" dxfId="0" priority="1140" operator="between" text="欠">
      <formula>NOT(ISERROR(SEARCH("欠",AF584)))</formula>
    </cfRule>
  </conditionalFormatting>
  <conditionalFormatting sqref="AH584">
    <cfRule type="containsText" dxfId="0" priority="1144" operator="between" text="欠">
      <formula>NOT(ISERROR(SEARCH("欠",AH584)))</formula>
    </cfRule>
  </conditionalFormatting>
  <conditionalFormatting sqref="AI584">
    <cfRule type="containsText" dxfId="0" priority="1141" operator="between" text="欠">
      <formula>NOT(ISERROR(SEARCH("欠",AI584)))</formula>
    </cfRule>
  </conditionalFormatting>
  <conditionalFormatting sqref="Z585">
    <cfRule type="containsText" dxfId="0" priority="1119" operator="between" text="欠">
      <formula>NOT(ISERROR(SEARCH("欠",Z585)))</formula>
    </cfRule>
  </conditionalFormatting>
  <conditionalFormatting sqref="AA585:AB585">
    <cfRule type="containsText" dxfId="0" priority="1122" operator="between" text="欠">
      <formula>NOT(ISERROR(SEARCH("欠",AA585)))</formula>
    </cfRule>
  </conditionalFormatting>
  <conditionalFormatting sqref="AD585">
    <cfRule type="containsText" dxfId="0" priority="1132" operator="between" text="欠">
      <formula>NOT(ISERROR(SEARCH("欠",AD585)))</formula>
    </cfRule>
  </conditionalFormatting>
  <conditionalFormatting sqref="AI585">
    <cfRule type="containsText" dxfId="0" priority="1131" operator="between" text="欠">
      <formula>NOT(ISERROR(SEARCH("欠",AI585)))</formula>
    </cfRule>
  </conditionalFormatting>
  <conditionalFormatting sqref="Z586">
    <cfRule type="containsText" dxfId="0" priority="1118" operator="between" text="欠">
      <formula>NOT(ISERROR(SEARCH("欠",Z586)))</formula>
    </cfRule>
  </conditionalFormatting>
  <conditionalFormatting sqref="AA586:AB586">
    <cfRule type="containsText" dxfId="0" priority="1121" operator="between" text="欠">
      <formula>NOT(ISERROR(SEARCH("欠",AA586)))</formula>
    </cfRule>
  </conditionalFormatting>
  <conditionalFormatting sqref="AI586">
    <cfRule type="containsText" dxfId="0" priority="1133" operator="between" text="欠">
      <formula>NOT(ISERROR(SEARCH("欠",AI586)))</formula>
    </cfRule>
  </conditionalFormatting>
  <conditionalFormatting sqref="Z587">
    <cfRule type="containsText" dxfId="0" priority="1117" operator="between" text="欠">
      <formula>NOT(ISERROR(SEARCH("欠",Z587)))</formula>
    </cfRule>
  </conditionalFormatting>
  <conditionalFormatting sqref="AA587:AB587">
    <cfRule type="containsText" dxfId="0" priority="1120" operator="between" text="欠">
      <formula>NOT(ISERROR(SEARCH("欠",AA587)))</formula>
    </cfRule>
  </conditionalFormatting>
  <conditionalFormatting sqref="AI587">
    <cfRule type="containsText" dxfId="0" priority="1127" operator="between" text="欠">
      <formula>NOT(ISERROR(SEARCH("欠",AI587)))</formula>
    </cfRule>
  </conditionalFormatting>
  <conditionalFormatting sqref="Z588">
    <cfRule type="containsText" dxfId="0" priority="1099" operator="between" text="欠">
      <formula>NOT(ISERROR(SEARCH("欠",Z588)))</formula>
    </cfRule>
  </conditionalFormatting>
  <conditionalFormatting sqref="AA588">
    <cfRule type="containsText" dxfId="0" priority="1105" operator="between" text="欠">
      <formula>NOT(ISERROR(SEARCH("欠",AA588)))</formula>
    </cfRule>
  </conditionalFormatting>
  <conditionalFormatting sqref="AI588">
    <cfRule type="containsText" dxfId="0" priority="1115" operator="between" text="欠">
      <formula>NOT(ISERROR(SEARCH("欠",AI588)))</formula>
    </cfRule>
  </conditionalFormatting>
  <conditionalFormatting sqref="Z589">
    <cfRule type="containsText" dxfId="0" priority="1098" operator="between" text="欠">
      <formula>NOT(ISERROR(SEARCH("欠",Z589)))</formula>
    </cfRule>
  </conditionalFormatting>
  <conditionalFormatting sqref="AA589">
    <cfRule type="containsText" dxfId="0" priority="1104" operator="between" text="欠">
      <formula>NOT(ISERROR(SEARCH("欠",AA589)))</formula>
    </cfRule>
  </conditionalFormatting>
  <conditionalFormatting sqref="Z590">
    <cfRule type="containsText" dxfId="0" priority="1097" operator="between" text="欠">
      <formula>NOT(ISERROR(SEARCH("欠",Z590)))</formula>
    </cfRule>
  </conditionalFormatting>
  <conditionalFormatting sqref="AA590">
    <cfRule type="containsText" dxfId="0" priority="1103" operator="between" text="欠">
      <formula>NOT(ISERROR(SEARCH("欠",AA590)))</formula>
    </cfRule>
  </conditionalFormatting>
  <conditionalFormatting sqref="Z591">
    <cfRule type="containsText" dxfId="0" priority="1096" operator="between" text="欠">
      <formula>NOT(ISERROR(SEARCH("欠",Z591)))</formula>
    </cfRule>
  </conditionalFormatting>
  <conditionalFormatting sqref="AA591">
    <cfRule type="containsText" dxfId="0" priority="1102" operator="between" text="欠">
      <formula>NOT(ISERROR(SEARCH("欠",AA591)))</formula>
    </cfRule>
  </conditionalFormatting>
  <conditionalFormatting sqref="Z592">
    <cfRule type="containsText" dxfId="0" priority="1095" operator="between" text="欠">
      <formula>NOT(ISERROR(SEARCH("欠",Z592)))</formula>
    </cfRule>
  </conditionalFormatting>
  <conditionalFormatting sqref="AA592">
    <cfRule type="containsText" dxfId="0" priority="1101" operator="between" text="欠">
      <formula>NOT(ISERROR(SEARCH("欠",AA592)))</formula>
    </cfRule>
  </conditionalFormatting>
  <conditionalFormatting sqref="Z593">
    <cfRule type="containsText" dxfId="0" priority="1094" operator="between" text="欠">
      <formula>NOT(ISERROR(SEARCH("欠",Z593)))</formula>
    </cfRule>
  </conditionalFormatting>
  <conditionalFormatting sqref="AA593">
    <cfRule type="containsText" dxfId="0" priority="1100" operator="between" text="欠">
      <formula>NOT(ISERROR(SEARCH("欠",AA593)))</formula>
    </cfRule>
  </conditionalFormatting>
  <conditionalFormatting sqref="B594">
    <cfRule type="containsText" dxfId="1" priority="1087" operator="between" text="异常">
      <formula>NOT(ISERROR(SEARCH("异常",B594)))</formula>
    </cfRule>
  </conditionalFormatting>
  <conditionalFormatting sqref="C594">
    <cfRule type="containsText" dxfId="2" priority="1085" operator="between" text="二代">
      <formula>NOT(ISERROR(SEARCH("二代",C594)))</formula>
    </cfRule>
    <cfRule type="containsText" dxfId="3" priority="1086" operator="between" text="蛋糕">
      <formula>NOT(ISERROR(SEARCH("蛋糕",C594)))</formula>
    </cfRule>
  </conditionalFormatting>
  <conditionalFormatting sqref="Y594">
    <cfRule type="containsText" dxfId="0" priority="1090" operator="between" text="欠">
      <formula>NOT(ISERROR(SEARCH("欠",Y594)))</formula>
    </cfRule>
  </conditionalFormatting>
  <conditionalFormatting sqref="Z594">
    <cfRule type="containsText" dxfId="0" priority="1083" operator="between" text="欠">
      <formula>NOT(ISERROR(SEARCH("欠",Z594)))</formula>
    </cfRule>
  </conditionalFormatting>
  <conditionalFormatting sqref="AA594">
    <cfRule type="containsText" dxfId="0" priority="1084" operator="between" text="欠">
      <formula>NOT(ISERROR(SEARCH("欠",AA594)))</formula>
    </cfRule>
  </conditionalFormatting>
  <conditionalFormatting sqref="AB594">
    <cfRule type="containsText" dxfId="0" priority="1082" operator="between" text="欠">
      <formula>NOT(ISERROR(SEARCH("欠",AB594)))</formula>
    </cfRule>
  </conditionalFormatting>
  <conditionalFormatting sqref="AD594">
    <cfRule type="containsText" dxfId="0" priority="1092" operator="between" text="欠">
      <formula>NOT(ISERROR(SEARCH("欠",AD594)))</formula>
    </cfRule>
  </conditionalFormatting>
  <conditionalFormatting sqref="AF594">
    <cfRule type="containsText" dxfId="0" priority="1088" operator="between" text="欠">
      <formula>NOT(ISERROR(SEARCH("欠",AF594)))</formula>
    </cfRule>
  </conditionalFormatting>
  <conditionalFormatting sqref="AH594">
    <cfRule type="containsText" dxfId="0" priority="1091" operator="between" text="欠">
      <formula>NOT(ISERROR(SEARCH("欠",AH594)))</formula>
    </cfRule>
  </conditionalFormatting>
  <conditionalFormatting sqref="AI594">
    <cfRule type="containsText" dxfId="0" priority="1089" operator="between" text="欠">
      <formula>NOT(ISERROR(SEARCH("欠",AI594)))</formula>
    </cfRule>
  </conditionalFormatting>
  <conditionalFormatting sqref="AB595">
    <cfRule type="containsText" dxfId="0" priority="968" operator="between" text="欠">
      <formula>NOT(ISERROR(SEARCH("欠",AB595)))</formula>
    </cfRule>
  </conditionalFormatting>
  <conditionalFormatting sqref="AB596">
    <cfRule type="containsText" dxfId="0" priority="970" operator="between" text="欠">
      <formula>NOT(ISERROR(SEARCH("欠",AB596)))</formula>
    </cfRule>
  </conditionalFormatting>
  <conditionalFormatting sqref="AB597">
    <cfRule type="containsText" dxfId="0" priority="969" operator="between" text="欠">
      <formula>NOT(ISERROR(SEARCH("欠",AB597)))</formula>
    </cfRule>
  </conditionalFormatting>
  <conditionalFormatting sqref="Z598">
    <cfRule type="containsText" dxfId="0" priority="947" operator="between" text="欠">
      <formula>NOT(ISERROR(SEARCH("欠",Z598)))</formula>
    </cfRule>
  </conditionalFormatting>
  <conditionalFormatting sqref="AA598:AB598">
    <cfRule type="containsText" dxfId="0" priority="952" operator="between" text="欠">
      <formula>NOT(ISERROR(SEARCH("欠",AA598)))</formula>
    </cfRule>
  </conditionalFormatting>
  <conditionalFormatting sqref="Z599">
    <cfRule type="containsText" dxfId="0" priority="946" operator="between" text="欠">
      <formula>NOT(ISERROR(SEARCH("欠",Z599)))</formula>
    </cfRule>
  </conditionalFormatting>
  <conditionalFormatting sqref="AA599:AB599">
    <cfRule type="containsText" dxfId="0" priority="951" operator="between" text="欠">
      <formula>NOT(ISERROR(SEARCH("欠",AA599)))</formula>
    </cfRule>
  </conditionalFormatting>
  <conditionalFormatting sqref="Z600">
    <cfRule type="containsText" dxfId="0" priority="945" operator="between" text="欠">
      <formula>NOT(ISERROR(SEARCH("欠",Z600)))</formula>
    </cfRule>
  </conditionalFormatting>
  <conditionalFormatting sqref="AA600:AB600">
    <cfRule type="containsText" dxfId="0" priority="950" operator="between" text="欠">
      <formula>NOT(ISERROR(SEARCH("欠",AA600)))</formula>
    </cfRule>
  </conditionalFormatting>
  <conditionalFormatting sqref="AF600">
    <cfRule type="containsText" dxfId="0" priority="962" operator="between" text="欠">
      <formula>NOT(ISERROR(SEARCH("欠",AF600)))</formula>
    </cfRule>
  </conditionalFormatting>
  <conditionalFormatting sqref="Z601">
    <cfRule type="containsText" dxfId="0" priority="944" operator="between" text="欠">
      <formula>NOT(ISERROR(SEARCH("欠",Z601)))</formula>
    </cfRule>
  </conditionalFormatting>
  <conditionalFormatting sqref="AA601:AB601">
    <cfRule type="containsText" dxfId="0" priority="949" operator="between" text="欠">
      <formula>NOT(ISERROR(SEARCH("欠",AA601)))</formula>
    </cfRule>
  </conditionalFormatting>
  <conditionalFormatting sqref="Z602">
    <cfRule type="containsText" dxfId="0" priority="943" operator="between" text="欠">
      <formula>NOT(ISERROR(SEARCH("欠",Z602)))</formula>
    </cfRule>
  </conditionalFormatting>
  <conditionalFormatting sqref="AA602:AB602">
    <cfRule type="containsText" dxfId="0" priority="948" operator="between" text="欠">
      <formula>NOT(ISERROR(SEARCH("欠",AA602)))</formula>
    </cfRule>
  </conditionalFormatting>
  <conditionalFormatting sqref="Z603">
    <cfRule type="containsText" dxfId="0" priority="928" operator="between" text="欠">
      <formula>NOT(ISERROR(SEARCH("欠",Z603)))</formula>
    </cfRule>
  </conditionalFormatting>
  <conditionalFormatting sqref="AA603:AB603">
    <cfRule type="containsText" dxfId="0" priority="931" operator="between" text="欠">
      <formula>NOT(ISERROR(SEARCH("欠",AA603)))</formula>
    </cfRule>
  </conditionalFormatting>
  <conditionalFormatting sqref="Z604">
    <cfRule type="containsText" dxfId="0" priority="927" operator="between" text="欠">
      <formula>NOT(ISERROR(SEARCH("欠",Z604)))</formula>
    </cfRule>
  </conditionalFormatting>
  <conditionalFormatting sqref="AA604:AB604">
    <cfRule type="containsText" dxfId="0" priority="930" operator="between" text="欠">
      <formula>NOT(ISERROR(SEARCH("欠",AA604)))</formula>
    </cfRule>
  </conditionalFormatting>
  <conditionalFormatting sqref="Z605">
    <cfRule type="containsText" dxfId="0" priority="926" operator="between" text="欠">
      <formula>NOT(ISERROR(SEARCH("欠",Z605)))</formula>
    </cfRule>
  </conditionalFormatting>
  <conditionalFormatting sqref="AA605:AB605">
    <cfRule type="containsText" dxfId="0" priority="929" operator="between" text="欠">
      <formula>NOT(ISERROR(SEARCH("欠",AA605)))</formula>
    </cfRule>
  </conditionalFormatting>
  <conditionalFormatting sqref="AI605">
    <cfRule type="containsText" dxfId="0" priority="942" operator="between" text="欠">
      <formula>NOT(ISERROR(SEARCH("欠",AI605)))</formula>
    </cfRule>
  </conditionalFormatting>
  <conditionalFormatting sqref="AJ605">
    <cfRule type="containsText" dxfId="0" priority="941" operator="between" text="欠">
      <formula>NOT(ISERROR(SEARCH("欠",AJ605)))</formula>
    </cfRule>
  </conditionalFormatting>
  <conditionalFormatting sqref="B606">
    <cfRule type="containsText" dxfId="1" priority="920" operator="between" text="异常">
      <formula>NOT(ISERROR(SEARCH("异常",B606)))</formula>
    </cfRule>
  </conditionalFormatting>
  <conditionalFormatting sqref="C606">
    <cfRule type="containsText" dxfId="2" priority="918" operator="between" text="二代">
      <formula>NOT(ISERROR(SEARCH("二代",C606)))</formula>
    </cfRule>
    <cfRule type="containsText" dxfId="3" priority="919" operator="between" text="蛋糕">
      <formula>NOT(ISERROR(SEARCH("蛋糕",C606)))</formula>
    </cfRule>
  </conditionalFormatting>
  <conditionalFormatting sqref="Y606">
    <cfRule type="containsText" dxfId="0" priority="923" operator="between" text="欠">
      <formula>NOT(ISERROR(SEARCH("欠",Y606)))</formula>
    </cfRule>
  </conditionalFormatting>
  <conditionalFormatting sqref="Z606">
    <cfRule type="containsText" dxfId="0" priority="916" operator="between" text="欠">
      <formula>NOT(ISERROR(SEARCH("欠",Z606)))</formula>
    </cfRule>
  </conditionalFormatting>
  <conditionalFormatting sqref="AA606:AB606">
    <cfRule type="containsText" dxfId="0" priority="917" operator="between" text="欠">
      <formula>NOT(ISERROR(SEARCH("欠",AA606)))</formula>
    </cfRule>
  </conditionalFormatting>
  <conditionalFormatting sqref="AC606">
    <cfRule type="containsText" dxfId="0" priority="925" operator="between" text="欠">
      <formula>NOT(ISERROR(SEARCH("欠",AC606)))</formula>
    </cfRule>
  </conditionalFormatting>
  <conditionalFormatting sqref="AF606">
    <cfRule type="containsText" dxfId="0" priority="921" operator="between" text="欠">
      <formula>NOT(ISERROR(SEARCH("欠",AF606)))</formula>
    </cfRule>
  </conditionalFormatting>
  <conditionalFormatting sqref="AH606">
    <cfRule type="containsText" dxfId="0" priority="924" operator="between" text="欠">
      <formula>NOT(ISERROR(SEARCH("欠",AH606)))</formula>
    </cfRule>
  </conditionalFormatting>
  <conditionalFormatting sqref="AI606">
    <cfRule type="containsText" dxfId="0" priority="922" operator="between" text="欠">
      <formula>NOT(ISERROR(SEARCH("欠",AI606)))</formula>
    </cfRule>
  </conditionalFormatting>
  <conditionalFormatting sqref="B607">
    <cfRule type="containsText" dxfId="1" priority="910" operator="between" text="异常">
      <formula>NOT(ISERROR(SEARCH("异常",B607)))</formula>
    </cfRule>
  </conditionalFormatting>
  <conditionalFormatting sqref="C607">
    <cfRule type="containsText" dxfId="2" priority="908" operator="between" text="二代">
      <formula>NOT(ISERROR(SEARCH("二代",C607)))</formula>
    </cfRule>
    <cfRule type="containsText" dxfId="3" priority="909" operator="between" text="蛋糕">
      <formula>NOT(ISERROR(SEARCH("蛋糕",C607)))</formula>
    </cfRule>
  </conditionalFormatting>
  <conditionalFormatting sqref="Y607">
    <cfRule type="containsText" dxfId="0" priority="912" operator="between" text="欠">
      <formula>NOT(ISERROR(SEARCH("欠",Y607)))</formula>
    </cfRule>
  </conditionalFormatting>
  <conditionalFormatting sqref="Z607">
    <cfRule type="containsText" dxfId="0" priority="906" operator="between" text="欠">
      <formula>NOT(ISERROR(SEARCH("欠",Z607)))</formula>
    </cfRule>
  </conditionalFormatting>
  <conditionalFormatting sqref="AA607:AB607">
    <cfRule type="containsText" dxfId="0" priority="907" operator="between" text="欠">
      <formula>NOT(ISERROR(SEARCH("欠",AA607)))</formula>
    </cfRule>
  </conditionalFormatting>
  <conditionalFormatting sqref="AC607">
    <cfRule type="containsText" dxfId="0" priority="914" operator="between" text="欠">
      <formula>NOT(ISERROR(SEARCH("欠",AC607)))</formula>
    </cfRule>
  </conditionalFormatting>
  <conditionalFormatting sqref="AF607">
    <cfRule type="containsText" dxfId="0" priority="911" operator="between" text="欠">
      <formula>NOT(ISERROR(SEARCH("欠",AF607)))</formula>
    </cfRule>
  </conditionalFormatting>
  <conditionalFormatting sqref="AH607">
    <cfRule type="containsText" dxfId="0" priority="913" operator="between" text="欠">
      <formula>NOT(ISERROR(SEARCH("欠",AH607)))</formula>
    </cfRule>
  </conditionalFormatting>
  <conditionalFormatting sqref="AI607">
    <cfRule type="containsText" dxfId="0" priority="915" operator="between" text="欠">
      <formula>NOT(ISERROR(SEARCH("欠",AI607)))</formula>
    </cfRule>
  </conditionalFormatting>
  <conditionalFormatting sqref="B608">
    <cfRule type="containsText" dxfId="1" priority="900" operator="between" text="异常">
      <formula>NOT(ISERROR(SEARCH("异常",B608)))</formula>
    </cfRule>
  </conditionalFormatting>
  <conditionalFormatting sqref="C608">
    <cfRule type="containsText" dxfId="2" priority="898" operator="between" text="二代">
      <formula>NOT(ISERROR(SEARCH("二代",C608)))</formula>
    </cfRule>
    <cfRule type="containsText" dxfId="3" priority="899" operator="between" text="蛋糕">
      <formula>NOT(ISERROR(SEARCH("蛋糕",C608)))</formula>
    </cfRule>
  </conditionalFormatting>
  <conditionalFormatting sqref="Y608">
    <cfRule type="containsText" dxfId="0" priority="903" operator="between" text="欠">
      <formula>NOT(ISERROR(SEARCH("欠",Y608)))</formula>
    </cfRule>
  </conditionalFormatting>
  <conditionalFormatting sqref="Z608">
    <cfRule type="containsText" dxfId="0" priority="896" operator="between" text="欠">
      <formula>NOT(ISERROR(SEARCH("欠",Z608)))</formula>
    </cfRule>
  </conditionalFormatting>
  <conditionalFormatting sqref="AA608:AB608">
    <cfRule type="containsText" dxfId="0" priority="897" operator="between" text="欠">
      <formula>NOT(ISERROR(SEARCH("欠",AA608)))</formula>
    </cfRule>
  </conditionalFormatting>
  <conditionalFormatting sqref="AD608">
    <cfRule type="containsText" dxfId="0" priority="905" operator="between" text="欠">
      <formula>NOT(ISERROR(SEARCH("欠",AD608)))</formula>
    </cfRule>
  </conditionalFormatting>
  <conditionalFormatting sqref="AF608">
    <cfRule type="containsText" dxfId="0" priority="901" operator="between" text="欠">
      <formula>NOT(ISERROR(SEARCH("欠",AF608)))</formula>
    </cfRule>
  </conditionalFormatting>
  <conditionalFormatting sqref="AH608">
    <cfRule type="containsText" dxfId="0" priority="904" operator="between" text="欠">
      <formula>NOT(ISERROR(SEARCH("欠",AH608)))</formula>
    </cfRule>
  </conditionalFormatting>
  <conditionalFormatting sqref="AI608">
    <cfRule type="containsText" dxfId="0" priority="902" operator="between" text="欠">
      <formula>NOT(ISERROR(SEARCH("欠",AI608)))</formula>
    </cfRule>
  </conditionalFormatting>
  <conditionalFormatting sqref="B609">
    <cfRule type="containsText" dxfId="1" priority="886" operator="between" text="异常">
      <formula>NOT(ISERROR(SEARCH("异常",B609)))</formula>
    </cfRule>
  </conditionalFormatting>
  <conditionalFormatting sqref="C609">
    <cfRule type="containsText" dxfId="2" priority="887" operator="between" text="二代">
      <formula>NOT(ISERROR(SEARCH("二代",C609)))</formula>
    </cfRule>
    <cfRule type="containsText" dxfId="3" priority="888" operator="between" text="蛋糕">
      <formula>NOT(ISERROR(SEARCH("蛋糕",C609)))</formula>
    </cfRule>
  </conditionalFormatting>
  <conditionalFormatting sqref="X609">
    <cfRule type="containsText" dxfId="0" priority="885" operator="between" text="欠">
      <formula>NOT(ISERROR(SEARCH("欠",X609)))</formula>
    </cfRule>
  </conditionalFormatting>
  <conditionalFormatting sqref="Y609">
    <cfRule type="containsText" dxfId="0" priority="894" operator="between" text="欠">
      <formula>NOT(ISERROR(SEARCH("欠",Y609)))</formula>
    </cfRule>
  </conditionalFormatting>
  <conditionalFormatting sqref="Z609">
    <cfRule type="containsText" dxfId="0" priority="895" operator="between" text="欠">
      <formula>NOT(ISERROR(SEARCH("欠",Z609)))</formula>
    </cfRule>
  </conditionalFormatting>
  <conditionalFormatting sqref="AA609:AB609">
    <cfRule type="containsText" dxfId="0" priority="889" operator="between" text="欠">
      <formula>NOT(ISERROR(SEARCH("欠",AA609)))</formula>
    </cfRule>
  </conditionalFormatting>
  <conditionalFormatting sqref="AC609:AD609">
    <cfRule type="containsText" dxfId="0" priority="893" operator="between" text="欠">
      <formula>NOT(ISERROR(SEARCH("欠",AC609)))</formula>
    </cfRule>
  </conditionalFormatting>
  <conditionalFormatting sqref="AF609">
    <cfRule type="containsText" dxfId="0" priority="891" operator="between" text="欠">
      <formula>NOT(ISERROR(SEARCH("欠",AF609)))</formula>
    </cfRule>
  </conditionalFormatting>
  <conditionalFormatting sqref="AH609">
    <cfRule type="containsText" dxfId="0" priority="892" operator="between" text="欠">
      <formula>NOT(ISERROR(SEARCH("欠",AH609)))</formula>
    </cfRule>
  </conditionalFormatting>
  <conditionalFormatting sqref="AI609">
    <cfRule type="containsText" dxfId="0" priority="890" operator="between" text="欠">
      <formula>NOT(ISERROR(SEARCH("欠",AI609)))</formula>
    </cfRule>
  </conditionalFormatting>
  <conditionalFormatting sqref="AC610:AD610">
    <cfRule type="containsText" dxfId="0" priority="875" operator="between" text="欠">
      <formula>NOT(ISERROR(SEARCH("欠",AC610)))</formula>
    </cfRule>
  </conditionalFormatting>
  <conditionalFormatting sqref="AI610">
    <cfRule type="containsText" dxfId="0" priority="871" operator="between" text="欠">
      <formula>NOT(ISERROR(SEARCH("欠",AI610)))</formula>
    </cfRule>
  </conditionalFormatting>
  <conditionalFormatting sqref="AC611:AD611">
    <cfRule type="containsText" dxfId="0" priority="874" operator="between" text="欠">
      <formula>NOT(ISERROR(SEARCH("欠",AC611)))</formula>
    </cfRule>
  </conditionalFormatting>
  <conditionalFormatting sqref="AI611">
    <cfRule type="containsText" dxfId="0" priority="870" operator="between" text="欠">
      <formula>NOT(ISERROR(SEARCH("欠",AI611)))</formula>
    </cfRule>
  </conditionalFormatting>
  <conditionalFormatting sqref="AC612:AD612">
    <cfRule type="containsText" dxfId="0" priority="873" operator="between" text="欠">
      <formula>NOT(ISERROR(SEARCH("欠",AC612)))</formula>
    </cfRule>
  </conditionalFormatting>
  <conditionalFormatting sqref="AI612">
    <cfRule type="containsText" dxfId="0" priority="869" operator="between" text="欠">
      <formula>NOT(ISERROR(SEARCH("欠",AI612)))</formula>
    </cfRule>
  </conditionalFormatting>
  <conditionalFormatting sqref="AC613:AD613">
    <cfRule type="containsText" dxfId="0" priority="882" operator="between" text="欠">
      <formula>NOT(ISERROR(SEARCH("欠",AC613)))</formula>
    </cfRule>
  </conditionalFormatting>
  <conditionalFormatting sqref="AH613">
    <cfRule type="containsText" dxfId="0" priority="880" operator="between" text="欠">
      <formula>NOT(ISERROR(SEARCH("欠",AH613)))</formula>
    </cfRule>
  </conditionalFormatting>
  <conditionalFormatting sqref="AI613">
    <cfRule type="containsText" dxfId="0" priority="878" operator="between" text="欠">
      <formula>NOT(ISERROR(SEARCH("欠",AI613)))</formula>
    </cfRule>
  </conditionalFormatting>
  <conditionalFormatting sqref="Y614">
    <cfRule type="containsText" dxfId="0" priority="867" operator="between" text="欠">
      <formula>NOT(ISERROR(SEARCH("欠",Y614)))</formula>
    </cfRule>
  </conditionalFormatting>
  <conditionalFormatting sqref="AC614:AD614">
    <cfRule type="containsText" dxfId="0" priority="881" operator="between" text="欠">
      <formula>NOT(ISERROR(SEARCH("欠",AC614)))</formula>
    </cfRule>
  </conditionalFormatting>
  <conditionalFormatting sqref="AH614">
    <cfRule type="containsText" dxfId="0" priority="879" operator="between" text="欠">
      <formula>NOT(ISERROR(SEARCH("欠",AH614)))</formula>
    </cfRule>
  </conditionalFormatting>
  <conditionalFormatting sqref="AI614">
    <cfRule type="containsText" dxfId="0" priority="877" operator="between" text="欠">
      <formula>NOT(ISERROR(SEARCH("欠",AI614)))</formula>
    </cfRule>
  </conditionalFormatting>
  <conditionalFormatting sqref="X615:Y615">
    <cfRule type="containsText" dxfId="0" priority="860" operator="between" text="欠">
      <formula>NOT(ISERROR(SEARCH("欠",X615)))</formula>
    </cfRule>
  </conditionalFormatting>
  <conditionalFormatting sqref="AE615">
    <cfRule type="containsText" dxfId="0" priority="855" operator="between" text="欠">
      <formula>NOT(ISERROR(SEARCH("欠",AE615)))</formula>
    </cfRule>
  </conditionalFormatting>
  <conditionalFormatting sqref="AG615">
    <cfRule type="containsText" dxfId="0" priority="854" operator="between" text="欠">
      <formula>NOT(ISERROR(SEARCH("欠",AG615)))</formula>
    </cfRule>
  </conditionalFormatting>
  <conditionalFormatting sqref="Y616">
    <cfRule type="containsText" dxfId="0" priority="853" operator="between" text="欠">
      <formula>NOT(ISERROR(SEARCH("欠",Y616)))</formula>
    </cfRule>
  </conditionalFormatting>
  <conditionalFormatting sqref="AA616">
    <cfRule type="containsText" dxfId="0" priority="858" operator="between" text="欠">
      <formula>NOT(ISERROR(SEARCH("欠",AA616)))</formula>
    </cfRule>
  </conditionalFormatting>
  <conditionalFormatting sqref="AE616">
    <cfRule type="containsText" dxfId="0" priority="852" operator="between" text="欠">
      <formula>NOT(ISERROR(SEARCH("欠",AE616)))</formula>
    </cfRule>
  </conditionalFormatting>
  <conditionalFormatting sqref="AG616">
    <cfRule type="containsText" dxfId="0" priority="849" operator="between" text="欠">
      <formula>NOT(ISERROR(SEARCH("欠",AG616)))</formula>
    </cfRule>
  </conditionalFormatting>
  <conditionalFormatting sqref="Y617">
    <cfRule type="containsText" dxfId="0" priority="834" operator="between" text="欠">
      <formula>NOT(ISERROR(SEARCH("欠",Y617)))</formula>
    </cfRule>
  </conditionalFormatting>
  <conditionalFormatting sqref="AC617">
    <cfRule type="containsText" dxfId="0" priority="836" operator="between" text="欠">
      <formula>NOT(ISERROR(SEARCH("欠",AC617)))</formula>
    </cfRule>
  </conditionalFormatting>
  <conditionalFormatting sqref="AD617">
    <cfRule type="containsText" dxfId="0" priority="833" operator="between" text="欠">
      <formula>NOT(ISERROR(SEARCH("欠",AD617)))</formula>
    </cfRule>
  </conditionalFormatting>
  <conditionalFormatting sqref="AH617">
    <cfRule type="containsText" dxfId="0" priority="835" operator="between" text="欠">
      <formula>NOT(ISERROR(SEARCH("欠",AH617)))</formula>
    </cfRule>
  </conditionalFormatting>
  <conditionalFormatting sqref="Y618">
    <cfRule type="containsText" dxfId="0" priority="838" operator="between" text="欠">
      <formula>NOT(ISERROR(SEARCH("欠",Y618)))</formula>
    </cfRule>
  </conditionalFormatting>
  <conditionalFormatting sqref="AA618">
    <cfRule type="containsText" dxfId="0" priority="841" operator="between" text="欠">
      <formula>NOT(ISERROR(SEARCH("欠",AA618)))</formula>
    </cfRule>
  </conditionalFormatting>
  <conditionalFormatting sqref="AC618:AD618">
    <cfRule type="containsText" dxfId="0" priority="840" operator="between" text="欠">
      <formula>NOT(ISERROR(SEARCH("欠",AC618)))</formula>
    </cfRule>
  </conditionalFormatting>
  <conditionalFormatting sqref="AH618">
    <cfRule type="containsText" dxfId="0" priority="839" operator="between" text="欠">
      <formula>NOT(ISERROR(SEARCH("欠",AH618)))</formula>
    </cfRule>
  </conditionalFormatting>
  <conditionalFormatting sqref="AC619:AD619">
    <cfRule type="containsText" dxfId="0" priority="822" operator="between" text="欠">
      <formula>NOT(ISERROR(SEARCH("欠",AC619)))</formula>
    </cfRule>
  </conditionalFormatting>
  <conditionalFormatting sqref="AH619">
    <cfRule type="containsText" dxfId="0" priority="821" operator="between" text="欠">
      <formula>NOT(ISERROR(SEARCH("欠",AH619)))</formula>
    </cfRule>
  </conditionalFormatting>
  <conditionalFormatting sqref="AI619">
    <cfRule type="containsText" dxfId="0" priority="820" operator="between" text="欠">
      <formula>NOT(ISERROR(SEARCH("欠",AI619)))</formula>
    </cfRule>
  </conditionalFormatting>
  <conditionalFormatting sqref="AC620:AD620">
    <cfRule type="containsText" dxfId="0" priority="828" operator="between" text="欠">
      <formula>NOT(ISERROR(SEARCH("欠",AC620)))</formula>
    </cfRule>
  </conditionalFormatting>
  <conditionalFormatting sqref="AH620">
    <cfRule type="containsText" dxfId="0" priority="826" operator="between" text="欠">
      <formula>NOT(ISERROR(SEARCH("欠",AH620)))</formula>
    </cfRule>
  </conditionalFormatting>
  <conditionalFormatting sqref="AI620">
    <cfRule type="containsText" dxfId="0" priority="825" operator="between" text="欠">
      <formula>NOT(ISERROR(SEARCH("欠",AI620)))</formula>
    </cfRule>
  </conditionalFormatting>
  <conditionalFormatting sqref="AC621:AD621">
    <cfRule type="containsText" dxfId="0" priority="827" operator="between" text="欠">
      <formula>NOT(ISERROR(SEARCH("欠",AC621)))</formula>
    </cfRule>
  </conditionalFormatting>
  <conditionalFormatting sqref="AH621">
    <cfRule type="containsText" dxfId="0" priority="806" operator="between" text="欠">
      <formula>NOT(ISERROR(SEARCH("欠",AH621)))</formula>
    </cfRule>
  </conditionalFormatting>
  <conditionalFormatting sqref="AI621">
    <cfRule type="containsText" dxfId="0" priority="824" operator="between" text="欠">
      <formula>NOT(ISERROR(SEARCH("欠",AI621)))</formula>
    </cfRule>
  </conditionalFormatting>
  <conditionalFormatting sqref="AC622:AD622">
    <cfRule type="containsText" dxfId="0" priority="817" operator="between" text="欠">
      <formula>NOT(ISERROR(SEARCH("欠",AC622)))</formula>
    </cfRule>
  </conditionalFormatting>
  <conditionalFormatting sqref="AF622">
    <cfRule type="containsText" dxfId="0" priority="814" operator="between" text="欠">
      <formula>NOT(ISERROR(SEARCH("欠",AF622)))</formula>
    </cfRule>
  </conditionalFormatting>
  <conditionalFormatting sqref="AH622">
    <cfRule type="containsText" dxfId="0" priority="816" operator="between" text="欠">
      <formula>NOT(ISERROR(SEARCH("欠",AH622)))</formula>
    </cfRule>
  </conditionalFormatting>
  <conditionalFormatting sqref="AI622">
    <cfRule type="containsText" dxfId="0" priority="815" operator="between" text="欠">
      <formula>NOT(ISERROR(SEARCH("欠",AI622)))</formula>
    </cfRule>
  </conditionalFormatting>
  <conditionalFormatting sqref="AC623:AD623">
    <cfRule type="containsText" dxfId="0" priority="813" operator="between" text="欠">
      <formula>NOT(ISERROR(SEARCH("欠",AC623)))</formula>
    </cfRule>
  </conditionalFormatting>
  <conditionalFormatting sqref="AH623">
    <cfRule type="containsText" dxfId="0" priority="812" operator="between" text="欠">
      <formula>NOT(ISERROR(SEARCH("欠",AH623)))</formula>
    </cfRule>
  </conditionalFormatting>
  <conditionalFormatting sqref="AC624:AD624">
    <cfRule type="containsText" dxfId="0" priority="832" operator="between" text="欠">
      <formula>NOT(ISERROR(SEARCH("欠",AC624)))</formula>
    </cfRule>
  </conditionalFormatting>
  <conditionalFormatting sqref="AH624">
    <cfRule type="containsText" dxfId="0" priority="831" operator="between" text="欠">
      <formula>NOT(ISERROR(SEARCH("欠",AH624)))</formula>
    </cfRule>
  </conditionalFormatting>
  <conditionalFormatting sqref="Y625">
    <cfRule type="containsText" dxfId="0" priority="830" operator="between" text="欠">
      <formula>NOT(ISERROR(SEARCH("欠",Y625)))</formula>
    </cfRule>
  </conditionalFormatting>
  <conditionalFormatting sqref="AC625:AD625">
    <cfRule type="containsText" dxfId="0" priority="810" operator="between" text="欠">
      <formula>NOT(ISERROR(SEARCH("欠",AC625)))</formula>
    </cfRule>
  </conditionalFormatting>
  <conditionalFormatting sqref="AF625">
    <cfRule type="containsText" dxfId="0" priority="808" operator="between" text="欠">
      <formula>NOT(ISERROR(SEARCH("欠",AF625)))</formula>
    </cfRule>
  </conditionalFormatting>
  <conditionalFormatting sqref="AH625">
    <cfRule type="containsText" dxfId="0" priority="809" operator="between" text="欠">
      <formula>NOT(ISERROR(SEARCH("欠",AH625)))</formula>
    </cfRule>
  </conditionalFormatting>
  <conditionalFormatting sqref="B626">
    <cfRule type="containsText" dxfId="1" priority="795" operator="between" text="异常">
      <formula>NOT(ISERROR(SEARCH("异常",B626)))</formula>
    </cfRule>
  </conditionalFormatting>
  <conditionalFormatting sqref="C626">
    <cfRule type="containsText" dxfId="2" priority="796" operator="between" text="二代">
      <formula>NOT(ISERROR(SEARCH("二代",C626)))</formula>
    </cfRule>
    <cfRule type="containsText" dxfId="3" priority="797" operator="between" text="蛋糕">
      <formula>NOT(ISERROR(SEARCH("蛋糕",C626)))</formula>
    </cfRule>
  </conditionalFormatting>
  <conditionalFormatting sqref="X626:Y626">
    <cfRule type="containsText" dxfId="0" priority="799" operator="between" text="欠">
      <formula>NOT(ISERROR(SEARCH("欠",X626)))</formula>
    </cfRule>
  </conditionalFormatting>
  <conditionalFormatting sqref="Z626:AB626">
    <cfRule type="containsText" dxfId="0" priority="794" operator="between" text="欠">
      <formula>NOT(ISERROR(SEARCH("欠",Z626)))</formula>
    </cfRule>
  </conditionalFormatting>
  <conditionalFormatting sqref="AC626:AD626">
    <cfRule type="containsText" dxfId="0" priority="800" operator="between" text="欠">
      <formula>NOT(ISERROR(SEARCH("欠",AC626)))</formula>
    </cfRule>
  </conditionalFormatting>
  <conditionalFormatting sqref="AE626">
    <cfRule type="containsText" dxfId="0" priority="793" operator="between" text="欠">
      <formula>NOT(ISERROR(SEARCH("欠",AE626)))</formula>
    </cfRule>
  </conditionalFormatting>
  <conditionalFormatting sqref="AF626">
    <cfRule type="containsText" dxfId="0" priority="790" operator="between" text="欠">
      <formula>NOT(ISERROR(SEARCH("欠",AF626)))</formula>
    </cfRule>
  </conditionalFormatting>
  <conditionalFormatting sqref="AG626">
    <cfRule type="containsText" dxfId="0" priority="792" operator="between" text="欠">
      <formula>NOT(ISERROR(SEARCH("欠",AG626)))</formula>
    </cfRule>
  </conditionalFormatting>
  <conditionalFormatting sqref="AH626:AI626">
    <cfRule type="containsText" dxfId="0" priority="798" operator="between" text="欠">
      <formula>NOT(ISERROR(SEARCH("欠",AH626)))</formula>
    </cfRule>
  </conditionalFormatting>
  <conditionalFormatting sqref="AK626">
    <cfRule type="containsText" dxfId="0" priority="791" operator="between" text="欠">
      <formula>NOT(ISERROR(SEARCH("欠",AK626)))</formula>
    </cfRule>
  </conditionalFormatting>
  <conditionalFormatting sqref="B627">
    <cfRule type="containsText" dxfId="1" priority="782" operator="between" text="异常">
      <formula>NOT(ISERROR(SEARCH("异常",B627)))</formula>
    </cfRule>
  </conditionalFormatting>
  <conditionalFormatting sqref="C627">
    <cfRule type="containsText" dxfId="2" priority="780" operator="between" text="二代">
      <formula>NOT(ISERROR(SEARCH("二代",C627)))</formula>
    </cfRule>
    <cfRule type="containsText" dxfId="3" priority="781" operator="between" text="蛋糕">
      <formula>NOT(ISERROR(SEARCH("蛋糕",C627)))</formula>
    </cfRule>
  </conditionalFormatting>
  <conditionalFormatting sqref="X627">
    <cfRule type="containsText" dxfId="0" priority="786" operator="between" text="欠">
      <formula>NOT(ISERROR(SEARCH("欠",X627)))</formula>
    </cfRule>
  </conditionalFormatting>
  <conditionalFormatting sqref="Y627">
    <cfRule type="containsText" dxfId="0" priority="784" operator="between" text="欠">
      <formula>NOT(ISERROR(SEARCH("欠",Y627)))</formula>
    </cfRule>
  </conditionalFormatting>
  <conditionalFormatting sqref="Z627">
    <cfRule type="containsText" dxfId="0" priority="789" operator="between" text="欠">
      <formula>NOT(ISERROR(SEARCH("欠",Z627)))</formula>
    </cfRule>
  </conditionalFormatting>
  <conditionalFormatting sqref="AA627">
    <cfRule type="containsText" dxfId="0" priority="777" operator="between" text="欠">
      <formula>NOT(ISERROR(SEARCH("欠",AA627)))</formula>
    </cfRule>
  </conditionalFormatting>
  <conditionalFormatting sqref="AB627">
    <cfRule type="containsText" dxfId="0" priority="785" operator="between" text="欠">
      <formula>NOT(ISERROR(SEARCH("欠",AB627)))</formula>
    </cfRule>
  </conditionalFormatting>
  <conditionalFormatting sqref="AC627:AD627">
    <cfRule type="containsText" dxfId="0" priority="783" operator="between" text="欠">
      <formula>NOT(ISERROR(SEARCH("欠",AC627)))</formula>
    </cfRule>
  </conditionalFormatting>
  <conditionalFormatting sqref="AE627">
    <cfRule type="containsText" dxfId="0" priority="778" operator="between" text="欠">
      <formula>NOT(ISERROR(SEARCH("欠",AE627)))</formula>
    </cfRule>
  </conditionalFormatting>
  <conditionalFormatting sqref="AF627">
    <cfRule type="containsText" dxfId="0" priority="779" operator="between" text="欠">
      <formula>NOT(ISERROR(SEARCH("欠",AF627)))</formula>
    </cfRule>
  </conditionalFormatting>
  <conditionalFormatting sqref="AG627">
    <cfRule type="containsText" dxfId="0" priority="787" operator="between" text="欠">
      <formula>NOT(ISERROR(SEARCH("欠",AG627)))</formula>
    </cfRule>
  </conditionalFormatting>
  <conditionalFormatting sqref="AI627">
    <cfRule type="containsText" dxfId="0" priority="788" operator="between" text="欠">
      <formula>NOT(ISERROR(SEARCH("欠",AI627)))</formula>
    </cfRule>
  </conditionalFormatting>
  <conditionalFormatting sqref="AC628">
    <cfRule type="containsText" dxfId="0" priority="762" operator="between" text="欠">
      <formula>NOT(ISERROR(SEARCH("欠",AC628)))</formula>
    </cfRule>
  </conditionalFormatting>
  <conditionalFormatting sqref="AD628">
    <cfRule type="containsText" dxfId="0" priority="765" operator="between" text="欠">
      <formula>NOT(ISERROR(SEARCH("欠",AD628)))</formula>
    </cfRule>
  </conditionalFormatting>
  <conditionalFormatting sqref="AF628">
    <cfRule type="containsText" dxfId="0" priority="759" operator="between" text="欠">
      <formula>NOT(ISERROR(SEARCH("欠",AF628)))</formula>
    </cfRule>
  </conditionalFormatting>
  <conditionalFormatting sqref="AH628">
    <cfRule type="containsText" dxfId="0" priority="758" operator="between" text="欠">
      <formula>NOT(ISERROR(SEARCH("欠",AH628)))</formula>
    </cfRule>
  </conditionalFormatting>
  <conditionalFormatting sqref="AI628">
    <cfRule type="containsText" dxfId="0" priority="757" operator="between" text="欠">
      <formula>NOT(ISERROR(SEARCH("欠",AI628)))</formula>
    </cfRule>
  </conditionalFormatting>
  <conditionalFormatting sqref="AC629:AD629">
    <cfRule type="containsText" dxfId="0" priority="768" operator="between" text="欠">
      <formula>NOT(ISERROR(SEARCH("欠",AC629)))</formula>
    </cfRule>
  </conditionalFormatting>
  <conditionalFormatting sqref="AF629">
    <cfRule type="containsText" dxfId="0" priority="761" operator="between" text="欠">
      <formula>NOT(ISERROR(SEARCH("欠",AF629)))</formula>
    </cfRule>
  </conditionalFormatting>
  <conditionalFormatting sqref="AH629">
    <cfRule type="containsText" dxfId="0" priority="767" operator="between" text="欠">
      <formula>NOT(ISERROR(SEARCH("欠",AH629)))</formula>
    </cfRule>
  </conditionalFormatting>
  <conditionalFormatting sqref="AI629">
    <cfRule type="containsText" dxfId="0" priority="760" operator="between" text="欠">
      <formula>NOT(ISERROR(SEARCH("欠",AI629)))</formula>
    </cfRule>
  </conditionalFormatting>
  <conditionalFormatting sqref="AC630:AD630">
    <cfRule type="containsText" dxfId="0" priority="770" operator="between" text="欠">
      <formula>NOT(ISERROR(SEARCH("欠",AC630)))</formula>
    </cfRule>
  </conditionalFormatting>
  <conditionalFormatting sqref="AF630">
    <cfRule type="containsText" dxfId="0" priority="771" operator="between" text="欠">
      <formula>NOT(ISERROR(SEARCH("欠",AF630)))</formula>
    </cfRule>
  </conditionalFormatting>
  <conditionalFormatting sqref="AH630">
    <cfRule type="containsText" dxfId="0" priority="769" operator="between" text="欠">
      <formula>NOT(ISERROR(SEARCH("欠",AH630)))</formula>
    </cfRule>
  </conditionalFormatting>
  <conditionalFormatting sqref="AI630">
    <cfRule type="containsText" dxfId="0" priority="772" operator="between" text="欠">
      <formula>NOT(ISERROR(SEARCH("欠",AI630)))</formula>
    </cfRule>
  </conditionalFormatting>
  <conditionalFormatting sqref="B631">
    <cfRule type="containsText" dxfId="1" priority="753" operator="between" text="异常">
      <formula>NOT(ISERROR(SEARCH("异常",B631)))</formula>
    </cfRule>
  </conditionalFormatting>
  <conditionalFormatting sqref="C631">
    <cfRule type="containsText" dxfId="2" priority="754" operator="between" text="二代">
      <formula>NOT(ISERROR(SEARCH("二代",C631)))</formula>
    </cfRule>
    <cfRule type="containsText" dxfId="3" priority="755" operator="between" text="蛋糕">
      <formula>NOT(ISERROR(SEARCH("蛋糕",C631)))</formula>
    </cfRule>
  </conditionalFormatting>
  <conditionalFormatting sqref="Y631">
    <cfRule type="containsText" dxfId="0" priority="749" operator="between" text="欠">
      <formula>NOT(ISERROR(SEARCH("欠",Y631)))</formula>
    </cfRule>
  </conditionalFormatting>
  <conditionalFormatting sqref="Z631">
    <cfRule type="containsText" dxfId="0" priority="748" operator="between" text="欠">
      <formula>NOT(ISERROR(SEARCH("欠",Z631)))</formula>
    </cfRule>
  </conditionalFormatting>
  <conditionalFormatting sqref="AA631:AB631">
    <cfRule type="containsText" dxfId="0" priority="751" operator="between" text="欠">
      <formula>NOT(ISERROR(SEARCH("欠",AA631)))</formula>
    </cfRule>
  </conditionalFormatting>
  <conditionalFormatting sqref="AC631">
    <cfRule type="containsText" dxfId="0" priority="747" operator="between" text="欠">
      <formula>NOT(ISERROR(SEARCH("欠",AC631)))</formula>
    </cfRule>
  </conditionalFormatting>
  <conditionalFormatting sqref="AD631">
    <cfRule type="containsText" dxfId="0" priority="750" operator="between" text="欠">
      <formula>NOT(ISERROR(SEARCH("欠",AD631)))</formula>
    </cfRule>
  </conditionalFormatting>
  <conditionalFormatting sqref="AF631">
    <cfRule type="containsText" dxfId="0" priority="745" operator="between" text="欠">
      <formula>NOT(ISERROR(SEARCH("欠",AF631)))</formula>
    </cfRule>
  </conditionalFormatting>
  <conditionalFormatting sqref="AH631">
    <cfRule type="containsText" dxfId="0" priority="746" operator="between" text="欠">
      <formula>NOT(ISERROR(SEARCH("欠",AH631)))</formula>
    </cfRule>
  </conditionalFormatting>
  <conditionalFormatting sqref="AI631">
    <cfRule type="containsText" dxfId="0" priority="752" operator="between" text="欠">
      <formula>NOT(ISERROR(SEARCH("欠",AI631)))</formula>
    </cfRule>
  </conditionalFormatting>
  <conditionalFormatting sqref="AC632:AD632">
    <cfRule type="containsText" dxfId="0" priority="734" operator="between" text="欠">
      <formula>NOT(ISERROR(SEARCH("欠",AC632)))</formula>
    </cfRule>
  </conditionalFormatting>
  <conditionalFormatting sqref="AH632">
    <cfRule type="containsText" dxfId="0" priority="733" operator="between" text="欠">
      <formula>NOT(ISERROR(SEARCH("欠",AH632)))</formula>
    </cfRule>
  </conditionalFormatting>
  <conditionalFormatting sqref="AC633:AD633">
    <cfRule type="containsText" dxfId="0" priority="739" operator="between" text="欠">
      <formula>NOT(ISERROR(SEARCH("欠",AC633)))</formula>
    </cfRule>
  </conditionalFormatting>
  <conditionalFormatting sqref="AH633">
    <cfRule type="containsText" dxfId="0" priority="738" operator="between" text="欠">
      <formula>NOT(ISERROR(SEARCH("欠",AH633)))</formula>
    </cfRule>
  </conditionalFormatting>
  <conditionalFormatting sqref="B636">
    <cfRule type="containsText" dxfId="1" priority="708" operator="between" text="异常">
      <formula>NOT(ISERROR(SEARCH("异常",B636)))</formula>
    </cfRule>
  </conditionalFormatting>
  <conditionalFormatting sqref="C636">
    <cfRule type="containsText" dxfId="2" priority="709" operator="between" text="二代">
      <formula>NOT(ISERROR(SEARCH("二代",C636)))</formula>
    </cfRule>
    <cfRule type="containsText" dxfId="3" priority="710" operator="between" text="蛋糕">
      <formula>NOT(ISERROR(SEARCH("蛋糕",C636)))</formula>
    </cfRule>
  </conditionalFormatting>
  <conditionalFormatting sqref="X636">
    <cfRule type="containsText" dxfId="0" priority="707" operator="between" text="欠">
      <formula>NOT(ISERROR(SEARCH("欠",X636)))</formula>
    </cfRule>
  </conditionalFormatting>
  <conditionalFormatting sqref="Y636">
    <cfRule type="containsText" dxfId="0" priority="718" operator="between" text="欠">
      <formula>NOT(ISERROR(SEARCH("欠",Y636)))</formula>
    </cfRule>
  </conditionalFormatting>
  <conditionalFormatting sqref="Z636">
    <cfRule type="containsText" dxfId="0" priority="720" operator="between" text="欠">
      <formula>NOT(ISERROR(SEARCH("欠",Z636)))</formula>
    </cfRule>
  </conditionalFormatting>
  <conditionalFormatting sqref="AA636:AB636">
    <cfRule type="containsText" dxfId="0" priority="713" operator="between" text="欠">
      <formula>NOT(ISERROR(SEARCH("欠",AA636)))</formula>
    </cfRule>
  </conditionalFormatting>
  <conditionalFormatting sqref="AC636:AD636">
    <cfRule type="containsText" dxfId="0" priority="711" operator="between" text="欠">
      <formula>NOT(ISERROR(SEARCH("欠",AC636)))</formula>
    </cfRule>
  </conditionalFormatting>
  <conditionalFormatting sqref="AE636">
    <cfRule type="containsText" dxfId="0" priority="719" operator="between" text="欠">
      <formula>NOT(ISERROR(SEARCH("欠",AE636)))</formula>
    </cfRule>
  </conditionalFormatting>
  <conditionalFormatting sqref="AF636">
    <cfRule type="containsText" dxfId="0" priority="717" operator="between" text="欠">
      <formula>NOT(ISERROR(SEARCH("欠",AF636)))</formula>
    </cfRule>
  </conditionalFormatting>
  <conditionalFormatting sqref="AG636">
    <cfRule type="containsText" dxfId="0" priority="714" operator="between" text="欠">
      <formula>NOT(ISERROR(SEARCH("欠",AG636)))</formula>
    </cfRule>
  </conditionalFormatting>
  <conditionalFormatting sqref="AH636">
    <cfRule type="containsText" dxfId="0" priority="712" operator="between" text="欠">
      <formula>NOT(ISERROR(SEARCH("欠",AH636)))</formula>
    </cfRule>
  </conditionalFormatting>
  <conditionalFormatting sqref="AI636">
    <cfRule type="containsText" dxfId="0" priority="716" operator="between" text="欠">
      <formula>NOT(ISERROR(SEARCH("欠",AI636)))</formula>
    </cfRule>
  </conditionalFormatting>
  <conditionalFormatting sqref="AK636">
    <cfRule type="containsText" dxfId="0" priority="715" operator="between" text="欠">
      <formula>NOT(ISERROR(SEARCH("欠",AK636)))</formula>
    </cfRule>
  </conditionalFormatting>
  <conditionalFormatting sqref="AB637">
    <cfRule type="containsText" dxfId="0" priority="701" operator="between" text="欠">
      <formula>NOT(ISERROR(SEARCH("欠",AB637)))</formula>
    </cfRule>
  </conditionalFormatting>
  <conditionalFormatting sqref="AB638">
    <cfRule type="containsText" dxfId="0" priority="700" operator="between" text="欠">
      <formula>NOT(ISERROR(SEARCH("欠",AB638)))</formula>
    </cfRule>
  </conditionalFormatting>
  <conditionalFormatting sqref="AB639">
    <cfRule type="containsText" dxfId="0" priority="699" operator="between" text="欠">
      <formula>NOT(ISERROR(SEARCH("欠",AB639)))</formula>
    </cfRule>
  </conditionalFormatting>
  <conditionalFormatting sqref="Z640">
    <cfRule type="containsText" dxfId="0" priority="676" operator="between" text="欠">
      <formula>NOT(ISERROR(SEARCH("欠",Z640)))</formula>
    </cfRule>
  </conditionalFormatting>
  <conditionalFormatting sqref="AA640:AB640">
    <cfRule type="containsText" dxfId="0" priority="681" operator="between" text="欠">
      <formula>NOT(ISERROR(SEARCH("欠",AA640)))</formula>
    </cfRule>
  </conditionalFormatting>
  <conditionalFormatting sqref="Z641">
    <cfRule type="containsText" dxfId="0" priority="675" operator="between" text="欠">
      <formula>NOT(ISERROR(SEARCH("欠",Z641)))</formula>
    </cfRule>
  </conditionalFormatting>
  <conditionalFormatting sqref="AA641:AB641">
    <cfRule type="containsText" dxfId="0" priority="680" operator="between" text="欠">
      <formula>NOT(ISERROR(SEARCH("欠",AA641)))</formula>
    </cfRule>
  </conditionalFormatting>
  <conditionalFormatting sqref="Z642">
    <cfRule type="containsText" dxfId="0" priority="674" operator="between" text="欠">
      <formula>NOT(ISERROR(SEARCH("欠",Z642)))</formula>
    </cfRule>
  </conditionalFormatting>
  <conditionalFormatting sqref="AA642:AB642">
    <cfRule type="containsText" dxfId="0" priority="679" operator="between" text="欠">
      <formula>NOT(ISERROR(SEARCH("欠",AA642)))</formula>
    </cfRule>
  </conditionalFormatting>
  <conditionalFormatting sqref="Z643">
    <cfRule type="containsText" dxfId="0" priority="673" operator="between" text="欠">
      <formula>NOT(ISERROR(SEARCH("欠",Z643)))</formula>
    </cfRule>
  </conditionalFormatting>
  <conditionalFormatting sqref="AA643:AB643">
    <cfRule type="containsText" dxfId="0" priority="678" operator="between" text="欠">
      <formula>NOT(ISERROR(SEARCH("欠",AA643)))</formula>
    </cfRule>
  </conditionalFormatting>
  <conditionalFormatting sqref="AD643">
    <cfRule type="containsText" dxfId="0" priority="691" operator="between" text="欠">
      <formula>NOT(ISERROR(SEARCH("欠",AD643)))</formula>
    </cfRule>
  </conditionalFormatting>
  <conditionalFormatting sqref="Z644">
    <cfRule type="containsText" dxfId="0" priority="672" operator="between" text="欠">
      <formula>NOT(ISERROR(SEARCH("欠",Z644)))</formula>
    </cfRule>
  </conditionalFormatting>
  <conditionalFormatting sqref="AA644:AB644">
    <cfRule type="containsText" dxfId="0" priority="677" operator="between" text="欠">
      <formula>NOT(ISERROR(SEARCH("欠",AA644)))</formula>
    </cfRule>
  </conditionalFormatting>
  <conditionalFormatting sqref="AD644">
    <cfRule type="containsText" dxfId="0" priority="690" operator="between" text="欠">
      <formula>NOT(ISERROR(SEARCH("欠",AD644)))</formula>
    </cfRule>
  </conditionalFormatting>
  <conditionalFormatting sqref="AL644">
    <cfRule type="containsText" dxfId="0" priority="684" operator="between" text="欠">
      <formula>NOT(ISERROR(SEARCH("欠",AL644)))</formula>
    </cfRule>
  </conditionalFormatting>
  <conditionalFormatting sqref="B645">
    <cfRule type="containsText" dxfId="1" priority="659" operator="between" text="异常">
      <formula>NOT(ISERROR(SEARCH("异常",B645)))</formula>
    </cfRule>
  </conditionalFormatting>
  <conditionalFormatting sqref="C645">
    <cfRule type="containsText" dxfId="2" priority="657" operator="between" text="二代">
      <formula>NOT(ISERROR(SEARCH("二代",C645)))</formula>
    </cfRule>
    <cfRule type="containsText" dxfId="3" priority="658" operator="between" text="蛋糕">
      <formula>NOT(ISERROR(SEARCH("蛋糕",C645)))</formula>
    </cfRule>
  </conditionalFormatting>
  <conditionalFormatting sqref="X645">
    <cfRule type="containsText" dxfId="0" priority="666" operator="between" text="欠">
      <formula>NOT(ISERROR(SEARCH("欠",X645)))</formula>
    </cfRule>
  </conditionalFormatting>
  <conditionalFormatting sqref="Y645">
    <cfRule type="containsText" dxfId="0" priority="665" operator="between" text="欠">
      <formula>NOT(ISERROR(SEARCH("欠",Y645)))</formula>
    </cfRule>
  </conditionalFormatting>
  <conditionalFormatting sqref="Z645">
    <cfRule type="containsText" dxfId="0" priority="669" operator="between" text="欠">
      <formula>NOT(ISERROR(SEARCH("欠",Z645)))</formula>
    </cfRule>
  </conditionalFormatting>
  <conditionalFormatting sqref="AA645:AB645">
    <cfRule type="containsText" dxfId="0" priority="663" operator="between" text="欠">
      <formula>NOT(ISERROR(SEARCH("欠",AA645)))</formula>
    </cfRule>
  </conditionalFormatting>
  <conditionalFormatting sqref="AC645">
    <cfRule type="containsText" dxfId="0" priority="670" operator="between" text="欠">
      <formula>NOT(ISERROR(SEARCH("欠",AC645)))</formula>
    </cfRule>
  </conditionalFormatting>
  <conditionalFormatting sqref="AD645">
    <cfRule type="containsText" dxfId="0" priority="671" operator="between" text="欠">
      <formula>NOT(ISERROR(SEARCH("欠",AD645)))</formula>
    </cfRule>
  </conditionalFormatting>
  <conditionalFormatting sqref="AE645">
    <cfRule type="containsText" dxfId="0" priority="664" operator="between" text="欠">
      <formula>NOT(ISERROR(SEARCH("欠",AE645)))</formula>
    </cfRule>
  </conditionalFormatting>
  <conditionalFormatting sqref="AF645">
    <cfRule type="containsText" dxfId="0" priority="667" operator="between" text="欠">
      <formula>NOT(ISERROR(SEARCH("欠",AF645)))</formula>
    </cfRule>
  </conditionalFormatting>
  <conditionalFormatting sqref="AG645">
    <cfRule type="containsText" dxfId="0" priority="661" operator="between" text="欠">
      <formula>NOT(ISERROR(SEARCH("欠",AG645)))</formula>
    </cfRule>
  </conditionalFormatting>
  <conditionalFormatting sqref="AH645">
    <cfRule type="containsText" dxfId="0" priority="662" operator="between" text="欠">
      <formula>NOT(ISERROR(SEARCH("欠",AH645)))</formula>
    </cfRule>
  </conditionalFormatting>
  <conditionalFormatting sqref="AI645">
    <cfRule type="containsText" dxfId="0" priority="668" operator="between" text="欠">
      <formula>NOT(ISERROR(SEARCH("欠",AI645)))</formula>
    </cfRule>
  </conditionalFormatting>
  <conditionalFormatting sqref="AL645">
    <cfRule type="containsText" dxfId="0" priority="660" operator="between" text="欠">
      <formula>NOT(ISERROR(SEARCH("欠",AL645)))</formula>
    </cfRule>
  </conditionalFormatting>
  <conditionalFormatting sqref="B646">
    <cfRule type="containsText" dxfId="1" priority="647" operator="between" text="异常">
      <formula>NOT(ISERROR(SEARCH("异常",B646)))</formula>
    </cfRule>
  </conditionalFormatting>
  <conditionalFormatting sqref="C646">
    <cfRule type="containsText" dxfId="2" priority="645" operator="between" text="二代">
      <formula>NOT(ISERROR(SEARCH("二代",C646)))</formula>
    </cfRule>
    <cfRule type="containsText" dxfId="3" priority="646" operator="between" text="蛋糕">
      <formula>NOT(ISERROR(SEARCH("蛋糕",C646)))</formula>
    </cfRule>
  </conditionalFormatting>
  <conditionalFormatting sqref="X646">
    <cfRule type="containsText" dxfId="0" priority="652" operator="between" text="欠">
      <formula>NOT(ISERROR(SEARCH("欠",X646)))</formula>
    </cfRule>
  </conditionalFormatting>
  <conditionalFormatting sqref="Y646">
    <cfRule type="containsText" dxfId="0" priority="654" operator="between" text="欠">
      <formula>NOT(ISERROR(SEARCH("欠",Y646)))</formula>
    </cfRule>
  </conditionalFormatting>
  <conditionalFormatting sqref="Z646">
    <cfRule type="containsText" dxfId="0" priority="653" operator="between" text="欠">
      <formula>NOT(ISERROR(SEARCH("欠",Z646)))</formula>
    </cfRule>
  </conditionalFormatting>
  <conditionalFormatting sqref="AA646:AB646">
    <cfRule type="containsText" dxfId="0" priority="651" operator="between" text="欠">
      <formula>NOT(ISERROR(SEARCH("欠",AA646)))</formula>
    </cfRule>
  </conditionalFormatting>
  <conditionalFormatting sqref="AC646:AD646">
    <cfRule type="containsText" dxfId="0" priority="650" operator="between" text="欠">
      <formula>NOT(ISERROR(SEARCH("欠",AC646)))</formula>
    </cfRule>
  </conditionalFormatting>
  <conditionalFormatting sqref="AE646">
    <cfRule type="containsText" dxfId="0" priority="649" operator="between" text="欠">
      <formula>NOT(ISERROR(SEARCH("欠",AE646)))</formula>
    </cfRule>
  </conditionalFormatting>
  <conditionalFormatting sqref="AF646">
    <cfRule type="containsText" dxfId="0" priority="656" operator="between" text="欠">
      <formula>NOT(ISERROR(SEARCH("欠",AF646)))</formula>
    </cfRule>
  </conditionalFormatting>
  <conditionalFormatting sqref="AG646:AH646">
    <cfRule type="containsText" dxfId="0" priority="648" operator="between" text="欠">
      <formula>NOT(ISERROR(SEARCH("欠",AG646)))</formula>
    </cfRule>
  </conditionalFormatting>
  <conditionalFormatting sqref="AI646">
    <cfRule type="containsText" dxfId="0" priority="655" operator="between" text="欠">
      <formula>NOT(ISERROR(SEARCH("欠",AI646)))</formula>
    </cfRule>
  </conditionalFormatting>
  <conditionalFormatting sqref="B647">
    <cfRule type="containsText" dxfId="1" priority="634" operator="between" text="异常">
      <formula>NOT(ISERROR(SEARCH("异常",B647)))</formula>
    </cfRule>
  </conditionalFormatting>
  <conditionalFormatting sqref="C647">
    <cfRule type="containsText" dxfId="2" priority="632" operator="between" text="二代">
      <formula>NOT(ISERROR(SEARCH("二代",C647)))</formula>
    </cfRule>
    <cfRule type="containsText" dxfId="3" priority="633" operator="between" text="蛋糕">
      <formula>NOT(ISERROR(SEARCH("蛋糕",C647)))</formula>
    </cfRule>
  </conditionalFormatting>
  <conditionalFormatting sqref="X647">
    <cfRule type="containsText" dxfId="0" priority="642" operator="between" text="欠">
      <formula>NOT(ISERROR(SEARCH("欠",X647)))</formula>
    </cfRule>
  </conditionalFormatting>
  <conditionalFormatting sqref="Y647">
    <cfRule type="containsText" dxfId="0" priority="638" operator="between" text="欠">
      <formula>NOT(ISERROR(SEARCH("欠",Y647)))</formula>
    </cfRule>
  </conditionalFormatting>
  <conditionalFormatting sqref="Z647">
    <cfRule type="containsText" dxfId="0" priority="644" operator="between" text="欠">
      <formula>NOT(ISERROR(SEARCH("欠",Z647)))</formula>
    </cfRule>
  </conditionalFormatting>
  <conditionalFormatting sqref="AA647:AB647">
    <cfRule type="containsText" dxfId="0" priority="641" operator="between" text="欠">
      <formula>NOT(ISERROR(SEARCH("欠",AA647)))</formula>
    </cfRule>
  </conditionalFormatting>
  <conditionalFormatting sqref="AC647:AD647">
    <cfRule type="containsText" dxfId="0" priority="640" operator="between" text="欠">
      <formula>NOT(ISERROR(SEARCH("欠",AC647)))</formula>
    </cfRule>
  </conditionalFormatting>
  <conditionalFormatting sqref="AE647">
    <cfRule type="containsText" dxfId="0" priority="636" operator="between" text="欠">
      <formula>NOT(ISERROR(SEARCH("欠",AE647)))</formula>
    </cfRule>
  </conditionalFormatting>
  <conditionalFormatting sqref="AF647">
    <cfRule type="containsText" dxfId="0" priority="643" operator="between" text="欠">
      <formula>NOT(ISERROR(SEARCH("欠",AF647)))</formula>
    </cfRule>
  </conditionalFormatting>
  <conditionalFormatting sqref="AG647">
    <cfRule type="containsText" dxfId="0" priority="635" operator="between" text="欠">
      <formula>NOT(ISERROR(SEARCH("欠",AG647)))</formula>
    </cfRule>
  </conditionalFormatting>
  <conditionalFormatting sqref="AH647">
    <cfRule type="containsText" dxfId="0" priority="639" operator="between" text="欠">
      <formula>NOT(ISERROR(SEARCH("欠",AH647)))</formula>
    </cfRule>
  </conditionalFormatting>
  <conditionalFormatting sqref="AI647">
    <cfRule type="containsText" dxfId="0" priority="637" operator="between" text="欠">
      <formula>NOT(ISERROR(SEARCH("欠",AI647)))</formula>
    </cfRule>
  </conditionalFormatting>
  <conditionalFormatting sqref="B648">
    <cfRule type="containsText" dxfId="1" priority="622" operator="between" text="异常">
      <formula>NOT(ISERROR(SEARCH("异常",B648)))</formula>
    </cfRule>
  </conditionalFormatting>
  <conditionalFormatting sqref="C648">
    <cfRule type="containsText" dxfId="2" priority="620" operator="between" text="二代">
      <formula>NOT(ISERROR(SEARCH("二代",C648)))</formula>
    </cfRule>
    <cfRule type="containsText" dxfId="3" priority="621" operator="between" text="蛋糕">
      <formula>NOT(ISERROR(SEARCH("蛋糕",C648)))</formula>
    </cfRule>
  </conditionalFormatting>
  <conditionalFormatting sqref="X648:Y648">
    <cfRule type="containsText" dxfId="0" priority="625" operator="between" text="欠">
      <formula>NOT(ISERROR(SEARCH("欠",X648)))</formula>
    </cfRule>
  </conditionalFormatting>
  <conditionalFormatting sqref="AA648">
    <cfRule type="containsText" dxfId="0" priority="630" operator="between" text="欠">
      <formula>NOT(ISERROR(SEARCH("欠",AA648)))</formula>
    </cfRule>
  </conditionalFormatting>
  <conditionalFormatting sqref="AB648">
    <cfRule type="containsText" dxfId="0" priority="626" operator="between" text="欠">
      <formula>NOT(ISERROR(SEARCH("欠",AB648)))</formula>
    </cfRule>
  </conditionalFormatting>
  <conditionalFormatting sqref="AC648:AD648">
    <cfRule type="containsText" dxfId="0" priority="624" operator="between" text="欠">
      <formula>NOT(ISERROR(SEARCH("欠",AC648)))</formula>
    </cfRule>
  </conditionalFormatting>
  <conditionalFormatting sqref="AE648">
    <cfRule type="containsText" dxfId="0" priority="628" operator="between" text="欠">
      <formula>NOT(ISERROR(SEARCH("欠",AE648)))</formula>
    </cfRule>
  </conditionalFormatting>
  <conditionalFormatting sqref="AF648">
    <cfRule type="containsText" dxfId="0" priority="623" operator="between" text="欠">
      <formula>NOT(ISERROR(SEARCH("欠",AF648)))</formula>
    </cfRule>
  </conditionalFormatting>
  <conditionalFormatting sqref="AG648">
    <cfRule type="containsText" dxfId="0" priority="627" operator="between" text="欠">
      <formula>NOT(ISERROR(SEARCH("欠",AG648)))</formula>
    </cfRule>
  </conditionalFormatting>
  <conditionalFormatting sqref="AH648">
    <cfRule type="containsText" dxfId="0" priority="629" operator="between" text="欠">
      <formula>NOT(ISERROR(SEARCH("欠",AH648)))</formula>
    </cfRule>
  </conditionalFormatting>
  <conditionalFormatting sqref="AI648">
    <cfRule type="containsText" dxfId="0" priority="631" operator="between" text="欠">
      <formula>NOT(ISERROR(SEARCH("欠",AI648)))</formula>
    </cfRule>
  </conditionalFormatting>
  <conditionalFormatting sqref="X649">
    <cfRule type="containsText" dxfId="0" priority="607" operator="between" text="欠">
      <formula>NOT(ISERROR(SEARCH("欠",X649)))</formula>
    </cfRule>
  </conditionalFormatting>
  <conditionalFormatting sqref="Z649">
    <cfRule type="containsText" dxfId="0" priority="613" operator="between" text="欠">
      <formula>NOT(ISERROR(SEARCH("欠",Z649)))</formula>
    </cfRule>
  </conditionalFormatting>
  <conditionalFormatting sqref="AC649:AD649">
    <cfRule type="containsText" dxfId="0" priority="611" operator="between" text="欠">
      <formula>NOT(ISERROR(SEARCH("欠",AC649)))</formula>
    </cfRule>
  </conditionalFormatting>
  <conditionalFormatting sqref="Z650">
    <cfRule type="containsText" dxfId="0" priority="618" operator="between" text="欠">
      <formula>NOT(ISERROR(SEARCH("欠",Z650)))</formula>
    </cfRule>
  </conditionalFormatting>
  <conditionalFormatting sqref="AC650">
    <cfRule type="containsText" dxfId="0" priority="615" operator="between" text="欠">
      <formula>NOT(ISERROR(SEARCH("欠",AC650)))</formula>
    </cfRule>
  </conditionalFormatting>
  <conditionalFormatting sqref="AD650">
    <cfRule type="containsText" dxfId="0" priority="617" operator="between" text="欠">
      <formula>NOT(ISERROR(SEARCH("欠",AD650)))</formula>
    </cfRule>
  </conditionalFormatting>
  <conditionalFormatting sqref="B651">
    <cfRule type="containsText" dxfId="1" priority="573" operator="between" text="异常">
      <formula>NOT(ISERROR(SEARCH("异常",B651)))</formula>
    </cfRule>
  </conditionalFormatting>
  <conditionalFormatting sqref="C651">
    <cfRule type="containsText" dxfId="3" priority="572" operator="between" text="蛋糕">
      <formula>NOT(ISERROR(SEARCH("蛋糕",C651)))</formula>
    </cfRule>
    <cfRule type="containsText" dxfId="2" priority="571" operator="between" text="二代">
      <formula>NOT(ISERROR(SEARCH("二代",C651)))</formula>
    </cfRule>
  </conditionalFormatting>
  <conditionalFormatting sqref="X651:Y651">
    <cfRule type="containsText" dxfId="0" priority="583" operator="between" text="欠">
      <formula>NOT(ISERROR(SEARCH("欠",X651)))</formula>
    </cfRule>
  </conditionalFormatting>
  <conditionalFormatting sqref="Z651:AB651">
    <cfRule type="containsText" dxfId="0" priority="574" operator="between" text="欠">
      <formula>NOT(ISERROR(SEARCH("欠",Z651)))</formula>
    </cfRule>
  </conditionalFormatting>
  <conditionalFormatting sqref="AC651">
    <cfRule type="containsText" dxfId="0" priority="577" operator="between" text="欠">
      <formula>NOT(ISERROR(SEARCH("欠",AC651)))</formula>
    </cfRule>
  </conditionalFormatting>
  <conditionalFormatting sqref="AD651">
    <cfRule type="containsText" dxfId="0" priority="582" operator="between" text="欠">
      <formula>NOT(ISERROR(SEARCH("欠",AD651)))</formula>
    </cfRule>
  </conditionalFormatting>
  <conditionalFormatting sqref="AE651">
    <cfRule type="containsText" dxfId="0" priority="579" operator="between" text="欠">
      <formula>NOT(ISERROR(SEARCH("欠",AE651)))</formula>
    </cfRule>
  </conditionalFormatting>
  <conditionalFormatting sqref="AF651">
    <cfRule type="containsText" dxfId="0" priority="581" operator="between" text="欠">
      <formula>NOT(ISERROR(SEARCH("欠",AF651)))</formula>
    </cfRule>
  </conditionalFormatting>
  <conditionalFormatting sqref="AG651">
    <cfRule type="containsText" dxfId="0" priority="580" operator="between" text="欠">
      <formula>NOT(ISERROR(SEARCH("欠",AG651)))</formula>
    </cfRule>
  </conditionalFormatting>
  <conditionalFormatting sqref="AH651">
    <cfRule type="containsText" dxfId="0" priority="576" operator="between" text="欠">
      <formula>NOT(ISERROR(SEARCH("欠",AH651)))</formula>
    </cfRule>
  </conditionalFormatting>
  <conditionalFormatting sqref="AI651">
    <cfRule type="containsText" dxfId="0" priority="578" operator="between" text="欠">
      <formula>NOT(ISERROR(SEARCH("欠",AI651)))</formula>
    </cfRule>
  </conditionalFormatting>
  <conditionalFormatting sqref="AJ651">
    <cfRule type="containsText" dxfId="0" priority="575" operator="between" text="欠">
      <formula>NOT(ISERROR(SEARCH("欠",AJ651)))</formula>
    </cfRule>
  </conditionalFormatting>
  <conditionalFormatting sqref="AF663">
    <cfRule type="containsText" dxfId="0" priority="603" operator="between" text="欠">
      <formula>NOT(ISERROR(SEARCH("欠",AF663)))</formula>
    </cfRule>
  </conditionalFormatting>
  <conditionalFormatting sqref="AI663">
    <cfRule type="containsText" dxfId="0" priority="605" operator="between" text="欠">
      <formula>NOT(ISERROR(SEARCH("欠",AI663)))</formula>
    </cfRule>
  </conditionalFormatting>
  <conditionalFormatting sqref="AF668">
    <cfRule type="containsText" dxfId="0" priority="599" operator="between" text="欠">
      <formula>NOT(ISERROR(SEARCH("欠",AF668)))</formula>
    </cfRule>
  </conditionalFormatting>
  <conditionalFormatting sqref="AI668">
    <cfRule type="containsText" dxfId="0" priority="600" operator="between" text="欠">
      <formula>NOT(ISERROR(SEARCH("欠",AI668)))</formula>
    </cfRule>
  </conditionalFormatting>
  <conditionalFormatting sqref="AK668">
    <cfRule type="containsText" dxfId="0" priority="601" operator="between" text="欠">
      <formula>NOT(ISERROR(SEARCH("欠",AK668)))</formula>
    </cfRule>
  </conditionalFormatting>
  <conditionalFormatting sqref="AE671">
    <cfRule type="containsText" dxfId="0" priority="588" operator="between" text="欠">
      <formula>NOT(ISERROR(SEARCH("欠",AE671)))</formula>
    </cfRule>
  </conditionalFormatting>
  <conditionalFormatting sqref="AG671">
    <cfRule type="containsText" dxfId="0" priority="587" operator="between" text="欠">
      <formula>NOT(ISERROR(SEARCH("欠",AG671)))</formula>
    </cfRule>
  </conditionalFormatting>
  <conditionalFormatting sqref="B673">
    <cfRule type="containsText" dxfId="1" priority="558" operator="between" text="异常">
      <formula>NOT(ISERROR(SEARCH("异常",B673)))</formula>
    </cfRule>
  </conditionalFormatting>
  <conditionalFormatting sqref="C673">
    <cfRule type="containsText" dxfId="2" priority="556" operator="between" text="二代">
      <formula>NOT(ISERROR(SEARCH("二代",C673)))</formula>
    </cfRule>
    <cfRule type="containsText" dxfId="3" priority="557" operator="between" text="蛋糕">
      <formula>NOT(ISERROR(SEARCH("蛋糕",C673)))</formula>
    </cfRule>
  </conditionalFormatting>
  <conditionalFormatting sqref="X673">
    <cfRule type="containsText" dxfId="0" priority="567" operator="between" text="欠">
      <formula>NOT(ISERROR(SEARCH("欠",X673)))</formula>
    </cfRule>
  </conditionalFormatting>
  <conditionalFormatting sqref="Y673">
    <cfRule type="containsText" dxfId="0" priority="564" operator="between" text="欠">
      <formula>NOT(ISERROR(SEARCH("欠",Y673)))</formula>
    </cfRule>
  </conditionalFormatting>
  <conditionalFormatting sqref="Z673">
    <cfRule type="containsText" dxfId="0" priority="569" operator="between" text="欠">
      <formula>NOT(ISERROR(SEARCH("欠",Z673)))</formula>
    </cfRule>
  </conditionalFormatting>
  <conditionalFormatting sqref="AA673">
    <cfRule type="containsText" dxfId="0" priority="570" operator="between" text="欠">
      <formula>NOT(ISERROR(SEARCH("欠",AA673)))</formula>
    </cfRule>
  </conditionalFormatting>
  <conditionalFormatting sqref="AB673">
    <cfRule type="containsText" dxfId="0" priority="555" operator="between" text="欠">
      <formula>NOT(ISERROR(SEARCH("欠",AB673)))</formula>
    </cfRule>
  </conditionalFormatting>
  <conditionalFormatting sqref="AC673:AD673">
    <cfRule type="containsText" dxfId="0" priority="566" operator="between" text="欠">
      <formula>NOT(ISERROR(SEARCH("欠",AC673)))</formula>
    </cfRule>
  </conditionalFormatting>
  <conditionalFormatting sqref="AE673">
    <cfRule type="containsText" dxfId="0" priority="562" operator="between" text="欠">
      <formula>NOT(ISERROR(SEARCH("欠",AE673)))</formula>
    </cfRule>
  </conditionalFormatting>
  <conditionalFormatting sqref="AF673">
    <cfRule type="containsText" dxfId="0" priority="560" operator="between" text="欠">
      <formula>NOT(ISERROR(SEARCH("欠",AF673)))</formula>
    </cfRule>
  </conditionalFormatting>
  <conditionalFormatting sqref="AG673">
    <cfRule type="containsText" dxfId="0" priority="561" operator="between" text="欠">
      <formula>NOT(ISERROR(SEARCH("欠",AG673)))</formula>
    </cfRule>
  </conditionalFormatting>
  <conditionalFormatting sqref="AH673">
    <cfRule type="containsText" dxfId="0" priority="565" operator="between" text="欠">
      <formula>NOT(ISERROR(SEARCH("欠",AH673)))</formula>
    </cfRule>
  </conditionalFormatting>
  <conditionalFormatting sqref="AI673">
    <cfRule type="containsText" dxfId="0" priority="568" operator="between" text="欠">
      <formula>NOT(ISERROR(SEARCH("欠",AI673)))</formula>
    </cfRule>
  </conditionalFormatting>
  <conditionalFormatting sqref="AK673">
    <cfRule type="containsText" dxfId="0" priority="559" operator="between" text="欠">
      <formula>NOT(ISERROR(SEARCH("欠",AK673)))</formula>
    </cfRule>
  </conditionalFormatting>
  <conditionalFormatting sqref="AL673">
    <cfRule type="containsText" dxfId="0" priority="563" operator="between" text="欠">
      <formula>NOT(ISERROR(SEARCH("欠",AL673)))</formula>
    </cfRule>
  </conditionalFormatting>
  <conditionalFormatting sqref="AC674:AD674">
    <cfRule type="containsText" dxfId="0" priority="542" operator="between" text="欠">
      <formula>NOT(ISERROR(SEARCH("欠",AC674)))</formula>
    </cfRule>
  </conditionalFormatting>
  <conditionalFormatting sqref="AH674">
    <cfRule type="containsText" dxfId="0" priority="541" operator="between" text="欠">
      <formula>NOT(ISERROR(SEARCH("欠",AH674)))</formula>
    </cfRule>
  </conditionalFormatting>
  <conditionalFormatting sqref="AA675">
    <cfRule type="containsText" dxfId="0" priority="546" operator="between" text="欠">
      <formula>NOT(ISERROR(SEARCH("欠",AA675)))</formula>
    </cfRule>
  </conditionalFormatting>
  <conditionalFormatting sqref="AC675:AD675">
    <cfRule type="containsText" dxfId="0" priority="545" operator="between" text="欠">
      <formula>NOT(ISERROR(SEARCH("欠",AC675)))</formula>
    </cfRule>
  </conditionalFormatting>
  <conditionalFormatting sqref="AH675">
    <cfRule type="containsText" dxfId="0" priority="544" operator="between" text="欠">
      <formula>NOT(ISERROR(SEARCH("欠",AH675)))</formula>
    </cfRule>
  </conditionalFormatting>
  <conditionalFormatting sqref="AF687">
    <cfRule type="containsText" dxfId="0" priority="538" operator="between" text="欠">
      <formula>NOT(ISERROR(SEARCH("欠",AF687)))</formula>
    </cfRule>
  </conditionalFormatting>
  <conditionalFormatting sqref="AI687">
    <cfRule type="containsText" dxfId="0" priority="540" operator="between" text="欠">
      <formula>NOT(ISERROR(SEARCH("欠",AI687)))</formula>
    </cfRule>
  </conditionalFormatting>
  <conditionalFormatting sqref="AF692">
    <cfRule type="containsText" dxfId="0" priority="534" operator="between" text="欠">
      <formula>NOT(ISERROR(SEARCH("欠",AF692)))</formula>
    </cfRule>
  </conditionalFormatting>
  <conditionalFormatting sqref="AI692">
    <cfRule type="containsText" dxfId="0" priority="535" operator="between" text="欠">
      <formula>NOT(ISERROR(SEARCH("欠",AI692)))</formula>
    </cfRule>
  </conditionalFormatting>
  <conditionalFormatting sqref="AK692">
    <cfRule type="containsText" dxfId="0" priority="536" operator="between" text="欠">
      <formula>NOT(ISERROR(SEARCH("欠",AK692)))</formula>
    </cfRule>
  </conditionalFormatting>
  <conditionalFormatting sqref="B694">
    <cfRule type="containsText" dxfId="1" priority="513" operator="between" text="异常">
      <formula>NOT(ISERROR(SEARCH("异常",B694)))</formula>
    </cfRule>
  </conditionalFormatting>
  <conditionalFormatting sqref="C694">
    <cfRule type="containsText" dxfId="2" priority="511" operator="between" text="二代">
      <formula>NOT(ISERROR(SEARCH("二代",C694)))</formula>
    </cfRule>
    <cfRule type="containsText" dxfId="3" priority="512" operator="between" text="蛋糕">
      <formula>NOT(ISERROR(SEARCH("蛋糕",C694)))</formula>
    </cfRule>
  </conditionalFormatting>
  <conditionalFormatting sqref="X694:Y694">
    <cfRule type="containsText" dxfId="0" priority="520" operator="between" text="欠">
      <formula>NOT(ISERROR(SEARCH("欠",X694)))</formula>
    </cfRule>
  </conditionalFormatting>
  <conditionalFormatting sqref="Z694:AB694">
    <cfRule type="containsText" dxfId="0" priority="514" operator="between" text="欠">
      <formula>NOT(ISERROR(SEARCH("欠",Z694)))</formula>
    </cfRule>
  </conditionalFormatting>
  <conditionalFormatting sqref="AC694:AD694">
    <cfRule type="containsText" dxfId="0" priority="519" operator="between" text="欠">
      <formula>NOT(ISERROR(SEARCH("欠",AC694)))</formula>
    </cfRule>
  </conditionalFormatting>
  <conditionalFormatting sqref="AE694">
    <cfRule type="containsText" dxfId="0" priority="517" operator="between" text="欠">
      <formula>NOT(ISERROR(SEARCH("欠",AE694)))</formula>
    </cfRule>
  </conditionalFormatting>
  <conditionalFormatting sqref="AG694">
    <cfRule type="containsText" dxfId="0" priority="516" operator="between" text="欠">
      <formula>NOT(ISERROR(SEARCH("欠",AG694)))</formula>
    </cfRule>
  </conditionalFormatting>
  <conditionalFormatting sqref="AH694">
    <cfRule type="containsText" dxfId="0" priority="515" operator="between" text="欠">
      <formula>NOT(ISERROR(SEARCH("欠",AH694)))</formula>
    </cfRule>
  </conditionalFormatting>
  <conditionalFormatting sqref="B698">
    <cfRule type="containsText" dxfId="1" priority="483" operator="between" text="异常">
      <formula>NOT(ISERROR(SEARCH("异常",B698)))</formula>
    </cfRule>
  </conditionalFormatting>
  <conditionalFormatting sqref="C698">
    <cfRule type="containsText" dxfId="2" priority="484" operator="between" text="二代">
      <formula>NOT(ISERROR(SEARCH("二代",C698)))</formula>
    </cfRule>
    <cfRule type="containsText" dxfId="3" priority="485" operator="between" text="蛋糕">
      <formula>NOT(ISERROR(SEARCH("蛋糕",C698)))</formula>
    </cfRule>
  </conditionalFormatting>
  <conditionalFormatting sqref="X698">
    <cfRule type="containsText" dxfId="0" priority="479" operator="between" text="欠">
      <formula>NOT(ISERROR(SEARCH("欠",X698)))</formula>
    </cfRule>
  </conditionalFormatting>
  <conditionalFormatting sqref="Y698">
    <cfRule type="containsText" dxfId="0" priority="478" operator="between" text="欠">
      <formula>NOT(ISERROR(SEARCH("欠",Y698)))</formula>
    </cfRule>
  </conditionalFormatting>
  <conditionalFormatting sqref="Z698">
    <cfRule type="containsText" dxfId="0" priority="480" operator="between" text="欠">
      <formula>NOT(ISERROR(SEARCH("欠",Z698)))</formula>
    </cfRule>
  </conditionalFormatting>
  <conditionalFormatting sqref="AA698:AB698">
    <cfRule type="containsText" dxfId="0" priority="482" operator="between" text="欠">
      <formula>NOT(ISERROR(SEARCH("欠",AA698)))</formula>
    </cfRule>
  </conditionalFormatting>
  <conditionalFormatting sqref="AC698:AD698">
    <cfRule type="containsText" dxfId="0" priority="477" operator="between" text="欠">
      <formula>NOT(ISERROR(SEARCH("欠",AC698)))</formula>
    </cfRule>
  </conditionalFormatting>
  <conditionalFormatting sqref="AF698">
    <cfRule type="containsText" dxfId="0" priority="476" operator="between" text="欠">
      <formula>NOT(ISERROR(SEARCH("欠",AF698)))</formula>
    </cfRule>
  </conditionalFormatting>
  <conditionalFormatting sqref="AH698">
    <cfRule type="containsText" dxfId="0" priority="481" operator="between" text="欠">
      <formula>NOT(ISERROR(SEARCH("欠",AH698)))</formula>
    </cfRule>
  </conditionalFormatting>
  <conditionalFormatting sqref="AI698">
    <cfRule type="containsText" dxfId="0" priority="475" operator="between" text="欠">
      <formula>NOT(ISERROR(SEARCH("欠",AI698)))</formula>
    </cfRule>
  </conditionalFormatting>
  <conditionalFormatting sqref="B699">
    <cfRule type="containsText" dxfId="1" priority="495" operator="between" text="异常">
      <formula>NOT(ISERROR(SEARCH("异常",B699)))</formula>
    </cfRule>
  </conditionalFormatting>
  <conditionalFormatting sqref="C699">
    <cfRule type="containsText" dxfId="2" priority="496" operator="between" text="二代">
      <formula>NOT(ISERROR(SEARCH("二代",C699)))</formula>
    </cfRule>
    <cfRule type="containsText" dxfId="3" priority="497" operator="between" text="蛋糕">
      <formula>NOT(ISERROR(SEARCH("蛋糕",C699)))</formula>
    </cfRule>
  </conditionalFormatting>
  <conditionalFormatting sqref="X699">
    <cfRule type="containsText" dxfId="0" priority="491" operator="between" text="欠">
      <formula>NOT(ISERROR(SEARCH("欠",X699)))</formula>
    </cfRule>
  </conditionalFormatting>
  <conditionalFormatting sqref="Y699">
    <cfRule type="containsText" dxfId="0" priority="490" operator="between" text="欠">
      <formula>NOT(ISERROR(SEARCH("欠",Y699)))</formula>
    </cfRule>
  </conditionalFormatting>
  <conditionalFormatting sqref="Z699">
    <cfRule type="containsText" dxfId="0" priority="492" operator="between" text="欠">
      <formula>NOT(ISERROR(SEARCH("欠",Z699)))</formula>
    </cfRule>
  </conditionalFormatting>
  <conditionalFormatting sqref="AA699:AB699">
    <cfRule type="containsText" dxfId="0" priority="494" operator="between" text="欠">
      <formula>NOT(ISERROR(SEARCH("欠",AA699)))</formula>
    </cfRule>
  </conditionalFormatting>
  <conditionalFormatting sqref="AC699:AD699">
    <cfRule type="containsText" dxfId="0" priority="489" operator="between" text="欠">
      <formula>NOT(ISERROR(SEARCH("欠",AC699)))</formula>
    </cfRule>
  </conditionalFormatting>
  <conditionalFormatting sqref="AF699">
    <cfRule type="containsText" dxfId="0" priority="488" operator="between" text="欠">
      <formula>NOT(ISERROR(SEARCH("欠",AF699)))</formula>
    </cfRule>
  </conditionalFormatting>
  <conditionalFormatting sqref="AH699">
    <cfRule type="containsText" dxfId="0" priority="493" operator="between" text="欠">
      <formula>NOT(ISERROR(SEARCH("欠",AH699)))</formula>
    </cfRule>
  </conditionalFormatting>
  <conditionalFormatting sqref="AI699">
    <cfRule type="containsText" dxfId="0" priority="487" operator="between" text="欠">
      <formula>NOT(ISERROR(SEARCH("欠",AI699)))</formula>
    </cfRule>
  </conditionalFormatting>
  <conditionalFormatting sqref="B700">
    <cfRule type="containsText" dxfId="1" priority="507" operator="between" text="异常">
      <formula>NOT(ISERROR(SEARCH("异常",B700)))</formula>
    </cfRule>
  </conditionalFormatting>
  <conditionalFormatting sqref="C700">
    <cfRule type="containsText" dxfId="2" priority="508" operator="between" text="二代">
      <formula>NOT(ISERROR(SEARCH("二代",C700)))</formula>
    </cfRule>
    <cfRule type="containsText" dxfId="3" priority="509" operator="between" text="蛋糕">
      <formula>NOT(ISERROR(SEARCH("蛋糕",C700)))</formula>
    </cfRule>
  </conditionalFormatting>
  <conditionalFormatting sqref="X700">
    <cfRule type="containsText" dxfId="0" priority="503" operator="between" text="欠">
      <formula>NOT(ISERROR(SEARCH("欠",X700)))</formula>
    </cfRule>
  </conditionalFormatting>
  <conditionalFormatting sqref="Y700">
    <cfRule type="containsText" dxfId="0" priority="502" operator="between" text="欠">
      <formula>NOT(ISERROR(SEARCH("欠",Y700)))</formula>
    </cfRule>
  </conditionalFormatting>
  <conditionalFormatting sqref="Z700">
    <cfRule type="containsText" dxfId="0" priority="504" operator="between" text="欠">
      <formula>NOT(ISERROR(SEARCH("欠",Z700)))</formula>
    </cfRule>
  </conditionalFormatting>
  <conditionalFormatting sqref="AA700:AB700">
    <cfRule type="containsText" dxfId="0" priority="506" operator="between" text="欠">
      <formula>NOT(ISERROR(SEARCH("欠",AA700)))</formula>
    </cfRule>
  </conditionalFormatting>
  <conditionalFormatting sqref="AC700:AD700">
    <cfRule type="containsText" dxfId="0" priority="501" operator="between" text="欠">
      <formula>NOT(ISERROR(SEARCH("欠",AC700)))</formula>
    </cfRule>
  </conditionalFormatting>
  <conditionalFormatting sqref="AF700">
    <cfRule type="containsText" dxfId="0" priority="500" operator="between" text="欠">
      <formula>NOT(ISERROR(SEARCH("欠",AF700)))</formula>
    </cfRule>
  </conditionalFormatting>
  <conditionalFormatting sqref="AH700">
    <cfRule type="containsText" dxfId="0" priority="505" operator="between" text="欠">
      <formula>NOT(ISERROR(SEARCH("欠",AH700)))</formula>
    </cfRule>
  </conditionalFormatting>
  <conditionalFormatting sqref="AI700">
    <cfRule type="containsText" dxfId="0" priority="499" operator="between" text="欠">
      <formula>NOT(ISERROR(SEARCH("欠",AI700)))</formula>
    </cfRule>
  </conditionalFormatting>
  <conditionalFormatting sqref="B701">
    <cfRule type="containsText" dxfId="1" priority="463" operator="between" text="异常">
      <formula>NOT(ISERROR(SEARCH("异常",B701)))</formula>
    </cfRule>
  </conditionalFormatting>
  <conditionalFormatting sqref="C701">
    <cfRule type="containsText" dxfId="2" priority="464" operator="between" text="二代">
      <formula>NOT(ISERROR(SEARCH("二代",C701)))</formula>
    </cfRule>
    <cfRule type="containsText" dxfId="3" priority="465" operator="between" text="蛋糕">
      <formula>NOT(ISERROR(SEARCH("蛋糕",C701)))</formula>
    </cfRule>
  </conditionalFormatting>
  <conditionalFormatting sqref="X701">
    <cfRule type="containsText" dxfId="0" priority="462" operator="between" text="欠">
      <formula>NOT(ISERROR(SEARCH("欠",X701)))</formula>
    </cfRule>
  </conditionalFormatting>
  <conditionalFormatting sqref="Y701">
    <cfRule type="containsText" dxfId="0" priority="473" operator="between" text="欠">
      <formula>NOT(ISERROR(SEARCH("欠",Y701)))</formula>
    </cfRule>
  </conditionalFormatting>
  <conditionalFormatting sqref="Z701">
    <cfRule type="containsText" dxfId="0" priority="474" operator="between" text="欠">
      <formula>NOT(ISERROR(SEARCH("欠",Z701)))</formula>
    </cfRule>
  </conditionalFormatting>
  <conditionalFormatting sqref="AA701:AB701">
    <cfRule type="containsText" dxfId="0" priority="468" operator="between" text="欠">
      <formula>NOT(ISERROR(SEARCH("欠",AA701)))</formula>
    </cfRule>
  </conditionalFormatting>
  <conditionalFormatting sqref="AC701:AD701">
    <cfRule type="containsText" dxfId="0" priority="472" operator="between" text="欠">
      <formula>NOT(ISERROR(SEARCH("欠",AC701)))</formula>
    </cfRule>
  </conditionalFormatting>
  <conditionalFormatting sqref="AE701">
    <cfRule type="containsText" dxfId="0" priority="467" operator="between" text="欠">
      <formula>NOT(ISERROR(SEARCH("欠",AE701)))</formula>
    </cfRule>
  </conditionalFormatting>
  <conditionalFormatting sqref="AF701">
    <cfRule type="containsText" dxfId="0" priority="470" operator="between" text="欠">
      <formula>NOT(ISERROR(SEARCH("欠",AF701)))</formula>
    </cfRule>
  </conditionalFormatting>
  <conditionalFormatting sqref="AG701">
    <cfRule type="containsText" dxfId="0" priority="466" operator="between" text="欠">
      <formula>NOT(ISERROR(SEARCH("欠",AG701)))</formula>
    </cfRule>
  </conditionalFormatting>
  <conditionalFormatting sqref="AH701">
    <cfRule type="containsText" dxfId="0" priority="471" operator="between" text="欠">
      <formula>NOT(ISERROR(SEARCH("欠",AH701)))</formula>
    </cfRule>
  </conditionalFormatting>
  <conditionalFormatting sqref="AI701">
    <cfRule type="containsText" dxfId="0" priority="469" operator="between" text="欠">
      <formula>NOT(ISERROR(SEARCH("欠",AI701)))</formula>
    </cfRule>
  </conditionalFormatting>
  <conditionalFormatting sqref="B702">
    <cfRule type="containsText" dxfId="1" priority="452" operator="between" text="异常">
      <formula>NOT(ISERROR(SEARCH("异常",B702)))</formula>
    </cfRule>
  </conditionalFormatting>
  <conditionalFormatting sqref="C702">
    <cfRule type="containsText" dxfId="2" priority="453" operator="between" text="二代">
      <formula>NOT(ISERROR(SEARCH("二代",C702)))</formula>
    </cfRule>
    <cfRule type="containsText" dxfId="3" priority="454" operator="between" text="蛋糕">
      <formula>NOT(ISERROR(SEARCH("蛋糕",C702)))</formula>
    </cfRule>
  </conditionalFormatting>
  <conditionalFormatting sqref="X702">
    <cfRule type="containsText" dxfId="0" priority="451" operator="between" text="欠">
      <formula>NOT(ISERROR(SEARCH("欠",X702)))</formula>
    </cfRule>
  </conditionalFormatting>
  <conditionalFormatting sqref="Y702">
    <cfRule type="containsText" dxfId="0" priority="460" operator="between" text="欠">
      <formula>NOT(ISERROR(SEARCH("欠",Y702)))</formula>
    </cfRule>
  </conditionalFormatting>
  <conditionalFormatting sqref="Z702">
    <cfRule type="containsText" dxfId="0" priority="461" operator="between" text="欠">
      <formula>NOT(ISERROR(SEARCH("欠",Z702)))</formula>
    </cfRule>
  </conditionalFormatting>
  <conditionalFormatting sqref="AA702:AB702">
    <cfRule type="containsText" dxfId="0" priority="455" operator="between" text="欠">
      <formula>NOT(ISERROR(SEARCH("欠",AA702)))</formula>
    </cfRule>
  </conditionalFormatting>
  <conditionalFormatting sqref="AC702:AD702">
    <cfRule type="containsText" dxfId="0" priority="459" operator="between" text="欠">
      <formula>NOT(ISERROR(SEARCH("欠",AC702)))</formula>
    </cfRule>
  </conditionalFormatting>
  <conditionalFormatting sqref="AF702">
    <cfRule type="containsText" dxfId="0" priority="457" operator="between" text="欠">
      <formula>NOT(ISERROR(SEARCH("欠",AF702)))</formula>
    </cfRule>
  </conditionalFormatting>
  <conditionalFormatting sqref="AH702">
    <cfRule type="containsText" dxfId="0" priority="458" operator="between" text="欠">
      <formula>NOT(ISERROR(SEARCH("欠",AH702)))</formula>
    </cfRule>
  </conditionalFormatting>
  <conditionalFormatting sqref="AI702">
    <cfRule type="containsText" dxfId="0" priority="456" operator="between" text="欠">
      <formula>NOT(ISERROR(SEARCH("欠",AI702)))</formula>
    </cfRule>
  </conditionalFormatting>
  <conditionalFormatting sqref="B703">
    <cfRule type="containsText" dxfId="1" priority="439" operator="between" text="异常">
      <formula>NOT(ISERROR(SEARCH("异常",B703)))</formula>
    </cfRule>
  </conditionalFormatting>
  <conditionalFormatting sqref="C703">
    <cfRule type="containsText" dxfId="2" priority="436" operator="between" text="二代">
      <formula>NOT(ISERROR(SEARCH("二代",C703)))</formula>
    </cfRule>
    <cfRule type="containsText" dxfId="3" priority="437" operator="between" text="蛋糕">
      <formula>NOT(ISERROR(SEARCH("蛋糕",C703)))</formula>
    </cfRule>
  </conditionalFormatting>
  <conditionalFormatting sqref="X703">
    <cfRule type="containsText" dxfId="0" priority="449" operator="between" text="欠">
      <formula>NOT(ISERROR(SEARCH("欠",X703)))</formula>
    </cfRule>
  </conditionalFormatting>
  <conditionalFormatting sqref="Y703">
    <cfRule type="containsText" dxfId="0" priority="447" operator="between" text="欠">
      <formula>NOT(ISERROR(SEARCH("欠",Y703)))</formula>
    </cfRule>
  </conditionalFormatting>
  <conditionalFormatting sqref="Z703">
    <cfRule type="containsText" dxfId="0" priority="450" operator="between" text="欠">
      <formula>NOT(ISERROR(SEARCH("欠",Z703)))</formula>
    </cfRule>
  </conditionalFormatting>
  <conditionalFormatting sqref="AA703">
    <cfRule type="containsText" dxfId="0" priority="448" operator="between" text="欠">
      <formula>NOT(ISERROR(SEARCH("欠",AA703)))</formula>
    </cfRule>
  </conditionalFormatting>
  <conditionalFormatting sqref="AB703">
    <cfRule type="containsText" dxfId="0" priority="440" operator="between" text="欠">
      <formula>NOT(ISERROR(SEARCH("欠",AB703)))</formula>
    </cfRule>
  </conditionalFormatting>
  <conditionalFormatting sqref="AC703">
    <cfRule type="containsText" dxfId="0" priority="441" operator="between" text="欠">
      <formula>NOT(ISERROR(SEARCH("欠",AC703)))</formula>
    </cfRule>
  </conditionalFormatting>
  <conditionalFormatting sqref="AD703">
    <cfRule type="containsText" dxfId="0" priority="442" operator="between" text="欠">
      <formula>NOT(ISERROR(SEARCH("欠",AD703)))</formula>
    </cfRule>
  </conditionalFormatting>
  <conditionalFormatting sqref="AE703">
    <cfRule type="containsText" dxfId="0" priority="445" operator="between" text="欠">
      <formula>NOT(ISERROR(SEARCH("欠",AE703)))</formula>
    </cfRule>
  </conditionalFormatting>
  <conditionalFormatting sqref="AF703">
    <cfRule type="containsText" dxfId="0" priority="438" operator="between" text="欠">
      <formula>NOT(ISERROR(SEARCH("欠",AF703)))</formula>
    </cfRule>
  </conditionalFormatting>
  <conditionalFormatting sqref="AG703">
    <cfRule type="containsText" dxfId="0" priority="444" operator="between" text="欠">
      <formula>NOT(ISERROR(SEARCH("欠",AG703)))</formula>
    </cfRule>
  </conditionalFormatting>
  <conditionalFormatting sqref="AH703">
    <cfRule type="containsText" dxfId="0" priority="443" operator="between" text="欠">
      <formula>NOT(ISERROR(SEARCH("欠",AH703)))</formula>
    </cfRule>
  </conditionalFormatting>
  <conditionalFormatting sqref="AI703">
    <cfRule type="containsText" dxfId="0" priority="446" operator="between" text="欠">
      <formula>NOT(ISERROR(SEARCH("欠",AI703)))</formula>
    </cfRule>
  </conditionalFormatting>
  <conditionalFormatting sqref="AB704">
    <cfRule type="containsText" dxfId="0" priority="430" operator="between" text="欠">
      <formula>NOT(ISERROR(SEARCH("欠",AB704)))</formula>
    </cfRule>
  </conditionalFormatting>
  <conditionalFormatting sqref="B711">
    <cfRule type="containsText" dxfId="1" priority="420" operator="between" text="异常">
      <formula>NOT(ISERROR(SEARCH("异常",B711)))</formula>
    </cfRule>
  </conditionalFormatting>
  <conditionalFormatting sqref="C711">
    <cfRule type="containsText" dxfId="2" priority="421" operator="between" text="二代">
      <formula>NOT(ISERROR(SEARCH("二代",C711)))</formula>
    </cfRule>
    <cfRule type="containsText" dxfId="3" priority="422" operator="between" text="蛋糕">
      <formula>NOT(ISERROR(SEARCH("蛋糕",C711)))</formula>
    </cfRule>
  </conditionalFormatting>
  <conditionalFormatting sqref="X711">
    <cfRule type="containsText" dxfId="0" priority="416" operator="between" text="欠">
      <formula>NOT(ISERROR(SEARCH("欠",X711)))</formula>
    </cfRule>
  </conditionalFormatting>
  <conditionalFormatting sqref="Y711">
    <cfRule type="containsText" dxfId="0" priority="415" operator="between" text="欠">
      <formula>NOT(ISERROR(SEARCH("欠",Y711)))</formula>
    </cfRule>
  </conditionalFormatting>
  <conditionalFormatting sqref="Z711">
    <cfRule type="containsText" dxfId="0" priority="417" operator="between" text="欠">
      <formula>NOT(ISERROR(SEARCH("欠",Z711)))</formula>
    </cfRule>
  </conditionalFormatting>
  <conditionalFormatting sqref="AA711:AB711">
    <cfRule type="containsText" dxfId="0" priority="419" operator="between" text="欠">
      <formula>NOT(ISERROR(SEARCH("欠",AA711)))</formula>
    </cfRule>
  </conditionalFormatting>
  <conditionalFormatting sqref="AC711:AD711">
    <cfRule type="containsText" dxfId="0" priority="414" operator="between" text="欠">
      <formula>NOT(ISERROR(SEARCH("欠",AC711)))</formula>
    </cfRule>
  </conditionalFormatting>
  <conditionalFormatting sqref="AF711">
    <cfRule type="containsText" dxfId="0" priority="413" operator="between" text="欠">
      <formula>NOT(ISERROR(SEARCH("欠",AF711)))</formula>
    </cfRule>
  </conditionalFormatting>
  <conditionalFormatting sqref="AH711">
    <cfRule type="containsText" dxfId="0" priority="418" operator="between" text="欠">
      <formula>NOT(ISERROR(SEARCH("欠",AH711)))</formula>
    </cfRule>
  </conditionalFormatting>
  <conditionalFormatting sqref="AI711">
    <cfRule type="containsText" dxfId="0" priority="412" operator="between" text="欠">
      <formula>NOT(ISERROR(SEARCH("欠",AI711)))</formula>
    </cfRule>
  </conditionalFormatting>
  <conditionalFormatting sqref="B712">
    <cfRule type="containsText" dxfId="1" priority="401" operator="between" text="异常">
      <formula>NOT(ISERROR(SEARCH("异常",B712)))</formula>
    </cfRule>
  </conditionalFormatting>
  <conditionalFormatting sqref="C712">
    <cfRule type="containsText" dxfId="2" priority="399" operator="between" text="二代">
      <formula>NOT(ISERROR(SEARCH("二代",C712)))</formula>
    </cfRule>
    <cfRule type="containsText" dxfId="3" priority="400" operator="between" text="蛋糕">
      <formula>NOT(ISERROR(SEARCH("蛋糕",C712)))</formula>
    </cfRule>
  </conditionalFormatting>
  <conditionalFormatting sqref="X712">
    <cfRule type="containsText" dxfId="0" priority="407" operator="between" text="欠">
      <formula>NOT(ISERROR(SEARCH("欠",X712)))</formula>
    </cfRule>
  </conditionalFormatting>
  <conditionalFormatting sqref="Y712">
    <cfRule type="containsText" dxfId="0" priority="404" operator="between" text="欠">
      <formula>NOT(ISERROR(SEARCH("欠",Y712)))</formula>
    </cfRule>
  </conditionalFormatting>
  <conditionalFormatting sqref="Z712">
    <cfRule type="containsText" dxfId="0" priority="410" operator="between" text="欠">
      <formula>NOT(ISERROR(SEARCH("欠",Z712)))</formula>
    </cfRule>
  </conditionalFormatting>
  <conditionalFormatting sqref="AA712">
    <cfRule type="containsText" dxfId="0" priority="398" operator="between" text="欠">
      <formula>NOT(ISERROR(SEARCH("欠",AA712)))</formula>
    </cfRule>
  </conditionalFormatting>
  <conditionalFormatting sqref="AB712">
    <cfRule type="containsText" dxfId="0" priority="406" operator="between" text="欠">
      <formula>NOT(ISERROR(SEARCH("欠",AB712)))</formula>
    </cfRule>
  </conditionalFormatting>
  <conditionalFormatting sqref="AC712">
    <cfRule type="containsText" dxfId="0" priority="402" operator="between" text="欠">
      <formula>NOT(ISERROR(SEARCH("欠",AC712)))</formula>
    </cfRule>
  </conditionalFormatting>
  <conditionalFormatting sqref="AD712">
    <cfRule type="containsText" dxfId="0" priority="403" operator="between" text="欠">
      <formula>NOT(ISERROR(SEARCH("欠",AD712)))</formula>
    </cfRule>
  </conditionalFormatting>
  <conditionalFormatting sqref="AE712">
    <cfRule type="containsText" dxfId="0" priority="409" operator="between" text="欠">
      <formula>NOT(ISERROR(SEARCH("欠",AE712)))</formula>
    </cfRule>
  </conditionalFormatting>
  <conditionalFormatting sqref="AF712">
    <cfRule type="containsText" dxfId="0" priority="405" operator="between" text="欠">
      <formula>NOT(ISERROR(SEARCH("欠",AF712)))</formula>
    </cfRule>
  </conditionalFormatting>
  <conditionalFormatting sqref="AG712">
    <cfRule type="containsText" dxfId="0" priority="408" operator="between" text="欠">
      <formula>NOT(ISERROR(SEARCH("欠",AG712)))</formula>
    </cfRule>
  </conditionalFormatting>
  <conditionalFormatting sqref="AH712">
    <cfRule type="containsText" dxfId="0" priority="411" operator="between" text="欠">
      <formula>NOT(ISERROR(SEARCH("欠",AH712)))</formula>
    </cfRule>
  </conditionalFormatting>
  <conditionalFormatting sqref="AI712">
    <cfRule type="containsText" dxfId="0" priority="397" operator="between" text="欠">
      <formula>NOT(ISERROR(SEARCH("欠",AI712)))</formula>
    </cfRule>
  </conditionalFormatting>
  <conditionalFormatting sqref="B715">
    <cfRule type="containsText" dxfId="1" priority="375" operator="between" text="异常">
      <formula>NOT(ISERROR(SEARCH("异常",B715)))</formula>
    </cfRule>
  </conditionalFormatting>
  <conditionalFormatting sqref="C715">
    <cfRule type="containsText" dxfId="2" priority="373" operator="between" text="二代">
      <formula>NOT(ISERROR(SEARCH("二代",C715)))</formula>
    </cfRule>
    <cfRule type="containsText" dxfId="3" priority="374" operator="between" text="蛋糕">
      <formula>NOT(ISERROR(SEARCH("蛋糕",C715)))</formula>
    </cfRule>
  </conditionalFormatting>
  <conditionalFormatting sqref="X715:Y715">
    <cfRule type="containsText" dxfId="0" priority="381" operator="between" text="欠">
      <formula>NOT(ISERROR(SEARCH("欠",X715)))</formula>
    </cfRule>
  </conditionalFormatting>
  <conditionalFormatting sqref="Z715">
    <cfRule type="containsText" dxfId="0" priority="384" operator="between" text="欠">
      <formula>NOT(ISERROR(SEARCH("欠",Z715)))</formula>
    </cfRule>
  </conditionalFormatting>
  <conditionalFormatting sqref="AA715:AB715">
    <cfRule type="containsText" dxfId="0" priority="379" operator="between" text="欠">
      <formula>NOT(ISERROR(SEARCH("欠",AA715)))</formula>
    </cfRule>
  </conditionalFormatting>
  <conditionalFormatting sqref="AC715">
    <cfRule type="containsText" dxfId="0" priority="377" operator="between" text="欠">
      <formula>NOT(ISERROR(SEARCH("欠",AC715)))</formula>
    </cfRule>
  </conditionalFormatting>
  <conditionalFormatting sqref="AD715">
    <cfRule type="containsText" dxfId="0" priority="378" operator="between" text="欠">
      <formula>NOT(ISERROR(SEARCH("欠",AD715)))</formula>
    </cfRule>
  </conditionalFormatting>
  <conditionalFormatting sqref="AE715:AG715">
    <cfRule type="containsText" dxfId="0" priority="382" operator="between" text="欠">
      <formula>NOT(ISERROR(SEARCH("欠",AE715)))</formula>
    </cfRule>
  </conditionalFormatting>
  <conditionalFormatting sqref="AH715">
    <cfRule type="containsText" dxfId="0" priority="380" operator="between" text="欠">
      <formula>NOT(ISERROR(SEARCH("欠",AH715)))</formula>
    </cfRule>
  </conditionalFormatting>
  <conditionalFormatting sqref="AI715">
    <cfRule type="containsText" dxfId="0" priority="383" operator="between" text="欠">
      <formula>NOT(ISERROR(SEARCH("欠",AI715)))</formula>
    </cfRule>
  </conditionalFormatting>
  <conditionalFormatting sqref="AK715">
    <cfRule type="containsText" dxfId="0" priority="376" operator="between" text="欠">
      <formula>NOT(ISERROR(SEARCH("欠",AK715)))</formula>
    </cfRule>
  </conditionalFormatting>
  <conditionalFormatting sqref="B716">
    <cfRule type="containsText" dxfId="1" priority="360" operator="between" text="异常">
      <formula>NOT(ISERROR(SEARCH("异常",B716)))</formula>
    </cfRule>
  </conditionalFormatting>
  <conditionalFormatting sqref="C716">
    <cfRule type="containsText" dxfId="2" priority="358" operator="between" text="二代">
      <formula>NOT(ISERROR(SEARCH("二代",C716)))</formula>
    </cfRule>
    <cfRule type="containsText" dxfId="3" priority="359" operator="between" text="蛋糕">
      <formula>NOT(ISERROR(SEARCH("蛋糕",C716)))</formula>
    </cfRule>
  </conditionalFormatting>
  <conditionalFormatting sqref="X716">
    <cfRule type="containsText" dxfId="0" priority="370" operator="between" text="欠">
      <formula>NOT(ISERROR(SEARCH("欠",X716)))</formula>
    </cfRule>
  </conditionalFormatting>
  <conditionalFormatting sqref="Y716">
    <cfRule type="containsText" dxfId="0" priority="369" operator="between" text="欠">
      <formula>NOT(ISERROR(SEARCH("欠",Y716)))</formula>
    </cfRule>
  </conditionalFormatting>
  <conditionalFormatting sqref="Z716">
    <cfRule type="containsText" dxfId="0" priority="372" operator="between" text="欠">
      <formula>NOT(ISERROR(SEARCH("欠",Z716)))</formula>
    </cfRule>
  </conditionalFormatting>
  <conditionalFormatting sqref="AA716:AB716">
    <cfRule type="containsText" dxfId="0" priority="368" operator="between" text="欠">
      <formula>NOT(ISERROR(SEARCH("欠",AA716)))</formula>
    </cfRule>
  </conditionalFormatting>
  <conditionalFormatting sqref="AC716:AD716">
    <cfRule type="containsText" dxfId="0" priority="367" operator="between" text="欠">
      <formula>NOT(ISERROR(SEARCH("欠",AC716)))</formula>
    </cfRule>
  </conditionalFormatting>
  <conditionalFormatting sqref="AE716">
    <cfRule type="containsText" dxfId="0" priority="364" operator="between" text="欠">
      <formula>NOT(ISERROR(SEARCH("欠",AE716)))</formula>
    </cfRule>
  </conditionalFormatting>
  <conditionalFormatting sqref="AF716">
    <cfRule type="containsText" dxfId="0" priority="365" operator="between" text="欠">
      <formula>NOT(ISERROR(SEARCH("欠",AF716)))</formula>
    </cfRule>
  </conditionalFormatting>
  <conditionalFormatting sqref="AG716">
    <cfRule type="containsText" dxfId="0" priority="363" operator="between" text="欠">
      <formula>NOT(ISERROR(SEARCH("欠",AG716)))</formula>
    </cfRule>
  </conditionalFormatting>
  <conditionalFormatting sqref="AH716">
    <cfRule type="containsText" dxfId="0" priority="366" operator="between" text="欠">
      <formula>NOT(ISERROR(SEARCH("欠",AH716)))</formula>
    </cfRule>
  </conditionalFormatting>
  <conditionalFormatting sqref="AI716">
    <cfRule type="containsText" dxfId="0" priority="371" operator="between" text="欠">
      <formula>NOT(ISERROR(SEARCH("欠",AI716)))</formula>
    </cfRule>
  </conditionalFormatting>
  <conditionalFormatting sqref="AK716">
    <cfRule type="containsText" dxfId="0" priority="362" operator="between" text="欠">
      <formula>NOT(ISERROR(SEARCH("欠",AK716)))</formula>
    </cfRule>
  </conditionalFormatting>
  <conditionalFormatting sqref="AL716">
    <cfRule type="containsText" dxfId="0" priority="361" operator="between" text="欠">
      <formula>NOT(ISERROR(SEARCH("欠",AL716)))</formula>
    </cfRule>
  </conditionalFormatting>
  <conditionalFormatting sqref="B719">
    <cfRule type="containsText" dxfId="1" priority="332" operator="between" text="异常">
      <formula>NOT(ISERROR(SEARCH("异常",B719)))</formula>
    </cfRule>
  </conditionalFormatting>
  <conditionalFormatting sqref="C719">
    <cfRule type="containsText" dxfId="2" priority="330" operator="between" text="二代">
      <formula>NOT(ISERROR(SEARCH("二代",C719)))</formula>
    </cfRule>
    <cfRule type="containsText" dxfId="3" priority="331" operator="between" text="蛋糕">
      <formula>NOT(ISERROR(SEARCH("蛋糕",C719)))</formula>
    </cfRule>
  </conditionalFormatting>
  <conditionalFormatting sqref="X719">
    <cfRule type="containsText" dxfId="0" priority="341" operator="between" text="欠">
      <formula>NOT(ISERROR(SEARCH("欠",X719)))</formula>
    </cfRule>
  </conditionalFormatting>
  <conditionalFormatting sqref="Y719">
    <cfRule type="containsText" dxfId="0" priority="340" operator="between" text="欠">
      <formula>NOT(ISERROR(SEARCH("欠",Y719)))</formula>
    </cfRule>
  </conditionalFormatting>
  <conditionalFormatting sqref="Z719">
    <cfRule type="containsText" dxfId="0" priority="342" operator="between" text="欠">
      <formula>NOT(ISERROR(SEARCH("欠",Z719)))</formula>
    </cfRule>
  </conditionalFormatting>
  <conditionalFormatting sqref="AA719:AB719">
    <cfRule type="containsText" dxfId="0" priority="339" operator="between" text="欠">
      <formula>NOT(ISERROR(SEARCH("欠",AA719)))</formula>
    </cfRule>
  </conditionalFormatting>
  <conditionalFormatting sqref="AC719:AD719">
    <cfRule type="containsText" dxfId="0" priority="338" operator="between" text="欠">
      <formula>NOT(ISERROR(SEARCH("欠",AC719)))</formula>
    </cfRule>
  </conditionalFormatting>
  <conditionalFormatting sqref="AE719">
    <cfRule type="containsText" dxfId="0" priority="329" operator="between" text="欠">
      <formula>NOT(ISERROR(SEARCH("欠",AE719)))</formula>
    </cfRule>
  </conditionalFormatting>
  <conditionalFormatting sqref="AF719">
    <cfRule type="containsText" dxfId="0" priority="328" operator="between" text="欠">
      <formula>NOT(ISERROR(SEARCH("欠",AF719)))</formula>
    </cfRule>
  </conditionalFormatting>
  <conditionalFormatting sqref="AG719">
    <cfRule type="containsText" dxfId="0" priority="336" operator="between" text="欠">
      <formula>NOT(ISERROR(SEARCH("欠",AG719)))</formula>
    </cfRule>
  </conditionalFormatting>
  <conditionalFormatting sqref="AH719">
    <cfRule type="containsText" dxfId="0" priority="337" operator="between" text="欠">
      <formula>NOT(ISERROR(SEARCH("欠",AH719)))</formula>
    </cfRule>
  </conditionalFormatting>
  <conditionalFormatting sqref="AI719">
    <cfRule type="containsText" dxfId="0" priority="333" operator="between" text="欠">
      <formula>NOT(ISERROR(SEARCH("欠",AI719)))</formula>
    </cfRule>
  </conditionalFormatting>
  <conditionalFormatting sqref="AK719">
    <cfRule type="containsText" dxfId="0" priority="335" operator="between" text="欠">
      <formula>NOT(ISERROR(SEARCH("欠",AK719)))</formula>
    </cfRule>
  </conditionalFormatting>
  <conditionalFormatting sqref="AL719">
    <cfRule type="containsText" dxfId="0" priority="334" operator="between" text="欠">
      <formula>NOT(ISERROR(SEARCH("欠",AL719)))</formula>
    </cfRule>
  </conditionalFormatting>
  <conditionalFormatting sqref="B720">
    <cfRule type="containsText" dxfId="1" priority="307" operator="between" text="异常">
      <formula>NOT(ISERROR(SEARCH("异常",B720)))</formula>
    </cfRule>
  </conditionalFormatting>
  <conditionalFormatting sqref="C720">
    <cfRule type="containsText" dxfId="3" priority="309" operator="between" text="蛋糕">
      <formula>NOT(ISERROR(SEARCH("蛋糕",C720)))</formula>
    </cfRule>
    <cfRule type="containsText" dxfId="2" priority="308" operator="between" text="二代">
      <formula>NOT(ISERROR(SEARCH("二代",C720)))</formula>
    </cfRule>
  </conditionalFormatting>
  <conditionalFormatting sqref="Y720">
    <cfRule type="containsText" dxfId="0" priority="311" operator="between" text="欠">
      <formula>NOT(ISERROR(SEARCH("欠",Y720)))</formula>
    </cfRule>
  </conditionalFormatting>
  <conditionalFormatting sqref="Z720">
    <cfRule type="containsText" dxfId="0" priority="310" operator="between" text="欠">
      <formula>NOT(ISERROR(SEARCH("欠",Z720)))</formula>
    </cfRule>
  </conditionalFormatting>
  <conditionalFormatting sqref="AA720:AB720">
    <cfRule type="containsText" dxfId="0" priority="312" operator="between" text="欠">
      <formula>NOT(ISERROR(SEARCH("欠",AA720)))</formula>
    </cfRule>
  </conditionalFormatting>
  <conditionalFormatting sqref="AC720:AD720">
    <cfRule type="containsText" dxfId="0" priority="316" operator="between" text="欠">
      <formula>NOT(ISERROR(SEARCH("欠",AC720)))</formula>
    </cfRule>
  </conditionalFormatting>
  <conditionalFormatting sqref="AF720">
    <cfRule type="containsText" dxfId="0" priority="314" operator="between" text="欠">
      <formula>NOT(ISERROR(SEARCH("欠",AF720)))</formula>
    </cfRule>
  </conditionalFormatting>
  <conditionalFormatting sqref="AH720">
    <cfRule type="containsText" dxfId="0" priority="315" operator="between" text="欠">
      <formula>NOT(ISERROR(SEARCH("欠",AH720)))</formula>
    </cfRule>
  </conditionalFormatting>
  <conditionalFormatting sqref="AI720">
    <cfRule type="containsText" dxfId="0" priority="313" operator="between" text="欠">
      <formula>NOT(ISERROR(SEARCH("欠",AI720)))</formula>
    </cfRule>
  </conditionalFormatting>
  <conditionalFormatting sqref="B721">
    <cfRule type="containsText" dxfId="1" priority="319" operator="between" text="异常">
      <formula>NOT(ISERROR(SEARCH("异常",B721)))</formula>
    </cfRule>
  </conditionalFormatting>
  <conditionalFormatting sqref="C721">
    <cfRule type="containsText" dxfId="2" priority="317" operator="between" text="二代">
      <formula>NOT(ISERROR(SEARCH("二代",C721)))</formula>
    </cfRule>
    <cfRule type="containsText" dxfId="3" priority="318" operator="between" text="蛋糕">
      <formula>NOT(ISERROR(SEARCH("蛋糕",C721)))</formula>
    </cfRule>
  </conditionalFormatting>
  <conditionalFormatting sqref="Y721">
    <cfRule type="containsText" dxfId="0" priority="324" operator="between" text="欠">
      <formula>NOT(ISERROR(SEARCH("欠",Y721)))</formula>
    </cfRule>
  </conditionalFormatting>
  <conditionalFormatting sqref="Z721">
    <cfRule type="containsText" dxfId="0" priority="321" operator="between" text="欠">
      <formula>NOT(ISERROR(SEARCH("欠",Z721)))</formula>
    </cfRule>
  </conditionalFormatting>
  <conditionalFormatting sqref="AA721:AB721">
    <cfRule type="containsText" dxfId="0" priority="327" operator="between" text="欠">
      <formula>NOT(ISERROR(SEARCH("欠",AA721)))</formula>
    </cfRule>
  </conditionalFormatting>
  <conditionalFormatting sqref="AC721">
    <cfRule type="containsText" dxfId="0" priority="326" operator="between" text="欠">
      <formula>NOT(ISERROR(SEARCH("欠",AC721)))</formula>
    </cfRule>
  </conditionalFormatting>
  <conditionalFormatting sqref="AD721">
    <cfRule type="containsText" dxfId="0" priority="323" operator="between" text="欠">
      <formula>NOT(ISERROR(SEARCH("欠",AD721)))</formula>
    </cfRule>
  </conditionalFormatting>
  <conditionalFormatting sqref="AF721">
    <cfRule type="containsText" dxfId="0" priority="320" operator="between" text="欠">
      <formula>NOT(ISERROR(SEARCH("欠",AF721)))</formula>
    </cfRule>
  </conditionalFormatting>
  <conditionalFormatting sqref="AH721">
    <cfRule type="containsText" dxfId="0" priority="325" operator="between" text="欠">
      <formula>NOT(ISERROR(SEARCH("欠",AH721)))</formula>
    </cfRule>
  </conditionalFormatting>
  <conditionalFormatting sqref="AI721">
    <cfRule type="containsText" dxfId="0" priority="322" operator="between" text="欠">
      <formula>NOT(ISERROR(SEARCH("欠",AI721)))</formula>
    </cfRule>
  </conditionalFormatting>
  <conditionalFormatting sqref="B722">
    <cfRule type="containsText" dxfId="1" priority="303" operator="between" text="异常">
      <formula>NOT(ISERROR(SEARCH("异常",B722)))</formula>
    </cfRule>
  </conditionalFormatting>
  <conditionalFormatting sqref="C722">
    <cfRule type="containsText" dxfId="2" priority="304" operator="between" text="二代">
      <formula>NOT(ISERROR(SEARCH("二代",C722)))</formula>
    </cfRule>
    <cfRule type="containsText" dxfId="3" priority="305" operator="between" text="蛋糕">
      <formula>NOT(ISERROR(SEARCH("蛋糕",C722)))</formula>
    </cfRule>
  </conditionalFormatting>
  <conditionalFormatting sqref="X722">
    <cfRule type="containsText" dxfId="0" priority="299" operator="between" text="欠">
      <formula>NOT(ISERROR(SEARCH("欠",X722)))</formula>
    </cfRule>
  </conditionalFormatting>
  <conditionalFormatting sqref="Y722">
    <cfRule type="containsText" dxfId="0" priority="298" operator="between" text="欠">
      <formula>NOT(ISERROR(SEARCH("欠",Y722)))</formula>
    </cfRule>
  </conditionalFormatting>
  <conditionalFormatting sqref="Z722">
    <cfRule type="containsText" dxfId="0" priority="300" operator="between" text="欠">
      <formula>NOT(ISERROR(SEARCH("欠",Z722)))</formula>
    </cfRule>
  </conditionalFormatting>
  <conditionalFormatting sqref="AA722:AB722">
    <cfRule type="containsText" dxfId="0" priority="302" operator="between" text="欠">
      <formula>NOT(ISERROR(SEARCH("欠",AA722)))</formula>
    </cfRule>
  </conditionalFormatting>
  <conditionalFormatting sqref="AC722:AD722">
    <cfRule type="containsText" dxfId="0" priority="297" operator="between" text="欠">
      <formula>NOT(ISERROR(SEARCH("欠",AC722)))</formula>
    </cfRule>
  </conditionalFormatting>
  <conditionalFormatting sqref="AF722">
    <cfRule type="containsText" dxfId="0" priority="296" operator="between" text="欠">
      <formula>NOT(ISERROR(SEARCH("欠",AF722)))</formula>
    </cfRule>
  </conditionalFormatting>
  <conditionalFormatting sqref="AH722">
    <cfRule type="containsText" dxfId="0" priority="301" operator="between" text="欠">
      <formula>NOT(ISERROR(SEARCH("欠",AH722)))</formula>
    </cfRule>
  </conditionalFormatting>
  <conditionalFormatting sqref="AI722">
    <cfRule type="containsText" dxfId="0" priority="295" operator="between" text="欠">
      <formula>NOT(ISERROR(SEARCH("欠",AI722)))</formula>
    </cfRule>
  </conditionalFormatting>
  <conditionalFormatting sqref="B723">
    <cfRule type="containsText" dxfId="1" priority="291" operator="between" text="异常">
      <formula>NOT(ISERROR(SEARCH("异常",B723)))</formula>
    </cfRule>
  </conditionalFormatting>
  <conditionalFormatting sqref="C723">
    <cfRule type="containsText" dxfId="2" priority="292" operator="between" text="二代">
      <formula>NOT(ISERROR(SEARCH("二代",C723)))</formula>
    </cfRule>
    <cfRule type="containsText" dxfId="3" priority="293" operator="between" text="蛋糕">
      <formula>NOT(ISERROR(SEARCH("蛋糕",C723)))</formula>
    </cfRule>
  </conditionalFormatting>
  <conditionalFormatting sqref="X723">
    <cfRule type="containsText" dxfId="0" priority="287" operator="between" text="欠">
      <formula>NOT(ISERROR(SEARCH("欠",X723)))</formula>
    </cfRule>
  </conditionalFormatting>
  <conditionalFormatting sqref="Y723">
    <cfRule type="containsText" dxfId="0" priority="286" operator="between" text="欠">
      <formula>NOT(ISERROR(SEARCH("欠",Y723)))</formula>
    </cfRule>
  </conditionalFormatting>
  <conditionalFormatting sqref="Z723">
    <cfRule type="containsText" dxfId="0" priority="288" operator="between" text="欠">
      <formula>NOT(ISERROR(SEARCH("欠",Z723)))</formula>
    </cfRule>
  </conditionalFormatting>
  <conditionalFormatting sqref="AA723:AB723">
    <cfRule type="containsText" dxfId="0" priority="290" operator="between" text="欠">
      <formula>NOT(ISERROR(SEARCH("欠",AA723)))</formula>
    </cfRule>
  </conditionalFormatting>
  <conditionalFormatting sqref="AC723:AD723">
    <cfRule type="containsText" dxfId="0" priority="285" operator="between" text="欠">
      <formula>NOT(ISERROR(SEARCH("欠",AC723)))</formula>
    </cfRule>
  </conditionalFormatting>
  <conditionalFormatting sqref="AF723">
    <cfRule type="containsText" dxfId="0" priority="284" operator="between" text="欠">
      <formula>NOT(ISERROR(SEARCH("欠",AF723)))</formula>
    </cfRule>
  </conditionalFormatting>
  <conditionalFormatting sqref="AH723">
    <cfRule type="containsText" dxfId="0" priority="289" operator="between" text="欠">
      <formula>NOT(ISERROR(SEARCH("欠",AH723)))</formula>
    </cfRule>
  </conditionalFormatting>
  <conditionalFormatting sqref="AI723">
    <cfRule type="containsText" dxfId="0" priority="283" operator="between" text="欠">
      <formula>NOT(ISERROR(SEARCH("欠",AI723)))</formula>
    </cfRule>
  </conditionalFormatting>
  <conditionalFormatting sqref="Z724">
    <cfRule type="containsText" dxfId="0" priority="269" operator="between" text="欠">
      <formula>NOT(ISERROR(SEARCH("欠",Z724)))</formula>
    </cfRule>
  </conditionalFormatting>
  <conditionalFormatting sqref="AA724:AB724">
    <cfRule type="containsText" dxfId="0" priority="272" operator="between" text="欠">
      <formula>NOT(ISERROR(SEARCH("欠",AA724)))</formula>
    </cfRule>
  </conditionalFormatting>
  <conditionalFormatting sqref="Z725">
    <cfRule type="containsText" dxfId="0" priority="268" operator="between" text="欠">
      <formula>NOT(ISERROR(SEARCH("欠",Z725)))</formula>
    </cfRule>
  </conditionalFormatting>
  <conditionalFormatting sqref="AA725:AB725">
    <cfRule type="containsText" dxfId="0" priority="271" operator="between" text="欠">
      <formula>NOT(ISERROR(SEARCH("欠",AA725)))</formula>
    </cfRule>
  </conditionalFormatting>
  <conditionalFormatting sqref="Z726">
    <cfRule type="containsText" dxfId="0" priority="267" operator="between" text="欠">
      <formula>NOT(ISERROR(SEARCH("欠",Z726)))</formula>
    </cfRule>
  </conditionalFormatting>
  <conditionalFormatting sqref="AA726:AB726">
    <cfRule type="containsText" dxfId="0" priority="270" operator="between" text="欠">
      <formula>NOT(ISERROR(SEARCH("欠",AA726)))</formula>
    </cfRule>
  </conditionalFormatting>
  <conditionalFormatting sqref="AD726">
    <cfRule type="containsText" dxfId="0" priority="277" operator="between" text="欠">
      <formula>NOT(ISERROR(SEARCH("欠",AD726)))</formula>
    </cfRule>
  </conditionalFormatting>
  <conditionalFormatting sqref="B727">
    <cfRule type="containsText" dxfId="1" priority="260" operator="between" text="异常">
      <formula>NOT(ISERROR(SEARCH("异常",B727)))</formula>
    </cfRule>
  </conditionalFormatting>
  <conditionalFormatting sqref="C727">
    <cfRule type="containsText" dxfId="2" priority="258" operator="between" text="二代">
      <formula>NOT(ISERROR(SEARCH("二代",C727)))</formula>
    </cfRule>
    <cfRule type="containsText" dxfId="3" priority="259" operator="between" text="蛋糕">
      <formula>NOT(ISERROR(SEARCH("蛋糕",C727)))</formula>
    </cfRule>
  </conditionalFormatting>
  <conditionalFormatting sqref="Y727">
    <cfRule type="containsText" dxfId="0" priority="264" operator="between" text="欠">
      <formula>NOT(ISERROR(SEARCH("欠",Y727)))</formula>
    </cfRule>
  </conditionalFormatting>
  <conditionalFormatting sqref="Z727">
    <cfRule type="containsText" dxfId="0" priority="256" operator="between" text="欠">
      <formula>NOT(ISERROR(SEARCH("欠",Z727)))</formula>
    </cfRule>
  </conditionalFormatting>
  <conditionalFormatting sqref="AA727:AB727">
    <cfRule type="containsText" dxfId="0" priority="257" operator="between" text="欠">
      <formula>NOT(ISERROR(SEARCH("欠",AA727)))</formula>
    </cfRule>
  </conditionalFormatting>
  <conditionalFormatting sqref="AC727:AD727">
    <cfRule type="containsText" dxfId="0" priority="266" operator="between" text="欠">
      <formula>NOT(ISERROR(SEARCH("欠",AC727)))</formula>
    </cfRule>
  </conditionalFormatting>
  <conditionalFormatting sqref="AD727">
    <cfRule type="containsText" dxfId="0" priority="262" operator="between" text="欠">
      <formula>NOT(ISERROR(SEARCH("欠",AD727)))</formula>
    </cfRule>
  </conditionalFormatting>
  <conditionalFormatting sqref="AF727">
    <cfRule type="containsText" dxfId="0" priority="261" operator="between" text="欠">
      <formula>NOT(ISERROR(SEARCH("欠",AF727)))</formula>
    </cfRule>
  </conditionalFormatting>
  <conditionalFormatting sqref="AG727">
    <cfRule type="containsText" dxfId="0" priority="255" operator="between" text="欠">
      <formula>NOT(ISERROR(SEARCH("欠",AG727)))</formula>
    </cfRule>
  </conditionalFormatting>
  <conditionalFormatting sqref="AH727">
    <cfRule type="containsText" dxfId="0" priority="265" operator="between" text="欠">
      <formula>NOT(ISERROR(SEARCH("欠",AH727)))</formula>
    </cfRule>
  </conditionalFormatting>
  <conditionalFormatting sqref="AI727">
    <cfRule type="containsText" dxfId="0" priority="263" operator="between" text="欠">
      <formula>NOT(ISERROR(SEARCH("欠",AI727)))</formula>
    </cfRule>
  </conditionalFormatting>
  <conditionalFormatting sqref="B728">
    <cfRule type="containsText" dxfId="1" priority="248" operator="between" text="异常">
      <formula>NOT(ISERROR(SEARCH("异常",B728)))</formula>
    </cfRule>
  </conditionalFormatting>
  <conditionalFormatting sqref="C728">
    <cfRule type="containsText" dxfId="2" priority="246" operator="between" text="二代">
      <formula>NOT(ISERROR(SEARCH("二代",C728)))</formula>
    </cfRule>
    <cfRule type="containsText" dxfId="3" priority="247" operator="between" text="蛋糕">
      <formula>NOT(ISERROR(SEARCH("蛋糕",C728)))</formula>
    </cfRule>
  </conditionalFormatting>
  <conditionalFormatting sqref="Y728">
    <cfRule type="containsText" dxfId="0" priority="252" operator="between" text="欠">
      <formula>NOT(ISERROR(SEARCH("欠",Y728)))</formula>
    </cfRule>
  </conditionalFormatting>
  <conditionalFormatting sqref="Z728">
    <cfRule type="containsText" dxfId="0" priority="244" operator="between" text="欠">
      <formula>NOT(ISERROR(SEARCH("欠",Z728)))</formula>
    </cfRule>
  </conditionalFormatting>
  <conditionalFormatting sqref="AA728:AB728">
    <cfRule type="containsText" dxfId="0" priority="245" operator="between" text="欠">
      <formula>NOT(ISERROR(SEARCH("欠",AA728)))</formula>
    </cfRule>
  </conditionalFormatting>
  <conditionalFormatting sqref="AC728">
    <cfRule type="containsText" dxfId="0" priority="254" operator="between" text="欠">
      <formula>NOT(ISERROR(SEARCH("欠",AC728)))</formula>
    </cfRule>
  </conditionalFormatting>
  <conditionalFormatting sqref="AD728">
    <cfRule type="containsText" dxfId="0" priority="251" operator="between" text="欠">
      <formula>NOT(ISERROR(SEARCH("欠",AD728)))</formula>
    </cfRule>
  </conditionalFormatting>
  <conditionalFormatting sqref="AF728">
    <cfRule type="containsText" dxfId="0" priority="249" operator="between" text="欠">
      <formula>NOT(ISERROR(SEARCH("欠",AF728)))</formula>
    </cfRule>
  </conditionalFormatting>
  <conditionalFormatting sqref="AH728">
    <cfRule type="containsText" dxfId="0" priority="253" operator="between" text="欠">
      <formula>NOT(ISERROR(SEARCH("欠",AH728)))</formula>
    </cfRule>
  </conditionalFormatting>
  <conditionalFormatting sqref="AI728">
    <cfRule type="containsText" dxfId="0" priority="250" operator="between" text="欠">
      <formula>NOT(ISERROR(SEARCH("欠",AI728)))</formula>
    </cfRule>
  </conditionalFormatting>
  <conditionalFormatting sqref="B729">
    <cfRule type="containsText" dxfId="1" priority="238" operator="between" text="异常">
      <formula>NOT(ISERROR(SEARCH("异常",B729)))</formula>
    </cfRule>
  </conditionalFormatting>
  <conditionalFormatting sqref="C729">
    <cfRule type="containsText" dxfId="2" priority="236" operator="between" text="二代">
      <formula>NOT(ISERROR(SEARCH("二代",C729)))</formula>
    </cfRule>
    <cfRule type="containsText" dxfId="3" priority="237" operator="between" text="蛋糕">
      <formula>NOT(ISERROR(SEARCH("蛋糕",C729)))</formula>
    </cfRule>
  </conditionalFormatting>
  <conditionalFormatting sqref="Y729">
    <cfRule type="containsText" dxfId="0" priority="241" operator="between" text="欠">
      <formula>NOT(ISERROR(SEARCH("欠",Y729)))</formula>
    </cfRule>
  </conditionalFormatting>
  <conditionalFormatting sqref="Z729">
    <cfRule type="containsText" dxfId="0" priority="234" operator="between" text="欠">
      <formula>NOT(ISERROR(SEARCH("欠",Z729)))</formula>
    </cfRule>
  </conditionalFormatting>
  <conditionalFormatting sqref="AA729:AB729">
    <cfRule type="containsText" dxfId="0" priority="235" operator="between" text="欠">
      <formula>NOT(ISERROR(SEARCH("欠",AA729)))</formula>
    </cfRule>
  </conditionalFormatting>
  <conditionalFormatting sqref="AC729:AD729">
    <cfRule type="containsText" dxfId="0" priority="243" operator="between" text="欠">
      <formula>NOT(ISERROR(SEARCH("欠",AC729)))</formula>
    </cfRule>
  </conditionalFormatting>
  <conditionalFormatting sqref="AD729">
    <cfRule type="containsText" dxfId="0" priority="240" operator="between" text="欠">
      <formula>NOT(ISERROR(SEARCH("欠",AD729)))</formula>
    </cfRule>
  </conditionalFormatting>
  <conditionalFormatting sqref="AF729">
    <cfRule type="containsText" dxfId="0" priority="239" operator="between" text="欠">
      <formula>NOT(ISERROR(SEARCH("欠",AF729)))</formula>
    </cfRule>
  </conditionalFormatting>
  <conditionalFormatting sqref="AG729">
    <cfRule type="containsText" dxfId="0" priority="233" operator="between" text="欠">
      <formula>NOT(ISERROR(SEARCH("欠",AG729)))</formula>
    </cfRule>
  </conditionalFormatting>
  <conditionalFormatting sqref="AH729">
    <cfRule type="containsText" dxfId="0" priority="242" operator="between" text="欠">
      <formula>NOT(ISERROR(SEARCH("欠",AH729)))</formula>
    </cfRule>
  </conditionalFormatting>
  <conditionalFormatting sqref="AI729">
    <cfRule type="containsText" dxfId="0" priority="232" operator="between" text="欠">
      <formula>NOT(ISERROR(SEARCH("欠",AI729)))</formula>
    </cfRule>
  </conditionalFormatting>
  <conditionalFormatting sqref="B732">
    <cfRule type="containsText" dxfId="1" priority="217" operator="between" text="异常">
      <formula>NOT(ISERROR(SEARCH("异常",B732)))</formula>
    </cfRule>
  </conditionalFormatting>
  <conditionalFormatting sqref="C732">
    <cfRule type="containsText" dxfId="2" priority="218" operator="between" text="二代">
      <formula>NOT(ISERROR(SEARCH("二代",C732)))</formula>
    </cfRule>
    <cfRule type="containsText" dxfId="3" priority="219" operator="between" text="蛋糕">
      <formula>NOT(ISERROR(SEARCH("蛋糕",C732)))</formula>
    </cfRule>
  </conditionalFormatting>
  <conditionalFormatting sqref="X732">
    <cfRule type="containsText" dxfId="0" priority="212" operator="between" text="欠">
      <formula>NOT(ISERROR(SEARCH("欠",X732)))</formula>
    </cfRule>
  </conditionalFormatting>
  <conditionalFormatting sqref="Y732">
    <cfRule type="containsText" dxfId="0" priority="211" operator="between" text="欠">
      <formula>NOT(ISERROR(SEARCH("欠",Y732)))</formula>
    </cfRule>
  </conditionalFormatting>
  <conditionalFormatting sqref="Z732">
    <cfRule type="containsText" dxfId="0" priority="213" operator="between" text="欠">
      <formula>NOT(ISERROR(SEARCH("欠",Z732)))</formula>
    </cfRule>
  </conditionalFormatting>
  <conditionalFormatting sqref="AA732">
    <cfRule type="containsText" dxfId="0" priority="216" operator="between" text="欠">
      <formula>NOT(ISERROR(SEARCH("欠",AA732)))</formula>
    </cfRule>
  </conditionalFormatting>
  <conditionalFormatting sqref="AB732">
    <cfRule type="containsText" dxfId="0" priority="215" operator="between" text="欠">
      <formula>NOT(ISERROR(SEARCH("欠",AB732)))</formula>
    </cfRule>
  </conditionalFormatting>
  <conditionalFormatting sqref="AC732:AD732">
    <cfRule type="containsText" dxfId="0" priority="210" operator="between" text="欠">
      <formula>NOT(ISERROR(SEARCH("欠",AC732)))</formula>
    </cfRule>
  </conditionalFormatting>
  <conditionalFormatting sqref="AF732">
    <cfRule type="containsText" dxfId="0" priority="209" operator="between" text="欠">
      <formula>NOT(ISERROR(SEARCH("欠",AF732)))</formula>
    </cfRule>
  </conditionalFormatting>
  <conditionalFormatting sqref="AH732">
    <cfRule type="containsText" dxfId="0" priority="214" operator="between" text="欠">
      <formula>NOT(ISERROR(SEARCH("欠",AH732)))</formula>
    </cfRule>
  </conditionalFormatting>
  <conditionalFormatting sqref="AI732">
    <cfRule type="containsText" dxfId="0" priority="208" operator="between" text="欠">
      <formula>NOT(ISERROR(SEARCH("欠",AI732)))</formula>
    </cfRule>
  </conditionalFormatting>
  <conditionalFormatting sqref="B733">
    <cfRule type="containsText" dxfId="1" priority="204" operator="between" text="异常">
      <formula>NOT(ISERROR(SEARCH("异常",B733)))</formula>
    </cfRule>
  </conditionalFormatting>
  <conditionalFormatting sqref="C733">
    <cfRule type="containsText" dxfId="2" priority="205" operator="between" text="二代">
      <formula>NOT(ISERROR(SEARCH("二代",C733)))</formula>
    </cfRule>
    <cfRule type="containsText" dxfId="3" priority="206" operator="between" text="蛋糕">
      <formula>NOT(ISERROR(SEARCH("蛋糕",C733)))</formula>
    </cfRule>
  </conditionalFormatting>
  <conditionalFormatting sqref="X733">
    <cfRule type="containsText" dxfId="0" priority="199" operator="between" text="欠">
      <formula>NOT(ISERROR(SEARCH("欠",X733)))</formula>
    </cfRule>
  </conditionalFormatting>
  <conditionalFormatting sqref="Y733">
    <cfRule type="containsText" dxfId="0" priority="198" operator="between" text="欠">
      <formula>NOT(ISERROR(SEARCH("欠",Y733)))</formula>
    </cfRule>
  </conditionalFormatting>
  <conditionalFormatting sqref="Z733">
    <cfRule type="containsText" dxfId="0" priority="200" operator="between" text="欠">
      <formula>NOT(ISERROR(SEARCH("欠",Z733)))</formula>
    </cfRule>
  </conditionalFormatting>
  <conditionalFormatting sqref="AA733">
    <cfRule type="containsText" dxfId="0" priority="203" operator="between" text="欠">
      <formula>NOT(ISERROR(SEARCH("欠",AA733)))</formula>
    </cfRule>
  </conditionalFormatting>
  <conditionalFormatting sqref="AB733">
    <cfRule type="containsText" dxfId="0" priority="202" operator="between" text="欠">
      <formula>NOT(ISERROR(SEARCH("欠",AB733)))</formula>
    </cfRule>
  </conditionalFormatting>
  <conditionalFormatting sqref="AC733:AD733">
    <cfRule type="containsText" dxfId="0" priority="197" operator="between" text="欠">
      <formula>NOT(ISERROR(SEARCH("欠",AC733)))</formula>
    </cfRule>
  </conditionalFormatting>
  <conditionalFormatting sqref="AF733">
    <cfRule type="containsText" dxfId="0" priority="196" operator="between" text="欠">
      <formula>NOT(ISERROR(SEARCH("欠",AF733)))</formula>
    </cfRule>
  </conditionalFormatting>
  <conditionalFormatting sqref="AH733">
    <cfRule type="containsText" dxfId="0" priority="201" operator="between" text="欠">
      <formula>NOT(ISERROR(SEARCH("欠",AH733)))</formula>
    </cfRule>
  </conditionalFormatting>
  <conditionalFormatting sqref="AI733">
    <cfRule type="containsText" dxfId="0" priority="195" operator="between" text="欠">
      <formula>NOT(ISERROR(SEARCH("欠",AI733)))</formula>
    </cfRule>
  </conditionalFormatting>
  <conditionalFormatting sqref="B734">
    <cfRule type="containsText" dxfId="1" priority="186" operator="between" text="异常">
      <formula>NOT(ISERROR(SEARCH("异常",B734)))</formula>
    </cfRule>
  </conditionalFormatting>
  <conditionalFormatting sqref="C734">
    <cfRule type="containsText" dxfId="2" priority="184" operator="between" text="二代">
      <formula>NOT(ISERROR(SEARCH("二代",C734)))</formula>
    </cfRule>
    <cfRule type="containsText" dxfId="3" priority="185" operator="between" text="蛋糕">
      <formula>NOT(ISERROR(SEARCH("蛋糕",C734)))</formula>
    </cfRule>
  </conditionalFormatting>
  <conditionalFormatting sqref="X734:Y734">
    <cfRule type="containsText" dxfId="0" priority="192" operator="between" text="欠">
      <formula>NOT(ISERROR(SEARCH("欠",X734)))</formula>
    </cfRule>
  </conditionalFormatting>
  <conditionalFormatting sqref="Z734:AB734">
    <cfRule type="containsText" dxfId="0" priority="187" operator="between" text="欠">
      <formula>NOT(ISERROR(SEARCH("欠",Z734)))</formula>
    </cfRule>
  </conditionalFormatting>
  <conditionalFormatting sqref="AC734:AD734">
    <cfRule type="containsText" dxfId="0" priority="191" operator="between" text="欠">
      <formula>NOT(ISERROR(SEARCH("欠",AC734)))</formula>
    </cfRule>
  </conditionalFormatting>
  <conditionalFormatting sqref="AE734">
    <cfRule type="containsText" dxfId="0" priority="190" operator="between" text="欠">
      <formula>NOT(ISERROR(SEARCH("欠",AE734)))</formula>
    </cfRule>
  </conditionalFormatting>
  <conditionalFormatting sqref="AF734">
    <cfRule type="containsText" dxfId="0" priority="194" operator="between" text="欠">
      <formula>NOT(ISERROR(SEARCH("欠",AF734)))</formula>
    </cfRule>
  </conditionalFormatting>
  <conditionalFormatting sqref="AG734">
    <cfRule type="containsText" dxfId="0" priority="189" operator="between" text="欠">
      <formula>NOT(ISERROR(SEARCH("欠",AG734)))</formula>
    </cfRule>
  </conditionalFormatting>
  <conditionalFormatting sqref="AH734">
    <cfRule type="containsText" dxfId="0" priority="188" operator="between" text="欠">
      <formula>NOT(ISERROR(SEARCH("欠",AH734)))</formula>
    </cfRule>
  </conditionalFormatting>
  <conditionalFormatting sqref="AI734">
    <cfRule type="containsText" dxfId="0" priority="193" operator="between" text="欠">
      <formula>NOT(ISERROR(SEARCH("欠",AI734)))</formula>
    </cfRule>
  </conditionalFormatting>
  <conditionalFormatting sqref="AC735">
    <cfRule type="containsText" dxfId="0" priority="165" operator="between" text="欠">
      <formula>NOT(ISERROR(SEARCH("欠",AC735)))</formula>
    </cfRule>
  </conditionalFormatting>
  <conditionalFormatting sqref="AD735">
    <cfRule type="containsText" dxfId="0" priority="132" operator="between" text="欠">
      <formula>NOT(ISERROR(SEARCH("欠",AD735)))</formula>
    </cfRule>
  </conditionalFormatting>
  <conditionalFormatting sqref="AH735">
    <cfRule type="containsText" dxfId="0" priority="164" operator="between" text="欠">
      <formula>NOT(ISERROR(SEARCH("欠",AH735)))</formula>
    </cfRule>
  </conditionalFormatting>
  <conditionalFormatting sqref="AC736">
    <cfRule type="containsText" dxfId="0" priority="169" operator="between" text="欠">
      <formula>NOT(ISERROR(SEARCH("欠",AC736)))</formula>
    </cfRule>
  </conditionalFormatting>
  <conditionalFormatting sqref="AD736">
    <cfRule type="containsText" dxfId="0" priority="129" operator="between" text="欠">
      <formula>NOT(ISERROR(SEARCH("欠",AD736)))</formula>
    </cfRule>
  </conditionalFormatting>
  <conditionalFormatting sqref="AH736">
    <cfRule type="containsText" dxfId="0" priority="167" operator="between" text="欠">
      <formula>NOT(ISERROR(SEARCH("欠",AH736)))</formula>
    </cfRule>
  </conditionalFormatting>
  <conditionalFormatting sqref="AC737">
    <cfRule type="containsText" dxfId="0" priority="168" operator="between" text="欠">
      <formula>NOT(ISERROR(SEARCH("欠",AC737)))</formula>
    </cfRule>
  </conditionalFormatting>
  <conditionalFormatting sqref="AD737">
    <cfRule type="containsText" dxfId="0" priority="131" operator="between" text="欠">
      <formula>NOT(ISERROR(SEARCH("欠",AD737)))</formula>
    </cfRule>
  </conditionalFormatting>
  <conditionalFormatting sqref="AH737">
    <cfRule type="containsText" dxfId="0" priority="166" operator="between" text="欠">
      <formula>NOT(ISERROR(SEARCH("欠",AH737)))</formula>
    </cfRule>
  </conditionalFormatting>
  <conditionalFormatting sqref="AC738:AD738">
    <cfRule type="containsText" dxfId="0" priority="171" operator="between" text="欠">
      <formula>NOT(ISERROR(SEARCH("欠",AC738)))</formula>
    </cfRule>
  </conditionalFormatting>
  <conditionalFormatting sqref="AH738">
    <cfRule type="containsText" dxfId="0" priority="170" operator="between" text="欠">
      <formula>NOT(ISERROR(SEARCH("欠",AH738)))</formula>
    </cfRule>
  </conditionalFormatting>
  <conditionalFormatting sqref="AC739:AD739">
    <cfRule type="containsText" dxfId="0" priority="173" operator="between" text="欠">
      <formula>NOT(ISERROR(SEARCH("欠",AC739)))</formula>
    </cfRule>
  </conditionalFormatting>
  <conditionalFormatting sqref="AH739">
    <cfRule type="containsText" dxfId="0" priority="172" operator="between" text="欠">
      <formula>NOT(ISERROR(SEARCH("欠",AH739)))</formula>
    </cfRule>
  </conditionalFormatting>
  <conditionalFormatting sqref="AC740:AD740">
    <cfRule type="containsText" dxfId="0" priority="175" operator="between" text="欠">
      <formula>NOT(ISERROR(SEARCH("欠",AC740)))</formula>
    </cfRule>
  </conditionalFormatting>
  <conditionalFormatting sqref="AH740">
    <cfRule type="containsText" dxfId="0" priority="174" operator="between" text="欠">
      <formula>NOT(ISERROR(SEARCH("欠",AH740)))</formula>
    </cfRule>
  </conditionalFormatting>
  <conditionalFormatting sqref="AH741">
    <cfRule type="containsText" dxfId="0" priority="154" operator="between" text="欠">
      <formula>NOT(ISERROR(SEARCH("欠",AH741)))</formula>
    </cfRule>
  </conditionalFormatting>
  <conditionalFormatting sqref="AC742">
    <cfRule type="containsText" dxfId="0" priority="157" operator="between" text="欠">
      <formula>NOT(ISERROR(SEARCH("欠",AC742)))</formula>
    </cfRule>
  </conditionalFormatting>
  <conditionalFormatting sqref="AH742">
    <cfRule type="containsText" dxfId="0" priority="156" operator="between" text="欠">
      <formula>NOT(ISERROR(SEARCH("欠",AH742)))</formula>
    </cfRule>
  </conditionalFormatting>
  <conditionalFormatting sqref="AC743">
    <cfRule type="containsText" dxfId="0" priority="147" operator="between" text="欠">
      <formula>NOT(ISERROR(SEARCH("欠",AC743)))</formula>
    </cfRule>
  </conditionalFormatting>
  <conditionalFormatting sqref="AF743">
    <cfRule type="containsText" dxfId="0" priority="182" operator="between" text="欠">
      <formula>NOT(ISERROR(SEARCH("欠",AF743)))</formula>
    </cfRule>
  </conditionalFormatting>
  <conditionalFormatting sqref="AH743">
    <cfRule type="containsText" dxfId="0" priority="146" operator="between" text="欠">
      <formula>NOT(ISERROR(SEARCH("欠",AH743)))</formula>
    </cfRule>
  </conditionalFormatting>
  <conditionalFormatting sqref="AI743">
    <cfRule type="containsText" dxfId="0" priority="183" operator="between" text="欠">
      <formula>NOT(ISERROR(SEARCH("欠",AI743)))</formula>
    </cfRule>
  </conditionalFormatting>
  <conditionalFormatting sqref="AC744">
    <cfRule type="containsText" dxfId="0" priority="149" operator="between" text="欠">
      <formula>NOT(ISERROR(SEARCH("欠",AC744)))</formula>
    </cfRule>
  </conditionalFormatting>
  <conditionalFormatting sqref="AH744">
    <cfRule type="containsText" dxfId="0" priority="148" operator="between" text="欠">
      <formula>NOT(ISERROR(SEARCH("欠",AH744)))</formula>
    </cfRule>
  </conditionalFormatting>
  <conditionalFormatting sqref="AC745">
    <cfRule type="containsText" dxfId="0" priority="151" operator="between" text="欠">
      <formula>NOT(ISERROR(SEARCH("欠",AC745)))</formula>
    </cfRule>
  </conditionalFormatting>
  <conditionalFormatting sqref="AH745">
    <cfRule type="containsText" dxfId="0" priority="150" operator="between" text="欠">
      <formula>NOT(ISERROR(SEARCH("欠",AH745)))</formula>
    </cfRule>
  </conditionalFormatting>
  <conditionalFormatting sqref="AC746">
    <cfRule type="containsText" dxfId="0" priority="153" operator="between" text="欠">
      <formula>NOT(ISERROR(SEARCH("欠",AC746)))</formula>
    </cfRule>
  </conditionalFormatting>
  <conditionalFormatting sqref="AD746">
    <cfRule type="containsText" dxfId="0" priority="130" operator="between" text="欠">
      <formula>NOT(ISERROR(SEARCH("欠",AD746)))</formula>
    </cfRule>
  </conditionalFormatting>
  <conditionalFormatting sqref="AH746">
    <cfRule type="containsText" dxfId="0" priority="152" operator="between" text="欠">
      <formula>NOT(ISERROR(SEARCH("欠",AH746)))</formula>
    </cfRule>
  </conditionalFormatting>
  <conditionalFormatting sqref="AC747:AD747">
    <cfRule type="containsText" dxfId="0" priority="134" operator="between" text="欠">
      <formula>NOT(ISERROR(SEARCH("欠",AC747)))</formula>
    </cfRule>
  </conditionalFormatting>
  <conditionalFormatting sqref="AH747">
    <cfRule type="containsText" dxfId="0" priority="133" operator="between" text="欠">
      <formula>NOT(ISERROR(SEARCH("欠",AH747)))</formula>
    </cfRule>
  </conditionalFormatting>
  <conditionalFormatting sqref="AC748:AD748">
    <cfRule type="containsText" dxfId="0" priority="136" operator="between" text="欠">
      <formula>NOT(ISERROR(SEARCH("欠",AC748)))</formula>
    </cfRule>
  </conditionalFormatting>
  <conditionalFormatting sqref="AH748">
    <cfRule type="containsText" dxfId="0" priority="135" operator="between" text="欠">
      <formula>NOT(ISERROR(SEARCH("欠",AH748)))</formula>
    </cfRule>
  </conditionalFormatting>
  <conditionalFormatting sqref="AC749:AD749">
    <cfRule type="containsText" dxfId="0" priority="138" operator="between" text="欠">
      <formula>NOT(ISERROR(SEARCH("欠",AC749)))</formula>
    </cfRule>
  </conditionalFormatting>
  <conditionalFormatting sqref="AH749">
    <cfRule type="containsText" dxfId="0" priority="137" operator="between" text="欠">
      <formula>NOT(ISERROR(SEARCH("欠",AH749)))</formula>
    </cfRule>
  </conditionalFormatting>
  <conditionalFormatting sqref="Y750">
    <cfRule type="containsText" dxfId="0" priority="139" operator="between" text="欠">
      <formula>NOT(ISERROR(SEARCH("欠",Y750)))</formula>
    </cfRule>
  </conditionalFormatting>
  <conditionalFormatting sqref="AA750:AB750">
    <cfRule type="containsText" dxfId="0" priority="142" operator="between" text="欠">
      <formula>NOT(ISERROR(SEARCH("欠",AA750)))</formula>
    </cfRule>
  </conditionalFormatting>
  <conditionalFormatting sqref="AC750:AD750">
    <cfRule type="containsText" dxfId="0" priority="141" operator="between" text="欠">
      <formula>NOT(ISERROR(SEARCH("欠",AC750)))</formula>
    </cfRule>
  </conditionalFormatting>
  <conditionalFormatting sqref="AF750">
    <cfRule type="containsText" dxfId="0" priority="143" operator="between" text="欠">
      <formula>NOT(ISERROR(SEARCH("欠",AF750)))</formula>
    </cfRule>
  </conditionalFormatting>
  <conditionalFormatting sqref="AH750">
    <cfRule type="containsText" dxfId="0" priority="140" operator="between" text="欠">
      <formula>NOT(ISERROR(SEARCH("欠",AH750)))</formula>
    </cfRule>
  </conditionalFormatting>
  <conditionalFormatting sqref="AI750">
    <cfRule type="containsText" dxfId="0" priority="144" operator="between" text="欠">
      <formula>NOT(ISERROR(SEARCH("欠",AI750)))</formula>
    </cfRule>
  </conditionalFormatting>
  <conditionalFormatting sqref="Y751">
    <cfRule type="containsText" dxfId="0" priority="158" operator="between" text="欠">
      <formula>NOT(ISERROR(SEARCH("欠",Y751)))</formula>
    </cfRule>
  </conditionalFormatting>
  <conditionalFormatting sqref="AA751:AB751">
    <cfRule type="containsText" dxfId="0" priority="161" operator="between" text="欠">
      <formula>NOT(ISERROR(SEARCH("欠",AA751)))</formula>
    </cfRule>
  </conditionalFormatting>
  <conditionalFormatting sqref="AC751:AD751">
    <cfRule type="containsText" dxfId="0" priority="160" operator="between" text="欠">
      <formula>NOT(ISERROR(SEARCH("欠",AC751)))</formula>
    </cfRule>
  </conditionalFormatting>
  <conditionalFormatting sqref="AF751">
    <cfRule type="containsText" dxfId="0" priority="162" operator="between" text="欠">
      <formula>NOT(ISERROR(SEARCH("欠",AF751)))</formula>
    </cfRule>
  </conditionalFormatting>
  <conditionalFormatting sqref="AH751">
    <cfRule type="containsText" dxfId="0" priority="159" operator="between" text="欠">
      <formula>NOT(ISERROR(SEARCH("欠",AH751)))</formula>
    </cfRule>
  </conditionalFormatting>
  <conditionalFormatting sqref="AI751">
    <cfRule type="containsText" dxfId="0" priority="163" operator="between" text="欠">
      <formula>NOT(ISERROR(SEARCH("欠",AI751)))</formula>
    </cfRule>
  </conditionalFormatting>
  <conditionalFormatting sqref="B752">
    <cfRule type="containsText" dxfId="1" priority="107" operator="between" text="异常">
      <formula>NOT(ISERROR(SEARCH("异常",B752)))</formula>
    </cfRule>
  </conditionalFormatting>
  <conditionalFormatting sqref="C752">
    <cfRule type="containsText" dxfId="3" priority="109" operator="between" text="蛋糕">
      <formula>NOT(ISERROR(SEARCH("蛋糕",C752)))</formula>
    </cfRule>
    <cfRule type="containsText" dxfId="2" priority="108" operator="between" text="二代">
      <formula>NOT(ISERROR(SEARCH("二代",C752)))</formula>
    </cfRule>
  </conditionalFormatting>
  <conditionalFormatting sqref="X752">
    <cfRule type="containsText" dxfId="0" priority="101" operator="between" text="欠">
      <formula>NOT(ISERROR(SEARCH("欠",X752)))</formula>
    </cfRule>
  </conditionalFormatting>
  <conditionalFormatting sqref="Y752">
    <cfRule type="containsText" dxfId="0" priority="110" operator="between" text="欠">
      <formula>NOT(ISERROR(SEARCH("欠",Y752)))</formula>
    </cfRule>
  </conditionalFormatting>
  <conditionalFormatting sqref="Z752:AB752">
    <cfRule type="containsText" dxfId="0" priority="98" operator="between" text="欠">
      <formula>NOT(ISERROR(SEARCH("欠",Z752)))</formula>
    </cfRule>
  </conditionalFormatting>
  <conditionalFormatting sqref="AC752">
    <cfRule type="containsText" dxfId="0" priority="99" operator="between" text="欠">
      <formula>NOT(ISERROR(SEARCH("欠",AC752)))</formula>
    </cfRule>
  </conditionalFormatting>
  <conditionalFormatting sqref="AD752">
    <cfRule type="containsText" dxfId="0" priority="100" operator="between" text="欠">
      <formula>NOT(ISERROR(SEARCH("欠",AD752)))</formula>
    </cfRule>
  </conditionalFormatting>
  <conditionalFormatting sqref="AE752">
    <cfRule type="containsText" dxfId="0" priority="103" operator="between" text="欠">
      <formula>NOT(ISERROR(SEARCH("欠",AE752)))</formula>
    </cfRule>
  </conditionalFormatting>
  <conditionalFormatting sqref="AF752">
    <cfRule type="containsText" dxfId="0" priority="105" operator="between" text="欠">
      <formula>NOT(ISERROR(SEARCH("欠",AF752)))</formula>
    </cfRule>
  </conditionalFormatting>
  <conditionalFormatting sqref="AG752">
    <cfRule type="containsText" dxfId="0" priority="102" operator="between" text="欠">
      <formula>NOT(ISERROR(SEARCH("欠",AG752)))</formula>
    </cfRule>
  </conditionalFormatting>
  <conditionalFormatting sqref="AH752">
    <cfRule type="containsText" dxfId="0" priority="106" operator="between" text="欠">
      <formula>NOT(ISERROR(SEARCH("欠",AH752)))</formula>
    </cfRule>
  </conditionalFormatting>
  <conditionalFormatting sqref="AI752">
    <cfRule type="containsText" dxfId="0" priority="104" operator="between" text="欠">
      <formula>NOT(ISERROR(SEARCH("欠",AI752)))</formula>
    </cfRule>
  </conditionalFormatting>
  <conditionalFormatting sqref="AA753:AB753">
    <cfRule type="containsText" dxfId="0" priority="120" operator="between" text="欠">
      <formula>NOT(ISERROR(SEARCH("欠",AA753)))</formula>
    </cfRule>
  </conditionalFormatting>
  <conditionalFormatting sqref="AE753">
    <cfRule type="containsText" dxfId="0" priority="115" operator="between" text="欠">
      <formula>NOT(ISERROR(SEARCH("欠",AE753)))</formula>
    </cfRule>
  </conditionalFormatting>
  <conditionalFormatting sqref="AG753">
    <cfRule type="containsText" dxfId="0" priority="113" operator="between" text="欠">
      <formula>NOT(ISERROR(SEARCH("欠",AG753)))</formula>
    </cfRule>
  </conditionalFormatting>
  <conditionalFormatting sqref="AA754:AB754">
    <cfRule type="containsText" dxfId="0" priority="121" operator="between" text="欠">
      <formula>NOT(ISERROR(SEARCH("欠",AA754)))</formula>
    </cfRule>
  </conditionalFormatting>
  <conditionalFormatting sqref="AE754">
    <cfRule type="containsText" dxfId="0" priority="114" operator="between" text="欠">
      <formula>NOT(ISERROR(SEARCH("欠",AE754)))</formula>
    </cfRule>
  </conditionalFormatting>
  <conditionalFormatting sqref="AG754">
    <cfRule type="containsText" dxfId="0" priority="112" operator="between" text="欠">
      <formula>NOT(ISERROR(SEARCH("欠",AG754)))</formula>
    </cfRule>
  </conditionalFormatting>
  <conditionalFormatting sqref="Z755">
    <cfRule type="containsText" dxfId="0" priority="75" operator="between" text="欠">
      <formula>NOT(ISERROR(SEARCH("欠",Z755)))</formula>
    </cfRule>
  </conditionalFormatting>
  <conditionalFormatting sqref="AA755">
    <cfRule type="containsText" dxfId="0" priority="80" operator="between" text="欠">
      <formula>NOT(ISERROR(SEARCH("欠",AA755)))</formula>
    </cfRule>
  </conditionalFormatting>
  <conditionalFormatting sqref="Z756">
    <cfRule type="containsText" dxfId="0" priority="74" operator="between" text="欠">
      <formula>NOT(ISERROR(SEARCH("欠",Z756)))</formula>
    </cfRule>
  </conditionalFormatting>
  <conditionalFormatting sqref="Z757">
    <cfRule type="containsText" dxfId="0" priority="73" operator="between" text="欠">
      <formula>NOT(ISERROR(SEARCH("欠",Z757)))</formula>
    </cfRule>
  </conditionalFormatting>
  <conditionalFormatting sqref="AA757:AB757">
    <cfRule type="containsText" dxfId="0" priority="79" operator="between" text="欠">
      <formula>NOT(ISERROR(SEARCH("欠",AA757)))</formula>
    </cfRule>
  </conditionalFormatting>
  <conditionalFormatting sqref="AD757">
    <cfRule type="containsText" dxfId="0" priority="96" operator="between" text="欠">
      <formula>NOT(ISERROR(SEARCH("欠",AD757)))</formula>
    </cfRule>
  </conditionalFormatting>
  <conditionalFormatting sqref="AF757">
    <cfRule type="containsText" dxfId="0" priority="87" operator="between" text="欠">
      <formula>NOT(ISERROR(SEARCH("欠",AF757)))</formula>
    </cfRule>
  </conditionalFormatting>
  <conditionalFormatting sqref="AI757">
    <cfRule type="containsText" dxfId="0" priority="94" operator="between" text="欠">
      <formula>NOT(ISERROR(SEARCH("欠",AI757)))</formula>
    </cfRule>
  </conditionalFormatting>
  <conditionalFormatting sqref="Z758">
    <cfRule type="containsText" dxfId="0" priority="72" operator="between" text="欠">
      <formula>NOT(ISERROR(SEARCH("欠",Z758)))</formula>
    </cfRule>
  </conditionalFormatting>
  <conditionalFormatting sqref="AA758:AB758">
    <cfRule type="containsText" dxfId="0" priority="78" operator="between" text="欠">
      <formula>NOT(ISERROR(SEARCH("欠",AA758)))</formula>
    </cfRule>
  </conditionalFormatting>
  <conditionalFormatting sqref="AG758">
    <cfRule type="containsText" dxfId="0" priority="84" operator="between" text="欠">
      <formula>NOT(ISERROR(SEARCH("欠",AG758)))</formula>
    </cfRule>
  </conditionalFormatting>
  <conditionalFormatting sqref="AI758">
    <cfRule type="containsText" dxfId="0" priority="82" operator="between" text="欠">
      <formula>NOT(ISERROR(SEARCH("欠",AI758)))</formula>
    </cfRule>
  </conditionalFormatting>
  <conditionalFormatting sqref="Z759">
    <cfRule type="containsText" dxfId="0" priority="71" operator="between" text="欠">
      <formula>NOT(ISERROR(SEARCH("欠",Z759)))</formula>
    </cfRule>
  </conditionalFormatting>
  <conditionalFormatting sqref="AA759:AB759">
    <cfRule type="containsText" dxfId="0" priority="77" operator="between" text="欠">
      <formula>NOT(ISERROR(SEARCH("欠",AA759)))</formula>
    </cfRule>
  </conditionalFormatting>
  <conditionalFormatting sqref="AG759">
    <cfRule type="containsText" dxfId="0" priority="83" operator="between" text="欠">
      <formula>NOT(ISERROR(SEARCH("欠",AG759)))</formula>
    </cfRule>
  </conditionalFormatting>
  <conditionalFormatting sqref="AI759">
    <cfRule type="containsText" dxfId="0" priority="81" operator="between" text="欠">
      <formula>NOT(ISERROR(SEARCH("欠",AI759)))</formula>
    </cfRule>
  </conditionalFormatting>
  <conditionalFormatting sqref="Z760">
    <cfRule type="containsText" dxfId="0" priority="70" operator="between" text="欠">
      <formula>NOT(ISERROR(SEARCH("欠",Z760)))</formula>
    </cfRule>
  </conditionalFormatting>
  <conditionalFormatting sqref="AA760:AB760">
    <cfRule type="containsText" dxfId="0" priority="76" operator="between" text="欠">
      <formula>NOT(ISERROR(SEARCH("欠",AA760)))</formula>
    </cfRule>
  </conditionalFormatting>
  <conditionalFormatting sqref="AI760">
    <cfRule type="containsText" dxfId="0" priority="97" operator="between" text="欠">
      <formula>NOT(ISERROR(SEARCH("欠",AI760)))</formula>
    </cfRule>
  </conditionalFormatting>
  <conditionalFormatting sqref="Z761">
    <cfRule type="containsText" dxfId="0" priority="55" operator="between" text="欠">
      <formula>NOT(ISERROR(SEARCH("欠",Z761)))</formula>
    </cfRule>
  </conditionalFormatting>
  <conditionalFormatting sqref="AA761:AB761">
    <cfRule type="containsText" dxfId="0" priority="59" operator="between" text="欠">
      <formula>NOT(ISERROR(SEARCH("欠",AA761)))</formula>
    </cfRule>
  </conditionalFormatting>
  <conditionalFormatting sqref="Z762">
    <cfRule type="containsText" dxfId="0" priority="54" operator="between" text="欠">
      <formula>NOT(ISERROR(SEARCH("欠",Z762)))</formula>
    </cfRule>
  </conditionalFormatting>
  <conditionalFormatting sqref="AA762:AB762">
    <cfRule type="containsText" dxfId="0" priority="58" operator="between" text="欠">
      <formula>NOT(ISERROR(SEARCH("欠",AA762)))</formula>
    </cfRule>
  </conditionalFormatting>
  <conditionalFormatting sqref="Z763">
    <cfRule type="containsText" dxfId="0" priority="53" operator="between" text="欠">
      <formula>NOT(ISERROR(SEARCH("欠",Z763)))</formula>
    </cfRule>
  </conditionalFormatting>
  <conditionalFormatting sqref="AA763:AB763">
    <cfRule type="containsText" dxfId="0" priority="57" operator="between" text="欠">
      <formula>NOT(ISERROR(SEARCH("欠",AA763)))</formula>
    </cfRule>
  </conditionalFormatting>
  <conditionalFormatting sqref="Z764">
    <cfRule type="containsText" dxfId="0" priority="52" operator="between" text="欠">
      <formula>NOT(ISERROR(SEARCH("欠",Z764)))</formula>
    </cfRule>
  </conditionalFormatting>
  <conditionalFormatting sqref="AA764:AB764">
    <cfRule type="containsText" dxfId="0" priority="56" operator="between" text="欠">
      <formula>NOT(ISERROR(SEARCH("欠",AA764)))</formula>
    </cfRule>
  </conditionalFormatting>
  <conditionalFormatting sqref="C765">
    <cfRule type="containsText" dxfId="3" priority="44" operator="between" text="蛋糕">
      <formula>NOT(ISERROR(SEARCH("蛋糕",C765)))</formula>
    </cfRule>
    <cfRule type="containsText" dxfId="2" priority="43" operator="between" text="二代">
      <formula>NOT(ISERROR(SEARCH("二代",C765)))</formula>
    </cfRule>
  </conditionalFormatting>
  <conditionalFormatting sqref="Z765">
    <cfRule type="containsText" dxfId="0" priority="45" operator="between" text="欠">
      <formula>NOT(ISERROR(SEARCH("欠",Z765)))</formula>
    </cfRule>
  </conditionalFormatting>
  <conditionalFormatting sqref="AA765:AB765">
    <cfRule type="containsText" dxfId="0" priority="47" operator="between" text="欠">
      <formula>NOT(ISERROR(SEARCH("欠",AA765)))</formula>
    </cfRule>
  </conditionalFormatting>
  <conditionalFormatting sqref="AF765">
    <cfRule type="containsText" dxfId="0" priority="49" operator="between" text="欠">
      <formula>NOT(ISERROR(SEARCH("欠",AF765)))</formula>
    </cfRule>
  </conditionalFormatting>
  <conditionalFormatting sqref="C766">
    <cfRule type="containsText" dxfId="2" priority="39" operator="between" text="二代">
      <formula>NOT(ISERROR(SEARCH("二代",C766)))</formula>
    </cfRule>
    <cfRule type="containsText" dxfId="3" priority="40" operator="between" text="蛋糕">
      <formula>NOT(ISERROR(SEARCH("蛋糕",C766)))</formula>
    </cfRule>
  </conditionalFormatting>
  <conditionalFormatting sqref="Z766">
    <cfRule type="containsText" dxfId="0" priority="42" operator="between" text="欠">
      <formula>NOT(ISERROR(SEARCH("欠",Z766)))</formula>
    </cfRule>
  </conditionalFormatting>
  <conditionalFormatting sqref="AA766:AB766">
    <cfRule type="containsText" dxfId="0" priority="41" operator="between" text="欠">
      <formula>NOT(ISERROR(SEARCH("欠",AA766)))</formula>
    </cfRule>
  </conditionalFormatting>
  <conditionalFormatting sqref="B767">
    <cfRule type="containsText" dxfId="1" priority="34" operator="between" text="异常">
      <formula>NOT(ISERROR(SEARCH("异常",B767)))</formula>
    </cfRule>
  </conditionalFormatting>
  <conditionalFormatting sqref="C767">
    <cfRule type="containsText" dxfId="2" priority="35" operator="between" text="二代">
      <formula>NOT(ISERROR(SEARCH("二代",C767)))</formula>
    </cfRule>
    <cfRule type="containsText" dxfId="3" priority="36" operator="between" text="蛋糕">
      <formula>NOT(ISERROR(SEARCH("蛋糕",C767)))</formula>
    </cfRule>
  </conditionalFormatting>
  <conditionalFormatting sqref="X767">
    <cfRule type="containsText" dxfId="0" priority="29" operator="between" text="欠">
      <formula>NOT(ISERROR(SEARCH("欠",X767)))</formula>
    </cfRule>
  </conditionalFormatting>
  <conditionalFormatting sqref="Y767">
    <cfRule type="containsText" dxfId="0" priority="28" operator="between" text="欠">
      <formula>NOT(ISERROR(SEARCH("欠",Y767)))</formula>
    </cfRule>
  </conditionalFormatting>
  <conditionalFormatting sqref="Z767">
    <cfRule type="containsText" dxfId="0" priority="30" operator="between" text="欠">
      <formula>NOT(ISERROR(SEARCH("欠",Z767)))</formula>
    </cfRule>
    <cfRule type="containsText" dxfId="0" priority="37" operator="between" text="欠">
      <formula>NOT(ISERROR(SEARCH("欠",Z767)))</formula>
    </cfRule>
  </conditionalFormatting>
  <conditionalFormatting sqref="AA767">
    <cfRule type="containsText" dxfId="0" priority="33" operator="between" text="欠">
      <formula>NOT(ISERROR(SEARCH("欠",AA767)))</formula>
    </cfRule>
  </conditionalFormatting>
  <conditionalFormatting sqref="AB767">
    <cfRule type="containsText" dxfId="0" priority="32" operator="between" text="欠">
      <formula>NOT(ISERROR(SEARCH("欠",AB767)))</formula>
    </cfRule>
  </conditionalFormatting>
  <conditionalFormatting sqref="AC767:AD767">
    <cfRule type="containsText" dxfId="0" priority="27" operator="between" text="欠">
      <formula>NOT(ISERROR(SEARCH("欠",AC767)))</formula>
    </cfRule>
  </conditionalFormatting>
  <conditionalFormatting sqref="AF767">
    <cfRule type="containsText" dxfId="0" priority="26" operator="between" text="欠">
      <formula>NOT(ISERROR(SEARCH("欠",AF767)))</formula>
    </cfRule>
  </conditionalFormatting>
  <conditionalFormatting sqref="AH767">
    <cfRule type="containsText" dxfId="0" priority="31" operator="between" text="欠">
      <formula>NOT(ISERROR(SEARCH("欠",AH767)))</formula>
    </cfRule>
  </conditionalFormatting>
  <conditionalFormatting sqref="AI767">
    <cfRule type="containsText" dxfId="0" priority="25" operator="between" text="欠">
      <formula>NOT(ISERROR(SEARCH("欠",AI767)))</formula>
    </cfRule>
  </conditionalFormatting>
  <conditionalFormatting sqref="B768">
    <cfRule type="containsText" dxfId="1" priority="21" operator="between" text="异常">
      <formula>NOT(ISERROR(SEARCH("异常",B768)))</formula>
    </cfRule>
  </conditionalFormatting>
  <conditionalFormatting sqref="C768">
    <cfRule type="containsText" dxfId="2" priority="22" operator="between" text="二代">
      <formula>NOT(ISERROR(SEARCH("二代",C768)))</formula>
    </cfRule>
    <cfRule type="containsText" dxfId="3" priority="23" operator="between" text="蛋糕">
      <formula>NOT(ISERROR(SEARCH("蛋糕",C768)))</formula>
    </cfRule>
  </conditionalFormatting>
  <conditionalFormatting sqref="X768">
    <cfRule type="containsText" dxfId="0" priority="17" operator="between" text="欠">
      <formula>NOT(ISERROR(SEARCH("欠",X768)))</formula>
    </cfRule>
  </conditionalFormatting>
  <conditionalFormatting sqref="Y768">
    <cfRule type="containsText" dxfId="0" priority="16" operator="between" text="欠">
      <formula>NOT(ISERROR(SEARCH("欠",Y768)))</formula>
    </cfRule>
  </conditionalFormatting>
  <conditionalFormatting sqref="Z768">
    <cfRule type="containsText" dxfId="0" priority="18" operator="between" text="欠">
      <formula>NOT(ISERROR(SEARCH("欠",Z768)))</formula>
    </cfRule>
    <cfRule type="containsText" dxfId="0" priority="24" operator="between" text="欠">
      <formula>NOT(ISERROR(SEARCH("欠",Z768)))</formula>
    </cfRule>
  </conditionalFormatting>
  <conditionalFormatting sqref="AA768:AB768">
    <cfRule type="containsText" dxfId="0" priority="20" operator="between" text="欠">
      <formula>NOT(ISERROR(SEARCH("欠",AA768)))</formula>
    </cfRule>
  </conditionalFormatting>
  <conditionalFormatting sqref="AC768:AD768">
    <cfRule type="containsText" dxfId="0" priority="15" operator="between" text="欠">
      <formula>NOT(ISERROR(SEARCH("欠",AC768)))</formula>
    </cfRule>
  </conditionalFormatting>
  <conditionalFormatting sqref="AF768">
    <cfRule type="containsText" dxfId="0" priority="14" operator="between" text="欠">
      <formula>NOT(ISERROR(SEARCH("欠",AF768)))</formula>
    </cfRule>
  </conditionalFormatting>
  <conditionalFormatting sqref="AH768">
    <cfRule type="containsText" dxfId="0" priority="19" operator="between" text="欠">
      <formula>NOT(ISERROR(SEARCH("欠",AH768)))</formula>
    </cfRule>
  </conditionalFormatting>
  <conditionalFormatting sqref="AI768">
    <cfRule type="containsText" dxfId="0" priority="13" operator="between" text="欠">
      <formula>NOT(ISERROR(SEARCH("欠",AI768)))</formula>
    </cfRule>
  </conditionalFormatting>
  <conditionalFormatting sqref="B769">
    <cfRule type="containsText" dxfId="1" priority="9" operator="between" text="异常">
      <formula>NOT(ISERROR(SEARCH("异常",B769)))</formula>
    </cfRule>
  </conditionalFormatting>
  <conditionalFormatting sqref="C769">
    <cfRule type="containsText" dxfId="3" priority="11" operator="between" text="蛋糕">
      <formula>NOT(ISERROR(SEARCH("蛋糕",C769)))</formula>
    </cfRule>
    <cfRule type="containsText" dxfId="2" priority="10" operator="between" text="二代">
      <formula>NOT(ISERROR(SEARCH("二代",C769)))</formula>
    </cfRule>
  </conditionalFormatting>
  <conditionalFormatting sqref="X769">
    <cfRule type="containsText" dxfId="0" priority="5" operator="between" text="欠">
      <formula>NOT(ISERROR(SEARCH("欠",X769)))</formula>
    </cfRule>
  </conditionalFormatting>
  <conditionalFormatting sqref="Y769">
    <cfRule type="containsText" dxfId="0" priority="4" operator="between" text="欠">
      <formula>NOT(ISERROR(SEARCH("欠",Y769)))</formula>
    </cfRule>
  </conditionalFormatting>
  <conditionalFormatting sqref="Z769">
    <cfRule type="containsText" dxfId="0" priority="12" operator="between" text="欠">
      <formula>NOT(ISERROR(SEARCH("欠",Z769)))</formula>
    </cfRule>
    <cfRule type="containsText" dxfId="0" priority="6" operator="between" text="欠">
      <formula>NOT(ISERROR(SEARCH("欠",Z769)))</formula>
    </cfRule>
  </conditionalFormatting>
  <conditionalFormatting sqref="AA769:AB769">
    <cfRule type="containsText" dxfId="0" priority="8" operator="between" text="欠">
      <formula>NOT(ISERROR(SEARCH("欠",AA769)))</formula>
    </cfRule>
  </conditionalFormatting>
  <conditionalFormatting sqref="AC769:AD769">
    <cfRule type="containsText" dxfId="0" priority="3" operator="between" text="欠">
      <formula>NOT(ISERROR(SEARCH("欠",AC769)))</formula>
    </cfRule>
  </conditionalFormatting>
  <conditionalFormatting sqref="AF769">
    <cfRule type="containsText" dxfId="0" priority="2" operator="between" text="欠">
      <formula>NOT(ISERROR(SEARCH("欠",AF769)))</formula>
    </cfRule>
  </conditionalFormatting>
  <conditionalFormatting sqref="AH769">
    <cfRule type="containsText" dxfId="0" priority="7" operator="between" text="欠">
      <formula>NOT(ISERROR(SEARCH("欠",AH769)))</formula>
    </cfRule>
  </conditionalFormatting>
  <conditionalFormatting sqref="AI769">
    <cfRule type="containsText" dxfId="0" priority="1" operator="between" text="欠">
      <formula>NOT(ISERROR(SEARCH("欠",AI769)))</formula>
    </cfRule>
  </conditionalFormatting>
  <conditionalFormatting sqref="B190:B192">
    <cfRule type="containsText" dxfId="1" priority="3847" operator="between" text="异常">
      <formula>NOT(ISERROR(SEARCH("异常",B190)))</formula>
    </cfRule>
  </conditionalFormatting>
  <conditionalFormatting sqref="B193:B197">
    <cfRule type="containsText" dxfId="1" priority="3822" operator="between" text="异常">
      <formula>NOT(ISERROR(SEARCH("异常",B193)))</formula>
    </cfRule>
  </conditionalFormatting>
  <conditionalFormatting sqref="B198:B204">
    <cfRule type="containsText" dxfId="1" priority="3784" operator="between" text="异常">
      <formula>NOT(ISERROR(SEARCH("异常",B198)))</formula>
    </cfRule>
  </conditionalFormatting>
  <conditionalFormatting sqref="B206:B208">
    <cfRule type="containsText" dxfId="1" priority="3748" operator="between" text="异常">
      <formula>NOT(ISERROR(SEARCH("异常",B206)))</formula>
    </cfRule>
  </conditionalFormatting>
  <conditionalFormatting sqref="B211:B212">
    <cfRule type="containsText" dxfId="1" priority="3687" operator="between" text="异常">
      <formula>NOT(ISERROR(SEARCH("异常",B211)))</formula>
    </cfRule>
  </conditionalFormatting>
  <conditionalFormatting sqref="B216:B218">
    <cfRule type="containsText" dxfId="1" priority="3632" operator="between" text="异常">
      <formula>NOT(ISERROR(SEARCH("异常",B216)))</formula>
    </cfRule>
  </conditionalFormatting>
  <conditionalFormatting sqref="B224:B226">
    <cfRule type="containsText" dxfId="1" priority="3551" operator="between" text="异常">
      <formula>NOT(ISERROR(SEARCH("异常",B224)))</formula>
    </cfRule>
  </conditionalFormatting>
  <conditionalFormatting sqref="B230:B233">
    <cfRule type="containsText" dxfId="1" priority="3509" operator="between" text="异常">
      <formula>NOT(ISERROR(SEARCH("异常",B230)))</formula>
    </cfRule>
  </conditionalFormatting>
  <conditionalFormatting sqref="B247:B248">
    <cfRule type="containsText" dxfId="1" priority="3292" operator="between" text="异常">
      <formula>NOT(ISERROR(SEARCH("异常",B247)))</formula>
    </cfRule>
  </conditionalFormatting>
  <conditionalFormatting sqref="B250:B256">
    <cfRule type="containsText" dxfId="1" priority="3245" operator="between" text="异常">
      <formula>NOT(ISERROR(SEARCH("异常",B250)))</formula>
    </cfRule>
  </conditionalFormatting>
  <conditionalFormatting sqref="B267:B275">
    <cfRule type="containsText" dxfId="1" priority="3096" operator="between" text="异常">
      <formula>NOT(ISERROR(SEARCH("异常",B267)))</formula>
    </cfRule>
  </conditionalFormatting>
  <conditionalFormatting sqref="B281:B286">
    <cfRule type="containsText" dxfId="1" priority="2976" operator="between" text="异常">
      <formula>NOT(ISERROR(SEARCH("异常",B281)))</formula>
    </cfRule>
  </conditionalFormatting>
  <conditionalFormatting sqref="B288:B289">
    <cfRule type="containsText" dxfId="1" priority="2946" operator="between" text="异常">
      <formula>NOT(ISERROR(SEARCH("异常",B288)))</formula>
    </cfRule>
  </conditionalFormatting>
  <conditionalFormatting sqref="B291:B293">
    <cfRule type="containsText" dxfId="1" priority="2914" operator="between" text="异常">
      <formula>NOT(ISERROR(SEARCH("异常",B291)))</formula>
    </cfRule>
  </conditionalFormatting>
  <conditionalFormatting sqref="B295:B297">
    <cfRule type="containsText" dxfId="1" priority="2884" operator="between" text="异常">
      <formula>NOT(ISERROR(SEARCH("异常",B295)))</formula>
    </cfRule>
  </conditionalFormatting>
  <conditionalFormatting sqref="B298:B304">
    <cfRule type="containsText" dxfId="1" priority="2832" operator="between" text="异常">
      <formula>NOT(ISERROR(SEARCH("异常",B298)))</formula>
    </cfRule>
  </conditionalFormatting>
  <conditionalFormatting sqref="B326:B338">
    <cfRule type="containsText" dxfId="1" priority="2699" operator="between" text="异常">
      <formula>NOT(ISERROR(SEARCH("异常",B326)))</formula>
    </cfRule>
  </conditionalFormatting>
  <conditionalFormatting sqref="B340:B348">
    <cfRule type="containsText" dxfId="1" priority="2638" operator="between" text="异常">
      <formula>NOT(ISERROR(SEARCH("异常",B340)))</formula>
    </cfRule>
  </conditionalFormatting>
  <conditionalFormatting sqref="B352:B365">
    <cfRule type="containsText" dxfId="1" priority="2552" operator="between" text="异常">
      <formula>NOT(ISERROR(SEARCH("异常",B352)))</formula>
    </cfRule>
  </conditionalFormatting>
  <conditionalFormatting sqref="B372:B374">
    <cfRule type="containsText" dxfId="1" priority="2406" operator="between" text="异常">
      <formula>NOT(ISERROR(SEARCH("异常",B372)))</formula>
    </cfRule>
  </conditionalFormatting>
  <conditionalFormatting sqref="B375:B380">
    <cfRule type="containsText" dxfId="1" priority="2368" operator="between" text="异常">
      <formula>NOT(ISERROR(SEARCH("异常",B375)))</formula>
    </cfRule>
  </conditionalFormatting>
  <conditionalFormatting sqref="B386:B387">
    <cfRule type="containsText" dxfId="1" priority="2286" operator="between" text="异常">
      <formula>NOT(ISERROR(SEARCH("异常",B386)))</formula>
    </cfRule>
  </conditionalFormatting>
  <conditionalFormatting sqref="B388:B389">
    <cfRule type="containsText" dxfId="1" priority="2271" operator="between" text="异常">
      <formula>NOT(ISERROR(SEARCH("异常",B388)))</formula>
    </cfRule>
  </conditionalFormatting>
  <conditionalFormatting sqref="B390:B398">
    <cfRule type="containsText" dxfId="1" priority="2231" operator="between" text="异常">
      <formula>NOT(ISERROR(SEARCH("异常",B390)))</formula>
    </cfRule>
  </conditionalFormatting>
  <conditionalFormatting sqref="B403:B404">
    <cfRule type="containsText" dxfId="1" priority="2154" operator="between" text="异常">
      <formula>NOT(ISERROR(SEARCH("异常",B403)))</formula>
    </cfRule>
  </conditionalFormatting>
  <conditionalFormatting sqref="B408:B409">
    <cfRule type="containsText" dxfId="1" priority="2072" operator="between" text="异常">
      <formula>NOT(ISERROR(SEARCH("异常",B408)))</formula>
    </cfRule>
  </conditionalFormatting>
  <conditionalFormatting sqref="B411:B414">
    <cfRule type="containsText" dxfId="1" priority="2088" operator="between" text="异常">
      <formula>NOT(ISERROR(SEARCH("异常",B411)))</formula>
    </cfRule>
  </conditionalFormatting>
  <conditionalFormatting sqref="B416:B420">
    <cfRule type="containsText" dxfId="1" priority="2033" operator="between" text="异常">
      <formula>NOT(ISERROR(SEARCH("异常",B416)))</formula>
    </cfRule>
  </conditionalFormatting>
  <conditionalFormatting sqref="B422:B428">
    <cfRule type="containsText" dxfId="1" priority="1994" operator="between" text="异常">
      <formula>NOT(ISERROR(SEARCH("异常",B422)))</formula>
    </cfRule>
  </conditionalFormatting>
  <conditionalFormatting sqref="B429:B430">
    <cfRule type="containsText" dxfId="1" priority="1970" operator="between" text="异常">
      <formula>NOT(ISERROR(SEARCH("异常",B429)))</formula>
    </cfRule>
  </conditionalFormatting>
  <conditionalFormatting sqref="B433:B434">
    <cfRule type="containsText" dxfId="1" priority="1938" operator="between" text="异常">
      <formula>NOT(ISERROR(SEARCH("异常",B433)))</formula>
    </cfRule>
  </conditionalFormatting>
  <conditionalFormatting sqref="B438:B440">
    <cfRule type="containsText" dxfId="1" priority="1886" operator="between" text="异常">
      <formula>NOT(ISERROR(SEARCH("异常",B438)))</formula>
    </cfRule>
  </conditionalFormatting>
  <conditionalFormatting sqref="B448:B449">
    <cfRule type="containsText" dxfId="1" priority="1803" operator="between" text="异常">
      <formula>NOT(ISERROR(SEARCH("异常",B448)))</formula>
    </cfRule>
  </conditionalFormatting>
  <conditionalFormatting sqref="B450:B451">
    <cfRule type="containsText" dxfId="1" priority="1787" operator="between" text="异常">
      <formula>NOT(ISERROR(SEARCH("异常",B450)))</formula>
    </cfRule>
  </conditionalFormatting>
  <conditionalFormatting sqref="B452:B463">
    <cfRule type="containsText" dxfId="1" priority="1755" operator="between" text="异常">
      <formula>NOT(ISERROR(SEARCH("异常",B452)))</formula>
    </cfRule>
  </conditionalFormatting>
  <conditionalFormatting sqref="B464:B466">
    <cfRule type="containsText" dxfId="1" priority="1735" operator="between" text="异常">
      <formula>NOT(ISERROR(SEARCH("异常",B464)))</formula>
    </cfRule>
  </conditionalFormatting>
  <conditionalFormatting sqref="B467:B468">
    <cfRule type="containsText" dxfId="1" priority="1719" operator="between" text="异常">
      <formula>NOT(ISERROR(SEARCH("异常",B467)))</formula>
    </cfRule>
  </conditionalFormatting>
  <conditionalFormatting sqref="B470:B472">
    <cfRule type="containsText" dxfId="1" priority="1686" operator="between" text="异常">
      <formula>NOT(ISERROR(SEARCH("异常",B470)))</formula>
    </cfRule>
  </conditionalFormatting>
  <conditionalFormatting sqref="B480:B483">
    <cfRule type="containsText" dxfId="1" priority="1577" operator="between" text="异常">
      <formula>NOT(ISERROR(SEARCH("异常",B480)))</formula>
    </cfRule>
  </conditionalFormatting>
  <conditionalFormatting sqref="B484:B490">
    <cfRule type="containsText" dxfId="1" priority="1531" operator="between" text="异常">
      <formula>NOT(ISERROR(SEARCH("异常",B484)))</formula>
    </cfRule>
  </conditionalFormatting>
  <conditionalFormatting sqref="B494:B504">
    <cfRule type="containsText" dxfId="1" priority="1481" operator="between" text="异常">
      <formula>NOT(ISERROR(SEARCH("异常",B494)))</formula>
    </cfRule>
  </conditionalFormatting>
  <conditionalFormatting sqref="B499:B500">
    <cfRule type="containsText" dxfId="1" priority="1500" operator="between" text="异常">
      <formula>NOT(ISERROR(SEARCH("异常",B499)))</formula>
    </cfRule>
  </conditionalFormatting>
  <conditionalFormatting sqref="B507:B524">
    <cfRule type="containsText" dxfId="1" priority="1429" operator="between" text="异常">
      <formula>NOT(ISERROR(SEARCH("异常",B507)))</formula>
    </cfRule>
  </conditionalFormatting>
  <conditionalFormatting sqref="B525:B527">
    <cfRule type="containsText" dxfId="1" priority="1411" operator="between" text="异常">
      <formula>NOT(ISERROR(SEARCH("异常",B525)))</formula>
    </cfRule>
  </conditionalFormatting>
  <conditionalFormatting sqref="B529:B534">
    <cfRule type="containsText" dxfId="1" priority="1382" operator="between" text="异常">
      <formula>NOT(ISERROR(SEARCH("异常",B529)))</formula>
    </cfRule>
  </conditionalFormatting>
  <conditionalFormatting sqref="B535:B537">
    <cfRule type="containsText" dxfId="1" priority="1359" operator="between" text="异常">
      <formula>NOT(ISERROR(SEARCH("异常",B535)))</formula>
    </cfRule>
  </conditionalFormatting>
  <conditionalFormatting sqref="B541:B556">
    <cfRule type="containsText" dxfId="1" priority="1314" operator="between" text="异常">
      <formula>NOT(ISERROR(SEARCH("异常",B541)))</formula>
    </cfRule>
  </conditionalFormatting>
  <conditionalFormatting sqref="B558:B559">
    <cfRule type="containsText" dxfId="1" priority="1281" operator="between" text="异常">
      <formula>NOT(ISERROR(SEARCH("异常",B558)))</formula>
    </cfRule>
  </conditionalFormatting>
  <conditionalFormatting sqref="B569:B571">
    <cfRule type="containsText" dxfId="1" priority="1069" operator="between" text="异常">
      <formula>NOT(ISERROR(SEARCH("异常",B569)))</formula>
    </cfRule>
  </conditionalFormatting>
  <conditionalFormatting sqref="B572:B573">
    <cfRule type="containsText" dxfId="1" priority="1056" operator="between" text="异常">
      <formula>NOT(ISERROR(SEARCH("异常",B572)))</formula>
    </cfRule>
  </conditionalFormatting>
  <conditionalFormatting sqref="B581:B583">
    <cfRule type="containsText" dxfId="1" priority="1154" operator="between" text="异常">
      <formula>NOT(ISERROR(SEARCH("异常",B581)))</formula>
    </cfRule>
  </conditionalFormatting>
  <conditionalFormatting sqref="B585:B587">
    <cfRule type="containsText" dxfId="1" priority="1125" operator="between" text="异常">
      <formula>NOT(ISERROR(SEARCH("异常",B585)))</formula>
    </cfRule>
  </conditionalFormatting>
  <conditionalFormatting sqref="B588:B593">
    <cfRule type="containsText" dxfId="1" priority="1109" operator="between" text="异常">
      <formula>NOT(ISERROR(SEARCH("异常",B588)))</formula>
    </cfRule>
  </conditionalFormatting>
  <conditionalFormatting sqref="B595:B597">
    <cfRule type="containsText" dxfId="1" priority="965" operator="between" text="异常">
      <formula>NOT(ISERROR(SEARCH("异常",B595)))</formula>
    </cfRule>
  </conditionalFormatting>
  <conditionalFormatting sqref="B598:B602">
    <cfRule type="containsText" dxfId="1" priority="955" operator="between" text="异常">
      <formula>NOT(ISERROR(SEARCH("异常",B598)))</formula>
    </cfRule>
  </conditionalFormatting>
  <conditionalFormatting sqref="B603:B605">
    <cfRule type="containsText" dxfId="1" priority="935" operator="between" text="异常">
      <formula>NOT(ISERROR(SEARCH("异常",B603)))</formula>
    </cfRule>
  </conditionalFormatting>
  <conditionalFormatting sqref="B610:B614">
    <cfRule type="containsText" dxfId="1" priority="868" operator="between" text="异常">
      <formula>NOT(ISERROR(SEARCH("异常",B610)))</formula>
    </cfRule>
  </conditionalFormatting>
  <conditionalFormatting sqref="B615:B616">
    <cfRule type="containsText" dxfId="1" priority="861" operator="between" text="异常">
      <formula>NOT(ISERROR(SEARCH("异常",B615)))</formula>
    </cfRule>
  </conditionalFormatting>
  <conditionalFormatting sqref="B617:B618">
    <cfRule type="containsText" dxfId="1" priority="845" operator="between" text="异常">
      <formula>NOT(ISERROR(SEARCH("异常",B617)))</formula>
    </cfRule>
  </conditionalFormatting>
  <conditionalFormatting sqref="B619:B625">
    <cfRule type="containsText" dxfId="1" priority="811" operator="between" text="异常">
      <formula>NOT(ISERROR(SEARCH("异常",B619)))</formula>
    </cfRule>
  </conditionalFormatting>
  <conditionalFormatting sqref="B628:B630">
    <cfRule type="containsText" dxfId="1" priority="773" operator="between" text="异常">
      <formula>NOT(ISERROR(SEARCH("异常",B628)))</formula>
    </cfRule>
  </conditionalFormatting>
  <conditionalFormatting sqref="B632:B633">
    <cfRule type="containsText" dxfId="1" priority="741" operator="between" text="异常">
      <formula>NOT(ISERROR(SEARCH("异常",B632)))</formula>
    </cfRule>
  </conditionalFormatting>
  <conditionalFormatting sqref="B634:B635">
    <cfRule type="containsText" dxfId="1" priority="723" operator="between" text="异常">
      <formula>NOT(ISERROR(SEARCH("异常",B634)))</formula>
    </cfRule>
  </conditionalFormatting>
  <conditionalFormatting sqref="B637:B639">
    <cfRule type="containsText" dxfId="1" priority="696" operator="between" text="异常">
      <formula>NOT(ISERROR(SEARCH("异常",B637)))</formula>
    </cfRule>
  </conditionalFormatting>
  <conditionalFormatting sqref="B640:B644">
    <cfRule type="containsText" dxfId="1" priority="685" operator="between" text="异常">
      <formula>NOT(ISERROR(SEARCH("异常",B640)))</formula>
    </cfRule>
  </conditionalFormatting>
  <conditionalFormatting sqref="B649:B650">
    <cfRule type="containsText" dxfId="1" priority="608" operator="between" text="异常">
      <formula>NOT(ISERROR(SEARCH("异常",B649)))</formula>
    </cfRule>
  </conditionalFormatting>
  <conditionalFormatting sqref="B652:B669">
    <cfRule type="containsText" dxfId="1" priority="602" operator="between" text="异常">
      <formula>NOT(ISERROR(SEARCH("异常",B652)))</formula>
    </cfRule>
  </conditionalFormatting>
  <conditionalFormatting sqref="B670:B672">
    <cfRule type="containsText" dxfId="1" priority="584" operator="between" text="异常">
      <formula>NOT(ISERROR(SEARCH("异常",B670)))</formula>
    </cfRule>
  </conditionalFormatting>
  <conditionalFormatting sqref="B674:B675">
    <cfRule type="containsText" dxfId="1" priority="551" operator="between" text="异常">
      <formula>NOT(ISERROR(SEARCH("异常",B674)))</formula>
    </cfRule>
  </conditionalFormatting>
  <conditionalFormatting sqref="B676:B693">
    <cfRule type="containsText" dxfId="1" priority="537" operator="between" text="异常">
      <formula>NOT(ISERROR(SEARCH("异常",B676)))</formula>
    </cfRule>
  </conditionalFormatting>
  <conditionalFormatting sqref="B695:B697">
    <cfRule type="containsText" dxfId="1" priority="521" operator="between" text="异常">
      <formula>NOT(ISERROR(SEARCH("异常",B695)))</formula>
    </cfRule>
  </conditionalFormatting>
  <conditionalFormatting sqref="B704:B710">
    <cfRule type="containsText" dxfId="1" priority="426" operator="between" text="异常">
      <formula>NOT(ISERROR(SEARCH("异常",B704)))</formula>
    </cfRule>
  </conditionalFormatting>
  <conditionalFormatting sqref="B713:B714">
    <cfRule type="containsText" dxfId="1" priority="393" operator="between" text="异常">
      <formula>NOT(ISERROR(SEARCH("异常",B713)))</formula>
    </cfRule>
  </conditionalFormatting>
  <conditionalFormatting sqref="B717:B718">
    <cfRule type="containsText" dxfId="1" priority="347" operator="between" text="异常">
      <formula>NOT(ISERROR(SEARCH("异常",B717)))</formula>
    </cfRule>
  </conditionalFormatting>
  <conditionalFormatting sqref="B724:B726">
    <cfRule type="containsText" dxfId="1" priority="275" operator="between" text="异常">
      <formula>NOT(ISERROR(SEARCH("异常",B724)))</formula>
    </cfRule>
  </conditionalFormatting>
  <conditionalFormatting sqref="B730:B731">
    <cfRule type="containsText" dxfId="1" priority="229" operator="between" text="异常">
      <formula>NOT(ISERROR(SEARCH("异常",B730)))</formula>
    </cfRule>
  </conditionalFormatting>
  <conditionalFormatting sqref="B735:B751">
    <cfRule type="containsText" dxfId="1" priority="179" operator="between" text="异常">
      <formula>NOT(ISERROR(SEARCH("异常",B735)))</formula>
    </cfRule>
  </conditionalFormatting>
  <conditionalFormatting sqref="B753:B754">
    <cfRule type="containsText" dxfId="1" priority="122" operator="between" text="异常">
      <formula>NOT(ISERROR(SEARCH("异常",B753)))</formula>
    </cfRule>
  </conditionalFormatting>
  <conditionalFormatting sqref="B755:B760">
    <cfRule type="containsText" dxfId="1" priority="89" operator="between" text="异常">
      <formula>NOT(ISERROR(SEARCH("异常",B755)))</formula>
    </cfRule>
  </conditionalFormatting>
  <conditionalFormatting sqref="B761:B764">
    <cfRule type="containsText" dxfId="1" priority="62" operator="between" text="异常">
      <formula>NOT(ISERROR(SEARCH("异常",B761)))</formula>
    </cfRule>
  </conditionalFormatting>
  <conditionalFormatting sqref="B765:B766">
    <cfRule type="containsText" dxfId="1" priority="38" operator="between" text="异常">
      <formula>NOT(ISERROR(SEARCH("异常",B765)))</formula>
    </cfRule>
  </conditionalFormatting>
  <conditionalFormatting sqref="C190:C192">
    <cfRule type="containsText" dxfId="2" priority="3848" operator="between" text="二代">
      <formula>NOT(ISERROR(SEARCH("二代",C190)))</formula>
    </cfRule>
    <cfRule type="containsText" dxfId="3" priority="3849" operator="between" text="蛋糕">
      <formula>NOT(ISERROR(SEARCH("蛋糕",C190)))</formula>
    </cfRule>
  </conditionalFormatting>
  <conditionalFormatting sqref="C193:C197">
    <cfRule type="containsText" dxfId="2" priority="3823" operator="between" text="二代">
      <formula>NOT(ISERROR(SEARCH("二代",C193)))</formula>
    </cfRule>
    <cfRule type="containsText" dxfId="3" priority="3824" operator="between" text="蛋糕">
      <formula>NOT(ISERROR(SEARCH("蛋糕",C193)))</formula>
    </cfRule>
  </conditionalFormatting>
  <conditionalFormatting sqref="C198:C204">
    <cfRule type="containsText" dxfId="2" priority="3782" operator="between" text="二代">
      <formula>NOT(ISERROR(SEARCH("二代",C198)))</formula>
    </cfRule>
    <cfRule type="containsText" dxfId="3" priority="3783" operator="between" text="蛋糕">
      <formula>NOT(ISERROR(SEARCH("蛋糕",C198)))</formula>
    </cfRule>
  </conditionalFormatting>
  <conditionalFormatting sqref="C206:C208">
    <cfRule type="containsText" dxfId="2" priority="3746" operator="between" text="二代">
      <formula>NOT(ISERROR(SEARCH("二代",C206)))</formula>
    </cfRule>
    <cfRule type="containsText" dxfId="3" priority="3747" operator="between" text="蛋糕">
      <formula>NOT(ISERROR(SEARCH("蛋糕",C206)))</formula>
    </cfRule>
  </conditionalFormatting>
  <conditionalFormatting sqref="C211:C212">
    <cfRule type="containsText" dxfId="3" priority="3685" operator="between" text="蛋糕">
      <formula>NOT(ISERROR(SEARCH("蛋糕",C211)))</formula>
    </cfRule>
    <cfRule type="containsText" dxfId="2" priority="3684" operator="between" text="二代">
      <formula>NOT(ISERROR(SEARCH("二代",C211)))</formula>
    </cfRule>
  </conditionalFormatting>
  <conditionalFormatting sqref="C216:C218">
    <cfRule type="containsText" dxfId="2" priority="3630" operator="between" text="二代">
      <formula>NOT(ISERROR(SEARCH("二代",C216)))</formula>
    </cfRule>
    <cfRule type="containsText" dxfId="3" priority="3631" operator="between" text="蛋糕">
      <formula>NOT(ISERROR(SEARCH("蛋糕",C216)))</formula>
    </cfRule>
  </conditionalFormatting>
  <conditionalFormatting sqref="C224:C226">
    <cfRule type="containsText" dxfId="3" priority="3550" operator="between" text="蛋糕">
      <formula>NOT(ISERROR(SEARCH("蛋糕",C224)))</formula>
    </cfRule>
    <cfRule type="containsText" dxfId="2" priority="3549" operator="between" text="二代">
      <formula>NOT(ISERROR(SEARCH("二代",C224)))</formula>
    </cfRule>
  </conditionalFormatting>
  <conditionalFormatting sqref="C247:C248">
    <cfRule type="containsText" dxfId="2" priority="3293" operator="between" text="二代">
      <formula>NOT(ISERROR(SEARCH("二代",C247)))</formula>
    </cfRule>
    <cfRule type="containsText" dxfId="3" priority="3294" operator="between" text="蛋糕">
      <formula>NOT(ISERROR(SEARCH("蛋糕",C247)))</formula>
    </cfRule>
  </conditionalFormatting>
  <conditionalFormatting sqref="C250:C256">
    <cfRule type="containsText" dxfId="2" priority="3242" operator="between" text="二代">
      <formula>NOT(ISERROR(SEARCH("二代",C250)))</formula>
    </cfRule>
    <cfRule type="containsText" dxfId="3" priority="3243" operator="between" text="蛋糕">
      <formula>NOT(ISERROR(SEARCH("蛋糕",C250)))</formula>
    </cfRule>
  </conditionalFormatting>
  <conditionalFormatting sqref="C281:C286">
    <cfRule type="containsText" dxfId="2" priority="2974" operator="between" text="二代">
      <formula>NOT(ISERROR(SEARCH("二代",C281)))</formula>
    </cfRule>
    <cfRule type="containsText" dxfId="3" priority="2975" operator="between" text="蛋糕">
      <formula>NOT(ISERROR(SEARCH("蛋糕",C281)))</formula>
    </cfRule>
  </conditionalFormatting>
  <conditionalFormatting sqref="C288:C289">
    <cfRule type="containsText" dxfId="2" priority="2944" operator="between" text="二代">
      <formula>NOT(ISERROR(SEARCH("二代",C288)))</formula>
    </cfRule>
    <cfRule type="containsText" dxfId="3" priority="2945" operator="between" text="蛋糕">
      <formula>NOT(ISERROR(SEARCH("蛋糕",C288)))</formula>
    </cfRule>
  </conditionalFormatting>
  <conditionalFormatting sqref="C291:C293">
    <cfRule type="containsText" dxfId="2" priority="2912" operator="between" text="二代">
      <formula>NOT(ISERROR(SEARCH("二代",C291)))</formula>
    </cfRule>
    <cfRule type="containsText" dxfId="3" priority="2913" operator="between" text="蛋糕">
      <formula>NOT(ISERROR(SEARCH("蛋糕",C291)))</formula>
    </cfRule>
  </conditionalFormatting>
  <conditionalFormatting sqref="C295:C297">
    <cfRule type="containsText" dxfId="2" priority="2882" operator="between" text="二代">
      <formula>NOT(ISERROR(SEARCH("二代",C295)))</formula>
    </cfRule>
    <cfRule type="containsText" dxfId="3" priority="2883" operator="between" text="蛋糕">
      <formula>NOT(ISERROR(SEARCH("蛋糕",C295)))</formula>
    </cfRule>
  </conditionalFormatting>
  <conditionalFormatting sqref="C298:C304">
    <cfRule type="containsText" dxfId="2" priority="2830" operator="between" text="二代">
      <formula>NOT(ISERROR(SEARCH("二代",C298)))</formula>
    </cfRule>
    <cfRule type="containsText" dxfId="3" priority="2831" operator="between" text="蛋糕">
      <formula>NOT(ISERROR(SEARCH("蛋糕",C298)))</formula>
    </cfRule>
  </conditionalFormatting>
  <conditionalFormatting sqref="C326:C338">
    <cfRule type="containsText" dxfId="2" priority="2697" operator="between" text="二代">
      <formula>NOT(ISERROR(SEARCH("二代",C326)))</formula>
    </cfRule>
    <cfRule type="containsText" dxfId="3" priority="2698" operator="between" text="蛋糕">
      <formula>NOT(ISERROR(SEARCH("蛋糕",C326)))</formula>
    </cfRule>
  </conditionalFormatting>
  <conditionalFormatting sqref="C340:C348">
    <cfRule type="containsText" dxfId="2" priority="2634" operator="between" text="二代">
      <formula>NOT(ISERROR(SEARCH("二代",C340)))</formula>
    </cfRule>
    <cfRule type="containsText" dxfId="3" priority="2635" operator="between" text="蛋糕">
      <formula>NOT(ISERROR(SEARCH("蛋糕",C340)))</formula>
    </cfRule>
  </conditionalFormatting>
  <conditionalFormatting sqref="C352:C365">
    <cfRule type="containsText" dxfId="2" priority="2549" operator="between" text="二代">
      <formula>NOT(ISERROR(SEARCH("二代",C352)))</formula>
    </cfRule>
    <cfRule type="containsText" dxfId="3" priority="2550" operator="between" text="蛋糕">
      <formula>NOT(ISERROR(SEARCH("蛋糕",C352)))</formula>
    </cfRule>
  </conditionalFormatting>
  <conditionalFormatting sqref="C372:C374">
    <cfRule type="containsText" dxfId="2" priority="2404" operator="between" text="二代">
      <formula>NOT(ISERROR(SEARCH("二代",C372)))</formula>
    </cfRule>
    <cfRule type="containsText" dxfId="3" priority="2405" operator="between" text="蛋糕">
      <formula>NOT(ISERROR(SEARCH("蛋糕",C372)))</formula>
    </cfRule>
  </conditionalFormatting>
  <conditionalFormatting sqref="C375:C380">
    <cfRule type="containsText" dxfId="2" priority="2365" operator="between" text="二代">
      <formula>NOT(ISERROR(SEARCH("二代",C375)))</formula>
    </cfRule>
    <cfRule type="containsText" dxfId="3" priority="2366" operator="between" text="蛋糕">
      <formula>NOT(ISERROR(SEARCH("蛋糕",C375)))</formula>
    </cfRule>
  </conditionalFormatting>
  <conditionalFormatting sqref="C386:C387">
    <cfRule type="containsText" dxfId="2" priority="2284" operator="between" text="二代">
      <formula>NOT(ISERROR(SEARCH("二代",C386)))</formula>
    </cfRule>
    <cfRule type="containsText" dxfId="3" priority="2285" operator="between" text="蛋糕">
      <formula>NOT(ISERROR(SEARCH("蛋糕",C386)))</formula>
    </cfRule>
  </conditionalFormatting>
  <conditionalFormatting sqref="C388:C389">
    <cfRule type="containsText" dxfId="2" priority="2272" operator="between" text="二代">
      <formula>NOT(ISERROR(SEARCH("二代",C388)))</formula>
    </cfRule>
    <cfRule type="containsText" dxfId="3" priority="2273" operator="between" text="蛋糕">
      <formula>NOT(ISERROR(SEARCH("蛋糕",C388)))</formula>
    </cfRule>
  </conditionalFormatting>
  <conditionalFormatting sqref="C390:C398">
    <cfRule type="containsText" dxfId="2" priority="2228" operator="between" text="二代">
      <formula>NOT(ISERROR(SEARCH("二代",C390)))</formula>
    </cfRule>
    <cfRule type="containsText" dxfId="3" priority="2229" operator="between" text="蛋糕">
      <formula>NOT(ISERROR(SEARCH("蛋糕",C390)))</formula>
    </cfRule>
  </conditionalFormatting>
  <conditionalFormatting sqref="C403:C404">
    <cfRule type="containsText" dxfId="2" priority="2152" operator="between" text="二代">
      <formula>NOT(ISERROR(SEARCH("二代",C403)))</formula>
    </cfRule>
    <cfRule type="containsText" dxfId="3" priority="2153" operator="between" text="蛋糕">
      <formula>NOT(ISERROR(SEARCH("蛋糕",C403)))</formula>
    </cfRule>
  </conditionalFormatting>
  <conditionalFormatting sqref="C408:C409">
    <cfRule type="containsText" dxfId="2" priority="2069" operator="between" text="二代">
      <formula>NOT(ISERROR(SEARCH("二代",C408)))</formula>
    </cfRule>
    <cfRule type="containsText" dxfId="3" priority="2070" operator="between" text="蛋糕">
      <formula>NOT(ISERROR(SEARCH("蛋糕",C408)))</formula>
    </cfRule>
  </conditionalFormatting>
  <conditionalFormatting sqref="C411:C414">
    <cfRule type="containsText" dxfId="2" priority="2086" operator="between" text="二代">
      <formula>NOT(ISERROR(SEARCH("二代",C411)))</formula>
    </cfRule>
    <cfRule type="containsText" dxfId="3" priority="2087" operator="between" text="蛋糕">
      <formula>NOT(ISERROR(SEARCH("蛋糕",C411)))</formula>
    </cfRule>
  </conditionalFormatting>
  <conditionalFormatting sqref="C416:C420">
    <cfRule type="containsText" dxfId="2" priority="2031" operator="between" text="二代">
      <formula>NOT(ISERROR(SEARCH("二代",C416)))</formula>
    </cfRule>
    <cfRule type="containsText" dxfId="3" priority="2032" operator="between" text="蛋糕">
      <formula>NOT(ISERROR(SEARCH("蛋糕",C416)))</formula>
    </cfRule>
  </conditionalFormatting>
  <conditionalFormatting sqref="C422:C428">
    <cfRule type="containsText" dxfId="2" priority="1992" operator="between" text="二代">
      <formula>NOT(ISERROR(SEARCH("二代",C422)))</formula>
    </cfRule>
    <cfRule type="containsText" dxfId="3" priority="1993" operator="between" text="蛋糕">
      <formula>NOT(ISERROR(SEARCH("蛋糕",C422)))</formula>
    </cfRule>
  </conditionalFormatting>
  <conditionalFormatting sqref="C429:C430">
    <cfRule type="containsText" dxfId="2" priority="1971" operator="between" text="二代">
      <formula>NOT(ISERROR(SEARCH("二代",C429)))</formula>
    </cfRule>
    <cfRule type="containsText" dxfId="3" priority="1972" operator="between" text="蛋糕">
      <formula>NOT(ISERROR(SEARCH("蛋糕",C429)))</formula>
    </cfRule>
  </conditionalFormatting>
  <conditionalFormatting sqref="C433:C434">
    <cfRule type="containsText" dxfId="2" priority="1936" operator="between" text="二代">
      <formula>NOT(ISERROR(SEARCH("二代",C433)))</formula>
    </cfRule>
    <cfRule type="containsText" dxfId="3" priority="1937" operator="between" text="蛋糕">
      <formula>NOT(ISERROR(SEARCH("蛋糕",C433)))</formula>
    </cfRule>
  </conditionalFormatting>
  <conditionalFormatting sqref="C438:C440">
    <cfRule type="containsText" dxfId="2" priority="1883" operator="between" text="二代">
      <formula>NOT(ISERROR(SEARCH("二代",C438)))</formula>
    </cfRule>
    <cfRule type="containsText" dxfId="3" priority="1884" operator="between" text="蛋糕">
      <formula>NOT(ISERROR(SEARCH("蛋糕",C438)))</formula>
    </cfRule>
  </conditionalFormatting>
  <conditionalFormatting sqref="C448:C449">
    <cfRule type="containsText" dxfId="2" priority="1804" operator="between" text="二代">
      <formula>NOT(ISERROR(SEARCH("二代",C448)))</formula>
    </cfRule>
    <cfRule type="containsText" dxfId="3" priority="1805" operator="between" text="蛋糕">
      <formula>NOT(ISERROR(SEARCH("蛋糕",C448)))</formula>
    </cfRule>
  </conditionalFormatting>
  <conditionalFormatting sqref="C450:C451">
    <cfRule type="containsText" dxfId="2" priority="1785" operator="between" text="二代">
      <formula>NOT(ISERROR(SEARCH("二代",C450)))</formula>
    </cfRule>
    <cfRule type="containsText" dxfId="3" priority="1786" operator="between" text="蛋糕">
      <formula>NOT(ISERROR(SEARCH("蛋糕",C450)))</formula>
    </cfRule>
  </conditionalFormatting>
  <conditionalFormatting sqref="C452:C463">
    <cfRule type="containsText" dxfId="2" priority="1751" operator="between" text="二代">
      <formula>NOT(ISERROR(SEARCH("二代",C452)))</formula>
    </cfRule>
    <cfRule type="containsText" dxfId="3" priority="1752" operator="between" text="蛋糕">
      <formula>NOT(ISERROR(SEARCH("蛋糕",C452)))</formula>
    </cfRule>
  </conditionalFormatting>
  <conditionalFormatting sqref="C465:C466">
    <cfRule type="containsText" dxfId="2" priority="1740" operator="between" text="二代">
      <formula>NOT(ISERROR(SEARCH("二代",C465)))</formula>
    </cfRule>
    <cfRule type="containsText" dxfId="3" priority="1741" operator="between" text="蛋糕">
      <formula>NOT(ISERROR(SEARCH("蛋糕",C465)))</formula>
    </cfRule>
  </conditionalFormatting>
  <conditionalFormatting sqref="C467:C468">
    <cfRule type="containsText" dxfId="2" priority="1713" operator="between" text="二代">
      <formula>NOT(ISERROR(SEARCH("二代",C467)))</formula>
    </cfRule>
    <cfRule type="containsText" dxfId="3" priority="1714" operator="between" text="蛋糕">
      <formula>NOT(ISERROR(SEARCH("蛋糕",C467)))</formula>
    </cfRule>
  </conditionalFormatting>
  <conditionalFormatting sqref="C470:C472">
    <cfRule type="containsText" dxfId="2" priority="1684" operator="between" text="二代">
      <formula>NOT(ISERROR(SEARCH("二代",C470)))</formula>
    </cfRule>
    <cfRule type="containsText" dxfId="3" priority="1685" operator="between" text="蛋糕">
      <formula>NOT(ISERROR(SEARCH("蛋糕",C470)))</formula>
    </cfRule>
  </conditionalFormatting>
  <conditionalFormatting sqref="C480:C483">
    <cfRule type="containsText" dxfId="2" priority="1575" operator="between" text="二代">
      <formula>NOT(ISERROR(SEARCH("二代",C480)))</formula>
    </cfRule>
    <cfRule type="containsText" dxfId="3" priority="1576" operator="between" text="蛋糕">
      <formula>NOT(ISERROR(SEARCH("蛋糕",C480)))</formula>
    </cfRule>
  </conditionalFormatting>
  <conditionalFormatting sqref="C484:C490">
    <cfRule type="containsText" dxfId="2" priority="1528" operator="between" text="二代">
      <formula>NOT(ISERROR(SEARCH("二代",C484)))</formula>
    </cfRule>
    <cfRule type="containsText" dxfId="3" priority="1529" operator="between" text="蛋糕">
      <formula>NOT(ISERROR(SEARCH("蛋糕",C484)))</formula>
    </cfRule>
  </conditionalFormatting>
  <conditionalFormatting sqref="C494:C504">
    <cfRule type="containsText" dxfId="2" priority="1478" operator="between" text="二代">
      <formula>NOT(ISERROR(SEARCH("二代",C494)))</formula>
    </cfRule>
    <cfRule type="containsText" dxfId="3" priority="1479" operator="between" text="蛋糕">
      <formula>NOT(ISERROR(SEARCH("蛋糕",C494)))</formula>
    </cfRule>
  </conditionalFormatting>
  <conditionalFormatting sqref="C499:C500">
    <cfRule type="containsText" dxfId="2" priority="1498" operator="between" text="二代">
      <formula>NOT(ISERROR(SEARCH("二代",C499)))</formula>
    </cfRule>
    <cfRule type="containsText" dxfId="3" priority="1499" operator="between" text="蛋糕">
      <formula>NOT(ISERROR(SEARCH("蛋糕",C499)))</formula>
    </cfRule>
  </conditionalFormatting>
  <conditionalFormatting sqref="C507:C524">
    <cfRule type="containsText" dxfId="2" priority="1423" operator="between" text="二代">
      <formula>NOT(ISERROR(SEARCH("二代",C507)))</formula>
    </cfRule>
    <cfRule type="containsText" dxfId="3" priority="1424" operator="between" text="蛋糕">
      <formula>NOT(ISERROR(SEARCH("蛋糕",C507)))</formula>
    </cfRule>
  </conditionalFormatting>
  <conditionalFormatting sqref="C525:C527">
    <cfRule type="containsText" dxfId="2" priority="1412" operator="between" text="二代">
      <formula>NOT(ISERROR(SEARCH("二代",C525)))</formula>
    </cfRule>
    <cfRule type="containsText" dxfId="3" priority="1413" operator="between" text="蛋糕">
      <formula>NOT(ISERROR(SEARCH("蛋糕",C525)))</formula>
    </cfRule>
  </conditionalFormatting>
  <conditionalFormatting sqref="C529:C534">
    <cfRule type="containsText" dxfId="2" priority="1370" operator="between" text="二代">
      <formula>NOT(ISERROR(SEARCH("二代",C529)))</formula>
    </cfRule>
    <cfRule type="containsText" dxfId="3" priority="1371" operator="between" text="蛋糕">
      <formula>NOT(ISERROR(SEARCH("蛋糕",C529)))</formula>
    </cfRule>
  </conditionalFormatting>
  <conditionalFormatting sqref="C535:C537">
    <cfRule type="containsText" dxfId="2" priority="1357" operator="between" text="二代">
      <formula>NOT(ISERROR(SEARCH("二代",C535)))</formula>
    </cfRule>
    <cfRule type="containsText" dxfId="3" priority="1358" operator="between" text="蛋糕">
      <formula>NOT(ISERROR(SEARCH("蛋糕",C535)))</formula>
    </cfRule>
  </conditionalFormatting>
  <conditionalFormatting sqref="C541:C556">
    <cfRule type="containsText" dxfId="2" priority="1300" operator="between" text="二代">
      <formula>NOT(ISERROR(SEARCH("二代",C541)))</formula>
    </cfRule>
    <cfRule type="containsText" dxfId="3" priority="1301" operator="between" text="蛋糕">
      <formula>NOT(ISERROR(SEARCH("蛋糕",C541)))</formula>
    </cfRule>
  </conditionalFormatting>
  <conditionalFormatting sqref="C558:C559">
    <cfRule type="containsText" dxfId="3" priority="1283" operator="between" text="蛋糕">
      <formula>NOT(ISERROR(SEARCH("蛋糕",C558)))</formula>
    </cfRule>
    <cfRule type="containsText" dxfId="2" priority="1282" operator="between" text="二代">
      <formula>NOT(ISERROR(SEARCH("二代",C558)))</formula>
    </cfRule>
  </conditionalFormatting>
  <conditionalFormatting sqref="C569:C571">
    <cfRule type="containsText" dxfId="2" priority="1066" operator="between" text="二代">
      <formula>NOT(ISERROR(SEARCH("二代",C569)))</formula>
    </cfRule>
    <cfRule type="containsText" dxfId="3" priority="1067" operator="between" text="蛋糕">
      <formula>NOT(ISERROR(SEARCH("蛋糕",C569)))</formula>
    </cfRule>
  </conditionalFormatting>
  <conditionalFormatting sqref="C572:C573">
    <cfRule type="containsText" dxfId="2" priority="1059" operator="between" text="二代">
      <formula>NOT(ISERROR(SEARCH("二代",C572)))</formula>
    </cfRule>
    <cfRule type="containsText" dxfId="3" priority="1060" operator="between" text="蛋糕">
      <formula>NOT(ISERROR(SEARCH("蛋糕",C572)))</formula>
    </cfRule>
  </conditionalFormatting>
  <conditionalFormatting sqref="C581:C583">
    <cfRule type="containsText" dxfId="2" priority="1152" operator="between" text="二代">
      <formula>NOT(ISERROR(SEARCH("二代",C581)))</formula>
    </cfRule>
    <cfRule type="containsText" dxfId="3" priority="1153" operator="between" text="蛋糕">
      <formula>NOT(ISERROR(SEARCH("蛋糕",C581)))</formula>
    </cfRule>
  </conditionalFormatting>
  <conditionalFormatting sqref="C585:C587">
    <cfRule type="containsText" dxfId="2" priority="1123" operator="between" text="二代">
      <formula>NOT(ISERROR(SEARCH("二代",C585)))</formula>
    </cfRule>
    <cfRule type="containsText" dxfId="3" priority="1124" operator="between" text="蛋糕">
      <formula>NOT(ISERROR(SEARCH("蛋糕",C585)))</formula>
    </cfRule>
  </conditionalFormatting>
  <conditionalFormatting sqref="C588:C593">
    <cfRule type="containsText" dxfId="2" priority="1107" operator="between" text="二代">
      <formula>NOT(ISERROR(SEARCH("二代",C588)))</formula>
    </cfRule>
    <cfRule type="containsText" dxfId="3" priority="1108" operator="between" text="蛋糕">
      <formula>NOT(ISERROR(SEARCH("蛋糕",C588)))</formula>
    </cfRule>
  </conditionalFormatting>
  <conditionalFormatting sqref="C595:C597">
    <cfRule type="containsText" dxfId="2" priority="966" operator="between" text="二代">
      <formula>NOT(ISERROR(SEARCH("二代",C595)))</formula>
    </cfRule>
    <cfRule type="containsText" dxfId="3" priority="967" operator="between" text="蛋糕">
      <formula>NOT(ISERROR(SEARCH("蛋糕",C595)))</formula>
    </cfRule>
  </conditionalFormatting>
  <conditionalFormatting sqref="C598:C602">
    <cfRule type="containsText" dxfId="2" priority="953" operator="between" text="二代">
      <formula>NOT(ISERROR(SEARCH("二代",C598)))</formula>
    </cfRule>
    <cfRule type="containsText" dxfId="3" priority="954" operator="between" text="蛋糕">
      <formula>NOT(ISERROR(SEARCH("蛋糕",C598)))</formula>
    </cfRule>
  </conditionalFormatting>
  <conditionalFormatting sqref="C603:C605">
    <cfRule type="containsText" dxfId="2" priority="933" operator="between" text="二代">
      <formula>NOT(ISERROR(SEARCH("二代",C603)))</formula>
    </cfRule>
    <cfRule type="containsText" dxfId="3" priority="934" operator="between" text="蛋糕">
      <formula>NOT(ISERROR(SEARCH("蛋糕",C603)))</formula>
    </cfRule>
  </conditionalFormatting>
  <conditionalFormatting sqref="C610:C614">
    <cfRule type="containsText" dxfId="2" priority="865" operator="between" text="二代">
      <formula>NOT(ISERROR(SEARCH("二代",C610)))</formula>
    </cfRule>
    <cfRule type="containsText" dxfId="3" priority="866" operator="between" text="蛋糕">
      <formula>NOT(ISERROR(SEARCH("蛋糕",C610)))</formula>
    </cfRule>
  </conditionalFormatting>
  <conditionalFormatting sqref="C615:C616">
    <cfRule type="containsText" dxfId="2" priority="862" operator="between" text="二代">
      <formula>NOT(ISERROR(SEARCH("二代",C615)))</formula>
    </cfRule>
    <cfRule type="containsText" dxfId="3" priority="863" operator="between" text="蛋糕">
      <formula>NOT(ISERROR(SEARCH("蛋糕",C615)))</formula>
    </cfRule>
  </conditionalFormatting>
  <conditionalFormatting sqref="C617:C618">
    <cfRule type="containsText" dxfId="2" priority="846" operator="between" text="二代">
      <formula>NOT(ISERROR(SEARCH("二代",C617)))</formula>
    </cfRule>
    <cfRule type="containsText" dxfId="3" priority="847" operator="between" text="蛋糕">
      <formula>NOT(ISERROR(SEARCH("蛋糕",C617)))</formula>
    </cfRule>
  </conditionalFormatting>
  <conditionalFormatting sqref="C619:C625">
    <cfRule type="containsText" dxfId="2" priority="803" operator="between" text="二代">
      <formula>NOT(ISERROR(SEARCH("二代",C619)))</formula>
    </cfRule>
    <cfRule type="containsText" dxfId="3" priority="804" operator="between" text="蛋糕">
      <formula>NOT(ISERROR(SEARCH("蛋糕",C619)))</formula>
    </cfRule>
  </conditionalFormatting>
  <conditionalFormatting sqref="C628:C630">
    <cfRule type="containsText" dxfId="2" priority="774" operator="between" text="二代">
      <formula>NOT(ISERROR(SEARCH("二代",C628)))</formula>
    </cfRule>
    <cfRule type="containsText" dxfId="3" priority="775" operator="between" text="蛋糕">
      <formula>NOT(ISERROR(SEARCH("蛋糕",C628)))</formula>
    </cfRule>
  </conditionalFormatting>
  <conditionalFormatting sqref="C632:C633">
    <cfRule type="containsText" dxfId="2" priority="742" operator="between" text="二代">
      <formula>NOT(ISERROR(SEARCH("二代",C632)))</formula>
    </cfRule>
    <cfRule type="containsText" dxfId="3" priority="743" operator="between" text="蛋糕">
      <formula>NOT(ISERROR(SEARCH("蛋糕",C632)))</formula>
    </cfRule>
  </conditionalFormatting>
  <conditionalFormatting sqref="C634:C635">
    <cfRule type="containsText" dxfId="2" priority="721" operator="between" text="二代">
      <formula>NOT(ISERROR(SEARCH("二代",C634)))</formula>
    </cfRule>
    <cfRule type="containsText" dxfId="3" priority="722" operator="between" text="蛋糕">
      <formula>NOT(ISERROR(SEARCH("蛋糕",C634)))</formula>
    </cfRule>
  </conditionalFormatting>
  <conditionalFormatting sqref="C637:C639">
    <cfRule type="containsText" dxfId="2" priority="697" operator="between" text="二代">
      <formula>NOT(ISERROR(SEARCH("二代",C637)))</formula>
    </cfRule>
    <cfRule type="containsText" dxfId="3" priority="698" operator="between" text="蛋糕">
      <formula>NOT(ISERROR(SEARCH("蛋糕",C637)))</formula>
    </cfRule>
  </conditionalFormatting>
  <conditionalFormatting sqref="C640:C644">
    <cfRule type="containsText" dxfId="2" priority="682" operator="between" text="二代">
      <formula>NOT(ISERROR(SEARCH("二代",C640)))</formula>
    </cfRule>
    <cfRule type="containsText" dxfId="3" priority="683" operator="between" text="蛋糕">
      <formula>NOT(ISERROR(SEARCH("蛋糕",C640)))</formula>
    </cfRule>
  </conditionalFormatting>
  <conditionalFormatting sqref="C649:C650">
    <cfRule type="containsText" dxfId="2" priority="609" operator="between" text="二代">
      <formula>NOT(ISERROR(SEARCH("二代",C649)))</formula>
    </cfRule>
    <cfRule type="containsText" dxfId="3" priority="610" operator="between" text="蛋糕">
      <formula>NOT(ISERROR(SEARCH("蛋糕",C649)))</formula>
    </cfRule>
  </conditionalFormatting>
  <conditionalFormatting sqref="C652:C669">
    <cfRule type="containsText" dxfId="2" priority="596" operator="between" text="二代">
      <formula>NOT(ISERROR(SEARCH("二代",C652)))</formula>
    </cfRule>
    <cfRule type="containsText" dxfId="3" priority="597" operator="between" text="蛋糕">
      <formula>NOT(ISERROR(SEARCH("蛋糕",C652)))</formula>
    </cfRule>
  </conditionalFormatting>
  <conditionalFormatting sqref="C670:C672">
    <cfRule type="containsText" dxfId="2" priority="585" operator="between" text="二代">
      <formula>NOT(ISERROR(SEARCH("二代",C670)))</formula>
    </cfRule>
    <cfRule type="containsText" dxfId="3" priority="586" operator="between" text="蛋糕">
      <formula>NOT(ISERROR(SEARCH("蛋糕",C670)))</formula>
    </cfRule>
  </conditionalFormatting>
  <conditionalFormatting sqref="C674:C675">
    <cfRule type="containsText" dxfId="2" priority="552" operator="between" text="二代">
      <formula>NOT(ISERROR(SEARCH("二代",C674)))</formula>
    </cfRule>
    <cfRule type="containsText" dxfId="3" priority="553" operator="between" text="蛋糕">
      <formula>NOT(ISERROR(SEARCH("蛋糕",C674)))</formula>
    </cfRule>
  </conditionalFormatting>
  <conditionalFormatting sqref="C676:C693">
    <cfRule type="containsText" dxfId="2" priority="531" operator="between" text="二代">
      <formula>NOT(ISERROR(SEARCH("二代",C676)))</formula>
    </cfRule>
    <cfRule type="containsText" dxfId="3" priority="532" operator="between" text="蛋糕">
      <formula>NOT(ISERROR(SEARCH("蛋糕",C676)))</formula>
    </cfRule>
  </conditionalFormatting>
  <conditionalFormatting sqref="C695:C697">
    <cfRule type="containsText" dxfId="2" priority="522" operator="between" text="二代">
      <formula>NOT(ISERROR(SEARCH("二代",C695)))</formula>
    </cfRule>
    <cfRule type="containsText" dxfId="3" priority="523" operator="between" text="蛋糕">
      <formula>NOT(ISERROR(SEARCH("蛋糕",C695)))</formula>
    </cfRule>
  </conditionalFormatting>
  <conditionalFormatting sqref="C704:C710">
    <cfRule type="containsText" dxfId="2" priority="427" operator="between" text="二代">
      <formula>NOT(ISERROR(SEARCH("二代",C704)))</formula>
    </cfRule>
    <cfRule type="containsText" dxfId="3" priority="428" operator="between" text="蛋糕">
      <formula>NOT(ISERROR(SEARCH("蛋糕",C704)))</formula>
    </cfRule>
  </conditionalFormatting>
  <conditionalFormatting sqref="C713:C714">
    <cfRule type="containsText" dxfId="2" priority="394" operator="between" text="二代">
      <formula>NOT(ISERROR(SEARCH("二代",C713)))</formula>
    </cfRule>
    <cfRule type="containsText" dxfId="3" priority="395" operator="between" text="蛋糕">
      <formula>NOT(ISERROR(SEARCH("蛋糕",C713)))</formula>
    </cfRule>
  </conditionalFormatting>
  <conditionalFormatting sqref="C717:C718">
    <cfRule type="containsText" dxfId="2" priority="345" operator="between" text="二代">
      <formula>NOT(ISERROR(SEARCH("二代",C717)))</formula>
    </cfRule>
    <cfRule type="containsText" dxfId="3" priority="346" operator="between" text="蛋糕">
      <formula>NOT(ISERROR(SEARCH("蛋糕",C717)))</formula>
    </cfRule>
  </conditionalFormatting>
  <conditionalFormatting sqref="C724:C726">
    <cfRule type="containsText" dxfId="2" priority="273" operator="between" text="二代">
      <formula>NOT(ISERROR(SEARCH("二代",C724)))</formula>
    </cfRule>
    <cfRule type="containsText" dxfId="3" priority="274" operator="between" text="蛋糕">
      <formula>NOT(ISERROR(SEARCH("蛋糕",C724)))</formula>
    </cfRule>
  </conditionalFormatting>
  <conditionalFormatting sqref="C730:C731">
    <cfRule type="containsText" dxfId="2" priority="230" operator="between" text="二代">
      <formula>NOT(ISERROR(SEARCH("二代",C730)))</formula>
    </cfRule>
    <cfRule type="containsText" dxfId="3" priority="231" operator="between" text="蛋糕">
      <formula>NOT(ISERROR(SEARCH("蛋糕",C730)))</formula>
    </cfRule>
  </conditionalFormatting>
  <conditionalFormatting sqref="C735:C751">
    <cfRule type="containsText" dxfId="2" priority="180" operator="between" text="二代">
      <formula>NOT(ISERROR(SEARCH("二代",C735)))</formula>
    </cfRule>
    <cfRule type="containsText" dxfId="3" priority="181" operator="between" text="蛋糕">
      <formula>NOT(ISERROR(SEARCH("蛋糕",C735)))</formula>
    </cfRule>
  </conditionalFormatting>
  <conditionalFormatting sqref="C753:C754">
    <cfRule type="containsText" dxfId="2" priority="123" operator="between" text="二代">
      <formula>NOT(ISERROR(SEARCH("二代",C753)))</formula>
    </cfRule>
    <cfRule type="containsText" dxfId="3" priority="124" operator="between" text="蛋糕">
      <formula>NOT(ISERROR(SEARCH("蛋糕",C753)))</formula>
    </cfRule>
  </conditionalFormatting>
  <conditionalFormatting sqref="C755:C760">
    <cfRule type="containsText" dxfId="2" priority="85" operator="between" text="二代">
      <formula>NOT(ISERROR(SEARCH("二代",C755)))</formula>
    </cfRule>
    <cfRule type="containsText" dxfId="3" priority="86" operator="between" text="蛋糕">
      <formula>NOT(ISERROR(SEARCH("蛋糕",C755)))</formula>
    </cfRule>
  </conditionalFormatting>
  <conditionalFormatting sqref="C761:C764">
    <cfRule type="containsText" dxfId="2" priority="60" operator="between" text="二代">
      <formula>NOT(ISERROR(SEARCH("二代",C761)))</formula>
    </cfRule>
    <cfRule type="containsText" dxfId="3" priority="61" operator="between" text="蛋糕">
      <formula>NOT(ISERROR(SEARCH("蛋糕",C761)))</formula>
    </cfRule>
  </conditionalFormatting>
  <conditionalFormatting sqref="X64:X65">
    <cfRule type="containsText" dxfId="0" priority="5216" operator="between" text="欠">
      <formula>NOT(ISERROR(SEARCH("欠",X64)))</formula>
    </cfRule>
  </conditionalFormatting>
  <conditionalFormatting sqref="X69:X70">
    <cfRule type="containsText" dxfId="0" priority="5176" operator="between" text="欠">
      <formula>NOT(ISERROR(SEARCH("欠",X69)))</formula>
    </cfRule>
  </conditionalFormatting>
  <conditionalFormatting sqref="X78:X89">
    <cfRule type="containsText" dxfId="0" priority="5134" operator="between" text="欠">
      <formula>NOT(ISERROR(SEARCH("欠",X78)))</formula>
    </cfRule>
  </conditionalFormatting>
  <conditionalFormatting sqref="X90:X92">
    <cfRule type="containsText" dxfId="0" priority="5085" operator="between" text="欠">
      <formula>NOT(ISERROR(SEARCH("欠",X90)))</formula>
    </cfRule>
  </conditionalFormatting>
  <conditionalFormatting sqref="X109:X120">
    <cfRule type="containsText" dxfId="0" priority="5018" operator="between" text="欠">
      <formula>NOT(ISERROR(SEARCH("欠",X109)))</formula>
    </cfRule>
  </conditionalFormatting>
  <conditionalFormatting sqref="X124:X126">
    <cfRule type="containsText" dxfId="0" priority="4963" operator="between" text="欠">
      <formula>NOT(ISERROR(SEARCH("欠",X124)))</formula>
    </cfRule>
  </conditionalFormatting>
  <conditionalFormatting sqref="X136:X138">
    <cfRule type="containsText" dxfId="0" priority="4869" operator="between" text="欠">
      <formula>NOT(ISERROR(SEARCH("欠",X136)))</formula>
    </cfRule>
  </conditionalFormatting>
  <conditionalFormatting sqref="X140:X142">
    <cfRule type="containsText" dxfId="0" priority="4842" operator="between" text="欠">
      <formula>NOT(ISERROR(SEARCH("欠",X140)))</formula>
    </cfRule>
  </conditionalFormatting>
  <conditionalFormatting sqref="X150:X152">
    <cfRule type="containsText" dxfId="0" priority="4762" operator="between" text="欠">
      <formula>NOT(ISERROR(SEARCH("欠",X150)))</formula>
    </cfRule>
  </conditionalFormatting>
  <conditionalFormatting sqref="X194:X196">
    <cfRule type="containsText" dxfId="0" priority="3831" operator="between" text="欠">
      <formula>NOT(ISERROR(SEARCH("欠",X194)))</formula>
    </cfRule>
  </conditionalFormatting>
  <conditionalFormatting sqref="X198:X203">
    <cfRule type="containsText" dxfId="0" priority="3800" operator="between" text="欠">
      <formula>NOT(ISERROR(SEARCH("欠",X198)))</formula>
    </cfRule>
  </conditionalFormatting>
  <conditionalFormatting sqref="X206:X207">
    <cfRule type="containsText" dxfId="0" priority="3756" operator="between" text="欠">
      <formula>NOT(ISERROR(SEARCH("欠",X206)))</formula>
    </cfRule>
  </conditionalFormatting>
  <conditionalFormatting sqref="X211:X212">
    <cfRule type="containsText" dxfId="0" priority="3698" operator="between" text="欠">
      <formula>NOT(ISERROR(SEARCH("欠",X211)))</formula>
    </cfRule>
  </conditionalFormatting>
  <conditionalFormatting sqref="X216:X218">
    <cfRule type="containsText" dxfId="0" priority="3642" operator="between" text="欠">
      <formula>NOT(ISERROR(SEARCH("欠",X216)))</formula>
    </cfRule>
  </conditionalFormatting>
  <conditionalFormatting sqref="X224:X226">
    <cfRule type="containsText" dxfId="0" priority="3565" operator="between" text="欠">
      <formula>NOT(ISERROR(SEARCH("欠",X224)))</formula>
    </cfRule>
  </conditionalFormatting>
  <conditionalFormatting sqref="X247:X248">
    <cfRule type="containsText" dxfId="0" priority="3299" operator="between" text="欠">
      <formula>NOT(ISERROR(SEARCH("欠",X247)))</formula>
    </cfRule>
  </conditionalFormatting>
  <conditionalFormatting sqref="X250:X256">
    <cfRule type="containsText" dxfId="0" priority="3261" operator="between" text="欠">
      <formula>NOT(ISERROR(SEARCH("欠",X250)))</formula>
    </cfRule>
  </conditionalFormatting>
  <conditionalFormatting sqref="X281:X284">
    <cfRule type="containsText" dxfId="0" priority="3004" operator="between" text="欠">
      <formula>NOT(ISERROR(SEARCH("欠",X281)))</formula>
    </cfRule>
  </conditionalFormatting>
  <conditionalFormatting sqref="X285:X286">
    <cfRule type="containsText" dxfId="0" priority="2992" operator="between" text="欠">
      <formula>NOT(ISERROR(SEARCH("欠",X285)))</formula>
    </cfRule>
  </conditionalFormatting>
  <conditionalFormatting sqref="X288:X289">
    <cfRule type="containsText" dxfId="0" priority="2953" operator="between" text="欠">
      <formula>NOT(ISERROR(SEARCH("欠",X288)))</formula>
    </cfRule>
  </conditionalFormatting>
  <conditionalFormatting sqref="X291:X293">
    <cfRule type="containsText" dxfId="0" priority="2928" operator="between" text="欠">
      <formula>NOT(ISERROR(SEARCH("欠",X291)))</formula>
    </cfRule>
  </conditionalFormatting>
  <conditionalFormatting sqref="X295:X296">
    <cfRule type="containsText" dxfId="0" priority="2897" operator="between" text="欠">
      <formula>NOT(ISERROR(SEARCH("欠",X295)))</formula>
    </cfRule>
  </conditionalFormatting>
  <conditionalFormatting sqref="X298:X299">
    <cfRule type="containsText" dxfId="0" priority="2871" operator="between" text="欠">
      <formula>NOT(ISERROR(SEARCH("欠",X298)))</formula>
    </cfRule>
  </conditionalFormatting>
  <conditionalFormatting sqref="X300:X301">
    <cfRule type="containsText" dxfId="0" priority="2866" operator="between" text="欠">
      <formula>NOT(ISERROR(SEARCH("欠",X300)))</formula>
    </cfRule>
  </conditionalFormatting>
  <conditionalFormatting sqref="X331:X338">
    <cfRule type="containsText" dxfId="0" priority="2736" operator="between" text="欠">
      <formula>NOT(ISERROR(SEARCH("欠",X331)))</formula>
    </cfRule>
  </conditionalFormatting>
  <conditionalFormatting sqref="X357:X365">
    <cfRule type="containsText" dxfId="0" priority="2566" operator="between" text="欠">
      <formula>NOT(ISERROR(SEARCH("欠",X357)))</formula>
    </cfRule>
  </conditionalFormatting>
  <conditionalFormatting sqref="X375:X376">
    <cfRule type="containsText" dxfId="0" priority="2391" operator="between" text="欠">
      <formula>NOT(ISERROR(SEARCH("欠",X375)))</formula>
    </cfRule>
  </conditionalFormatting>
  <conditionalFormatting sqref="X377:X379">
    <cfRule type="containsText" dxfId="0" priority="2388" operator="between" text="欠">
      <formula>NOT(ISERROR(SEARCH("欠",X377)))</formula>
    </cfRule>
  </conditionalFormatting>
  <conditionalFormatting sqref="X386:X387">
    <cfRule type="containsText" dxfId="0" priority="2295" operator="between" text="欠">
      <formula>NOT(ISERROR(SEARCH("欠",X386)))</formula>
    </cfRule>
  </conditionalFormatting>
  <conditionalFormatting sqref="X390:X391">
    <cfRule type="containsText" dxfId="0" priority="2267" operator="between" text="欠">
      <formula>NOT(ISERROR(SEARCH("欠",X390)))</formula>
    </cfRule>
  </conditionalFormatting>
  <conditionalFormatting sqref="X408:X409">
    <cfRule type="containsText" dxfId="0" priority="2079" operator="between" text="欠">
      <formula>NOT(ISERROR(SEARCH("欠",X408)))</formula>
    </cfRule>
  </conditionalFormatting>
  <conditionalFormatting sqref="X411:X413">
    <cfRule type="containsText" dxfId="0" priority="2106" operator="between" text="欠">
      <formula>NOT(ISERROR(SEARCH("欠",X411)))</formula>
    </cfRule>
  </conditionalFormatting>
  <conditionalFormatting sqref="X416:X420">
    <cfRule type="containsText" dxfId="0" priority="2041" operator="between" text="欠">
      <formula>NOT(ISERROR(SEARCH("欠",X416)))</formula>
    </cfRule>
  </conditionalFormatting>
  <conditionalFormatting sqref="X422:X423">
    <cfRule type="containsText" dxfId="0" priority="2002" operator="between" text="欠">
      <formula>NOT(ISERROR(SEARCH("欠",X422)))</formula>
    </cfRule>
  </conditionalFormatting>
  <conditionalFormatting sqref="X424:X427">
    <cfRule type="containsText" dxfId="0" priority="1996" operator="between" text="欠">
      <formula>NOT(ISERROR(SEARCH("欠",X424)))</formula>
    </cfRule>
  </conditionalFormatting>
  <conditionalFormatting sqref="X438:X440">
    <cfRule type="containsText" dxfId="0" priority="1890" operator="between" text="欠">
      <formula>NOT(ISERROR(SEARCH("欠",X438)))</formula>
    </cfRule>
  </conditionalFormatting>
  <conditionalFormatting sqref="X494:X504">
    <cfRule type="containsText" dxfId="0" priority="1488" operator="between" text="欠">
      <formula>NOT(ISERROR(SEARCH("欠",X494)))</formula>
    </cfRule>
  </conditionalFormatting>
  <conditionalFormatting sqref="X529:X533">
    <cfRule type="containsText" dxfId="0" priority="1386" operator="between" text="欠">
      <formula>NOT(ISERROR(SEARCH("欠",X529)))</formula>
    </cfRule>
  </conditionalFormatting>
  <conditionalFormatting sqref="X717:X718">
    <cfRule type="containsText" dxfId="0" priority="355" operator="between" text="欠">
      <formula>NOT(ISERROR(SEARCH("欠",X717)))</formula>
    </cfRule>
  </conditionalFormatting>
  <conditionalFormatting sqref="Y4:Y7">
    <cfRule type="containsText" dxfId="0" priority="5494" operator="between" text="欠">
      <formula>NOT(ISERROR(SEARCH("欠",Y4)))</formula>
    </cfRule>
  </conditionalFormatting>
  <conditionalFormatting sqref="Y78:Y89">
    <cfRule type="containsText" dxfId="0" priority="5121" operator="between" text="欠">
      <formula>NOT(ISERROR(SEARCH("欠",Y78)))</formula>
    </cfRule>
  </conditionalFormatting>
  <conditionalFormatting sqref="Y90:Y92">
    <cfRule type="containsText" dxfId="0" priority="5080" operator="between" text="欠">
      <formula>NOT(ISERROR(SEARCH("欠",Y90)))</formula>
    </cfRule>
  </conditionalFormatting>
  <conditionalFormatting sqref="Y109:Y114">
    <cfRule type="containsText" dxfId="0" priority="4990" operator="between" text="欠">
      <formula>NOT(ISERROR(SEARCH("欠",Y109)))</formula>
    </cfRule>
  </conditionalFormatting>
  <conditionalFormatting sqref="Y115:Y120">
    <cfRule type="containsText" dxfId="0" priority="4989" operator="between" text="欠">
      <formula>NOT(ISERROR(SEARCH("欠",Y115)))</formula>
    </cfRule>
  </conditionalFormatting>
  <conditionalFormatting sqref="Y124:Y126">
    <cfRule type="containsText" dxfId="0" priority="4949" operator="between" text="欠">
      <formula>NOT(ISERROR(SEARCH("欠",Y124)))</formula>
    </cfRule>
  </conditionalFormatting>
  <conditionalFormatting sqref="Y136:Y138">
    <cfRule type="containsText" dxfId="0" priority="4857" operator="between" text="欠">
      <formula>NOT(ISERROR(SEARCH("欠",Y136)))</formula>
    </cfRule>
  </conditionalFormatting>
  <conditionalFormatting sqref="Y140:Y142">
    <cfRule type="containsText" dxfId="0" priority="4830" operator="between" text="欠">
      <formula>NOT(ISERROR(SEARCH("欠",Y140)))</formula>
    </cfRule>
  </conditionalFormatting>
  <conditionalFormatting sqref="Y150:Y152">
    <cfRule type="containsText" dxfId="0" priority="4759" operator="between" text="欠">
      <formula>NOT(ISERROR(SEARCH("欠",Y150)))</formula>
    </cfRule>
  </conditionalFormatting>
  <conditionalFormatting sqref="Y194:Y196">
    <cfRule type="containsText" dxfId="0" priority="3830" operator="between" text="欠">
      <formula>NOT(ISERROR(SEARCH("欠",Y194)))</formula>
    </cfRule>
  </conditionalFormatting>
  <conditionalFormatting sqref="Y198:Y203">
    <cfRule type="containsText" dxfId="0" priority="3786" operator="between" text="欠">
      <formula>NOT(ISERROR(SEARCH("欠",Y198)))</formula>
    </cfRule>
  </conditionalFormatting>
  <conditionalFormatting sqref="Y207:Y208">
    <cfRule type="containsText" dxfId="0" priority="3758" operator="between" text="欠">
      <formula>NOT(ISERROR(SEARCH("欠",Y207)))</formula>
    </cfRule>
  </conditionalFormatting>
  <conditionalFormatting sqref="Y216:Y218">
    <cfRule type="containsText" dxfId="0" priority="3634" operator="between" text="欠">
      <formula>NOT(ISERROR(SEARCH("欠",Y216)))</formula>
    </cfRule>
  </conditionalFormatting>
  <conditionalFormatting sqref="Y224:Y226">
    <cfRule type="containsText" dxfId="0" priority="3567" operator="between" text="欠">
      <formula>NOT(ISERROR(SEARCH("欠",Y224)))</formula>
    </cfRule>
  </conditionalFormatting>
  <conditionalFormatting sqref="Y247:Y248">
    <cfRule type="containsText" dxfId="0" priority="3296" operator="between" text="欠">
      <formula>NOT(ISERROR(SEARCH("欠",Y247)))</formula>
    </cfRule>
  </conditionalFormatting>
  <conditionalFormatting sqref="Y281:Y286">
    <cfRule type="containsText" dxfId="0" priority="2999" operator="between" text="欠">
      <formula>NOT(ISERROR(SEARCH("欠",Y281)))</formula>
    </cfRule>
  </conditionalFormatting>
  <conditionalFormatting sqref="Y288:Y289">
    <cfRule type="containsText" dxfId="0" priority="2950" operator="between" text="欠">
      <formula>NOT(ISERROR(SEARCH("欠",Y288)))</formula>
    </cfRule>
  </conditionalFormatting>
  <conditionalFormatting sqref="Y292:Y293">
    <cfRule type="containsText" dxfId="0" priority="2924" operator="between" text="欠">
      <formula>NOT(ISERROR(SEARCH("欠",Y292)))</formula>
    </cfRule>
  </conditionalFormatting>
  <conditionalFormatting sqref="Y295:Y296">
    <cfRule type="containsText" dxfId="0" priority="2885" operator="between" text="欠">
      <formula>NOT(ISERROR(SEARCH("欠",Y295)))</formula>
    </cfRule>
  </conditionalFormatting>
  <conditionalFormatting sqref="Y299:Y301">
    <cfRule type="containsText" dxfId="0" priority="2877" operator="between" text="欠">
      <formula>NOT(ISERROR(SEARCH("欠",Y299)))</formula>
    </cfRule>
  </conditionalFormatting>
  <conditionalFormatting sqref="Y303:Y304">
    <cfRule type="containsText" dxfId="0" priority="2847" operator="between" text="欠">
      <formula>NOT(ISERROR(SEARCH("欠",Y303)))</formula>
    </cfRule>
  </conditionalFormatting>
  <conditionalFormatting sqref="Y326:Y328">
    <cfRule type="containsText" dxfId="0" priority="2750" operator="between" text="欠">
      <formula>NOT(ISERROR(SEARCH("欠",Y326)))</formula>
    </cfRule>
  </conditionalFormatting>
  <conditionalFormatting sqref="Y333:Y337">
    <cfRule type="containsText" dxfId="0" priority="2738" operator="between" text="欠">
      <formula>NOT(ISERROR(SEARCH("欠",Y333)))</formula>
    </cfRule>
  </conditionalFormatting>
  <conditionalFormatting sqref="Y346:Y348">
    <cfRule type="containsText" dxfId="0" priority="2661" operator="between" text="欠">
      <formula>NOT(ISERROR(SEARCH("欠",Y346)))</formula>
    </cfRule>
  </conditionalFormatting>
  <conditionalFormatting sqref="Y378:Y379">
    <cfRule type="containsText" dxfId="0" priority="2369" operator="between" text="欠">
      <formula>NOT(ISERROR(SEARCH("欠",Y378)))</formula>
    </cfRule>
  </conditionalFormatting>
  <conditionalFormatting sqref="Y386:Y387">
    <cfRule type="containsText" dxfId="0" priority="2292" operator="between" text="欠">
      <formula>NOT(ISERROR(SEARCH("欠",Y386)))</formula>
    </cfRule>
  </conditionalFormatting>
  <conditionalFormatting sqref="Y390:Y398">
    <cfRule type="containsText" dxfId="0" priority="2264" operator="between" text="欠">
      <formula>NOT(ISERROR(SEARCH("欠",Y390)))</formula>
    </cfRule>
  </conditionalFormatting>
  <conditionalFormatting sqref="Y408:Y409">
    <cfRule type="containsText" dxfId="0" priority="2078" operator="between" text="欠">
      <formula>NOT(ISERROR(SEARCH("欠",Y408)))</formula>
    </cfRule>
  </conditionalFormatting>
  <conditionalFormatting sqref="Y411:Y413">
    <cfRule type="containsText" dxfId="0" priority="2105" operator="between" text="欠">
      <formula>NOT(ISERROR(SEARCH("欠",Y411)))</formula>
    </cfRule>
  </conditionalFormatting>
  <conditionalFormatting sqref="Y416:Y418">
    <cfRule type="containsText" dxfId="0" priority="2044" operator="between" text="欠">
      <formula>NOT(ISERROR(SEARCH("欠",Y416)))</formula>
    </cfRule>
  </conditionalFormatting>
  <conditionalFormatting sqref="Y438:Y440">
    <cfRule type="containsText" dxfId="0" priority="1894" operator="between" text="欠">
      <formula>NOT(ISERROR(SEARCH("欠",Y438)))</formula>
    </cfRule>
  </conditionalFormatting>
  <conditionalFormatting sqref="Y448:Y449">
    <cfRule type="containsText" dxfId="0" priority="1797" operator="between" text="欠">
      <formula>NOT(ISERROR(SEARCH("欠",Y448)))</formula>
    </cfRule>
  </conditionalFormatting>
  <conditionalFormatting sqref="Y452:Y463">
    <cfRule type="containsText" dxfId="0" priority="1753" operator="between" text="欠">
      <formula>NOT(ISERROR(SEARCH("欠",Y452)))</formula>
    </cfRule>
  </conditionalFormatting>
  <conditionalFormatting sqref="Y464:Y465">
    <cfRule type="containsText" dxfId="0" priority="1736" operator="between" text="欠">
      <formula>NOT(ISERROR(SEARCH("欠",Y464)))</formula>
    </cfRule>
  </conditionalFormatting>
  <conditionalFormatting sqref="Y470:Y472">
    <cfRule type="containsText" dxfId="0" priority="1696" operator="between" text="欠">
      <formula>NOT(ISERROR(SEARCH("欠",Y470)))</formula>
    </cfRule>
  </conditionalFormatting>
  <conditionalFormatting sqref="Y480:Y483">
    <cfRule type="containsText" dxfId="0" priority="1586" operator="between" text="欠">
      <formula>NOT(ISERROR(SEARCH("欠",Y480)))</formula>
    </cfRule>
  </conditionalFormatting>
  <conditionalFormatting sqref="Y484:Y488">
    <cfRule type="containsText" dxfId="0" priority="1559" operator="between" text="欠">
      <formula>NOT(ISERROR(SEARCH("欠",Y484)))</formula>
    </cfRule>
  </conditionalFormatting>
  <conditionalFormatting sqref="Y497:Y504">
    <cfRule type="containsText" dxfId="0" priority="1485" operator="between" text="欠">
      <formula>NOT(ISERROR(SEARCH("欠",Y497)))</formula>
    </cfRule>
  </conditionalFormatting>
  <conditionalFormatting sqref="Y499:Y500">
    <cfRule type="containsText" dxfId="0" priority="1510" operator="between" text="欠">
      <formula>NOT(ISERROR(SEARCH("欠",Y499)))</formula>
    </cfRule>
  </conditionalFormatting>
  <conditionalFormatting sqref="Y507:Y524">
    <cfRule type="containsText" dxfId="0" priority="1425" operator="between" text="欠">
      <formula>NOT(ISERROR(SEARCH("欠",Y507)))</formula>
    </cfRule>
  </conditionalFormatting>
  <conditionalFormatting sqref="Y525:Y527">
    <cfRule type="containsText" dxfId="0" priority="1417" operator="between" text="欠">
      <formula>NOT(ISERROR(SEARCH("欠",Y525)))</formula>
    </cfRule>
  </conditionalFormatting>
  <conditionalFormatting sqref="Y529:Y533">
    <cfRule type="containsText" dxfId="0" priority="1372" operator="between" text="欠">
      <formula>NOT(ISERROR(SEARCH("欠",Y529)))</formula>
    </cfRule>
  </conditionalFormatting>
  <conditionalFormatting sqref="Y535:Y537">
    <cfRule type="containsText" dxfId="0" priority="1364" operator="between" text="欠">
      <formula>NOT(ISERROR(SEARCH("欠",Y535)))</formula>
    </cfRule>
  </conditionalFormatting>
  <conditionalFormatting sqref="Y541:Y556">
    <cfRule type="containsText" dxfId="0" priority="1302" operator="between" text="欠">
      <formula>NOT(ISERROR(SEARCH("欠",Y541)))</formula>
    </cfRule>
  </conditionalFormatting>
  <conditionalFormatting sqref="Y558:Y560">
    <cfRule type="containsText" dxfId="0" priority="1277" operator="between" text="欠">
      <formula>NOT(ISERROR(SEARCH("欠",Y558)))</formula>
    </cfRule>
  </conditionalFormatting>
  <conditionalFormatting sqref="Y572:Y573">
    <cfRule type="containsText" dxfId="0" priority="1057" operator="between" text="欠">
      <formula>NOT(ISERROR(SEARCH("欠",Y572)))</formula>
    </cfRule>
  </conditionalFormatting>
  <conditionalFormatting sqref="Y581:Y583">
    <cfRule type="containsText" dxfId="0" priority="1158" operator="between" text="欠">
      <formula>NOT(ISERROR(SEARCH("欠",Y581)))</formula>
    </cfRule>
  </conditionalFormatting>
  <conditionalFormatting sqref="Y585:Y587">
    <cfRule type="containsText" dxfId="0" priority="1129" operator="between" text="欠">
      <formula>NOT(ISERROR(SEARCH("欠",Y585)))</formula>
    </cfRule>
  </conditionalFormatting>
  <conditionalFormatting sqref="Y588:Y593">
    <cfRule type="containsText" dxfId="0" priority="1112" operator="between" text="欠">
      <formula>NOT(ISERROR(SEARCH("欠",Y588)))</formula>
    </cfRule>
  </conditionalFormatting>
  <conditionalFormatting sqref="Y595:Y597">
    <cfRule type="containsText" dxfId="0" priority="971" operator="between" text="欠">
      <formula>NOT(ISERROR(SEARCH("欠",Y595)))</formula>
    </cfRule>
  </conditionalFormatting>
  <conditionalFormatting sqref="Y598:Y602">
    <cfRule type="containsText" dxfId="0" priority="959" operator="between" text="欠">
      <formula>NOT(ISERROR(SEARCH("欠",Y598)))</formula>
    </cfRule>
  </conditionalFormatting>
  <conditionalFormatting sqref="Y603:Y605">
    <cfRule type="containsText" dxfId="0" priority="936" operator="between" text="欠">
      <formula>NOT(ISERROR(SEARCH("欠",Y603)))</formula>
    </cfRule>
  </conditionalFormatting>
  <conditionalFormatting sqref="Y610:Y613">
    <cfRule type="containsText" dxfId="0" priority="884" operator="between" text="欠">
      <formula>NOT(ISERROR(SEARCH("欠",Y610)))</formula>
    </cfRule>
  </conditionalFormatting>
  <conditionalFormatting sqref="Y622:Y624">
    <cfRule type="containsText" dxfId="0" priority="805" operator="between" text="欠">
      <formula>NOT(ISERROR(SEARCH("欠",Y622)))</formula>
    </cfRule>
  </conditionalFormatting>
  <conditionalFormatting sqref="Y628:Y630">
    <cfRule type="containsText" dxfId="0" priority="764" operator="between" text="欠">
      <formula>NOT(ISERROR(SEARCH("欠",Y628)))</formula>
    </cfRule>
  </conditionalFormatting>
  <conditionalFormatting sqref="Y634:Y635">
    <cfRule type="containsText" dxfId="0" priority="729" operator="between" text="欠">
      <formula>NOT(ISERROR(SEARCH("欠",Y634)))</formula>
    </cfRule>
  </conditionalFormatting>
  <conditionalFormatting sqref="Y637:Y639">
    <cfRule type="containsText" dxfId="0" priority="702" operator="between" text="欠">
      <formula>NOT(ISERROR(SEARCH("欠",Y637)))</formula>
    </cfRule>
  </conditionalFormatting>
  <conditionalFormatting sqref="Y640:Y644">
    <cfRule type="containsText" dxfId="0" priority="688" operator="between" text="欠">
      <formula>NOT(ISERROR(SEARCH("欠",Y640)))</formula>
    </cfRule>
  </conditionalFormatting>
  <conditionalFormatting sqref="Y649:Y650">
    <cfRule type="containsText" dxfId="0" priority="606" operator="between" text="欠">
      <formula>NOT(ISERROR(SEARCH("欠",Y649)))</formula>
    </cfRule>
  </conditionalFormatting>
  <conditionalFormatting sqref="Y652:Y669">
    <cfRule type="containsText" dxfId="0" priority="598" operator="between" text="欠">
      <formula>NOT(ISERROR(SEARCH("欠",Y652)))</formula>
    </cfRule>
  </conditionalFormatting>
  <conditionalFormatting sqref="Y670:Y672">
    <cfRule type="containsText" dxfId="0" priority="590" operator="between" text="欠">
      <formula>NOT(ISERROR(SEARCH("欠",Y670)))</formula>
    </cfRule>
  </conditionalFormatting>
  <conditionalFormatting sqref="Y674:Y675">
    <cfRule type="containsText" dxfId="0" priority="547" operator="between" text="欠">
      <formula>NOT(ISERROR(SEARCH("欠",Y674)))</formula>
    </cfRule>
  </conditionalFormatting>
  <conditionalFormatting sqref="Y676:Y693">
    <cfRule type="containsText" dxfId="0" priority="533" operator="between" text="欠">
      <formula>NOT(ISERROR(SEARCH("欠",Y676)))</formula>
    </cfRule>
  </conditionalFormatting>
  <conditionalFormatting sqref="Y695:Y697">
    <cfRule type="containsText" dxfId="0" priority="525" operator="between" text="欠">
      <formula>NOT(ISERROR(SEARCH("欠",Y695)))</formula>
    </cfRule>
  </conditionalFormatting>
  <conditionalFormatting sqref="Y704:Y710">
    <cfRule type="containsText" dxfId="0" priority="431" operator="between" text="欠">
      <formula>NOT(ISERROR(SEARCH("欠",Y704)))</formula>
    </cfRule>
  </conditionalFormatting>
  <conditionalFormatting sqref="Y713:Y714">
    <cfRule type="containsText" dxfId="0" priority="385" operator="between" text="欠">
      <formula>NOT(ISERROR(SEARCH("欠",Y713)))</formula>
    </cfRule>
  </conditionalFormatting>
  <conditionalFormatting sqref="Y717:Y718">
    <cfRule type="containsText" dxfId="0" priority="354" operator="between" text="欠">
      <formula>NOT(ISERROR(SEARCH("欠",Y717)))</formula>
    </cfRule>
  </conditionalFormatting>
  <conditionalFormatting sqref="Y724:Y726">
    <cfRule type="containsText" dxfId="0" priority="278" operator="between" text="欠">
      <formula>NOT(ISERROR(SEARCH("欠",Y724)))</formula>
    </cfRule>
  </conditionalFormatting>
  <conditionalFormatting sqref="Y730:Y731">
    <cfRule type="containsText" dxfId="0" priority="223" operator="between" text="欠">
      <formula>NOT(ISERROR(SEARCH("欠",Y730)))</formula>
    </cfRule>
  </conditionalFormatting>
  <conditionalFormatting sqref="Y735:Y749">
    <cfRule type="containsText" dxfId="0" priority="176" operator="between" text="欠">
      <formula>NOT(ISERROR(SEARCH("欠",Y735)))</formula>
    </cfRule>
  </conditionalFormatting>
  <conditionalFormatting sqref="Y753:Y754">
    <cfRule type="containsText" dxfId="0" priority="116" operator="between" text="欠">
      <formula>NOT(ISERROR(SEARCH("欠",Y753)))</formula>
    </cfRule>
  </conditionalFormatting>
  <conditionalFormatting sqref="Y755:Y760">
    <cfRule type="containsText" dxfId="0" priority="92" operator="between" text="欠">
      <formula>NOT(ISERROR(SEARCH("欠",Y755)))</formula>
    </cfRule>
  </conditionalFormatting>
  <conditionalFormatting sqref="Y761:Y764">
    <cfRule type="containsText" dxfId="0" priority="66" operator="between" text="欠">
      <formula>NOT(ISERROR(SEARCH("欠",Y761)))</formula>
    </cfRule>
  </conditionalFormatting>
  <conditionalFormatting sqref="Y765:Y766">
    <cfRule type="containsText" dxfId="0" priority="46" operator="between" text="欠">
      <formula>NOT(ISERROR(SEARCH("欠",Y765)))</formula>
    </cfRule>
  </conditionalFormatting>
  <conditionalFormatting sqref="Z4:Z7">
    <cfRule type="containsText" dxfId="0" priority="5493" operator="between" text="欠">
      <formula>NOT(ISERROR(SEARCH("欠",Z4)))</formula>
    </cfRule>
  </conditionalFormatting>
  <conditionalFormatting sqref="Z10:Z12">
    <cfRule type="containsText" dxfId="0" priority="5467" operator="between" text="欠">
      <formula>NOT(ISERROR(SEARCH("欠",Z10)))</formula>
    </cfRule>
  </conditionalFormatting>
  <conditionalFormatting sqref="Z14:Z18">
    <cfRule type="containsText" dxfId="0" priority="5455" operator="between" text="欠">
      <formula>NOT(ISERROR(SEARCH("欠",Z14)))</formula>
    </cfRule>
  </conditionalFormatting>
  <conditionalFormatting sqref="Z25:Z35">
    <cfRule type="containsText" dxfId="0" priority="5393" operator="between" text="欠">
      <formula>NOT(ISERROR(SEARCH("欠",Z25)))</formula>
    </cfRule>
  </conditionalFormatting>
  <conditionalFormatting sqref="Z38:Z40">
    <cfRule type="containsText" dxfId="0" priority="5372" operator="between" text="欠">
      <formula>NOT(ISERROR(SEARCH("欠",Z38)))</formula>
    </cfRule>
  </conditionalFormatting>
  <conditionalFormatting sqref="Z61:Z65">
    <cfRule type="containsText" dxfId="0" priority="5221" operator="between" text="欠">
      <formula>NOT(ISERROR(SEARCH("欠",Z61)))</formula>
    </cfRule>
  </conditionalFormatting>
  <conditionalFormatting sqref="Z66:Z67">
    <cfRule type="containsText" dxfId="0" priority="5201" operator="between" text="欠">
      <formula>NOT(ISERROR(SEARCH("欠",Z66)))</formula>
    </cfRule>
  </conditionalFormatting>
  <conditionalFormatting sqref="Z71:Z77">
    <cfRule type="containsText" dxfId="0" priority="5172" operator="between" text="欠">
      <formula>NOT(ISERROR(SEARCH("欠",Z71)))</formula>
    </cfRule>
  </conditionalFormatting>
  <conditionalFormatting sqref="Z78:Z89">
    <cfRule type="containsText" dxfId="0" priority="5133" operator="between" text="欠">
      <formula>NOT(ISERROR(SEARCH("欠",Z78)))</formula>
    </cfRule>
  </conditionalFormatting>
  <conditionalFormatting sqref="Z90:Z92">
    <cfRule type="containsText" dxfId="0" priority="5084" operator="between" text="欠">
      <formula>NOT(ISERROR(SEARCH("欠",Z90)))</formula>
    </cfRule>
  </conditionalFormatting>
  <conditionalFormatting sqref="Z98:Z99">
    <cfRule type="containsText" dxfId="0" priority="5081" operator="between" text="欠">
      <formula>NOT(ISERROR(SEARCH("欠",Z98)))</formula>
    </cfRule>
  </conditionalFormatting>
  <conditionalFormatting sqref="Z100:Z104">
    <cfRule type="containsText" dxfId="0" priority="5059" operator="between" text="欠">
      <formula>NOT(ISERROR(SEARCH("欠",Z100)))</formula>
    </cfRule>
  </conditionalFormatting>
  <conditionalFormatting sqref="Z105:Z106">
    <cfRule type="containsText" dxfId="0" priority="5077" operator="between" text="欠">
      <formula>NOT(ISERROR(SEARCH("欠",Z105)))</formula>
    </cfRule>
  </conditionalFormatting>
  <conditionalFormatting sqref="Z109:Z120">
    <cfRule type="containsText" dxfId="0" priority="5017" operator="between" text="欠">
      <formula>NOT(ISERROR(SEARCH("欠",Z109)))</formula>
    </cfRule>
  </conditionalFormatting>
  <conditionalFormatting sqref="Z124:Z126">
    <cfRule type="containsText" dxfId="0" priority="4962" operator="between" text="欠">
      <formula>NOT(ISERROR(SEARCH("欠",Z124)))</formula>
    </cfRule>
  </conditionalFormatting>
  <conditionalFormatting sqref="Z150:Z152">
    <cfRule type="containsText" dxfId="0" priority="4760" operator="between" text="欠">
      <formula>NOT(ISERROR(SEARCH("欠",Z150)))</formula>
    </cfRule>
  </conditionalFormatting>
  <conditionalFormatting sqref="Z159:Z160">
    <cfRule type="containsText" dxfId="0" priority="4741" operator="between" text="欠">
      <formula>NOT(ISERROR(SEARCH("欠",Z159)))</formula>
    </cfRule>
  </conditionalFormatting>
  <conditionalFormatting sqref="Z168:Z170">
    <cfRule type="containsText" dxfId="0" priority="4606" operator="between" text="欠">
      <formula>NOT(ISERROR(SEARCH("欠",Z168)))</formula>
    </cfRule>
  </conditionalFormatting>
  <conditionalFormatting sqref="Z175:Z176">
    <cfRule type="containsText" dxfId="0" priority="4557" operator="between" text="欠">
      <formula>NOT(ISERROR(SEARCH("欠",Z175)))</formula>
    </cfRule>
  </conditionalFormatting>
  <conditionalFormatting sqref="Z194:Z196">
    <cfRule type="containsText" dxfId="0" priority="3839" operator="between" text="欠">
      <formula>NOT(ISERROR(SEARCH("欠",Z194)))</formula>
    </cfRule>
  </conditionalFormatting>
  <conditionalFormatting sqref="Z198:Z203">
    <cfRule type="containsText" dxfId="0" priority="3810" operator="between" text="欠">
      <formula>NOT(ISERROR(SEARCH("欠",Z198)))</formula>
    </cfRule>
  </conditionalFormatting>
  <conditionalFormatting sqref="Z206:Z208">
    <cfRule type="containsText" dxfId="0" priority="3767" operator="between" text="欠">
      <formula>NOT(ISERROR(SEARCH("欠",Z206)))</formula>
    </cfRule>
  </conditionalFormatting>
  <conditionalFormatting sqref="Z211:Z212">
    <cfRule type="containsText" dxfId="0" priority="3699" operator="between" text="欠">
      <formula>NOT(ISERROR(SEARCH("欠",Z211)))</formula>
    </cfRule>
  </conditionalFormatting>
  <conditionalFormatting sqref="Z216:Z218">
    <cfRule type="containsText" dxfId="0" priority="3649" operator="between" text="欠">
      <formula>NOT(ISERROR(SEARCH("欠",Z216)))</formula>
    </cfRule>
  </conditionalFormatting>
  <conditionalFormatting sqref="Z224:Z226">
    <cfRule type="containsText" dxfId="0" priority="3564" operator="between" text="欠">
      <formula>NOT(ISERROR(SEARCH("欠",Z224)))</formula>
    </cfRule>
  </conditionalFormatting>
  <conditionalFormatting sqref="Z247:Z248">
    <cfRule type="containsText" dxfId="0" priority="3303" operator="between" text="欠">
      <formula>NOT(ISERROR(SEARCH("欠",Z247)))</formula>
    </cfRule>
  </conditionalFormatting>
  <conditionalFormatting sqref="Z250:Z256">
    <cfRule type="containsText" dxfId="0" priority="3270" operator="between" text="欠">
      <formula>NOT(ISERROR(SEARCH("欠",Z250)))</formula>
    </cfRule>
  </conditionalFormatting>
  <conditionalFormatting sqref="Z281:Z284">
    <cfRule type="containsText" dxfId="0" priority="2988" operator="between" text="欠">
      <formula>NOT(ISERROR(SEARCH("欠",Z281)))</formula>
    </cfRule>
  </conditionalFormatting>
  <conditionalFormatting sqref="Z285:Z286">
    <cfRule type="containsText" dxfId="0" priority="3000" operator="between" text="欠">
      <formula>NOT(ISERROR(SEARCH("欠",Z285)))</formula>
    </cfRule>
  </conditionalFormatting>
  <conditionalFormatting sqref="Z288:Z289">
    <cfRule type="containsText" dxfId="0" priority="2957" operator="between" text="欠">
      <formula>NOT(ISERROR(SEARCH("欠",Z288)))</formula>
    </cfRule>
  </conditionalFormatting>
  <conditionalFormatting sqref="Z291:Z293">
    <cfRule type="containsText" dxfId="0" priority="2929" operator="between" text="欠">
      <formula>NOT(ISERROR(SEARCH("欠",Z291)))</formula>
    </cfRule>
  </conditionalFormatting>
  <conditionalFormatting sqref="Z295:Z297">
    <cfRule type="containsText" dxfId="0" priority="2899" operator="between" text="欠">
      <formula>NOT(ISERROR(SEARCH("欠",Z295)))</formula>
    </cfRule>
  </conditionalFormatting>
  <conditionalFormatting sqref="Z299:Z304">
    <cfRule type="containsText" dxfId="0" priority="2876" operator="between" text="欠">
      <formula>NOT(ISERROR(SEARCH("欠",Z299)))</formula>
    </cfRule>
  </conditionalFormatting>
  <conditionalFormatting sqref="Z326:Z327">
    <cfRule type="containsText" dxfId="0" priority="2758" operator="between" text="欠">
      <formula>NOT(ISERROR(SEARCH("欠",Z326)))</formula>
    </cfRule>
  </conditionalFormatting>
  <conditionalFormatting sqref="Z326:Z337">
    <cfRule type="containsText" dxfId="0" priority="2749" operator="between" text="欠">
      <formula>NOT(ISERROR(SEARCH("欠",Z326)))</formula>
    </cfRule>
  </conditionalFormatting>
  <conditionalFormatting sqref="Z340:Z348">
    <cfRule type="containsText" dxfId="0" priority="2673" operator="between" text="欠">
      <formula>NOT(ISERROR(SEARCH("欠",Z340)))</formula>
    </cfRule>
  </conditionalFormatting>
  <conditionalFormatting sqref="Z372:Z374">
    <cfRule type="containsText" dxfId="0" priority="2427" operator="between" text="欠">
      <formula>NOT(ISERROR(SEARCH("欠",Z372)))</formula>
    </cfRule>
  </conditionalFormatting>
  <conditionalFormatting sqref="Z375:Z380">
    <cfRule type="containsText" dxfId="0" priority="2397" operator="between" text="欠">
      <formula>NOT(ISERROR(SEARCH("欠",Z375)))</formula>
    </cfRule>
  </conditionalFormatting>
  <conditionalFormatting sqref="Z408:Z409">
    <cfRule type="containsText" dxfId="0" priority="2073" operator="between" text="欠">
      <formula>NOT(ISERROR(SEARCH("欠",Z408)))</formula>
    </cfRule>
  </conditionalFormatting>
  <conditionalFormatting sqref="Z411:Z413">
    <cfRule type="containsText" dxfId="0" priority="2089" operator="between" text="欠">
      <formula>NOT(ISERROR(SEARCH("欠",Z411)))</formula>
    </cfRule>
  </conditionalFormatting>
  <conditionalFormatting sqref="Z411:Z414">
    <cfRule type="containsText" dxfId="0" priority="2111" operator="between" text="欠">
      <formula>NOT(ISERROR(SEARCH("欠",Z411)))</formula>
    </cfRule>
  </conditionalFormatting>
  <conditionalFormatting sqref="Z416:Z420">
    <cfRule type="containsText" dxfId="0" priority="2050" operator="between" text="欠">
      <formula>NOT(ISERROR(SEARCH("欠",Z416)))</formula>
    </cfRule>
  </conditionalFormatting>
  <conditionalFormatting sqref="Z422:Z428">
    <cfRule type="containsText" dxfId="0" priority="2021" operator="between" text="欠">
      <formula>NOT(ISERROR(SEARCH("欠",Z422)))</formula>
    </cfRule>
  </conditionalFormatting>
  <conditionalFormatting sqref="Z433:Z434">
    <cfRule type="containsText" dxfId="0" priority="1952" operator="between" text="欠">
      <formula>NOT(ISERROR(SEARCH("欠",Z433)))</formula>
    </cfRule>
  </conditionalFormatting>
  <conditionalFormatting sqref="Z448:Z449">
    <cfRule type="containsText" dxfId="0" priority="1806" operator="between" text="欠">
      <formula>NOT(ISERROR(SEARCH("欠",Z448)))</formula>
    </cfRule>
  </conditionalFormatting>
  <conditionalFormatting sqref="Z450:Z451">
    <cfRule type="containsText" dxfId="0" priority="1795" operator="between" text="欠">
      <formula>NOT(ISERROR(SEARCH("欠",Z450)))</formula>
    </cfRule>
  </conditionalFormatting>
  <conditionalFormatting sqref="Z452:Z463">
    <cfRule type="containsText" dxfId="0" priority="1781" operator="between" text="欠">
      <formula>NOT(ISERROR(SEARCH("欠",Z452)))</formula>
    </cfRule>
  </conditionalFormatting>
  <conditionalFormatting sqref="Z464:Z466">
    <cfRule type="containsText" dxfId="0" priority="1737" operator="between" text="欠">
      <formula>NOT(ISERROR(SEARCH("欠",Z464)))</formula>
    </cfRule>
  </conditionalFormatting>
  <conditionalFormatting sqref="Z467:Z468">
    <cfRule type="containsText" dxfId="0" priority="1731" operator="between" text="欠">
      <formula>NOT(ISERROR(SEARCH("欠",Z467)))</formula>
    </cfRule>
  </conditionalFormatting>
  <conditionalFormatting sqref="Z470:Z472">
    <cfRule type="containsText" dxfId="0" priority="1694" operator="between" text="欠">
      <formula>NOT(ISERROR(SEARCH("欠",Z470)))</formula>
    </cfRule>
  </conditionalFormatting>
  <conditionalFormatting sqref="Z480:Z483">
    <cfRule type="containsText" dxfId="0" priority="1589" operator="between" text="欠">
      <formula>NOT(ISERROR(SEARCH("欠",Z480)))</formula>
    </cfRule>
  </conditionalFormatting>
  <conditionalFormatting sqref="Z484:Z490">
    <cfRule type="containsText" dxfId="0" priority="1561" operator="between" text="欠">
      <formula>NOT(ISERROR(SEARCH("欠",Z484)))</formula>
    </cfRule>
  </conditionalFormatting>
  <conditionalFormatting sqref="Z499:Z500">
    <cfRule type="containsText" dxfId="0" priority="1513" operator="between" text="欠">
      <formula>NOT(ISERROR(SEARCH("欠",Z499)))</formula>
    </cfRule>
  </conditionalFormatting>
  <conditionalFormatting sqref="Z522:Z524">
    <cfRule type="containsText" dxfId="0" priority="1430" operator="between" text="欠">
      <formula>NOT(ISERROR(SEARCH("欠",Z522)))</formula>
    </cfRule>
  </conditionalFormatting>
  <conditionalFormatting sqref="Z525:Z527">
    <cfRule type="containsText" dxfId="0" priority="1416" operator="between" text="欠">
      <formula>NOT(ISERROR(SEARCH("欠",Z525)))</formula>
    </cfRule>
  </conditionalFormatting>
  <conditionalFormatting sqref="Z529:Z534">
    <cfRule type="containsText" dxfId="0" priority="1399" operator="between" text="欠">
      <formula>NOT(ISERROR(SEARCH("欠",Z529)))</formula>
    </cfRule>
  </conditionalFormatting>
  <conditionalFormatting sqref="Z535:Z537">
    <cfRule type="containsText" dxfId="0" priority="1361" operator="between" text="欠">
      <formula>NOT(ISERROR(SEARCH("欠",Z535)))</formula>
    </cfRule>
  </conditionalFormatting>
  <conditionalFormatting sqref="Z541:Z556">
    <cfRule type="containsText" dxfId="0" priority="1320" operator="between" text="欠">
      <formula>NOT(ISERROR(SEARCH("欠",Z541)))</formula>
    </cfRule>
  </conditionalFormatting>
  <conditionalFormatting sqref="Z558:Z560">
    <cfRule type="containsText" dxfId="0" priority="1278" operator="between" text="欠">
      <formula>NOT(ISERROR(SEARCH("欠",Z558)))</formula>
    </cfRule>
  </conditionalFormatting>
  <conditionalFormatting sqref="Z569:Z571">
    <cfRule type="containsText" dxfId="0" priority="1080" operator="between" text="欠">
      <formula>NOT(ISERROR(SEARCH("欠",Z569)))</formula>
    </cfRule>
  </conditionalFormatting>
  <conditionalFormatting sqref="Z572:Z573">
    <cfRule type="containsText" dxfId="0" priority="1058" operator="between" text="欠">
      <formula>NOT(ISERROR(SEARCH("欠",Z572)))</formula>
    </cfRule>
  </conditionalFormatting>
  <conditionalFormatting sqref="Z595:Z597">
    <cfRule type="containsText" dxfId="0" priority="964" operator="between" text="欠">
      <formula>NOT(ISERROR(SEARCH("欠",Z595)))</formula>
    </cfRule>
  </conditionalFormatting>
  <conditionalFormatting sqref="Z610:Z614">
    <cfRule type="containsText" dxfId="0" priority="883" operator="between" text="欠">
      <formula>NOT(ISERROR(SEARCH("欠",Z610)))</formula>
    </cfRule>
  </conditionalFormatting>
  <conditionalFormatting sqref="Z615:Z616">
    <cfRule type="containsText" dxfId="0" priority="856" operator="between" text="欠">
      <formula>NOT(ISERROR(SEARCH("欠",Z615)))</formula>
    </cfRule>
  </conditionalFormatting>
  <conditionalFormatting sqref="Z617:Z618">
    <cfRule type="containsText" dxfId="0" priority="842" operator="between" text="欠">
      <formula>NOT(ISERROR(SEARCH("欠",Z617)))</formula>
    </cfRule>
  </conditionalFormatting>
  <conditionalFormatting sqref="Z619:Z625">
    <cfRule type="containsText" dxfId="0" priority="829" operator="between" text="欠">
      <formula>NOT(ISERROR(SEARCH("欠",Z619)))</formula>
    </cfRule>
  </conditionalFormatting>
  <conditionalFormatting sqref="Z628:Z630">
    <cfRule type="containsText" dxfId="0" priority="763" operator="between" text="欠">
      <formula>NOT(ISERROR(SEARCH("欠",Z628)))</formula>
    </cfRule>
  </conditionalFormatting>
  <conditionalFormatting sqref="Z632:Z633">
    <cfRule type="containsText" dxfId="0" priority="740" operator="between" text="欠">
      <formula>NOT(ISERROR(SEARCH("欠",Z632)))</formula>
    </cfRule>
  </conditionalFormatting>
  <conditionalFormatting sqref="Z634:Z635">
    <cfRule type="containsText" dxfId="0" priority="730" operator="between" text="欠">
      <formula>NOT(ISERROR(SEARCH("欠",Z634)))</formula>
    </cfRule>
  </conditionalFormatting>
  <conditionalFormatting sqref="Z637:Z639">
    <cfRule type="containsText" dxfId="0" priority="695" operator="between" text="欠">
      <formula>NOT(ISERROR(SEARCH("欠",Z637)))</formula>
    </cfRule>
  </conditionalFormatting>
  <conditionalFormatting sqref="Z670:Z672">
    <cfRule type="containsText" dxfId="0" priority="589" operator="between" text="欠">
      <formula>NOT(ISERROR(SEARCH("欠",Z670)))</formula>
    </cfRule>
  </conditionalFormatting>
  <conditionalFormatting sqref="Z674:Z675">
    <cfRule type="containsText" dxfId="0" priority="548" operator="between" text="欠">
      <formula>NOT(ISERROR(SEARCH("欠",Z674)))</formula>
    </cfRule>
  </conditionalFormatting>
  <conditionalFormatting sqref="Z695:Z697">
    <cfRule type="containsText" dxfId="0" priority="524" operator="between" text="欠">
      <formula>NOT(ISERROR(SEARCH("欠",Z695)))</formula>
    </cfRule>
  </conditionalFormatting>
  <conditionalFormatting sqref="Z704:Z710">
    <cfRule type="containsText" dxfId="0" priority="425" operator="between" text="欠">
      <formula>NOT(ISERROR(SEARCH("欠",Z704)))</formula>
    </cfRule>
  </conditionalFormatting>
  <conditionalFormatting sqref="Z713:Z714">
    <cfRule type="containsText" dxfId="0" priority="388" operator="between" text="欠">
      <formula>NOT(ISERROR(SEARCH("欠",Z713)))</formula>
    </cfRule>
  </conditionalFormatting>
  <conditionalFormatting sqref="Z717:Z718">
    <cfRule type="containsText" dxfId="0" priority="357" operator="between" text="欠">
      <formula>NOT(ISERROR(SEARCH("欠",Z717)))</formula>
    </cfRule>
  </conditionalFormatting>
  <conditionalFormatting sqref="Z730:Z731">
    <cfRule type="containsText" dxfId="0" priority="228" operator="between" text="欠">
      <formula>NOT(ISERROR(SEARCH("欠",Z730)))</formula>
    </cfRule>
  </conditionalFormatting>
  <conditionalFormatting sqref="Z735:Z749">
    <cfRule type="containsText" dxfId="0" priority="178" operator="between" text="欠">
      <formula>NOT(ISERROR(SEARCH("欠",Z735)))</formula>
    </cfRule>
  </conditionalFormatting>
  <conditionalFormatting sqref="Z750:Z751">
    <cfRule type="containsText" dxfId="0" priority="145" operator="between" text="欠">
      <formula>NOT(ISERROR(SEARCH("欠",Z750)))</formula>
    </cfRule>
  </conditionalFormatting>
  <conditionalFormatting sqref="Z753:Z754">
    <cfRule type="containsText" dxfId="0" priority="126" operator="between" text="欠">
      <formula>NOT(ISERROR(SEARCH("欠",Z753)))</formula>
    </cfRule>
  </conditionalFormatting>
  <conditionalFormatting sqref="AA4:AA7">
    <cfRule type="containsText" dxfId="0" priority="5492" operator="between" text="欠">
      <formula>NOT(ISERROR(SEARCH("欠",AA4)))</formula>
    </cfRule>
  </conditionalFormatting>
  <conditionalFormatting sqref="AA11:AA12">
    <cfRule type="containsText" dxfId="0" priority="5466" operator="between" text="欠">
      <formula>NOT(ISERROR(SEARCH("欠",AA11)))</formula>
    </cfRule>
  </conditionalFormatting>
  <conditionalFormatting sqref="AA15:AA18">
    <cfRule type="containsText" dxfId="0" priority="5440" operator="between" text="欠">
      <formula>NOT(ISERROR(SEARCH("欠",AA15)))</formula>
    </cfRule>
  </conditionalFormatting>
  <conditionalFormatting sqref="AA20:AA24">
    <cfRule type="containsText" dxfId="0" priority="5420" operator="between" text="欠">
      <formula>NOT(ISERROR(SEARCH("欠",AA20)))</formula>
    </cfRule>
  </conditionalFormatting>
  <conditionalFormatting sqref="AA26:AA35">
    <cfRule type="containsText" dxfId="0" priority="5392" operator="between" text="欠">
      <formula>NOT(ISERROR(SEARCH("欠",AA26)))</formula>
    </cfRule>
  </conditionalFormatting>
  <conditionalFormatting sqref="AA61:AA65">
    <cfRule type="containsText" dxfId="0" priority="5222" operator="between" text="欠">
      <formula>NOT(ISERROR(SEARCH("欠",AA61)))</formula>
    </cfRule>
  </conditionalFormatting>
  <conditionalFormatting sqref="AA69:AA70">
    <cfRule type="containsText" dxfId="0" priority="5178" operator="between" text="欠">
      <formula>NOT(ISERROR(SEARCH("欠",AA69)))</formula>
    </cfRule>
  </conditionalFormatting>
  <conditionalFormatting sqref="AA78:AA80">
    <cfRule type="containsText" dxfId="0" priority="5126" operator="between" text="欠">
      <formula>NOT(ISERROR(SEARCH("欠",AA78)))</formula>
    </cfRule>
  </conditionalFormatting>
  <conditionalFormatting sqref="AA124:AA126">
    <cfRule type="containsText" dxfId="0" priority="4954" operator="between" text="欠">
      <formula>NOT(ISERROR(SEARCH("欠",AA124)))</formula>
    </cfRule>
  </conditionalFormatting>
  <conditionalFormatting sqref="AA159:AA160">
    <cfRule type="containsText" dxfId="0" priority="4739" operator="between" text="欠">
      <formula>NOT(ISERROR(SEARCH("欠",AA159)))</formula>
    </cfRule>
  </conditionalFormatting>
  <conditionalFormatting sqref="AA191:AA192">
    <cfRule type="containsText" dxfId="0" priority="3853" operator="between" text="欠">
      <formula>NOT(ISERROR(SEARCH("欠",AA191)))</formula>
    </cfRule>
  </conditionalFormatting>
  <conditionalFormatting sqref="AA193:AA196">
    <cfRule type="containsText" dxfId="0" priority="3826" operator="between" text="欠">
      <formula>NOT(ISERROR(SEARCH("欠",AA193)))</formula>
    </cfRule>
  </conditionalFormatting>
  <conditionalFormatting sqref="AA198:AA203">
    <cfRule type="containsText" dxfId="0" priority="3799" operator="between" text="欠">
      <formula>NOT(ISERROR(SEARCH("欠",AA198)))</formula>
    </cfRule>
  </conditionalFormatting>
  <conditionalFormatting sqref="AA206:AA208">
    <cfRule type="containsText" dxfId="0" priority="3766" operator="between" text="欠">
      <formula>NOT(ISERROR(SEARCH("欠",AA206)))</formula>
    </cfRule>
  </conditionalFormatting>
  <conditionalFormatting sqref="AA216:AA218">
    <cfRule type="containsText" dxfId="0" priority="3641" operator="between" text="欠">
      <formula>NOT(ISERROR(SEARCH("欠",AA216)))</formula>
    </cfRule>
  </conditionalFormatting>
  <conditionalFormatting sqref="AA225:AA226">
    <cfRule type="containsText" dxfId="0" priority="3560" operator="between" text="欠">
      <formula>NOT(ISERROR(SEARCH("欠",AA225)))</formula>
    </cfRule>
  </conditionalFormatting>
  <conditionalFormatting sqref="AA285:AA286">
    <cfRule type="containsText" dxfId="0" priority="2998" operator="between" text="欠">
      <formula>NOT(ISERROR(SEARCH("欠",AA285)))</formula>
    </cfRule>
  </conditionalFormatting>
  <conditionalFormatting sqref="AA302:AA303">
    <cfRule type="containsText" dxfId="0" priority="2854" operator="between" text="欠">
      <formula>NOT(ISERROR(SEARCH("欠",AA302)))</formula>
    </cfRule>
  </conditionalFormatting>
  <conditionalFormatting sqref="AA379:AA380">
    <cfRule type="containsText" dxfId="0" priority="2399" operator="between" text="欠">
      <formula>NOT(ISERROR(SEARCH("欠",AA379)))</formula>
    </cfRule>
  </conditionalFormatting>
  <conditionalFormatting sqref="AA386:AA387">
    <cfRule type="containsText" dxfId="0" priority="2290" operator="between" text="欠">
      <formula>NOT(ISERROR(SEARCH("欠",AA386)))</formula>
    </cfRule>
  </conditionalFormatting>
  <conditionalFormatting sqref="AA408:AA409">
    <cfRule type="containsText" dxfId="0" priority="2074" operator="between" text="欠">
      <formula>NOT(ISERROR(SEARCH("欠",AA408)))</formula>
    </cfRule>
  </conditionalFormatting>
  <conditionalFormatting sqref="AA411:AA413">
    <cfRule type="containsText" dxfId="0" priority="2090" operator="between" text="欠">
      <formula>NOT(ISERROR(SEARCH("欠",AA411)))</formula>
    </cfRule>
  </conditionalFormatting>
  <conditionalFormatting sqref="AA422:AA428">
    <cfRule type="containsText" dxfId="0" priority="1988" operator="between" text="欠">
      <formula>NOT(ISERROR(SEARCH("欠",AA422)))</formula>
    </cfRule>
  </conditionalFormatting>
  <conditionalFormatting sqref="AA460:AA463">
    <cfRule type="containsText" dxfId="0" priority="1749" operator="between" text="欠">
      <formula>NOT(ISERROR(SEARCH("欠",AA460)))</formula>
    </cfRule>
  </conditionalFormatting>
  <conditionalFormatting sqref="AA501:AA504">
    <cfRule type="containsText" dxfId="0" priority="1462" operator="between" text="欠">
      <formula>NOT(ISERROR(SEARCH("欠",AA501)))</formula>
    </cfRule>
  </conditionalFormatting>
  <conditionalFormatting sqref="AA548:AA553">
    <cfRule type="containsText" dxfId="0" priority="1311" operator="between" text="欠">
      <formula>NOT(ISERROR(SEARCH("欠",AA548)))</formula>
    </cfRule>
  </conditionalFormatting>
  <conditionalFormatting sqref="AA595:AA597">
    <cfRule type="containsText" dxfId="0" priority="963" operator="between" text="欠">
      <formula>NOT(ISERROR(SEARCH("欠",AA595)))</formula>
    </cfRule>
  </conditionalFormatting>
  <conditionalFormatting sqref="AA624:AA625">
    <cfRule type="containsText" dxfId="0" priority="802" operator="between" text="欠">
      <formula>NOT(ISERROR(SEARCH("欠",AA624)))</formula>
    </cfRule>
  </conditionalFormatting>
  <conditionalFormatting sqref="AA637:AA639">
    <cfRule type="containsText" dxfId="0" priority="694" operator="between" text="欠">
      <formula>NOT(ISERROR(SEARCH("欠",AA637)))</formula>
    </cfRule>
  </conditionalFormatting>
  <conditionalFormatting sqref="AA704:AA710">
    <cfRule type="containsText" dxfId="0" priority="424" operator="between" text="欠">
      <formula>NOT(ISERROR(SEARCH("欠",AA704)))</formula>
    </cfRule>
  </conditionalFormatting>
  <conditionalFormatting sqref="AA730:AA731">
    <cfRule type="containsText" dxfId="0" priority="224" operator="between" text="欠">
      <formula>NOT(ISERROR(SEARCH("欠",AA730)))</formula>
    </cfRule>
  </conditionalFormatting>
  <conditionalFormatting sqref="AB11:AB12">
    <cfRule type="containsText" dxfId="0" priority="5465" operator="between" text="欠">
      <formula>NOT(ISERROR(SEARCH("欠",AB11)))</formula>
    </cfRule>
  </conditionalFormatting>
  <conditionalFormatting sqref="AB14:AB18">
    <cfRule type="containsText" dxfId="0" priority="5439" operator="between" text="欠">
      <formula>NOT(ISERROR(SEARCH("欠",AB14)))</formula>
    </cfRule>
  </conditionalFormatting>
  <conditionalFormatting sqref="AB61:AB65">
    <cfRule type="containsText" dxfId="0" priority="5215" operator="between" text="欠">
      <formula>NOT(ISERROR(SEARCH("欠",AB61)))</formula>
    </cfRule>
  </conditionalFormatting>
  <conditionalFormatting sqref="AB78:AB79">
    <cfRule type="containsText" dxfId="0" priority="5124" operator="between" text="欠">
      <formula>NOT(ISERROR(SEARCH("欠",AB78)))</formula>
    </cfRule>
  </conditionalFormatting>
  <conditionalFormatting sqref="AB118:AB120">
    <cfRule type="containsText" dxfId="0" priority="4993" operator="between" text="欠">
      <formula>NOT(ISERROR(SEARCH("欠",AB118)))</formula>
    </cfRule>
  </conditionalFormatting>
  <conditionalFormatting sqref="AB136:AB137">
    <cfRule type="containsText" dxfId="0" priority="4858" operator="between" text="欠">
      <formula>NOT(ISERROR(SEARCH("欠",AB136)))</formula>
    </cfRule>
  </conditionalFormatting>
  <conditionalFormatting sqref="AB159:AB160">
    <cfRule type="containsText" dxfId="0" priority="4734" operator="between" text="欠">
      <formula>NOT(ISERROR(SEARCH("欠",AB159)))</formula>
    </cfRule>
  </conditionalFormatting>
  <conditionalFormatting sqref="AB190:AB192">
    <cfRule type="containsText" dxfId="0" priority="3861" operator="between" text="欠">
      <formula>NOT(ISERROR(SEARCH("欠",AB190)))</formula>
    </cfRule>
  </conditionalFormatting>
  <conditionalFormatting sqref="AB193:AB197">
    <cfRule type="containsText" dxfId="0" priority="3827" operator="between" text="欠">
      <formula>NOT(ISERROR(SEARCH("欠",AB193)))</formula>
    </cfRule>
  </conditionalFormatting>
  <conditionalFormatting sqref="AB206:AB208">
    <cfRule type="containsText" dxfId="0" priority="3759" operator="between" text="欠">
      <formula>NOT(ISERROR(SEARCH("欠",AB206)))</formula>
    </cfRule>
  </conditionalFormatting>
  <conditionalFormatting sqref="AB216:AB218">
    <cfRule type="containsText" dxfId="0" priority="3633" operator="between" text="欠">
      <formula>NOT(ISERROR(SEARCH("欠",AB216)))</formula>
    </cfRule>
  </conditionalFormatting>
  <conditionalFormatting sqref="AB224:AB225">
    <cfRule type="containsText" dxfId="0" priority="3566" operator="between" text="欠">
      <formula>NOT(ISERROR(SEARCH("欠",AB224)))</formula>
    </cfRule>
  </conditionalFormatting>
  <conditionalFormatting sqref="AB285:AB286">
    <cfRule type="containsText" dxfId="0" priority="2993" operator="between" text="欠">
      <formula>NOT(ISERROR(SEARCH("欠",AB285)))</formula>
    </cfRule>
  </conditionalFormatting>
  <conditionalFormatting sqref="AB302:AB304">
    <cfRule type="containsText" dxfId="0" priority="2849" operator="between" text="欠">
      <formula>NOT(ISERROR(SEARCH("欠",AB302)))</formula>
    </cfRule>
  </conditionalFormatting>
  <conditionalFormatting sqref="AB386:AB387">
    <cfRule type="containsText" dxfId="0" priority="2289" operator="between" text="欠">
      <formula>NOT(ISERROR(SEARCH("欠",AB386)))</formula>
    </cfRule>
  </conditionalFormatting>
  <conditionalFormatting sqref="AB408:AB409">
    <cfRule type="containsText" dxfId="0" priority="2084" operator="between" text="欠">
      <formula>NOT(ISERROR(SEARCH("欠",AB408)))</formula>
    </cfRule>
  </conditionalFormatting>
  <conditionalFormatting sqref="AB411:AB413">
    <cfRule type="containsText" dxfId="0" priority="2108" operator="between" text="欠">
      <formula>NOT(ISERROR(SEARCH("欠",AB411)))</formula>
    </cfRule>
  </conditionalFormatting>
  <conditionalFormatting sqref="AB422:AB428">
    <cfRule type="containsText" dxfId="0" priority="1987" operator="between" text="欠">
      <formula>NOT(ISERROR(SEARCH("欠",AB422)))</formula>
    </cfRule>
  </conditionalFormatting>
  <conditionalFormatting sqref="AB459:AB463">
    <cfRule type="containsText" dxfId="0" priority="1748" operator="between" text="欠">
      <formula>NOT(ISERROR(SEARCH("欠",AB459)))</formula>
    </cfRule>
  </conditionalFormatting>
  <conditionalFormatting sqref="AB484:AB487">
    <cfRule type="containsText" dxfId="0" priority="1560" operator="between" text="欠">
      <formula>NOT(ISERROR(SEARCH("欠",AB484)))</formula>
    </cfRule>
  </conditionalFormatting>
  <conditionalFormatting sqref="AB588:AB593">
    <cfRule type="containsText" dxfId="0" priority="1093" operator="between" text="欠">
      <formula>NOT(ISERROR(SEARCH("欠",AB588)))</formula>
    </cfRule>
  </conditionalFormatting>
  <conditionalFormatting sqref="AB624:AB625">
    <cfRule type="containsText" dxfId="0" priority="801" operator="between" text="欠">
      <formula>NOT(ISERROR(SEARCH("欠",AB624)))</formula>
    </cfRule>
  </conditionalFormatting>
  <conditionalFormatting sqref="AB705:AB710">
    <cfRule type="containsText" dxfId="0" priority="429" operator="between" text="欠">
      <formula>NOT(ISERROR(SEARCH("欠",AB705)))</formula>
    </cfRule>
  </conditionalFormatting>
  <conditionalFormatting sqref="AB730:AB731">
    <cfRule type="containsText" dxfId="0" priority="226" operator="between" text="欠">
      <formula>NOT(ISERROR(SEARCH("欠",AB730)))</formula>
    </cfRule>
  </conditionalFormatting>
  <conditionalFormatting sqref="AB755:AB756">
    <cfRule type="containsText" dxfId="0" priority="69" operator="between" text="欠">
      <formula>NOT(ISERROR(SEARCH("欠",AB755)))</formula>
    </cfRule>
  </conditionalFormatting>
  <conditionalFormatting sqref="AC15:AC18">
    <cfRule type="containsText" dxfId="0" priority="5449" operator="between" text="欠">
      <formula>NOT(ISERROR(SEARCH("欠",AC15)))</formula>
    </cfRule>
  </conditionalFormatting>
  <conditionalFormatting sqref="AC195:AC196">
    <cfRule type="containsText" dxfId="0" priority="3828" operator="between" text="欠">
      <formula>NOT(ISERROR(SEARCH("欠",AC195)))</formula>
    </cfRule>
  </conditionalFormatting>
  <conditionalFormatting sqref="AC224:AC226">
    <cfRule type="containsText" dxfId="0" priority="3559" operator="between" text="欠">
      <formula>NOT(ISERROR(SEARCH("欠",AC224)))</formula>
    </cfRule>
  </conditionalFormatting>
  <conditionalFormatting sqref="AC285:AC286">
    <cfRule type="containsText" dxfId="0" priority="2991" operator="between" text="欠">
      <formula>NOT(ISERROR(SEARCH("欠",AC285)))</formula>
    </cfRule>
  </conditionalFormatting>
  <conditionalFormatting sqref="AC288:AC289">
    <cfRule type="containsText" dxfId="0" priority="2958" operator="between" text="欠">
      <formula>NOT(ISERROR(SEARCH("欠",AC288)))</formula>
    </cfRule>
  </conditionalFormatting>
  <conditionalFormatting sqref="AC408:AC409">
    <cfRule type="containsText" dxfId="0" priority="2083" operator="between" text="欠">
      <formula>NOT(ISERROR(SEARCH("欠",AC408)))</formula>
    </cfRule>
  </conditionalFormatting>
  <conditionalFormatting sqref="AC411:AC413">
    <cfRule type="containsText" dxfId="0" priority="2107" operator="between" text="欠">
      <formula>NOT(ISERROR(SEARCH("欠",AC411)))</formula>
    </cfRule>
  </conditionalFormatting>
  <conditionalFormatting sqref="AC433:AC434">
    <cfRule type="containsText" dxfId="0" priority="1944" operator="between" text="欠">
      <formula>NOT(ISERROR(SEARCH("欠",AC433)))</formula>
    </cfRule>
  </conditionalFormatting>
  <conditionalFormatting sqref="AC470:AC472">
    <cfRule type="containsText" dxfId="0" priority="1697" operator="between" text="欠">
      <formula>NOT(ISERROR(SEARCH("欠",AC470)))</formula>
    </cfRule>
  </conditionalFormatting>
  <conditionalFormatting sqref="AC480:AC483">
    <cfRule type="containsText" dxfId="0" priority="1591" operator="between" text="欠">
      <formula>NOT(ISERROR(SEARCH("欠",AC480)))</formula>
    </cfRule>
  </conditionalFormatting>
  <conditionalFormatting sqref="AC481:AC482">
    <cfRule type="containsText" dxfId="0" priority="1590" operator="between" text="欠">
      <formula>NOT(ISERROR(SEARCH("欠",AC481)))</formula>
    </cfRule>
  </conditionalFormatting>
  <conditionalFormatting sqref="AC484:AC490">
    <cfRule type="containsText" dxfId="0" priority="1570" operator="between" text="欠">
      <formula>NOT(ISERROR(SEARCH("欠",AC484)))</formula>
    </cfRule>
  </conditionalFormatting>
  <conditionalFormatting sqref="AC535:AC537">
    <cfRule type="containsText" dxfId="0" priority="1366" operator="between" text="欠">
      <formula>NOT(ISERROR(SEARCH("欠",AC535)))</formula>
    </cfRule>
  </conditionalFormatting>
  <conditionalFormatting sqref="AC550:AC555">
    <cfRule type="containsText" dxfId="0" priority="1299" operator="between" text="欠">
      <formula>NOT(ISERROR(SEARCH("欠",AC550)))</formula>
    </cfRule>
  </conditionalFormatting>
  <conditionalFormatting sqref="AC592:AC593">
    <cfRule type="containsText" dxfId="0" priority="1106" operator="between" text="欠">
      <formula>NOT(ISERROR(SEARCH("欠",AC592)))</formula>
    </cfRule>
  </conditionalFormatting>
  <conditionalFormatting sqref="AC603:AC605">
    <cfRule type="containsText" dxfId="0" priority="938" operator="between" text="欠">
      <formula>NOT(ISERROR(SEARCH("欠",AC603)))</formula>
    </cfRule>
  </conditionalFormatting>
  <conditionalFormatting sqref="AC634:AC635">
    <cfRule type="containsText" dxfId="0" priority="727" operator="between" text="欠">
      <formula>NOT(ISERROR(SEARCH("欠",AC634)))</formula>
    </cfRule>
  </conditionalFormatting>
  <conditionalFormatting sqref="AC652:AC659">
    <cfRule type="containsText" dxfId="0" priority="604" operator="between" text="欠">
      <formula>NOT(ISERROR(SEARCH("欠",AC652)))</formula>
    </cfRule>
  </conditionalFormatting>
  <conditionalFormatting sqref="AC676:AC693">
    <cfRule type="containsText" dxfId="0" priority="539" operator="between" text="欠">
      <formula>NOT(ISERROR(SEARCH("欠",AC676)))</formula>
    </cfRule>
  </conditionalFormatting>
  <conditionalFormatting sqref="AC713:AC714">
    <cfRule type="containsText" dxfId="0" priority="391" operator="between" text="欠">
      <formula>NOT(ISERROR(SEARCH("欠",AC713)))</formula>
    </cfRule>
  </conditionalFormatting>
  <conditionalFormatting sqref="AC753:AC754">
    <cfRule type="containsText" dxfId="0" priority="111" operator="between" text="欠">
      <formula>NOT(ISERROR(SEARCH("欠",AC753)))</formula>
    </cfRule>
  </conditionalFormatting>
  <conditionalFormatting sqref="AD3:AD7">
    <cfRule type="containsText" dxfId="0" priority="5489" operator="between" text="欠">
      <formula>NOT(ISERROR(SEARCH("欠",AD3)))</formula>
    </cfRule>
  </conditionalFormatting>
  <conditionalFormatting sqref="AD10:AD12">
    <cfRule type="containsText" dxfId="0" priority="5475" operator="between" text="欠">
      <formula>NOT(ISERROR(SEARCH("欠",AD10)))</formula>
    </cfRule>
  </conditionalFormatting>
  <conditionalFormatting sqref="AD25:AD26">
    <cfRule type="containsText" dxfId="0" priority="5399" operator="between" text="欠">
      <formula>NOT(ISERROR(SEARCH("欠",AD25)))</formula>
    </cfRule>
  </conditionalFormatting>
  <conditionalFormatting sqref="AD86:AD89">
    <cfRule type="containsText" dxfId="0" priority="5144" operator="between" text="欠">
      <formula>NOT(ISERROR(SEARCH("欠",AD86)))</formula>
    </cfRule>
  </conditionalFormatting>
  <conditionalFormatting sqref="AD90:AD91">
    <cfRule type="containsText" dxfId="0" priority="5087" operator="between" text="欠">
      <formula>NOT(ISERROR(SEARCH("欠",AD90)))</formula>
    </cfRule>
  </conditionalFormatting>
  <conditionalFormatting sqref="AD109:AD114">
    <cfRule type="containsText" dxfId="0" priority="4996" operator="between" text="欠">
      <formula>NOT(ISERROR(SEARCH("欠",AD109)))</formula>
    </cfRule>
  </conditionalFormatting>
  <conditionalFormatting sqref="AD115:AD116">
    <cfRule type="containsText" dxfId="0" priority="5023" operator="between" text="欠">
      <formula>NOT(ISERROR(SEARCH("欠",AD115)))</formula>
    </cfRule>
  </conditionalFormatting>
  <conditionalFormatting sqref="AD124:AD126">
    <cfRule type="containsText" dxfId="0" priority="4955" operator="between" text="欠">
      <formula>NOT(ISERROR(SEARCH("欠",AD124)))</formula>
    </cfRule>
  </conditionalFormatting>
  <conditionalFormatting sqref="AD140:AD142">
    <cfRule type="containsText" dxfId="0" priority="4840" operator="between" text="欠">
      <formula>NOT(ISERROR(SEARCH("欠",AD140)))</formula>
    </cfRule>
  </conditionalFormatting>
  <conditionalFormatting sqref="AD195:AD196">
    <cfRule type="containsText" dxfId="0" priority="3829" operator="between" text="欠">
      <formula>NOT(ISERROR(SEARCH("欠",AD195)))</formula>
    </cfRule>
  </conditionalFormatting>
  <conditionalFormatting sqref="AD211:AD212">
    <cfRule type="containsText" dxfId="0" priority="3702" operator="between" text="欠">
      <formula>NOT(ISERROR(SEARCH("欠",AD211)))</formula>
    </cfRule>
  </conditionalFormatting>
  <conditionalFormatting sqref="AD224:AD226">
    <cfRule type="containsText" dxfId="0" priority="3561" operator="between" text="欠">
      <formula>NOT(ISERROR(SEARCH("欠",AD224)))</formula>
    </cfRule>
  </conditionalFormatting>
  <conditionalFormatting sqref="AD285:AD286">
    <cfRule type="containsText" dxfId="0" priority="2990" operator="between" text="欠">
      <formula>NOT(ISERROR(SEARCH("欠",AD285)))</formula>
    </cfRule>
  </conditionalFormatting>
  <conditionalFormatting sqref="AD408:AD409">
    <cfRule type="containsText" dxfId="0" priority="2076" operator="between" text="欠">
      <formula>NOT(ISERROR(SEARCH("欠",AD408)))</formula>
    </cfRule>
  </conditionalFormatting>
  <conditionalFormatting sqref="AD411:AD413">
    <cfRule type="containsText" dxfId="0" priority="2096" operator="between" text="欠">
      <formula>NOT(ISERROR(SEARCH("欠",AD411)))</formula>
    </cfRule>
  </conditionalFormatting>
  <conditionalFormatting sqref="AD425:AD427">
    <cfRule type="containsText" dxfId="0" priority="2017" operator="between" text="欠">
      <formula>NOT(ISERROR(SEARCH("欠",AD425)))</formula>
    </cfRule>
  </conditionalFormatting>
  <conditionalFormatting sqref="AD433:AD434">
    <cfRule type="containsText" dxfId="0" priority="1941" operator="between" text="欠">
      <formula>NOT(ISERROR(SEARCH("欠",AD433)))</formula>
    </cfRule>
  </conditionalFormatting>
  <conditionalFormatting sqref="AD480:AD482">
    <cfRule type="containsText" dxfId="0" priority="1579" operator="between" text="欠">
      <formula>NOT(ISERROR(SEARCH("欠",AD480)))</formula>
    </cfRule>
  </conditionalFormatting>
  <conditionalFormatting sqref="AD535:AD537">
    <cfRule type="containsText" dxfId="0" priority="1363" operator="between" text="欠">
      <formula>NOT(ISERROR(SEARCH("欠",AD535)))</formula>
    </cfRule>
  </conditionalFormatting>
  <conditionalFormatting sqref="AD569:AD571">
    <cfRule type="containsText" dxfId="0" priority="1070" operator="between" text="欠">
      <formula>NOT(ISERROR(SEARCH("欠",AD569)))</formula>
    </cfRule>
  </conditionalFormatting>
  <conditionalFormatting sqref="AD581:AD583">
    <cfRule type="containsText" dxfId="0" priority="1157" operator="between" text="欠">
      <formula>NOT(ISERROR(SEARCH("欠",AD581)))</formula>
    </cfRule>
  </conditionalFormatting>
  <conditionalFormatting sqref="AD586:AD587">
    <cfRule type="containsText" dxfId="0" priority="1128" operator="between" text="欠">
      <formula>NOT(ISERROR(SEARCH("欠",AD586)))</formula>
    </cfRule>
  </conditionalFormatting>
  <conditionalFormatting sqref="AD588:AD593">
    <cfRule type="containsText" dxfId="0" priority="1116" operator="between" text="欠">
      <formula>NOT(ISERROR(SEARCH("欠",AD588)))</formula>
    </cfRule>
  </conditionalFormatting>
  <conditionalFormatting sqref="AD598:AD602">
    <cfRule type="containsText" dxfId="0" priority="957" operator="between" text="欠">
      <formula>NOT(ISERROR(SEARCH("欠",AD598)))</formula>
    </cfRule>
  </conditionalFormatting>
  <conditionalFormatting sqref="AD603:AD605">
    <cfRule type="containsText" dxfId="0" priority="940" operator="between" text="欠">
      <formula>NOT(ISERROR(SEARCH("欠",AD603)))</formula>
    </cfRule>
  </conditionalFormatting>
  <conditionalFormatting sqref="AD619:AD621">
    <cfRule type="containsText" dxfId="0" priority="819" operator="between" text="欠">
      <formula>NOT(ISERROR(SEARCH("欠",AD619)))</formula>
    </cfRule>
  </conditionalFormatting>
  <conditionalFormatting sqref="AD634:AD635">
    <cfRule type="containsText" dxfId="0" priority="724" operator="between" text="欠">
      <formula>NOT(ISERROR(SEARCH("欠",AD634)))</formula>
    </cfRule>
  </conditionalFormatting>
  <conditionalFormatting sqref="AD640:AD642">
    <cfRule type="containsText" dxfId="0" priority="692" operator="between" text="欠">
      <formula>NOT(ISERROR(SEARCH("欠",AD640)))</formula>
    </cfRule>
  </conditionalFormatting>
  <conditionalFormatting sqref="AD713:AD714">
    <cfRule type="containsText" dxfId="0" priority="392" operator="between" text="欠">
      <formula>NOT(ISERROR(SEARCH("欠",AD713)))</formula>
    </cfRule>
  </conditionalFormatting>
  <conditionalFormatting sqref="AD724:AD725">
    <cfRule type="containsText" dxfId="0" priority="282" operator="between" text="欠">
      <formula>NOT(ISERROR(SEARCH("欠",AD724)))</formula>
    </cfRule>
  </conditionalFormatting>
  <conditionalFormatting sqref="AD753:AD754">
    <cfRule type="containsText" dxfId="0" priority="119" operator="between" text="欠">
      <formula>NOT(ISERROR(SEARCH("欠",AD753)))</formula>
    </cfRule>
  </conditionalFormatting>
  <conditionalFormatting sqref="AD758:AD760">
    <cfRule type="containsText" dxfId="0" priority="95" operator="between" text="欠">
      <formula>NOT(ISERROR(SEARCH("欠",AD758)))</formula>
    </cfRule>
  </conditionalFormatting>
  <conditionalFormatting sqref="AD761:AD764">
    <cfRule type="containsText" dxfId="0" priority="65" operator="between" text="欠">
      <formula>NOT(ISERROR(SEARCH("欠",AD761)))</formula>
    </cfRule>
  </conditionalFormatting>
  <conditionalFormatting sqref="AE3:AE7">
    <cfRule type="containsText" dxfId="0" priority="5496" operator="between" text="欠">
      <formula>NOT(ISERROR(SEARCH("欠",AE3)))</formula>
    </cfRule>
  </conditionalFormatting>
  <conditionalFormatting sqref="AE10:AE12">
    <cfRule type="containsText" dxfId="0" priority="5469" operator="between" text="欠">
      <formula>NOT(ISERROR(SEARCH("欠",AE10)))</formula>
    </cfRule>
  </conditionalFormatting>
  <conditionalFormatting sqref="AE25:AE35">
    <cfRule type="containsText" dxfId="0" priority="5395" operator="between" text="欠">
      <formula>NOT(ISERROR(SEARCH("欠",AE25)))</formula>
    </cfRule>
  </conditionalFormatting>
  <conditionalFormatting sqref="AE38:AE40">
    <cfRule type="containsText" dxfId="0" priority="5370" operator="between" text="欠">
      <formula>NOT(ISERROR(SEARCH("欠",AE38)))</formula>
    </cfRule>
  </conditionalFormatting>
  <conditionalFormatting sqref="AE53:AE59">
    <cfRule type="containsText" dxfId="0" priority="5245" operator="between" text="欠">
      <formula>NOT(ISERROR(SEARCH("欠",AE53)))</formula>
    </cfRule>
  </conditionalFormatting>
  <conditionalFormatting sqref="AE61:AE65">
    <cfRule type="containsText" dxfId="0" priority="5220" operator="between" text="欠">
      <formula>NOT(ISERROR(SEARCH("欠",AE61)))</formula>
    </cfRule>
  </conditionalFormatting>
  <conditionalFormatting sqref="AE66:AE67">
    <cfRule type="containsText" dxfId="0" priority="5195" operator="between" text="欠">
      <formula>NOT(ISERROR(SEARCH("欠",AE66)))</formula>
    </cfRule>
  </conditionalFormatting>
  <conditionalFormatting sqref="AE71:AE77">
    <cfRule type="containsText" dxfId="0" priority="5163" operator="between" text="欠">
      <formula>NOT(ISERROR(SEARCH("欠",AE71)))</formula>
    </cfRule>
  </conditionalFormatting>
  <conditionalFormatting sqref="AE90:AE92">
    <cfRule type="containsText" dxfId="0" priority="5092" operator="between" text="欠">
      <formula>NOT(ISERROR(SEARCH("欠",AE90)))</formula>
    </cfRule>
  </conditionalFormatting>
  <conditionalFormatting sqref="AE93:AE94">
    <cfRule type="containsText" dxfId="0" priority="5104" operator="between" text="欠">
      <formula>NOT(ISERROR(SEARCH("欠",AE93)))</formula>
    </cfRule>
  </conditionalFormatting>
  <conditionalFormatting sqref="AE109:AE120">
    <cfRule type="containsText" dxfId="0" priority="5021" operator="between" text="欠">
      <formula>NOT(ISERROR(SEARCH("欠",AE109)))</formula>
    </cfRule>
  </conditionalFormatting>
  <conditionalFormatting sqref="AE124:AE126">
    <cfRule type="containsText" dxfId="0" priority="4965" operator="between" text="欠">
      <formula>NOT(ISERROR(SEARCH("欠",AE124)))</formula>
    </cfRule>
  </conditionalFormatting>
  <conditionalFormatting sqref="AE136:AE138">
    <cfRule type="containsText" dxfId="0" priority="4860" operator="between" text="欠">
      <formula>NOT(ISERROR(SEARCH("欠",AE136)))</formula>
    </cfRule>
  </conditionalFormatting>
  <conditionalFormatting sqref="AE140:AE142">
    <cfRule type="containsText" dxfId="0" priority="4833" operator="between" text="欠">
      <formula>NOT(ISERROR(SEARCH("欠",AE140)))</formula>
    </cfRule>
  </conditionalFormatting>
  <conditionalFormatting sqref="AE150:AE152">
    <cfRule type="containsText" dxfId="0" priority="4756" operator="between" text="欠">
      <formula>NOT(ISERROR(SEARCH("欠",AE150)))</formula>
    </cfRule>
  </conditionalFormatting>
  <conditionalFormatting sqref="AE168:AE170">
    <cfRule type="containsText" dxfId="0" priority="4603" operator="between" text="欠">
      <formula>NOT(ISERROR(SEARCH("欠",AE168)))</formula>
    </cfRule>
  </conditionalFormatting>
  <conditionalFormatting sqref="AE194:AE196">
    <cfRule type="containsText" dxfId="0" priority="3835" operator="between" text="欠">
      <formula>NOT(ISERROR(SEARCH("欠",AE194)))</formula>
    </cfRule>
  </conditionalFormatting>
  <conditionalFormatting sqref="AE198:AE203">
    <cfRule type="containsText" dxfId="0" priority="3802" operator="between" text="欠">
      <formula>NOT(ISERROR(SEARCH("欠",AE198)))</formula>
    </cfRule>
  </conditionalFormatting>
  <conditionalFormatting sqref="AE206:AE207">
    <cfRule type="containsText" dxfId="0" priority="3764" operator="between" text="欠">
      <formula>NOT(ISERROR(SEARCH("欠",AE206)))</formula>
    </cfRule>
  </conditionalFormatting>
  <conditionalFormatting sqref="AE211:AE212">
    <cfRule type="containsText" dxfId="0" priority="3693" operator="between" text="欠">
      <formula>NOT(ISERROR(SEARCH("欠",AE211)))</formula>
    </cfRule>
  </conditionalFormatting>
  <conditionalFormatting sqref="AE216:AE218">
    <cfRule type="containsText" dxfId="0" priority="3644" operator="between" text="欠">
      <formula>NOT(ISERROR(SEARCH("欠",AE216)))</formula>
    </cfRule>
  </conditionalFormatting>
  <conditionalFormatting sqref="AE225:AE226">
    <cfRule type="containsText" dxfId="0" priority="3557" operator="between" text="欠">
      <formula>NOT(ISERROR(SEARCH("欠",AE225)))</formula>
    </cfRule>
  </conditionalFormatting>
  <conditionalFormatting sqref="AE247:AE248">
    <cfRule type="containsText" dxfId="0" priority="3302" operator="between" text="欠">
      <formula>NOT(ISERROR(SEARCH("欠",AE247)))</formula>
    </cfRule>
  </conditionalFormatting>
  <conditionalFormatting sqref="AE250:AE256">
    <cfRule type="containsText" dxfId="0" priority="3265" operator="between" text="欠">
      <formula>NOT(ISERROR(SEARCH("欠",AE250)))</formula>
    </cfRule>
  </conditionalFormatting>
  <conditionalFormatting sqref="AE285:AE286">
    <cfRule type="containsText" dxfId="0" priority="2995" operator="between" text="欠">
      <formula>NOT(ISERROR(SEARCH("欠",AE285)))</formula>
    </cfRule>
  </conditionalFormatting>
  <conditionalFormatting sqref="AE288:AE289">
    <cfRule type="containsText" dxfId="0" priority="2949" operator="between" text="欠">
      <formula>NOT(ISERROR(SEARCH("欠",AE288)))</formula>
    </cfRule>
  </conditionalFormatting>
  <conditionalFormatting sqref="AE292:AE293">
    <cfRule type="containsText" dxfId="0" priority="2919" operator="between" text="欠">
      <formula>NOT(ISERROR(SEARCH("欠",AE292)))</formula>
    </cfRule>
  </conditionalFormatting>
  <conditionalFormatting sqref="AE295:AE296">
    <cfRule type="containsText" dxfId="0" priority="2895" operator="between" text="欠">
      <formula>NOT(ISERROR(SEARCH("欠",AE295)))</formula>
    </cfRule>
  </conditionalFormatting>
  <conditionalFormatting sqref="AE298:AE299">
    <cfRule type="containsText" dxfId="0" priority="2868" operator="between" text="欠">
      <formula>NOT(ISERROR(SEARCH("欠",AE298)))</formula>
    </cfRule>
  </conditionalFormatting>
  <conditionalFormatting sqref="AE331:AE338">
    <cfRule type="containsText" dxfId="0" priority="2739" operator="between" text="欠">
      <formula>NOT(ISERROR(SEARCH("欠",AE331)))</formula>
    </cfRule>
  </conditionalFormatting>
  <conditionalFormatting sqref="AE350:AE351">
    <cfRule type="containsText" dxfId="0" priority="2610" operator="between" text="欠">
      <formula>NOT(ISERROR(SEARCH("欠",AE350)))</formula>
    </cfRule>
  </conditionalFormatting>
  <conditionalFormatting sqref="AE352:AE355">
    <cfRule type="containsText" dxfId="0" priority="2586" operator="between" text="欠">
      <formula>NOT(ISERROR(SEARCH("欠",AE352)))</formula>
    </cfRule>
  </conditionalFormatting>
  <conditionalFormatting sqref="AE357:AE365">
    <cfRule type="containsText" dxfId="0" priority="2562" operator="between" text="欠">
      <formula>NOT(ISERROR(SEARCH("欠",AE357)))</formula>
    </cfRule>
  </conditionalFormatting>
  <conditionalFormatting sqref="AE372:AE373">
    <cfRule type="containsText" dxfId="0" priority="2422" operator="between" text="欠">
      <formula>NOT(ISERROR(SEARCH("欠",AE372)))</formula>
    </cfRule>
  </conditionalFormatting>
  <conditionalFormatting sqref="AE375:AE376">
    <cfRule type="containsText" dxfId="0" priority="2394" operator="between" text="欠">
      <formula>NOT(ISERROR(SEARCH("欠",AE375)))</formula>
    </cfRule>
  </conditionalFormatting>
  <conditionalFormatting sqref="AE378:AE379">
    <cfRule type="containsText" dxfId="0" priority="2378" operator="between" text="欠">
      <formula>NOT(ISERROR(SEARCH("欠",AE378)))</formula>
    </cfRule>
  </conditionalFormatting>
  <conditionalFormatting sqref="AE386:AE387">
    <cfRule type="containsText" dxfId="0" priority="2294" operator="between" text="欠">
      <formula>NOT(ISERROR(SEARCH("欠",AE386)))</formula>
    </cfRule>
  </conditionalFormatting>
  <conditionalFormatting sqref="AE408:AE409">
    <cfRule type="containsText" dxfId="0" priority="2081" operator="between" text="欠">
      <formula>NOT(ISERROR(SEARCH("欠",AE408)))</formula>
    </cfRule>
  </conditionalFormatting>
  <conditionalFormatting sqref="AE411:AE413">
    <cfRule type="containsText" dxfId="0" priority="2110" operator="between" text="欠">
      <formula>NOT(ISERROR(SEARCH("欠",AE411)))</formula>
    </cfRule>
  </conditionalFormatting>
  <conditionalFormatting sqref="AE416:AE420">
    <cfRule type="containsText" dxfId="0" priority="2045" operator="between" text="欠">
      <formula>NOT(ISERROR(SEARCH("欠",AE416)))</formula>
    </cfRule>
  </conditionalFormatting>
  <conditionalFormatting sqref="AE438:AE440">
    <cfRule type="containsText" dxfId="0" priority="1888" operator="between" text="欠">
      <formula>NOT(ISERROR(SEARCH("欠",AE438)))</formula>
    </cfRule>
  </conditionalFormatting>
  <conditionalFormatting sqref="AE467:AE468">
    <cfRule type="containsText" dxfId="0" priority="1725" operator="between" text="欠">
      <formula>NOT(ISERROR(SEARCH("欠",AE467)))</formula>
    </cfRule>
  </conditionalFormatting>
  <conditionalFormatting sqref="AE499:AE500">
    <cfRule type="containsText" dxfId="0" priority="1507" operator="between" text="欠">
      <formula>NOT(ISERROR(SEARCH("欠",AE499)))</formula>
    </cfRule>
  </conditionalFormatting>
  <conditionalFormatting sqref="AE529:AE534">
    <cfRule type="containsText" dxfId="0" priority="1395" operator="between" text="欠">
      <formula>NOT(ISERROR(SEARCH("欠",AE529)))</formula>
    </cfRule>
  </conditionalFormatting>
  <conditionalFormatting sqref="AE558:AE560">
    <cfRule type="containsText" dxfId="0" priority="1276" operator="between" text="欠">
      <formula>NOT(ISERROR(SEARCH("欠",AE558)))</formula>
    </cfRule>
  </conditionalFormatting>
  <conditionalFormatting sqref="AE717:AE718">
    <cfRule type="containsText" dxfId="0" priority="344" operator="between" text="欠">
      <formula>NOT(ISERROR(SEARCH("欠",AE717)))</formula>
    </cfRule>
  </conditionalFormatting>
  <conditionalFormatting sqref="AF4:AF7">
    <cfRule type="containsText" dxfId="0" priority="5491" operator="between" text="欠">
      <formula>NOT(ISERROR(SEARCH("欠",AF4)))</formula>
    </cfRule>
  </conditionalFormatting>
  <conditionalFormatting sqref="AF10:AF12">
    <cfRule type="containsText" dxfId="0" priority="5474" operator="between" text="欠">
      <formula>NOT(ISERROR(SEARCH("欠",AF10)))</formula>
    </cfRule>
  </conditionalFormatting>
  <conditionalFormatting sqref="AF14:AF18">
    <cfRule type="containsText" dxfId="0" priority="5456" operator="between" text="欠">
      <formula>NOT(ISERROR(SEARCH("欠",AF14)))</formula>
    </cfRule>
  </conditionalFormatting>
  <conditionalFormatting sqref="AF19:AF24">
    <cfRule type="containsText" dxfId="0" priority="5436" operator="between" text="欠">
      <formula>NOT(ISERROR(SEARCH("欠",AF19)))</formula>
    </cfRule>
  </conditionalFormatting>
  <conditionalFormatting sqref="AF38:AF40">
    <cfRule type="containsText" dxfId="0" priority="5368" operator="between" text="欠">
      <formula>NOT(ISERROR(SEARCH("欠",AF38)))</formula>
    </cfRule>
  </conditionalFormatting>
  <conditionalFormatting sqref="AF53:AF59">
    <cfRule type="containsText" dxfId="0" priority="5255" operator="between" text="欠">
      <formula>NOT(ISERROR(SEARCH("欠",AF53)))</formula>
    </cfRule>
  </conditionalFormatting>
  <conditionalFormatting sqref="AF61:AF65">
    <cfRule type="containsText" dxfId="0" priority="5226" operator="between" text="欠">
      <formula>NOT(ISERROR(SEARCH("欠",AF61)))</formula>
    </cfRule>
  </conditionalFormatting>
  <conditionalFormatting sqref="AF66:AF67">
    <cfRule type="containsText" dxfId="0" priority="5202" operator="between" text="欠">
      <formula>NOT(ISERROR(SEARCH("欠",AF66)))</formula>
    </cfRule>
  </conditionalFormatting>
  <conditionalFormatting sqref="AF71:AF77">
    <cfRule type="containsText" dxfId="0" priority="5164" operator="between" text="欠">
      <formula>NOT(ISERROR(SEARCH("欠",AF71)))</formula>
    </cfRule>
  </conditionalFormatting>
  <conditionalFormatting sqref="AF78:AF89">
    <cfRule type="containsText" dxfId="0" priority="5156" operator="between" text="欠">
      <formula>NOT(ISERROR(SEARCH("欠",AF78)))</formula>
    </cfRule>
  </conditionalFormatting>
  <conditionalFormatting sqref="AF95:AF97">
    <cfRule type="containsText" dxfId="0" priority="5118" operator="between" text="欠">
      <formula>NOT(ISERROR(SEARCH("欠",AF95)))</formula>
    </cfRule>
  </conditionalFormatting>
  <conditionalFormatting sqref="AF100:AF104">
    <cfRule type="containsText" dxfId="0" priority="5061" operator="between" text="欠">
      <formula>NOT(ISERROR(SEARCH("欠",AF100)))</formula>
    </cfRule>
  </conditionalFormatting>
  <conditionalFormatting sqref="AF109:AF120">
    <cfRule type="containsText" dxfId="0" priority="5024" operator="between" text="欠">
      <formula>NOT(ISERROR(SEARCH("欠",AF109)))</formula>
    </cfRule>
  </conditionalFormatting>
  <conditionalFormatting sqref="AF124:AF126">
    <cfRule type="containsText" dxfId="0" priority="4966" operator="between" text="欠">
      <formula>NOT(ISERROR(SEARCH("欠",AF124)))</formula>
    </cfRule>
  </conditionalFormatting>
  <conditionalFormatting sqref="AF140:AF142">
    <cfRule type="containsText" dxfId="0" priority="4839" operator="between" text="欠">
      <formula>NOT(ISERROR(SEARCH("欠",AF140)))</formula>
    </cfRule>
  </conditionalFormatting>
  <conditionalFormatting sqref="AF159:AF160">
    <cfRule type="containsText" dxfId="0" priority="4737" operator="between" text="欠">
      <formula>NOT(ISERROR(SEARCH("欠",AF159)))</formula>
    </cfRule>
  </conditionalFormatting>
  <conditionalFormatting sqref="AF207:AF208">
    <cfRule type="containsText" dxfId="0" priority="3768" operator="between" text="欠">
      <formula>NOT(ISERROR(SEARCH("欠",AF207)))</formula>
    </cfRule>
  </conditionalFormatting>
  <conditionalFormatting sqref="AF217:AF218">
    <cfRule type="containsText" dxfId="0" priority="3652" operator="between" text="欠">
      <formula>NOT(ISERROR(SEARCH("欠",AF217)))</formula>
    </cfRule>
  </conditionalFormatting>
  <conditionalFormatting sqref="AF225:AF226">
    <cfRule type="containsText" dxfId="0" priority="3562" operator="between" text="欠">
      <formula>NOT(ISERROR(SEARCH("欠",AF225)))</formula>
    </cfRule>
  </conditionalFormatting>
  <conditionalFormatting sqref="AF234:AF235">
    <cfRule type="containsText" dxfId="0" priority="3459" operator="between" text="欠">
      <formula>NOT(ISERROR(SEARCH("欠",AF234)))</formula>
    </cfRule>
  </conditionalFormatting>
  <conditionalFormatting sqref="AF247:AF248">
    <cfRule type="containsText" dxfId="0" priority="3298" operator="between" text="欠">
      <formula>NOT(ISERROR(SEARCH("欠",AF247)))</formula>
    </cfRule>
  </conditionalFormatting>
  <conditionalFormatting sqref="AF253:AF254">
    <cfRule type="containsText" dxfId="0" priority="3271" operator="between" text="欠">
      <formula>NOT(ISERROR(SEARCH("欠",AF253)))</formula>
    </cfRule>
  </conditionalFormatting>
  <conditionalFormatting sqref="AF285:AF286">
    <cfRule type="containsText" dxfId="0" priority="2996" operator="between" text="欠">
      <formula>NOT(ISERROR(SEARCH("欠",AF285)))</formula>
    </cfRule>
  </conditionalFormatting>
  <conditionalFormatting sqref="AF288:AF289">
    <cfRule type="containsText" dxfId="0" priority="2954" operator="between" text="欠">
      <formula>NOT(ISERROR(SEARCH("欠",AF288)))</formula>
    </cfRule>
  </conditionalFormatting>
  <conditionalFormatting sqref="AF295:AF296">
    <cfRule type="containsText" dxfId="0" priority="2900" operator="between" text="欠">
      <formula>NOT(ISERROR(SEARCH("欠",AF295)))</formula>
    </cfRule>
  </conditionalFormatting>
  <conditionalFormatting sqref="AF350:AF351">
    <cfRule type="containsText" dxfId="0" priority="2611" operator="between" text="欠">
      <formula>NOT(ISERROR(SEARCH("欠",AF350)))</formula>
    </cfRule>
  </conditionalFormatting>
  <conditionalFormatting sqref="AF377:AF380">
    <cfRule type="containsText" dxfId="0" priority="2396" operator="between" text="欠">
      <formula>NOT(ISERROR(SEARCH("欠",AF377)))</formula>
    </cfRule>
  </conditionalFormatting>
  <conditionalFormatting sqref="AF388:AF389">
    <cfRule type="containsText" dxfId="0" priority="2281" operator="between" text="欠">
      <formula>NOT(ISERROR(SEARCH("欠",AF388)))</formula>
    </cfRule>
  </conditionalFormatting>
  <conditionalFormatting sqref="AF408:AF409">
    <cfRule type="containsText" dxfId="0" priority="2077" operator="between" text="欠">
      <formula>NOT(ISERROR(SEARCH("欠",AF408)))</formula>
    </cfRule>
  </conditionalFormatting>
  <conditionalFormatting sqref="AF411:AF414">
    <cfRule type="containsText" dxfId="0" priority="2097" operator="between" text="欠">
      <formula>NOT(ISERROR(SEARCH("欠",AF411)))</formula>
    </cfRule>
  </conditionalFormatting>
  <conditionalFormatting sqref="AF422:AF428">
    <cfRule type="containsText" dxfId="0" priority="2001" operator="between" text="欠">
      <formula>NOT(ISERROR(SEARCH("欠",AF422)))</formula>
    </cfRule>
  </conditionalFormatting>
  <conditionalFormatting sqref="AF438:AF440">
    <cfRule type="containsText" dxfId="0" priority="1896" operator="between" text="欠">
      <formula>NOT(ISERROR(SEARCH("欠",AF438)))</formula>
    </cfRule>
  </conditionalFormatting>
  <conditionalFormatting sqref="AF448:AF449">
    <cfRule type="containsText" dxfId="0" priority="1798" operator="between" text="欠">
      <formula>NOT(ISERROR(SEARCH("欠",AF448)))</formula>
    </cfRule>
  </conditionalFormatting>
  <conditionalFormatting sqref="AF464:AF466">
    <cfRule type="containsText" dxfId="0" priority="1733" operator="between" text="欠">
      <formula>NOT(ISERROR(SEARCH("欠",AF464)))</formula>
    </cfRule>
  </conditionalFormatting>
  <conditionalFormatting sqref="AF467:AF468">
    <cfRule type="containsText" dxfId="0" priority="1732" operator="between" text="欠">
      <formula>NOT(ISERROR(SEARCH("欠",AF467)))</formula>
    </cfRule>
  </conditionalFormatting>
  <conditionalFormatting sqref="AF471:AF472">
    <cfRule type="containsText" dxfId="0" priority="1688" operator="between" text="欠">
      <formula>NOT(ISERROR(SEARCH("欠",AF471)))</formula>
    </cfRule>
  </conditionalFormatting>
  <conditionalFormatting sqref="AF480:AF483">
    <cfRule type="containsText" dxfId="0" priority="1584" operator="between" text="欠">
      <formula>NOT(ISERROR(SEARCH("欠",AF480)))</formula>
    </cfRule>
  </conditionalFormatting>
  <conditionalFormatting sqref="AF487:AF488">
    <cfRule type="containsText" dxfId="0" priority="1537" operator="between" text="欠">
      <formula>NOT(ISERROR(SEARCH("欠",AF487)))</formula>
    </cfRule>
  </conditionalFormatting>
  <conditionalFormatting sqref="AF525:AF527">
    <cfRule type="containsText" dxfId="0" priority="1420" operator="between" text="欠">
      <formula>NOT(ISERROR(SEARCH("欠",AF525)))</formula>
    </cfRule>
  </conditionalFormatting>
  <conditionalFormatting sqref="AF529:AF534">
    <cfRule type="containsText" dxfId="0" priority="1400" operator="between" text="欠">
      <formula>NOT(ISERROR(SEARCH("欠",AF529)))</formula>
    </cfRule>
  </conditionalFormatting>
  <conditionalFormatting sqref="AF535:AF537">
    <cfRule type="containsText" dxfId="0" priority="1360" operator="between" text="欠">
      <formula>NOT(ISERROR(SEARCH("欠",AF535)))</formula>
    </cfRule>
  </conditionalFormatting>
  <conditionalFormatting sqref="AF572:AF573">
    <cfRule type="containsText" dxfId="0" priority="1054" operator="between" text="欠">
      <formula>NOT(ISERROR(SEARCH("欠",AF572)))</formula>
    </cfRule>
  </conditionalFormatting>
  <conditionalFormatting sqref="AF581:AF583">
    <cfRule type="containsText" dxfId="0" priority="1155" operator="between" text="欠">
      <formula>NOT(ISERROR(SEARCH("欠",AF581)))</formula>
    </cfRule>
  </conditionalFormatting>
  <conditionalFormatting sqref="AF585:AF587">
    <cfRule type="containsText" dxfId="0" priority="1126" operator="between" text="欠">
      <formula>NOT(ISERROR(SEARCH("欠",AF585)))</formula>
    </cfRule>
  </conditionalFormatting>
  <conditionalFormatting sqref="AF588:AF593">
    <cfRule type="containsText" dxfId="0" priority="1110" operator="between" text="欠">
      <formula>NOT(ISERROR(SEARCH("欠",AF588)))</formula>
    </cfRule>
  </conditionalFormatting>
  <conditionalFormatting sqref="AF595:AF597">
    <cfRule type="containsText" dxfId="0" priority="973" operator="between" text="欠">
      <formula>NOT(ISERROR(SEARCH("欠",AF595)))</formula>
    </cfRule>
  </conditionalFormatting>
  <conditionalFormatting sqref="AF603:AF605">
    <cfRule type="containsText" dxfId="0" priority="932" operator="between" text="欠">
      <formula>NOT(ISERROR(SEARCH("欠",AF603)))</formula>
    </cfRule>
  </conditionalFormatting>
  <conditionalFormatting sqref="AF617:AF618">
    <cfRule type="containsText" dxfId="0" priority="843" operator="between" text="欠">
      <formula>NOT(ISERROR(SEARCH("欠",AF617)))</formula>
    </cfRule>
  </conditionalFormatting>
  <conditionalFormatting sqref="AF632:AF633">
    <cfRule type="containsText" dxfId="0" priority="736" operator="between" text="欠">
      <formula>NOT(ISERROR(SEARCH("欠",AF632)))</formula>
    </cfRule>
  </conditionalFormatting>
  <conditionalFormatting sqref="AF634:AF635">
    <cfRule type="containsText" dxfId="0" priority="725" operator="between" text="欠">
      <formula>NOT(ISERROR(SEARCH("欠",AF634)))</formula>
    </cfRule>
  </conditionalFormatting>
  <conditionalFormatting sqref="AF637:AF639">
    <cfRule type="containsText" dxfId="0" priority="704" operator="between" text="欠">
      <formula>NOT(ISERROR(SEARCH("欠",AF637)))</formula>
    </cfRule>
  </conditionalFormatting>
  <conditionalFormatting sqref="AF642:AF643">
    <cfRule type="containsText" dxfId="0" priority="693" operator="between" text="欠">
      <formula>NOT(ISERROR(SEARCH("欠",AF642)))</formula>
    </cfRule>
  </conditionalFormatting>
  <conditionalFormatting sqref="AF649:AF650">
    <cfRule type="containsText" dxfId="0" priority="616" operator="between" text="欠">
      <formula>NOT(ISERROR(SEARCH("欠",AF649)))</formula>
    </cfRule>
  </conditionalFormatting>
  <conditionalFormatting sqref="AF670:AF672">
    <cfRule type="containsText" dxfId="0" priority="593" operator="between" text="欠">
      <formula>NOT(ISERROR(SEARCH("欠",AF670)))</formula>
    </cfRule>
  </conditionalFormatting>
  <conditionalFormatting sqref="AF674:AF675">
    <cfRule type="containsText" dxfId="0" priority="549" operator="between" text="欠">
      <formula>NOT(ISERROR(SEARCH("欠",AF674)))</formula>
    </cfRule>
  </conditionalFormatting>
  <conditionalFormatting sqref="AF695:AF697">
    <cfRule type="containsText" dxfId="0" priority="528" operator="between" text="欠">
      <formula>NOT(ISERROR(SEARCH("欠",AF695)))</formula>
    </cfRule>
  </conditionalFormatting>
  <conditionalFormatting sqref="AF704:AF710">
    <cfRule type="containsText" dxfId="0" priority="433" operator="between" text="欠">
      <formula>NOT(ISERROR(SEARCH("欠",AF704)))</formula>
    </cfRule>
  </conditionalFormatting>
  <conditionalFormatting sqref="AF713:AF714">
    <cfRule type="containsText" dxfId="0" priority="389" operator="between" text="欠">
      <formula>NOT(ISERROR(SEARCH("欠",AF713)))</formula>
    </cfRule>
  </conditionalFormatting>
  <conditionalFormatting sqref="AF717:AF718">
    <cfRule type="containsText" dxfId="0" priority="343" operator="between" text="欠">
      <formula>NOT(ISERROR(SEARCH("欠",AF717)))</formula>
    </cfRule>
  </conditionalFormatting>
  <conditionalFormatting sqref="AF724:AF726">
    <cfRule type="containsText" dxfId="0" priority="276" operator="between" text="欠">
      <formula>NOT(ISERROR(SEARCH("欠",AF724)))</formula>
    </cfRule>
  </conditionalFormatting>
  <conditionalFormatting sqref="AF730:AF731">
    <cfRule type="containsText" dxfId="0" priority="222" operator="between" text="欠">
      <formula>NOT(ISERROR(SEARCH("欠",AF730)))</formula>
    </cfRule>
  </conditionalFormatting>
  <conditionalFormatting sqref="AF753:AF754">
    <cfRule type="containsText" dxfId="0" priority="125" operator="between" text="欠">
      <formula>NOT(ISERROR(SEARCH("欠",AF753)))</formula>
    </cfRule>
  </conditionalFormatting>
  <conditionalFormatting sqref="AF761:AF764">
    <cfRule type="containsText" dxfId="0" priority="63" operator="between" text="欠">
      <formula>NOT(ISERROR(SEARCH("欠",AF761)))</formula>
    </cfRule>
  </conditionalFormatting>
  <conditionalFormatting sqref="AG3:AG7">
    <cfRule type="containsText" dxfId="0" priority="5495" operator="between" text="欠">
      <formula>NOT(ISERROR(SEARCH("欠",AG3)))</formula>
    </cfRule>
  </conditionalFormatting>
  <conditionalFormatting sqref="AG10:AG12">
    <cfRule type="containsText" dxfId="0" priority="5468" operator="between" text="欠">
      <formula>NOT(ISERROR(SEARCH("欠",AG10)))</formula>
    </cfRule>
  </conditionalFormatting>
  <conditionalFormatting sqref="AG15:AG18">
    <cfRule type="containsText" dxfId="0" priority="5442" operator="between" text="欠">
      <formula>NOT(ISERROR(SEARCH("欠",AG15)))</formula>
    </cfRule>
  </conditionalFormatting>
  <conditionalFormatting sqref="AG19:AG24">
    <cfRule type="containsText" dxfId="0" priority="5421" operator="between" text="欠">
      <formula>NOT(ISERROR(SEARCH("欠",AG19)))</formula>
    </cfRule>
  </conditionalFormatting>
  <conditionalFormatting sqref="AG25:AG35">
    <cfRule type="containsText" dxfId="0" priority="5394" operator="between" text="欠">
      <formula>NOT(ISERROR(SEARCH("欠",AG25)))</formula>
    </cfRule>
  </conditionalFormatting>
  <conditionalFormatting sqref="AG38:AG40">
    <cfRule type="containsText" dxfId="0" priority="5369" operator="between" text="欠">
      <formula>NOT(ISERROR(SEARCH("欠",AG38)))</formula>
    </cfRule>
  </conditionalFormatting>
  <conditionalFormatting sqref="AG53:AG59">
    <cfRule type="containsText" dxfId="0" priority="5244" operator="between" text="欠">
      <formula>NOT(ISERROR(SEARCH("欠",AG53)))</formula>
    </cfRule>
  </conditionalFormatting>
  <conditionalFormatting sqref="AG61:AG65">
    <cfRule type="containsText" dxfId="0" priority="5219" operator="between" text="欠">
      <formula>NOT(ISERROR(SEARCH("欠",AG61)))</formula>
    </cfRule>
  </conditionalFormatting>
  <conditionalFormatting sqref="AG66:AG67">
    <cfRule type="containsText" dxfId="0" priority="5194" operator="between" text="欠">
      <formula>NOT(ISERROR(SEARCH("欠",AG66)))</formula>
    </cfRule>
  </conditionalFormatting>
  <conditionalFormatting sqref="AG71:AG77">
    <cfRule type="containsText" dxfId="0" priority="5159" operator="between" text="欠">
      <formula>NOT(ISERROR(SEARCH("欠",AG71)))</formula>
    </cfRule>
  </conditionalFormatting>
  <conditionalFormatting sqref="AG90:AG92">
    <cfRule type="containsText" dxfId="0" priority="5086" operator="between" text="欠">
      <formula>NOT(ISERROR(SEARCH("欠",AG90)))</formula>
    </cfRule>
  </conditionalFormatting>
  <conditionalFormatting sqref="AG93:AG94">
    <cfRule type="containsText" dxfId="0" priority="5100" operator="between" text="欠">
      <formula>NOT(ISERROR(SEARCH("欠",AG93)))</formula>
    </cfRule>
  </conditionalFormatting>
  <conditionalFormatting sqref="AG124:AG126">
    <cfRule type="containsText" dxfId="0" priority="4964" operator="between" text="欠">
      <formula>NOT(ISERROR(SEARCH("欠",AG124)))</formula>
    </cfRule>
  </conditionalFormatting>
  <conditionalFormatting sqref="AG136:AG138">
    <cfRule type="containsText" dxfId="0" priority="4861" operator="between" text="欠">
      <formula>NOT(ISERROR(SEARCH("欠",AG136)))</formula>
    </cfRule>
  </conditionalFormatting>
  <conditionalFormatting sqref="AG140:AG142">
    <cfRule type="containsText" dxfId="0" priority="4834" operator="between" text="欠">
      <formula>NOT(ISERROR(SEARCH("欠",AG140)))</formula>
    </cfRule>
  </conditionalFormatting>
  <conditionalFormatting sqref="AG150:AG152">
    <cfRule type="containsText" dxfId="0" priority="4755" operator="between" text="欠">
      <formula>NOT(ISERROR(SEARCH("欠",AG150)))</formula>
    </cfRule>
  </conditionalFormatting>
  <conditionalFormatting sqref="AG168:AG170">
    <cfRule type="containsText" dxfId="0" priority="4602" operator="between" text="欠">
      <formula>NOT(ISERROR(SEARCH("欠",AG168)))</formula>
    </cfRule>
  </conditionalFormatting>
  <conditionalFormatting sqref="AG194:AG196">
    <cfRule type="containsText" dxfId="0" priority="3834" operator="between" text="欠">
      <formula>NOT(ISERROR(SEARCH("欠",AG194)))</formula>
    </cfRule>
  </conditionalFormatting>
  <conditionalFormatting sqref="AG198:AG203">
    <cfRule type="containsText" dxfId="0" priority="3801" operator="between" text="欠">
      <formula>NOT(ISERROR(SEARCH("欠",AG198)))</formula>
    </cfRule>
  </conditionalFormatting>
  <conditionalFormatting sqref="AG206:AG207">
    <cfRule type="containsText" dxfId="0" priority="3757" operator="between" text="欠">
      <formula>NOT(ISERROR(SEARCH("欠",AG206)))</formula>
    </cfRule>
  </conditionalFormatting>
  <conditionalFormatting sqref="AG211:AG212">
    <cfRule type="containsText" dxfId="0" priority="3690" operator="between" text="欠">
      <formula>NOT(ISERROR(SEARCH("欠",AG211)))</formula>
    </cfRule>
  </conditionalFormatting>
  <conditionalFormatting sqref="AG216:AG218">
    <cfRule type="containsText" dxfId="0" priority="3643" operator="between" text="欠">
      <formula>NOT(ISERROR(SEARCH("欠",AG216)))</formula>
    </cfRule>
  </conditionalFormatting>
  <conditionalFormatting sqref="AG225:AG226">
    <cfRule type="containsText" dxfId="0" priority="3556" operator="between" text="欠">
      <formula>NOT(ISERROR(SEARCH("欠",AG225)))</formula>
    </cfRule>
  </conditionalFormatting>
  <conditionalFormatting sqref="AG247:AG248">
    <cfRule type="containsText" dxfId="0" priority="3301" operator="between" text="欠">
      <formula>NOT(ISERROR(SEARCH("欠",AG247)))</formula>
    </cfRule>
  </conditionalFormatting>
  <conditionalFormatting sqref="AG250:AG256">
    <cfRule type="containsText" dxfId="0" priority="3263" operator="between" text="欠">
      <formula>NOT(ISERROR(SEARCH("欠",AG250)))</formula>
    </cfRule>
  </conditionalFormatting>
  <conditionalFormatting sqref="AG285:AG286">
    <cfRule type="containsText" dxfId="0" priority="2994" operator="between" text="欠">
      <formula>NOT(ISERROR(SEARCH("欠",AG285)))</formula>
    </cfRule>
  </conditionalFormatting>
  <conditionalFormatting sqref="AG288:AG289">
    <cfRule type="containsText" dxfId="0" priority="2948" operator="between" text="欠">
      <formula>NOT(ISERROR(SEARCH("欠",AG288)))</formula>
    </cfRule>
  </conditionalFormatting>
  <conditionalFormatting sqref="AG292:AG293">
    <cfRule type="containsText" dxfId="0" priority="2918" operator="between" text="欠">
      <formula>NOT(ISERROR(SEARCH("欠",AG292)))</formula>
    </cfRule>
  </conditionalFormatting>
  <conditionalFormatting sqref="AG298:AG299">
    <cfRule type="containsText" dxfId="0" priority="2867" operator="between" text="欠">
      <formula>NOT(ISERROR(SEARCH("欠",AG298)))</formula>
    </cfRule>
  </conditionalFormatting>
  <conditionalFormatting sqref="AG331:AG338">
    <cfRule type="containsText" dxfId="0" priority="2737" operator="between" text="欠">
      <formula>NOT(ISERROR(SEARCH("欠",AG331)))</formula>
    </cfRule>
  </conditionalFormatting>
  <conditionalFormatting sqref="AG352:AG355">
    <cfRule type="containsText" dxfId="0" priority="2584" operator="between" text="欠">
      <formula>NOT(ISERROR(SEARCH("欠",AG352)))</formula>
    </cfRule>
  </conditionalFormatting>
  <conditionalFormatting sqref="AG357:AG365">
    <cfRule type="containsText" dxfId="0" priority="2561" operator="between" text="欠">
      <formula>NOT(ISERROR(SEARCH("欠",AG357)))</formula>
    </cfRule>
  </conditionalFormatting>
  <conditionalFormatting sqref="AG372:AG373">
    <cfRule type="containsText" dxfId="0" priority="2421" operator="between" text="欠">
      <formula>NOT(ISERROR(SEARCH("欠",AG372)))</formula>
    </cfRule>
  </conditionalFormatting>
  <conditionalFormatting sqref="AG375:AG376">
    <cfRule type="containsText" dxfId="0" priority="2393" operator="between" text="欠">
      <formula>NOT(ISERROR(SEARCH("欠",AG375)))</formula>
    </cfRule>
  </conditionalFormatting>
  <conditionalFormatting sqref="AG377:AG379">
    <cfRule type="containsText" dxfId="0" priority="2379" operator="between" text="欠">
      <formula>NOT(ISERROR(SEARCH("欠",AG377)))</formula>
    </cfRule>
  </conditionalFormatting>
  <conditionalFormatting sqref="AG386:AG387">
    <cfRule type="containsText" dxfId="0" priority="2291" operator="between" text="欠">
      <formula>NOT(ISERROR(SEARCH("欠",AG386)))</formula>
    </cfRule>
  </conditionalFormatting>
  <conditionalFormatting sqref="AG408:AG409">
    <cfRule type="containsText" dxfId="0" priority="2080" operator="between" text="欠">
      <formula>NOT(ISERROR(SEARCH("欠",AG408)))</formula>
    </cfRule>
  </conditionalFormatting>
  <conditionalFormatting sqref="AG412:AG413">
    <cfRule type="containsText" dxfId="0" priority="2109" operator="between" text="欠">
      <formula>NOT(ISERROR(SEARCH("欠",AG412)))</formula>
    </cfRule>
  </conditionalFormatting>
  <conditionalFormatting sqref="AG416:AG420">
    <cfRule type="containsText" dxfId="0" priority="2043" operator="between" text="欠">
      <formula>NOT(ISERROR(SEARCH("欠",AG416)))</formula>
    </cfRule>
  </conditionalFormatting>
  <conditionalFormatting sqref="AG438:AG440">
    <cfRule type="containsText" dxfId="0" priority="1887" operator="between" text="欠">
      <formula>NOT(ISERROR(SEARCH("欠",AG438)))</formula>
    </cfRule>
  </conditionalFormatting>
  <conditionalFormatting sqref="AG499:AG500">
    <cfRule type="containsText" dxfId="0" priority="1506" operator="between" text="欠">
      <formula>NOT(ISERROR(SEARCH("欠",AG499)))</formula>
    </cfRule>
  </conditionalFormatting>
  <conditionalFormatting sqref="AG532:AG533">
    <cfRule type="containsText" dxfId="0" priority="1394" operator="between" text="欠">
      <formula>NOT(ISERROR(SEARCH("欠",AG532)))</formula>
    </cfRule>
  </conditionalFormatting>
  <conditionalFormatting sqref="AG558:AG560">
    <cfRule type="containsText" dxfId="0" priority="1269" operator="between" text="欠">
      <formula>NOT(ISERROR(SEARCH("欠",AG558)))</formula>
    </cfRule>
  </conditionalFormatting>
  <conditionalFormatting sqref="AG717:AG718">
    <cfRule type="containsText" dxfId="0" priority="350" operator="between" text="欠">
      <formula>NOT(ISERROR(SEARCH("欠",AG717)))</formula>
    </cfRule>
  </conditionalFormatting>
  <conditionalFormatting sqref="AH15:AH17">
    <cfRule type="containsText" dxfId="0" priority="5448" operator="between" text="欠">
      <formula>NOT(ISERROR(SEARCH("欠",AH15)))</formula>
    </cfRule>
  </conditionalFormatting>
  <conditionalFormatting sqref="AH28:AH29">
    <cfRule type="containsText" dxfId="0" priority="5404" operator="between" text="欠">
      <formula>NOT(ISERROR(SEARCH("欠",AH28)))</formula>
    </cfRule>
  </conditionalFormatting>
  <conditionalFormatting sqref="AH38:AH39">
    <cfRule type="containsText" dxfId="0" priority="5366" operator="between" text="欠">
      <formula>NOT(ISERROR(SEARCH("欠",AH38)))</formula>
    </cfRule>
  </conditionalFormatting>
  <conditionalFormatting sqref="AH66:AH67">
    <cfRule type="containsText" dxfId="0" priority="5197" operator="between" text="欠">
      <formula>NOT(ISERROR(SEARCH("欠",AH66)))</formula>
    </cfRule>
  </conditionalFormatting>
  <conditionalFormatting sqref="AH75:AH76">
    <cfRule type="containsText" dxfId="0" priority="5162" operator="between" text="欠">
      <formula>NOT(ISERROR(SEARCH("欠",AH75)))</formula>
    </cfRule>
  </conditionalFormatting>
  <conditionalFormatting sqref="AH93:AH94">
    <cfRule type="containsText" dxfId="0" priority="5101" operator="between" text="欠">
      <formula>NOT(ISERROR(SEARCH("欠",AH93)))</formula>
    </cfRule>
  </conditionalFormatting>
  <conditionalFormatting sqref="AH95:AH97">
    <cfRule type="containsText" dxfId="0" priority="5114" operator="between" text="欠">
      <formula>NOT(ISERROR(SEARCH("欠",AH95)))</formula>
    </cfRule>
  </conditionalFormatting>
  <conditionalFormatting sqref="AH98:AH99">
    <cfRule type="containsText" dxfId="0" priority="5096" operator="between" text="欠">
      <formula>NOT(ISERROR(SEARCH("欠",AH98)))</formula>
    </cfRule>
  </conditionalFormatting>
  <conditionalFormatting sqref="AH102:AH103">
    <cfRule type="containsText" dxfId="0" priority="5054" operator="between" text="欠">
      <formula>NOT(ISERROR(SEARCH("欠",AH102)))</formula>
    </cfRule>
  </conditionalFormatting>
  <conditionalFormatting sqref="AH115:AH117">
    <cfRule type="containsText" dxfId="0" priority="5022" operator="between" text="欠">
      <formula>NOT(ISERROR(SEARCH("欠",AH115)))</formula>
    </cfRule>
  </conditionalFormatting>
  <conditionalFormatting sqref="AH159:AH160">
    <cfRule type="containsText" dxfId="0" priority="4738" operator="between" text="欠">
      <formula>NOT(ISERROR(SEARCH("欠",AH159)))</formula>
    </cfRule>
  </conditionalFormatting>
  <conditionalFormatting sqref="AH198:AH203">
    <cfRule type="containsText" dxfId="0" priority="3803" operator="between" text="欠">
      <formula>NOT(ISERROR(SEARCH("欠",AH198)))</formula>
    </cfRule>
  </conditionalFormatting>
  <conditionalFormatting sqref="AH211:AH212">
    <cfRule type="containsText" dxfId="0" priority="3691" operator="between" text="欠">
      <formula>NOT(ISERROR(SEARCH("欠",AH211)))</formula>
    </cfRule>
  </conditionalFormatting>
  <conditionalFormatting sqref="AH216:AH218">
    <cfRule type="containsText" dxfId="0" priority="3645" operator="between" text="欠">
      <formula>NOT(ISERROR(SEARCH("欠",AH216)))</formula>
    </cfRule>
  </conditionalFormatting>
  <conditionalFormatting sqref="AH225:AH226">
    <cfRule type="containsText" dxfId="0" priority="3558" operator="between" text="欠">
      <formula>NOT(ISERROR(SEARCH("欠",AH225)))</formula>
    </cfRule>
  </conditionalFormatting>
  <conditionalFormatting sqref="AH234:AH235">
    <cfRule type="containsText" dxfId="0" priority="3449" operator="between" text="欠">
      <formula>NOT(ISERROR(SEARCH("欠",AH234)))</formula>
    </cfRule>
  </conditionalFormatting>
  <conditionalFormatting sqref="AH247:AH248">
    <cfRule type="containsText" dxfId="0" priority="3304" operator="between" text="欠">
      <formula>NOT(ISERROR(SEARCH("欠",AH247)))</formula>
    </cfRule>
  </conditionalFormatting>
  <conditionalFormatting sqref="AH250:AH256">
    <cfRule type="containsText" dxfId="0" priority="3266" operator="between" text="欠">
      <formula>NOT(ISERROR(SEARCH("欠",AH250)))</formula>
    </cfRule>
  </conditionalFormatting>
  <conditionalFormatting sqref="AH288:AH289">
    <cfRule type="containsText" dxfId="0" priority="2951" operator="between" text="欠">
      <formula>NOT(ISERROR(SEARCH("欠",AH288)))</formula>
    </cfRule>
  </conditionalFormatting>
  <conditionalFormatting sqref="AH298:AH299">
    <cfRule type="containsText" dxfId="0" priority="2869" operator="between" text="欠">
      <formula>NOT(ISERROR(SEARCH("欠",AH298)))</formula>
    </cfRule>
  </conditionalFormatting>
  <conditionalFormatting sqref="AH300:AH301">
    <cfRule type="containsText" dxfId="0" priority="2863" operator="between" text="欠">
      <formula>NOT(ISERROR(SEARCH("欠",AH300)))</formula>
    </cfRule>
  </conditionalFormatting>
  <conditionalFormatting sqref="AH331:AH338">
    <cfRule type="containsText" dxfId="0" priority="2741" operator="between" text="欠">
      <formula>NOT(ISERROR(SEARCH("欠",AH331)))</formula>
    </cfRule>
  </conditionalFormatting>
  <conditionalFormatting sqref="AH340:AH341">
    <cfRule type="containsText" dxfId="0" priority="2672" operator="between" text="欠">
      <formula>NOT(ISERROR(SEARCH("欠",AH340)))</formula>
    </cfRule>
  </conditionalFormatting>
  <conditionalFormatting sqref="AH342:AH343">
    <cfRule type="containsText" dxfId="0" priority="2648" operator="between" text="欠">
      <formula>NOT(ISERROR(SEARCH("欠",AH342)))</formula>
    </cfRule>
  </conditionalFormatting>
  <conditionalFormatting sqref="AH357:AH365">
    <cfRule type="containsText" dxfId="0" priority="2564" operator="between" text="欠">
      <formula>NOT(ISERROR(SEARCH("欠",AH357)))</formula>
    </cfRule>
  </conditionalFormatting>
  <conditionalFormatting sqref="AH375:AH376">
    <cfRule type="containsText" dxfId="0" priority="2395" operator="between" text="欠">
      <formula>NOT(ISERROR(SEARCH("欠",AH375)))</formula>
    </cfRule>
  </conditionalFormatting>
  <conditionalFormatting sqref="AH378:AH379">
    <cfRule type="containsText" dxfId="0" priority="2383" operator="between" text="欠">
      <formula>NOT(ISERROR(SEARCH("欠",AH378)))</formula>
    </cfRule>
  </conditionalFormatting>
  <conditionalFormatting sqref="AH388:AH389">
    <cfRule type="containsText" dxfId="0" priority="2283" operator="between" text="欠">
      <formula>NOT(ISERROR(SEARCH("欠",AH388)))</formula>
    </cfRule>
  </conditionalFormatting>
  <conditionalFormatting sqref="AH416:AH420">
    <cfRule type="containsText" dxfId="0" priority="2046" operator="between" text="欠">
      <formula>NOT(ISERROR(SEARCH("欠",AH416)))</formula>
    </cfRule>
  </conditionalFormatting>
  <conditionalFormatting sqref="AH425:AH426">
    <cfRule type="containsText" dxfId="0" priority="2011" operator="between" text="欠">
      <formula>NOT(ISERROR(SEARCH("欠",AH425)))</formula>
    </cfRule>
  </conditionalFormatting>
  <conditionalFormatting sqref="AH429:AH430">
    <cfRule type="containsText" dxfId="0" priority="1980" operator="between" text="欠">
      <formula>NOT(ISERROR(SEARCH("欠",AH429)))</formula>
    </cfRule>
  </conditionalFormatting>
  <conditionalFormatting sqref="AH438:AH440">
    <cfRule type="containsText" dxfId="0" priority="1889" operator="between" text="欠">
      <formula>NOT(ISERROR(SEARCH("欠",AH438)))</formula>
    </cfRule>
  </conditionalFormatting>
  <conditionalFormatting sqref="AH448:AH449">
    <cfRule type="containsText" dxfId="0" priority="1800" operator="between" text="欠">
      <formula>NOT(ISERROR(SEARCH("欠",AH448)))</formula>
    </cfRule>
  </conditionalFormatting>
  <conditionalFormatting sqref="AH456:AH458">
    <cfRule type="containsText" dxfId="0" priority="1767" operator="between" text="欠">
      <formula>NOT(ISERROR(SEARCH("欠",AH456)))</formula>
    </cfRule>
  </conditionalFormatting>
  <conditionalFormatting sqref="AH464:AH466">
    <cfRule type="containsText" dxfId="0" priority="1745" operator="between" text="欠">
      <formula>NOT(ISERROR(SEARCH("欠",AH464)))</formula>
    </cfRule>
  </conditionalFormatting>
  <conditionalFormatting sqref="AH471:AH472">
    <cfRule type="containsText" dxfId="0" priority="1693" operator="between" text="欠">
      <formula>NOT(ISERROR(SEARCH("欠",AH471)))</formula>
    </cfRule>
  </conditionalFormatting>
  <conditionalFormatting sqref="AH480:AH482">
    <cfRule type="containsText" dxfId="0" priority="1587" operator="between" text="欠">
      <formula>NOT(ISERROR(SEARCH("欠",AH480)))</formula>
    </cfRule>
  </conditionalFormatting>
  <conditionalFormatting sqref="AH513:AH514">
    <cfRule type="containsText" dxfId="0" priority="1432" operator="between" text="欠">
      <formula>NOT(ISERROR(SEARCH("欠",AH513)))</formula>
    </cfRule>
  </conditionalFormatting>
  <conditionalFormatting sqref="AH525:AH527">
    <cfRule type="containsText" dxfId="0" priority="1421" operator="between" text="欠">
      <formula>NOT(ISERROR(SEARCH("欠",AH525)))</formula>
    </cfRule>
  </conditionalFormatting>
  <conditionalFormatting sqref="AH535:AH537">
    <cfRule type="containsText" dxfId="0" priority="1365" operator="between" text="欠">
      <formula>NOT(ISERROR(SEARCH("欠",AH535)))</formula>
    </cfRule>
  </conditionalFormatting>
  <conditionalFormatting sqref="AH541:AH553">
    <cfRule type="containsText" dxfId="0" priority="1306" operator="between" text="欠">
      <formula>NOT(ISERROR(SEARCH("欠",AH541)))</formula>
    </cfRule>
  </conditionalFormatting>
  <conditionalFormatting sqref="AH570:AH571">
    <cfRule type="containsText" dxfId="0" priority="1074" operator="between" text="欠">
      <formula>NOT(ISERROR(SEARCH("欠",AH570)))</formula>
    </cfRule>
  </conditionalFormatting>
  <conditionalFormatting sqref="AH572:AH573">
    <cfRule type="containsText" dxfId="0" priority="1064" operator="between" text="欠">
      <formula>NOT(ISERROR(SEARCH("欠",AH572)))</formula>
    </cfRule>
  </conditionalFormatting>
  <conditionalFormatting sqref="AH581:AH583">
    <cfRule type="containsText" dxfId="0" priority="1159" operator="between" text="欠">
      <formula>NOT(ISERROR(SEARCH("欠",AH581)))</formula>
    </cfRule>
  </conditionalFormatting>
  <conditionalFormatting sqref="AH585:AH587">
    <cfRule type="containsText" dxfId="0" priority="1130" operator="between" text="欠">
      <formula>NOT(ISERROR(SEARCH("欠",AH585)))</formula>
    </cfRule>
  </conditionalFormatting>
  <conditionalFormatting sqref="AH588:AH593">
    <cfRule type="containsText" dxfId="0" priority="1113" operator="between" text="欠">
      <formula>NOT(ISERROR(SEARCH("欠",AH588)))</formula>
    </cfRule>
  </conditionalFormatting>
  <conditionalFormatting sqref="AH595:AH597">
    <cfRule type="containsText" dxfId="0" priority="974" operator="between" text="欠">
      <formula>NOT(ISERROR(SEARCH("欠",AH595)))</formula>
    </cfRule>
  </conditionalFormatting>
  <conditionalFormatting sqref="AH598:AH602">
    <cfRule type="containsText" dxfId="0" priority="960" operator="between" text="欠">
      <formula>NOT(ISERROR(SEARCH("欠",AH598)))</formula>
    </cfRule>
  </conditionalFormatting>
  <conditionalFormatting sqref="AH603:AH605">
    <cfRule type="containsText" dxfId="0" priority="937" operator="between" text="欠">
      <formula>NOT(ISERROR(SEARCH("欠",AH603)))</formula>
    </cfRule>
  </conditionalFormatting>
  <conditionalFormatting sqref="AH610:AH612">
    <cfRule type="containsText" dxfId="0" priority="872" operator="between" text="欠">
      <formula>NOT(ISERROR(SEARCH("欠",AH610)))</formula>
    </cfRule>
  </conditionalFormatting>
  <conditionalFormatting sqref="AH634:AH635">
    <cfRule type="containsText" dxfId="0" priority="726" operator="between" text="欠">
      <formula>NOT(ISERROR(SEARCH("欠",AH634)))</formula>
    </cfRule>
  </conditionalFormatting>
  <conditionalFormatting sqref="AH637:AH639">
    <cfRule type="containsText" dxfId="0" priority="705" operator="between" text="欠">
      <formula>NOT(ISERROR(SEARCH("欠",AH637)))</formula>
    </cfRule>
  </conditionalFormatting>
  <conditionalFormatting sqref="AH640:AH644">
    <cfRule type="containsText" dxfId="0" priority="689" operator="between" text="欠">
      <formula>NOT(ISERROR(SEARCH("欠",AH640)))</formula>
    </cfRule>
  </conditionalFormatting>
  <conditionalFormatting sqref="AH649:AH650">
    <cfRule type="containsText" dxfId="0" priority="619" operator="between" text="欠">
      <formula>NOT(ISERROR(SEARCH("欠",AH649)))</formula>
    </cfRule>
  </conditionalFormatting>
  <conditionalFormatting sqref="AH670:AH672">
    <cfRule type="containsText" dxfId="0" priority="594" operator="between" text="欠">
      <formula>NOT(ISERROR(SEARCH("欠",AH670)))</formula>
    </cfRule>
  </conditionalFormatting>
  <conditionalFormatting sqref="AH695:AH697">
    <cfRule type="containsText" dxfId="0" priority="529" operator="between" text="欠">
      <formula>NOT(ISERROR(SEARCH("欠",AH695)))</formula>
    </cfRule>
  </conditionalFormatting>
  <conditionalFormatting sqref="AH704:AH710">
    <cfRule type="containsText" dxfId="0" priority="434" operator="between" text="欠">
      <formula>NOT(ISERROR(SEARCH("欠",AH704)))</formula>
    </cfRule>
  </conditionalFormatting>
  <conditionalFormatting sqref="AH713:AH714">
    <cfRule type="containsText" dxfId="0" priority="386" operator="between" text="欠">
      <formula>NOT(ISERROR(SEARCH("欠",AH713)))</formula>
    </cfRule>
  </conditionalFormatting>
  <conditionalFormatting sqref="AH717:AH718">
    <cfRule type="containsText" dxfId="0" priority="351" operator="between" text="欠">
      <formula>NOT(ISERROR(SEARCH("欠",AH717)))</formula>
    </cfRule>
  </conditionalFormatting>
  <conditionalFormatting sqref="AH724:AH726">
    <cfRule type="containsText" dxfId="0" priority="279" operator="between" text="欠">
      <formula>NOT(ISERROR(SEARCH("欠",AH724)))</formula>
    </cfRule>
  </conditionalFormatting>
  <conditionalFormatting sqref="AH730:AH731">
    <cfRule type="containsText" dxfId="0" priority="227" operator="between" text="欠">
      <formula>NOT(ISERROR(SEARCH("欠",AH730)))</formula>
    </cfRule>
  </conditionalFormatting>
  <conditionalFormatting sqref="AH753:AH754">
    <cfRule type="containsText" dxfId="0" priority="118" operator="between" text="欠">
      <formula>NOT(ISERROR(SEARCH("欠",AH753)))</formula>
    </cfRule>
  </conditionalFormatting>
  <conditionalFormatting sqref="AH755:AH760">
    <cfRule type="containsText" dxfId="0" priority="93" operator="between" text="欠">
      <formula>NOT(ISERROR(SEARCH("欠",AH755)))</formula>
    </cfRule>
  </conditionalFormatting>
  <conditionalFormatting sqref="AH761:AH764">
    <cfRule type="containsText" dxfId="0" priority="67" operator="between" text="欠">
      <formula>NOT(ISERROR(SEARCH("欠",AH761)))</formula>
    </cfRule>
  </conditionalFormatting>
  <conditionalFormatting sqref="AH765:AH766">
    <cfRule type="containsText" dxfId="0" priority="50" operator="between" text="欠">
      <formula>NOT(ISERROR(SEARCH("欠",AH765)))</formula>
    </cfRule>
  </conditionalFormatting>
  <conditionalFormatting sqref="AI4:AI7">
    <cfRule type="containsText" dxfId="0" priority="5490" operator="between" text="欠">
      <formula>NOT(ISERROR(SEARCH("欠",AI4)))</formula>
    </cfRule>
  </conditionalFormatting>
  <conditionalFormatting sqref="AI14:AI18">
    <cfRule type="containsText" dxfId="0" priority="5457" operator="between" text="欠">
      <formula>NOT(ISERROR(SEARCH("欠",AI14)))</formula>
    </cfRule>
  </conditionalFormatting>
  <conditionalFormatting sqref="AI19:AI24">
    <cfRule type="containsText" dxfId="0" priority="5438" operator="between" text="欠">
      <formula>NOT(ISERROR(SEARCH("欠",AI19)))</formula>
    </cfRule>
  </conditionalFormatting>
  <conditionalFormatting sqref="AI25:AI35">
    <cfRule type="containsText" dxfId="0" priority="5419" operator="between" text="欠">
      <formula>NOT(ISERROR(SEARCH("欠",AI25)))</formula>
    </cfRule>
  </conditionalFormatting>
  <conditionalFormatting sqref="AI38:AI40">
    <cfRule type="containsText" dxfId="0" priority="5371" operator="between" text="欠">
      <formula>NOT(ISERROR(SEARCH("欠",AI38)))</formula>
    </cfRule>
  </conditionalFormatting>
  <conditionalFormatting sqref="AI61:AI65">
    <cfRule type="containsText" dxfId="0" priority="5224" operator="between" text="欠">
      <formula>NOT(ISERROR(SEARCH("欠",AI61)))</formula>
    </cfRule>
  </conditionalFormatting>
  <conditionalFormatting sqref="AI66:AI67">
    <cfRule type="containsText" dxfId="0" priority="5203" operator="between" text="欠">
      <formula>NOT(ISERROR(SEARCH("欠",AI66)))</formula>
    </cfRule>
  </conditionalFormatting>
  <conditionalFormatting sqref="AI71:AI77">
    <cfRule type="containsText" dxfId="0" priority="5158" operator="between" text="欠">
      <formula>NOT(ISERROR(SEARCH("欠",AI71)))</formula>
    </cfRule>
  </conditionalFormatting>
  <conditionalFormatting sqref="AI78:AI89">
    <cfRule type="containsText" dxfId="0" priority="5125" operator="between" text="欠">
      <formula>NOT(ISERROR(SEARCH("欠",AI78)))</formula>
    </cfRule>
  </conditionalFormatting>
  <conditionalFormatting sqref="AI95:AI97">
    <cfRule type="containsText" dxfId="0" priority="5119" operator="between" text="欠">
      <formula>NOT(ISERROR(SEARCH("欠",AI95)))</formula>
    </cfRule>
  </conditionalFormatting>
  <conditionalFormatting sqref="AI100:AI104">
    <cfRule type="containsText" dxfId="0" priority="5062" operator="between" text="欠">
      <formula>NOT(ISERROR(SEARCH("欠",AI100)))</formula>
    </cfRule>
  </conditionalFormatting>
  <conditionalFormatting sqref="AI107:AI108">
    <cfRule type="containsText" dxfId="0" priority="5027" operator="between" text="欠">
      <formula>NOT(ISERROR(SEARCH("欠",AI107)))</formula>
    </cfRule>
  </conditionalFormatting>
  <conditionalFormatting sqref="AI109:AI120">
    <cfRule type="containsText" dxfId="0" priority="4994" operator="between" text="欠">
      <formula>NOT(ISERROR(SEARCH("欠",AI109)))</formula>
    </cfRule>
  </conditionalFormatting>
  <conditionalFormatting sqref="AI124:AI126">
    <cfRule type="containsText" dxfId="0" priority="4953" operator="between" text="欠">
      <formula>NOT(ISERROR(SEARCH("欠",AI124)))</formula>
    </cfRule>
  </conditionalFormatting>
  <conditionalFormatting sqref="AI159:AI160">
    <cfRule type="containsText" dxfId="0" priority="4736" operator="between" text="欠">
      <formula>NOT(ISERROR(SEARCH("欠",AI159)))</formula>
    </cfRule>
  </conditionalFormatting>
  <conditionalFormatting sqref="AI225:AI226">
    <cfRule type="containsText" dxfId="0" priority="3563" operator="between" text="欠">
      <formula>NOT(ISERROR(SEARCH("欠",AI225)))</formula>
    </cfRule>
  </conditionalFormatting>
  <conditionalFormatting sqref="AI234:AI235">
    <cfRule type="containsText" dxfId="0" priority="3448" operator="between" text="欠">
      <formula>NOT(ISERROR(SEARCH("欠",AI234)))</formula>
    </cfRule>
  </conditionalFormatting>
  <conditionalFormatting sqref="AI247:AI248">
    <cfRule type="containsText" dxfId="0" priority="3297" operator="between" text="欠">
      <formula>NOT(ISERROR(SEARCH("欠",AI247)))</formula>
    </cfRule>
  </conditionalFormatting>
  <conditionalFormatting sqref="AI251:AI252">
    <cfRule type="containsText" dxfId="0" priority="3272" operator="between" text="欠">
      <formula>NOT(ISERROR(SEARCH("欠",AI251)))</formula>
    </cfRule>
  </conditionalFormatting>
  <conditionalFormatting sqref="AI253:AI254">
    <cfRule type="containsText" dxfId="0" priority="3273" operator="between" text="欠">
      <formula>NOT(ISERROR(SEARCH("欠",AI253)))</formula>
    </cfRule>
  </conditionalFormatting>
  <conditionalFormatting sqref="AI281:AI282">
    <cfRule type="containsText" dxfId="0" priority="3002" operator="between" text="欠">
      <formula>NOT(ISERROR(SEARCH("欠",AI281)))</formula>
    </cfRule>
  </conditionalFormatting>
  <conditionalFormatting sqref="AI288:AI289">
    <cfRule type="containsText" dxfId="0" priority="2956" operator="between" text="欠">
      <formula>NOT(ISERROR(SEARCH("欠",AI288)))</formula>
    </cfRule>
  </conditionalFormatting>
  <conditionalFormatting sqref="AI292:AI293">
    <cfRule type="containsText" dxfId="0" priority="2920" operator="between" text="欠">
      <formula>NOT(ISERROR(SEARCH("欠",AI292)))</formula>
    </cfRule>
  </conditionalFormatting>
  <conditionalFormatting sqref="AI295:AI296">
    <cfRule type="containsText" dxfId="0" priority="2901" operator="between" text="欠">
      <formula>NOT(ISERROR(SEARCH("欠",AI295)))</formula>
    </cfRule>
  </conditionalFormatting>
  <conditionalFormatting sqref="AI340:AI343">
    <cfRule type="containsText" dxfId="0" priority="2641" operator="between" text="欠">
      <formula>NOT(ISERROR(SEARCH("欠",AI340)))</formula>
    </cfRule>
  </conditionalFormatting>
  <conditionalFormatting sqref="AI345:AI348">
    <cfRule type="containsText" dxfId="0" priority="2675" operator="between" text="欠">
      <formula>NOT(ISERROR(SEARCH("欠",AI345)))</formula>
    </cfRule>
  </conditionalFormatting>
  <conditionalFormatting sqref="AI377:AI379">
    <cfRule type="containsText" dxfId="0" priority="2392" operator="between" text="欠">
      <formula>NOT(ISERROR(SEARCH("欠",AI377)))</formula>
    </cfRule>
  </conditionalFormatting>
  <conditionalFormatting sqref="AI386:AI387">
    <cfRule type="containsText" dxfId="0" priority="2293" operator="between" text="欠">
      <formula>NOT(ISERROR(SEARCH("欠",AI386)))</formula>
    </cfRule>
  </conditionalFormatting>
  <conditionalFormatting sqref="AI388:AI389">
    <cfRule type="containsText" dxfId="0" priority="2277" operator="between" text="欠">
      <formula>NOT(ISERROR(SEARCH("欠",AI388)))</formula>
    </cfRule>
  </conditionalFormatting>
  <conditionalFormatting sqref="AI408:AI409">
    <cfRule type="containsText" dxfId="0" priority="2075" operator="between" text="欠">
      <formula>NOT(ISERROR(SEARCH("欠",AI408)))</formula>
    </cfRule>
  </conditionalFormatting>
  <conditionalFormatting sqref="AI411:AI414">
    <cfRule type="containsText" dxfId="0" priority="2092" operator="between" text="欠">
      <formula>NOT(ISERROR(SEARCH("欠",AI411)))</formula>
    </cfRule>
  </conditionalFormatting>
  <conditionalFormatting sqref="AI417:AI418">
    <cfRule type="containsText" dxfId="0" priority="2042" operator="between" text="欠">
      <formula>NOT(ISERROR(SEARCH("欠",AI417)))</formula>
    </cfRule>
  </conditionalFormatting>
  <conditionalFormatting sqref="AI422:AI426">
    <cfRule type="containsText" dxfId="0" priority="2000" operator="between" text="欠">
      <formula>NOT(ISERROR(SEARCH("欠",AI422)))</formula>
    </cfRule>
  </conditionalFormatting>
  <conditionalFormatting sqref="AI427:AI428">
    <cfRule type="containsText" dxfId="0" priority="1999" operator="between" text="欠">
      <formula>NOT(ISERROR(SEARCH("欠",AI427)))</formula>
    </cfRule>
  </conditionalFormatting>
  <conditionalFormatting sqref="AI438:AI440">
    <cfRule type="containsText" dxfId="0" priority="1895" operator="between" text="欠">
      <formula>NOT(ISERROR(SEARCH("欠",AI438)))</formula>
    </cfRule>
  </conditionalFormatting>
  <conditionalFormatting sqref="AI448:AI449">
    <cfRule type="containsText" dxfId="0" priority="1799" operator="between" text="欠">
      <formula>NOT(ISERROR(SEARCH("欠",AI448)))</formula>
    </cfRule>
  </conditionalFormatting>
  <conditionalFormatting sqref="AI452:AI463">
    <cfRule type="containsText" dxfId="0" priority="1754" operator="between" text="欠">
      <formula>NOT(ISERROR(SEARCH("欠",AI452)))</formula>
    </cfRule>
  </conditionalFormatting>
  <conditionalFormatting sqref="AI464:AI466">
    <cfRule type="containsText" dxfId="0" priority="1744" operator="between" text="欠">
      <formula>NOT(ISERROR(SEARCH("欠",AI464)))</formula>
    </cfRule>
  </conditionalFormatting>
  <conditionalFormatting sqref="AI467:AI468">
    <cfRule type="containsText" dxfId="0" priority="1720" operator="between" text="欠">
      <formula>NOT(ISERROR(SEARCH("欠",AI467)))</formula>
    </cfRule>
  </conditionalFormatting>
  <conditionalFormatting sqref="AI471:AI472">
    <cfRule type="containsText" dxfId="0" priority="1692" operator="between" text="欠">
      <formula>NOT(ISERROR(SEARCH("欠",AI471)))</formula>
    </cfRule>
  </conditionalFormatting>
  <conditionalFormatting sqref="AI480:AI482">
    <cfRule type="containsText" dxfId="0" priority="1585" operator="between" text="欠">
      <formula>NOT(ISERROR(SEARCH("欠",AI480)))</formula>
    </cfRule>
  </conditionalFormatting>
  <conditionalFormatting sqref="AI484:AI485">
    <cfRule type="containsText" dxfId="0" priority="1558" operator="between" text="欠">
      <formula>NOT(ISERROR(SEARCH("欠",AI484)))</formula>
    </cfRule>
  </conditionalFormatting>
  <conditionalFormatting sqref="AI489:AI490">
    <cfRule type="containsText" dxfId="0" priority="1554" operator="between" text="欠">
      <formula>NOT(ISERROR(SEARCH("欠",AI489)))</formula>
    </cfRule>
  </conditionalFormatting>
  <conditionalFormatting sqref="AI497:AI504">
    <cfRule type="containsText" dxfId="0" priority="1493" operator="between" text="欠">
      <formula>NOT(ISERROR(SEARCH("欠",AI497)))</formula>
    </cfRule>
  </conditionalFormatting>
  <conditionalFormatting sqref="AI499:AI500">
    <cfRule type="containsText" dxfId="0" priority="1512" operator="between" text="欠">
      <formula>NOT(ISERROR(SEARCH("欠",AI499)))</formula>
    </cfRule>
  </conditionalFormatting>
  <conditionalFormatting sqref="AI525:AI527">
    <cfRule type="containsText" dxfId="0" priority="1419" operator="between" text="欠">
      <formula>NOT(ISERROR(SEARCH("欠",AI525)))</formula>
    </cfRule>
  </conditionalFormatting>
  <conditionalFormatting sqref="AI529:AI534">
    <cfRule type="containsText" dxfId="0" priority="1383" operator="between" text="欠">
      <formula>NOT(ISERROR(SEARCH("欠",AI529)))</formula>
    </cfRule>
  </conditionalFormatting>
  <conditionalFormatting sqref="AI535:AI537">
    <cfRule type="containsText" dxfId="0" priority="1362" operator="between" text="欠">
      <formula>NOT(ISERROR(SEARCH("欠",AI535)))</formula>
    </cfRule>
  </conditionalFormatting>
  <conditionalFormatting sqref="AI541:AI556">
    <cfRule type="containsText" dxfId="0" priority="1303" operator="between" text="欠">
      <formula>NOT(ISERROR(SEARCH("欠",AI541)))</formula>
    </cfRule>
  </conditionalFormatting>
  <conditionalFormatting sqref="AI558:AI560">
    <cfRule type="containsText" dxfId="0" priority="1271" operator="between" text="欠">
      <formula>NOT(ISERROR(SEARCH("欠",AI558)))</formula>
    </cfRule>
  </conditionalFormatting>
  <conditionalFormatting sqref="AI572:AI573">
    <cfRule type="containsText" dxfId="0" priority="1063" operator="between" text="欠">
      <formula>NOT(ISERROR(SEARCH("欠",AI572)))</formula>
    </cfRule>
  </conditionalFormatting>
  <conditionalFormatting sqref="AI581:AI583">
    <cfRule type="containsText" dxfId="0" priority="1156" operator="between" text="欠">
      <formula>NOT(ISERROR(SEARCH("欠",AI581)))</formula>
    </cfRule>
  </conditionalFormatting>
  <conditionalFormatting sqref="AI589:AI591">
    <cfRule type="containsText" dxfId="0" priority="1114" operator="between" text="欠">
      <formula>NOT(ISERROR(SEARCH("欠",AI589)))</formula>
    </cfRule>
  </conditionalFormatting>
  <conditionalFormatting sqref="AI592:AI593">
    <cfRule type="containsText" dxfId="0" priority="1111" operator="between" text="欠">
      <formula>NOT(ISERROR(SEARCH("欠",AI592)))</formula>
    </cfRule>
  </conditionalFormatting>
  <conditionalFormatting sqref="AI595:AI597">
    <cfRule type="containsText" dxfId="0" priority="972" operator="between" text="欠">
      <formula>NOT(ISERROR(SEARCH("欠",AI595)))</formula>
    </cfRule>
  </conditionalFormatting>
  <conditionalFormatting sqref="AI598:AI602">
    <cfRule type="containsText" dxfId="0" priority="958" operator="between" text="欠">
      <formula>NOT(ISERROR(SEARCH("欠",AI598)))</formula>
    </cfRule>
  </conditionalFormatting>
  <conditionalFormatting sqref="AI603:AI604">
    <cfRule type="containsText" dxfId="0" priority="939" operator="between" text="欠">
      <formula>NOT(ISERROR(SEARCH("欠",AI603)))</formula>
    </cfRule>
  </conditionalFormatting>
  <conditionalFormatting sqref="AI615:AI616">
    <cfRule type="containsText" dxfId="0" priority="851" operator="between" text="欠">
      <formula>NOT(ISERROR(SEARCH("欠",AI615)))</formula>
    </cfRule>
  </conditionalFormatting>
  <conditionalFormatting sqref="AI617:AI618">
    <cfRule type="containsText" dxfId="0" priority="844" operator="between" text="欠">
      <formula>NOT(ISERROR(SEARCH("欠",AI617)))</formula>
    </cfRule>
  </conditionalFormatting>
  <conditionalFormatting sqref="AI623:AI625">
    <cfRule type="containsText" dxfId="0" priority="807" operator="between" text="欠">
      <formula>NOT(ISERROR(SEARCH("欠",AI623)))</formula>
    </cfRule>
  </conditionalFormatting>
  <conditionalFormatting sqref="AI632:AI633">
    <cfRule type="containsText" dxfId="0" priority="737" operator="between" text="欠">
      <formula>NOT(ISERROR(SEARCH("欠",AI632)))</formula>
    </cfRule>
  </conditionalFormatting>
  <conditionalFormatting sqref="AI634:AI635">
    <cfRule type="containsText" dxfId="0" priority="731" operator="between" text="欠">
      <formula>NOT(ISERROR(SEARCH("欠",AI634)))</formula>
    </cfRule>
  </conditionalFormatting>
  <conditionalFormatting sqref="AI637:AI639">
    <cfRule type="containsText" dxfId="0" priority="703" operator="between" text="欠">
      <formula>NOT(ISERROR(SEARCH("欠",AI637)))</formula>
    </cfRule>
  </conditionalFormatting>
  <conditionalFormatting sqref="AI640:AI644">
    <cfRule type="containsText" dxfId="0" priority="687" operator="between" text="欠">
      <formula>NOT(ISERROR(SEARCH("欠",AI640)))</formula>
    </cfRule>
  </conditionalFormatting>
  <conditionalFormatting sqref="AI649:AI650">
    <cfRule type="containsText" dxfId="0" priority="614" operator="between" text="欠">
      <formula>NOT(ISERROR(SEARCH("欠",AI649)))</formula>
    </cfRule>
  </conditionalFormatting>
  <conditionalFormatting sqref="AI670:AI672">
    <cfRule type="containsText" dxfId="0" priority="592" operator="between" text="欠">
      <formula>NOT(ISERROR(SEARCH("欠",AI670)))</formula>
    </cfRule>
  </conditionalFormatting>
  <conditionalFormatting sqref="AI674:AI675">
    <cfRule type="containsText" dxfId="0" priority="550" operator="between" text="欠">
      <formula>NOT(ISERROR(SEARCH("欠",AI674)))</formula>
    </cfRule>
  </conditionalFormatting>
  <conditionalFormatting sqref="AI695:AI697">
    <cfRule type="containsText" dxfId="0" priority="527" operator="between" text="欠">
      <formula>NOT(ISERROR(SEARCH("欠",AI695)))</formula>
    </cfRule>
  </conditionalFormatting>
  <conditionalFormatting sqref="AI704:AI710">
    <cfRule type="containsText" dxfId="0" priority="432" operator="between" text="欠">
      <formula>NOT(ISERROR(SEARCH("欠",AI704)))</formula>
    </cfRule>
  </conditionalFormatting>
  <conditionalFormatting sqref="AI713:AI714">
    <cfRule type="containsText" dxfId="0" priority="390" operator="between" text="欠">
      <formula>NOT(ISERROR(SEARCH("欠",AI713)))</formula>
    </cfRule>
  </conditionalFormatting>
  <conditionalFormatting sqref="AI717:AI718">
    <cfRule type="containsText" dxfId="0" priority="356" operator="between" text="欠">
      <formula>NOT(ISERROR(SEARCH("欠",AI717)))</formula>
    </cfRule>
  </conditionalFormatting>
  <conditionalFormatting sqref="AI724:AI726">
    <cfRule type="containsText" dxfId="0" priority="281" operator="between" text="欠">
      <formula>NOT(ISERROR(SEARCH("欠",AI724)))</formula>
    </cfRule>
  </conditionalFormatting>
  <conditionalFormatting sqref="AI730:AI731">
    <cfRule type="containsText" dxfId="0" priority="221" operator="between" text="欠">
      <formula>NOT(ISERROR(SEARCH("欠",AI730)))</formula>
    </cfRule>
  </conditionalFormatting>
  <conditionalFormatting sqref="AI753:AI754">
    <cfRule type="containsText" dxfId="0" priority="117" operator="between" text="欠">
      <formula>NOT(ISERROR(SEARCH("欠",AI753)))</formula>
    </cfRule>
  </conditionalFormatting>
  <conditionalFormatting sqref="AI755:AI756">
    <cfRule type="containsText" dxfId="0" priority="91" operator="between" text="欠">
      <formula>NOT(ISERROR(SEARCH("欠",AI755)))</formula>
    </cfRule>
  </conditionalFormatting>
  <conditionalFormatting sqref="AI761:AI764">
    <cfRule type="containsText" dxfId="0" priority="64" operator="between" text="欠">
      <formula>NOT(ISERROR(SEARCH("欠",AI761)))</formula>
    </cfRule>
  </conditionalFormatting>
  <conditionalFormatting sqref="AI765:AI766">
    <cfRule type="containsText" dxfId="0" priority="48" operator="between" text="欠">
      <formula>NOT(ISERROR(SEARCH("欠",AI765)))</formula>
    </cfRule>
  </conditionalFormatting>
  <conditionalFormatting sqref="AJ345:AJ347">
    <cfRule type="containsText" dxfId="0" priority="2640" operator="between" text="欠">
      <formula>NOT(ISERROR(SEARCH("欠",AJ345)))</formula>
    </cfRule>
  </conditionalFormatting>
  <conditionalFormatting sqref="AK159:AK160">
    <cfRule type="containsText" dxfId="0" priority="4735" operator="between" text="欠">
      <formula>NOT(ISERROR(SEARCH("欠",AK159)))</formula>
    </cfRule>
  </conditionalFormatting>
  <conditionalFormatting sqref="AK190:AK192">
    <cfRule type="containsText" dxfId="0" priority="3850" operator="between" text="欠">
      <formula>NOT(ISERROR(SEARCH("欠",AK190)))</formula>
    </cfRule>
  </conditionalFormatting>
  <conditionalFormatting sqref="AK281:AK284">
    <cfRule type="containsText" dxfId="0" priority="2977" operator="between" text="欠">
      <formula>NOT(ISERROR(SEARCH("欠",AK281)))</formula>
    </cfRule>
  </conditionalFormatting>
  <conditionalFormatting sqref="AK372:AK373">
    <cfRule type="containsText" dxfId="0" priority="2407" operator="between" text="欠">
      <formula>NOT(ISERROR(SEARCH("欠",AK372)))</formula>
    </cfRule>
  </conditionalFormatting>
  <conditionalFormatting sqref="AK464:AK466">
    <cfRule type="containsText" dxfId="0" priority="1734" operator="between" text="欠">
      <formula>NOT(ISERROR(SEARCH("欠",AK464)))</formula>
    </cfRule>
  </conditionalFormatting>
  <conditionalFormatting sqref="AK558:AK560">
    <cfRule type="containsText" dxfId="0" priority="1270" operator="between" text="欠">
      <formula>NOT(ISERROR(SEARCH("欠",AK558)))</formula>
    </cfRule>
  </conditionalFormatting>
  <conditionalFormatting sqref="AK572:AK573">
    <cfRule type="containsText" dxfId="0" priority="1055" operator="between" text="欠">
      <formula>NOT(ISERROR(SEARCH("欠",AK572)))</formula>
    </cfRule>
  </conditionalFormatting>
  <conditionalFormatting sqref="AK615:AK616">
    <cfRule type="containsText" dxfId="0" priority="850" operator="between" text="欠">
      <formula>NOT(ISERROR(SEARCH("欠",AK615)))</formula>
    </cfRule>
  </conditionalFormatting>
  <conditionalFormatting sqref="AK717:AK718">
    <cfRule type="containsText" dxfId="0" priority="349" operator="between" text="欠">
      <formula>NOT(ISERROR(SEARCH("欠",AK717)))</formula>
    </cfRule>
  </conditionalFormatting>
  <conditionalFormatting sqref="AL198:AL204">
    <cfRule type="containsText" dxfId="0" priority="3787" operator="between" text="欠">
      <formula>NOT(ISERROR(SEARCH("欠",AL198)))</formula>
    </cfRule>
  </conditionalFormatting>
  <conditionalFormatting sqref="AL216:AL218">
    <cfRule type="containsText" dxfId="0" priority="3635" operator="between" text="欠">
      <formula>NOT(ISERROR(SEARCH("欠",AL216)))</formula>
    </cfRule>
  </conditionalFormatting>
  <conditionalFormatting sqref="AL250:AL256">
    <cfRule type="containsText" dxfId="0" priority="3248" operator="between" text="欠">
      <formula>NOT(ISERROR(SEARCH("欠",AL250)))</formula>
    </cfRule>
  </conditionalFormatting>
  <conditionalFormatting sqref="AL295:AL297">
    <cfRule type="containsText" dxfId="0" priority="2886" operator="between" text="欠">
      <formula>NOT(ISERROR(SEARCH("欠",AL295)))</formula>
    </cfRule>
  </conditionalFormatting>
  <conditionalFormatting sqref="AL375:AL380">
    <cfRule type="containsText" dxfId="0" priority="2371" operator="between" text="欠">
      <formula>NOT(ISERROR(SEARCH("欠",AL375)))</formula>
    </cfRule>
  </conditionalFormatting>
  <conditionalFormatting sqref="AL416:AL420">
    <cfRule type="containsText" dxfId="0" priority="2035" operator="between" text="欠">
      <formula>NOT(ISERROR(SEARCH("欠",AL416)))</formula>
    </cfRule>
  </conditionalFormatting>
  <conditionalFormatting sqref="AL438:AL440">
    <cfRule type="containsText" dxfId="0" priority="1885" operator="between" text="欠">
      <formula>NOT(ISERROR(SEARCH("欠",AL438)))</formula>
    </cfRule>
  </conditionalFormatting>
  <conditionalFormatting sqref="AL467:AL468">
    <cfRule type="containsText" dxfId="0" priority="1718" operator="between" text="欠">
      <formula>NOT(ISERROR(SEARCH("欠",AL467)))</formula>
    </cfRule>
  </conditionalFormatting>
  <conditionalFormatting sqref="AL499:AL500">
    <cfRule type="containsText" dxfId="0" priority="1503" operator="between" text="欠">
      <formula>NOT(ISERROR(SEARCH("欠",AL499)))</formula>
    </cfRule>
  </conditionalFormatting>
  <conditionalFormatting sqref="AL529:AL534">
    <cfRule type="containsText" dxfId="0" priority="1381" operator="between" text="欠">
      <formula>NOT(ISERROR(SEARCH("欠",AL529)))</formula>
    </cfRule>
  </conditionalFormatting>
  <conditionalFormatting sqref="AL717:AL718">
    <cfRule type="containsText" dxfId="0" priority="348" operator="between" text="欠">
      <formula>NOT(ISERROR(SEARCH("欠",AL717)))</formula>
    </cfRule>
  </conditionalFormatting>
  <conditionalFormatting sqref="AL758:AL760">
    <cfRule type="containsText" dxfId="0" priority="88" operator="between" text="欠">
      <formula>NOT(ISERROR(SEARCH("欠",AL758)))</formula>
    </cfRule>
  </conditionalFormatting>
  <conditionalFormatting sqref="X1:Y2">
    <cfRule type="containsText" dxfId="0" priority="5974" operator="between" text="欠">
      <formula>NOT(ISERROR(SEARCH("欠",X1)))</formula>
    </cfRule>
  </conditionalFormatting>
  <conditionalFormatting sqref="Z1:AB2">
    <cfRule type="containsText" dxfId="0" priority="5973" operator="between" text="欠">
      <formula>NOT(ISERROR(SEARCH("欠",Z1)))</formula>
    </cfRule>
  </conditionalFormatting>
  <conditionalFormatting sqref="AC1:AD2">
    <cfRule type="containsText" dxfId="0" priority="5972" operator="between" text="欠">
      <formula>NOT(ISERROR(SEARCH("欠",AC1)))</formula>
    </cfRule>
  </conditionalFormatting>
  <conditionalFormatting sqref="AE1:AI2">
    <cfRule type="containsText" dxfId="0" priority="5971" operator="between" text="欠">
      <formula>NOT(ISERROR(SEARCH("欠",AE1)))</formula>
    </cfRule>
  </conditionalFormatting>
  <conditionalFormatting sqref="X3:Y3 X4:X7">
    <cfRule type="containsText" dxfId="0" priority="5507" operator="between" text="欠">
      <formula>NOT(ISERROR(SEARCH("欠",X3)))</formula>
    </cfRule>
  </conditionalFormatting>
  <conditionalFormatting sqref="Z3:AB3 AB4:AB7">
    <cfRule type="containsText" dxfId="0" priority="5506" operator="between" text="欠">
      <formula>NOT(ISERROR(SEARCH("欠",Z3)))</formula>
    </cfRule>
  </conditionalFormatting>
  <conditionalFormatting sqref="AF3 AH3:AI3 AH4">
    <cfRule type="containsText" dxfId="0" priority="5504" operator="between" text="欠">
      <formula>NOT(ISERROR(SEARCH("欠",AF3)))</formula>
    </cfRule>
  </conditionalFormatting>
  <conditionalFormatting sqref="X10:Y12">
    <cfRule type="containsText" dxfId="0" priority="5472" operator="between" text="欠">
      <formula>NOT(ISERROR(SEARCH("欠",X10)))</formula>
    </cfRule>
  </conditionalFormatting>
  <conditionalFormatting sqref="AH10:AI12">
    <cfRule type="containsText" dxfId="0" priority="5470" operator="between" text="欠">
      <formula>NOT(ISERROR(SEARCH("欠",AH10)))</formula>
    </cfRule>
  </conditionalFormatting>
  <conditionalFormatting sqref="AF13 AH13">
    <cfRule type="containsText" dxfId="0" priority="5461" operator="between" text="欠">
      <formula>NOT(ISERROR(SEARCH("欠",AF13)))</formula>
    </cfRule>
  </conditionalFormatting>
  <conditionalFormatting sqref="X14:Y18">
    <cfRule type="containsText" dxfId="0" priority="5454" operator="between" text="欠">
      <formula>NOT(ISERROR(SEARCH("欠",X14)))</formula>
    </cfRule>
  </conditionalFormatting>
  <conditionalFormatting sqref="AC14:AD14 AD15:AD18">
    <cfRule type="containsText" dxfId="0" priority="5452" operator="between" text="欠">
      <formula>NOT(ISERROR(SEARCH("欠",AC14)))</formula>
    </cfRule>
  </conditionalFormatting>
  <conditionalFormatting sqref="Z19:AB19 AB20:AB24 Z20:Z24">
    <cfRule type="containsText" dxfId="0" priority="5433" operator="between" text="欠">
      <formula>NOT(ISERROR(SEARCH("欠",Z19)))</formula>
    </cfRule>
  </conditionalFormatting>
  <conditionalFormatting sqref="AE19:AE24 AH19">
    <cfRule type="containsText" dxfId="0" priority="5431" operator="between" text="欠">
      <formula>NOT(ISERROR(SEARCH("欠",AE19)))</formula>
    </cfRule>
  </conditionalFormatting>
  <conditionalFormatting sqref="X20:Y24">
    <cfRule type="containsText" dxfId="0" priority="5424" operator="between" text="欠">
      <formula>NOT(ISERROR(SEARCH("欠",X20)))</formula>
    </cfRule>
  </conditionalFormatting>
  <conditionalFormatting sqref="AC20:AD20 AD21">
    <cfRule type="containsText" dxfId="0" priority="5423" operator="between" text="欠">
      <formula>NOT(ISERROR(SEARCH("欠",AC20)))</formula>
    </cfRule>
  </conditionalFormatting>
  <conditionalFormatting sqref="AC23:AD24">
    <cfRule type="containsText" dxfId="0" priority="5430" operator="between" text="欠">
      <formula>NOT(ISERROR(SEARCH("欠",AC23)))</formula>
    </cfRule>
  </conditionalFormatting>
  <conditionalFormatting sqref="X25:Y35">
    <cfRule type="containsText" dxfId="0" priority="5418" operator="between" text="欠">
      <formula>NOT(ISERROR(SEARCH("欠",X25)))</formula>
    </cfRule>
  </conditionalFormatting>
  <conditionalFormatting sqref="AA25:AB25 AB26:AB35">
    <cfRule type="containsText" dxfId="0" priority="5400" operator="between" text="欠">
      <formula>NOT(ISERROR(SEARCH("欠",AA25)))</formula>
    </cfRule>
  </conditionalFormatting>
  <conditionalFormatting sqref="AF25:AF35 AH25:AH26">
    <cfRule type="containsText" dxfId="0" priority="5398" operator="between" text="欠">
      <formula>NOT(ISERROR(SEARCH("欠",AF25)))</formula>
    </cfRule>
  </conditionalFormatting>
  <conditionalFormatting sqref="AC31:AD31 AD32">
    <cfRule type="containsText" dxfId="0" priority="5410" operator="between" text="欠">
      <formula>NOT(ISERROR(SEARCH("欠",AC31)))</formula>
    </cfRule>
  </conditionalFormatting>
  <conditionalFormatting sqref="AD35 AC34:AD34">
    <cfRule type="containsText" dxfId="0" priority="5417" operator="between" text="欠">
      <formula>NOT(ISERROR(SEARCH("欠",AC34)))</formula>
    </cfRule>
  </conditionalFormatting>
  <conditionalFormatting sqref="X38:Y40">
    <cfRule type="containsText" dxfId="0" priority="5373" operator="between" text="欠">
      <formula>NOT(ISERROR(SEARCH("欠",X38)))</formula>
    </cfRule>
  </conditionalFormatting>
  <conditionalFormatting sqref="AA38:AB39">
    <cfRule type="containsText" dxfId="0" priority="5365" operator="between" text="欠">
      <formula>NOT(ISERROR(SEARCH("欠",AA38)))</formula>
    </cfRule>
  </conditionalFormatting>
  <conditionalFormatting sqref="AC38:AD39">
    <cfRule type="containsText" dxfId="0" priority="5367" operator="between" text="欠">
      <formula>NOT(ISERROR(SEARCH("欠",AC38)))</formula>
    </cfRule>
  </conditionalFormatting>
  <conditionalFormatting sqref="AF48:AG48 AI48">
    <cfRule type="containsText" dxfId="0" priority="5294" operator="between" text="欠">
      <formula>NOT(ISERROR(SEARCH("欠",AF48)))</formula>
    </cfRule>
  </conditionalFormatting>
  <conditionalFormatting sqref="X53:Y59">
    <cfRule type="containsText" dxfId="0" priority="5249" operator="between" text="欠">
      <formula>NOT(ISERROR(SEARCH("欠",X53)))</formula>
    </cfRule>
  </conditionalFormatting>
  <conditionalFormatting sqref="Z53:AB59">
    <cfRule type="containsText" dxfId="0" priority="5248" operator="between" text="欠">
      <formula>NOT(ISERROR(SEARCH("欠",Z53)))</formula>
    </cfRule>
  </conditionalFormatting>
  <conditionalFormatting sqref="AH53:AI53 AI54:AI59">
    <cfRule type="containsText" dxfId="0" priority="5246" operator="between" text="欠">
      <formula>NOT(ISERROR(SEARCH("欠",AH53)))</formula>
    </cfRule>
  </conditionalFormatting>
  <conditionalFormatting sqref="AC58:AD59">
    <cfRule type="containsText" dxfId="0" priority="5243" operator="between" text="欠">
      <formula>NOT(ISERROR(SEARCH("欠",AC58)))</formula>
    </cfRule>
  </conditionalFormatting>
  <conditionalFormatting sqref="X61:Y63">
    <cfRule type="containsText" dxfId="0" priority="5225" operator="between" text="欠">
      <formula>NOT(ISERROR(SEARCH("欠",X61)))</formula>
    </cfRule>
  </conditionalFormatting>
  <conditionalFormatting sqref="AA66:AB67">
    <cfRule type="containsText" dxfId="0" priority="5198" operator="between" text="欠">
      <formula>NOT(ISERROR(SEARCH("欠",AA66)))</formula>
    </cfRule>
  </conditionalFormatting>
  <conditionalFormatting sqref="Z70 Z68">
    <cfRule type="containsText" dxfId="0" priority="5185" operator="between" text="欠">
      <formula>NOT(ISERROR(SEARCH("欠",Z68)))</formula>
    </cfRule>
  </conditionalFormatting>
  <conditionalFormatting sqref="AA68:AB68 AB69:AB70">
    <cfRule type="containsText" dxfId="0" priority="5189" operator="between" text="欠">
      <formula>NOT(ISERROR(SEARCH("欠",AA68)))</formula>
    </cfRule>
  </conditionalFormatting>
  <conditionalFormatting sqref="AD68 AD70">
    <cfRule type="containsText" dxfId="0" priority="5193" operator="between" text="欠">
      <formula>NOT(ISERROR(SEARCH("欠",AD68)))</formula>
    </cfRule>
  </conditionalFormatting>
  <conditionalFormatting sqref="AE70 AE68">
    <cfRule type="containsText" dxfId="0" priority="5184" operator="between" text="欠">
      <formula>NOT(ISERROR(SEARCH("欠",AE68)))</formula>
    </cfRule>
  </conditionalFormatting>
  <conditionalFormatting sqref="AF70 AF68">
    <cfRule type="containsText" dxfId="0" priority="5192" operator="between" text="欠">
      <formula>NOT(ISERROR(SEARCH("欠",AF68)))</formula>
    </cfRule>
  </conditionalFormatting>
  <conditionalFormatting sqref="AG70 AG68">
    <cfRule type="containsText" dxfId="0" priority="5183" operator="between" text="欠">
      <formula>NOT(ISERROR(SEARCH("欠",AG68)))</formula>
    </cfRule>
  </conditionalFormatting>
  <conditionalFormatting sqref="AI70 AH68:AI68">
    <cfRule type="containsText" dxfId="0" priority="5187" operator="between" text="欠">
      <formula>NOT(ISERROR(SEARCH("欠",AH68)))</formula>
    </cfRule>
  </conditionalFormatting>
  <conditionalFormatting sqref="X71:Y77">
    <cfRule type="containsText" dxfId="0" priority="5165" operator="between" text="欠">
      <formula>NOT(ISERROR(SEARCH("欠",X71)))</formula>
    </cfRule>
  </conditionalFormatting>
  <conditionalFormatting sqref="AA71:AB77">
    <cfRule type="containsText" dxfId="0" priority="5168" operator="between" text="欠">
      <formula>NOT(ISERROR(SEARCH("欠",AA71)))</formula>
    </cfRule>
  </conditionalFormatting>
  <conditionalFormatting sqref="AC72:AD73 AC75:AD77">
    <cfRule type="containsText" dxfId="0" priority="5170" operator="between" text="欠">
      <formula>NOT(ISERROR(SEARCH("欠",AC72)))</formula>
    </cfRule>
  </conditionalFormatting>
  <conditionalFormatting sqref="AH73 AH77">
    <cfRule type="containsText" dxfId="0" priority="5171" operator="between" text="欠">
      <formula>NOT(ISERROR(SEARCH("欠",AH73)))</formula>
    </cfRule>
  </conditionalFormatting>
  <conditionalFormatting sqref="AE78:AE89 AH81">
    <cfRule type="containsText" dxfId="0" priority="5151" operator="between" text="欠">
      <formula>NOT(ISERROR(SEARCH("欠",AE78)))</formula>
    </cfRule>
  </conditionalFormatting>
  <conditionalFormatting sqref="AG87:AG89 AG78:AG85 AH85">
    <cfRule type="containsText" dxfId="0" priority="5135" operator="between" text="欠">
      <formula>NOT(ISERROR(SEARCH("欠",AG78)))</formula>
    </cfRule>
  </conditionalFormatting>
  <conditionalFormatting sqref="AA81:AB89">
    <cfRule type="containsText" dxfId="0" priority="5153" operator="between" text="欠">
      <formula>NOT(ISERROR(SEARCH("欠",AA81)))</formula>
    </cfRule>
  </conditionalFormatting>
  <conditionalFormatting sqref="AC86 AC85:AD85">
    <cfRule type="containsText" dxfId="0" priority="5142" operator="between" text="欠">
      <formula>NOT(ISERROR(SEARCH("欠",AC85)))</formula>
    </cfRule>
  </conditionalFormatting>
  <conditionalFormatting sqref="AA90:AB92">
    <cfRule type="containsText" dxfId="0" priority="5093" operator="between" text="欠">
      <formula>NOT(ISERROR(SEARCH("欠",AA90)))</formula>
    </cfRule>
  </conditionalFormatting>
  <conditionalFormatting sqref="AF90:AF94 AF98:AF99">
    <cfRule type="containsText" dxfId="0" priority="5105" operator="between" text="欠">
      <formula>NOT(ISERROR(SEARCH("欠",AF90)))</formula>
    </cfRule>
  </conditionalFormatting>
  <conditionalFormatting sqref="AI90:AI94 AI98:AI99">
    <cfRule type="containsText" dxfId="0" priority="5083" operator="between" text="欠">
      <formula>NOT(ISERROR(SEARCH("欠",AI90)))</formula>
    </cfRule>
  </conditionalFormatting>
  <conditionalFormatting sqref="X98:Y99 X93:Y94">
    <cfRule type="containsText" dxfId="0" priority="5106" operator="between" text="欠">
      <formula>NOT(ISERROR(SEARCH("欠",X93)))</formula>
    </cfRule>
  </conditionalFormatting>
  <conditionalFormatting sqref="Z95:AB97 Z93:Z94">
    <cfRule type="containsText" dxfId="0" priority="5116" operator="between" text="欠">
      <formula>NOT(ISERROR(SEARCH("欠",Z93)))</formula>
    </cfRule>
  </conditionalFormatting>
  <conditionalFormatting sqref="AB94 AA93:AB93">
    <cfRule type="containsText" dxfId="0" priority="5107" operator="between" text="欠">
      <formula>NOT(ISERROR(SEARCH("欠",AA93)))</formula>
    </cfRule>
  </conditionalFormatting>
  <conditionalFormatting sqref="AC93:AD94">
    <cfRule type="containsText" dxfId="0" priority="5102" operator="between" text="欠">
      <formula>NOT(ISERROR(SEARCH("欠",AC93)))</formula>
    </cfRule>
  </conditionalFormatting>
  <conditionalFormatting sqref="X95:Y97">
    <cfRule type="containsText" dxfId="0" priority="5117" operator="between" text="欠">
      <formula>NOT(ISERROR(SEARCH("欠",X95)))</formula>
    </cfRule>
  </conditionalFormatting>
  <conditionalFormatting sqref="AC95:AD97">
    <cfRule type="containsText" dxfId="0" priority="5115" operator="between" text="欠">
      <formula>NOT(ISERROR(SEARCH("欠",AC95)))</formula>
    </cfRule>
  </conditionalFormatting>
  <conditionalFormatting sqref="AD99 AC98:AD98">
    <cfRule type="containsText" dxfId="0" priority="5097" operator="between" text="欠">
      <formula>NOT(ISERROR(SEARCH("欠",AC98)))</formula>
    </cfRule>
  </conditionalFormatting>
  <conditionalFormatting sqref="X100:Y104">
    <cfRule type="containsText" dxfId="0" priority="5060" operator="between" text="欠">
      <formula>NOT(ISERROR(SEARCH("欠",X100)))</formula>
    </cfRule>
  </conditionalFormatting>
  <conditionalFormatting sqref="AA100:AB104">
    <cfRule type="containsText" dxfId="0" priority="5058" operator="between" text="欠">
      <formula>NOT(ISERROR(SEARCH("欠",AA100)))</formula>
    </cfRule>
  </conditionalFormatting>
  <conditionalFormatting sqref="AC101:AD104">
    <cfRule type="containsText" dxfId="0" priority="5055" operator="between" text="欠">
      <formula>NOT(ISERROR(SEARCH("欠",AC101)))</formula>
    </cfRule>
  </conditionalFormatting>
  <conditionalFormatting sqref="AA105:AB106">
    <cfRule type="containsText" dxfId="0" priority="5072" operator="between" text="欠">
      <formula>NOT(ISERROR(SEARCH("欠",AA105)))</formula>
    </cfRule>
  </conditionalFormatting>
  <conditionalFormatting sqref="AF107:AF108 AH107">
    <cfRule type="containsText" dxfId="0" priority="5037" operator="between" text="欠">
      <formula>NOT(ISERROR(SEARCH("欠",AF107)))</formula>
    </cfRule>
  </conditionalFormatting>
  <conditionalFormatting sqref="AA109:AB114">
    <cfRule type="containsText" dxfId="0" priority="4995" operator="between" text="欠">
      <formula>NOT(ISERROR(SEARCH("欠",AA109)))</formula>
    </cfRule>
  </conditionalFormatting>
  <conditionalFormatting sqref="AG109:AH109 AG111:AG117 AG119:AG120">
    <cfRule type="containsText" dxfId="0" priority="5019" operator="between" text="欠">
      <formula>NOT(ISERROR(SEARCH("欠",AG109)))</formula>
    </cfRule>
  </conditionalFormatting>
  <conditionalFormatting sqref="AA115:AB115 AB116:AB117 AA116:AA120">
    <cfRule type="containsText" dxfId="0" priority="5007" operator="between" text="欠">
      <formula>NOT(ISERROR(SEARCH("欠",AA115)))</formula>
    </cfRule>
  </conditionalFormatting>
  <conditionalFormatting sqref="AC117:AD117 AD118:AD120">
    <cfRule type="containsText" dxfId="0" priority="5009" operator="between" text="欠">
      <formula>NOT(ISERROR(SEARCH("欠",AC117)))</formula>
    </cfRule>
  </conditionalFormatting>
  <conditionalFormatting sqref="AF135 AH135">
    <cfRule type="containsText" dxfId="0" priority="4874" operator="between" text="欠">
      <formula>NOT(ISERROR(SEARCH("欠",AF135)))</formula>
    </cfRule>
  </conditionalFormatting>
  <conditionalFormatting sqref="E136:E138 AB138 Z136:AA138">
    <cfRule type="containsText" dxfId="0" priority="4868" operator="between" text="欠">
      <formula>NOT(ISERROR(SEARCH("欠",E136)))</formula>
    </cfRule>
  </conditionalFormatting>
  <conditionalFormatting sqref="AD137:AD138 AC136:AD136">
    <cfRule type="containsText" dxfId="0" priority="4867" operator="between" text="欠">
      <formula>NOT(ISERROR(SEARCH("欠",AC136)))</formula>
    </cfRule>
  </conditionalFormatting>
  <conditionalFormatting sqref="AH136:AI136 AF136:AF138">
    <cfRule type="containsText" dxfId="0" priority="4866" operator="between" text="欠">
      <formula>NOT(ISERROR(SEARCH("欠",AF136)))</formula>
    </cfRule>
  </conditionalFormatting>
  <conditionalFormatting sqref="E140:E142 AB140:AB141 Z140:AA142">
    <cfRule type="containsText" dxfId="0" priority="4841" operator="between" text="欠">
      <formula>NOT(ISERROR(SEARCH("欠",E140)))</formula>
    </cfRule>
  </conditionalFormatting>
  <conditionalFormatting sqref="AA150:AB152">
    <cfRule type="containsText" dxfId="0" priority="4758" operator="between" text="欠">
      <formula>NOT(ISERROR(SEARCH("欠",AA150)))</formula>
    </cfRule>
  </conditionalFormatting>
  <conditionalFormatting sqref="AC150:AD150 AD151:AD152">
    <cfRule type="containsText" dxfId="0" priority="4757" operator="between" text="欠">
      <formula>NOT(ISERROR(SEARCH("欠",AC150)))</formula>
    </cfRule>
  </conditionalFormatting>
  <conditionalFormatting sqref="AF150:AF152 AH150:AI152">
    <cfRule type="containsText" dxfId="0" priority="4761" operator="between" text="欠">
      <formula>NOT(ISERROR(SEARCH("欠",AF150)))</formula>
    </cfRule>
  </conditionalFormatting>
  <conditionalFormatting sqref="AF153 AI153">
    <cfRule type="containsText" dxfId="0" priority="4752" operator="between" text="欠">
      <formula>NOT(ISERROR(SEARCH("欠",AF153)))</formula>
    </cfRule>
  </conditionalFormatting>
  <conditionalFormatting sqref="AF156 AH156:AI156">
    <cfRule type="containsText" dxfId="0" priority="4709" operator="between" text="欠">
      <formula>NOT(ISERROR(SEARCH("欠",AF156)))</formula>
    </cfRule>
  </conditionalFormatting>
  <conditionalFormatting sqref="AE157:AF157 AI157">
    <cfRule type="containsText" dxfId="0" priority="4701" operator="between" text="欠">
      <formula>NOT(ISERROR(SEARCH("欠",AE157)))</formula>
    </cfRule>
  </conditionalFormatting>
  <conditionalFormatting sqref="X159:Y160">
    <cfRule type="containsText" dxfId="0" priority="4740" operator="between" text="欠">
      <formula>NOT(ISERROR(SEARCH("欠",X159)))</formula>
    </cfRule>
  </conditionalFormatting>
  <conditionalFormatting sqref="AC159:AD160">
    <cfRule type="containsText" dxfId="0" priority="4732" operator="between" text="欠">
      <formula>NOT(ISERROR(SEARCH("欠",AC159)))</formula>
    </cfRule>
  </conditionalFormatting>
  <conditionalFormatting sqref="X168:Y168 X169:X170">
    <cfRule type="containsText" dxfId="0" priority="4609" operator="between" text="欠">
      <formula>NOT(ISERROR(SEARCH("欠",X168)))</formula>
    </cfRule>
  </conditionalFormatting>
  <conditionalFormatting sqref="AA168:AB170">
    <cfRule type="containsText" dxfId="0" priority="4608" operator="between" text="欠">
      <formula>NOT(ISERROR(SEARCH("欠",AA168)))</formula>
    </cfRule>
  </conditionalFormatting>
  <conditionalFormatting sqref="AC168:AD168 AD169:AD170">
    <cfRule type="containsText" dxfId="0" priority="4600" operator="between" text="欠">
      <formula>NOT(ISERROR(SEARCH("欠",AC168)))</formula>
    </cfRule>
  </conditionalFormatting>
  <conditionalFormatting sqref="AF168:AF170 AH168:AI170">
    <cfRule type="containsText" dxfId="0" priority="4607" operator="between" text="欠">
      <formula>NOT(ISERROR(SEARCH("欠",AF168)))</formula>
    </cfRule>
  </conditionalFormatting>
  <conditionalFormatting sqref="X177:X179 X173:X174">
    <cfRule type="containsText" dxfId="0" priority="4569" operator="between" text="欠">
      <formula>NOT(ISERROR(SEARCH("欠",X173)))</formula>
    </cfRule>
  </conditionalFormatting>
  <conditionalFormatting sqref="Y177:Y179 Y173:Y174">
    <cfRule type="containsText" dxfId="0" priority="4558" operator="between" text="欠">
      <formula>NOT(ISERROR(SEARCH("欠",Y173)))</formula>
    </cfRule>
  </conditionalFormatting>
  <conditionalFormatting sqref="Z177:Z179 Z173:Z174">
    <cfRule type="containsText" dxfId="0" priority="4568" operator="between" text="欠">
      <formula>NOT(ISERROR(SEARCH("欠",Z173)))</formula>
    </cfRule>
  </conditionalFormatting>
  <conditionalFormatting sqref="AA173:AB179">
    <cfRule type="containsText" dxfId="0" priority="4551" operator="between" text="欠">
      <formula>NOT(ISERROR(SEARCH("欠",AA173)))</formula>
    </cfRule>
  </conditionalFormatting>
  <conditionalFormatting sqref="AC173:AD174 AC177:AD178">
    <cfRule type="containsText" dxfId="0" priority="4564" operator="between" text="欠">
      <formula>NOT(ISERROR(SEARCH("欠",AC173)))</formula>
    </cfRule>
  </conditionalFormatting>
  <conditionalFormatting sqref="AE173:AE174 AE178">
    <cfRule type="containsText" dxfId="0" priority="4560" operator="between" text="欠">
      <formula>NOT(ISERROR(SEARCH("欠",AE173)))</formula>
    </cfRule>
  </conditionalFormatting>
  <conditionalFormatting sqref="AE179:AI179 AF177:AF178 AF173:AF174">
    <cfRule type="containsText" dxfId="0" priority="4566" operator="between" text="欠">
      <formula>NOT(ISERROR(SEARCH("欠",AE173)))</formula>
    </cfRule>
  </conditionalFormatting>
  <conditionalFormatting sqref="AG173:AG174 AG178">
    <cfRule type="containsText" dxfId="0" priority="4559" operator="between" text="欠">
      <formula>NOT(ISERROR(SEARCH("欠",AG173)))</formula>
    </cfRule>
  </conditionalFormatting>
  <conditionalFormatting sqref="AH173:AI174 AH178:AI178">
    <cfRule type="containsText" dxfId="0" priority="4565" operator="between" text="欠">
      <formula>NOT(ISERROR(SEARCH("欠",AH173)))</formula>
    </cfRule>
  </conditionalFormatting>
  <conditionalFormatting sqref="AK179 AK173:AK174">
    <cfRule type="containsText" dxfId="0" priority="4548" operator="between" text="欠">
      <formula>NOT(ISERROR(SEARCH("欠",AK173)))</formula>
    </cfRule>
  </conditionalFormatting>
  <conditionalFormatting sqref="X175:Y176">
    <cfRule type="containsText" dxfId="0" priority="4554" operator="between" text="欠">
      <formula>NOT(ISERROR(SEARCH("欠",X175)))</formula>
    </cfRule>
  </conditionalFormatting>
  <conditionalFormatting sqref="AC175:AD176">
    <cfRule type="containsText" dxfId="0" priority="4549" operator="between" text="欠">
      <formula>NOT(ISERROR(SEARCH("欠",AC175)))</formula>
    </cfRule>
  </conditionalFormatting>
  <conditionalFormatting sqref="AE175:AG176">
    <cfRule type="containsText" dxfId="0" priority="4556" operator="between" text="欠">
      <formula>NOT(ISERROR(SEARCH("欠",AE175)))</formula>
    </cfRule>
  </conditionalFormatting>
  <conditionalFormatting sqref="AF189 AI189">
    <cfRule type="containsText" dxfId="0" priority="3884" operator="between" text="欠">
      <formula>NOT(ISERROR(SEARCH("欠",AF189)))</formula>
    </cfRule>
  </conditionalFormatting>
  <conditionalFormatting sqref="AG191 AE191">
    <cfRule type="containsText" dxfId="0" priority="3867" operator="between" text="欠">
      <formula>NOT(ISERROR(SEARCH("欠",AE191)))</formula>
    </cfRule>
  </conditionalFormatting>
  <conditionalFormatting sqref="X193 X197">
    <cfRule type="containsText" dxfId="0" priority="3846" operator="between" text="欠">
      <formula>NOT(ISERROR(SEARCH("欠",X193)))</formula>
    </cfRule>
  </conditionalFormatting>
  <conditionalFormatting sqref="Y193 Y197">
    <cfRule type="containsText" dxfId="0" priority="3838" operator="between" text="欠">
      <formula>NOT(ISERROR(SEARCH("欠",Y193)))</formula>
    </cfRule>
  </conditionalFormatting>
  <conditionalFormatting sqref="Z197:AA197 Z193">
    <cfRule type="containsText" dxfId="0" priority="3845" operator="between" text="欠">
      <formula>NOT(ISERROR(SEARCH("欠",Z193)))</formula>
    </cfRule>
  </conditionalFormatting>
  <conditionalFormatting sqref="AC197:AD197 AC193:AD193">
    <cfRule type="containsText" dxfId="0" priority="3842" operator="between" text="欠">
      <formula>NOT(ISERROR(SEARCH("欠",AC193)))</formula>
    </cfRule>
  </conditionalFormatting>
  <conditionalFormatting sqref="AE193 AE197">
    <cfRule type="containsText" dxfId="0" priority="3841" operator="between" text="欠">
      <formula>NOT(ISERROR(SEARCH("欠",AE193)))</formula>
    </cfRule>
  </conditionalFormatting>
  <conditionalFormatting sqref="AF197 AF195 AF193">
    <cfRule type="containsText" dxfId="0" priority="3844" operator="between" text="欠">
      <formula>NOT(ISERROR(SEARCH("欠",AF193)))</formula>
    </cfRule>
  </conditionalFormatting>
  <conditionalFormatting sqref="AG193 AG197">
    <cfRule type="containsText" dxfId="0" priority="3840" operator="between" text="欠">
      <formula>NOT(ISERROR(SEARCH("欠",AG193)))</formula>
    </cfRule>
  </conditionalFormatting>
  <conditionalFormatting sqref="AH197:AI197 AH193:AI193">
    <cfRule type="containsText" dxfId="0" priority="3843" operator="between" text="欠">
      <formula>NOT(ISERROR(SEARCH("欠",AH193)))</formula>
    </cfRule>
  </conditionalFormatting>
  <conditionalFormatting sqref="AK193 AK196:AK197">
    <cfRule type="containsText" dxfId="0" priority="3825" operator="between" text="欠">
      <formula>NOT(ISERROR(SEARCH("欠",AK193)))</formula>
    </cfRule>
  </conditionalFormatting>
  <conditionalFormatting sqref="AF194 AF196">
    <cfRule type="containsText" dxfId="0" priority="3836" operator="between" text="欠">
      <formula>NOT(ISERROR(SEARCH("欠",AF194)))</formula>
    </cfRule>
  </conditionalFormatting>
  <conditionalFormatting sqref="AH194:AI196">
    <cfRule type="containsText" dxfId="0" priority="3837" operator="between" text="欠">
      <formula>NOT(ISERROR(SEARCH("欠",AH194)))</formula>
    </cfRule>
  </conditionalFormatting>
  <conditionalFormatting sqref="AB202 AB198">
    <cfRule type="containsText" dxfId="0" priority="3785" operator="between" text="欠">
      <formula>NOT(ISERROR(SEARCH("欠",AB198)))</formula>
    </cfRule>
  </conditionalFormatting>
  <conditionalFormatting sqref="AC200:AC203 AC198">
    <cfRule type="containsText" dxfId="0" priority="3812" operator="between" text="欠">
      <formula>NOT(ISERROR(SEARCH("欠",AC198)))</formula>
    </cfRule>
  </conditionalFormatting>
  <conditionalFormatting sqref="AD198 AD200:AD203">
    <cfRule type="containsText" dxfId="0" priority="3813" operator="between" text="欠">
      <formula>NOT(ISERROR(SEARCH("欠",AD198)))</formula>
    </cfRule>
  </conditionalFormatting>
  <conditionalFormatting sqref="AF198:AF201 AF203">
    <cfRule type="containsText" dxfId="0" priority="3814" operator="between" text="欠">
      <formula>NOT(ISERROR(SEARCH("欠",AF198)))</formula>
    </cfRule>
  </conditionalFormatting>
  <conditionalFormatting sqref="AB199:AB201 AB203">
    <cfRule type="containsText" dxfId="0" priority="3804" operator="between" text="欠">
      <formula>NOT(ISERROR(SEARCH("欠",AB199)))</formula>
    </cfRule>
  </conditionalFormatting>
  <conditionalFormatting sqref="AI202 AI199">
    <cfRule type="containsText" dxfId="0" priority="3807" operator="between" text="欠">
      <formula>NOT(ISERROR(SEARCH("欠",AI199)))</formula>
    </cfRule>
  </conditionalFormatting>
  <conditionalFormatting sqref="AF206 AI206">
    <cfRule type="containsText" dxfId="0" priority="3769" operator="between" text="欠">
      <formula>NOT(ISERROR(SEARCH("欠",AF206)))</formula>
    </cfRule>
  </conditionalFormatting>
  <conditionalFormatting sqref="AA211:AB212">
    <cfRule type="containsText" dxfId="0" priority="3692" operator="between" text="欠">
      <formula>NOT(ISERROR(SEARCH("欠",AA211)))</formula>
    </cfRule>
  </conditionalFormatting>
  <conditionalFormatting sqref="AF231:AG231 AD231">
    <cfRule type="containsText" dxfId="0" priority="3498" operator="between" text="欠">
      <formula>NOT(ISERROR(SEARCH("欠",AD231)))</formula>
    </cfRule>
  </conditionalFormatting>
  <conditionalFormatting sqref="X234:Y235">
    <cfRule type="containsText" dxfId="0" priority="3451" operator="between" text="欠">
      <formula>NOT(ISERROR(SEARCH("欠",X234)))</formula>
    </cfRule>
  </conditionalFormatting>
  <conditionalFormatting sqref="Z234:AB235">
    <cfRule type="containsText" dxfId="0" priority="3450" operator="between" text="欠">
      <formula>NOT(ISERROR(SEARCH("欠",Z234)))</formula>
    </cfRule>
  </conditionalFormatting>
  <conditionalFormatting sqref="AF239 AH239:AI239">
    <cfRule type="containsText" dxfId="0" priority="3400" operator="between" text="欠">
      <formula>NOT(ISERROR(SEARCH("欠",AF239)))</formula>
    </cfRule>
  </conditionalFormatting>
  <conditionalFormatting sqref="AA247:AB248">
    <cfRule type="containsText" dxfId="0" priority="3300" operator="between" text="欠">
      <formula>NOT(ISERROR(SEARCH("欠",AA247)))</formula>
    </cfRule>
  </conditionalFormatting>
  <conditionalFormatting sqref="AC247:AD248">
    <cfRule type="containsText" dxfId="0" priority="3295" operator="between" text="欠">
      <formula>NOT(ISERROR(SEARCH("欠",AC247)))</formula>
    </cfRule>
  </conditionalFormatting>
  <conditionalFormatting sqref="AC250:AD250 AD252">
    <cfRule type="containsText" dxfId="0" priority="3267" operator="between" text="欠">
      <formula>NOT(ISERROR(SEARCH("欠",AC250)))</formula>
    </cfRule>
  </conditionalFormatting>
  <conditionalFormatting sqref="AA251:AB253 AA254">
    <cfRule type="containsText" dxfId="0" priority="3256" operator="between" text="欠">
      <formula>NOT(ISERROR(SEARCH("欠",AA251)))</formula>
    </cfRule>
  </conditionalFormatting>
  <conditionalFormatting sqref="AF251:AF252 AF256">
    <cfRule type="containsText" dxfId="0" priority="3275" operator="between" text="欠">
      <formula>NOT(ISERROR(SEARCH("欠",AF251)))</formula>
    </cfRule>
  </conditionalFormatting>
  <conditionalFormatting sqref="AC254:AD254 AC256:AD256">
    <cfRule type="containsText" dxfId="0" priority="3259" operator="between" text="欠">
      <formula>NOT(ISERROR(SEARCH("欠",AC254)))</formula>
    </cfRule>
  </conditionalFormatting>
  <conditionalFormatting sqref="AA255:AB256">
    <cfRule type="containsText" dxfId="0" priority="3260" operator="between" text="欠">
      <formula>NOT(ISERROR(SEARCH("欠",AA255)))</formula>
    </cfRule>
  </conditionalFormatting>
  <conditionalFormatting sqref="AF255 AI255">
    <cfRule type="containsText" dxfId="0" priority="3276" operator="between" text="欠">
      <formula>NOT(ISERROR(SEARCH("欠",AF255)))</formula>
    </cfRule>
  </conditionalFormatting>
  <conditionalFormatting sqref="AF266 AI266">
    <cfRule type="containsText" dxfId="0" priority="3129" operator="between" text="欠">
      <formula>NOT(ISERROR(SEARCH("欠",AF266)))</formula>
    </cfRule>
  </conditionalFormatting>
  <conditionalFormatting sqref="C267:C270 C272:C275">
    <cfRule type="containsText" dxfId="2" priority="3094" operator="between" text="二代">
      <formula>NOT(ISERROR(SEARCH("二代",C267)))</formula>
    </cfRule>
    <cfRule type="containsText" dxfId="3" priority="3095" operator="between" text="蛋糕">
      <formula>NOT(ISERROR(SEARCH("蛋糕",C267)))</formula>
    </cfRule>
  </conditionalFormatting>
  <conditionalFormatting sqref="X267:X270 X272:X275">
    <cfRule type="containsText" dxfId="0" priority="3112" operator="between" text="欠">
      <formula>NOT(ISERROR(SEARCH("欠",X267)))</formula>
    </cfRule>
  </conditionalFormatting>
  <conditionalFormatting sqref="Y267:Y270 Y272:Y275">
    <cfRule type="containsText" dxfId="0" priority="3108" operator="between" text="欠">
      <formula>NOT(ISERROR(SEARCH("欠",Y267)))</formula>
    </cfRule>
  </conditionalFormatting>
  <conditionalFormatting sqref="AA267:AB267 AB268 AB270 AB272:AB275">
    <cfRule type="containsText" dxfId="0" priority="3121" operator="between" text="欠">
      <formula>NOT(ISERROR(SEARCH("欠",AA267)))</formula>
    </cfRule>
  </conditionalFormatting>
  <conditionalFormatting sqref="AC267 AC273:AC274 AC275:AD275">
    <cfRule type="containsText" dxfId="0" priority="3120" operator="between" text="欠">
      <formula>NOT(ISERROR(SEARCH("欠",AC267)))</formula>
    </cfRule>
  </conditionalFormatting>
  <conditionalFormatting sqref="AD267 AD270 AD273:AD274">
    <cfRule type="containsText" dxfId="0" priority="3100" operator="between" text="欠">
      <formula>NOT(ISERROR(SEARCH("欠",AD267)))</formula>
    </cfRule>
  </conditionalFormatting>
  <conditionalFormatting sqref="AE267 AE269:AE270 AE272:AE275">
    <cfRule type="containsText" dxfId="0" priority="3118" operator="between" text="欠">
      <formula>NOT(ISERROR(SEARCH("欠",AE267)))</formula>
    </cfRule>
  </conditionalFormatting>
  <conditionalFormatting sqref="AH272:AH275 AH267:AH268 AH270 AF274 AF270">
    <cfRule type="containsText" dxfId="0" priority="3119" operator="between" text="欠">
      <formula>NOT(ISERROR(SEARCH("欠",AF267)))</formula>
    </cfRule>
  </conditionalFormatting>
  <conditionalFormatting sqref="AF267 AF273">
    <cfRule type="containsText" dxfId="0" priority="3104" operator="between" text="欠">
      <formula>NOT(ISERROR(SEARCH("欠",AF267)))</formula>
    </cfRule>
  </conditionalFormatting>
  <conditionalFormatting sqref="AG267 AG269:AG270 AG272:AG275">
    <cfRule type="containsText" dxfId="0" priority="3116" operator="between" text="欠">
      <formula>NOT(ISERROR(SEARCH("欠",AG267)))</formula>
    </cfRule>
  </conditionalFormatting>
  <conditionalFormatting sqref="AI267 AI270 AI273:AI274">
    <cfRule type="containsText" dxfId="0" priority="3099" operator="between" text="欠">
      <formula>NOT(ISERROR(SEARCH("欠",AI267)))</formula>
    </cfRule>
  </conditionalFormatting>
  <conditionalFormatting sqref="Z268 Z270 Z272 Z274:Z275">
    <cfRule type="containsText" dxfId="0" priority="3107" operator="between" text="欠">
      <formula>NOT(ISERROR(SEARCH("欠",Z268)))</formula>
    </cfRule>
  </conditionalFormatting>
  <conditionalFormatting sqref="AA268 AA270 AA272 AA274:AA275">
    <cfRule type="containsText" dxfId="0" priority="3111" operator="between" text="欠">
      <formula>NOT(ISERROR(SEARCH("欠",AA268)))</formula>
    </cfRule>
  </conditionalFormatting>
  <conditionalFormatting sqref="AC268:AD268 AC272:AD272">
    <cfRule type="containsText" dxfId="0" priority="3110" operator="between" text="欠">
      <formula>NOT(ISERROR(SEARCH("欠",AC268)))</formula>
    </cfRule>
  </conditionalFormatting>
  <conditionalFormatting sqref="AF268 AI268 AF272 AI272">
    <cfRule type="containsText" dxfId="0" priority="3109" operator="between" text="欠">
      <formula>NOT(ISERROR(SEARCH("欠",AF268)))</formula>
    </cfRule>
  </conditionalFormatting>
  <conditionalFormatting sqref="Z269 Z273">
    <cfRule type="containsText" dxfId="0" priority="3097" operator="between" text="欠">
      <formula>NOT(ISERROR(SEARCH("欠",Z269)))</formula>
    </cfRule>
  </conditionalFormatting>
  <conditionalFormatting sqref="AA269 AA273">
    <cfRule type="containsText" dxfId="0" priority="3098" operator="between" text="欠">
      <formula>NOT(ISERROR(SEARCH("欠",AA269)))</formula>
    </cfRule>
  </conditionalFormatting>
  <conditionalFormatting sqref="AF269 AF275">
    <cfRule type="containsText" dxfId="0" priority="3122" operator="between" text="欠">
      <formula>NOT(ISERROR(SEARCH("欠",AF269)))</formula>
    </cfRule>
  </conditionalFormatting>
  <conditionalFormatting sqref="AI269 AI275">
    <cfRule type="containsText" dxfId="0" priority="3123" operator="between" text="欠">
      <formula>NOT(ISERROR(SEARCH("欠",AI269)))</formula>
    </cfRule>
  </conditionalFormatting>
  <conditionalFormatting sqref="AF276 AH276">
    <cfRule type="containsText" dxfId="0" priority="3064" operator="between" text="欠">
      <formula>NOT(ISERROR(SEARCH("欠",AF276)))</formula>
    </cfRule>
  </conditionalFormatting>
  <conditionalFormatting sqref="AC281:AD282">
    <cfRule type="containsText" dxfId="0" priority="3001" operator="between" text="欠">
      <formula>NOT(ISERROR(SEARCH("欠",AC281)))</formula>
    </cfRule>
  </conditionalFormatting>
  <conditionalFormatting sqref="AE282:AG284">
    <cfRule type="containsText" dxfId="0" priority="2982" operator="between" text="欠">
      <formula>NOT(ISERROR(SEARCH("欠",AE282)))</formula>
    </cfRule>
  </conditionalFormatting>
  <conditionalFormatting sqref="AA283:AB284">
    <cfRule type="containsText" dxfId="0" priority="2979" operator="between" text="欠">
      <formula>NOT(ISERROR(SEARCH("欠",AA283)))</formula>
    </cfRule>
  </conditionalFormatting>
  <conditionalFormatting sqref="AC283:AD284">
    <cfRule type="containsText" dxfId="0" priority="2978" operator="between" text="欠">
      <formula>NOT(ISERROR(SEARCH("欠",AC283)))</formula>
    </cfRule>
  </conditionalFormatting>
  <conditionalFormatting sqref="AH285:AI286">
    <cfRule type="containsText" dxfId="0" priority="2997" operator="between" text="欠">
      <formula>NOT(ISERROR(SEARCH("欠",AH285)))</formula>
    </cfRule>
  </conditionalFormatting>
  <conditionalFormatting sqref="AA288:AB289">
    <cfRule type="containsText" dxfId="0" priority="2952" operator="between" text="欠">
      <formula>NOT(ISERROR(SEARCH("欠",AA288)))</formula>
    </cfRule>
  </conditionalFormatting>
  <conditionalFormatting sqref="AA292:AB293">
    <cfRule type="containsText" dxfId="0" priority="2926" operator="between" text="欠">
      <formula>NOT(ISERROR(SEARCH("欠",AA292)))</formula>
    </cfRule>
  </conditionalFormatting>
  <conditionalFormatting sqref="AC292:AD293">
    <cfRule type="containsText" dxfId="0" priority="2925" operator="between" text="欠">
      <formula>NOT(ISERROR(SEARCH("欠",AC292)))</formula>
    </cfRule>
  </conditionalFormatting>
  <conditionalFormatting sqref="AF292:AF293 AH292:AH293">
    <cfRule type="containsText" dxfId="0" priority="2917" operator="between" text="欠">
      <formula>NOT(ISERROR(SEARCH("欠",AF292)))</formula>
    </cfRule>
  </conditionalFormatting>
  <conditionalFormatting sqref="AA295:AB297">
    <cfRule type="containsText" dxfId="0" priority="2898" operator="between" text="欠">
      <formula>NOT(ISERROR(SEARCH("欠",AA295)))</formula>
    </cfRule>
  </conditionalFormatting>
  <conditionalFormatting sqref="AC295:AD296">
    <cfRule type="containsText" dxfId="0" priority="2896" operator="between" text="欠">
      <formula>NOT(ISERROR(SEARCH("欠",AC295)))</formula>
    </cfRule>
  </conditionalFormatting>
  <conditionalFormatting sqref="AG295:AH296">
    <cfRule type="containsText" dxfId="0" priority="2894" operator="between" text="欠">
      <formula>NOT(ISERROR(SEARCH("欠",AG295)))</formula>
    </cfRule>
  </conditionalFormatting>
  <conditionalFormatting sqref="AC298:AD298 AD299">
    <cfRule type="containsText" dxfId="0" priority="2873" operator="between" text="欠">
      <formula>NOT(ISERROR(SEARCH("欠",AC298)))</formula>
    </cfRule>
  </conditionalFormatting>
  <conditionalFormatting sqref="AF298:AF299 AF302">
    <cfRule type="containsText" dxfId="0" priority="2881" operator="between" text="欠">
      <formula>NOT(ISERROR(SEARCH("欠",AF298)))</formula>
    </cfRule>
  </conditionalFormatting>
  <conditionalFormatting sqref="AI298:AI299 AF300">
    <cfRule type="containsText" dxfId="0" priority="2872" operator="between" text="欠">
      <formula>NOT(ISERROR(SEARCH("欠",AF298)))</formula>
    </cfRule>
  </conditionalFormatting>
  <conditionalFormatting sqref="AC300:AD301">
    <cfRule type="containsText" dxfId="0" priority="2864" operator="between" text="欠">
      <formula>NOT(ISERROR(SEARCH("欠",AC300)))</formula>
    </cfRule>
  </conditionalFormatting>
  <conditionalFormatting sqref="AK301 AK304">
    <cfRule type="containsText" dxfId="0" priority="2833" operator="between" text="欠">
      <formula>NOT(ISERROR(SEARCH("欠",AK301)))</formula>
    </cfRule>
  </conditionalFormatting>
  <conditionalFormatting sqref="AE302 AE304">
    <cfRule type="containsText" dxfId="0" priority="2852" operator="between" text="欠">
      <formula>NOT(ISERROR(SEARCH("欠",AE302)))</formula>
    </cfRule>
  </conditionalFormatting>
  <conditionalFormatting sqref="AG302 AG304">
    <cfRule type="containsText" dxfId="0" priority="2846" operator="between" text="欠">
      <formula>NOT(ISERROR(SEARCH("欠",AG302)))</formula>
    </cfRule>
  </conditionalFormatting>
  <conditionalFormatting sqref="AF303 AH303">
    <cfRule type="containsText" dxfId="0" priority="2840" operator="between" text="欠">
      <formula>NOT(ISERROR(SEARCH("欠",AF303)))</formula>
    </cfRule>
  </conditionalFormatting>
  <conditionalFormatting sqref="AF311 AI311">
    <cfRule type="containsText" dxfId="0" priority="2768" operator="between" text="欠">
      <formula>NOT(ISERROR(SEARCH("欠",AF311)))</formula>
    </cfRule>
  </conditionalFormatting>
  <conditionalFormatting sqref="AA326:AA327 AA328:AB329 AA330">
    <cfRule type="containsText" dxfId="0" priority="2748" operator="between" text="欠">
      <formula>NOT(ISERROR(SEARCH("欠",AA326)))</formula>
    </cfRule>
  </conditionalFormatting>
  <conditionalFormatting sqref="AL326 AL331:AL332 AL334:AL338">
    <cfRule type="containsText" dxfId="0" priority="2735" operator="between" text="欠">
      <formula>NOT(ISERROR(SEARCH("欠",AL326)))</formula>
    </cfRule>
  </conditionalFormatting>
  <conditionalFormatting sqref="AA331:AB337 AB338">
    <cfRule type="containsText" dxfId="0" priority="2743" operator="between" text="欠">
      <formula>NOT(ISERROR(SEARCH("欠",AA331)))</formula>
    </cfRule>
  </conditionalFormatting>
  <conditionalFormatting sqref="AC331:AD338">
    <cfRule type="containsText" dxfId="0" priority="2742" operator="between" text="欠">
      <formula>NOT(ISERROR(SEARCH("欠",AC331)))</formula>
    </cfRule>
  </conditionalFormatting>
  <conditionalFormatting sqref="AF331:AF332 AF334:AF337">
    <cfRule type="containsText" dxfId="0" priority="2762" operator="between" text="欠">
      <formula>NOT(ISERROR(SEARCH("欠",AF331)))</formula>
    </cfRule>
  </conditionalFormatting>
  <conditionalFormatting sqref="AI331:AI332 AI334 AI336 AI338">
    <cfRule type="containsText" dxfId="0" priority="2755" operator="between" text="欠">
      <formula>NOT(ISERROR(SEARCH("欠",AI331)))</formula>
    </cfRule>
  </conditionalFormatting>
  <conditionalFormatting sqref="AA340:AB341">
    <cfRule type="containsText" dxfId="0" priority="2644" operator="between" text="欠">
      <formula>NOT(ISERROR(SEARCH("欠",AA340)))</formula>
    </cfRule>
  </conditionalFormatting>
  <conditionalFormatting sqref="AF340:AF343 AF345:AF348">
    <cfRule type="containsText" dxfId="0" priority="2671" operator="between" text="欠">
      <formula>NOT(ISERROR(SEARCH("欠",AF340)))</formula>
    </cfRule>
  </conditionalFormatting>
  <conditionalFormatting sqref="AA350:AB351">
    <cfRule type="containsText" dxfId="0" priority="2616" operator="between" text="欠">
      <formula>NOT(ISERROR(SEARCH("欠",AA350)))</formula>
    </cfRule>
  </conditionalFormatting>
  <conditionalFormatting sqref="Y352 X353:Y356 Y358:Y360">
    <cfRule type="containsText" dxfId="0" priority="2593" operator="between" text="欠">
      <formula>NOT(ISERROR(SEARCH("欠",X352)))</formula>
    </cfRule>
  </conditionalFormatting>
  <conditionalFormatting sqref="AA352:AA355 AA363">
    <cfRule type="containsText" dxfId="0" priority="2581" operator="between" text="欠">
      <formula>NOT(ISERROR(SEARCH("欠",AA352)))</formula>
    </cfRule>
  </conditionalFormatting>
  <conditionalFormatting sqref="AF352:AF355 AF357:AF361 AF365">
    <cfRule type="containsText" dxfId="0" priority="2598" operator="between" text="欠">
      <formula>NOT(ISERROR(SEARCH("欠",AF352)))</formula>
    </cfRule>
  </conditionalFormatting>
  <conditionalFormatting sqref="AI352 AI361">
    <cfRule type="containsText" dxfId="0" priority="2589" operator="between" text="欠">
      <formula>NOT(ISERROR(SEARCH("欠",AI352)))</formula>
    </cfRule>
  </conditionalFormatting>
  <conditionalFormatting sqref="Z353:AB353 Z354:Z365">
    <cfRule type="containsText" dxfId="0" priority="2590" operator="between" text="欠">
      <formula>NOT(ISERROR(SEARCH("欠",Z353)))</formula>
    </cfRule>
  </conditionalFormatting>
  <conditionalFormatting sqref="AC354:AD354 AD355">
    <cfRule type="containsText" dxfId="0" priority="2577" operator="between" text="欠">
      <formula>NOT(ISERROR(SEARCH("欠",AC354)))</formula>
    </cfRule>
  </conditionalFormatting>
  <conditionalFormatting sqref="AI354:AI355 AI359">
    <cfRule type="containsText" dxfId="0" priority="2585" operator="between" text="欠">
      <formula>NOT(ISERROR(SEARCH("欠",AI354)))</formula>
    </cfRule>
  </conditionalFormatting>
  <conditionalFormatting sqref="AF356 AF362">
    <cfRule type="containsText" dxfId="0" priority="2568" operator="between" text="欠">
      <formula>NOT(ISERROR(SEARCH("欠",AF356)))</formula>
    </cfRule>
  </conditionalFormatting>
  <conditionalFormatting sqref="AI356 AI358 AI362:AI363">
    <cfRule type="containsText" dxfId="0" priority="2587" operator="between" text="欠">
      <formula>NOT(ISERROR(SEARCH("欠",AI356)))</formula>
    </cfRule>
  </conditionalFormatting>
  <conditionalFormatting sqref="Y357 Y361:Y365">
    <cfRule type="containsText" dxfId="0" priority="2563" operator="between" text="欠">
      <formula>NOT(ISERROR(SEARCH("欠",Y357)))</formula>
    </cfRule>
  </conditionalFormatting>
  <conditionalFormatting sqref="AA357:AB362 AB363 AA364:AB365">
    <cfRule type="containsText" dxfId="0" priority="2565" operator="between" text="欠">
      <formula>NOT(ISERROR(SEARCH("欠",AA357)))</formula>
    </cfRule>
  </conditionalFormatting>
  <conditionalFormatting sqref="AC357:AC362 AC364:AC365">
    <cfRule type="containsText" dxfId="0" priority="2595" operator="between" text="欠">
      <formula>NOT(ISERROR(SEARCH("欠",AC357)))</formula>
    </cfRule>
  </conditionalFormatting>
  <conditionalFormatting sqref="AD357:AD362 AD364">
    <cfRule type="containsText" dxfId="0" priority="2596" operator="between" text="欠">
      <formula>NOT(ISERROR(SEARCH("欠",AD357)))</formula>
    </cfRule>
  </conditionalFormatting>
  <conditionalFormatting sqref="AF364 AI364">
    <cfRule type="containsText" dxfId="0" priority="2599" operator="between" text="欠">
      <formula>NOT(ISERROR(SEARCH("欠",AF364)))</formula>
    </cfRule>
  </conditionalFormatting>
  <conditionalFormatting sqref="AA375:AB376 AB377">
    <cfRule type="containsText" dxfId="0" priority="2390" operator="between" text="欠">
      <formula>NOT(ISERROR(SEARCH("欠",AA375)))</formula>
    </cfRule>
  </conditionalFormatting>
  <conditionalFormatting sqref="AC375:AD376">
    <cfRule type="containsText" dxfId="0" priority="2389" operator="between" text="欠">
      <formula>NOT(ISERROR(SEARCH("欠",AC375)))</formula>
    </cfRule>
  </conditionalFormatting>
  <conditionalFormatting sqref="AI375 AI380">
    <cfRule type="containsText" dxfId="0" priority="2401" operator="between" text="欠">
      <formula>NOT(ISERROR(SEARCH("欠",AI375)))</formula>
    </cfRule>
  </conditionalFormatting>
  <conditionalFormatting sqref="AC377:AD380">
    <cfRule type="containsText" dxfId="0" priority="2385" operator="between" text="欠">
      <formula>NOT(ISERROR(SEARCH("欠",AC377)))</formula>
    </cfRule>
  </conditionalFormatting>
  <conditionalFormatting sqref="AC386:AD387">
    <cfRule type="containsText" dxfId="0" priority="2288" operator="between" text="欠">
      <formula>NOT(ISERROR(SEARCH("欠",AC386)))</formula>
    </cfRule>
  </conditionalFormatting>
  <conditionalFormatting sqref="AF386 AH386 AF387 AH387">
    <cfRule type="containsText" dxfId="0" priority="2287" operator="between" text="欠">
      <formula>NOT(ISERROR(SEARCH("欠",AF386)))</formula>
    </cfRule>
  </conditionalFormatting>
  <conditionalFormatting sqref="Z390:AB390 Z393 Z395:Z397">
    <cfRule type="containsText" dxfId="0" priority="2254" operator="between" text="欠">
      <formula>NOT(ISERROR(SEARCH("欠",Z390)))</formula>
    </cfRule>
  </conditionalFormatting>
  <conditionalFormatting sqref="Z391:Z392 Z394">
    <cfRule type="containsText" dxfId="0" priority="2265" operator="between" text="欠">
      <formula>NOT(ISERROR(SEARCH("欠",Z391)))</formula>
    </cfRule>
  </conditionalFormatting>
  <conditionalFormatting sqref="AA391:AB392 AB393:AB397">
    <cfRule type="containsText" dxfId="0" priority="2259" operator="between" text="欠">
      <formula>NOT(ISERROR(SEARCH("欠",AA391)))</formula>
    </cfRule>
  </conditionalFormatting>
  <conditionalFormatting sqref="AC391:AC392 AC394">
    <cfRule type="containsText" dxfId="0" priority="2256" operator="between" text="欠">
      <formula>NOT(ISERROR(SEARCH("欠",AC391)))</formula>
    </cfRule>
  </conditionalFormatting>
  <conditionalFormatting sqref="AD391:AD392 AD394">
    <cfRule type="containsText" dxfId="0" priority="2257" operator="between" text="欠">
      <formula>NOT(ISERROR(SEARCH("欠",AD391)))</formula>
    </cfRule>
  </conditionalFormatting>
  <conditionalFormatting sqref="AE391:AE392 AE394">
    <cfRule type="containsText" dxfId="0" priority="2262" operator="between" text="欠">
      <formula>NOT(ISERROR(SEARCH("欠",AE391)))</formula>
    </cfRule>
  </conditionalFormatting>
  <conditionalFormatting sqref="AF391:AF392 AF394">
    <cfRule type="containsText" dxfId="0" priority="2266" operator="between" text="欠">
      <formula>NOT(ISERROR(SEARCH("欠",AF391)))</formula>
    </cfRule>
  </conditionalFormatting>
  <conditionalFormatting sqref="AG391:AG392 AG394">
    <cfRule type="containsText" dxfId="0" priority="2261" operator="between" text="欠">
      <formula>NOT(ISERROR(SEARCH("欠",AG391)))</formula>
    </cfRule>
  </conditionalFormatting>
  <conditionalFormatting sqref="AH391:AH392 AH394">
    <cfRule type="containsText" dxfId="0" priority="2263" operator="between" text="欠">
      <formula>NOT(ISERROR(SEARCH("欠",AH391)))</formula>
    </cfRule>
  </conditionalFormatting>
  <conditionalFormatting sqref="AI391:AI392 AI394">
    <cfRule type="containsText" dxfId="0" priority="2233" operator="between" text="欠">
      <formula>NOT(ISERROR(SEARCH("欠",AI391)))</formula>
    </cfRule>
  </conditionalFormatting>
  <conditionalFormatting sqref="X392 X394">
    <cfRule type="containsText" dxfId="0" priority="2258" operator="between" text="欠">
      <formula>NOT(ISERROR(SEARCH("欠",X392)))</formula>
    </cfRule>
  </conditionalFormatting>
  <conditionalFormatting sqref="X393 X395:X397">
    <cfRule type="containsText" dxfId="0" priority="2255" operator="between" text="欠">
      <formula>NOT(ISERROR(SEARCH("欠",X393)))</formula>
    </cfRule>
  </conditionalFormatting>
  <conditionalFormatting sqref="AA393 AA395:AA397">
    <cfRule type="containsText" dxfId="0" priority="2250" operator="between" text="欠">
      <formula>NOT(ISERROR(SEARCH("欠",AA393)))</formula>
    </cfRule>
  </conditionalFormatting>
  <conditionalFormatting sqref="AC393 AC395:AC397">
    <cfRule type="containsText" dxfId="0" priority="2249" operator="between" text="欠">
      <formula>NOT(ISERROR(SEARCH("欠",AC393)))</formula>
    </cfRule>
  </conditionalFormatting>
  <conditionalFormatting sqref="AD393 AD395:AD397">
    <cfRule type="containsText" dxfId="0" priority="2251" operator="between" text="欠">
      <formula>NOT(ISERROR(SEARCH("欠",AD393)))</formula>
    </cfRule>
  </conditionalFormatting>
  <conditionalFormatting sqref="AE393 AE395:AE397">
    <cfRule type="containsText" dxfId="0" priority="2247" operator="between" text="欠">
      <formula>NOT(ISERROR(SEARCH("欠",AE393)))</formula>
    </cfRule>
  </conditionalFormatting>
  <conditionalFormatting sqref="AF393 AF395:AF397">
    <cfRule type="containsText" dxfId="0" priority="2252" operator="between" text="欠">
      <formula>NOT(ISERROR(SEARCH("欠",AF393)))</formula>
    </cfRule>
  </conditionalFormatting>
  <conditionalFormatting sqref="AG393 AG395:AG397">
    <cfRule type="containsText" dxfId="0" priority="2246" operator="between" text="欠">
      <formula>NOT(ISERROR(SEARCH("欠",AG393)))</formula>
    </cfRule>
  </conditionalFormatting>
  <conditionalFormatting sqref="AH393 AH395:AH397">
    <cfRule type="containsText" dxfId="0" priority="2248" operator="between" text="欠">
      <formula>NOT(ISERROR(SEARCH("欠",AH393)))</formula>
    </cfRule>
  </conditionalFormatting>
  <conditionalFormatting sqref="AI393 AI395:AI397">
    <cfRule type="containsText" dxfId="0" priority="2253" operator="between" text="欠">
      <formula>NOT(ISERROR(SEARCH("欠",AI393)))</formula>
    </cfRule>
  </conditionalFormatting>
  <conditionalFormatting sqref="AL393 AL396">
    <cfRule type="containsText" dxfId="0" priority="2230" operator="between" text="欠">
      <formula>NOT(ISERROR(SEARCH("欠",AL393)))</formula>
    </cfRule>
  </conditionalFormatting>
  <conditionalFormatting sqref="AF398 AI398">
    <cfRule type="containsText" dxfId="0" priority="2236" operator="between" text="欠">
      <formula>NOT(ISERROR(SEARCH("欠",AF398)))</formula>
    </cfRule>
  </conditionalFormatting>
  <conditionalFormatting sqref="B407 B410">
    <cfRule type="containsText" dxfId="1" priority="2114" operator="between" text="异常">
      <formula>NOT(ISERROR(SEARCH("异常",B407)))</formula>
    </cfRule>
  </conditionalFormatting>
  <conditionalFormatting sqref="C407 C410">
    <cfRule type="containsText" dxfId="2" priority="2112" operator="between" text="二代">
      <formula>NOT(ISERROR(SEARCH("二代",C407)))</formula>
    </cfRule>
    <cfRule type="containsText" dxfId="3" priority="2113" operator="between" text="蛋糕">
      <formula>NOT(ISERROR(SEARCH("蛋糕",C407)))</formula>
    </cfRule>
  </conditionalFormatting>
  <conditionalFormatting sqref="X407 X410">
    <cfRule type="containsText" dxfId="0" priority="2119" operator="between" text="欠">
      <formula>NOT(ISERROR(SEARCH("欠",X407)))</formula>
    </cfRule>
  </conditionalFormatting>
  <conditionalFormatting sqref="Y407 Y410">
    <cfRule type="containsText" dxfId="0" priority="2121" operator="between" text="欠">
      <formula>NOT(ISERROR(SEARCH("欠",Y407)))</formula>
    </cfRule>
  </conditionalFormatting>
  <conditionalFormatting sqref="Z407 Z410">
    <cfRule type="containsText" dxfId="0" priority="2120" operator="between" text="欠">
      <formula>NOT(ISERROR(SEARCH("欠",Z407)))</formula>
    </cfRule>
  </conditionalFormatting>
  <conditionalFormatting sqref="AA407:AB407 AA410:AB410">
    <cfRule type="containsText" dxfId="0" priority="2118" operator="between" text="欠">
      <formula>NOT(ISERROR(SEARCH("欠",AA407)))</formula>
    </cfRule>
  </conditionalFormatting>
  <conditionalFormatting sqref="AC407:AD407 AC410:AD410">
    <cfRule type="containsText" dxfId="0" priority="2117" operator="between" text="欠">
      <formula>NOT(ISERROR(SEARCH("欠",AC407)))</formula>
    </cfRule>
  </conditionalFormatting>
  <conditionalFormatting sqref="AE407 AE410">
    <cfRule type="containsText" dxfId="0" priority="2116" operator="between" text="欠">
      <formula>NOT(ISERROR(SEARCH("欠",AE407)))</formula>
    </cfRule>
  </conditionalFormatting>
  <conditionalFormatting sqref="AF407 AF410">
    <cfRule type="containsText" dxfId="0" priority="2123" operator="between" text="欠">
      <formula>NOT(ISERROR(SEARCH("欠",AF407)))</formula>
    </cfRule>
  </conditionalFormatting>
  <conditionalFormatting sqref="AG407:AH407 AG410:AH410">
    <cfRule type="containsText" dxfId="0" priority="2115" operator="between" text="欠">
      <formula>NOT(ISERROR(SEARCH("欠",AG407)))</formula>
    </cfRule>
  </conditionalFormatting>
  <conditionalFormatting sqref="AI407 AI410">
    <cfRule type="containsText" dxfId="0" priority="2122" operator="between" text="欠">
      <formula>NOT(ISERROR(SEARCH("欠",AI407)))</formula>
    </cfRule>
  </conditionalFormatting>
  <conditionalFormatting sqref="AA416:AB418">
    <cfRule type="containsText" dxfId="0" priority="2048" operator="between" text="欠">
      <formula>NOT(ISERROR(SEARCH("欠",AA416)))</formula>
    </cfRule>
  </conditionalFormatting>
  <conditionalFormatting sqref="AC416:AD418">
    <cfRule type="containsText" dxfId="0" priority="2047" operator="between" text="欠">
      <formula>NOT(ISERROR(SEARCH("欠",AC416)))</formula>
    </cfRule>
  </conditionalFormatting>
  <conditionalFormatting sqref="AF416:AF418 AF420">
    <cfRule type="containsText" dxfId="0" priority="2049" operator="between" text="欠">
      <formula>NOT(ISERROR(SEARCH("欠",AF416)))</formula>
    </cfRule>
  </conditionalFormatting>
  <conditionalFormatting sqref="AI416 AI420">
    <cfRule type="containsText" dxfId="0" priority="2051" operator="between" text="欠">
      <formula>NOT(ISERROR(SEARCH("欠",AI416)))</formula>
    </cfRule>
  </conditionalFormatting>
  <conditionalFormatting sqref="AA419:AB420">
    <cfRule type="containsText" dxfId="0" priority="2040" operator="between" text="欠">
      <formula>NOT(ISERROR(SEARCH("欠",AA419)))</formula>
    </cfRule>
  </conditionalFormatting>
  <conditionalFormatting sqref="AC422:AD422 AD423">
    <cfRule type="containsText" dxfId="0" priority="2005" operator="between" text="欠">
      <formula>NOT(ISERROR(SEARCH("欠",AC422)))</formula>
    </cfRule>
  </conditionalFormatting>
  <conditionalFormatting sqref="AF431 AH431:AI431">
    <cfRule type="containsText" dxfId="0" priority="1962" operator="between" text="欠">
      <formula>NOT(ISERROR(SEARCH("欠",AF431)))</formula>
    </cfRule>
  </conditionalFormatting>
  <conditionalFormatting sqref="AA433 AA434:AB434">
    <cfRule type="containsText" dxfId="0" priority="1953" operator="between" text="欠">
      <formula>NOT(ISERROR(SEARCH("欠",AA433)))</formula>
    </cfRule>
  </conditionalFormatting>
  <conditionalFormatting sqref="Z438:AB440">
    <cfRule type="containsText" dxfId="0" priority="1893" operator="between" text="欠">
      <formula>NOT(ISERROR(SEARCH("欠",Z438)))</formula>
    </cfRule>
  </conditionalFormatting>
  <conditionalFormatting sqref="AA438:AB440">
    <cfRule type="containsText" dxfId="0" priority="1892" operator="between" text="欠">
      <formula>NOT(ISERROR(SEARCH("欠",AA438)))</formula>
    </cfRule>
  </conditionalFormatting>
  <conditionalFormatting sqref="AC438:AD440">
    <cfRule type="containsText" dxfId="0" priority="1891" operator="between" text="欠">
      <formula>NOT(ISERROR(SEARCH("欠",AC438)))</formula>
    </cfRule>
  </conditionalFormatting>
  <conditionalFormatting sqref="AA448:AB449">
    <cfRule type="containsText" dxfId="0" priority="1802" operator="between" text="欠">
      <formula>NOT(ISERROR(SEARCH("欠",AA448)))</formula>
    </cfRule>
  </conditionalFormatting>
  <conditionalFormatting sqref="AC448:AD449">
    <cfRule type="containsText" dxfId="0" priority="1801" operator="between" text="欠">
      <formula>NOT(ISERROR(SEARCH("欠",AC448)))</formula>
    </cfRule>
  </conditionalFormatting>
  <conditionalFormatting sqref="AA450:AB451">
    <cfRule type="containsText" dxfId="0" priority="1796" operator="between" text="欠">
      <formula>NOT(ISERROR(SEARCH("欠",AA450)))</formula>
    </cfRule>
  </conditionalFormatting>
  <conditionalFormatting sqref="AA452:AB454">
    <cfRule type="containsText" dxfId="0" priority="1778" operator="between" text="欠">
      <formula>NOT(ISERROR(SEARCH("欠",AA452)))</formula>
    </cfRule>
  </conditionalFormatting>
  <conditionalFormatting sqref="AC452:AD452 AC463:AD463">
    <cfRule type="containsText" dxfId="0" priority="1780" operator="between" text="欠">
      <formula>NOT(ISERROR(SEARCH("欠",AC452)))</formula>
    </cfRule>
  </conditionalFormatting>
  <conditionalFormatting sqref="AD452 AD463">
    <cfRule type="containsText" dxfId="0" priority="1779" operator="between" text="欠">
      <formula>NOT(ISERROR(SEARCH("欠",AD452)))</formula>
    </cfRule>
  </conditionalFormatting>
  <conditionalFormatting sqref="AA464:AB465 AB466">
    <cfRule type="containsText" dxfId="0" priority="1743" operator="between" text="欠">
      <formula>NOT(ISERROR(SEARCH("欠",AA464)))</formula>
    </cfRule>
  </conditionalFormatting>
  <conditionalFormatting sqref="AC464:AD466">
    <cfRule type="containsText" dxfId="0" priority="1746" operator="between" text="欠">
      <formula>NOT(ISERROR(SEARCH("欠",AC464)))</formula>
    </cfRule>
  </conditionalFormatting>
  <conditionalFormatting sqref="AA470:AB472">
    <cfRule type="containsText" dxfId="0" priority="1691" operator="between" text="欠">
      <formula>NOT(ISERROR(SEARCH("欠",AA470)))</formula>
    </cfRule>
  </conditionalFormatting>
  <conditionalFormatting sqref="AC470:AD471">
    <cfRule type="containsText" dxfId="0" priority="1690" operator="between" text="欠">
      <formula>NOT(ISERROR(SEARCH("欠",AC470)))</formula>
    </cfRule>
  </conditionalFormatting>
  <conditionalFormatting sqref="AA480:AB482 AB483">
    <cfRule type="containsText" dxfId="0" priority="1588" operator="between" text="欠">
      <formula>NOT(ISERROR(SEARCH("欠",AA480)))</formula>
    </cfRule>
  </conditionalFormatting>
  <conditionalFormatting sqref="AC484:AD484 AD485">
    <cfRule type="containsText" dxfId="0" priority="1565" operator="between" text="欠">
      <formula>NOT(ISERROR(SEARCH("欠",AC484)))</formula>
    </cfRule>
  </conditionalFormatting>
  <conditionalFormatting sqref="Z492 Z496:Z504">
    <cfRule type="containsText" dxfId="0" priority="1494" operator="between" text="欠">
      <formula>NOT(ISERROR(SEARCH("欠",Z492)))</formula>
    </cfRule>
  </conditionalFormatting>
  <conditionalFormatting sqref="Y493 Y495">
    <cfRule type="containsText" dxfId="0" priority="1492" operator="between" text="欠">
      <formula>NOT(ISERROR(SEARCH("欠",Y493)))</formula>
    </cfRule>
  </conditionalFormatting>
  <conditionalFormatting sqref="AB493 AB497:AB498 AA499:AB499 AB500:AB504">
    <cfRule type="containsText" dxfId="0" priority="1487" operator="between" text="欠">
      <formula>NOT(ISERROR(SEARCH("欠",AA493)))</formula>
    </cfRule>
  </conditionalFormatting>
  <conditionalFormatting sqref="AA493:AB493 AA494 AA495:AB495 AA498:AA500">
    <cfRule type="containsText" dxfId="0" priority="1491" operator="between" text="欠">
      <formula>NOT(ISERROR(SEARCH("欠",AA493)))</formula>
    </cfRule>
  </conditionalFormatting>
  <conditionalFormatting sqref="AL493 AL497:AL502">
    <cfRule type="containsText" dxfId="0" priority="1483" operator="between" text="欠">
      <formula>NOT(ISERROR(SEARCH("欠",AL493)))</formula>
    </cfRule>
  </conditionalFormatting>
  <conditionalFormatting sqref="AC494:AD504">
    <cfRule type="containsText" dxfId="0" priority="1486" operator="between" text="欠">
      <formula>NOT(ISERROR(SEARCH("欠",AC494)))</formula>
    </cfRule>
  </conditionalFormatting>
  <conditionalFormatting sqref="AE495 AE499:AE501">
    <cfRule type="containsText" dxfId="0" priority="1490" operator="between" text="欠">
      <formula>NOT(ISERROR(SEARCH("欠",AE495)))</formula>
    </cfRule>
  </conditionalFormatting>
  <conditionalFormatting sqref="AG496:AG501 AG503:AG504">
    <cfRule type="containsText" dxfId="0" priority="1489" operator="between" text="欠">
      <formula>NOT(ISERROR(SEARCH("欠",AG496)))</formula>
    </cfRule>
  </conditionalFormatting>
  <conditionalFormatting sqref="AA499:AB500">
    <cfRule type="containsText" dxfId="0" priority="1509" operator="between" text="欠">
      <formula>NOT(ISERROR(SEARCH("欠",AA499)))</formula>
    </cfRule>
  </conditionalFormatting>
  <conditionalFormatting sqref="AA525:AB527">
    <cfRule type="containsText" dxfId="0" priority="1418" operator="between" text="欠">
      <formula>NOT(ISERROR(SEARCH("欠",AA525)))</formula>
    </cfRule>
  </conditionalFormatting>
  <conditionalFormatting sqref="AC525:AD527">
    <cfRule type="containsText" dxfId="0" priority="1422" operator="between" text="欠">
      <formula>NOT(ISERROR(SEARCH("欠",AC525)))</formula>
    </cfRule>
  </conditionalFormatting>
  <conditionalFormatting sqref="AA529:AB533">
    <cfRule type="containsText" dxfId="0" priority="1393" operator="between" text="欠">
      <formula>NOT(ISERROR(SEARCH("欠",AA529)))</formula>
    </cfRule>
  </conditionalFormatting>
  <conditionalFormatting sqref="AC529:AD529 AC532:AD532 AC533">
    <cfRule type="containsText" dxfId="0" priority="1392" operator="between" text="欠">
      <formula>NOT(ISERROR(SEARCH("欠",AC529)))</formula>
    </cfRule>
  </conditionalFormatting>
  <conditionalFormatting sqref="AH529 AH532">
    <cfRule type="containsText" dxfId="0" priority="1391" operator="between" text="欠">
      <formula>NOT(ISERROR(SEARCH("欠",AH529)))</formula>
    </cfRule>
  </conditionalFormatting>
  <conditionalFormatting sqref="AA541:AB546 AB547:AB556">
    <cfRule type="containsText" dxfId="0" priority="1313" operator="between" text="欠">
      <formula>NOT(ISERROR(SEARCH("欠",AA541)))</formula>
    </cfRule>
  </conditionalFormatting>
  <conditionalFormatting sqref="AC541:AD542 AD543 AC544:AD546">
    <cfRule type="containsText" dxfId="0" priority="1319" operator="between" text="欠">
      <formula>NOT(ISERROR(SEARCH("欠",AC541)))</formula>
    </cfRule>
  </conditionalFormatting>
  <conditionalFormatting sqref="AC548:AD549 AD550:AD553">
    <cfRule type="containsText" dxfId="0" priority="1308" operator="between" text="欠">
      <formula>NOT(ISERROR(SEARCH("欠",AC548)))</formula>
    </cfRule>
  </conditionalFormatting>
  <conditionalFormatting sqref="AA558:AB559">
    <cfRule type="containsText" dxfId="0" priority="1280" operator="between" text="欠">
      <formula>NOT(ISERROR(SEARCH("欠",AA558)))</formula>
    </cfRule>
  </conditionalFormatting>
  <conditionalFormatting sqref="AC558:AD560">
    <cfRule type="containsText" dxfId="0" priority="1284" operator="between" text="欠">
      <formula>NOT(ISERROR(SEARCH("欠",AC558)))</formula>
    </cfRule>
  </conditionalFormatting>
  <conditionalFormatting sqref="AF558:AF560 AH558:AH560">
    <cfRule type="containsText" dxfId="0" priority="1279" operator="between" text="欠">
      <formula>NOT(ISERROR(SEARCH("欠",AF558)))</formula>
    </cfRule>
  </conditionalFormatting>
  <conditionalFormatting sqref="AF561 AH561:AI561">
    <cfRule type="containsText" dxfId="0" priority="1264" operator="between" text="欠">
      <formula>NOT(ISERROR(SEARCH("欠",AF561)))</formula>
    </cfRule>
  </conditionalFormatting>
  <conditionalFormatting sqref="AA569:AB571">
    <cfRule type="containsText" dxfId="0" priority="1079" operator="between" text="欠">
      <formula>NOT(ISERROR(SEARCH("欠",AA569)))</formula>
    </cfRule>
  </conditionalFormatting>
  <conditionalFormatting sqref="AH570:AH572 AF571">
    <cfRule type="containsText" dxfId="0" priority="1160" operator="between" text="欠">
      <formula>NOT(ISERROR(SEARCH("欠",AF570)))</formula>
    </cfRule>
  </conditionalFormatting>
  <conditionalFormatting sqref="AA572:AB573">
    <cfRule type="containsText" dxfId="0" priority="1061" operator="between" text="欠">
      <formula>NOT(ISERROR(SEARCH("欠",AA572)))</formula>
    </cfRule>
  </conditionalFormatting>
  <conditionalFormatting sqref="AC572:AD573">
    <cfRule type="containsText" dxfId="0" priority="1065" operator="between" text="欠">
      <formula>NOT(ISERROR(SEARCH("欠",AC572)))</formula>
    </cfRule>
  </conditionalFormatting>
  <conditionalFormatting sqref="AF585:AF586 AH585:AH587">
    <cfRule type="containsText" dxfId="0" priority="1134" operator="between" text="欠">
      <formula>NOT(ISERROR(SEARCH("欠",AF585)))</formula>
    </cfRule>
  </conditionalFormatting>
  <conditionalFormatting sqref="AC595:AD597">
    <cfRule type="containsText" dxfId="0" priority="975" operator="between" text="欠">
      <formula>NOT(ISERROR(SEARCH("欠",AC595)))</formula>
    </cfRule>
  </conditionalFormatting>
  <conditionalFormatting sqref="AC598 AC601 AC602:AD602">
    <cfRule type="containsText" dxfId="0" priority="961" operator="between" text="欠">
      <formula>NOT(ISERROR(SEARCH("欠",AC598)))</formula>
    </cfRule>
  </conditionalFormatting>
  <conditionalFormatting sqref="AF598:AF599 AF601:AF602">
    <cfRule type="containsText" dxfId="0" priority="956" operator="between" text="欠">
      <formula>NOT(ISERROR(SEARCH("欠",AF598)))</formula>
    </cfRule>
  </conditionalFormatting>
  <conditionalFormatting sqref="AA610:AB614">
    <cfRule type="containsText" dxfId="0" priority="876" operator="between" text="欠">
      <formula>NOT(ISERROR(SEARCH("欠",AA610)))</formula>
    </cfRule>
  </conditionalFormatting>
  <conditionalFormatting sqref="AA615:AB615 AB616">
    <cfRule type="containsText" dxfId="0" priority="859" operator="between" text="欠">
      <formula>NOT(ISERROR(SEARCH("欠",AA615)))</formula>
    </cfRule>
  </conditionalFormatting>
  <conditionalFormatting sqref="AC615:AD616">
    <cfRule type="containsText" dxfId="0" priority="864" operator="between" text="欠">
      <formula>NOT(ISERROR(SEARCH("欠",AC615)))</formula>
    </cfRule>
  </conditionalFormatting>
  <conditionalFormatting sqref="AF615:AF616 AH615:AH616">
    <cfRule type="containsText" dxfId="0" priority="857" operator="between" text="欠">
      <formula>NOT(ISERROR(SEARCH("欠",AF615)))</formula>
    </cfRule>
  </conditionalFormatting>
  <conditionalFormatting sqref="AA617:AB617 AB618">
    <cfRule type="containsText" dxfId="0" priority="837" operator="between" text="欠">
      <formula>NOT(ISERROR(SEARCH("欠",AA617)))</formula>
    </cfRule>
  </conditionalFormatting>
  <conditionalFormatting sqref="AA619:AB621">
    <cfRule type="containsText" dxfId="0" priority="823" operator="between" text="欠">
      <formula>NOT(ISERROR(SEARCH("欠",AA619)))</formula>
    </cfRule>
  </conditionalFormatting>
  <conditionalFormatting sqref="AA622:AB623">
    <cfRule type="containsText" dxfId="0" priority="818" operator="between" text="欠">
      <formula>NOT(ISERROR(SEARCH("欠",AA622)))</formula>
    </cfRule>
  </conditionalFormatting>
  <conditionalFormatting sqref="AA628:AB630">
    <cfRule type="containsText" dxfId="0" priority="766" operator="between" text="欠">
      <formula>NOT(ISERROR(SEARCH("欠",AA628)))</formula>
    </cfRule>
  </conditionalFormatting>
  <conditionalFormatting sqref="X632:Y633">
    <cfRule type="containsText" dxfId="0" priority="744" operator="between" text="欠">
      <formula>NOT(ISERROR(SEARCH("欠",X632)))</formula>
    </cfRule>
  </conditionalFormatting>
  <conditionalFormatting sqref="AA632:AB633">
    <cfRule type="containsText" dxfId="0" priority="735" operator="between" text="欠">
      <formula>NOT(ISERROR(SEARCH("欠",AA632)))</formula>
    </cfRule>
  </conditionalFormatting>
  <conditionalFormatting sqref="AA634:AB635">
    <cfRule type="containsText" dxfId="0" priority="728" operator="between" text="欠">
      <formula>NOT(ISERROR(SEARCH("欠",AA634)))</formula>
    </cfRule>
  </conditionalFormatting>
  <conditionalFormatting sqref="AC637:AD639">
    <cfRule type="containsText" dxfId="0" priority="706" operator="between" text="欠">
      <formula>NOT(ISERROR(SEARCH("欠",AC637)))</formula>
    </cfRule>
  </conditionalFormatting>
  <conditionalFormatting sqref="AF640:AF641 AF644">
    <cfRule type="containsText" dxfId="0" priority="686" operator="between" text="欠">
      <formula>NOT(ISERROR(SEARCH("欠",AF640)))</formula>
    </cfRule>
  </conditionalFormatting>
  <conditionalFormatting sqref="AA649:AB650">
    <cfRule type="containsText" dxfId="0" priority="612" operator="between" text="欠">
      <formula>NOT(ISERROR(SEARCH("欠",AA649)))</formula>
    </cfRule>
  </conditionalFormatting>
  <conditionalFormatting sqref="AA670:AB672">
    <cfRule type="containsText" dxfId="0" priority="591" operator="between" text="欠">
      <formula>NOT(ISERROR(SEARCH("欠",AA670)))</formula>
    </cfRule>
  </conditionalFormatting>
  <conditionalFormatting sqref="AC670:AD672">
    <cfRule type="containsText" dxfId="0" priority="595" operator="between" text="欠">
      <formula>NOT(ISERROR(SEARCH("欠",AC670)))</formula>
    </cfRule>
  </conditionalFormatting>
  <conditionalFormatting sqref="AA674:AB674 AB675">
    <cfRule type="containsText" dxfId="0" priority="543" operator="between" text="欠">
      <formula>NOT(ISERROR(SEARCH("欠",AA674)))</formula>
    </cfRule>
  </conditionalFormatting>
  <conditionalFormatting sqref="AF694 AI694">
    <cfRule type="containsText" dxfId="0" priority="518" operator="between" text="欠">
      <formula>NOT(ISERROR(SEARCH("欠",AF694)))</formula>
    </cfRule>
  </conditionalFormatting>
  <conditionalFormatting sqref="AA695:AB697">
    <cfRule type="containsText" dxfId="0" priority="526" operator="between" text="欠">
      <formula>NOT(ISERROR(SEARCH("欠",AA695)))</formula>
    </cfRule>
  </conditionalFormatting>
  <conditionalFormatting sqref="AC695:AD697">
    <cfRule type="containsText" dxfId="0" priority="530" operator="between" text="欠">
      <formula>NOT(ISERROR(SEARCH("欠",AC695)))</formula>
    </cfRule>
  </conditionalFormatting>
  <conditionalFormatting sqref="AC704:AD710">
    <cfRule type="containsText" dxfId="0" priority="435" operator="between" text="欠">
      <formula>NOT(ISERROR(SEARCH("欠",AC704)))</formula>
    </cfRule>
  </conditionalFormatting>
  <conditionalFormatting sqref="AA713:AB714">
    <cfRule type="containsText" dxfId="0" priority="387" operator="between" text="欠">
      <formula>NOT(ISERROR(SEARCH("欠",AA713)))</formula>
    </cfRule>
  </conditionalFormatting>
  <conditionalFormatting sqref="AA717:AB718">
    <cfRule type="containsText" dxfId="0" priority="353" operator="between" text="欠">
      <formula>NOT(ISERROR(SEARCH("欠",AA717)))</formula>
    </cfRule>
  </conditionalFormatting>
  <conditionalFormatting sqref="AC717:AD718">
    <cfRule type="containsText" dxfId="0" priority="352" operator="between" text="欠">
      <formula>NOT(ISERROR(SEARCH("欠",AC717)))</formula>
    </cfRule>
  </conditionalFormatting>
  <conditionalFormatting sqref="AC724 AC726">
    <cfRule type="containsText" dxfId="0" priority="280" operator="between" text="欠">
      <formula>NOT(ISERROR(SEARCH("欠",AC724)))</formula>
    </cfRule>
  </conditionalFormatting>
  <conditionalFormatting sqref="AC730:AD731">
    <cfRule type="containsText" dxfId="0" priority="225" operator="between" text="欠">
      <formula>NOT(ISERROR(SEARCH("欠",AC730)))</formula>
    </cfRule>
  </conditionalFormatting>
  <conditionalFormatting sqref="AA735:AB749">
    <cfRule type="containsText" dxfId="0" priority="177" operator="between" text="欠">
      <formula>NOT(ISERROR(SEARCH("欠",AA735)))</formula>
    </cfRule>
  </conditionalFormatting>
  <conditionalFormatting sqref="AF735:AF742 AF744:AF749">
    <cfRule type="containsText" dxfId="0" priority="128" operator="between" text="欠">
      <formula>NOT(ISERROR(SEARCH("欠",AF735)))</formula>
    </cfRule>
  </conditionalFormatting>
  <conditionalFormatting sqref="AI735:AI742 AI744:AI749">
    <cfRule type="containsText" dxfId="0" priority="127" operator="between" text="欠">
      <formula>NOT(ISERROR(SEARCH("欠",AI735)))</formula>
    </cfRule>
  </conditionalFormatting>
  <conditionalFormatting sqref="AC741:AD741 AD742:AD745">
    <cfRule type="containsText" dxfId="0" priority="155" operator="between" text="欠">
      <formula>NOT(ISERROR(SEARCH("欠",AC741)))</formula>
    </cfRule>
  </conditionalFormatting>
  <conditionalFormatting sqref="AF755:AF756 AF758:AF760">
    <cfRule type="containsText" dxfId="0" priority="90" operator="between" text="欠">
      <formula>NOT(ISERROR(SEARCH("欠",AF755)))</formula>
    </cfRule>
  </conditionalFormatting>
  <conditionalFormatting sqref="AH762 AF763:AF764 AH763:AH764">
    <cfRule type="containsText" dxfId="0" priority="68" operator="between" text="欠">
      <formula>NOT(ISERROR(SEARCH("欠",AF762)))</formula>
    </cfRule>
  </conditionalFormatting>
  <conditionalFormatting sqref="AC765:AD766">
    <cfRule type="containsText" dxfId="0" priority="51" operator="between" text="欠">
      <formula>NOT(ISERROR(SEARCH("欠",AC765)))</formula>
    </cfRule>
  </conditionalFormatting>
  <pageMargins left="0.75" right="0.75" top="1" bottom="1" header="0.5" footer="0.5"/>
  <pageSetup paperSize="9" orientation="portrait"/>
  <headerFooter/>
  <ignoredErrors>
    <ignoredError sqref="J641:J642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8"/>
  <sheetViews>
    <sheetView workbookViewId="0">
      <pane xSplit="17" ySplit="2" topLeftCell="R3" activePane="bottomRight" state="frozen"/>
      <selection/>
      <selection pane="topRight"/>
      <selection pane="bottomLeft"/>
      <selection pane="bottomRight" activeCell="J14" sqref="J14"/>
    </sheetView>
  </sheetViews>
  <sheetFormatPr defaultColWidth="9" defaultRowHeight="25" customHeight="1"/>
  <cols>
    <col min="1" max="1" width="12.625" style="156" customWidth="1"/>
    <col min="2" max="3" width="3.625" style="156" customWidth="1"/>
    <col min="4" max="4" width="10.625" style="154" customWidth="1"/>
    <col min="5" max="5" width="8.625" style="154" customWidth="1"/>
    <col min="6" max="8" width="12.625" style="154" customWidth="1"/>
    <col min="9" max="9" width="3.5" style="154" customWidth="1"/>
    <col min="10" max="10" width="6.625" style="157" customWidth="1"/>
    <col min="11" max="11" width="5.625" style="154" hidden="1" customWidth="1"/>
    <col min="12" max="12" width="6.625" style="157" hidden="1" customWidth="1"/>
    <col min="13" max="13" width="5.625" style="154" customWidth="1"/>
    <col min="14" max="14" width="5.625" style="157" customWidth="1"/>
    <col min="15" max="16" width="12.625" style="156" customWidth="1"/>
    <col min="17" max="17" width="12.625" style="156" hidden="1" customWidth="1"/>
    <col min="18" max="18" width="6.625" style="156" hidden="1" customWidth="1"/>
    <col min="19" max="19" width="12.625" style="156" hidden="1" customWidth="1"/>
    <col min="20" max="20" width="8" style="156" hidden="1" customWidth="1"/>
    <col min="21" max="21" width="8.625" style="156" hidden="1" customWidth="1"/>
    <col min="22" max="22" width="10.625" style="156" hidden="1" customWidth="1"/>
    <col min="23" max="23" width="4.625" style="156" hidden="1" customWidth="1"/>
    <col min="24" max="24" width="12.625" style="154" hidden="1" customWidth="1"/>
    <col min="25" max="25" width="6.625" style="154" hidden="1" customWidth="1"/>
    <col min="26" max="26" width="8.625" style="154" hidden="1" customWidth="1"/>
    <col min="27" max="27" width="8.625" style="158" hidden="1" customWidth="1"/>
    <col min="28" max="28" width="8.625" style="154" hidden="1" customWidth="1"/>
    <col min="29" max="29" width="10.625" style="154" hidden="1" customWidth="1"/>
    <col min="30" max="30" width="4.625" style="154" hidden="1" customWidth="1"/>
    <col min="31" max="31" width="10.625" style="154" customWidth="1"/>
    <col min="32" max="32" width="6.625" style="154" customWidth="1"/>
    <col min="33" max="34" width="10.625" style="154" customWidth="1"/>
    <col min="35" max="35" width="6.625" style="154" customWidth="1"/>
    <col min="36" max="37" width="10.625" style="154" hidden="1" customWidth="1"/>
    <col min="38" max="38" width="6.625" style="154" hidden="1" customWidth="1"/>
    <col min="39" max="39" width="10.625" style="154" hidden="1" customWidth="1"/>
    <col min="40" max="40" width="12.8" style="157" customWidth="1"/>
    <col min="41" max="41" width="8.625" style="159" customWidth="1"/>
    <col min="42" max="43" width="12.625" style="160" customWidth="1"/>
    <col min="44" max="44" width="8.625" style="161" customWidth="1"/>
    <col min="45" max="46" width="8.625" style="156" customWidth="1"/>
    <col min="47" max="47" width="9.89166666666667" style="162" customWidth="1"/>
    <col min="48" max="49" width="7.7" style="156" customWidth="1"/>
    <col min="50" max="52" width="8.625" style="156" customWidth="1"/>
    <col min="53" max="53" width="8.875" style="163" customWidth="1"/>
    <col min="54" max="16384" width="9" style="155"/>
  </cols>
  <sheetData>
    <row r="1" s="154" customFormat="1" customHeight="1" spans="1:53">
      <c r="A1" s="164" t="s">
        <v>208</v>
      </c>
      <c r="B1" s="165" t="s">
        <v>1168</v>
      </c>
      <c r="C1" s="27" t="str">
        <f>VLOOKUP(H1,名称!A:E,4,0)</f>
        <v>系列</v>
      </c>
      <c r="D1" s="164" t="s">
        <v>1169</v>
      </c>
      <c r="E1" s="164" t="s">
        <v>1170</v>
      </c>
      <c r="F1" s="164" t="s">
        <v>210</v>
      </c>
      <c r="G1" s="164" t="s">
        <v>211</v>
      </c>
      <c r="H1" s="164" t="s">
        <v>0</v>
      </c>
      <c r="I1" s="164" t="s">
        <v>207</v>
      </c>
      <c r="J1" s="166" t="s">
        <v>212</v>
      </c>
      <c r="K1" s="164" t="s">
        <v>1</v>
      </c>
      <c r="L1" s="164" t="s">
        <v>1171</v>
      </c>
      <c r="M1" s="164" t="s">
        <v>1172</v>
      </c>
      <c r="N1" s="164" t="s">
        <v>1173</v>
      </c>
      <c r="O1" s="164" t="s">
        <v>1174</v>
      </c>
      <c r="P1" s="164" t="s">
        <v>1175</v>
      </c>
      <c r="Q1" s="164" t="s">
        <v>1176</v>
      </c>
      <c r="R1" s="164" t="s">
        <v>1177</v>
      </c>
      <c r="S1" s="164" t="s">
        <v>1178</v>
      </c>
      <c r="T1" s="164" t="s">
        <v>1179</v>
      </c>
      <c r="U1" s="30" t="s">
        <v>1180</v>
      </c>
      <c r="V1" s="164" t="s">
        <v>1181</v>
      </c>
      <c r="W1" s="164" t="s">
        <v>1182</v>
      </c>
      <c r="X1" s="164" t="s">
        <v>1183</v>
      </c>
      <c r="Y1" s="164"/>
      <c r="Z1" s="164" t="s">
        <v>1184</v>
      </c>
      <c r="AA1" s="167"/>
      <c r="AB1" s="164"/>
      <c r="AC1" s="164" t="s">
        <v>1185</v>
      </c>
      <c r="AD1" s="164"/>
      <c r="AE1" s="164" t="s">
        <v>1186</v>
      </c>
      <c r="AF1" s="164"/>
      <c r="AG1" s="164" t="s">
        <v>1187</v>
      </c>
      <c r="AH1" s="164"/>
      <c r="AI1" s="164"/>
      <c r="AJ1" s="164" t="s">
        <v>1188</v>
      </c>
      <c r="AK1" s="164" t="s">
        <v>1189</v>
      </c>
      <c r="AL1" s="164" t="s">
        <v>1190</v>
      </c>
      <c r="AM1" s="164" t="s">
        <v>1191</v>
      </c>
      <c r="AN1" s="168" t="s">
        <v>1192</v>
      </c>
      <c r="AO1" s="168" t="s">
        <v>243</v>
      </c>
      <c r="AP1" s="168" t="s">
        <v>244</v>
      </c>
      <c r="AQ1" s="168" t="s">
        <v>245</v>
      </c>
      <c r="AR1" s="68" t="s">
        <v>1193</v>
      </c>
      <c r="AS1" s="168" t="s">
        <v>1194</v>
      </c>
      <c r="AT1" s="168" t="s">
        <v>1195</v>
      </c>
      <c r="AU1" s="169" t="s">
        <v>1196</v>
      </c>
      <c r="AV1" s="169" t="s">
        <v>1197</v>
      </c>
      <c r="AW1" s="169" t="s">
        <v>1198</v>
      </c>
      <c r="AX1" s="170" t="s">
        <v>1199</v>
      </c>
      <c r="AY1" s="32" t="s">
        <v>1200</v>
      </c>
      <c r="AZ1" s="168" t="s">
        <v>1201</v>
      </c>
      <c r="BA1" s="168" t="s">
        <v>1202</v>
      </c>
    </row>
    <row r="2" s="154" customFormat="1" customHeight="1" spans="1:53">
      <c r="A2" s="164"/>
      <c r="B2" s="171"/>
      <c r="C2" s="36"/>
      <c r="D2" s="164"/>
      <c r="E2" s="164"/>
      <c r="F2" s="164"/>
      <c r="G2" s="164"/>
      <c r="H2" s="164"/>
      <c r="I2" s="164"/>
      <c r="J2" s="166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37"/>
      <c r="V2" s="164"/>
      <c r="W2" s="164"/>
      <c r="X2" s="164" t="s">
        <v>1203</v>
      </c>
      <c r="Y2" s="164" t="s">
        <v>1275</v>
      </c>
      <c r="Z2" s="164" t="s">
        <v>1205</v>
      </c>
      <c r="AA2" s="167" t="s">
        <v>1206</v>
      </c>
      <c r="AB2" s="164" t="s">
        <v>1207</v>
      </c>
      <c r="AC2" s="164" t="s">
        <v>1208</v>
      </c>
      <c r="AD2" s="164" t="s">
        <v>1204</v>
      </c>
      <c r="AE2" s="164" t="s">
        <v>1209</v>
      </c>
      <c r="AF2" s="164" t="s">
        <v>1204</v>
      </c>
      <c r="AG2" s="164" t="s">
        <v>1210</v>
      </c>
      <c r="AH2" s="164" t="s">
        <v>1211</v>
      </c>
      <c r="AI2" s="164" t="s">
        <v>1204</v>
      </c>
      <c r="AJ2" s="164"/>
      <c r="AK2" s="164"/>
      <c r="AL2" s="164"/>
      <c r="AM2" s="164"/>
      <c r="AN2" s="168"/>
      <c r="AO2" s="168"/>
      <c r="AP2" s="168"/>
      <c r="AQ2" s="168"/>
      <c r="AR2" s="68"/>
      <c r="AS2" s="168"/>
      <c r="AT2" s="168"/>
      <c r="AU2" s="172"/>
      <c r="AV2" s="172"/>
      <c r="AW2" s="172"/>
      <c r="AX2" s="173"/>
      <c r="AY2" s="32"/>
      <c r="AZ2" s="168"/>
      <c r="BA2" s="168"/>
    </row>
    <row r="3" s="154" customFormat="1" customHeight="1" spans="1:53">
      <c r="A3" s="174">
        <v>46164</v>
      </c>
      <c r="B3" s="40"/>
      <c r="C3" s="175"/>
      <c r="D3" s="176"/>
      <c r="E3" s="176"/>
      <c r="F3" s="176"/>
      <c r="G3" s="176" t="s">
        <v>1958</v>
      </c>
      <c r="H3" s="176" t="s">
        <v>1959</v>
      </c>
      <c r="I3" s="175"/>
      <c r="J3" s="177">
        <v>75000</v>
      </c>
      <c r="K3" s="166"/>
      <c r="L3" s="168"/>
      <c r="M3" s="118" t="e">
        <f>VLOOKUP(H3,名称!A:E,3,0)</f>
        <v>#N/A</v>
      </c>
      <c r="N3" s="118" t="e">
        <f>J3/M3</f>
        <v>#N/A</v>
      </c>
      <c r="O3" s="178"/>
      <c r="P3" s="179"/>
      <c r="Q3" s="179"/>
      <c r="R3" s="175"/>
      <c r="S3" s="174"/>
      <c r="T3" s="175"/>
      <c r="U3" s="175"/>
      <c r="V3" s="175"/>
      <c r="W3" s="174"/>
      <c r="X3" s="176"/>
      <c r="Y3" s="176"/>
      <c r="Z3" s="175"/>
      <c r="AA3" s="180"/>
      <c r="AB3" s="175"/>
      <c r="AC3" s="175"/>
      <c r="AD3" s="175"/>
      <c r="AE3" s="176"/>
      <c r="AF3" s="118"/>
      <c r="AG3" s="176"/>
      <c r="AH3" s="175"/>
      <c r="AI3" s="175"/>
      <c r="AJ3" s="175"/>
      <c r="AK3" s="175"/>
      <c r="AL3" s="175"/>
      <c r="AM3" s="175"/>
      <c r="AN3" s="176" t="s">
        <v>1960</v>
      </c>
      <c r="AO3" s="181"/>
      <c r="AP3" s="182">
        <f t="shared" ref="AP3:AP9" si="0">J3*AO3</f>
        <v>0</v>
      </c>
      <c r="AQ3" s="182">
        <f t="shared" ref="AQ3:AQ9" si="1">AP3*7.75</f>
        <v>0</v>
      </c>
      <c r="AR3" s="183"/>
      <c r="AS3" s="174"/>
      <c r="AT3" s="174"/>
      <c r="AU3" s="184"/>
      <c r="AV3" s="174"/>
      <c r="AW3" s="174"/>
      <c r="AX3" s="174"/>
      <c r="AY3" s="174"/>
      <c r="AZ3" s="174"/>
      <c r="BA3" s="174"/>
    </row>
    <row r="4" s="154" customFormat="1" customHeight="1" spans="1:53">
      <c r="A4" s="174">
        <v>46164</v>
      </c>
      <c r="B4" s="40"/>
      <c r="C4" s="175"/>
      <c r="D4" s="176"/>
      <c r="E4" s="176"/>
      <c r="F4" s="176"/>
      <c r="G4" s="176" t="s">
        <v>1958</v>
      </c>
      <c r="H4" s="176" t="s">
        <v>88</v>
      </c>
      <c r="I4" s="175"/>
      <c r="J4" s="177">
        <v>100000</v>
      </c>
      <c r="K4" s="166"/>
      <c r="L4" s="168"/>
      <c r="M4" s="118">
        <f>VLOOKUP(H4,名称!A:E,3,0)</f>
        <v>24</v>
      </c>
      <c r="N4" s="118">
        <f>J4/M4</f>
        <v>4166.66666666667</v>
      </c>
      <c r="O4" s="178"/>
      <c r="P4" s="179"/>
      <c r="Q4" s="179"/>
      <c r="R4" s="175"/>
      <c r="S4" s="174"/>
      <c r="T4" s="175"/>
      <c r="U4" s="175"/>
      <c r="V4" s="175"/>
      <c r="W4" s="174"/>
      <c r="X4" s="176"/>
      <c r="Y4" s="176"/>
      <c r="Z4" s="175"/>
      <c r="AA4" s="180"/>
      <c r="AB4" s="175"/>
      <c r="AC4" s="175"/>
      <c r="AD4" s="175"/>
      <c r="AE4" s="176"/>
      <c r="AF4" s="118"/>
      <c r="AG4" s="176"/>
      <c r="AH4" s="175"/>
      <c r="AI4" s="175"/>
      <c r="AJ4" s="175"/>
      <c r="AK4" s="175"/>
      <c r="AL4" s="175"/>
      <c r="AM4" s="175"/>
      <c r="AN4" s="176" t="s">
        <v>1960</v>
      </c>
      <c r="AO4" s="181"/>
      <c r="AP4" s="182">
        <f t="shared" si="0"/>
        <v>0</v>
      </c>
      <c r="AQ4" s="182">
        <f t="shared" si="1"/>
        <v>0</v>
      </c>
      <c r="AR4" s="183"/>
      <c r="AS4" s="174"/>
      <c r="AT4" s="174"/>
      <c r="AU4" s="184"/>
      <c r="AV4" s="174"/>
      <c r="AW4" s="174"/>
      <c r="AX4" s="174"/>
      <c r="AY4" s="174"/>
      <c r="AZ4" s="174"/>
      <c r="BA4" s="174"/>
    </row>
    <row r="5" s="154" customFormat="1" customHeight="1" spans="1:53">
      <c r="A5" s="174">
        <v>46164</v>
      </c>
      <c r="B5" s="40"/>
      <c r="C5" s="175"/>
      <c r="D5" s="176"/>
      <c r="E5" s="176"/>
      <c r="F5" s="176"/>
      <c r="G5" s="176" t="s">
        <v>1958</v>
      </c>
      <c r="H5" s="176" t="s">
        <v>85</v>
      </c>
      <c r="I5" s="175"/>
      <c r="J5" s="177">
        <v>100000</v>
      </c>
      <c r="K5" s="166"/>
      <c r="L5" s="168"/>
      <c r="M5" s="118">
        <f>VLOOKUP(H5,名称!A:E,3,0)</f>
        <v>24</v>
      </c>
      <c r="N5" s="118">
        <f>J5/M5</f>
        <v>4166.66666666667</v>
      </c>
      <c r="O5" s="178"/>
      <c r="P5" s="179"/>
      <c r="Q5" s="179"/>
      <c r="R5" s="175"/>
      <c r="S5" s="174"/>
      <c r="T5" s="175"/>
      <c r="U5" s="175"/>
      <c r="V5" s="175"/>
      <c r="W5" s="174"/>
      <c r="X5" s="176"/>
      <c r="Y5" s="176"/>
      <c r="Z5" s="175"/>
      <c r="AA5" s="180"/>
      <c r="AB5" s="175"/>
      <c r="AC5" s="175"/>
      <c r="AD5" s="175"/>
      <c r="AE5" s="176"/>
      <c r="AF5" s="118"/>
      <c r="AG5" s="176"/>
      <c r="AH5" s="175"/>
      <c r="AI5" s="175"/>
      <c r="AJ5" s="175"/>
      <c r="AK5" s="175"/>
      <c r="AL5" s="175"/>
      <c r="AM5" s="175"/>
      <c r="AN5" s="176" t="s">
        <v>1960</v>
      </c>
      <c r="AO5" s="181"/>
      <c r="AP5" s="182">
        <f t="shared" si="0"/>
        <v>0</v>
      </c>
      <c r="AQ5" s="182">
        <f t="shared" si="1"/>
        <v>0</v>
      </c>
      <c r="AR5" s="183"/>
      <c r="AS5" s="174"/>
      <c r="AT5" s="174"/>
      <c r="AU5" s="184"/>
      <c r="AV5" s="174"/>
      <c r="AW5" s="174"/>
      <c r="AX5" s="174"/>
      <c r="AY5" s="174"/>
      <c r="AZ5" s="174"/>
      <c r="BA5" s="174"/>
    </row>
    <row r="6" s="154" customFormat="1" customHeight="1" spans="1:53">
      <c r="A6" s="174"/>
      <c r="B6" s="40"/>
      <c r="C6" s="175"/>
      <c r="D6" s="176"/>
      <c r="E6" s="176"/>
      <c r="F6" s="176"/>
      <c r="G6" s="176"/>
      <c r="H6" s="176"/>
      <c r="I6" s="175"/>
      <c r="J6" s="177"/>
      <c r="K6" s="166"/>
      <c r="L6" s="168"/>
      <c r="M6" s="118"/>
      <c r="N6" s="32"/>
      <c r="O6" s="178"/>
      <c r="P6" s="179"/>
      <c r="Q6" s="179"/>
      <c r="R6" s="175"/>
      <c r="S6" s="174"/>
      <c r="T6" s="175"/>
      <c r="U6" s="175"/>
      <c r="V6" s="175"/>
      <c r="W6" s="174"/>
      <c r="X6" s="176"/>
      <c r="Y6" s="176"/>
      <c r="Z6" s="175"/>
      <c r="AA6" s="180"/>
      <c r="AB6" s="175"/>
      <c r="AC6" s="175"/>
      <c r="AD6" s="175"/>
      <c r="AE6" s="176"/>
      <c r="AF6" s="118"/>
      <c r="AG6" s="176"/>
      <c r="AH6" s="175"/>
      <c r="AI6" s="175"/>
      <c r="AJ6" s="175"/>
      <c r="AK6" s="175"/>
      <c r="AL6" s="175"/>
      <c r="AM6" s="175"/>
      <c r="AN6" s="176"/>
      <c r="AO6" s="181"/>
      <c r="AP6" s="182">
        <f t="shared" si="0"/>
        <v>0</v>
      </c>
      <c r="AQ6" s="182">
        <f t="shared" si="1"/>
        <v>0</v>
      </c>
      <c r="AR6" s="183"/>
      <c r="AS6" s="174"/>
      <c r="AT6" s="174"/>
      <c r="AU6" s="184"/>
      <c r="AV6" s="174"/>
      <c r="AW6" s="174"/>
      <c r="AX6" s="174"/>
      <c r="AY6" s="174"/>
      <c r="AZ6" s="174"/>
      <c r="BA6" s="174"/>
    </row>
    <row r="7" s="154" customFormat="1" customHeight="1" spans="1:53">
      <c r="A7" s="174"/>
      <c r="B7" s="40"/>
      <c r="C7" s="175"/>
      <c r="D7" s="176"/>
      <c r="E7" s="176"/>
      <c r="F7" s="176"/>
      <c r="G7" s="176"/>
      <c r="H7" s="176"/>
      <c r="I7" s="175"/>
      <c r="J7" s="177"/>
      <c r="K7" s="166"/>
      <c r="L7" s="168"/>
      <c r="M7" s="118"/>
      <c r="N7" s="32"/>
      <c r="O7" s="178"/>
      <c r="P7" s="179"/>
      <c r="Q7" s="179"/>
      <c r="R7" s="175"/>
      <c r="S7" s="174"/>
      <c r="T7" s="175"/>
      <c r="U7" s="175"/>
      <c r="V7" s="175"/>
      <c r="W7" s="174"/>
      <c r="X7" s="176"/>
      <c r="Y7" s="176"/>
      <c r="Z7" s="175"/>
      <c r="AA7" s="180"/>
      <c r="AB7" s="175"/>
      <c r="AC7" s="175"/>
      <c r="AD7" s="175"/>
      <c r="AE7" s="176"/>
      <c r="AF7" s="118"/>
      <c r="AG7" s="176"/>
      <c r="AH7" s="175"/>
      <c r="AI7" s="175"/>
      <c r="AJ7" s="175"/>
      <c r="AK7" s="175"/>
      <c r="AL7" s="175"/>
      <c r="AM7" s="175"/>
      <c r="AN7" s="176"/>
      <c r="AO7" s="181"/>
      <c r="AP7" s="182">
        <f t="shared" si="0"/>
        <v>0</v>
      </c>
      <c r="AQ7" s="182">
        <f t="shared" si="1"/>
        <v>0</v>
      </c>
      <c r="AR7" s="183"/>
      <c r="AS7" s="174"/>
      <c r="AT7" s="174"/>
      <c r="AU7" s="184"/>
      <c r="AV7" s="174"/>
      <c r="AW7" s="174"/>
      <c r="AX7" s="174"/>
      <c r="AY7" s="174"/>
      <c r="AZ7" s="174"/>
      <c r="BA7" s="174"/>
    </row>
    <row r="8" s="154" customFormat="1" customHeight="1" spans="1:53">
      <c r="A8" s="174"/>
      <c r="B8" s="40"/>
      <c r="C8" s="175"/>
      <c r="D8" s="176"/>
      <c r="E8" s="176"/>
      <c r="F8" s="176"/>
      <c r="G8" s="176"/>
      <c r="H8" s="176"/>
      <c r="I8" s="175"/>
      <c r="J8" s="177"/>
      <c r="K8" s="166"/>
      <c r="L8" s="168"/>
      <c r="M8" s="118"/>
      <c r="N8" s="32"/>
      <c r="O8" s="178"/>
      <c r="P8" s="179"/>
      <c r="Q8" s="179"/>
      <c r="R8" s="175"/>
      <c r="S8" s="174"/>
      <c r="T8" s="175"/>
      <c r="U8" s="175"/>
      <c r="V8" s="175"/>
      <c r="W8" s="174"/>
      <c r="X8" s="176"/>
      <c r="Y8" s="176"/>
      <c r="Z8" s="175"/>
      <c r="AA8" s="180"/>
      <c r="AB8" s="175"/>
      <c r="AC8" s="175"/>
      <c r="AD8" s="175"/>
      <c r="AE8" s="176"/>
      <c r="AF8" s="118"/>
      <c r="AG8" s="176"/>
      <c r="AH8" s="175"/>
      <c r="AI8" s="175"/>
      <c r="AJ8" s="175"/>
      <c r="AK8" s="175"/>
      <c r="AL8" s="175"/>
      <c r="AM8" s="175"/>
      <c r="AN8" s="176"/>
      <c r="AO8" s="181"/>
      <c r="AP8" s="182">
        <f t="shared" si="0"/>
        <v>0</v>
      </c>
      <c r="AQ8" s="182">
        <f t="shared" si="1"/>
        <v>0</v>
      </c>
      <c r="AR8" s="183"/>
      <c r="AS8" s="174"/>
      <c r="AT8" s="174"/>
      <c r="AU8" s="184"/>
      <c r="AV8" s="174"/>
      <c r="AW8" s="174"/>
      <c r="AX8" s="174"/>
      <c r="AY8" s="174"/>
      <c r="AZ8" s="174"/>
      <c r="BA8" s="174"/>
    </row>
    <row r="9" s="154" customFormat="1" customHeight="1" spans="1:53">
      <c r="A9" s="174"/>
      <c r="B9" s="40"/>
      <c r="C9" s="175"/>
      <c r="D9" s="176"/>
      <c r="E9" s="176"/>
      <c r="F9" s="176"/>
      <c r="G9" s="176"/>
      <c r="H9" s="176"/>
      <c r="I9" s="175"/>
      <c r="J9" s="177"/>
      <c r="K9" s="166"/>
      <c r="L9" s="168"/>
      <c r="M9" s="118"/>
      <c r="N9" s="32"/>
      <c r="O9" s="178"/>
      <c r="P9" s="179"/>
      <c r="Q9" s="179"/>
      <c r="R9" s="175"/>
      <c r="S9" s="174"/>
      <c r="T9" s="175"/>
      <c r="U9" s="175"/>
      <c r="V9" s="175"/>
      <c r="W9" s="174"/>
      <c r="X9" s="176"/>
      <c r="Y9" s="176"/>
      <c r="Z9" s="175"/>
      <c r="AA9" s="180"/>
      <c r="AB9" s="175"/>
      <c r="AC9" s="175"/>
      <c r="AD9" s="175"/>
      <c r="AE9" s="176"/>
      <c r="AF9" s="118"/>
      <c r="AG9" s="176"/>
      <c r="AH9" s="175"/>
      <c r="AI9" s="175"/>
      <c r="AJ9" s="175"/>
      <c r="AK9" s="175"/>
      <c r="AL9" s="175"/>
      <c r="AM9" s="175"/>
      <c r="AN9" s="176"/>
      <c r="AO9" s="181"/>
      <c r="AP9" s="182">
        <f t="shared" si="0"/>
        <v>0</v>
      </c>
      <c r="AQ9" s="182">
        <f t="shared" si="1"/>
        <v>0</v>
      </c>
      <c r="AR9" s="183"/>
      <c r="AS9" s="174"/>
      <c r="AT9" s="174"/>
      <c r="AU9" s="184"/>
      <c r="AV9" s="174"/>
      <c r="AW9" s="174"/>
      <c r="AX9" s="174"/>
      <c r="AY9" s="174"/>
      <c r="AZ9" s="174"/>
      <c r="BA9" s="174"/>
    </row>
    <row r="10" s="155" customFormat="1" customHeight="1" spans="1:53">
      <c r="A10" s="174"/>
      <c r="B10" s="174"/>
      <c r="C10" s="174"/>
      <c r="D10" s="175"/>
      <c r="E10" s="175"/>
      <c r="F10" s="175"/>
      <c r="G10" s="175"/>
      <c r="H10" s="175"/>
      <c r="I10" s="175"/>
      <c r="J10" s="168">
        <f>SUM(J3:J9)</f>
        <v>275000</v>
      </c>
      <c r="K10" s="175"/>
      <c r="L10" s="168"/>
      <c r="M10" s="175"/>
      <c r="N10" s="168"/>
      <c r="O10" s="174"/>
      <c r="P10" s="174"/>
      <c r="Q10" s="174"/>
      <c r="R10" s="174"/>
      <c r="S10" s="168"/>
      <c r="T10" s="174"/>
      <c r="U10" s="174"/>
      <c r="V10" s="174"/>
      <c r="W10" s="174"/>
      <c r="X10" s="175"/>
      <c r="Y10" s="175"/>
      <c r="Z10" s="175"/>
      <c r="AA10" s="180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68"/>
      <c r="AO10" s="181"/>
      <c r="AP10" s="182">
        <f>SUM(AP3:AP9)</f>
        <v>0</v>
      </c>
      <c r="AQ10" s="182">
        <f>SUM(AQ3:AQ9)</f>
        <v>0</v>
      </c>
      <c r="AR10" s="185"/>
      <c r="AS10" s="174"/>
      <c r="AT10" s="174"/>
      <c r="AU10" s="184"/>
      <c r="AV10" s="168"/>
      <c r="AW10" s="174"/>
      <c r="AX10" s="174"/>
      <c r="AY10" s="174"/>
      <c r="AZ10" s="174"/>
      <c r="BA10" s="186"/>
    </row>
    <row r="11" customHeight="1" spans="1:53">
      <c r="AO11" s="187"/>
    </row>
    <row r="12" customHeight="1" spans="1:53">
      <c r="A12" s="188"/>
      <c r="B12" s="188"/>
      <c r="C12" s="188"/>
      <c r="D12" s="188"/>
      <c r="E12" s="188"/>
      <c r="F12" s="188"/>
      <c r="G12" s="188"/>
      <c r="H12" s="188"/>
      <c r="I12" s="188"/>
      <c r="J12" s="189"/>
      <c r="K12" s="188"/>
      <c r="L12" s="188"/>
      <c r="M12" s="188"/>
      <c r="N12" s="188"/>
      <c r="O12" s="188"/>
      <c r="P12" s="188"/>
      <c r="Q12" s="188"/>
      <c r="S12" s="188"/>
      <c r="T12" s="190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91"/>
      <c r="AS12" s="188"/>
      <c r="AT12" s="188"/>
      <c r="AU12" s="192"/>
      <c r="AV12" s="188"/>
      <c r="AW12" s="188"/>
      <c r="AX12" s="188"/>
      <c r="AY12" s="188"/>
      <c r="AZ12" s="188"/>
      <c r="BA12" s="188"/>
    </row>
    <row r="13" customHeight="1" spans="1:53">
      <c r="T13" s="154"/>
    </row>
    <row r="15" customHeight="1" spans="1:53">
      <c r="T15" s="193"/>
    </row>
    <row r="16" customHeight="1" spans="1:53">
      <c r="T16" s="193"/>
    </row>
    <row r="17" customHeight="1" spans="6:6">
      <c r="F17" s="190"/>
    </row>
    <row r="18" customHeight="1" spans="6:6">
      <c r="F18" s="190"/>
    </row>
  </sheetData>
  <sheetProtection formatCells="0" formatColumns="0" formatRows="0" insertHyperlinks="0" sort="0" autoFilter="0" pivotTables="0"/>
  <protectedRanges>
    <protectedRange sqref="$A1:$XFD1048576" name="Range1"/>
  </protectedRanges>
  <autoFilter xmlns:etc="http://www.wps.cn/officeDocument/2017/etCustomData" ref="A2:BA10" etc:filterBottomFollowUsedRange="0">
    <sortState ref="A2:BA10">
      <sortCondition ref="A2:A649"/>
    </sortState>
    <extLst/>
  </autoFilter>
  <mergeCells count="46">
    <mergeCell ref="X1:Y1"/>
    <mergeCell ref="Z1:AB1"/>
    <mergeCell ref="AC1:AD1"/>
    <mergeCell ref="AE1:AF1"/>
    <mergeCell ref="AG1:A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</mergeCells>
  <conditionalFormatting sqref="B1">
    <cfRule type="containsText" dxfId="1" priority="402" operator="between" text="异常">
      <formula>NOT(ISERROR(SEARCH("异常",B1)))</formula>
    </cfRule>
  </conditionalFormatting>
  <conditionalFormatting sqref="C1">
    <cfRule type="containsText" dxfId="2" priority="332" operator="between" text="二代">
      <formula>NOT(ISERROR(SEARCH("二代",C1)))</formula>
    </cfRule>
    <cfRule type="containsText" dxfId="3" priority="333" operator="between" text="蛋糕">
      <formula>NOT(ISERROR(SEARCH("蛋糕",C1)))</formula>
    </cfRule>
  </conditionalFormatting>
  <conditionalFormatting sqref="Y3">
    <cfRule type="containsText" dxfId="0" priority="6" operator="between" text="欠">
      <formula>NOT(ISERROR(SEARCH("欠",Y3)))</formula>
    </cfRule>
  </conditionalFormatting>
  <conditionalFormatting sqref="Z3">
    <cfRule type="containsText" dxfId="0" priority="20" operator="between" text="欠">
      <formula>NOT(ISERROR(SEARCH("欠",Z3)))</formula>
    </cfRule>
  </conditionalFormatting>
  <conditionalFormatting sqref="AA3:AB3">
    <cfRule type="containsText" dxfId="0" priority="12" operator="between" text="欠">
      <formula>NOT(ISERROR(SEARCH("欠",AA3)))</formula>
    </cfRule>
  </conditionalFormatting>
  <conditionalFormatting sqref="AC3:AD3">
    <cfRule type="containsText" dxfId="0" priority="10" operator="between" text="欠">
      <formula>NOT(ISERROR(SEARCH("欠",AC3)))</formula>
    </cfRule>
  </conditionalFormatting>
  <conditionalFormatting sqref="AF3">
    <cfRule type="containsText" dxfId="0" priority="17" operator="between" text="欠">
      <formula>NOT(ISERROR(SEARCH("欠",AF3)))</formula>
    </cfRule>
  </conditionalFormatting>
  <conditionalFormatting sqref="AH3">
    <cfRule type="containsText" dxfId="0" priority="8" operator="between" text="欠">
      <formula>NOT(ISERROR(SEARCH("欠",AH3)))</formula>
    </cfRule>
  </conditionalFormatting>
  <conditionalFormatting sqref="AI3">
    <cfRule type="containsText" dxfId="0" priority="18" operator="between" text="欠">
      <formula>NOT(ISERROR(SEARCH("欠",AI3)))</formula>
    </cfRule>
  </conditionalFormatting>
  <conditionalFormatting sqref="Y4">
    <cfRule type="containsText" dxfId="0" priority="72" operator="between" text="欠">
      <formula>NOT(ISERROR(SEARCH("欠",Y4)))</formula>
    </cfRule>
  </conditionalFormatting>
  <conditionalFormatting sqref="Z4">
    <cfRule type="containsText" dxfId="0" priority="81" operator="between" text="欠">
      <formula>NOT(ISERROR(SEARCH("欠",Z4)))</formula>
    </cfRule>
  </conditionalFormatting>
  <conditionalFormatting sqref="AA4:AB4">
    <cfRule type="containsText" dxfId="0" priority="75" operator="between" text="欠">
      <formula>NOT(ISERROR(SEARCH("欠",AA4)))</formula>
    </cfRule>
  </conditionalFormatting>
  <conditionalFormatting sqref="AC4:AD4">
    <cfRule type="containsText" dxfId="0" priority="74" operator="between" text="欠">
      <formula>NOT(ISERROR(SEARCH("欠",AC4)))</formula>
    </cfRule>
  </conditionalFormatting>
  <conditionalFormatting sqref="AF4">
    <cfRule type="containsText" dxfId="0" priority="79" operator="between" text="欠">
      <formula>NOT(ISERROR(SEARCH("欠",AF4)))</formula>
    </cfRule>
  </conditionalFormatting>
  <conditionalFormatting sqref="AH4">
    <cfRule type="containsText" dxfId="0" priority="73" operator="between" text="欠">
      <formula>NOT(ISERROR(SEARCH("欠",AH4)))</formula>
    </cfRule>
  </conditionalFormatting>
  <conditionalFormatting sqref="AI4">
    <cfRule type="containsText" dxfId="0" priority="80" operator="between" text="欠">
      <formula>NOT(ISERROR(SEARCH("欠",AI4)))</formula>
    </cfRule>
  </conditionalFormatting>
  <conditionalFormatting sqref="Y5">
    <cfRule type="containsText" dxfId="0" priority="82" operator="between" text="欠">
      <formula>NOT(ISERROR(SEARCH("欠",Y5)))</formula>
    </cfRule>
  </conditionalFormatting>
  <conditionalFormatting sqref="Z5">
    <cfRule type="containsText" dxfId="0" priority="91" operator="between" text="欠">
      <formula>NOT(ISERROR(SEARCH("欠",Z5)))</formula>
    </cfRule>
  </conditionalFormatting>
  <conditionalFormatting sqref="AA5:AB5">
    <cfRule type="containsText" dxfId="0" priority="85" operator="between" text="欠">
      <formula>NOT(ISERROR(SEARCH("欠",AA5)))</formula>
    </cfRule>
  </conditionalFormatting>
  <conditionalFormatting sqref="AC5:AD5">
    <cfRule type="containsText" dxfId="0" priority="84" operator="between" text="欠">
      <formula>NOT(ISERROR(SEARCH("欠",AC5)))</formula>
    </cfRule>
  </conditionalFormatting>
  <conditionalFormatting sqref="AF5">
    <cfRule type="containsText" dxfId="0" priority="89" operator="between" text="欠">
      <formula>NOT(ISERROR(SEARCH("欠",AF5)))</formula>
    </cfRule>
  </conditionalFormatting>
  <conditionalFormatting sqref="AH5">
    <cfRule type="containsText" dxfId="0" priority="83" operator="between" text="欠">
      <formula>NOT(ISERROR(SEARCH("欠",AH5)))</formula>
    </cfRule>
  </conditionalFormatting>
  <conditionalFormatting sqref="AI5">
    <cfRule type="containsText" dxfId="0" priority="90" operator="between" text="欠">
      <formula>NOT(ISERROR(SEARCH("欠",AI5)))</formula>
    </cfRule>
  </conditionalFormatting>
  <conditionalFormatting sqref="B6">
    <cfRule type="containsText" dxfId="1" priority="146" operator="between" text="异常">
      <formula>NOT(ISERROR(SEARCH("异常",B6)))</formula>
    </cfRule>
  </conditionalFormatting>
  <conditionalFormatting sqref="C6">
    <cfRule type="containsText" dxfId="2" priority="147" operator="between" text="二代">
      <formula>NOT(ISERROR(SEARCH("二代",C6)))</formula>
    </cfRule>
    <cfRule type="containsText" dxfId="3" priority="148" operator="between" text="蛋糕">
      <formula>NOT(ISERROR(SEARCH("蛋糕",C6)))</formula>
    </cfRule>
  </conditionalFormatting>
  <conditionalFormatting sqref="Y6">
    <cfRule type="containsText" dxfId="0" priority="138" operator="between" text="欠">
      <formula>NOT(ISERROR(SEARCH("欠",Y6)))</formula>
    </cfRule>
  </conditionalFormatting>
  <conditionalFormatting sqref="Z6">
    <cfRule type="containsText" dxfId="0" priority="153" operator="between" text="欠">
      <formula>NOT(ISERROR(SEARCH("欠",Z6)))</formula>
    </cfRule>
  </conditionalFormatting>
  <conditionalFormatting sqref="AA6:AB6">
    <cfRule type="containsText" dxfId="0" priority="144" operator="between" text="欠">
      <formula>NOT(ISERROR(SEARCH("欠",AA6)))</formula>
    </cfRule>
  </conditionalFormatting>
  <conditionalFormatting sqref="AC6:AD6">
    <cfRule type="containsText" dxfId="0" priority="142" operator="between" text="欠">
      <formula>NOT(ISERROR(SEARCH("欠",AC6)))</formula>
    </cfRule>
  </conditionalFormatting>
  <conditionalFormatting sqref="AF6">
    <cfRule type="containsText" dxfId="0" priority="149" operator="between" text="欠">
      <formula>NOT(ISERROR(SEARCH("欠",AF6)))</formula>
    </cfRule>
  </conditionalFormatting>
  <conditionalFormatting sqref="AH6">
    <cfRule type="containsText" dxfId="0" priority="140" operator="between" text="欠">
      <formula>NOT(ISERROR(SEARCH("欠",AH6)))</formula>
    </cfRule>
  </conditionalFormatting>
  <conditionalFormatting sqref="AI6">
    <cfRule type="containsText" dxfId="0" priority="151" operator="between" text="欠">
      <formula>NOT(ISERROR(SEARCH("欠",AI6)))</formula>
    </cfRule>
  </conditionalFormatting>
  <conditionalFormatting sqref="B7">
    <cfRule type="containsText" dxfId="1" priority="209" operator="between" text="异常">
      <formula>NOT(ISERROR(SEARCH("异常",B7)))</formula>
    </cfRule>
  </conditionalFormatting>
  <conditionalFormatting sqref="C7">
    <cfRule type="containsText" dxfId="2" priority="212" operator="between" text="二代">
      <formula>NOT(ISERROR(SEARCH("二代",C7)))</formula>
    </cfRule>
    <cfRule type="containsText" dxfId="3" priority="215" operator="between" text="蛋糕">
      <formula>NOT(ISERROR(SEARCH("蛋糕",C7)))</formula>
    </cfRule>
  </conditionalFormatting>
  <conditionalFormatting sqref="Y7">
    <cfRule type="containsText" dxfId="0" priority="194" operator="between" text="欠">
      <formula>NOT(ISERROR(SEARCH("欠",Y7)))</formula>
    </cfRule>
  </conditionalFormatting>
  <conditionalFormatting sqref="Z7">
    <cfRule type="containsText" dxfId="0" priority="224" operator="between" text="欠">
      <formula>NOT(ISERROR(SEARCH("欠",Z7)))</formula>
    </cfRule>
  </conditionalFormatting>
  <conditionalFormatting sqref="AA7:AB7">
    <cfRule type="containsText" dxfId="0" priority="203" operator="between" text="欠">
      <formula>NOT(ISERROR(SEARCH("欠",AA7)))</formula>
    </cfRule>
  </conditionalFormatting>
  <conditionalFormatting sqref="AC7:AD7">
    <cfRule type="containsText" dxfId="0" priority="200" operator="between" text="欠">
      <formula>NOT(ISERROR(SEARCH("欠",AC7)))</formula>
    </cfRule>
  </conditionalFormatting>
  <conditionalFormatting sqref="AF7">
    <cfRule type="containsText" dxfId="0" priority="218" operator="between" text="欠">
      <formula>NOT(ISERROR(SEARCH("欠",AF7)))</formula>
    </cfRule>
  </conditionalFormatting>
  <conditionalFormatting sqref="AH7">
    <cfRule type="containsText" dxfId="0" priority="197" operator="between" text="欠">
      <formula>NOT(ISERROR(SEARCH("欠",AH7)))</formula>
    </cfRule>
  </conditionalFormatting>
  <conditionalFormatting sqref="AI7">
    <cfRule type="containsText" dxfId="0" priority="221" operator="between" text="欠">
      <formula>NOT(ISERROR(SEARCH("欠",AI7)))</formula>
    </cfRule>
  </conditionalFormatting>
  <conditionalFormatting sqref="B8">
    <cfRule type="containsText" dxfId="1" priority="208" operator="between" text="异常">
      <formula>NOT(ISERROR(SEARCH("异常",B8)))</formula>
    </cfRule>
  </conditionalFormatting>
  <conditionalFormatting sqref="C8">
    <cfRule type="containsText" dxfId="2" priority="211" operator="between" text="二代">
      <formula>NOT(ISERROR(SEARCH("二代",C8)))</formula>
    </cfRule>
    <cfRule type="containsText" dxfId="3" priority="214" operator="between" text="蛋糕">
      <formula>NOT(ISERROR(SEARCH("蛋糕",C8)))</formula>
    </cfRule>
  </conditionalFormatting>
  <conditionalFormatting sqref="Y8">
    <cfRule type="containsText" dxfId="0" priority="193" operator="between" text="欠">
      <formula>NOT(ISERROR(SEARCH("欠",Y8)))</formula>
    </cfRule>
  </conditionalFormatting>
  <conditionalFormatting sqref="Z8">
    <cfRule type="containsText" dxfId="0" priority="223" operator="between" text="欠">
      <formula>NOT(ISERROR(SEARCH("欠",Z8)))</formula>
    </cfRule>
  </conditionalFormatting>
  <conditionalFormatting sqref="AA8:AB8">
    <cfRule type="containsText" dxfId="0" priority="202" operator="between" text="欠">
      <formula>NOT(ISERROR(SEARCH("欠",AA8)))</formula>
    </cfRule>
  </conditionalFormatting>
  <conditionalFormatting sqref="AC8:AD8">
    <cfRule type="containsText" dxfId="0" priority="199" operator="between" text="欠">
      <formula>NOT(ISERROR(SEARCH("欠",AC8)))</formula>
    </cfRule>
  </conditionalFormatting>
  <conditionalFormatting sqref="AF8">
    <cfRule type="containsText" dxfId="0" priority="217" operator="between" text="欠">
      <formula>NOT(ISERROR(SEARCH("欠",AF8)))</formula>
    </cfRule>
  </conditionalFormatting>
  <conditionalFormatting sqref="AH8">
    <cfRule type="containsText" dxfId="0" priority="196" operator="between" text="欠">
      <formula>NOT(ISERROR(SEARCH("欠",AH8)))</formula>
    </cfRule>
  </conditionalFormatting>
  <conditionalFormatting sqref="AI8">
    <cfRule type="containsText" dxfId="0" priority="220" operator="between" text="欠">
      <formula>NOT(ISERROR(SEARCH("欠",AI8)))</formula>
    </cfRule>
  </conditionalFormatting>
  <conditionalFormatting sqref="B9">
    <cfRule type="containsText" dxfId="1" priority="207" operator="between" text="异常">
      <formula>NOT(ISERROR(SEARCH("异常",B9)))</formula>
    </cfRule>
  </conditionalFormatting>
  <conditionalFormatting sqref="C9">
    <cfRule type="containsText" dxfId="2" priority="210" operator="between" text="二代">
      <formula>NOT(ISERROR(SEARCH("二代",C9)))</formula>
    </cfRule>
    <cfRule type="containsText" dxfId="3" priority="213" operator="between" text="蛋糕">
      <formula>NOT(ISERROR(SEARCH("蛋糕",C9)))</formula>
    </cfRule>
  </conditionalFormatting>
  <conditionalFormatting sqref="Y9">
    <cfRule type="containsText" dxfId="0" priority="192" operator="between" text="欠">
      <formula>NOT(ISERROR(SEARCH("欠",Y9)))</formula>
    </cfRule>
  </conditionalFormatting>
  <conditionalFormatting sqref="Z9">
    <cfRule type="containsText" dxfId="0" priority="222" operator="between" text="欠">
      <formula>NOT(ISERROR(SEARCH("欠",Z9)))</formula>
    </cfRule>
  </conditionalFormatting>
  <conditionalFormatting sqref="AA9:AB9">
    <cfRule type="containsText" dxfId="0" priority="201" operator="between" text="欠">
      <formula>NOT(ISERROR(SEARCH("欠",AA9)))</formula>
    </cfRule>
  </conditionalFormatting>
  <conditionalFormatting sqref="AC9:AD9">
    <cfRule type="containsText" dxfId="0" priority="198" operator="between" text="欠">
      <formula>NOT(ISERROR(SEARCH("欠",AC9)))</formula>
    </cfRule>
  </conditionalFormatting>
  <conditionalFormatting sqref="AF9">
    <cfRule type="containsText" dxfId="0" priority="216" operator="between" text="欠">
      <formula>NOT(ISERROR(SEARCH("欠",AF9)))</formula>
    </cfRule>
  </conditionalFormatting>
  <conditionalFormatting sqref="AH9">
    <cfRule type="containsText" dxfId="0" priority="195" operator="between" text="欠">
      <formula>NOT(ISERROR(SEARCH("欠",AH9)))</formula>
    </cfRule>
  </conditionalFormatting>
  <conditionalFormatting sqref="AI9">
    <cfRule type="containsText" dxfId="0" priority="219" operator="between" text="欠">
      <formula>NOT(ISERROR(SEARCH("欠",AI9)))</formula>
    </cfRule>
  </conditionalFormatting>
  <conditionalFormatting sqref="Y10">
    <cfRule type="containsText" dxfId="0" priority="349" operator="between" text="欠">
      <formula>NOT(ISERROR(SEARCH("欠",Y10)))</formula>
    </cfRule>
  </conditionalFormatting>
  <conditionalFormatting sqref="B3:B5">
    <cfRule type="containsText" dxfId="1" priority="14" operator="between" text="异常">
      <formula>NOT(ISERROR(SEARCH("异常",B3)))</formula>
    </cfRule>
  </conditionalFormatting>
  <conditionalFormatting sqref="C3:C5">
    <cfRule type="containsText" dxfId="2" priority="15" operator="between" text="二代">
      <formula>NOT(ISERROR(SEARCH("二代",C3)))</formula>
    </cfRule>
    <cfRule type="containsText" dxfId="3" priority="16" operator="between" text="蛋糕">
      <formula>NOT(ISERROR(SEARCH("蛋糕",C3)))</formula>
    </cfRule>
  </conditionalFormatting>
  <conditionalFormatting sqref="C10:C1048576">
    <cfRule type="containsText" dxfId="2" priority="403" operator="between" text="二代">
      <formula>NOT(ISERROR(SEARCH("二代",C10)))</formula>
    </cfRule>
    <cfRule type="containsText" dxfId="3" priority="404" operator="between" text="蛋糕">
      <formula>NOT(ISERROR(SEARCH("蛋糕",C10)))</formula>
    </cfRule>
  </conditionalFormatting>
  <conditionalFormatting sqref="X1:Y2">
    <cfRule type="containsText" dxfId="0" priority="494" operator="between" text="欠">
      <formula>NOT(ISERROR(SEARCH("欠",X1)))</formula>
    </cfRule>
  </conditionalFormatting>
  <conditionalFormatting sqref="Z1:AB2">
    <cfRule type="containsText" dxfId="0" priority="493" operator="between" text="欠">
      <formula>NOT(ISERROR(SEARCH("欠",Z1)))</formula>
    </cfRule>
  </conditionalFormatting>
  <conditionalFormatting sqref="AC1:AD2">
    <cfRule type="containsText" dxfId="0" priority="492" operator="between" text="欠">
      <formula>NOT(ISERROR(SEARCH("欠",AC1)))</formula>
    </cfRule>
  </conditionalFormatting>
  <conditionalFormatting sqref="AE1:AI2">
    <cfRule type="containsText" dxfId="0" priority="491" operator="between" text="欠">
      <formula>NOT(ISERROR(SEARCH("欠",AE1)))</formula>
    </cfRule>
  </conditionalFormatting>
  <conditionalFormatting sqref="X10:Y1048576">
    <cfRule type="containsText" dxfId="0" priority="1463" operator="between" text="欠">
      <formula>NOT(ISERROR(SEARCH("欠",X10)))</formula>
    </cfRule>
  </conditionalFormatting>
  <conditionalFormatting sqref="Z10:AB1048576">
    <cfRule type="containsText" dxfId="0" priority="1462" operator="between" text="欠">
      <formula>NOT(ISERROR(SEARCH("欠",Z10)))</formula>
    </cfRule>
  </conditionalFormatting>
  <conditionalFormatting sqref="AC10:AD1048576">
    <cfRule type="containsText" dxfId="0" priority="1461" operator="between" text="欠">
      <formula>NOT(ISERROR(SEARCH("欠",AC10)))</formula>
    </cfRule>
  </conditionalFormatting>
  <conditionalFormatting sqref="AE10:AI1048576">
    <cfRule type="containsText" dxfId="0" priority="1460" operator="between" text="欠">
      <formula>NOT(ISERROR(SEARCH("欠",AE10)))</formula>
    </cfRule>
  </conditionalFormatting>
  <pageMargins left="0.196527777777778" right="0.161111111111111" top="0.0152777777777778" bottom="0.2125" header="0.5" footer="0.5"/>
  <pageSetup paperSize="9" scale="33" fitToHeight="0" orientation="landscape" horizontalDpi="6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2"/>
  <sheetViews>
    <sheetView workbookViewId="0">
      <pane xSplit="12" ySplit="1" topLeftCell="S102" activePane="bottomRight" state="frozen"/>
      <selection/>
      <selection pane="topRight"/>
      <selection pane="bottomLeft"/>
      <selection pane="bottomRight" activeCell="S123" sqref="S123"/>
    </sheetView>
  </sheetViews>
  <sheetFormatPr defaultColWidth="9" defaultRowHeight="25" customHeight="1"/>
  <cols>
    <col min="1" max="1" width="12.6" style="132" customWidth="1"/>
    <col min="2" max="3" width="8.625" style="16" hidden="1" customWidth="1"/>
    <col min="4" max="4" width="12.625" style="16" customWidth="1"/>
    <col min="5" max="5" width="8.625" style="16" customWidth="1"/>
    <col min="6" max="8" width="12.625" style="16" customWidth="1"/>
    <col min="9" max="9" width="12.625" style="16" hidden="1" customWidth="1"/>
    <col min="10" max="10" width="8.625" style="133" customWidth="1"/>
    <col min="11" max="11" width="5.625" style="16" customWidth="1"/>
    <col min="12" max="12" width="5.625" style="133" customWidth="1"/>
    <col min="13" max="15" width="12.625" style="134" customWidth="1"/>
    <col min="16" max="17" width="8.625" style="130" customWidth="1"/>
    <col min="18" max="18" width="12.625" style="134" customWidth="1"/>
    <col min="19" max="19" width="8.625" style="16" customWidth="1"/>
    <col min="20" max="20" width="10.625" style="16" customWidth="1"/>
    <col min="21" max="21" width="8.625" style="16" customWidth="1"/>
    <col min="22" max="23" width="15.625" style="16" customWidth="1"/>
    <col min="24" max="24" width="15.625" style="133" customWidth="1"/>
    <col min="25" max="25" width="8.625" style="135" customWidth="1"/>
    <col min="26" max="27" width="12.625" style="136" customWidth="1"/>
    <col min="28" max="28" width="10.625" style="137" customWidth="1"/>
    <col min="29" max="29" width="10.625" style="134" customWidth="1"/>
    <col min="30" max="16384" width="9" style="130"/>
  </cols>
  <sheetData>
    <row r="1" s="130" customFormat="1" customHeight="1" spans="1:29">
      <c r="A1" s="138" t="s">
        <v>208</v>
      </c>
      <c r="B1" s="25" t="s">
        <v>1553</v>
      </c>
      <c r="C1" s="25" t="s">
        <v>1201</v>
      </c>
      <c r="D1" s="139" t="s">
        <v>1169</v>
      </c>
      <c r="E1" s="139" t="s">
        <v>1170</v>
      </c>
      <c r="F1" s="139" t="s">
        <v>210</v>
      </c>
      <c r="G1" s="139" t="s">
        <v>211</v>
      </c>
      <c r="H1" s="139" t="s">
        <v>0</v>
      </c>
      <c r="I1" s="123" t="s">
        <v>207</v>
      </c>
      <c r="J1" s="121" t="s">
        <v>212</v>
      </c>
      <c r="K1" s="123" t="s">
        <v>1172</v>
      </c>
      <c r="L1" s="121" t="s">
        <v>1173</v>
      </c>
      <c r="M1" s="140" t="s">
        <v>1961</v>
      </c>
      <c r="N1" s="141" t="s">
        <v>209</v>
      </c>
      <c r="O1" s="141" t="s">
        <v>1962</v>
      </c>
      <c r="P1" s="139" t="s">
        <v>1963</v>
      </c>
      <c r="Q1" s="139" t="s">
        <v>1964</v>
      </c>
      <c r="R1" s="139" t="s">
        <v>1181</v>
      </c>
      <c r="S1" s="139" t="s">
        <v>1198</v>
      </c>
      <c r="T1" s="139" t="s">
        <v>1185</v>
      </c>
      <c r="U1" s="139" t="s">
        <v>1965</v>
      </c>
      <c r="V1" s="139" t="s">
        <v>213</v>
      </c>
      <c r="W1" s="139" t="s">
        <v>1191</v>
      </c>
      <c r="X1" s="142" t="s">
        <v>1192</v>
      </c>
      <c r="Y1" s="143" t="s">
        <v>243</v>
      </c>
      <c r="Z1" s="144" t="s">
        <v>244</v>
      </c>
      <c r="AA1" s="144" t="s">
        <v>245</v>
      </c>
      <c r="AB1" s="145" t="s">
        <v>1193</v>
      </c>
      <c r="AC1" s="146" t="s">
        <v>1195</v>
      </c>
    </row>
    <row r="2" s="131" customFormat="1" customHeight="1" spans="1:29">
      <c r="A2" s="138">
        <v>45478</v>
      </c>
      <c r="B2" s="147"/>
      <c r="C2" s="147"/>
      <c r="D2" s="147" t="s">
        <v>1966</v>
      </c>
      <c r="E2" s="147"/>
      <c r="F2" s="123"/>
      <c r="G2" s="123" t="s">
        <v>1958</v>
      </c>
      <c r="H2" s="123" t="s">
        <v>8</v>
      </c>
      <c r="I2" s="148"/>
      <c r="J2" s="120">
        <v>17008</v>
      </c>
      <c r="K2" s="148"/>
      <c r="L2" s="121"/>
      <c r="M2" s="140"/>
      <c r="N2" s="140" t="s">
        <v>1967</v>
      </c>
      <c r="O2" s="140"/>
      <c r="P2" s="139"/>
      <c r="Q2" s="139"/>
      <c r="R2" s="140"/>
      <c r="S2" s="123"/>
      <c r="T2" s="123"/>
      <c r="U2" s="123"/>
      <c r="V2" s="123"/>
      <c r="W2" s="123"/>
      <c r="X2" s="121"/>
      <c r="Y2" s="149">
        <v>0.8</v>
      </c>
      <c r="Z2" s="149">
        <f t="shared" ref="Z2:Z65" si="0">J2*Y2</f>
        <v>13606.4</v>
      </c>
      <c r="AA2" s="149">
        <f t="shared" ref="AA2:AA65" si="1">Z2*7.75</f>
        <v>105449.6</v>
      </c>
      <c r="AB2" s="150"/>
      <c r="AC2" s="140"/>
    </row>
    <row r="3" s="131" customFormat="1" customHeight="1" spans="1:29">
      <c r="A3" s="138">
        <v>45478</v>
      </c>
      <c r="B3" s="147"/>
      <c r="C3" s="147"/>
      <c r="D3" s="147" t="s">
        <v>1966</v>
      </c>
      <c r="E3" s="147"/>
      <c r="F3" s="123"/>
      <c r="G3" s="123" t="s">
        <v>1958</v>
      </c>
      <c r="H3" s="123" t="s">
        <v>14</v>
      </c>
      <c r="I3" s="148"/>
      <c r="J3" s="120">
        <v>9600</v>
      </c>
      <c r="K3" s="148"/>
      <c r="L3" s="121"/>
      <c r="M3" s="140"/>
      <c r="N3" s="140" t="s">
        <v>1967</v>
      </c>
      <c r="O3" s="140"/>
      <c r="P3" s="139"/>
      <c r="Q3" s="139"/>
      <c r="R3" s="140"/>
      <c r="S3" s="123"/>
      <c r="T3" s="123"/>
      <c r="U3" s="123"/>
      <c r="V3" s="123"/>
      <c r="W3" s="123"/>
      <c r="X3" s="121"/>
      <c r="Y3" s="143">
        <v>2.09</v>
      </c>
      <c r="Z3" s="149">
        <f t="shared" si="0"/>
        <v>20064</v>
      </c>
      <c r="AA3" s="149">
        <f t="shared" si="1"/>
        <v>155496</v>
      </c>
      <c r="AB3" s="150"/>
      <c r="AC3" s="140"/>
    </row>
    <row r="4" s="131" customFormat="1" customHeight="1" spans="1:29">
      <c r="A4" s="138">
        <v>45478</v>
      </c>
      <c r="B4" s="147"/>
      <c r="C4" s="147"/>
      <c r="D4" s="147" t="s">
        <v>1966</v>
      </c>
      <c r="E4" s="147"/>
      <c r="F4" s="123"/>
      <c r="G4" s="123" t="s">
        <v>1958</v>
      </c>
      <c r="H4" s="123" t="s">
        <v>16</v>
      </c>
      <c r="I4" s="148"/>
      <c r="J4" s="120">
        <v>5400</v>
      </c>
      <c r="K4" s="148"/>
      <c r="L4" s="121"/>
      <c r="M4" s="140"/>
      <c r="N4" s="140" t="s">
        <v>1967</v>
      </c>
      <c r="O4" s="140"/>
      <c r="P4" s="139"/>
      <c r="Q4" s="139"/>
      <c r="R4" s="140"/>
      <c r="S4" s="123"/>
      <c r="T4" s="123"/>
      <c r="U4" s="123"/>
      <c r="V4" s="123"/>
      <c r="W4" s="123"/>
      <c r="X4" s="121"/>
      <c r="Y4" s="143">
        <f>3.16</f>
        <v>3.16</v>
      </c>
      <c r="Z4" s="149">
        <f t="shared" si="0"/>
        <v>17064</v>
      </c>
      <c r="AA4" s="149">
        <f t="shared" si="1"/>
        <v>132246</v>
      </c>
      <c r="AB4" s="150"/>
      <c r="AC4" s="140"/>
    </row>
    <row r="5" s="131" customFormat="1" customHeight="1" spans="1:29">
      <c r="A5" s="138">
        <v>45478</v>
      </c>
      <c r="B5" s="147"/>
      <c r="C5" s="147"/>
      <c r="D5" s="147" t="s">
        <v>1968</v>
      </c>
      <c r="E5" s="147"/>
      <c r="F5" s="123"/>
      <c r="G5" s="123" t="s">
        <v>1958</v>
      </c>
      <c r="H5" s="123" t="s">
        <v>19</v>
      </c>
      <c r="I5" s="148"/>
      <c r="J5" s="120">
        <v>14400</v>
      </c>
      <c r="K5" s="148"/>
      <c r="L5" s="121"/>
      <c r="M5" s="140"/>
      <c r="N5" s="140" t="s">
        <v>1967</v>
      </c>
      <c r="O5" s="140"/>
      <c r="P5" s="139"/>
      <c r="Q5" s="139"/>
      <c r="R5" s="140"/>
      <c r="S5" s="123"/>
      <c r="T5" s="123"/>
      <c r="U5" s="123"/>
      <c r="V5" s="123"/>
      <c r="W5" s="123"/>
      <c r="X5" s="121"/>
      <c r="Y5" s="143">
        <v>0.85</v>
      </c>
      <c r="Z5" s="149">
        <f t="shared" si="0"/>
        <v>12240</v>
      </c>
      <c r="AA5" s="149">
        <f t="shared" si="1"/>
        <v>94860</v>
      </c>
      <c r="AB5" s="150"/>
      <c r="AC5" s="140"/>
    </row>
    <row r="6" s="131" customFormat="1" customHeight="1" spans="1:29">
      <c r="A6" s="138">
        <v>45478</v>
      </c>
      <c r="B6" s="147"/>
      <c r="C6" s="147"/>
      <c r="D6" s="147" t="s">
        <v>1968</v>
      </c>
      <c r="E6" s="147"/>
      <c r="F6" s="123"/>
      <c r="G6" s="123" t="s">
        <v>1958</v>
      </c>
      <c r="H6" s="123" t="s">
        <v>14</v>
      </c>
      <c r="I6" s="148"/>
      <c r="J6" s="120">
        <v>6000</v>
      </c>
      <c r="K6" s="148"/>
      <c r="L6" s="121"/>
      <c r="M6" s="140"/>
      <c r="N6" s="140" t="s">
        <v>1967</v>
      </c>
      <c r="O6" s="140"/>
      <c r="P6" s="139"/>
      <c r="Q6" s="139"/>
      <c r="R6" s="140"/>
      <c r="S6" s="123"/>
      <c r="T6" s="123"/>
      <c r="U6" s="123"/>
      <c r="V6" s="123"/>
      <c r="W6" s="123"/>
      <c r="X6" s="121"/>
      <c r="Y6" s="143">
        <v>2.09</v>
      </c>
      <c r="Z6" s="149">
        <f t="shared" si="0"/>
        <v>12540</v>
      </c>
      <c r="AA6" s="149">
        <f t="shared" si="1"/>
        <v>97185</v>
      </c>
      <c r="AB6" s="150"/>
      <c r="AC6" s="140"/>
    </row>
    <row r="7" s="131" customFormat="1" customHeight="1" spans="1:29">
      <c r="A7" s="138">
        <v>45478</v>
      </c>
      <c r="B7" s="147"/>
      <c r="C7" s="147"/>
      <c r="D7" s="147" t="s">
        <v>1969</v>
      </c>
      <c r="E7" s="147"/>
      <c r="F7" s="123"/>
      <c r="G7" s="123" t="s">
        <v>1958</v>
      </c>
      <c r="H7" s="123" t="s">
        <v>10</v>
      </c>
      <c r="I7" s="148"/>
      <c r="J7" s="120">
        <v>9600</v>
      </c>
      <c r="K7" s="148"/>
      <c r="L7" s="121"/>
      <c r="M7" s="140"/>
      <c r="N7" s="140" t="s">
        <v>1967</v>
      </c>
      <c r="O7" s="140"/>
      <c r="P7" s="139"/>
      <c r="Q7" s="139"/>
      <c r="R7" s="140"/>
      <c r="S7" s="123"/>
      <c r="T7" s="123"/>
      <c r="U7" s="123"/>
      <c r="V7" s="123"/>
      <c r="W7" s="123"/>
      <c r="X7" s="121"/>
      <c r="Y7" s="143">
        <v>0.88</v>
      </c>
      <c r="Z7" s="149">
        <f t="shared" si="0"/>
        <v>8448</v>
      </c>
      <c r="AA7" s="149">
        <f t="shared" si="1"/>
        <v>65472</v>
      </c>
      <c r="AB7" s="150"/>
      <c r="AC7" s="140"/>
    </row>
    <row r="8" s="131" customFormat="1" customHeight="1" spans="1:29">
      <c r="A8" s="138">
        <v>45478</v>
      </c>
      <c r="B8" s="147"/>
      <c r="C8" s="147"/>
      <c r="D8" s="147" t="s">
        <v>1969</v>
      </c>
      <c r="E8" s="147"/>
      <c r="F8" s="123"/>
      <c r="G8" s="123" t="s">
        <v>1958</v>
      </c>
      <c r="H8" s="123" t="s">
        <v>14</v>
      </c>
      <c r="I8" s="148"/>
      <c r="J8" s="120">
        <v>4800</v>
      </c>
      <c r="K8" s="148"/>
      <c r="L8" s="121"/>
      <c r="M8" s="140"/>
      <c r="N8" s="140" t="s">
        <v>1967</v>
      </c>
      <c r="O8" s="140"/>
      <c r="P8" s="139"/>
      <c r="Q8" s="139"/>
      <c r="R8" s="140"/>
      <c r="S8" s="123"/>
      <c r="T8" s="123"/>
      <c r="U8" s="123"/>
      <c r="V8" s="123"/>
      <c r="W8" s="123"/>
      <c r="X8" s="121"/>
      <c r="Y8" s="143">
        <v>2.09</v>
      </c>
      <c r="Z8" s="149">
        <f t="shared" si="0"/>
        <v>10032</v>
      </c>
      <c r="AA8" s="149">
        <f t="shared" si="1"/>
        <v>77748</v>
      </c>
      <c r="AB8" s="150"/>
      <c r="AC8" s="140"/>
    </row>
    <row r="9" s="131" customFormat="1" customHeight="1" spans="1:29">
      <c r="A9" s="138">
        <v>45478</v>
      </c>
      <c r="B9" s="147"/>
      <c r="C9" s="147"/>
      <c r="D9" s="147" t="s">
        <v>1970</v>
      </c>
      <c r="E9" s="147"/>
      <c r="F9" s="123"/>
      <c r="G9" s="123" t="s">
        <v>1958</v>
      </c>
      <c r="H9" s="123" t="s">
        <v>1971</v>
      </c>
      <c r="I9" s="148"/>
      <c r="J9" s="120">
        <v>80000</v>
      </c>
      <c r="K9" s="148"/>
      <c r="L9" s="121"/>
      <c r="M9" s="140"/>
      <c r="N9" s="140" t="s">
        <v>1967</v>
      </c>
      <c r="O9" s="140"/>
      <c r="P9" s="139"/>
      <c r="Q9" s="139"/>
      <c r="R9" s="140"/>
      <c r="S9" s="123"/>
      <c r="T9" s="123"/>
      <c r="U9" s="123"/>
      <c r="V9" s="123"/>
      <c r="W9" s="123"/>
      <c r="X9" s="121"/>
      <c r="Y9" s="143">
        <v>0.63</v>
      </c>
      <c r="Z9" s="149">
        <f t="shared" si="0"/>
        <v>50400</v>
      </c>
      <c r="AA9" s="149">
        <f t="shared" si="1"/>
        <v>390600</v>
      </c>
      <c r="AB9" s="150"/>
      <c r="AC9" s="140"/>
    </row>
    <row r="10" s="131" customFormat="1" customHeight="1" spans="1:29">
      <c r="A10" s="138">
        <v>45478</v>
      </c>
      <c r="B10" s="147"/>
      <c r="C10" s="147"/>
      <c r="D10" s="147" t="s">
        <v>1970</v>
      </c>
      <c r="E10" s="147"/>
      <c r="F10" s="123"/>
      <c r="G10" s="123" t="s">
        <v>1958</v>
      </c>
      <c r="H10" s="123" t="s">
        <v>11</v>
      </c>
      <c r="I10" s="148"/>
      <c r="J10" s="120">
        <v>40000</v>
      </c>
      <c r="K10" s="148"/>
      <c r="L10" s="121"/>
      <c r="M10" s="140"/>
      <c r="N10" s="140" t="s">
        <v>1967</v>
      </c>
      <c r="O10" s="140"/>
      <c r="P10" s="139"/>
      <c r="Q10" s="139"/>
      <c r="R10" s="140"/>
      <c r="S10" s="123"/>
      <c r="T10" s="123"/>
      <c r="U10" s="123"/>
      <c r="V10" s="123"/>
      <c r="W10" s="123"/>
      <c r="X10" s="121"/>
      <c r="Y10" s="143">
        <v>0.87</v>
      </c>
      <c r="Z10" s="149">
        <f t="shared" si="0"/>
        <v>34800</v>
      </c>
      <c r="AA10" s="149">
        <f t="shared" si="1"/>
        <v>269700</v>
      </c>
      <c r="AB10" s="150"/>
      <c r="AC10" s="140"/>
    </row>
    <row r="11" s="131" customFormat="1" customHeight="1" spans="1:29">
      <c r="A11" s="138">
        <v>45478</v>
      </c>
      <c r="B11" s="147"/>
      <c r="C11" s="147"/>
      <c r="D11" s="147" t="s">
        <v>1970</v>
      </c>
      <c r="E11" s="147"/>
      <c r="F11" s="123"/>
      <c r="G11" s="123" t="s">
        <v>1958</v>
      </c>
      <c r="H11" s="123" t="s">
        <v>14</v>
      </c>
      <c r="I11" s="148"/>
      <c r="J11" s="120">
        <v>20000</v>
      </c>
      <c r="K11" s="148"/>
      <c r="L11" s="121"/>
      <c r="M11" s="140"/>
      <c r="N11" s="140" t="s">
        <v>1967</v>
      </c>
      <c r="O11" s="140"/>
      <c r="P11" s="139"/>
      <c r="Q11" s="139"/>
      <c r="R11" s="140"/>
      <c r="S11" s="123"/>
      <c r="T11" s="123"/>
      <c r="U11" s="123"/>
      <c r="V11" s="123"/>
      <c r="W11" s="123"/>
      <c r="X11" s="121"/>
      <c r="Y11" s="143">
        <v>2.09</v>
      </c>
      <c r="Z11" s="149">
        <f t="shared" si="0"/>
        <v>41800</v>
      </c>
      <c r="AA11" s="149">
        <f t="shared" si="1"/>
        <v>323950</v>
      </c>
      <c r="AB11" s="150"/>
      <c r="AC11" s="140"/>
    </row>
    <row r="12" s="131" customFormat="1" customHeight="1" spans="1:29">
      <c r="A12" s="138">
        <v>45478</v>
      </c>
      <c r="B12" s="147"/>
      <c r="C12" s="147"/>
      <c r="D12" s="147" t="s">
        <v>1970</v>
      </c>
      <c r="E12" s="147"/>
      <c r="F12" s="123"/>
      <c r="G12" s="123" t="s">
        <v>1958</v>
      </c>
      <c r="H12" s="123" t="s">
        <v>16</v>
      </c>
      <c r="I12" s="148"/>
      <c r="J12" s="120">
        <v>5000</v>
      </c>
      <c r="K12" s="148"/>
      <c r="L12" s="121"/>
      <c r="M12" s="140"/>
      <c r="N12" s="140" t="s">
        <v>1967</v>
      </c>
      <c r="O12" s="140"/>
      <c r="P12" s="139"/>
      <c r="Q12" s="139"/>
      <c r="R12" s="140"/>
      <c r="S12" s="123"/>
      <c r="T12" s="123"/>
      <c r="U12" s="123"/>
      <c r="V12" s="123"/>
      <c r="W12" s="123"/>
      <c r="X12" s="121"/>
      <c r="Y12" s="143">
        <f>3.16</f>
        <v>3.16</v>
      </c>
      <c r="Z12" s="149">
        <f t="shared" si="0"/>
        <v>15800</v>
      </c>
      <c r="AA12" s="149">
        <f t="shared" si="1"/>
        <v>122450</v>
      </c>
      <c r="AB12" s="150"/>
      <c r="AC12" s="140"/>
    </row>
    <row r="13" s="131" customFormat="1" customHeight="1" spans="1:29">
      <c r="A13" s="138">
        <v>45478</v>
      </c>
      <c r="B13" s="147"/>
      <c r="C13" s="147"/>
      <c r="D13" s="147" t="s">
        <v>1972</v>
      </c>
      <c r="E13" s="147"/>
      <c r="F13" s="123"/>
      <c r="G13" s="123" t="s">
        <v>1958</v>
      </c>
      <c r="H13" s="123" t="s">
        <v>8</v>
      </c>
      <c r="I13" s="148"/>
      <c r="J13" s="120">
        <v>18000</v>
      </c>
      <c r="K13" s="148"/>
      <c r="L13" s="121"/>
      <c r="M13" s="140"/>
      <c r="N13" s="140" t="s">
        <v>1973</v>
      </c>
      <c r="O13" s="140"/>
      <c r="P13" s="139"/>
      <c r="Q13" s="139"/>
      <c r="R13" s="140"/>
      <c r="S13" s="123"/>
      <c r="T13" s="123"/>
      <c r="U13" s="123"/>
      <c r="V13" s="123"/>
      <c r="W13" s="123"/>
      <c r="X13" s="121"/>
      <c r="Y13" s="149">
        <v>0.8</v>
      </c>
      <c r="Z13" s="149">
        <f t="shared" si="0"/>
        <v>14400</v>
      </c>
      <c r="AA13" s="149">
        <f t="shared" si="1"/>
        <v>111600</v>
      </c>
      <c r="AB13" s="150"/>
      <c r="AC13" s="140"/>
    </row>
    <row r="14" s="131" customFormat="1" customHeight="1" spans="1:29">
      <c r="A14" s="138">
        <v>45478</v>
      </c>
      <c r="B14" s="147"/>
      <c r="C14" s="147"/>
      <c r="D14" s="147" t="s">
        <v>1972</v>
      </c>
      <c r="E14" s="147"/>
      <c r="F14" s="123"/>
      <c r="G14" s="123" t="s">
        <v>1958</v>
      </c>
      <c r="H14" s="123" t="s">
        <v>14</v>
      </c>
      <c r="I14" s="148"/>
      <c r="J14" s="120">
        <v>7200</v>
      </c>
      <c r="K14" s="148"/>
      <c r="L14" s="121"/>
      <c r="M14" s="140"/>
      <c r="N14" s="140" t="s">
        <v>1973</v>
      </c>
      <c r="O14" s="140"/>
      <c r="P14" s="139"/>
      <c r="Q14" s="139"/>
      <c r="R14" s="140"/>
      <c r="S14" s="123"/>
      <c r="T14" s="123"/>
      <c r="U14" s="123"/>
      <c r="V14" s="123"/>
      <c r="W14" s="123"/>
      <c r="X14" s="121"/>
      <c r="Y14" s="143">
        <v>2.09</v>
      </c>
      <c r="Z14" s="149">
        <f t="shared" si="0"/>
        <v>15048</v>
      </c>
      <c r="AA14" s="149">
        <f t="shared" si="1"/>
        <v>116622</v>
      </c>
      <c r="AB14" s="150"/>
      <c r="AC14" s="140"/>
    </row>
    <row r="15" s="131" customFormat="1" customHeight="1" spans="1:29">
      <c r="A15" s="138">
        <v>45478</v>
      </c>
      <c r="B15" s="147"/>
      <c r="C15" s="147"/>
      <c r="D15" s="147" t="s">
        <v>1972</v>
      </c>
      <c r="E15" s="147"/>
      <c r="F15" s="123"/>
      <c r="G15" s="123" t="s">
        <v>1958</v>
      </c>
      <c r="H15" s="123" t="s">
        <v>16</v>
      </c>
      <c r="I15" s="148"/>
      <c r="J15" s="120">
        <v>3600</v>
      </c>
      <c r="K15" s="148"/>
      <c r="L15" s="121"/>
      <c r="M15" s="140"/>
      <c r="N15" s="140" t="s">
        <v>1973</v>
      </c>
      <c r="O15" s="140"/>
      <c r="P15" s="139"/>
      <c r="Q15" s="139"/>
      <c r="R15" s="140"/>
      <c r="S15" s="123"/>
      <c r="T15" s="123"/>
      <c r="U15" s="123"/>
      <c r="V15" s="123"/>
      <c r="W15" s="123"/>
      <c r="X15" s="121"/>
      <c r="Y15" s="143">
        <f>3.16</f>
        <v>3.16</v>
      </c>
      <c r="Z15" s="149">
        <f t="shared" si="0"/>
        <v>11376</v>
      </c>
      <c r="AA15" s="149">
        <f t="shared" si="1"/>
        <v>88164</v>
      </c>
      <c r="AB15" s="150"/>
      <c r="AC15" s="140"/>
    </row>
    <row r="16" s="131" customFormat="1" customHeight="1" spans="1:29">
      <c r="A16" s="138">
        <v>45478</v>
      </c>
      <c r="B16" s="147"/>
      <c r="C16" s="147"/>
      <c r="D16" s="147" t="s">
        <v>1974</v>
      </c>
      <c r="E16" s="147"/>
      <c r="F16" s="123"/>
      <c r="G16" s="123" t="s">
        <v>1958</v>
      </c>
      <c r="H16" s="123" t="s">
        <v>8</v>
      </c>
      <c r="I16" s="148"/>
      <c r="J16" s="120">
        <v>12000</v>
      </c>
      <c r="K16" s="148"/>
      <c r="L16" s="121"/>
      <c r="M16" s="140"/>
      <c r="N16" s="140" t="s">
        <v>1973</v>
      </c>
      <c r="O16" s="140"/>
      <c r="P16" s="139"/>
      <c r="Q16" s="139"/>
      <c r="R16" s="140"/>
      <c r="S16" s="123"/>
      <c r="T16" s="123"/>
      <c r="U16" s="123"/>
      <c r="V16" s="123"/>
      <c r="W16" s="123"/>
      <c r="X16" s="121"/>
      <c r="Y16" s="149">
        <v>0.8</v>
      </c>
      <c r="Z16" s="149">
        <f t="shared" si="0"/>
        <v>9600</v>
      </c>
      <c r="AA16" s="149">
        <f t="shared" si="1"/>
        <v>74400</v>
      </c>
      <c r="AB16" s="150"/>
      <c r="AC16" s="140"/>
    </row>
    <row r="17" s="131" customFormat="1" customHeight="1" spans="1:29">
      <c r="A17" s="138">
        <v>45478</v>
      </c>
      <c r="B17" s="147"/>
      <c r="C17" s="147"/>
      <c r="D17" s="147" t="s">
        <v>1974</v>
      </c>
      <c r="E17" s="147"/>
      <c r="F17" s="123"/>
      <c r="G17" s="123" t="s">
        <v>1958</v>
      </c>
      <c r="H17" s="123" t="s">
        <v>14</v>
      </c>
      <c r="I17" s="148"/>
      <c r="J17" s="120">
        <v>12000</v>
      </c>
      <c r="K17" s="148"/>
      <c r="L17" s="121"/>
      <c r="M17" s="140"/>
      <c r="N17" s="140" t="s">
        <v>1973</v>
      </c>
      <c r="O17" s="140"/>
      <c r="P17" s="139"/>
      <c r="Q17" s="139"/>
      <c r="R17" s="140"/>
      <c r="S17" s="123"/>
      <c r="T17" s="123"/>
      <c r="U17" s="123"/>
      <c r="V17" s="123"/>
      <c r="W17" s="123"/>
      <c r="X17" s="121"/>
      <c r="Y17" s="143">
        <v>2.09</v>
      </c>
      <c r="Z17" s="149">
        <f t="shared" si="0"/>
        <v>25080</v>
      </c>
      <c r="AA17" s="149">
        <f t="shared" si="1"/>
        <v>194370</v>
      </c>
      <c r="AB17" s="150"/>
      <c r="AC17" s="140"/>
    </row>
    <row r="18" s="131" customFormat="1" customHeight="1" spans="1:29">
      <c r="A18" s="138">
        <v>45478</v>
      </c>
      <c r="B18" s="147"/>
      <c r="C18" s="147"/>
      <c r="D18" s="147" t="s">
        <v>1974</v>
      </c>
      <c r="E18" s="147"/>
      <c r="F18" s="123"/>
      <c r="G18" s="123" t="s">
        <v>1958</v>
      </c>
      <c r="H18" s="123" t="s">
        <v>16</v>
      </c>
      <c r="I18" s="148"/>
      <c r="J18" s="120">
        <v>4800</v>
      </c>
      <c r="K18" s="148"/>
      <c r="L18" s="121"/>
      <c r="M18" s="140"/>
      <c r="N18" s="140" t="s">
        <v>1973</v>
      </c>
      <c r="O18" s="140"/>
      <c r="P18" s="139"/>
      <c r="Q18" s="139"/>
      <c r="R18" s="140"/>
      <c r="S18" s="123"/>
      <c r="T18" s="123"/>
      <c r="U18" s="123"/>
      <c r="V18" s="123"/>
      <c r="W18" s="123"/>
      <c r="X18" s="121"/>
      <c r="Y18" s="143">
        <f>3.16</f>
        <v>3.16</v>
      </c>
      <c r="Z18" s="149">
        <f t="shared" si="0"/>
        <v>15168</v>
      </c>
      <c r="AA18" s="149">
        <f t="shared" si="1"/>
        <v>117552</v>
      </c>
      <c r="AB18" s="150"/>
      <c r="AC18" s="140"/>
    </row>
    <row r="19" s="131" customFormat="1" customHeight="1" spans="1:29">
      <c r="A19" s="138">
        <v>45478</v>
      </c>
      <c r="B19" s="147"/>
      <c r="C19" s="147"/>
      <c r="D19" s="147" t="s">
        <v>1970</v>
      </c>
      <c r="E19" s="147"/>
      <c r="F19" s="123"/>
      <c r="G19" s="123" t="s">
        <v>1958</v>
      </c>
      <c r="H19" s="123" t="s">
        <v>1971</v>
      </c>
      <c r="I19" s="148"/>
      <c r="J19" s="120">
        <v>120000</v>
      </c>
      <c r="K19" s="148"/>
      <c r="L19" s="121"/>
      <c r="M19" s="140"/>
      <c r="N19" s="140" t="s">
        <v>1973</v>
      </c>
      <c r="O19" s="140"/>
      <c r="P19" s="139"/>
      <c r="Q19" s="139"/>
      <c r="R19" s="140"/>
      <c r="S19" s="123"/>
      <c r="T19" s="123"/>
      <c r="U19" s="123"/>
      <c r="V19" s="123"/>
      <c r="W19" s="123"/>
      <c r="X19" s="121"/>
      <c r="Y19" s="143">
        <v>0.63</v>
      </c>
      <c r="Z19" s="149">
        <f t="shared" si="0"/>
        <v>75600</v>
      </c>
      <c r="AA19" s="149">
        <f t="shared" si="1"/>
        <v>585900</v>
      </c>
      <c r="AB19" s="150"/>
      <c r="AC19" s="140"/>
    </row>
    <row r="20" s="131" customFormat="1" customHeight="1" spans="1:29">
      <c r="A20" s="138">
        <v>45478</v>
      </c>
      <c r="B20" s="147"/>
      <c r="C20" s="147"/>
      <c r="D20" s="147" t="s">
        <v>1970</v>
      </c>
      <c r="E20" s="147"/>
      <c r="F20" s="123"/>
      <c r="G20" s="123" t="s">
        <v>1958</v>
      </c>
      <c r="H20" s="123" t="s">
        <v>11</v>
      </c>
      <c r="I20" s="148"/>
      <c r="J20" s="120">
        <v>80000</v>
      </c>
      <c r="K20" s="148"/>
      <c r="L20" s="121"/>
      <c r="M20" s="140"/>
      <c r="N20" s="140" t="s">
        <v>1973</v>
      </c>
      <c r="O20" s="140"/>
      <c r="P20" s="139"/>
      <c r="Q20" s="139"/>
      <c r="R20" s="140"/>
      <c r="S20" s="123"/>
      <c r="T20" s="123"/>
      <c r="U20" s="123"/>
      <c r="V20" s="123"/>
      <c r="W20" s="123"/>
      <c r="X20" s="121"/>
      <c r="Y20" s="143">
        <v>0.87</v>
      </c>
      <c r="Z20" s="149">
        <f t="shared" si="0"/>
        <v>69600</v>
      </c>
      <c r="AA20" s="149">
        <f t="shared" si="1"/>
        <v>539400</v>
      </c>
      <c r="AB20" s="150"/>
      <c r="AC20" s="140"/>
    </row>
    <row r="21" s="131" customFormat="1" customHeight="1" spans="1:29">
      <c r="A21" s="138">
        <v>45478</v>
      </c>
      <c r="B21" s="147"/>
      <c r="C21" s="147"/>
      <c r="D21" s="147" t="s">
        <v>1970</v>
      </c>
      <c r="E21" s="147"/>
      <c r="F21" s="123"/>
      <c r="G21" s="123" t="s">
        <v>1958</v>
      </c>
      <c r="H21" s="123" t="s">
        <v>14</v>
      </c>
      <c r="I21" s="148"/>
      <c r="J21" s="120">
        <v>20000</v>
      </c>
      <c r="K21" s="148"/>
      <c r="L21" s="121"/>
      <c r="M21" s="140"/>
      <c r="N21" s="140" t="s">
        <v>1973</v>
      </c>
      <c r="O21" s="140"/>
      <c r="P21" s="139"/>
      <c r="Q21" s="139"/>
      <c r="R21" s="140"/>
      <c r="S21" s="123"/>
      <c r="T21" s="123"/>
      <c r="U21" s="123"/>
      <c r="V21" s="123"/>
      <c r="W21" s="123"/>
      <c r="X21" s="121"/>
      <c r="Y21" s="143">
        <v>2.09</v>
      </c>
      <c r="Z21" s="149">
        <f t="shared" si="0"/>
        <v>41800</v>
      </c>
      <c r="AA21" s="149">
        <f t="shared" si="1"/>
        <v>323950</v>
      </c>
      <c r="AB21" s="150"/>
      <c r="AC21" s="140"/>
    </row>
    <row r="22" s="131" customFormat="1" customHeight="1" spans="1:29">
      <c r="A22" s="138">
        <v>45478</v>
      </c>
      <c r="B22" s="147"/>
      <c r="C22" s="147"/>
      <c r="D22" s="147" t="s">
        <v>1970</v>
      </c>
      <c r="E22" s="147"/>
      <c r="F22" s="123"/>
      <c r="G22" s="123" t="s">
        <v>1958</v>
      </c>
      <c r="H22" s="123" t="s">
        <v>16</v>
      </c>
      <c r="I22" s="148"/>
      <c r="J22" s="120">
        <v>5000</v>
      </c>
      <c r="K22" s="148"/>
      <c r="L22" s="121"/>
      <c r="M22" s="140"/>
      <c r="N22" s="140" t="s">
        <v>1973</v>
      </c>
      <c r="O22" s="140"/>
      <c r="P22" s="139"/>
      <c r="Q22" s="139"/>
      <c r="R22" s="140"/>
      <c r="S22" s="123"/>
      <c r="T22" s="123"/>
      <c r="U22" s="123"/>
      <c r="V22" s="123"/>
      <c r="W22" s="123"/>
      <c r="X22" s="121"/>
      <c r="Y22" s="143">
        <f>3.16</f>
        <v>3.16</v>
      </c>
      <c r="Z22" s="149">
        <f t="shared" si="0"/>
        <v>15800</v>
      </c>
      <c r="AA22" s="149">
        <f t="shared" si="1"/>
        <v>122450</v>
      </c>
      <c r="AB22" s="150"/>
      <c r="AC22" s="140"/>
    </row>
    <row r="23" s="130" customFormat="1" customHeight="1" spans="1:29">
      <c r="A23" s="138">
        <v>45478</v>
      </c>
      <c r="B23" s="147"/>
      <c r="C23" s="147"/>
      <c r="D23" s="147" t="s">
        <v>1966</v>
      </c>
      <c r="E23" s="147"/>
      <c r="F23" s="123"/>
      <c r="G23" s="123" t="s">
        <v>1958</v>
      </c>
      <c r="H23" s="123" t="s">
        <v>8</v>
      </c>
      <c r="I23" s="148"/>
      <c r="J23" s="120">
        <v>9600</v>
      </c>
      <c r="K23" s="148"/>
      <c r="L23" s="121"/>
      <c r="M23" s="140"/>
      <c r="N23" s="140" t="s">
        <v>1975</v>
      </c>
      <c r="O23" s="140"/>
      <c r="P23" s="139"/>
      <c r="Q23" s="139"/>
      <c r="R23" s="140"/>
      <c r="S23" s="123"/>
      <c r="T23" s="123"/>
      <c r="U23" s="123"/>
      <c r="V23" s="123"/>
      <c r="W23" s="123"/>
      <c r="X23" s="121"/>
      <c r="Y23" s="149">
        <v>0.8</v>
      </c>
      <c r="Z23" s="149">
        <f t="shared" si="0"/>
        <v>7680</v>
      </c>
      <c r="AA23" s="149">
        <f t="shared" si="1"/>
        <v>59520</v>
      </c>
      <c r="AB23" s="150"/>
      <c r="AC23" s="140"/>
    </row>
    <row r="24" s="130" customFormat="1" customHeight="1" spans="1:29">
      <c r="A24" s="138">
        <v>45478</v>
      </c>
      <c r="B24" s="147"/>
      <c r="C24" s="147"/>
      <c r="D24" s="147" t="s">
        <v>1966</v>
      </c>
      <c r="E24" s="147"/>
      <c r="F24" s="123"/>
      <c r="G24" s="123" t="s">
        <v>1958</v>
      </c>
      <c r="H24" s="123" t="s">
        <v>14</v>
      </c>
      <c r="I24" s="148"/>
      <c r="J24" s="120">
        <v>7200</v>
      </c>
      <c r="K24" s="148"/>
      <c r="L24" s="121"/>
      <c r="M24" s="140"/>
      <c r="N24" s="140" t="s">
        <v>1975</v>
      </c>
      <c r="O24" s="140"/>
      <c r="P24" s="139"/>
      <c r="Q24" s="139"/>
      <c r="R24" s="140"/>
      <c r="S24" s="123"/>
      <c r="T24" s="123"/>
      <c r="U24" s="123"/>
      <c r="V24" s="123"/>
      <c r="W24" s="123"/>
      <c r="X24" s="121"/>
      <c r="Y24" s="143">
        <v>2.09</v>
      </c>
      <c r="Z24" s="149">
        <f t="shared" si="0"/>
        <v>15048</v>
      </c>
      <c r="AA24" s="149">
        <f t="shared" si="1"/>
        <v>116622</v>
      </c>
      <c r="AB24" s="150"/>
      <c r="AC24" s="140"/>
    </row>
    <row r="25" s="130" customFormat="1" customHeight="1" spans="1:29">
      <c r="A25" s="138">
        <v>45478</v>
      </c>
      <c r="B25" s="147"/>
      <c r="C25" s="147"/>
      <c r="D25" s="147" t="s">
        <v>1966</v>
      </c>
      <c r="E25" s="147"/>
      <c r="F25" s="123"/>
      <c r="G25" s="123" t="s">
        <v>1958</v>
      </c>
      <c r="H25" s="123" t="s">
        <v>16</v>
      </c>
      <c r="I25" s="148"/>
      <c r="J25" s="120">
        <v>3600</v>
      </c>
      <c r="K25" s="148"/>
      <c r="L25" s="121"/>
      <c r="M25" s="140"/>
      <c r="N25" s="140" t="s">
        <v>1975</v>
      </c>
      <c r="O25" s="140"/>
      <c r="P25" s="139"/>
      <c r="Q25" s="139"/>
      <c r="R25" s="140"/>
      <c r="S25" s="123"/>
      <c r="T25" s="123"/>
      <c r="U25" s="123"/>
      <c r="V25" s="123"/>
      <c r="W25" s="123"/>
      <c r="X25" s="121"/>
      <c r="Y25" s="143">
        <f>3.16</f>
        <v>3.16</v>
      </c>
      <c r="Z25" s="149">
        <f t="shared" si="0"/>
        <v>11376</v>
      </c>
      <c r="AA25" s="149">
        <f t="shared" si="1"/>
        <v>88164</v>
      </c>
      <c r="AB25" s="150"/>
      <c r="AC25" s="140"/>
    </row>
    <row r="26" s="130" customFormat="1" customHeight="1" spans="1:29">
      <c r="A26" s="138">
        <v>45478</v>
      </c>
      <c r="B26" s="147"/>
      <c r="C26" s="147"/>
      <c r="D26" s="147" t="s">
        <v>1976</v>
      </c>
      <c r="E26" s="147"/>
      <c r="F26" s="123"/>
      <c r="G26" s="123" t="s">
        <v>1958</v>
      </c>
      <c r="H26" s="123" t="s">
        <v>1971</v>
      </c>
      <c r="I26" s="148"/>
      <c r="J26" s="120">
        <v>4800</v>
      </c>
      <c r="K26" s="148"/>
      <c r="L26" s="121"/>
      <c r="M26" s="140"/>
      <c r="N26" s="140" t="s">
        <v>1975</v>
      </c>
      <c r="O26" s="140"/>
      <c r="P26" s="139"/>
      <c r="Q26" s="139"/>
      <c r="R26" s="140"/>
      <c r="S26" s="123"/>
      <c r="T26" s="123"/>
      <c r="U26" s="123"/>
      <c r="V26" s="123"/>
      <c r="W26" s="123"/>
      <c r="X26" s="121"/>
      <c r="Y26" s="143">
        <v>0.63</v>
      </c>
      <c r="Z26" s="149">
        <f t="shared" si="0"/>
        <v>3024</v>
      </c>
      <c r="AA26" s="149">
        <f t="shared" si="1"/>
        <v>23436</v>
      </c>
      <c r="AB26" s="150"/>
      <c r="AC26" s="140"/>
    </row>
    <row r="27" s="130" customFormat="1" customHeight="1" spans="1:29">
      <c r="A27" s="138">
        <v>45478</v>
      </c>
      <c r="B27" s="147"/>
      <c r="C27" s="147"/>
      <c r="D27" s="147" t="s">
        <v>1976</v>
      </c>
      <c r="E27" s="147"/>
      <c r="F27" s="123"/>
      <c r="G27" s="123" t="s">
        <v>1958</v>
      </c>
      <c r="H27" s="123" t="s">
        <v>8</v>
      </c>
      <c r="I27" s="148"/>
      <c r="J27" s="120">
        <v>4800</v>
      </c>
      <c r="K27" s="148"/>
      <c r="L27" s="121"/>
      <c r="M27" s="140"/>
      <c r="N27" s="140" t="s">
        <v>1975</v>
      </c>
      <c r="O27" s="140"/>
      <c r="P27" s="139"/>
      <c r="Q27" s="139"/>
      <c r="R27" s="140"/>
      <c r="S27" s="123"/>
      <c r="T27" s="123"/>
      <c r="U27" s="123"/>
      <c r="V27" s="123"/>
      <c r="W27" s="123"/>
      <c r="X27" s="121"/>
      <c r="Y27" s="149">
        <v>0.8</v>
      </c>
      <c r="Z27" s="149">
        <f t="shared" si="0"/>
        <v>3840</v>
      </c>
      <c r="AA27" s="149">
        <f t="shared" si="1"/>
        <v>29760</v>
      </c>
      <c r="AB27" s="151"/>
      <c r="AC27" s="140"/>
    </row>
    <row r="28" s="130" customFormat="1" customHeight="1" spans="1:29">
      <c r="A28" s="138">
        <v>45478</v>
      </c>
      <c r="B28" s="147"/>
      <c r="C28" s="147"/>
      <c r="D28" s="147" t="s">
        <v>1976</v>
      </c>
      <c r="E28" s="147"/>
      <c r="F28" s="123"/>
      <c r="G28" s="123" t="s">
        <v>1958</v>
      </c>
      <c r="H28" s="123" t="s">
        <v>14</v>
      </c>
      <c r="I28" s="148"/>
      <c r="J28" s="120">
        <v>2400</v>
      </c>
      <c r="K28" s="148"/>
      <c r="L28" s="121"/>
      <c r="M28" s="140"/>
      <c r="N28" s="140" t="s">
        <v>1975</v>
      </c>
      <c r="O28" s="140"/>
      <c r="P28" s="139"/>
      <c r="Q28" s="139"/>
      <c r="R28" s="140"/>
      <c r="S28" s="123"/>
      <c r="T28" s="123"/>
      <c r="U28" s="123"/>
      <c r="V28" s="123"/>
      <c r="W28" s="123"/>
      <c r="X28" s="121"/>
      <c r="Y28" s="143">
        <v>2.09</v>
      </c>
      <c r="Z28" s="149">
        <f t="shared" si="0"/>
        <v>5016</v>
      </c>
      <c r="AA28" s="149">
        <f t="shared" si="1"/>
        <v>38874</v>
      </c>
      <c r="AB28" s="150"/>
      <c r="AC28" s="140"/>
    </row>
    <row r="29" s="130" customFormat="1" customHeight="1" spans="1:29">
      <c r="A29" s="138">
        <v>45478</v>
      </c>
      <c r="B29" s="147"/>
      <c r="C29" s="147"/>
      <c r="D29" s="147" t="s">
        <v>1976</v>
      </c>
      <c r="E29" s="147"/>
      <c r="F29" s="123"/>
      <c r="G29" s="123" t="s">
        <v>1958</v>
      </c>
      <c r="H29" s="123" t="s">
        <v>16</v>
      </c>
      <c r="I29" s="148"/>
      <c r="J29" s="120">
        <v>840</v>
      </c>
      <c r="K29" s="148"/>
      <c r="L29" s="121"/>
      <c r="M29" s="140"/>
      <c r="N29" s="140" t="s">
        <v>1975</v>
      </c>
      <c r="O29" s="140"/>
      <c r="P29" s="139"/>
      <c r="Q29" s="139"/>
      <c r="R29" s="140"/>
      <c r="S29" s="123"/>
      <c r="T29" s="123"/>
      <c r="U29" s="123"/>
      <c r="V29" s="123"/>
      <c r="W29" s="123"/>
      <c r="X29" s="121"/>
      <c r="Y29" s="143">
        <f>3.16</f>
        <v>3.16</v>
      </c>
      <c r="Z29" s="149">
        <f t="shared" si="0"/>
        <v>2654.4</v>
      </c>
      <c r="AA29" s="149">
        <f t="shared" si="1"/>
        <v>20571.6</v>
      </c>
      <c r="AB29" s="151"/>
      <c r="AC29" s="140"/>
    </row>
    <row r="30" s="130" customFormat="1" customHeight="1" spans="1:29">
      <c r="A30" s="138">
        <v>45478</v>
      </c>
      <c r="B30" s="147"/>
      <c r="C30" s="147"/>
      <c r="D30" s="147" t="s">
        <v>1977</v>
      </c>
      <c r="E30" s="147"/>
      <c r="F30" s="123"/>
      <c r="G30" s="123" t="s">
        <v>1958</v>
      </c>
      <c r="H30" s="123" t="s">
        <v>8</v>
      </c>
      <c r="I30" s="148"/>
      <c r="J30" s="120">
        <v>4800</v>
      </c>
      <c r="K30" s="148"/>
      <c r="L30" s="121"/>
      <c r="M30" s="140"/>
      <c r="N30" s="140" t="s">
        <v>1975</v>
      </c>
      <c r="O30" s="140"/>
      <c r="P30" s="139"/>
      <c r="Q30" s="139"/>
      <c r="R30" s="140"/>
      <c r="S30" s="123"/>
      <c r="T30" s="123"/>
      <c r="U30" s="123"/>
      <c r="V30" s="123"/>
      <c r="W30" s="123"/>
      <c r="X30" s="121"/>
      <c r="Y30" s="149">
        <v>0.8</v>
      </c>
      <c r="Z30" s="149">
        <f t="shared" si="0"/>
        <v>3840</v>
      </c>
      <c r="AA30" s="149">
        <f t="shared" si="1"/>
        <v>29760</v>
      </c>
      <c r="AB30" s="151"/>
      <c r="AC30" s="140"/>
    </row>
    <row r="31" s="130" customFormat="1" customHeight="1" spans="1:29">
      <c r="A31" s="138">
        <v>45478</v>
      </c>
      <c r="B31" s="147"/>
      <c r="C31" s="147"/>
      <c r="D31" s="147" t="s">
        <v>1977</v>
      </c>
      <c r="E31" s="147"/>
      <c r="F31" s="123"/>
      <c r="G31" s="123" t="s">
        <v>1958</v>
      </c>
      <c r="H31" s="123" t="s">
        <v>14</v>
      </c>
      <c r="I31" s="148"/>
      <c r="J31" s="120">
        <v>2400</v>
      </c>
      <c r="K31" s="148"/>
      <c r="L31" s="121"/>
      <c r="M31" s="140"/>
      <c r="N31" s="140" t="s">
        <v>1975</v>
      </c>
      <c r="O31" s="140"/>
      <c r="P31" s="139"/>
      <c r="Q31" s="139"/>
      <c r="R31" s="140"/>
      <c r="S31" s="123"/>
      <c r="T31" s="123"/>
      <c r="U31" s="123"/>
      <c r="V31" s="123"/>
      <c r="W31" s="123"/>
      <c r="X31" s="121"/>
      <c r="Y31" s="143">
        <v>2.09</v>
      </c>
      <c r="Z31" s="149">
        <f t="shared" si="0"/>
        <v>5016</v>
      </c>
      <c r="AA31" s="149">
        <f t="shared" si="1"/>
        <v>38874</v>
      </c>
      <c r="AB31" s="151"/>
      <c r="AC31" s="140"/>
    </row>
    <row r="32" s="130" customFormat="1" customHeight="1" spans="1:29">
      <c r="A32" s="138">
        <v>45478</v>
      </c>
      <c r="B32" s="147"/>
      <c r="C32" s="147"/>
      <c r="D32" s="147" t="s">
        <v>1977</v>
      </c>
      <c r="E32" s="147"/>
      <c r="F32" s="123"/>
      <c r="G32" s="123" t="s">
        <v>1958</v>
      </c>
      <c r="H32" s="123" t="s">
        <v>16</v>
      </c>
      <c r="I32" s="148"/>
      <c r="J32" s="120">
        <v>1000</v>
      </c>
      <c r="K32" s="148"/>
      <c r="L32" s="121"/>
      <c r="M32" s="140"/>
      <c r="N32" s="140" t="s">
        <v>1975</v>
      </c>
      <c r="O32" s="140"/>
      <c r="P32" s="139"/>
      <c r="Q32" s="139"/>
      <c r="R32" s="140"/>
      <c r="S32" s="123"/>
      <c r="T32" s="123"/>
      <c r="U32" s="123"/>
      <c r="V32" s="123"/>
      <c r="W32" s="123"/>
      <c r="X32" s="121"/>
      <c r="Y32" s="143">
        <f>3.16</f>
        <v>3.16</v>
      </c>
      <c r="Z32" s="149">
        <f t="shared" si="0"/>
        <v>3160</v>
      </c>
      <c r="AA32" s="149">
        <f t="shared" si="1"/>
        <v>24490</v>
      </c>
      <c r="AB32" s="150"/>
      <c r="AC32" s="140"/>
    </row>
    <row r="33" s="130" customFormat="1" customHeight="1" spans="1:29">
      <c r="A33" s="138">
        <v>45478</v>
      </c>
      <c r="B33" s="147"/>
      <c r="C33" s="147"/>
      <c r="D33" s="147" t="s">
        <v>1968</v>
      </c>
      <c r="E33" s="147"/>
      <c r="F33" s="123"/>
      <c r="G33" s="123" t="s">
        <v>1958</v>
      </c>
      <c r="H33" s="123" t="s">
        <v>19</v>
      </c>
      <c r="I33" s="148"/>
      <c r="J33" s="120">
        <v>18000</v>
      </c>
      <c r="K33" s="148"/>
      <c r="L33" s="121"/>
      <c r="M33" s="140"/>
      <c r="N33" s="140" t="s">
        <v>1975</v>
      </c>
      <c r="O33" s="140"/>
      <c r="P33" s="139"/>
      <c r="Q33" s="139"/>
      <c r="R33" s="140"/>
      <c r="S33" s="123"/>
      <c r="T33" s="123"/>
      <c r="U33" s="123"/>
      <c r="V33" s="123"/>
      <c r="W33" s="123"/>
      <c r="X33" s="121"/>
      <c r="Y33" s="143">
        <v>0.85</v>
      </c>
      <c r="Z33" s="149">
        <f t="shared" si="0"/>
        <v>15300</v>
      </c>
      <c r="AA33" s="149">
        <f t="shared" si="1"/>
        <v>118575</v>
      </c>
      <c r="AB33" s="150"/>
      <c r="AC33" s="140"/>
    </row>
    <row r="34" s="130" customFormat="1" customHeight="1" spans="1:29">
      <c r="A34" s="138">
        <v>45478</v>
      </c>
      <c r="B34" s="147"/>
      <c r="C34" s="147"/>
      <c r="D34" s="147" t="s">
        <v>1968</v>
      </c>
      <c r="E34" s="147"/>
      <c r="F34" s="123"/>
      <c r="G34" s="123" t="s">
        <v>1958</v>
      </c>
      <c r="H34" s="123" t="s">
        <v>11</v>
      </c>
      <c r="I34" s="148"/>
      <c r="J34" s="120">
        <v>18000</v>
      </c>
      <c r="K34" s="148"/>
      <c r="L34" s="121"/>
      <c r="M34" s="140"/>
      <c r="N34" s="140" t="s">
        <v>1975</v>
      </c>
      <c r="O34" s="140"/>
      <c r="P34" s="139"/>
      <c r="Q34" s="139"/>
      <c r="R34" s="140"/>
      <c r="S34" s="123"/>
      <c r="T34" s="123"/>
      <c r="U34" s="123"/>
      <c r="V34" s="123"/>
      <c r="W34" s="123"/>
      <c r="X34" s="121"/>
      <c r="Y34" s="143">
        <v>0.87</v>
      </c>
      <c r="Z34" s="149">
        <f t="shared" si="0"/>
        <v>15660</v>
      </c>
      <c r="AA34" s="149">
        <f t="shared" si="1"/>
        <v>121365</v>
      </c>
      <c r="AB34" s="150"/>
      <c r="AC34" s="140"/>
    </row>
    <row r="35" s="130" customFormat="1" customHeight="1" spans="1:29">
      <c r="A35" s="138">
        <v>45478</v>
      </c>
      <c r="B35" s="147"/>
      <c r="C35" s="147"/>
      <c r="D35" s="147" t="s">
        <v>1968</v>
      </c>
      <c r="E35" s="147"/>
      <c r="F35" s="123"/>
      <c r="G35" s="123" t="s">
        <v>1958</v>
      </c>
      <c r="H35" s="123" t="s">
        <v>14</v>
      </c>
      <c r="I35" s="148"/>
      <c r="J35" s="120">
        <v>24000</v>
      </c>
      <c r="K35" s="148"/>
      <c r="L35" s="121"/>
      <c r="M35" s="140"/>
      <c r="N35" s="140" t="s">
        <v>1975</v>
      </c>
      <c r="O35" s="140"/>
      <c r="P35" s="139"/>
      <c r="Q35" s="139"/>
      <c r="R35" s="140"/>
      <c r="S35" s="123"/>
      <c r="T35" s="123"/>
      <c r="U35" s="123"/>
      <c r="V35" s="123"/>
      <c r="W35" s="123"/>
      <c r="X35" s="121"/>
      <c r="Y35" s="143">
        <v>2.09</v>
      </c>
      <c r="Z35" s="149">
        <f t="shared" si="0"/>
        <v>50160</v>
      </c>
      <c r="AA35" s="149">
        <f t="shared" si="1"/>
        <v>388740</v>
      </c>
      <c r="AB35" s="150"/>
      <c r="AC35" s="140"/>
    </row>
    <row r="36" s="130" customFormat="1" customHeight="1" spans="1:29">
      <c r="A36" s="138">
        <v>45478</v>
      </c>
      <c r="B36" s="147"/>
      <c r="C36" s="147"/>
      <c r="D36" s="147" t="s">
        <v>1978</v>
      </c>
      <c r="E36" s="147"/>
      <c r="F36" s="123"/>
      <c r="G36" s="123" t="s">
        <v>1958</v>
      </c>
      <c r="H36" s="123" t="s">
        <v>8</v>
      </c>
      <c r="I36" s="148"/>
      <c r="J36" s="120">
        <v>18000</v>
      </c>
      <c r="K36" s="148"/>
      <c r="L36" s="121"/>
      <c r="M36" s="140"/>
      <c r="N36" s="140" t="s">
        <v>1975</v>
      </c>
      <c r="O36" s="140"/>
      <c r="P36" s="139"/>
      <c r="Q36" s="139"/>
      <c r="R36" s="140"/>
      <c r="S36" s="123"/>
      <c r="T36" s="123"/>
      <c r="U36" s="123"/>
      <c r="V36" s="123"/>
      <c r="W36" s="73"/>
      <c r="X36" s="121"/>
      <c r="Y36" s="149">
        <v>0.8</v>
      </c>
      <c r="Z36" s="149">
        <f t="shared" si="0"/>
        <v>14400</v>
      </c>
      <c r="AA36" s="149">
        <f t="shared" si="1"/>
        <v>111600</v>
      </c>
      <c r="AB36" s="150"/>
      <c r="AC36" s="140"/>
    </row>
    <row r="37" s="130" customFormat="1" customHeight="1" spans="1:29">
      <c r="A37" s="138">
        <v>45478</v>
      </c>
      <c r="B37" s="147"/>
      <c r="C37" s="147"/>
      <c r="D37" s="147" t="s">
        <v>1978</v>
      </c>
      <c r="E37" s="147"/>
      <c r="F37" s="123"/>
      <c r="G37" s="123" t="s">
        <v>1958</v>
      </c>
      <c r="H37" s="123" t="s">
        <v>14</v>
      </c>
      <c r="I37" s="148"/>
      <c r="J37" s="120">
        <v>12000</v>
      </c>
      <c r="K37" s="148"/>
      <c r="L37" s="121"/>
      <c r="M37" s="140"/>
      <c r="N37" s="140" t="s">
        <v>1975</v>
      </c>
      <c r="O37" s="140"/>
      <c r="P37" s="139"/>
      <c r="Q37" s="139"/>
      <c r="R37" s="140"/>
      <c r="S37" s="123"/>
      <c r="T37" s="123"/>
      <c r="U37" s="123"/>
      <c r="V37" s="123"/>
      <c r="W37" s="123"/>
      <c r="X37" s="121"/>
      <c r="Y37" s="143">
        <v>2.09</v>
      </c>
      <c r="Z37" s="149">
        <f t="shared" si="0"/>
        <v>25080</v>
      </c>
      <c r="AA37" s="149">
        <f t="shared" si="1"/>
        <v>194370</v>
      </c>
      <c r="AB37" s="150"/>
      <c r="AC37" s="140"/>
    </row>
    <row r="38" s="130" customFormat="1" customHeight="1" spans="1:29">
      <c r="A38" s="138">
        <v>45478</v>
      </c>
      <c r="B38" s="147"/>
      <c r="C38" s="147"/>
      <c r="D38" s="147" t="s">
        <v>1978</v>
      </c>
      <c r="E38" s="147"/>
      <c r="F38" s="123"/>
      <c r="G38" s="123" t="s">
        <v>1958</v>
      </c>
      <c r="H38" s="123" t="s">
        <v>16</v>
      </c>
      <c r="I38" s="148"/>
      <c r="J38" s="120">
        <v>9600</v>
      </c>
      <c r="K38" s="148"/>
      <c r="L38" s="121"/>
      <c r="M38" s="140"/>
      <c r="N38" s="140" t="s">
        <v>1975</v>
      </c>
      <c r="O38" s="140"/>
      <c r="P38" s="139"/>
      <c r="Q38" s="139"/>
      <c r="R38" s="140"/>
      <c r="S38" s="123"/>
      <c r="T38" s="123"/>
      <c r="U38" s="123"/>
      <c r="V38" s="123"/>
      <c r="W38" s="123"/>
      <c r="X38" s="121"/>
      <c r="Y38" s="143">
        <f>3.16</f>
        <v>3.16</v>
      </c>
      <c r="Z38" s="149">
        <f t="shared" si="0"/>
        <v>30336</v>
      </c>
      <c r="AA38" s="149">
        <f t="shared" si="1"/>
        <v>235104</v>
      </c>
      <c r="AB38" s="150"/>
      <c r="AC38" s="140"/>
    </row>
    <row r="39" s="130" customFormat="1" customHeight="1" spans="1:29">
      <c r="A39" s="138">
        <v>45478</v>
      </c>
      <c r="B39" s="147"/>
      <c r="C39" s="147"/>
      <c r="D39" s="147" t="s">
        <v>1979</v>
      </c>
      <c r="E39" s="147"/>
      <c r="F39" s="123"/>
      <c r="G39" s="123" t="s">
        <v>1958</v>
      </c>
      <c r="H39" s="123" t="s">
        <v>8</v>
      </c>
      <c r="I39" s="148"/>
      <c r="J39" s="120">
        <v>2400</v>
      </c>
      <c r="K39" s="148"/>
      <c r="L39" s="121"/>
      <c r="M39" s="140"/>
      <c r="N39" s="140" t="s">
        <v>1975</v>
      </c>
      <c r="O39" s="140"/>
      <c r="P39" s="139"/>
      <c r="Q39" s="139"/>
      <c r="R39" s="140"/>
      <c r="S39" s="123"/>
      <c r="T39" s="123"/>
      <c r="U39" s="123"/>
      <c r="V39" s="123"/>
      <c r="W39" s="123"/>
      <c r="X39" s="121"/>
      <c r="Y39" s="149">
        <v>0.8</v>
      </c>
      <c r="Z39" s="149">
        <f t="shared" si="0"/>
        <v>1920</v>
      </c>
      <c r="AA39" s="149">
        <f t="shared" si="1"/>
        <v>14880</v>
      </c>
      <c r="AB39" s="150"/>
      <c r="AC39" s="140"/>
    </row>
    <row r="40" s="130" customFormat="1" customHeight="1" spans="1:29">
      <c r="A40" s="138">
        <v>45478</v>
      </c>
      <c r="B40" s="147"/>
      <c r="C40" s="147"/>
      <c r="D40" s="147" t="s">
        <v>1979</v>
      </c>
      <c r="E40" s="147"/>
      <c r="F40" s="123"/>
      <c r="G40" s="123" t="s">
        <v>1958</v>
      </c>
      <c r="H40" s="123" t="s">
        <v>14</v>
      </c>
      <c r="I40" s="148"/>
      <c r="J40" s="120">
        <v>3000</v>
      </c>
      <c r="K40" s="148"/>
      <c r="L40" s="121"/>
      <c r="M40" s="140"/>
      <c r="N40" s="140" t="s">
        <v>1975</v>
      </c>
      <c r="O40" s="140"/>
      <c r="P40" s="139"/>
      <c r="Q40" s="139"/>
      <c r="R40" s="140"/>
      <c r="S40" s="123"/>
      <c r="T40" s="123"/>
      <c r="U40" s="123"/>
      <c r="V40" s="123"/>
      <c r="W40" s="152"/>
      <c r="X40" s="121"/>
      <c r="Y40" s="143">
        <v>2.09</v>
      </c>
      <c r="Z40" s="149">
        <f t="shared" si="0"/>
        <v>6270</v>
      </c>
      <c r="AA40" s="149">
        <f t="shared" si="1"/>
        <v>48592.5</v>
      </c>
      <c r="AB40" s="150"/>
      <c r="AC40" s="140"/>
    </row>
    <row r="41" s="130" customFormat="1" customHeight="1" spans="1:29">
      <c r="A41" s="138">
        <v>45478</v>
      </c>
      <c r="B41" s="147"/>
      <c r="C41" s="147"/>
      <c r="D41" s="147" t="s">
        <v>1979</v>
      </c>
      <c r="E41" s="147"/>
      <c r="F41" s="123"/>
      <c r="G41" s="123" t="s">
        <v>1958</v>
      </c>
      <c r="H41" s="123" t="s">
        <v>16</v>
      </c>
      <c r="I41" s="148"/>
      <c r="J41" s="120">
        <v>1800</v>
      </c>
      <c r="K41" s="148"/>
      <c r="L41" s="121"/>
      <c r="M41" s="140"/>
      <c r="N41" s="140" t="s">
        <v>1975</v>
      </c>
      <c r="O41" s="140"/>
      <c r="P41" s="139"/>
      <c r="Q41" s="139"/>
      <c r="R41" s="140"/>
      <c r="S41" s="123"/>
      <c r="T41" s="123"/>
      <c r="U41" s="123"/>
      <c r="V41" s="123"/>
      <c r="W41" s="152"/>
      <c r="X41" s="121"/>
      <c r="Y41" s="143">
        <f>3.16</f>
        <v>3.16</v>
      </c>
      <c r="Z41" s="149">
        <f t="shared" si="0"/>
        <v>5688</v>
      </c>
      <c r="AA41" s="149">
        <f t="shared" si="1"/>
        <v>44082</v>
      </c>
      <c r="AB41" s="150"/>
      <c r="AC41" s="140"/>
    </row>
    <row r="42" s="130" customFormat="1" customHeight="1" spans="1:29">
      <c r="A42" s="138">
        <v>45478</v>
      </c>
      <c r="B42" s="147"/>
      <c r="C42" s="147"/>
      <c r="D42" s="147" t="s">
        <v>1969</v>
      </c>
      <c r="E42" s="147"/>
      <c r="F42" s="123"/>
      <c r="G42" s="123" t="s">
        <v>1958</v>
      </c>
      <c r="H42" s="123" t="s">
        <v>10</v>
      </c>
      <c r="I42" s="148"/>
      <c r="J42" s="120">
        <v>14400</v>
      </c>
      <c r="K42" s="148"/>
      <c r="L42" s="121"/>
      <c r="M42" s="140"/>
      <c r="N42" s="140" t="s">
        <v>1975</v>
      </c>
      <c r="O42" s="140"/>
      <c r="P42" s="139"/>
      <c r="Q42" s="139"/>
      <c r="R42" s="140"/>
      <c r="S42" s="123"/>
      <c r="T42" s="123"/>
      <c r="U42" s="123"/>
      <c r="V42" s="123"/>
      <c r="W42" s="152"/>
      <c r="X42" s="121"/>
      <c r="Y42" s="143">
        <v>0.88</v>
      </c>
      <c r="Z42" s="149">
        <f t="shared" si="0"/>
        <v>12672</v>
      </c>
      <c r="AA42" s="149">
        <f t="shared" si="1"/>
        <v>98208</v>
      </c>
      <c r="AB42" s="150"/>
      <c r="AC42" s="140"/>
    </row>
    <row r="43" s="130" customFormat="1" customHeight="1" spans="1:29">
      <c r="A43" s="138">
        <v>45478</v>
      </c>
      <c r="B43" s="147"/>
      <c r="C43" s="147"/>
      <c r="D43" s="147" t="s">
        <v>1969</v>
      </c>
      <c r="E43" s="147"/>
      <c r="F43" s="123"/>
      <c r="G43" s="123" t="s">
        <v>1958</v>
      </c>
      <c r="H43" s="123" t="s">
        <v>14</v>
      </c>
      <c r="I43" s="148"/>
      <c r="J43" s="120">
        <v>7200</v>
      </c>
      <c r="K43" s="148"/>
      <c r="L43" s="121"/>
      <c r="M43" s="140"/>
      <c r="N43" s="140" t="s">
        <v>1975</v>
      </c>
      <c r="O43" s="140"/>
      <c r="P43" s="139"/>
      <c r="Q43" s="139"/>
      <c r="R43" s="140"/>
      <c r="S43" s="123"/>
      <c r="T43" s="123"/>
      <c r="U43" s="123"/>
      <c r="V43" s="123"/>
      <c r="W43" s="152"/>
      <c r="X43" s="121"/>
      <c r="Y43" s="143">
        <v>2.09</v>
      </c>
      <c r="Z43" s="149">
        <f t="shared" si="0"/>
        <v>15048</v>
      </c>
      <c r="AA43" s="149">
        <f t="shared" si="1"/>
        <v>116622</v>
      </c>
      <c r="AB43" s="150"/>
      <c r="AC43" s="140"/>
    </row>
    <row r="44" s="130" customFormat="1" customHeight="1" spans="1:29">
      <c r="A44" s="138">
        <v>45478</v>
      </c>
      <c r="B44" s="147"/>
      <c r="C44" s="147"/>
      <c r="D44" s="147" t="s">
        <v>1969</v>
      </c>
      <c r="E44" s="147"/>
      <c r="F44" s="123"/>
      <c r="G44" s="123" t="s">
        <v>1958</v>
      </c>
      <c r="H44" s="123" t="s">
        <v>16</v>
      </c>
      <c r="I44" s="148"/>
      <c r="J44" s="120">
        <v>4800</v>
      </c>
      <c r="K44" s="148"/>
      <c r="L44" s="121"/>
      <c r="M44" s="140"/>
      <c r="N44" s="140" t="s">
        <v>1975</v>
      </c>
      <c r="O44" s="140"/>
      <c r="P44" s="139"/>
      <c r="Q44" s="139"/>
      <c r="R44" s="140"/>
      <c r="S44" s="123"/>
      <c r="T44" s="123"/>
      <c r="U44" s="123"/>
      <c r="V44" s="123"/>
      <c r="W44" s="152"/>
      <c r="X44" s="121"/>
      <c r="Y44" s="143">
        <f>3.16</f>
        <v>3.16</v>
      </c>
      <c r="Z44" s="149">
        <f t="shared" si="0"/>
        <v>15168</v>
      </c>
      <c r="AA44" s="149">
        <f t="shared" si="1"/>
        <v>117552</v>
      </c>
      <c r="AB44" s="150"/>
      <c r="AC44" s="140"/>
    </row>
    <row r="45" s="130" customFormat="1" customHeight="1" spans="1:29">
      <c r="A45" s="138">
        <v>45478</v>
      </c>
      <c r="B45" s="147"/>
      <c r="C45" s="147"/>
      <c r="D45" s="147" t="s">
        <v>1970</v>
      </c>
      <c r="E45" s="147"/>
      <c r="F45" s="123"/>
      <c r="G45" s="123" t="s">
        <v>1958</v>
      </c>
      <c r="H45" s="123" t="s">
        <v>1971</v>
      </c>
      <c r="I45" s="148"/>
      <c r="J45" s="120">
        <v>80000</v>
      </c>
      <c r="K45" s="148"/>
      <c r="L45" s="121"/>
      <c r="M45" s="140"/>
      <c r="N45" s="140" t="s">
        <v>1975</v>
      </c>
      <c r="O45" s="140"/>
      <c r="P45" s="139"/>
      <c r="Q45" s="139"/>
      <c r="R45" s="140"/>
      <c r="S45" s="123"/>
      <c r="T45" s="123"/>
      <c r="U45" s="123"/>
      <c r="V45" s="123"/>
      <c r="W45" s="152"/>
      <c r="X45" s="121"/>
      <c r="Y45" s="143">
        <v>0.63</v>
      </c>
      <c r="Z45" s="149">
        <f t="shared" si="0"/>
        <v>50400</v>
      </c>
      <c r="AA45" s="149">
        <f t="shared" si="1"/>
        <v>390600</v>
      </c>
      <c r="AB45" s="150"/>
      <c r="AC45" s="140"/>
    </row>
    <row r="46" s="130" customFormat="1" customHeight="1" spans="1:29">
      <c r="A46" s="138">
        <v>45478</v>
      </c>
      <c r="B46" s="147"/>
      <c r="C46" s="147"/>
      <c r="D46" s="147" t="s">
        <v>1970</v>
      </c>
      <c r="E46" s="147"/>
      <c r="F46" s="123"/>
      <c r="G46" s="123" t="s">
        <v>1958</v>
      </c>
      <c r="H46" s="123" t="s">
        <v>11</v>
      </c>
      <c r="I46" s="148"/>
      <c r="J46" s="120">
        <v>40000</v>
      </c>
      <c r="K46" s="148"/>
      <c r="L46" s="121"/>
      <c r="M46" s="140"/>
      <c r="N46" s="140" t="s">
        <v>1975</v>
      </c>
      <c r="O46" s="140"/>
      <c r="P46" s="139"/>
      <c r="Q46" s="139"/>
      <c r="R46" s="140"/>
      <c r="S46" s="123"/>
      <c r="T46" s="123"/>
      <c r="U46" s="123"/>
      <c r="V46" s="123"/>
      <c r="W46" s="152"/>
      <c r="X46" s="121"/>
      <c r="Y46" s="143">
        <v>0.87</v>
      </c>
      <c r="Z46" s="149">
        <f t="shared" si="0"/>
        <v>34800</v>
      </c>
      <c r="AA46" s="149">
        <f t="shared" si="1"/>
        <v>269700</v>
      </c>
      <c r="AB46" s="150"/>
      <c r="AC46" s="140"/>
    </row>
    <row r="47" s="130" customFormat="1" customHeight="1" spans="1:29">
      <c r="A47" s="138">
        <v>45478</v>
      </c>
      <c r="B47" s="147"/>
      <c r="C47" s="147"/>
      <c r="D47" s="147" t="s">
        <v>1970</v>
      </c>
      <c r="E47" s="147"/>
      <c r="F47" s="123"/>
      <c r="G47" s="123" t="s">
        <v>1958</v>
      </c>
      <c r="H47" s="123" t="s">
        <v>14</v>
      </c>
      <c r="I47" s="148"/>
      <c r="J47" s="120">
        <v>30000</v>
      </c>
      <c r="K47" s="148"/>
      <c r="L47" s="121"/>
      <c r="M47" s="140"/>
      <c r="N47" s="140" t="s">
        <v>1975</v>
      </c>
      <c r="O47" s="140"/>
      <c r="P47" s="139"/>
      <c r="Q47" s="139"/>
      <c r="R47" s="140"/>
      <c r="S47" s="123"/>
      <c r="T47" s="123"/>
      <c r="U47" s="123"/>
      <c r="V47" s="123"/>
      <c r="W47" s="152"/>
      <c r="X47" s="121"/>
      <c r="Y47" s="143">
        <v>2.09</v>
      </c>
      <c r="Z47" s="149">
        <f t="shared" si="0"/>
        <v>62700</v>
      </c>
      <c r="AA47" s="149">
        <f t="shared" si="1"/>
        <v>485925</v>
      </c>
      <c r="AB47" s="150"/>
      <c r="AC47" s="140"/>
    </row>
    <row r="48" s="130" customFormat="1" customHeight="1" spans="1:29">
      <c r="A48" s="138">
        <v>45478</v>
      </c>
      <c r="B48" s="147"/>
      <c r="C48" s="147"/>
      <c r="D48" s="147" t="s">
        <v>1970</v>
      </c>
      <c r="E48" s="147"/>
      <c r="F48" s="123"/>
      <c r="G48" s="123" t="s">
        <v>1958</v>
      </c>
      <c r="H48" s="123" t="s">
        <v>16</v>
      </c>
      <c r="I48" s="148"/>
      <c r="J48" s="120">
        <v>5000</v>
      </c>
      <c r="K48" s="148"/>
      <c r="L48" s="121"/>
      <c r="M48" s="140"/>
      <c r="N48" s="140" t="s">
        <v>1975</v>
      </c>
      <c r="O48" s="140"/>
      <c r="P48" s="139"/>
      <c r="Q48" s="139"/>
      <c r="R48" s="140"/>
      <c r="S48" s="123"/>
      <c r="T48" s="123"/>
      <c r="U48" s="123"/>
      <c r="V48" s="123"/>
      <c r="W48" s="152"/>
      <c r="X48" s="121"/>
      <c r="Y48" s="143">
        <f>3.16</f>
        <v>3.16</v>
      </c>
      <c r="Z48" s="149">
        <f t="shared" si="0"/>
        <v>15800</v>
      </c>
      <c r="AA48" s="149">
        <f t="shared" si="1"/>
        <v>122450</v>
      </c>
      <c r="AB48" s="150"/>
      <c r="AC48" s="140"/>
    </row>
    <row r="49" s="130" customFormat="1" customHeight="1" spans="1:29">
      <c r="A49" s="138">
        <v>45478</v>
      </c>
      <c r="B49" s="147"/>
      <c r="C49" s="147"/>
      <c r="D49" s="147" t="s">
        <v>1980</v>
      </c>
      <c r="E49" s="147"/>
      <c r="F49" s="123"/>
      <c r="G49" s="123" t="s">
        <v>1958</v>
      </c>
      <c r="H49" s="123" t="s">
        <v>10</v>
      </c>
      <c r="I49" s="148"/>
      <c r="J49" s="120">
        <v>48000</v>
      </c>
      <c r="K49" s="148"/>
      <c r="L49" s="121"/>
      <c r="M49" s="140"/>
      <c r="N49" s="140" t="s">
        <v>1981</v>
      </c>
      <c r="O49" s="140"/>
      <c r="P49" s="139"/>
      <c r="Q49" s="139"/>
      <c r="R49" s="140"/>
      <c r="S49" s="123"/>
      <c r="T49" s="123"/>
      <c r="U49" s="123"/>
      <c r="V49" s="123"/>
      <c r="W49" s="152"/>
      <c r="X49" s="121"/>
      <c r="Y49" s="143">
        <v>0.88</v>
      </c>
      <c r="Z49" s="149">
        <f t="shared" si="0"/>
        <v>42240</v>
      </c>
      <c r="AA49" s="149">
        <f t="shared" si="1"/>
        <v>327360</v>
      </c>
      <c r="AB49" s="150"/>
      <c r="AC49" s="140"/>
    </row>
    <row r="50" s="130" customFormat="1" customHeight="1" spans="1:29">
      <c r="A50" s="138">
        <v>45478</v>
      </c>
      <c r="B50" s="147"/>
      <c r="C50" s="147"/>
      <c r="D50" s="147" t="s">
        <v>1980</v>
      </c>
      <c r="E50" s="147"/>
      <c r="F50" s="123"/>
      <c r="G50" s="123" t="s">
        <v>1958</v>
      </c>
      <c r="H50" s="123" t="s">
        <v>14</v>
      </c>
      <c r="I50" s="148"/>
      <c r="J50" s="120">
        <v>18000</v>
      </c>
      <c r="K50" s="148"/>
      <c r="L50" s="121"/>
      <c r="M50" s="140"/>
      <c r="N50" s="140" t="s">
        <v>1981</v>
      </c>
      <c r="O50" s="140"/>
      <c r="P50" s="139"/>
      <c r="Q50" s="139"/>
      <c r="R50" s="140"/>
      <c r="S50" s="123"/>
      <c r="T50" s="123"/>
      <c r="U50" s="123"/>
      <c r="V50" s="123"/>
      <c r="W50" s="152"/>
      <c r="X50" s="121"/>
      <c r="Y50" s="143">
        <v>2.09</v>
      </c>
      <c r="Z50" s="149">
        <f t="shared" si="0"/>
        <v>37620</v>
      </c>
      <c r="AA50" s="149">
        <f t="shared" si="1"/>
        <v>291555</v>
      </c>
      <c r="AB50" s="150"/>
      <c r="AC50" s="140"/>
    </row>
    <row r="51" s="130" customFormat="1" customHeight="1" spans="1:29">
      <c r="A51" s="138">
        <v>45478</v>
      </c>
      <c r="B51" s="147"/>
      <c r="C51" s="147"/>
      <c r="D51" s="147" t="s">
        <v>1980</v>
      </c>
      <c r="E51" s="147"/>
      <c r="F51" s="123"/>
      <c r="G51" s="123" t="s">
        <v>1958</v>
      </c>
      <c r="H51" s="123" t="s">
        <v>16</v>
      </c>
      <c r="I51" s="148"/>
      <c r="J51" s="120">
        <v>12000</v>
      </c>
      <c r="K51" s="148"/>
      <c r="L51" s="121"/>
      <c r="M51" s="140"/>
      <c r="N51" s="140" t="s">
        <v>1981</v>
      </c>
      <c r="O51" s="140"/>
      <c r="P51" s="139"/>
      <c r="Q51" s="139"/>
      <c r="R51" s="140"/>
      <c r="S51" s="123"/>
      <c r="T51" s="123"/>
      <c r="U51" s="123"/>
      <c r="V51" s="123"/>
      <c r="W51" s="123"/>
      <c r="X51" s="121"/>
      <c r="Y51" s="143">
        <f>3.16</f>
        <v>3.16</v>
      </c>
      <c r="Z51" s="149">
        <f t="shared" si="0"/>
        <v>37920</v>
      </c>
      <c r="AA51" s="149">
        <f t="shared" si="1"/>
        <v>293880</v>
      </c>
      <c r="AB51" s="150"/>
      <c r="AC51" s="140"/>
    </row>
    <row r="52" s="130" customFormat="1" customHeight="1" spans="1:29">
      <c r="A52" s="138">
        <v>45478</v>
      </c>
      <c r="B52" s="147"/>
      <c r="C52" s="147"/>
      <c r="D52" s="147" t="s">
        <v>1982</v>
      </c>
      <c r="E52" s="147"/>
      <c r="F52" s="123"/>
      <c r="G52" s="123" t="s">
        <v>1958</v>
      </c>
      <c r="H52" s="123" t="s">
        <v>10</v>
      </c>
      <c r="I52" s="148"/>
      <c r="J52" s="120">
        <v>48000</v>
      </c>
      <c r="K52" s="148"/>
      <c r="L52" s="121"/>
      <c r="M52" s="140"/>
      <c r="N52" s="140" t="s">
        <v>1981</v>
      </c>
      <c r="O52" s="140"/>
      <c r="P52" s="139"/>
      <c r="Q52" s="139"/>
      <c r="R52" s="140"/>
      <c r="S52" s="123"/>
      <c r="T52" s="123"/>
      <c r="U52" s="123"/>
      <c r="V52" s="123"/>
      <c r="W52" s="123"/>
      <c r="X52" s="121"/>
      <c r="Y52" s="143">
        <v>0.88</v>
      </c>
      <c r="Z52" s="149">
        <f t="shared" si="0"/>
        <v>42240</v>
      </c>
      <c r="AA52" s="149">
        <f t="shared" si="1"/>
        <v>327360</v>
      </c>
      <c r="AB52" s="150"/>
      <c r="AC52" s="140"/>
    </row>
    <row r="53" s="130" customFormat="1" customHeight="1" spans="1:29">
      <c r="A53" s="138">
        <v>45478</v>
      </c>
      <c r="B53" s="147"/>
      <c r="C53" s="147"/>
      <c r="D53" s="147" t="s">
        <v>1982</v>
      </c>
      <c r="E53" s="147"/>
      <c r="F53" s="123"/>
      <c r="G53" s="123" t="s">
        <v>1958</v>
      </c>
      <c r="H53" s="123" t="s">
        <v>14</v>
      </c>
      <c r="I53" s="148"/>
      <c r="J53" s="120">
        <v>18000</v>
      </c>
      <c r="K53" s="148"/>
      <c r="L53" s="121"/>
      <c r="M53" s="140"/>
      <c r="N53" s="140" t="s">
        <v>1981</v>
      </c>
      <c r="O53" s="140"/>
      <c r="P53" s="139"/>
      <c r="Q53" s="139"/>
      <c r="R53" s="140"/>
      <c r="S53" s="123"/>
      <c r="T53" s="123"/>
      <c r="U53" s="123"/>
      <c r="V53" s="123"/>
      <c r="W53" s="123"/>
      <c r="X53" s="121"/>
      <c r="Y53" s="143">
        <v>2.09</v>
      </c>
      <c r="Z53" s="149">
        <f t="shared" si="0"/>
        <v>37620</v>
      </c>
      <c r="AA53" s="149">
        <f t="shared" si="1"/>
        <v>291555</v>
      </c>
      <c r="AB53" s="150"/>
      <c r="AC53" s="140"/>
    </row>
    <row r="54" s="130" customFormat="1" customHeight="1" spans="1:29">
      <c r="A54" s="138">
        <v>45478</v>
      </c>
      <c r="B54" s="147"/>
      <c r="C54" s="147"/>
      <c r="D54" s="147" t="s">
        <v>1982</v>
      </c>
      <c r="E54" s="147"/>
      <c r="F54" s="123"/>
      <c r="G54" s="123" t="s">
        <v>1958</v>
      </c>
      <c r="H54" s="123" t="s">
        <v>16</v>
      </c>
      <c r="I54" s="148"/>
      <c r="J54" s="120">
        <v>12000</v>
      </c>
      <c r="K54" s="148"/>
      <c r="L54" s="121"/>
      <c r="M54" s="140"/>
      <c r="N54" s="140" t="s">
        <v>1981</v>
      </c>
      <c r="O54" s="140"/>
      <c r="P54" s="139"/>
      <c r="Q54" s="139"/>
      <c r="R54" s="140"/>
      <c r="S54" s="123"/>
      <c r="T54" s="123"/>
      <c r="U54" s="123"/>
      <c r="V54" s="123"/>
      <c r="W54" s="123"/>
      <c r="X54" s="121"/>
      <c r="Y54" s="143">
        <f>3.16</f>
        <v>3.16</v>
      </c>
      <c r="Z54" s="149">
        <f t="shared" si="0"/>
        <v>37920</v>
      </c>
      <c r="AA54" s="149">
        <f t="shared" si="1"/>
        <v>293880</v>
      </c>
      <c r="AB54" s="150"/>
      <c r="AC54" s="140"/>
    </row>
    <row r="55" s="130" customFormat="1" customHeight="1" spans="1:29">
      <c r="A55" s="138">
        <v>45478</v>
      </c>
      <c r="B55" s="147"/>
      <c r="C55" s="147"/>
      <c r="D55" s="147" t="s">
        <v>1983</v>
      </c>
      <c r="E55" s="147"/>
      <c r="F55" s="123"/>
      <c r="G55" s="123" t="s">
        <v>1958</v>
      </c>
      <c r="H55" s="123" t="s">
        <v>8</v>
      </c>
      <c r="I55" s="148"/>
      <c r="J55" s="120">
        <v>5008</v>
      </c>
      <c r="K55" s="148"/>
      <c r="L55" s="121"/>
      <c r="M55" s="140"/>
      <c r="N55" s="140" t="s">
        <v>1981</v>
      </c>
      <c r="O55" s="140"/>
      <c r="P55" s="139"/>
      <c r="Q55" s="139"/>
      <c r="R55" s="140"/>
      <c r="S55" s="123"/>
      <c r="T55" s="123"/>
      <c r="U55" s="123"/>
      <c r="V55" s="123"/>
      <c r="W55" s="123"/>
      <c r="X55" s="121"/>
      <c r="Y55" s="149">
        <v>0.8</v>
      </c>
      <c r="Z55" s="149">
        <f t="shared" si="0"/>
        <v>4006.4</v>
      </c>
      <c r="AA55" s="149">
        <f t="shared" si="1"/>
        <v>31049.6</v>
      </c>
      <c r="AB55" s="150"/>
      <c r="AC55" s="140"/>
    </row>
    <row r="56" s="130" customFormat="1" customHeight="1" spans="1:29">
      <c r="A56" s="138">
        <v>45478</v>
      </c>
      <c r="B56" s="147"/>
      <c r="C56" s="147"/>
      <c r="D56" s="147" t="s">
        <v>1983</v>
      </c>
      <c r="E56" s="147"/>
      <c r="F56" s="123"/>
      <c r="G56" s="123" t="s">
        <v>1958</v>
      </c>
      <c r="H56" s="123" t="s">
        <v>14</v>
      </c>
      <c r="I56" s="148"/>
      <c r="J56" s="120">
        <v>2400</v>
      </c>
      <c r="K56" s="148"/>
      <c r="L56" s="121"/>
      <c r="M56" s="140"/>
      <c r="N56" s="140" t="s">
        <v>1981</v>
      </c>
      <c r="O56" s="140"/>
      <c r="P56" s="139"/>
      <c r="Q56" s="139"/>
      <c r="R56" s="140"/>
      <c r="S56" s="123"/>
      <c r="T56" s="123"/>
      <c r="U56" s="123"/>
      <c r="V56" s="123"/>
      <c r="W56" s="123"/>
      <c r="X56" s="121"/>
      <c r="Y56" s="143">
        <v>2.09</v>
      </c>
      <c r="Z56" s="149">
        <f t="shared" si="0"/>
        <v>5016</v>
      </c>
      <c r="AA56" s="149">
        <f t="shared" si="1"/>
        <v>38874</v>
      </c>
      <c r="AB56" s="150"/>
      <c r="AC56" s="140"/>
    </row>
    <row r="57" s="130" customFormat="1" customHeight="1" spans="1:29">
      <c r="A57" s="138">
        <v>45478</v>
      </c>
      <c r="B57" s="147"/>
      <c r="C57" s="147"/>
      <c r="D57" s="147" t="s">
        <v>1983</v>
      </c>
      <c r="E57" s="147"/>
      <c r="F57" s="123"/>
      <c r="G57" s="123" t="s">
        <v>1958</v>
      </c>
      <c r="H57" s="123" t="s">
        <v>16</v>
      </c>
      <c r="I57" s="148"/>
      <c r="J57" s="120">
        <v>480</v>
      </c>
      <c r="K57" s="148"/>
      <c r="L57" s="121"/>
      <c r="M57" s="140"/>
      <c r="N57" s="140" t="s">
        <v>1981</v>
      </c>
      <c r="O57" s="140"/>
      <c r="P57" s="139"/>
      <c r="Q57" s="139"/>
      <c r="R57" s="140"/>
      <c r="S57" s="123"/>
      <c r="T57" s="123"/>
      <c r="U57" s="123"/>
      <c r="V57" s="73"/>
      <c r="W57" s="123"/>
      <c r="X57" s="121"/>
      <c r="Y57" s="143">
        <f>3.16</f>
        <v>3.16</v>
      </c>
      <c r="Z57" s="149">
        <f t="shared" si="0"/>
        <v>1516.8</v>
      </c>
      <c r="AA57" s="149">
        <f t="shared" si="1"/>
        <v>11755.2</v>
      </c>
      <c r="AB57" s="150"/>
      <c r="AC57" s="140"/>
    </row>
    <row r="58" s="130" customFormat="1" customHeight="1" spans="1:29">
      <c r="A58" s="138">
        <v>45478</v>
      </c>
      <c r="B58" s="147"/>
      <c r="C58" s="147"/>
      <c r="D58" s="147" t="s">
        <v>1984</v>
      </c>
      <c r="E58" s="147"/>
      <c r="F58" s="123"/>
      <c r="G58" s="123" t="s">
        <v>1958</v>
      </c>
      <c r="H58" s="123" t="s">
        <v>8</v>
      </c>
      <c r="I58" s="148"/>
      <c r="J58" s="120">
        <v>2400</v>
      </c>
      <c r="K58" s="148"/>
      <c r="L58" s="121"/>
      <c r="M58" s="140"/>
      <c r="N58" s="140" t="s">
        <v>1981</v>
      </c>
      <c r="O58" s="140"/>
      <c r="P58" s="139"/>
      <c r="Q58" s="139"/>
      <c r="R58" s="140"/>
      <c r="S58" s="123"/>
      <c r="T58" s="123"/>
      <c r="U58" s="123"/>
      <c r="V58" s="73"/>
      <c r="W58" s="123"/>
      <c r="X58" s="121"/>
      <c r="Y58" s="149">
        <v>0.8</v>
      </c>
      <c r="Z58" s="149">
        <f t="shared" si="0"/>
        <v>1920</v>
      </c>
      <c r="AA58" s="149">
        <f t="shared" si="1"/>
        <v>14880</v>
      </c>
      <c r="AB58" s="150"/>
      <c r="AC58" s="140"/>
    </row>
    <row r="59" s="130" customFormat="1" customHeight="1" spans="1:29">
      <c r="A59" s="138">
        <v>45478</v>
      </c>
      <c r="B59" s="147"/>
      <c r="C59" s="147"/>
      <c r="D59" s="147" t="s">
        <v>1984</v>
      </c>
      <c r="E59" s="147"/>
      <c r="F59" s="123"/>
      <c r="G59" s="123" t="s">
        <v>1958</v>
      </c>
      <c r="H59" s="123" t="s">
        <v>14</v>
      </c>
      <c r="I59" s="148"/>
      <c r="J59" s="120">
        <v>3600</v>
      </c>
      <c r="K59" s="148"/>
      <c r="L59" s="121"/>
      <c r="M59" s="140"/>
      <c r="N59" s="140" t="s">
        <v>1981</v>
      </c>
      <c r="O59" s="140"/>
      <c r="P59" s="139"/>
      <c r="Q59" s="139"/>
      <c r="R59" s="140"/>
      <c r="S59" s="123"/>
      <c r="T59" s="123"/>
      <c r="U59" s="123"/>
      <c r="V59" s="73"/>
      <c r="W59" s="123"/>
      <c r="X59" s="121"/>
      <c r="Y59" s="143">
        <v>2.09</v>
      </c>
      <c r="Z59" s="149">
        <f t="shared" si="0"/>
        <v>7524</v>
      </c>
      <c r="AA59" s="149">
        <f t="shared" si="1"/>
        <v>58311</v>
      </c>
      <c r="AB59" s="150"/>
      <c r="AC59" s="140"/>
    </row>
    <row r="60" s="130" customFormat="1" customHeight="1" spans="1:29">
      <c r="A60" s="138">
        <v>45478</v>
      </c>
      <c r="B60" s="147"/>
      <c r="C60" s="147"/>
      <c r="D60" s="147" t="s">
        <v>1984</v>
      </c>
      <c r="E60" s="147"/>
      <c r="F60" s="123"/>
      <c r="G60" s="123" t="s">
        <v>1958</v>
      </c>
      <c r="H60" s="123" t="s">
        <v>16</v>
      </c>
      <c r="I60" s="148"/>
      <c r="J60" s="120">
        <v>1800</v>
      </c>
      <c r="K60" s="148"/>
      <c r="L60" s="121"/>
      <c r="M60" s="140"/>
      <c r="N60" s="140" t="s">
        <v>1981</v>
      </c>
      <c r="O60" s="140"/>
      <c r="P60" s="139"/>
      <c r="Q60" s="139"/>
      <c r="R60" s="140"/>
      <c r="S60" s="123"/>
      <c r="T60" s="123"/>
      <c r="U60" s="123"/>
      <c r="V60" s="73"/>
      <c r="W60" s="152"/>
      <c r="X60" s="121"/>
      <c r="Y60" s="143">
        <f>3.16</f>
        <v>3.16</v>
      </c>
      <c r="Z60" s="149">
        <f t="shared" si="0"/>
        <v>5688</v>
      </c>
      <c r="AA60" s="149">
        <f t="shared" si="1"/>
        <v>44082</v>
      </c>
      <c r="AB60" s="150"/>
      <c r="AC60" s="140"/>
    </row>
    <row r="61" s="130" customFormat="1" customHeight="1" spans="1:29">
      <c r="A61" s="138">
        <v>45478</v>
      </c>
      <c r="B61" s="147"/>
      <c r="C61" s="147"/>
      <c r="D61" s="147" t="s">
        <v>1985</v>
      </c>
      <c r="E61" s="147"/>
      <c r="F61" s="123"/>
      <c r="G61" s="123" t="s">
        <v>1958</v>
      </c>
      <c r="H61" s="123" t="s">
        <v>8</v>
      </c>
      <c r="I61" s="148"/>
      <c r="J61" s="120">
        <v>18000</v>
      </c>
      <c r="K61" s="148"/>
      <c r="L61" s="121"/>
      <c r="M61" s="140"/>
      <c r="N61" s="140" t="s">
        <v>1981</v>
      </c>
      <c r="O61" s="140"/>
      <c r="P61" s="139"/>
      <c r="Q61" s="139"/>
      <c r="R61" s="140"/>
      <c r="S61" s="123"/>
      <c r="T61" s="123"/>
      <c r="U61" s="123"/>
      <c r="V61" s="123"/>
      <c r="W61" s="123"/>
      <c r="X61" s="121"/>
      <c r="Y61" s="149">
        <v>0.8</v>
      </c>
      <c r="Z61" s="149">
        <f t="shared" si="0"/>
        <v>14400</v>
      </c>
      <c r="AA61" s="149">
        <f t="shared" si="1"/>
        <v>111600</v>
      </c>
      <c r="AB61" s="150"/>
      <c r="AC61" s="140"/>
    </row>
    <row r="62" s="130" customFormat="1" customHeight="1" spans="1:29">
      <c r="A62" s="138">
        <v>45478</v>
      </c>
      <c r="B62" s="147"/>
      <c r="C62" s="147"/>
      <c r="D62" s="147" t="s">
        <v>1985</v>
      </c>
      <c r="E62" s="147"/>
      <c r="F62" s="123"/>
      <c r="G62" s="123" t="s">
        <v>1958</v>
      </c>
      <c r="H62" s="123" t="s">
        <v>14</v>
      </c>
      <c r="I62" s="148"/>
      <c r="J62" s="120">
        <v>14400</v>
      </c>
      <c r="K62" s="148"/>
      <c r="L62" s="121"/>
      <c r="M62" s="140"/>
      <c r="N62" s="140" t="s">
        <v>1981</v>
      </c>
      <c r="O62" s="140"/>
      <c r="P62" s="139"/>
      <c r="Q62" s="139"/>
      <c r="R62" s="140"/>
      <c r="S62" s="123"/>
      <c r="T62" s="123"/>
      <c r="U62" s="123"/>
      <c r="V62" s="123"/>
      <c r="W62" s="123"/>
      <c r="X62" s="121"/>
      <c r="Y62" s="143">
        <v>2.09</v>
      </c>
      <c r="Z62" s="149">
        <f t="shared" si="0"/>
        <v>30096</v>
      </c>
      <c r="AA62" s="149">
        <f t="shared" si="1"/>
        <v>233244</v>
      </c>
      <c r="AB62" s="150"/>
      <c r="AC62" s="140"/>
    </row>
    <row r="63" s="130" customFormat="1" customHeight="1" spans="1:29">
      <c r="A63" s="138">
        <v>45478</v>
      </c>
      <c r="B63" s="147"/>
      <c r="C63" s="147"/>
      <c r="D63" s="147" t="s">
        <v>1985</v>
      </c>
      <c r="E63" s="147"/>
      <c r="F63" s="123"/>
      <c r="G63" s="123" t="s">
        <v>1958</v>
      </c>
      <c r="H63" s="123" t="s">
        <v>16</v>
      </c>
      <c r="I63" s="148"/>
      <c r="J63" s="120">
        <v>4800</v>
      </c>
      <c r="K63" s="148"/>
      <c r="L63" s="121"/>
      <c r="M63" s="140"/>
      <c r="N63" s="140" t="s">
        <v>1981</v>
      </c>
      <c r="O63" s="140"/>
      <c r="P63" s="139"/>
      <c r="Q63" s="139"/>
      <c r="R63" s="140"/>
      <c r="S63" s="123"/>
      <c r="T63" s="123"/>
      <c r="U63" s="123"/>
      <c r="V63" s="123"/>
      <c r="W63" s="123"/>
      <c r="X63" s="121"/>
      <c r="Y63" s="143">
        <f>3.16</f>
        <v>3.16</v>
      </c>
      <c r="Z63" s="149">
        <f t="shared" si="0"/>
        <v>15168</v>
      </c>
      <c r="AA63" s="149">
        <f t="shared" si="1"/>
        <v>117552</v>
      </c>
      <c r="AB63" s="150"/>
      <c r="AC63" s="140"/>
    </row>
    <row r="64" s="130" customFormat="1" customHeight="1" spans="1:29">
      <c r="A64" s="138">
        <v>45478</v>
      </c>
      <c r="B64" s="147"/>
      <c r="C64" s="147"/>
      <c r="D64" s="147" t="s">
        <v>1986</v>
      </c>
      <c r="E64" s="147"/>
      <c r="F64" s="123"/>
      <c r="G64" s="123" t="s">
        <v>1958</v>
      </c>
      <c r="H64" s="123" t="s">
        <v>8</v>
      </c>
      <c r="I64" s="148"/>
      <c r="J64" s="120">
        <v>15000</v>
      </c>
      <c r="K64" s="148"/>
      <c r="L64" s="121"/>
      <c r="M64" s="140"/>
      <c r="N64" s="140" t="s">
        <v>1981</v>
      </c>
      <c r="O64" s="140"/>
      <c r="P64" s="139"/>
      <c r="Q64" s="139"/>
      <c r="R64" s="140"/>
      <c r="S64" s="123"/>
      <c r="T64" s="123"/>
      <c r="U64" s="123"/>
      <c r="V64" s="123"/>
      <c r="W64" s="123"/>
      <c r="X64" s="121"/>
      <c r="Y64" s="149">
        <v>0.8</v>
      </c>
      <c r="Z64" s="149">
        <f t="shared" si="0"/>
        <v>12000</v>
      </c>
      <c r="AA64" s="149">
        <f t="shared" si="1"/>
        <v>93000</v>
      </c>
      <c r="AB64" s="150"/>
      <c r="AC64" s="140"/>
    </row>
    <row r="65" s="130" customFormat="1" customHeight="1" spans="1:29">
      <c r="A65" s="138">
        <v>45478</v>
      </c>
      <c r="B65" s="147"/>
      <c r="C65" s="147"/>
      <c r="D65" s="147" t="s">
        <v>1986</v>
      </c>
      <c r="E65" s="147"/>
      <c r="F65" s="123"/>
      <c r="G65" s="123" t="s">
        <v>1958</v>
      </c>
      <c r="H65" s="123" t="s">
        <v>14</v>
      </c>
      <c r="I65" s="148"/>
      <c r="J65" s="120">
        <v>9600</v>
      </c>
      <c r="K65" s="148"/>
      <c r="L65" s="121"/>
      <c r="M65" s="140"/>
      <c r="N65" s="140" t="s">
        <v>1981</v>
      </c>
      <c r="O65" s="140"/>
      <c r="P65" s="139"/>
      <c r="Q65" s="139"/>
      <c r="R65" s="140"/>
      <c r="S65" s="123"/>
      <c r="T65" s="123"/>
      <c r="U65" s="123"/>
      <c r="V65" s="123"/>
      <c r="W65" s="123"/>
      <c r="X65" s="121"/>
      <c r="Y65" s="143">
        <v>2.09</v>
      </c>
      <c r="Z65" s="149">
        <f t="shared" si="0"/>
        <v>20064</v>
      </c>
      <c r="AA65" s="149">
        <f t="shared" si="1"/>
        <v>155496</v>
      </c>
      <c r="AB65" s="150"/>
      <c r="AC65" s="140"/>
    </row>
    <row r="66" s="130" customFormat="1" customHeight="1" spans="1:29">
      <c r="A66" s="138">
        <v>45478</v>
      </c>
      <c r="B66" s="147"/>
      <c r="C66" s="147"/>
      <c r="D66" s="147" t="s">
        <v>1986</v>
      </c>
      <c r="E66" s="147"/>
      <c r="F66" s="123"/>
      <c r="G66" s="123" t="s">
        <v>1958</v>
      </c>
      <c r="H66" s="123" t="s">
        <v>16</v>
      </c>
      <c r="I66" s="148"/>
      <c r="J66" s="120">
        <v>4800</v>
      </c>
      <c r="K66" s="148"/>
      <c r="L66" s="121"/>
      <c r="M66" s="140"/>
      <c r="N66" s="140" t="s">
        <v>1981</v>
      </c>
      <c r="O66" s="140"/>
      <c r="P66" s="139"/>
      <c r="Q66" s="139"/>
      <c r="R66" s="140"/>
      <c r="S66" s="123"/>
      <c r="T66" s="123"/>
      <c r="U66" s="123"/>
      <c r="V66" s="123"/>
      <c r="W66" s="123"/>
      <c r="X66" s="121"/>
      <c r="Y66" s="143">
        <f>3.16</f>
        <v>3.16</v>
      </c>
      <c r="Z66" s="149">
        <f t="shared" ref="Z66:Z117" si="2">J66*Y66</f>
        <v>15168</v>
      </c>
      <c r="AA66" s="149">
        <f t="shared" ref="AA66:AA117" si="3">Z66*7.75</f>
        <v>117552</v>
      </c>
      <c r="AB66" s="150"/>
      <c r="AC66" s="140"/>
    </row>
    <row r="67" s="130" customFormat="1" customHeight="1" spans="1:29">
      <c r="A67" s="138">
        <v>45478</v>
      </c>
      <c r="B67" s="147"/>
      <c r="C67" s="147"/>
      <c r="D67" s="147" t="s">
        <v>1987</v>
      </c>
      <c r="E67" s="147"/>
      <c r="F67" s="123"/>
      <c r="G67" s="123" t="s">
        <v>1958</v>
      </c>
      <c r="H67" s="123" t="s">
        <v>8</v>
      </c>
      <c r="I67" s="148"/>
      <c r="J67" s="148">
        <v>24000</v>
      </c>
      <c r="K67" s="148"/>
      <c r="L67" s="121"/>
      <c r="M67" s="140"/>
      <c r="N67" s="140" t="s">
        <v>1981</v>
      </c>
      <c r="O67" s="140"/>
      <c r="P67" s="139"/>
      <c r="Q67" s="139"/>
      <c r="R67" s="140"/>
      <c r="S67" s="123"/>
      <c r="T67" s="123"/>
      <c r="U67" s="123"/>
      <c r="V67" s="123"/>
      <c r="W67" s="123"/>
      <c r="X67" s="121"/>
      <c r="Y67" s="149">
        <v>0.8</v>
      </c>
      <c r="Z67" s="149">
        <f t="shared" si="2"/>
        <v>19200</v>
      </c>
      <c r="AA67" s="149">
        <f t="shared" si="3"/>
        <v>148800</v>
      </c>
      <c r="AB67" s="150"/>
      <c r="AC67" s="140"/>
    </row>
    <row r="68" s="130" customFormat="1" customHeight="1" spans="1:29">
      <c r="A68" s="138">
        <v>45478</v>
      </c>
      <c r="B68" s="147"/>
      <c r="C68" s="147"/>
      <c r="D68" s="147" t="s">
        <v>1987</v>
      </c>
      <c r="E68" s="147"/>
      <c r="F68" s="123"/>
      <c r="G68" s="123" t="s">
        <v>1958</v>
      </c>
      <c r="H68" s="123" t="s">
        <v>14</v>
      </c>
      <c r="I68" s="148"/>
      <c r="J68" s="120">
        <v>12000</v>
      </c>
      <c r="K68" s="148"/>
      <c r="L68" s="121"/>
      <c r="M68" s="140"/>
      <c r="N68" s="140" t="s">
        <v>1981</v>
      </c>
      <c r="O68" s="140"/>
      <c r="P68" s="139"/>
      <c r="Q68" s="139"/>
      <c r="R68" s="140"/>
      <c r="S68" s="123"/>
      <c r="T68" s="123"/>
      <c r="U68" s="123"/>
      <c r="V68" s="123"/>
      <c r="W68" s="123"/>
      <c r="X68" s="121"/>
      <c r="Y68" s="143">
        <v>2.09</v>
      </c>
      <c r="Z68" s="149">
        <f t="shared" si="2"/>
        <v>25080</v>
      </c>
      <c r="AA68" s="149">
        <f t="shared" si="3"/>
        <v>194370</v>
      </c>
      <c r="AB68" s="150"/>
      <c r="AC68" s="140"/>
    </row>
    <row r="69" s="130" customFormat="1" customHeight="1" spans="1:29">
      <c r="A69" s="138">
        <v>45478</v>
      </c>
      <c r="B69" s="147"/>
      <c r="C69" s="147"/>
      <c r="D69" s="147" t="s">
        <v>1987</v>
      </c>
      <c r="E69" s="147"/>
      <c r="F69" s="123"/>
      <c r="G69" s="123" t="s">
        <v>1958</v>
      </c>
      <c r="H69" s="123" t="s">
        <v>16</v>
      </c>
      <c r="I69" s="148"/>
      <c r="J69" s="120">
        <v>6000</v>
      </c>
      <c r="K69" s="148"/>
      <c r="L69" s="121"/>
      <c r="M69" s="140"/>
      <c r="N69" s="140" t="s">
        <v>1981</v>
      </c>
      <c r="O69" s="140"/>
      <c r="P69" s="139"/>
      <c r="Q69" s="139"/>
      <c r="R69" s="140"/>
      <c r="S69" s="123"/>
      <c r="T69" s="123"/>
      <c r="U69" s="123"/>
      <c r="V69" s="123"/>
      <c r="W69" s="123"/>
      <c r="X69" s="121"/>
      <c r="Y69" s="143">
        <f>3.16</f>
        <v>3.16</v>
      </c>
      <c r="Z69" s="149">
        <f t="shared" si="2"/>
        <v>18960</v>
      </c>
      <c r="AA69" s="149">
        <f t="shared" si="3"/>
        <v>146940</v>
      </c>
      <c r="AB69" s="150"/>
      <c r="AC69" s="140"/>
    </row>
    <row r="70" s="130" customFormat="1" customHeight="1" spans="1:29">
      <c r="A70" s="138">
        <v>45478</v>
      </c>
      <c r="B70" s="147"/>
      <c r="C70" s="147"/>
      <c r="D70" s="147" t="s">
        <v>1988</v>
      </c>
      <c r="E70" s="147"/>
      <c r="F70" s="123"/>
      <c r="G70" s="123" t="s">
        <v>1958</v>
      </c>
      <c r="H70" s="123" t="s">
        <v>8</v>
      </c>
      <c r="I70" s="148"/>
      <c r="J70" s="120">
        <v>18000</v>
      </c>
      <c r="K70" s="148"/>
      <c r="L70" s="121"/>
      <c r="M70" s="140"/>
      <c r="N70" s="140" t="s">
        <v>1981</v>
      </c>
      <c r="O70" s="140"/>
      <c r="P70" s="139"/>
      <c r="Q70" s="139"/>
      <c r="R70" s="140"/>
      <c r="S70" s="123"/>
      <c r="T70" s="123"/>
      <c r="U70" s="123"/>
      <c r="V70" s="123"/>
      <c r="W70" s="123"/>
      <c r="X70" s="121"/>
      <c r="Y70" s="149">
        <v>0.8</v>
      </c>
      <c r="Z70" s="149">
        <f t="shared" si="2"/>
        <v>14400</v>
      </c>
      <c r="AA70" s="149">
        <f t="shared" si="3"/>
        <v>111600</v>
      </c>
      <c r="AB70" s="150"/>
      <c r="AC70" s="140"/>
    </row>
    <row r="71" s="130" customFormat="1" customHeight="1" spans="1:29">
      <c r="A71" s="138">
        <v>45478</v>
      </c>
      <c r="B71" s="147"/>
      <c r="C71" s="147"/>
      <c r="D71" s="147" t="s">
        <v>1988</v>
      </c>
      <c r="E71" s="147"/>
      <c r="F71" s="123"/>
      <c r="G71" s="123" t="s">
        <v>1958</v>
      </c>
      <c r="H71" s="123" t="s">
        <v>14</v>
      </c>
      <c r="I71" s="148"/>
      <c r="J71" s="120">
        <v>9600</v>
      </c>
      <c r="K71" s="148"/>
      <c r="L71" s="121"/>
      <c r="M71" s="140"/>
      <c r="N71" s="140" t="s">
        <v>1981</v>
      </c>
      <c r="O71" s="140"/>
      <c r="P71" s="139"/>
      <c r="Q71" s="139"/>
      <c r="R71" s="140"/>
      <c r="S71" s="123"/>
      <c r="T71" s="123"/>
      <c r="U71" s="123"/>
      <c r="V71" s="123"/>
      <c r="W71" s="123"/>
      <c r="X71" s="121"/>
      <c r="Y71" s="143">
        <v>2.09</v>
      </c>
      <c r="Z71" s="149">
        <f t="shared" si="2"/>
        <v>20064</v>
      </c>
      <c r="AA71" s="149">
        <f t="shared" si="3"/>
        <v>155496</v>
      </c>
      <c r="AB71" s="150"/>
      <c r="AC71" s="140"/>
    </row>
    <row r="72" s="130" customFormat="1" customHeight="1" spans="1:29">
      <c r="A72" s="138">
        <v>45478</v>
      </c>
      <c r="B72" s="147"/>
      <c r="C72" s="147"/>
      <c r="D72" s="147" t="s">
        <v>1988</v>
      </c>
      <c r="E72" s="147"/>
      <c r="F72" s="123"/>
      <c r="G72" s="123" t="s">
        <v>1958</v>
      </c>
      <c r="H72" s="123" t="s">
        <v>16</v>
      </c>
      <c r="I72" s="148"/>
      <c r="J72" s="120">
        <v>6000</v>
      </c>
      <c r="K72" s="148"/>
      <c r="L72" s="121"/>
      <c r="M72" s="140"/>
      <c r="N72" s="140" t="s">
        <v>1981</v>
      </c>
      <c r="O72" s="140"/>
      <c r="P72" s="139"/>
      <c r="Q72" s="139"/>
      <c r="R72" s="140"/>
      <c r="S72" s="123"/>
      <c r="T72" s="123"/>
      <c r="U72" s="123"/>
      <c r="V72" s="123"/>
      <c r="W72" s="123"/>
      <c r="X72" s="121"/>
      <c r="Y72" s="143">
        <f>3.16</f>
        <v>3.16</v>
      </c>
      <c r="Z72" s="149">
        <f t="shared" si="2"/>
        <v>18960</v>
      </c>
      <c r="AA72" s="149">
        <f t="shared" si="3"/>
        <v>146940</v>
      </c>
      <c r="AB72" s="150"/>
      <c r="AC72" s="140"/>
    </row>
    <row r="73" s="130" customFormat="1" customHeight="1" spans="1:29">
      <c r="A73" s="138">
        <v>45478</v>
      </c>
      <c r="B73" s="123"/>
      <c r="C73" s="123"/>
      <c r="D73" s="123" t="s">
        <v>1989</v>
      </c>
      <c r="E73" s="123"/>
      <c r="F73" s="123"/>
      <c r="G73" s="123" t="s">
        <v>1958</v>
      </c>
      <c r="H73" s="123" t="s">
        <v>8</v>
      </c>
      <c r="I73" s="123"/>
      <c r="J73" s="121">
        <v>14400</v>
      </c>
      <c r="K73" s="123"/>
      <c r="L73" s="121"/>
      <c r="M73" s="153"/>
      <c r="N73" s="153" t="s">
        <v>1981</v>
      </c>
      <c r="O73" s="153"/>
      <c r="P73" s="146"/>
      <c r="Q73" s="146"/>
      <c r="R73" s="153"/>
      <c r="S73" s="123"/>
      <c r="T73" s="123"/>
      <c r="U73" s="123"/>
      <c r="V73" s="123"/>
      <c r="W73" s="123"/>
      <c r="X73" s="142"/>
      <c r="Y73" s="149">
        <v>0.8</v>
      </c>
      <c r="Z73" s="149">
        <f t="shared" si="2"/>
        <v>11520</v>
      </c>
      <c r="AA73" s="149">
        <f t="shared" si="3"/>
        <v>89280</v>
      </c>
      <c r="AB73" s="145"/>
      <c r="AC73" s="153"/>
    </row>
    <row r="74" s="130" customFormat="1" customHeight="1" spans="1:29">
      <c r="A74" s="138">
        <v>45478</v>
      </c>
      <c r="B74" s="123"/>
      <c r="C74" s="123"/>
      <c r="D74" s="123" t="s">
        <v>1989</v>
      </c>
      <c r="E74" s="123"/>
      <c r="F74" s="123"/>
      <c r="G74" s="123" t="s">
        <v>1958</v>
      </c>
      <c r="H74" s="123" t="s">
        <v>14</v>
      </c>
      <c r="I74" s="123"/>
      <c r="J74" s="121">
        <v>6000</v>
      </c>
      <c r="K74" s="123"/>
      <c r="L74" s="121"/>
      <c r="M74" s="153"/>
      <c r="N74" s="153" t="s">
        <v>1981</v>
      </c>
      <c r="O74" s="153"/>
      <c r="P74" s="146"/>
      <c r="Q74" s="146"/>
      <c r="R74" s="153"/>
      <c r="S74" s="123"/>
      <c r="T74" s="123"/>
      <c r="U74" s="123"/>
      <c r="V74" s="123"/>
      <c r="W74" s="123"/>
      <c r="X74" s="142"/>
      <c r="Y74" s="143">
        <v>2.09</v>
      </c>
      <c r="Z74" s="149">
        <f t="shared" si="2"/>
        <v>12540</v>
      </c>
      <c r="AA74" s="149">
        <f t="shared" si="3"/>
        <v>97185</v>
      </c>
      <c r="AB74" s="145"/>
      <c r="AC74" s="153"/>
    </row>
    <row r="75" s="130" customFormat="1" customHeight="1" spans="1:29">
      <c r="A75" s="138">
        <v>45478</v>
      </c>
      <c r="B75" s="123"/>
      <c r="C75" s="123"/>
      <c r="D75" s="123" t="s">
        <v>1989</v>
      </c>
      <c r="E75" s="123"/>
      <c r="F75" s="123"/>
      <c r="G75" s="123" t="s">
        <v>1958</v>
      </c>
      <c r="H75" s="123" t="s">
        <v>16</v>
      </c>
      <c r="I75" s="123"/>
      <c r="J75" s="121">
        <v>3600</v>
      </c>
      <c r="K75" s="123"/>
      <c r="L75" s="121"/>
      <c r="M75" s="153"/>
      <c r="N75" s="153" t="s">
        <v>1981</v>
      </c>
      <c r="O75" s="153"/>
      <c r="P75" s="146"/>
      <c r="Q75" s="146"/>
      <c r="R75" s="153"/>
      <c r="S75" s="123"/>
      <c r="T75" s="123"/>
      <c r="U75" s="123"/>
      <c r="V75" s="123"/>
      <c r="W75" s="123"/>
      <c r="X75" s="142"/>
      <c r="Y75" s="143">
        <f>3.16</f>
        <v>3.16</v>
      </c>
      <c r="Z75" s="149">
        <f t="shared" si="2"/>
        <v>11376</v>
      </c>
      <c r="AA75" s="149">
        <f t="shared" si="3"/>
        <v>88164</v>
      </c>
      <c r="AB75" s="145"/>
      <c r="AC75" s="153"/>
    </row>
    <row r="76" s="130" customFormat="1" customHeight="1" spans="1:29">
      <c r="A76" s="138">
        <v>45478</v>
      </c>
      <c r="B76" s="123"/>
      <c r="C76" s="123"/>
      <c r="D76" s="123" t="s">
        <v>1990</v>
      </c>
      <c r="E76" s="123"/>
      <c r="F76" s="123"/>
      <c r="G76" s="123" t="s">
        <v>1958</v>
      </c>
      <c r="H76" s="123" t="s">
        <v>1971</v>
      </c>
      <c r="I76" s="123"/>
      <c r="J76" s="121">
        <v>24000</v>
      </c>
      <c r="K76" s="123"/>
      <c r="L76" s="121"/>
      <c r="M76" s="153"/>
      <c r="N76" s="153" t="s">
        <v>1981</v>
      </c>
      <c r="O76" s="153"/>
      <c r="P76" s="146"/>
      <c r="Q76" s="146"/>
      <c r="R76" s="153"/>
      <c r="S76" s="123"/>
      <c r="T76" s="123"/>
      <c r="U76" s="123"/>
      <c r="V76" s="123"/>
      <c r="W76" s="123"/>
      <c r="X76" s="142"/>
      <c r="Y76" s="143">
        <v>0.63</v>
      </c>
      <c r="Z76" s="149">
        <f t="shared" si="2"/>
        <v>15120</v>
      </c>
      <c r="AA76" s="149">
        <f t="shared" si="3"/>
        <v>117180</v>
      </c>
      <c r="AB76" s="145"/>
      <c r="AC76" s="153"/>
    </row>
    <row r="77" s="130" customFormat="1" customHeight="1" spans="1:29">
      <c r="A77" s="138">
        <v>45478</v>
      </c>
      <c r="B77" s="123"/>
      <c r="C77" s="123"/>
      <c r="D77" s="123" t="s">
        <v>1990</v>
      </c>
      <c r="E77" s="123"/>
      <c r="F77" s="123"/>
      <c r="G77" s="123" t="s">
        <v>1958</v>
      </c>
      <c r="H77" s="123" t="s">
        <v>8</v>
      </c>
      <c r="I77" s="123"/>
      <c r="J77" s="121">
        <v>18000</v>
      </c>
      <c r="K77" s="123"/>
      <c r="L77" s="121"/>
      <c r="M77" s="153"/>
      <c r="N77" s="153" t="s">
        <v>1981</v>
      </c>
      <c r="O77" s="153"/>
      <c r="P77" s="146"/>
      <c r="Q77" s="146"/>
      <c r="R77" s="153"/>
      <c r="S77" s="123"/>
      <c r="T77" s="123"/>
      <c r="U77" s="123"/>
      <c r="V77" s="123"/>
      <c r="W77" s="123"/>
      <c r="X77" s="142"/>
      <c r="Y77" s="149">
        <v>0.8</v>
      </c>
      <c r="Z77" s="149">
        <f t="shared" si="2"/>
        <v>14400</v>
      </c>
      <c r="AA77" s="149">
        <f t="shared" si="3"/>
        <v>111600</v>
      </c>
      <c r="AB77" s="145"/>
      <c r="AC77" s="153"/>
    </row>
    <row r="78" s="130" customFormat="1" customHeight="1" spans="1:29">
      <c r="A78" s="138">
        <v>45478</v>
      </c>
      <c r="B78" s="123"/>
      <c r="C78" s="123"/>
      <c r="D78" s="123" t="s">
        <v>1990</v>
      </c>
      <c r="E78" s="123"/>
      <c r="F78" s="123"/>
      <c r="G78" s="123" t="s">
        <v>1958</v>
      </c>
      <c r="H78" s="123" t="s">
        <v>14</v>
      </c>
      <c r="I78" s="123"/>
      <c r="J78" s="121">
        <v>9600</v>
      </c>
      <c r="K78" s="123"/>
      <c r="L78" s="121"/>
      <c r="M78" s="153"/>
      <c r="N78" s="153" t="s">
        <v>1981</v>
      </c>
      <c r="O78" s="153"/>
      <c r="P78" s="146"/>
      <c r="Q78" s="146"/>
      <c r="R78" s="153"/>
      <c r="S78" s="123"/>
      <c r="T78" s="123"/>
      <c r="U78" s="123"/>
      <c r="V78" s="123"/>
      <c r="W78" s="123"/>
      <c r="X78" s="142"/>
      <c r="Y78" s="143">
        <v>2.09</v>
      </c>
      <c r="Z78" s="149">
        <f t="shared" si="2"/>
        <v>20064</v>
      </c>
      <c r="AA78" s="149">
        <f t="shared" si="3"/>
        <v>155496</v>
      </c>
      <c r="AB78" s="145"/>
      <c r="AC78" s="153"/>
    </row>
    <row r="79" s="130" customFormat="1" customHeight="1" spans="1:29">
      <c r="A79" s="138">
        <v>45478</v>
      </c>
      <c r="B79" s="123"/>
      <c r="C79" s="123"/>
      <c r="D79" s="123" t="s">
        <v>1990</v>
      </c>
      <c r="E79" s="123"/>
      <c r="F79" s="123"/>
      <c r="G79" s="123" t="s">
        <v>1958</v>
      </c>
      <c r="H79" s="123" t="s">
        <v>16</v>
      </c>
      <c r="I79" s="123"/>
      <c r="J79" s="121">
        <v>4800</v>
      </c>
      <c r="K79" s="123"/>
      <c r="L79" s="121"/>
      <c r="M79" s="153"/>
      <c r="N79" s="153" t="s">
        <v>1981</v>
      </c>
      <c r="O79" s="153"/>
      <c r="P79" s="146"/>
      <c r="Q79" s="146"/>
      <c r="R79" s="153"/>
      <c r="S79" s="123"/>
      <c r="T79" s="123"/>
      <c r="U79" s="123"/>
      <c r="V79" s="123"/>
      <c r="W79" s="123"/>
      <c r="X79" s="142"/>
      <c r="Y79" s="143">
        <f>3.16</f>
        <v>3.16</v>
      </c>
      <c r="Z79" s="149">
        <f t="shared" si="2"/>
        <v>15168</v>
      </c>
      <c r="AA79" s="149">
        <f t="shared" si="3"/>
        <v>117552</v>
      </c>
      <c r="AB79" s="145"/>
      <c r="AC79" s="153"/>
    </row>
    <row r="80" s="130" customFormat="1" customHeight="1" spans="1:29">
      <c r="A80" s="138">
        <v>45478</v>
      </c>
      <c r="B80" s="123"/>
      <c r="C80" s="123"/>
      <c r="D80" s="123" t="s">
        <v>1970</v>
      </c>
      <c r="E80" s="123"/>
      <c r="F80" s="123"/>
      <c r="G80" s="123" t="s">
        <v>1958</v>
      </c>
      <c r="H80" s="123" t="s">
        <v>1971</v>
      </c>
      <c r="I80" s="123"/>
      <c r="J80" s="121">
        <v>160000</v>
      </c>
      <c r="K80" s="123"/>
      <c r="L80" s="121"/>
      <c r="M80" s="153"/>
      <c r="N80" s="153" t="s">
        <v>1981</v>
      </c>
      <c r="O80" s="153"/>
      <c r="P80" s="146"/>
      <c r="Q80" s="146"/>
      <c r="R80" s="153"/>
      <c r="S80" s="123"/>
      <c r="T80" s="123"/>
      <c r="U80" s="123"/>
      <c r="V80" s="123"/>
      <c r="W80" s="123"/>
      <c r="X80" s="142"/>
      <c r="Y80" s="143">
        <v>0.63</v>
      </c>
      <c r="Z80" s="149">
        <f t="shared" si="2"/>
        <v>100800</v>
      </c>
      <c r="AA80" s="149">
        <f t="shared" si="3"/>
        <v>781200</v>
      </c>
      <c r="AB80" s="145"/>
      <c r="AC80" s="153"/>
    </row>
    <row r="81" s="130" customFormat="1" customHeight="1" spans="1:29">
      <c r="A81" s="138">
        <v>45478</v>
      </c>
      <c r="B81" s="123"/>
      <c r="C81" s="123"/>
      <c r="D81" s="123" t="s">
        <v>1970</v>
      </c>
      <c r="E81" s="123"/>
      <c r="F81" s="123"/>
      <c r="G81" s="123" t="s">
        <v>1958</v>
      </c>
      <c r="H81" s="123" t="s">
        <v>11</v>
      </c>
      <c r="I81" s="123"/>
      <c r="J81" s="121">
        <v>60000</v>
      </c>
      <c r="K81" s="123"/>
      <c r="L81" s="121"/>
      <c r="M81" s="153"/>
      <c r="N81" s="153" t="s">
        <v>1981</v>
      </c>
      <c r="O81" s="153"/>
      <c r="P81" s="146"/>
      <c r="Q81" s="146"/>
      <c r="R81" s="153"/>
      <c r="S81" s="123"/>
      <c r="T81" s="123"/>
      <c r="U81" s="123"/>
      <c r="V81" s="123"/>
      <c r="W81" s="123"/>
      <c r="X81" s="142"/>
      <c r="Y81" s="143">
        <v>0.87</v>
      </c>
      <c r="Z81" s="149">
        <f t="shared" si="2"/>
        <v>52200</v>
      </c>
      <c r="AA81" s="149">
        <f t="shared" si="3"/>
        <v>404550</v>
      </c>
      <c r="AB81" s="145"/>
      <c r="AC81" s="153"/>
    </row>
    <row r="82" s="130" customFormat="1" customHeight="1" spans="1:29">
      <c r="A82" s="138">
        <v>45478</v>
      </c>
      <c r="B82" s="123"/>
      <c r="C82" s="123"/>
      <c r="D82" s="123" t="s">
        <v>1970</v>
      </c>
      <c r="E82" s="123"/>
      <c r="F82" s="123"/>
      <c r="G82" s="123" t="s">
        <v>1958</v>
      </c>
      <c r="H82" s="123" t="s">
        <v>14</v>
      </c>
      <c r="I82" s="123"/>
      <c r="J82" s="121">
        <v>20000</v>
      </c>
      <c r="K82" s="123"/>
      <c r="L82" s="121"/>
      <c r="M82" s="153"/>
      <c r="N82" s="153" t="s">
        <v>1981</v>
      </c>
      <c r="O82" s="153"/>
      <c r="P82" s="146"/>
      <c r="Q82" s="146"/>
      <c r="R82" s="153"/>
      <c r="S82" s="123"/>
      <c r="T82" s="123"/>
      <c r="U82" s="123"/>
      <c r="V82" s="123"/>
      <c r="W82" s="123"/>
      <c r="X82" s="142"/>
      <c r="Y82" s="143">
        <v>2.09</v>
      </c>
      <c r="Z82" s="149">
        <f t="shared" si="2"/>
        <v>41800</v>
      </c>
      <c r="AA82" s="149">
        <f t="shared" si="3"/>
        <v>323950</v>
      </c>
      <c r="AB82" s="145"/>
      <c r="AC82" s="153"/>
    </row>
    <row r="83" s="130" customFormat="1" customHeight="1" spans="1:29">
      <c r="A83" s="138">
        <v>45478</v>
      </c>
      <c r="B83" s="123"/>
      <c r="C83" s="123"/>
      <c r="D83" s="123" t="s">
        <v>1970</v>
      </c>
      <c r="E83" s="123"/>
      <c r="F83" s="123"/>
      <c r="G83" s="123" t="s">
        <v>1958</v>
      </c>
      <c r="H83" s="123" t="s">
        <v>16</v>
      </c>
      <c r="I83" s="123"/>
      <c r="J83" s="121">
        <v>5000</v>
      </c>
      <c r="K83" s="123"/>
      <c r="L83" s="121"/>
      <c r="M83" s="153"/>
      <c r="N83" s="153" t="s">
        <v>1981</v>
      </c>
      <c r="O83" s="153"/>
      <c r="P83" s="146"/>
      <c r="Q83" s="146"/>
      <c r="R83" s="153"/>
      <c r="S83" s="123"/>
      <c r="T83" s="123"/>
      <c r="U83" s="123"/>
      <c r="V83" s="123"/>
      <c r="W83" s="123"/>
      <c r="X83" s="142"/>
      <c r="Y83" s="143">
        <f>3.16</f>
        <v>3.16</v>
      </c>
      <c r="Z83" s="149">
        <f t="shared" si="2"/>
        <v>15800</v>
      </c>
      <c r="AA83" s="149">
        <f t="shared" si="3"/>
        <v>122450</v>
      </c>
      <c r="AB83" s="145"/>
      <c r="AC83" s="153"/>
    </row>
    <row r="84" s="130" customFormat="1" customHeight="1" spans="1:29">
      <c r="A84" s="138">
        <v>45478</v>
      </c>
      <c r="B84" s="123"/>
      <c r="C84" s="123"/>
      <c r="D84" s="123" t="s">
        <v>1966</v>
      </c>
      <c r="E84" s="123"/>
      <c r="F84" s="123"/>
      <c r="G84" s="123" t="s">
        <v>1958</v>
      </c>
      <c r="H84" s="123" t="s">
        <v>8</v>
      </c>
      <c r="I84" s="123"/>
      <c r="J84" s="121">
        <v>17008</v>
      </c>
      <c r="K84" s="123"/>
      <c r="L84" s="121"/>
      <c r="M84" s="153"/>
      <c r="N84" s="153" t="s">
        <v>1991</v>
      </c>
      <c r="O84" s="153"/>
      <c r="P84" s="146"/>
      <c r="Q84" s="146"/>
      <c r="R84" s="153"/>
      <c r="S84" s="123"/>
      <c r="T84" s="123"/>
      <c r="U84" s="123"/>
      <c r="V84" s="123"/>
      <c r="W84" s="123"/>
      <c r="X84" s="142"/>
      <c r="Y84" s="149">
        <v>0.8</v>
      </c>
      <c r="Z84" s="149">
        <f t="shared" si="2"/>
        <v>13606.4</v>
      </c>
      <c r="AA84" s="149">
        <f t="shared" si="3"/>
        <v>105449.6</v>
      </c>
      <c r="AB84" s="145"/>
      <c r="AC84" s="153"/>
    </row>
    <row r="85" s="130" customFormat="1" customHeight="1" spans="1:29">
      <c r="A85" s="138">
        <v>45478</v>
      </c>
      <c r="B85" s="123"/>
      <c r="C85" s="123"/>
      <c r="D85" s="123" t="s">
        <v>1966</v>
      </c>
      <c r="E85" s="123"/>
      <c r="F85" s="123"/>
      <c r="G85" s="123" t="s">
        <v>1958</v>
      </c>
      <c r="H85" s="123" t="s">
        <v>14</v>
      </c>
      <c r="I85" s="123"/>
      <c r="J85" s="121">
        <v>9600</v>
      </c>
      <c r="K85" s="123"/>
      <c r="L85" s="121"/>
      <c r="M85" s="153"/>
      <c r="N85" s="153" t="s">
        <v>1991</v>
      </c>
      <c r="O85" s="153"/>
      <c r="P85" s="146"/>
      <c r="Q85" s="146"/>
      <c r="R85" s="153"/>
      <c r="S85" s="123"/>
      <c r="T85" s="123"/>
      <c r="U85" s="123"/>
      <c r="V85" s="123"/>
      <c r="W85" s="123"/>
      <c r="X85" s="142"/>
      <c r="Y85" s="143">
        <v>2.09</v>
      </c>
      <c r="Z85" s="149">
        <f t="shared" si="2"/>
        <v>20064</v>
      </c>
      <c r="AA85" s="149">
        <f t="shared" si="3"/>
        <v>155496</v>
      </c>
      <c r="AB85" s="145"/>
      <c r="AC85" s="153"/>
    </row>
    <row r="86" s="130" customFormat="1" customHeight="1" spans="1:29">
      <c r="A86" s="138">
        <v>45478</v>
      </c>
      <c r="B86" s="123"/>
      <c r="C86" s="123"/>
      <c r="D86" s="123" t="s">
        <v>1966</v>
      </c>
      <c r="E86" s="123"/>
      <c r="F86" s="123"/>
      <c r="G86" s="123" t="s">
        <v>1958</v>
      </c>
      <c r="H86" s="123" t="s">
        <v>16</v>
      </c>
      <c r="I86" s="123"/>
      <c r="J86" s="121">
        <v>5000</v>
      </c>
      <c r="K86" s="123"/>
      <c r="L86" s="121"/>
      <c r="M86" s="153"/>
      <c r="N86" s="153" t="s">
        <v>1991</v>
      </c>
      <c r="O86" s="153"/>
      <c r="P86" s="146"/>
      <c r="Q86" s="146"/>
      <c r="R86" s="153"/>
      <c r="S86" s="123"/>
      <c r="T86" s="123"/>
      <c r="U86" s="123"/>
      <c r="V86" s="123"/>
      <c r="W86" s="123"/>
      <c r="X86" s="142"/>
      <c r="Y86" s="143">
        <f>3.16</f>
        <v>3.16</v>
      </c>
      <c r="Z86" s="149">
        <f t="shared" si="2"/>
        <v>15800</v>
      </c>
      <c r="AA86" s="149">
        <f t="shared" si="3"/>
        <v>122450</v>
      </c>
      <c r="AB86" s="145"/>
      <c r="AC86" s="153"/>
    </row>
    <row r="87" s="130" customFormat="1" customHeight="1" spans="1:29">
      <c r="A87" s="138">
        <v>45478</v>
      </c>
      <c r="B87" s="123"/>
      <c r="C87" s="123"/>
      <c r="D87" s="123" t="s">
        <v>1972</v>
      </c>
      <c r="E87" s="123"/>
      <c r="F87" s="123"/>
      <c r="G87" s="123" t="s">
        <v>1958</v>
      </c>
      <c r="H87" s="123" t="s">
        <v>8</v>
      </c>
      <c r="I87" s="123"/>
      <c r="J87" s="121">
        <v>24000</v>
      </c>
      <c r="K87" s="123"/>
      <c r="L87" s="121"/>
      <c r="M87" s="153"/>
      <c r="N87" s="153" t="s">
        <v>1991</v>
      </c>
      <c r="O87" s="153"/>
      <c r="P87" s="146"/>
      <c r="Q87" s="146"/>
      <c r="R87" s="153"/>
      <c r="S87" s="123"/>
      <c r="T87" s="123"/>
      <c r="U87" s="123"/>
      <c r="V87" s="123"/>
      <c r="W87" s="123"/>
      <c r="X87" s="142"/>
      <c r="Y87" s="149">
        <v>0.8</v>
      </c>
      <c r="Z87" s="149">
        <f t="shared" si="2"/>
        <v>19200</v>
      </c>
      <c r="AA87" s="149">
        <f t="shared" si="3"/>
        <v>148800</v>
      </c>
      <c r="AB87" s="145"/>
      <c r="AC87" s="153"/>
    </row>
    <row r="88" s="130" customFormat="1" customHeight="1" spans="1:29">
      <c r="A88" s="138">
        <v>45478</v>
      </c>
      <c r="B88" s="123"/>
      <c r="C88" s="123"/>
      <c r="D88" s="123" t="s">
        <v>1972</v>
      </c>
      <c r="E88" s="123"/>
      <c r="F88" s="123"/>
      <c r="G88" s="123" t="s">
        <v>1958</v>
      </c>
      <c r="H88" s="123" t="s">
        <v>14</v>
      </c>
      <c r="I88" s="123"/>
      <c r="J88" s="121">
        <v>9600</v>
      </c>
      <c r="K88" s="123"/>
      <c r="L88" s="121"/>
      <c r="M88" s="153"/>
      <c r="N88" s="153" t="s">
        <v>1991</v>
      </c>
      <c r="O88" s="153"/>
      <c r="P88" s="146"/>
      <c r="Q88" s="146"/>
      <c r="R88" s="153"/>
      <c r="S88" s="123"/>
      <c r="T88" s="123"/>
      <c r="U88" s="123"/>
      <c r="V88" s="123"/>
      <c r="W88" s="123"/>
      <c r="X88" s="142"/>
      <c r="Y88" s="143">
        <v>2.09</v>
      </c>
      <c r="Z88" s="149">
        <f t="shared" si="2"/>
        <v>20064</v>
      </c>
      <c r="AA88" s="149">
        <f t="shared" si="3"/>
        <v>155496</v>
      </c>
      <c r="AB88" s="145"/>
      <c r="AC88" s="153"/>
    </row>
    <row r="89" s="130" customFormat="1" customHeight="1" spans="1:29">
      <c r="A89" s="138">
        <v>45478</v>
      </c>
      <c r="B89" s="123"/>
      <c r="C89" s="123"/>
      <c r="D89" s="123" t="s">
        <v>1972</v>
      </c>
      <c r="E89" s="123"/>
      <c r="F89" s="123"/>
      <c r="G89" s="123" t="s">
        <v>1958</v>
      </c>
      <c r="H89" s="123" t="s">
        <v>16</v>
      </c>
      <c r="I89" s="123"/>
      <c r="J89" s="121">
        <v>3600</v>
      </c>
      <c r="K89" s="123"/>
      <c r="L89" s="121"/>
      <c r="M89" s="153"/>
      <c r="N89" s="153" t="s">
        <v>1991</v>
      </c>
      <c r="O89" s="153"/>
      <c r="P89" s="146"/>
      <c r="Q89" s="146"/>
      <c r="R89" s="153"/>
      <c r="S89" s="123"/>
      <c r="T89" s="123"/>
      <c r="U89" s="123"/>
      <c r="V89" s="123"/>
      <c r="W89" s="123"/>
      <c r="X89" s="142"/>
      <c r="Y89" s="143">
        <f>3.16</f>
        <v>3.16</v>
      </c>
      <c r="Z89" s="149">
        <f t="shared" si="2"/>
        <v>11376</v>
      </c>
      <c r="AA89" s="149">
        <f t="shared" si="3"/>
        <v>88164</v>
      </c>
      <c r="AB89" s="145"/>
      <c r="AC89" s="153"/>
    </row>
    <row r="90" s="130" customFormat="1" customHeight="1" spans="1:29">
      <c r="A90" s="138">
        <v>45478</v>
      </c>
      <c r="B90" s="123"/>
      <c r="C90" s="123"/>
      <c r="D90" s="123" t="s">
        <v>1974</v>
      </c>
      <c r="E90" s="123"/>
      <c r="F90" s="123"/>
      <c r="G90" s="123" t="s">
        <v>1958</v>
      </c>
      <c r="H90" s="123" t="s">
        <v>1971</v>
      </c>
      <c r="I90" s="123"/>
      <c r="J90" s="121">
        <v>36000</v>
      </c>
      <c r="K90" s="123"/>
      <c r="L90" s="121"/>
      <c r="M90" s="153"/>
      <c r="N90" s="153" t="s">
        <v>1991</v>
      </c>
      <c r="O90" s="153"/>
      <c r="P90" s="146"/>
      <c r="Q90" s="146"/>
      <c r="R90" s="153"/>
      <c r="S90" s="123"/>
      <c r="T90" s="123"/>
      <c r="U90" s="123"/>
      <c r="V90" s="123"/>
      <c r="W90" s="123"/>
      <c r="X90" s="142"/>
      <c r="Y90" s="143">
        <v>0.63</v>
      </c>
      <c r="Z90" s="149">
        <f t="shared" si="2"/>
        <v>22680</v>
      </c>
      <c r="AA90" s="149">
        <f t="shared" si="3"/>
        <v>175770</v>
      </c>
      <c r="AB90" s="145"/>
      <c r="AC90" s="153"/>
    </row>
    <row r="91" s="130" customFormat="1" customHeight="1" spans="1:29">
      <c r="A91" s="138">
        <v>45478</v>
      </c>
      <c r="B91" s="123"/>
      <c r="C91" s="123"/>
      <c r="D91" s="123" t="s">
        <v>1974</v>
      </c>
      <c r="E91" s="123"/>
      <c r="F91" s="123"/>
      <c r="G91" s="123" t="s">
        <v>1958</v>
      </c>
      <c r="H91" s="123" t="s">
        <v>8</v>
      </c>
      <c r="I91" s="123"/>
      <c r="J91" s="121">
        <v>18000</v>
      </c>
      <c r="K91" s="123"/>
      <c r="L91" s="121"/>
      <c r="M91" s="153"/>
      <c r="N91" s="153" t="s">
        <v>1991</v>
      </c>
      <c r="O91" s="153"/>
      <c r="P91" s="146"/>
      <c r="Q91" s="146"/>
      <c r="R91" s="153"/>
      <c r="S91" s="123"/>
      <c r="T91" s="123"/>
      <c r="U91" s="123"/>
      <c r="V91" s="123"/>
      <c r="W91" s="123"/>
      <c r="X91" s="142"/>
      <c r="Y91" s="149">
        <v>0.8</v>
      </c>
      <c r="Z91" s="149">
        <f t="shared" si="2"/>
        <v>14400</v>
      </c>
      <c r="AA91" s="149">
        <f t="shared" si="3"/>
        <v>111600</v>
      </c>
      <c r="AB91" s="145"/>
      <c r="AC91" s="153"/>
    </row>
    <row r="92" s="130" customFormat="1" customHeight="1" spans="1:29">
      <c r="A92" s="138">
        <v>45478</v>
      </c>
      <c r="B92" s="123"/>
      <c r="C92" s="123"/>
      <c r="D92" s="123" t="s">
        <v>1974</v>
      </c>
      <c r="E92" s="123"/>
      <c r="F92" s="123"/>
      <c r="G92" s="123" t="s">
        <v>1958</v>
      </c>
      <c r="H92" s="123" t="s">
        <v>14</v>
      </c>
      <c r="I92" s="123"/>
      <c r="J92" s="121">
        <v>12000</v>
      </c>
      <c r="K92" s="123"/>
      <c r="L92" s="121"/>
      <c r="M92" s="153"/>
      <c r="N92" s="153" t="s">
        <v>1991</v>
      </c>
      <c r="O92" s="153"/>
      <c r="P92" s="146"/>
      <c r="Q92" s="146"/>
      <c r="R92" s="153"/>
      <c r="S92" s="123"/>
      <c r="T92" s="123"/>
      <c r="U92" s="123"/>
      <c r="V92" s="123"/>
      <c r="W92" s="123"/>
      <c r="X92" s="142"/>
      <c r="Y92" s="143">
        <v>2.09</v>
      </c>
      <c r="Z92" s="149">
        <f t="shared" si="2"/>
        <v>25080</v>
      </c>
      <c r="AA92" s="149">
        <f t="shared" si="3"/>
        <v>194370</v>
      </c>
      <c r="AB92" s="145"/>
      <c r="AC92" s="153"/>
    </row>
    <row r="93" s="130" customFormat="1" customHeight="1" spans="1:29">
      <c r="A93" s="138">
        <v>45478</v>
      </c>
      <c r="B93" s="123"/>
      <c r="C93" s="123"/>
      <c r="D93" s="123" t="s">
        <v>1974</v>
      </c>
      <c r="E93" s="123"/>
      <c r="F93" s="123"/>
      <c r="G93" s="123" t="s">
        <v>1958</v>
      </c>
      <c r="H93" s="123" t="s">
        <v>16</v>
      </c>
      <c r="I93" s="123"/>
      <c r="J93" s="121">
        <v>4800</v>
      </c>
      <c r="K93" s="123"/>
      <c r="L93" s="121"/>
      <c r="M93" s="153"/>
      <c r="N93" s="153" t="s">
        <v>1991</v>
      </c>
      <c r="O93" s="153"/>
      <c r="P93" s="146"/>
      <c r="Q93" s="146"/>
      <c r="R93" s="153"/>
      <c r="S93" s="123"/>
      <c r="T93" s="123"/>
      <c r="U93" s="123"/>
      <c r="V93" s="123"/>
      <c r="W93" s="123"/>
      <c r="X93" s="142"/>
      <c r="Y93" s="143">
        <f>3.16</f>
        <v>3.16</v>
      </c>
      <c r="Z93" s="149">
        <f t="shared" si="2"/>
        <v>15168</v>
      </c>
      <c r="AA93" s="149">
        <f t="shared" si="3"/>
        <v>117552</v>
      </c>
      <c r="AB93" s="145"/>
      <c r="AC93" s="153"/>
    </row>
    <row r="94" s="131" customFormat="1" customHeight="1" spans="1:29">
      <c r="A94" s="138">
        <v>45478</v>
      </c>
      <c r="B94" s="123"/>
      <c r="C94" s="123"/>
      <c r="D94" s="123" t="s">
        <v>1968</v>
      </c>
      <c r="E94" s="123"/>
      <c r="F94" s="123"/>
      <c r="G94" s="123" t="s">
        <v>1958</v>
      </c>
      <c r="H94" s="123" t="s">
        <v>19</v>
      </c>
      <c r="I94" s="123"/>
      <c r="J94" s="121">
        <v>18000</v>
      </c>
      <c r="K94" s="123"/>
      <c r="L94" s="121"/>
      <c r="M94" s="153"/>
      <c r="N94" s="153" t="s">
        <v>1991</v>
      </c>
      <c r="O94" s="153"/>
      <c r="P94" s="146"/>
      <c r="Q94" s="146"/>
      <c r="R94" s="153"/>
      <c r="S94" s="123"/>
      <c r="T94" s="123"/>
      <c r="U94" s="123"/>
      <c r="V94" s="123"/>
      <c r="W94" s="123"/>
      <c r="X94" s="142"/>
      <c r="Y94" s="143">
        <v>0.85</v>
      </c>
      <c r="Z94" s="149">
        <f t="shared" si="2"/>
        <v>15300</v>
      </c>
      <c r="AA94" s="149">
        <f t="shared" si="3"/>
        <v>118575</v>
      </c>
      <c r="AB94" s="145"/>
      <c r="AC94" s="153"/>
    </row>
    <row r="95" s="131" customFormat="1" customHeight="1" spans="1:29">
      <c r="A95" s="138">
        <v>45478</v>
      </c>
      <c r="B95" s="123"/>
      <c r="C95" s="123"/>
      <c r="D95" s="123" t="s">
        <v>1968</v>
      </c>
      <c r="E95" s="123"/>
      <c r="F95" s="123"/>
      <c r="G95" s="123" t="s">
        <v>1958</v>
      </c>
      <c r="H95" s="123" t="s">
        <v>11</v>
      </c>
      <c r="I95" s="123"/>
      <c r="J95" s="121">
        <v>24000</v>
      </c>
      <c r="K95" s="123"/>
      <c r="L95" s="121"/>
      <c r="M95" s="153"/>
      <c r="N95" s="153" t="s">
        <v>1991</v>
      </c>
      <c r="O95" s="153"/>
      <c r="P95" s="146"/>
      <c r="Q95" s="146"/>
      <c r="R95" s="153"/>
      <c r="S95" s="123"/>
      <c r="T95" s="123"/>
      <c r="U95" s="123"/>
      <c r="V95" s="123"/>
      <c r="W95" s="123"/>
      <c r="X95" s="142"/>
      <c r="Y95" s="143">
        <v>0.87</v>
      </c>
      <c r="Z95" s="149">
        <f t="shared" si="2"/>
        <v>20880</v>
      </c>
      <c r="AA95" s="149">
        <f t="shared" si="3"/>
        <v>161820</v>
      </c>
      <c r="AB95" s="145"/>
      <c r="AC95" s="153"/>
    </row>
    <row r="96" s="131" customFormat="1" customHeight="1" spans="1:29">
      <c r="A96" s="138">
        <v>45478</v>
      </c>
      <c r="B96" s="123"/>
      <c r="C96" s="123"/>
      <c r="D96" s="123" t="s">
        <v>1968</v>
      </c>
      <c r="E96" s="123"/>
      <c r="F96" s="123"/>
      <c r="G96" s="123" t="s">
        <v>1958</v>
      </c>
      <c r="H96" s="123" t="s">
        <v>14</v>
      </c>
      <c r="I96" s="123"/>
      <c r="J96" s="121">
        <v>24000</v>
      </c>
      <c r="K96" s="123"/>
      <c r="L96" s="121"/>
      <c r="M96" s="153"/>
      <c r="N96" s="153" t="s">
        <v>1991</v>
      </c>
      <c r="O96" s="153"/>
      <c r="P96" s="146"/>
      <c r="Q96" s="146"/>
      <c r="R96" s="153"/>
      <c r="S96" s="123"/>
      <c r="T96" s="123"/>
      <c r="U96" s="123"/>
      <c r="V96" s="123"/>
      <c r="W96" s="123"/>
      <c r="X96" s="142"/>
      <c r="Y96" s="143">
        <v>2.09</v>
      </c>
      <c r="Z96" s="149">
        <f t="shared" si="2"/>
        <v>50160</v>
      </c>
      <c r="AA96" s="149">
        <f t="shared" si="3"/>
        <v>388740</v>
      </c>
      <c r="AB96" s="145"/>
      <c r="AC96" s="153"/>
    </row>
    <row r="97" s="131" customFormat="1" customHeight="1" spans="1:29">
      <c r="A97" s="138">
        <v>45478</v>
      </c>
      <c r="B97" s="123"/>
      <c r="C97" s="123"/>
      <c r="D97" s="123" t="s">
        <v>1992</v>
      </c>
      <c r="E97" s="123"/>
      <c r="F97" s="123"/>
      <c r="G97" s="123" t="s">
        <v>1958</v>
      </c>
      <c r="H97" s="123" t="s">
        <v>8</v>
      </c>
      <c r="I97" s="123"/>
      <c r="J97" s="121">
        <v>17808</v>
      </c>
      <c r="K97" s="123"/>
      <c r="L97" s="121"/>
      <c r="M97" s="153"/>
      <c r="N97" s="153" t="s">
        <v>1991</v>
      </c>
      <c r="O97" s="153"/>
      <c r="P97" s="146"/>
      <c r="Q97" s="146"/>
      <c r="R97" s="153"/>
      <c r="S97" s="123"/>
      <c r="T97" s="123"/>
      <c r="U97" s="123"/>
      <c r="V97" s="123"/>
      <c r="W97" s="123"/>
      <c r="X97" s="142"/>
      <c r="Y97" s="149">
        <v>0.8</v>
      </c>
      <c r="Z97" s="149">
        <f t="shared" si="2"/>
        <v>14246.4</v>
      </c>
      <c r="AA97" s="149">
        <f t="shared" si="3"/>
        <v>110409.6</v>
      </c>
      <c r="AB97" s="145"/>
      <c r="AC97" s="153"/>
    </row>
    <row r="98" s="131" customFormat="1" customHeight="1" spans="1:29">
      <c r="A98" s="138">
        <v>45478</v>
      </c>
      <c r="B98" s="123"/>
      <c r="C98" s="123"/>
      <c r="D98" s="123" t="s">
        <v>1992</v>
      </c>
      <c r="E98" s="123"/>
      <c r="F98" s="123"/>
      <c r="G98" s="123" t="s">
        <v>1958</v>
      </c>
      <c r="H98" s="123" t="s">
        <v>14</v>
      </c>
      <c r="I98" s="123"/>
      <c r="J98" s="121">
        <v>9600</v>
      </c>
      <c r="K98" s="123"/>
      <c r="L98" s="121"/>
      <c r="M98" s="153"/>
      <c r="N98" s="153" t="s">
        <v>1991</v>
      </c>
      <c r="O98" s="153"/>
      <c r="P98" s="146"/>
      <c r="Q98" s="146"/>
      <c r="R98" s="153"/>
      <c r="S98" s="123"/>
      <c r="T98" s="123"/>
      <c r="U98" s="123"/>
      <c r="V98" s="123"/>
      <c r="W98" s="123"/>
      <c r="X98" s="142"/>
      <c r="Y98" s="143">
        <v>2.09</v>
      </c>
      <c r="Z98" s="149">
        <f t="shared" si="2"/>
        <v>20064</v>
      </c>
      <c r="AA98" s="149">
        <f t="shared" si="3"/>
        <v>155496</v>
      </c>
      <c r="AB98" s="145"/>
      <c r="AC98" s="153"/>
    </row>
    <row r="99" s="131" customFormat="1" customHeight="1" spans="1:29">
      <c r="A99" s="138">
        <v>45478</v>
      </c>
      <c r="B99" s="123"/>
      <c r="C99" s="123"/>
      <c r="D99" s="123" t="s">
        <v>1992</v>
      </c>
      <c r="E99" s="123"/>
      <c r="F99" s="123"/>
      <c r="G99" s="123" t="s">
        <v>1958</v>
      </c>
      <c r="H99" s="123" t="s">
        <v>16</v>
      </c>
      <c r="I99" s="123"/>
      <c r="J99" s="121">
        <v>5000</v>
      </c>
      <c r="K99" s="123"/>
      <c r="L99" s="121"/>
      <c r="M99" s="153"/>
      <c r="N99" s="153" t="s">
        <v>1991</v>
      </c>
      <c r="O99" s="153"/>
      <c r="P99" s="146"/>
      <c r="Q99" s="146"/>
      <c r="R99" s="153"/>
      <c r="S99" s="123"/>
      <c r="T99" s="123"/>
      <c r="U99" s="123"/>
      <c r="V99" s="123"/>
      <c r="W99" s="123"/>
      <c r="X99" s="142"/>
      <c r="Y99" s="143">
        <f>3.16</f>
        <v>3.16</v>
      </c>
      <c r="Z99" s="149">
        <f t="shared" si="2"/>
        <v>15800</v>
      </c>
      <c r="AA99" s="149">
        <f t="shared" si="3"/>
        <v>122450</v>
      </c>
      <c r="AB99" s="145"/>
      <c r="AC99" s="153"/>
    </row>
    <row r="100" s="131" customFormat="1" customHeight="1" spans="1:29">
      <c r="A100" s="138">
        <v>45478</v>
      </c>
      <c r="B100" s="123"/>
      <c r="C100" s="123"/>
      <c r="D100" s="123" t="s">
        <v>1979</v>
      </c>
      <c r="E100" s="123"/>
      <c r="F100" s="123"/>
      <c r="G100" s="123" t="s">
        <v>1958</v>
      </c>
      <c r="H100" s="123" t="s">
        <v>8</v>
      </c>
      <c r="I100" s="123"/>
      <c r="J100" s="121">
        <v>2400</v>
      </c>
      <c r="K100" s="123"/>
      <c r="L100" s="121"/>
      <c r="M100" s="153"/>
      <c r="N100" s="153" t="s">
        <v>1991</v>
      </c>
      <c r="O100" s="153"/>
      <c r="P100" s="146"/>
      <c r="Q100" s="146"/>
      <c r="R100" s="153"/>
      <c r="S100" s="123"/>
      <c r="T100" s="123"/>
      <c r="U100" s="123"/>
      <c r="V100" s="123"/>
      <c r="W100" s="123"/>
      <c r="X100" s="142"/>
      <c r="Y100" s="149">
        <v>0.8</v>
      </c>
      <c r="Z100" s="149">
        <f t="shared" si="2"/>
        <v>1920</v>
      </c>
      <c r="AA100" s="149">
        <f t="shared" si="3"/>
        <v>14880</v>
      </c>
      <c r="AB100" s="145"/>
      <c r="AC100" s="153"/>
    </row>
    <row r="101" s="131" customFormat="1" customHeight="1" spans="1:29">
      <c r="A101" s="138">
        <v>45478</v>
      </c>
      <c r="B101" s="123"/>
      <c r="C101" s="123"/>
      <c r="D101" s="123" t="s">
        <v>1979</v>
      </c>
      <c r="E101" s="123"/>
      <c r="F101" s="123"/>
      <c r="G101" s="123" t="s">
        <v>1958</v>
      </c>
      <c r="H101" s="123" t="s">
        <v>14</v>
      </c>
      <c r="I101" s="123"/>
      <c r="J101" s="121">
        <v>2000</v>
      </c>
      <c r="K101" s="123"/>
      <c r="L101" s="121"/>
      <c r="M101" s="153"/>
      <c r="N101" s="153" t="s">
        <v>1991</v>
      </c>
      <c r="O101" s="153"/>
      <c r="P101" s="146"/>
      <c r="Q101" s="146"/>
      <c r="R101" s="153"/>
      <c r="S101" s="123"/>
      <c r="T101" s="123"/>
      <c r="U101" s="123"/>
      <c r="V101" s="123"/>
      <c r="W101" s="123"/>
      <c r="X101" s="142"/>
      <c r="Y101" s="143">
        <v>2.09</v>
      </c>
      <c r="Z101" s="149">
        <f t="shared" si="2"/>
        <v>4180</v>
      </c>
      <c r="AA101" s="149">
        <f t="shared" si="3"/>
        <v>32395</v>
      </c>
      <c r="AB101" s="145"/>
      <c r="AC101" s="153"/>
    </row>
    <row r="102" s="131" customFormat="1" customHeight="1" spans="1:29">
      <c r="A102" s="138">
        <v>45478</v>
      </c>
      <c r="B102" s="123"/>
      <c r="C102" s="123"/>
      <c r="D102" s="123" t="s">
        <v>1979</v>
      </c>
      <c r="E102" s="123"/>
      <c r="F102" s="123"/>
      <c r="G102" s="123" t="s">
        <v>1958</v>
      </c>
      <c r="H102" s="123" t="s">
        <v>16</v>
      </c>
      <c r="I102" s="123"/>
      <c r="J102" s="121">
        <v>1200</v>
      </c>
      <c r="K102" s="123"/>
      <c r="L102" s="121"/>
      <c r="M102" s="153"/>
      <c r="N102" s="153" t="s">
        <v>1991</v>
      </c>
      <c r="O102" s="153"/>
      <c r="P102" s="146"/>
      <c r="Q102" s="146"/>
      <c r="R102" s="153"/>
      <c r="S102" s="123"/>
      <c r="T102" s="123"/>
      <c r="U102" s="123"/>
      <c r="V102" s="123"/>
      <c r="W102" s="123"/>
      <c r="X102" s="142"/>
      <c r="Y102" s="143">
        <f>3.16</f>
        <v>3.16</v>
      </c>
      <c r="Z102" s="149">
        <f t="shared" si="2"/>
        <v>3792</v>
      </c>
      <c r="AA102" s="149">
        <f t="shared" si="3"/>
        <v>29388</v>
      </c>
      <c r="AB102" s="145"/>
      <c r="AC102" s="153"/>
    </row>
    <row r="103" s="131" customFormat="1" customHeight="1" spans="1:29">
      <c r="A103" s="138">
        <v>45478</v>
      </c>
      <c r="B103" s="123"/>
      <c r="C103" s="123"/>
      <c r="D103" s="123" t="s">
        <v>1969</v>
      </c>
      <c r="E103" s="123"/>
      <c r="F103" s="123"/>
      <c r="G103" s="123" t="s">
        <v>1958</v>
      </c>
      <c r="H103" s="123" t="s">
        <v>10</v>
      </c>
      <c r="I103" s="123"/>
      <c r="J103" s="121">
        <v>24000</v>
      </c>
      <c r="K103" s="123"/>
      <c r="L103" s="121"/>
      <c r="M103" s="153"/>
      <c r="N103" s="153" t="s">
        <v>1991</v>
      </c>
      <c r="O103" s="153"/>
      <c r="P103" s="146"/>
      <c r="Q103" s="146"/>
      <c r="R103" s="153"/>
      <c r="S103" s="123"/>
      <c r="T103" s="123"/>
      <c r="U103" s="123"/>
      <c r="V103" s="123"/>
      <c r="W103" s="123"/>
      <c r="X103" s="142"/>
      <c r="Y103" s="143">
        <v>0.88</v>
      </c>
      <c r="Z103" s="149">
        <f t="shared" si="2"/>
        <v>21120</v>
      </c>
      <c r="AA103" s="149">
        <f t="shared" si="3"/>
        <v>163680</v>
      </c>
      <c r="AB103" s="145"/>
      <c r="AC103" s="153"/>
    </row>
    <row r="104" s="131" customFormat="1" customHeight="1" spans="1:29">
      <c r="A104" s="138">
        <v>45478</v>
      </c>
      <c r="B104" s="123"/>
      <c r="C104" s="123"/>
      <c r="D104" s="123" t="s">
        <v>1969</v>
      </c>
      <c r="E104" s="123"/>
      <c r="F104" s="123"/>
      <c r="G104" s="123" t="s">
        <v>1958</v>
      </c>
      <c r="H104" s="123" t="s">
        <v>14</v>
      </c>
      <c r="I104" s="123"/>
      <c r="J104" s="121">
        <v>4800</v>
      </c>
      <c r="K104" s="123"/>
      <c r="L104" s="121"/>
      <c r="M104" s="153"/>
      <c r="N104" s="153" t="s">
        <v>1991</v>
      </c>
      <c r="O104" s="153"/>
      <c r="P104" s="146"/>
      <c r="Q104" s="146"/>
      <c r="R104" s="153"/>
      <c r="S104" s="123"/>
      <c r="T104" s="123"/>
      <c r="U104" s="123"/>
      <c r="V104" s="123"/>
      <c r="W104" s="123"/>
      <c r="X104" s="142"/>
      <c r="Y104" s="143">
        <v>2.09</v>
      </c>
      <c r="Z104" s="149">
        <f t="shared" si="2"/>
        <v>10032</v>
      </c>
      <c r="AA104" s="149">
        <f t="shared" si="3"/>
        <v>77748</v>
      </c>
      <c r="AB104" s="145"/>
      <c r="AC104" s="153"/>
    </row>
    <row r="105" s="131" customFormat="1" customHeight="1" spans="1:29">
      <c r="A105" s="138">
        <v>45478</v>
      </c>
      <c r="B105" s="123"/>
      <c r="C105" s="123"/>
      <c r="D105" s="123" t="s">
        <v>1970</v>
      </c>
      <c r="E105" s="123"/>
      <c r="F105" s="123"/>
      <c r="G105" s="123" t="s">
        <v>1958</v>
      </c>
      <c r="H105" s="123" t="s">
        <v>1971</v>
      </c>
      <c r="I105" s="123"/>
      <c r="J105" s="121">
        <v>160000</v>
      </c>
      <c r="K105" s="123"/>
      <c r="L105" s="121"/>
      <c r="M105" s="153"/>
      <c r="N105" s="153" t="s">
        <v>1991</v>
      </c>
      <c r="O105" s="153"/>
      <c r="P105" s="146"/>
      <c r="Q105" s="146"/>
      <c r="R105" s="153"/>
      <c r="S105" s="123"/>
      <c r="T105" s="123"/>
      <c r="U105" s="123"/>
      <c r="V105" s="123"/>
      <c r="W105" s="123"/>
      <c r="X105" s="142"/>
      <c r="Y105" s="143">
        <v>0.63</v>
      </c>
      <c r="Z105" s="149">
        <f t="shared" si="2"/>
        <v>100800</v>
      </c>
      <c r="AA105" s="149">
        <f t="shared" si="3"/>
        <v>781200</v>
      </c>
      <c r="AB105" s="145"/>
      <c r="AC105" s="153"/>
    </row>
    <row r="106" s="131" customFormat="1" customHeight="1" spans="1:29">
      <c r="A106" s="138">
        <v>45478</v>
      </c>
      <c r="B106" s="123"/>
      <c r="C106" s="123"/>
      <c r="D106" s="123" t="s">
        <v>1970</v>
      </c>
      <c r="E106" s="123"/>
      <c r="F106" s="123"/>
      <c r="G106" s="123" t="s">
        <v>1958</v>
      </c>
      <c r="H106" s="123" t="s">
        <v>11</v>
      </c>
      <c r="I106" s="123"/>
      <c r="J106" s="121">
        <v>120000</v>
      </c>
      <c r="K106" s="123"/>
      <c r="L106" s="121"/>
      <c r="M106" s="153"/>
      <c r="N106" s="153" t="s">
        <v>1991</v>
      </c>
      <c r="O106" s="153"/>
      <c r="P106" s="146"/>
      <c r="Q106" s="146"/>
      <c r="R106" s="153"/>
      <c r="S106" s="123"/>
      <c r="T106" s="123"/>
      <c r="U106" s="123"/>
      <c r="V106" s="123"/>
      <c r="W106" s="123"/>
      <c r="X106" s="142"/>
      <c r="Y106" s="143">
        <v>0.87</v>
      </c>
      <c r="Z106" s="149">
        <f t="shared" si="2"/>
        <v>104400</v>
      </c>
      <c r="AA106" s="149">
        <f t="shared" si="3"/>
        <v>809100</v>
      </c>
      <c r="AB106" s="145"/>
      <c r="AC106" s="153"/>
    </row>
    <row r="107" s="131" customFormat="1" customHeight="1" spans="1:29">
      <c r="A107" s="138">
        <v>45478</v>
      </c>
      <c r="B107" s="123"/>
      <c r="C107" s="123"/>
      <c r="D107" s="123" t="s">
        <v>1970</v>
      </c>
      <c r="E107" s="123"/>
      <c r="F107" s="123"/>
      <c r="G107" s="123" t="s">
        <v>1958</v>
      </c>
      <c r="H107" s="123" t="s">
        <v>14</v>
      </c>
      <c r="I107" s="123"/>
      <c r="J107" s="121">
        <v>20000</v>
      </c>
      <c r="K107" s="123"/>
      <c r="L107" s="121"/>
      <c r="M107" s="153"/>
      <c r="N107" s="153" t="s">
        <v>1991</v>
      </c>
      <c r="O107" s="153"/>
      <c r="P107" s="146"/>
      <c r="Q107" s="146"/>
      <c r="R107" s="153"/>
      <c r="S107" s="123"/>
      <c r="T107" s="123"/>
      <c r="U107" s="123"/>
      <c r="V107" s="123"/>
      <c r="W107" s="123"/>
      <c r="X107" s="142"/>
      <c r="Y107" s="143">
        <v>2.09</v>
      </c>
      <c r="Z107" s="149">
        <f t="shared" si="2"/>
        <v>41800</v>
      </c>
      <c r="AA107" s="149">
        <f t="shared" si="3"/>
        <v>323950</v>
      </c>
      <c r="AB107" s="145"/>
      <c r="AC107" s="153"/>
    </row>
    <row r="108" s="131" customFormat="1" customHeight="1" spans="1:29">
      <c r="A108" s="138">
        <v>45478</v>
      </c>
      <c r="B108" s="123"/>
      <c r="C108" s="123"/>
      <c r="D108" s="123" t="s">
        <v>1970</v>
      </c>
      <c r="E108" s="123"/>
      <c r="F108" s="123"/>
      <c r="G108" s="123" t="s">
        <v>1958</v>
      </c>
      <c r="H108" s="123" t="s">
        <v>16</v>
      </c>
      <c r="I108" s="123"/>
      <c r="J108" s="121">
        <v>5000</v>
      </c>
      <c r="K108" s="123"/>
      <c r="L108" s="121"/>
      <c r="M108" s="153"/>
      <c r="N108" s="153" t="s">
        <v>1991</v>
      </c>
      <c r="O108" s="153"/>
      <c r="P108" s="146"/>
      <c r="Q108" s="146"/>
      <c r="R108" s="153"/>
      <c r="S108" s="123"/>
      <c r="T108" s="123"/>
      <c r="U108" s="123"/>
      <c r="V108" s="123"/>
      <c r="W108" s="123"/>
      <c r="X108" s="142"/>
      <c r="Y108" s="143">
        <f>3.16</f>
        <v>3.16</v>
      </c>
      <c r="Z108" s="149">
        <f t="shared" si="2"/>
        <v>15800</v>
      </c>
      <c r="AA108" s="149">
        <f t="shared" si="3"/>
        <v>122450</v>
      </c>
      <c r="AB108" s="145"/>
      <c r="AC108" s="153"/>
    </row>
    <row r="109" s="131" customFormat="1" customHeight="1" spans="1:29">
      <c r="A109" s="138">
        <v>45478</v>
      </c>
      <c r="B109" s="123"/>
      <c r="C109" s="123"/>
      <c r="D109" s="123" t="s">
        <v>1993</v>
      </c>
      <c r="E109" s="123"/>
      <c r="F109" s="123"/>
      <c r="G109" s="123" t="s">
        <v>1958</v>
      </c>
      <c r="H109" s="123" t="s">
        <v>10</v>
      </c>
      <c r="I109" s="123"/>
      <c r="J109" s="121">
        <v>48000</v>
      </c>
      <c r="K109" s="123"/>
      <c r="L109" s="121"/>
      <c r="M109" s="153"/>
      <c r="N109" s="153" t="s">
        <v>1991</v>
      </c>
      <c r="O109" s="153"/>
      <c r="P109" s="146"/>
      <c r="Q109" s="146"/>
      <c r="R109" s="153"/>
      <c r="S109" s="123"/>
      <c r="T109" s="123"/>
      <c r="U109" s="123"/>
      <c r="V109" s="123"/>
      <c r="W109" s="123"/>
      <c r="X109" s="142"/>
      <c r="Y109" s="143">
        <v>0.88</v>
      </c>
      <c r="Z109" s="149">
        <f t="shared" si="2"/>
        <v>42240</v>
      </c>
      <c r="AA109" s="149">
        <f t="shared" si="3"/>
        <v>327360</v>
      </c>
      <c r="AB109" s="145"/>
      <c r="AC109" s="153"/>
    </row>
    <row r="110" s="131" customFormat="1" customHeight="1" spans="1:29">
      <c r="A110" s="138">
        <v>45478</v>
      </c>
      <c r="B110" s="123"/>
      <c r="C110" s="123"/>
      <c r="D110" s="123" t="s">
        <v>1993</v>
      </c>
      <c r="E110" s="123"/>
      <c r="F110" s="123"/>
      <c r="G110" s="123" t="s">
        <v>1958</v>
      </c>
      <c r="H110" s="123" t="s">
        <v>14</v>
      </c>
      <c r="I110" s="123"/>
      <c r="J110" s="121">
        <v>18000</v>
      </c>
      <c r="K110" s="123"/>
      <c r="L110" s="121"/>
      <c r="M110" s="153"/>
      <c r="N110" s="153" t="s">
        <v>1991</v>
      </c>
      <c r="O110" s="153"/>
      <c r="P110" s="146"/>
      <c r="Q110" s="146"/>
      <c r="R110" s="153"/>
      <c r="S110" s="123"/>
      <c r="T110" s="123"/>
      <c r="U110" s="123"/>
      <c r="V110" s="123"/>
      <c r="W110" s="123"/>
      <c r="X110" s="142"/>
      <c r="Y110" s="143">
        <v>2.09</v>
      </c>
      <c r="Z110" s="149">
        <f t="shared" si="2"/>
        <v>37620</v>
      </c>
      <c r="AA110" s="149">
        <f t="shared" si="3"/>
        <v>291555</v>
      </c>
      <c r="AB110" s="145"/>
      <c r="AC110" s="153"/>
    </row>
    <row r="111" s="131" customFormat="1" customHeight="1" spans="1:29">
      <c r="A111" s="138">
        <v>45478</v>
      </c>
      <c r="B111" s="123"/>
      <c r="C111" s="123"/>
      <c r="D111" s="123" t="s">
        <v>1993</v>
      </c>
      <c r="E111" s="123"/>
      <c r="F111" s="123"/>
      <c r="G111" s="123" t="s">
        <v>1958</v>
      </c>
      <c r="H111" s="123" t="s">
        <v>16</v>
      </c>
      <c r="I111" s="123"/>
      <c r="J111" s="121">
        <v>12000</v>
      </c>
      <c r="K111" s="123"/>
      <c r="L111" s="121"/>
      <c r="M111" s="153"/>
      <c r="N111" s="153" t="s">
        <v>1991</v>
      </c>
      <c r="O111" s="153"/>
      <c r="P111" s="146"/>
      <c r="Q111" s="146"/>
      <c r="R111" s="153"/>
      <c r="S111" s="123"/>
      <c r="T111" s="123"/>
      <c r="U111" s="123"/>
      <c r="V111" s="123"/>
      <c r="W111" s="123"/>
      <c r="X111" s="142"/>
      <c r="Y111" s="143">
        <f>3.16</f>
        <v>3.16</v>
      </c>
      <c r="Z111" s="149">
        <f t="shared" si="2"/>
        <v>37920</v>
      </c>
      <c r="AA111" s="149">
        <f t="shared" si="3"/>
        <v>293880</v>
      </c>
      <c r="AB111" s="145"/>
      <c r="AC111" s="153"/>
    </row>
    <row r="112" s="131" customFormat="1" customHeight="1" spans="1:29">
      <c r="A112" s="138">
        <v>45894</v>
      </c>
      <c r="B112" s="123"/>
      <c r="C112" s="123"/>
      <c r="D112" s="123"/>
      <c r="E112" s="123"/>
      <c r="F112" s="123"/>
      <c r="G112" s="123" t="s">
        <v>1958</v>
      </c>
      <c r="H112" s="123" t="s">
        <v>44</v>
      </c>
      <c r="I112" s="123"/>
      <c r="J112" s="121">
        <v>2082</v>
      </c>
      <c r="K112" s="123"/>
      <c r="L112" s="121"/>
      <c r="M112" s="153"/>
      <c r="N112" s="153"/>
      <c r="O112" s="153"/>
      <c r="P112" s="146"/>
      <c r="Q112" s="146"/>
      <c r="R112" s="153"/>
      <c r="S112" s="123"/>
      <c r="T112" s="123"/>
      <c r="U112" s="123"/>
      <c r="V112" s="123"/>
      <c r="W112" s="123"/>
      <c r="X112" s="142"/>
      <c r="Y112" s="143">
        <v>0.6</v>
      </c>
      <c r="Z112" s="149">
        <f t="shared" si="2"/>
        <v>1249.2</v>
      </c>
      <c r="AA112" s="149">
        <f t="shared" si="3"/>
        <v>9681.3</v>
      </c>
      <c r="AB112" s="145"/>
      <c r="AC112" s="153"/>
    </row>
    <row r="113" s="131" customFormat="1" customHeight="1" spans="1:29">
      <c r="A113" s="138"/>
      <c r="B113" s="123"/>
      <c r="C113" s="123"/>
      <c r="D113" s="123"/>
      <c r="E113" s="123"/>
      <c r="F113" s="123"/>
      <c r="G113" s="123"/>
      <c r="H113" s="123"/>
      <c r="I113" s="123"/>
      <c r="J113" s="121"/>
      <c r="K113" s="123"/>
      <c r="L113" s="121"/>
      <c r="M113" s="153"/>
      <c r="N113" s="153"/>
      <c r="O113" s="153"/>
      <c r="P113" s="146"/>
      <c r="Q113" s="146"/>
      <c r="R113" s="153"/>
      <c r="S113" s="123"/>
      <c r="T113" s="123"/>
      <c r="U113" s="123"/>
      <c r="V113" s="123"/>
      <c r="W113" s="123"/>
      <c r="X113" s="142"/>
      <c r="Y113" s="143"/>
      <c r="Z113" s="149">
        <f t="shared" si="2"/>
        <v>0</v>
      </c>
      <c r="AA113" s="149">
        <f t="shared" si="3"/>
        <v>0</v>
      </c>
      <c r="AB113" s="145"/>
      <c r="AC113" s="153"/>
    </row>
    <row r="114" s="131" customFormat="1" customHeight="1" spans="1:29">
      <c r="A114" s="138"/>
      <c r="B114" s="123"/>
      <c r="C114" s="123"/>
      <c r="D114" s="123"/>
      <c r="E114" s="123"/>
      <c r="F114" s="123"/>
      <c r="G114" s="123"/>
      <c r="H114" s="123"/>
      <c r="I114" s="123"/>
      <c r="J114" s="121"/>
      <c r="K114" s="123"/>
      <c r="L114" s="121"/>
      <c r="M114" s="153"/>
      <c r="N114" s="153"/>
      <c r="O114" s="153"/>
      <c r="P114" s="146"/>
      <c r="Q114" s="146"/>
      <c r="R114" s="153"/>
      <c r="S114" s="123"/>
      <c r="T114" s="123"/>
      <c r="U114" s="123"/>
      <c r="V114" s="123"/>
      <c r="W114" s="123"/>
      <c r="X114" s="142"/>
      <c r="Y114" s="143"/>
      <c r="Z114" s="149">
        <f t="shared" si="2"/>
        <v>0</v>
      </c>
      <c r="AA114" s="149">
        <f t="shared" si="3"/>
        <v>0</v>
      </c>
      <c r="AB114" s="145"/>
      <c r="AC114" s="153"/>
    </row>
    <row r="115" s="131" customFormat="1" customHeight="1" spans="1:29">
      <c r="A115" s="138"/>
      <c r="B115" s="123"/>
      <c r="C115" s="123"/>
      <c r="D115" s="123"/>
      <c r="E115" s="123"/>
      <c r="F115" s="123"/>
      <c r="G115" s="123"/>
      <c r="H115" s="123"/>
      <c r="I115" s="123"/>
      <c r="J115" s="121"/>
      <c r="K115" s="123"/>
      <c r="L115" s="121"/>
      <c r="M115" s="153"/>
      <c r="N115" s="153"/>
      <c r="O115" s="153"/>
      <c r="P115" s="146"/>
      <c r="Q115" s="146"/>
      <c r="R115" s="153"/>
      <c r="S115" s="123"/>
      <c r="T115" s="123"/>
      <c r="U115" s="123"/>
      <c r="V115" s="123"/>
      <c r="W115" s="123"/>
      <c r="X115" s="142"/>
      <c r="Y115" s="143"/>
      <c r="Z115" s="149">
        <f t="shared" si="2"/>
        <v>0</v>
      </c>
      <c r="AA115" s="149">
        <f t="shared" si="3"/>
        <v>0</v>
      </c>
      <c r="AB115" s="145"/>
      <c r="AC115" s="153"/>
    </row>
    <row r="116" s="131" customFormat="1" customHeight="1" spans="1:29">
      <c r="A116" s="138"/>
      <c r="B116" s="123"/>
      <c r="C116" s="123"/>
      <c r="D116" s="123"/>
      <c r="E116" s="123"/>
      <c r="F116" s="123"/>
      <c r="G116" s="123"/>
      <c r="H116" s="123"/>
      <c r="I116" s="123"/>
      <c r="J116" s="121"/>
      <c r="K116" s="123"/>
      <c r="L116" s="121"/>
      <c r="M116" s="153"/>
      <c r="N116" s="153"/>
      <c r="O116" s="153"/>
      <c r="P116" s="146"/>
      <c r="Q116" s="146"/>
      <c r="R116" s="153"/>
      <c r="S116" s="123"/>
      <c r="T116" s="123"/>
      <c r="U116" s="123"/>
      <c r="V116" s="123"/>
      <c r="W116" s="123"/>
      <c r="X116" s="142"/>
      <c r="Y116" s="143"/>
      <c r="Z116" s="149">
        <f t="shared" si="2"/>
        <v>0</v>
      </c>
      <c r="AA116" s="149">
        <f t="shared" si="3"/>
        <v>0</v>
      </c>
      <c r="AB116" s="145"/>
      <c r="AC116" s="153"/>
    </row>
    <row r="117" customHeight="1" spans="1:29">
      <c r="A117" s="138"/>
      <c r="B117" s="123"/>
      <c r="C117" s="123"/>
      <c r="D117" s="123"/>
      <c r="E117" s="123"/>
      <c r="F117" s="123"/>
      <c r="G117" s="123"/>
      <c r="H117" s="123"/>
      <c r="I117" s="123"/>
      <c r="J117" s="121"/>
      <c r="K117" s="123"/>
      <c r="L117" s="121"/>
      <c r="M117" s="140"/>
      <c r="N117" s="140"/>
      <c r="O117" s="140"/>
      <c r="P117" s="146"/>
      <c r="Q117" s="146"/>
      <c r="R117" s="140"/>
      <c r="S117" s="123"/>
      <c r="T117" s="123"/>
      <c r="U117" s="123"/>
      <c r="V117" s="123"/>
      <c r="W117" s="123"/>
      <c r="X117" s="121"/>
      <c r="Y117" s="143"/>
      <c r="Z117" s="149">
        <f t="shared" si="2"/>
        <v>0</v>
      </c>
      <c r="AA117" s="149">
        <f t="shared" si="3"/>
        <v>0</v>
      </c>
      <c r="AB117" s="145"/>
      <c r="AC117" s="140"/>
    </row>
    <row r="118" customHeight="1" spans="1:29">
      <c r="A118" s="138"/>
      <c r="B118" s="123"/>
      <c r="C118" s="123"/>
      <c r="D118" s="123"/>
      <c r="E118" s="123"/>
      <c r="F118" s="123"/>
      <c r="G118" s="123"/>
      <c r="H118" s="123"/>
      <c r="I118" s="123" t="s">
        <v>1552</v>
      </c>
      <c r="J118" s="121">
        <f>SUM(J2:J117)</f>
        <v>2120834</v>
      </c>
      <c r="K118" s="123"/>
      <c r="L118" s="121"/>
      <c r="M118" s="140"/>
      <c r="N118" s="140"/>
      <c r="O118" s="140"/>
      <c r="P118" s="146"/>
      <c r="Q118" s="146"/>
      <c r="R118" s="140"/>
      <c r="S118" s="123"/>
      <c r="T118" s="123"/>
      <c r="U118" s="123"/>
      <c r="V118" s="123"/>
      <c r="W118" s="123"/>
      <c r="X118" s="121"/>
      <c r="Y118" s="143"/>
      <c r="Z118" s="144">
        <f>SUM(Z2:Z117)</f>
        <v>2494664</v>
      </c>
      <c r="AA118" s="144">
        <f>SUM(AA2:AA117)</f>
        <v>19333646</v>
      </c>
      <c r="AB118" s="145"/>
      <c r="AC118" s="140"/>
    </row>
    <row r="122" customHeight="1" spans="1:29">
      <c r="S122" s="16">
        <f>58888*16%</f>
        <v>9422.08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C118" etc:filterBottomFollowUsedRange="0">
    <sortState ref="A1:AC118">
      <sortCondition ref="N1"/>
    </sortState>
    <extLst/>
  </autoFilter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BC67"/>
  <sheetViews>
    <sheetView workbookViewId="0">
      <pane xSplit="16" ySplit="2" topLeftCell="X61" activePane="bottomRight" state="frozen"/>
      <selection/>
      <selection pane="topRight"/>
      <selection pane="bottomLeft"/>
      <selection pane="bottomRight" activeCell="X65" sqref="X65"/>
    </sheetView>
  </sheetViews>
  <sheetFormatPr defaultColWidth="9" defaultRowHeight="25" customHeight="1"/>
  <cols>
    <col min="1" max="1" width="12.625" style="17" customWidth="1"/>
    <col min="2" max="3" width="3.625" style="17" customWidth="1"/>
    <col min="4" max="4" width="10.625" style="12" customWidth="1"/>
    <col min="5" max="5" width="8.625" style="12" customWidth="1"/>
    <col min="6" max="7" width="12.625" style="12" customWidth="1"/>
    <col min="8" max="8" width="10.625" style="12" customWidth="1"/>
    <col min="9" max="9" width="10.625" style="12" hidden="1" customWidth="1"/>
    <col min="10" max="10" width="6.625" style="18" customWidth="1"/>
    <col min="11" max="11" width="6.625" style="18" hidden="1" customWidth="1"/>
    <col min="12" max="12" width="8.625" style="18" hidden="1" customWidth="1"/>
    <col min="13" max="13" width="5.625" style="12" customWidth="1"/>
    <col min="14" max="14" width="5.625" style="18" customWidth="1"/>
    <col min="15" max="15" width="12.625" style="17" hidden="1" customWidth="1"/>
    <col min="16" max="19" width="12.625" style="17" customWidth="1"/>
    <col min="20" max="20" width="6.625" style="12" customWidth="1"/>
    <col min="21" max="21" width="8.625" style="19" customWidth="1"/>
    <col min="22" max="22" width="12.625" style="19" customWidth="1"/>
    <col min="23" max="23" width="4.625" style="19" hidden="1" customWidth="1"/>
    <col min="24" max="24" width="7.99166666666667" style="12" customWidth="1"/>
    <col min="25" max="25" width="7.13333333333333" style="12" customWidth="1"/>
    <col min="26" max="28" width="8.625" style="12" hidden="1" customWidth="1"/>
    <col min="29" max="29" width="10.625" style="12" hidden="1" customWidth="1"/>
    <col min="30" max="30" width="4.625" style="12" hidden="1" customWidth="1"/>
    <col min="31" max="31" width="10.625" style="12" customWidth="1"/>
    <col min="32" max="32" width="6.625" style="12" customWidth="1"/>
    <col min="33" max="33" width="10.625" style="12" customWidth="1"/>
    <col min="34" max="34" width="10.625" style="12" hidden="1" customWidth="1"/>
    <col min="35" max="35" width="6.625" style="12" hidden="1" customWidth="1"/>
    <col min="36" max="38" width="10.625" style="12" hidden="1" customWidth="1"/>
    <col min="39" max="39" width="12.625" style="12" hidden="1" customWidth="1"/>
    <col min="40" max="40" width="15.625" style="18" customWidth="1"/>
    <col min="41" max="41" width="8.625" style="20" customWidth="1"/>
    <col min="42" max="43" width="12.625" style="21" customWidth="1"/>
    <col min="44" max="44" width="10.625" style="22" customWidth="1"/>
    <col min="45" max="45" width="10.625" style="22" hidden="1" customWidth="1"/>
    <col min="46" max="46" width="10.625" style="17" customWidth="1"/>
    <col min="47" max="48" width="8.625" style="17" customWidth="1"/>
    <col min="49" max="49" width="8.875" style="23" customWidth="1"/>
    <col min="50" max="50" width="9.625" style="23" customWidth="1"/>
    <col min="51" max="51" width="9.875" style="23" customWidth="1"/>
    <col min="52" max="52" width="10.375" style="23" customWidth="1"/>
    <col min="53" max="53" width="7.25" style="24" customWidth="1"/>
    <col min="54" max="16384" width="9" style="16"/>
  </cols>
  <sheetData>
    <row r="1" s="12" customFormat="1" customHeight="1" spans="1:53">
      <c r="A1" s="25" t="s">
        <v>208</v>
      </c>
      <c r="B1" s="26" t="s">
        <v>1168</v>
      </c>
      <c r="C1" s="27" t="str">
        <f>VLOOKUP(H1,名称!A:E,4,0)</f>
        <v>系列</v>
      </c>
      <c r="D1" s="25" t="s">
        <v>1169</v>
      </c>
      <c r="E1" s="25" t="s">
        <v>1170</v>
      </c>
      <c r="F1" s="25" t="s">
        <v>210</v>
      </c>
      <c r="G1" s="25" t="s">
        <v>211</v>
      </c>
      <c r="H1" s="25" t="s">
        <v>0</v>
      </c>
      <c r="I1" s="25" t="s">
        <v>207</v>
      </c>
      <c r="J1" s="25" t="s">
        <v>212</v>
      </c>
      <c r="K1" s="25" t="s">
        <v>1</v>
      </c>
      <c r="L1" s="25" t="s">
        <v>1171</v>
      </c>
      <c r="M1" s="25" t="s">
        <v>1172</v>
      </c>
      <c r="N1" s="25" t="s">
        <v>1173</v>
      </c>
      <c r="O1" s="25" t="s">
        <v>1174</v>
      </c>
      <c r="P1" s="28" t="s">
        <v>1175</v>
      </c>
      <c r="Q1" s="25" t="s">
        <v>1176</v>
      </c>
      <c r="R1" s="29" t="s">
        <v>1177</v>
      </c>
      <c r="S1" s="25" t="s">
        <v>1178</v>
      </c>
      <c r="T1" s="29" t="s">
        <v>1179</v>
      </c>
      <c r="U1" s="30" t="s">
        <v>1180</v>
      </c>
      <c r="V1" s="25" t="s">
        <v>1181</v>
      </c>
      <c r="W1" s="25" t="s">
        <v>1182</v>
      </c>
      <c r="X1" s="29" t="s">
        <v>1183</v>
      </c>
      <c r="Y1" s="29"/>
      <c r="Z1" s="29" t="s">
        <v>1184</v>
      </c>
      <c r="AA1" s="31"/>
      <c r="AB1" s="29"/>
      <c r="AC1" s="29" t="s">
        <v>1185</v>
      </c>
      <c r="AD1" s="29"/>
      <c r="AE1" s="29" t="s">
        <v>1186</v>
      </c>
      <c r="AF1" s="29"/>
      <c r="AG1" s="29" t="s">
        <v>1187</v>
      </c>
      <c r="AH1" s="29"/>
      <c r="AI1" s="29"/>
      <c r="AJ1" s="29" t="s">
        <v>1188</v>
      </c>
      <c r="AK1" s="29" t="s">
        <v>1189</v>
      </c>
      <c r="AL1" s="29" t="s">
        <v>1190</v>
      </c>
      <c r="AM1" s="29" t="s">
        <v>1191</v>
      </c>
      <c r="AN1" s="32" t="s">
        <v>1192</v>
      </c>
      <c r="AO1" s="32" t="s">
        <v>243</v>
      </c>
      <c r="AP1" s="32" t="s">
        <v>244</v>
      </c>
      <c r="AQ1" s="32" t="s">
        <v>245</v>
      </c>
      <c r="AR1" s="33" t="s">
        <v>1193</v>
      </c>
      <c r="AS1" s="32" t="s">
        <v>1194</v>
      </c>
      <c r="AT1" s="32" t="s">
        <v>1195</v>
      </c>
      <c r="AU1" s="34" t="s">
        <v>1196</v>
      </c>
      <c r="AV1" s="34" t="s">
        <v>1197</v>
      </c>
      <c r="AW1" s="34" t="s">
        <v>1198</v>
      </c>
      <c r="AX1" s="35" t="s">
        <v>1199</v>
      </c>
      <c r="AY1" s="32" t="s">
        <v>1553</v>
      </c>
      <c r="AZ1" s="32" t="s">
        <v>1201</v>
      </c>
      <c r="BA1" s="32" t="s">
        <v>1202</v>
      </c>
    </row>
    <row r="2" s="12" customFormat="1" customHeight="1" spans="1:53">
      <c r="A2" s="25"/>
      <c r="B2" s="26"/>
      <c r="C2" s="36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8"/>
      <c r="Q2" s="25"/>
      <c r="R2" s="29"/>
      <c r="S2" s="25"/>
      <c r="T2" s="29"/>
      <c r="U2" s="37"/>
      <c r="V2" s="25"/>
      <c r="W2" s="25"/>
      <c r="X2" s="29" t="s">
        <v>1203</v>
      </c>
      <c r="Y2" s="29" t="s">
        <v>1204</v>
      </c>
      <c r="Z2" s="29" t="s">
        <v>1205</v>
      </c>
      <c r="AA2" s="31" t="s">
        <v>1206</v>
      </c>
      <c r="AB2" s="29" t="s">
        <v>1207</v>
      </c>
      <c r="AC2" s="29" t="s">
        <v>1208</v>
      </c>
      <c r="AD2" s="29" t="s">
        <v>1204</v>
      </c>
      <c r="AE2" s="29" t="s">
        <v>1554</v>
      </c>
      <c r="AF2" s="29" t="s">
        <v>1204</v>
      </c>
      <c r="AG2" s="29" t="s">
        <v>1555</v>
      </c>
      <c r="AH2" s="29" t="s">
        <v>1211</v>
      </c>
      <c r="AI2" s="29" t="s">
        <v>1204</v>
      </c>
      <c r="AJ2" s="29"/>
      <c r="AK2" s="29"/>
      <c r="AL2" s="29"/>
      <c r="AM2" s="29"/>
      <c r="AN2" s="32"/>
      <c r="AO2" s="32"/>
      <c r="AP2" s="32"/>
      <c r="AQ2" s="32"/>
      <c r="AR2" s="33"/>
      <c r="AS2" s="32"/>
      <c r="AT2" s="32"/>
      <c r="AU2" s="38"/>
      <c r="AV2" s="38"/>
      <c r="AW2" s="38"/>
      <c r="AX2" s="39"/>
      <c r="AY2" s="32"/>
      <c r="AZ2" s="32"/>
      <c r="BA2" s="32"/>
    </row>
    <row r="3" s="13" customFormat="1" customHeight="1" spans="1:53">
      <c r="A3" s="40">
        <v>46031</v>
      </c>
      <c r="B3" s="40" t="str">
        <f ca="1" t="shared" ref="B3:B47" si="0">IF(TODAY()-5&gt;=A3,IF(AB3="","异常",""),"")</f>
        <v>异常</v>
      </c>
      <c r="C3" s="41" t="str">
        <f>VLOOKUP(H3,名称!A:E,4,0)</f>
        <v>三代</v>
      </c>
      <c r="D3" s="42" t="s">
        <v>1276</v>
      </c>
      <c r="E3" s="42" t="s">
        <v>1224</v>
      </c>
      <c r="F3" s="43" t="s">
        <v>1994</v>
      </c>
      <c r="G3" s="43" t="s">
        <v>1995</v>
      </c>
      <c r="H3" s="43" t="s">
        <v>110</v>
      </c>
      <c r="I3" s="43"/>
      <c r="J3" s="43">
        <v>43200</v>
      </c>
      <c r="K3" s="43"/>
      <c r="L3" s="43"/>
      <c r="M3" s="43">
        <v>24</v>
      </c>
      <c r="N3" s="44">
        <f t="shared" ref="N3:N47" si="1">J3/M3</f>
        <v>1800</v>
      </c>
      <c r="O3" s="40">
        <v>46113</v>
      </c>
      <c r="P3" s="40">
        <v>46113</v>
      </c>
      <c r="Q3" s="40">
        <v>46112</v>
      </c>
      <c r="R3" s="43"/>
      <c r="S3" s="40">
        <v>46113</v>
      </c>
      <c r="T3" s="43"/>
      <c r="U3" s="43"/>
      <c r="V3" s="43"/>
      <c r="W3" s="40"/>
      <c r="X3" s="43" t="s">
        <v>1133</v>
      </c>
      <c r="Y3" s="43" t="s">
        <v>1133</v>
      </c>
      <c r="Z3" s="45">
        <v>46031</v>
      </c>
      <c r="AA3" s="46"/>
      <c r="AB3" s="43"/>
      <c r="AC3" s="43" t="s">
        <v>1133</v>
      </c>
      <c r="AD3" s="43" t="s">
        <v>1133</v>
      </c>
      <c r="AE3" s="43" t="s">
        <v>270</v>
      </c>
      <c r="AF3" s="43" t="s">
        <v>1233</v>
      </c>
      <c r="AG3" s="43" t="s">
        <v>270</v>
      </c>
      <c r="AH3" s="43" t="s">
        <v>1133</v>
      </c>
      <c r="AI3" s="43" t="s">
        <v>1228</v>
      </c>
      <c r="AJ3" s="43" t="s">
        <v>1133</v>
      </c>
      <c r="AK3" s="43" t="s">
        <v>1598</v>
      </c>
      <c r="AL3" s="43"/>
      <c r="AM3" s="43" t="s">
        <v>1286</v>
      </c>
      <c r="AN3" s="44"/>
      <c r="AO3" s="47">
        <v>0.59</v>
      </c>
      <c r="AP3" s="48">
        <f t="shared" ref="AP3:AP55" si="2">J3*AO3</f>
        <v>25488</v>
      </c>
      <c r="AQ3" s="48">
        <f t="shared" ref="AQ3:AQ55" si="3">AP3*7.75</f>
        <v>197532</v>
      </c>
      <c r="AR3" s="49">
        <v>46036</v>
      </c>
      <c r="AS3" s="40"/>
      <c r="AT3" s="40" t="s">
        <v>1310</v>
      </c>
      <c r="AU3" s="40"/>
      <c r="AV3" s="40"/>
      <c r="AW3" s="40"/>
      <c r="AX3" s="40"/>
      <c r="AY3" s="40"/>
      <c r="AZ3" s="40"/>
      <c r="BA3" s="40"/>
    </row>
    <row r="4" s="13" customFormat="1" customHeight="1" spans="1:53">
      <c r="A4" s="40">
        <v>46031</v>
      </c>
      <c r="B4" s="40" t="str">
        <f ca="1" t="shared" si="0"/>
        <v>异常</v>
      </c>
      <c r="C4" s="41" t="str">
        <f>VLOOKUP(H4,名称!A:E,4,0)</f>
        <v>三代</v>
      </c>
      <c r="D4" s="42" t="s">
        <v>1276</v>
      </c>
      <c r="E4" s="42" t="s">
        <v>1224</v>
      </c>
      <c r="F4" s="43" t="s">
        <v>1996</v>
      </c>
      <c r="G4" s="43" t="s">
        <v>1997</v>
      </c>
      <c r="H4" s="43" t="s">
        <v>70</v>
      </c>
      <c r="I4" s="43"/>
      <c r="J4" s="43">
        <v>3600</v>
      </c>
      <c r="K4" s="43"/>
      <c r="L4" s="43"/>
      <c r="M4" s="43">
        <v>2</v>
      </c>
      <c r="N4" s="44">
        <f t="shared" si="1"/>
        <v>1800</v>
      </c>
      <c r="O4" s="40">
        <v>46113</v>
      </c>
      <c r="P4" s="40">
        <v>46113</v>
      </c>
      <c r="Q4" s="40">
        <v>46112</v>
      </c>
      <c r="R4" s="43"/>
      <c r="S4" s="40">
        <v>46113</v>
      </c>
      <c r="T4" s="43"/>
      <c r="U4" s="43"/>
      <c r="V4" s="43"/>
      <c r="W4" s="40"/>
      <c r="X4" s="43" t="s">
        <v>1133</v>
      </c>
      <c r="Y4" s="43" t="s">
        <v>1133</v>
      </c>
      <c r="Z4" s="45">
        <v>46031</v>
      </c>
      <c r="AA4" s="46"/>
      <c r="AB4" s="43"/>
      <c r="AC4" s="43" t="s">
        <v>1133</v>
      </c>
      <c r="AD4" s="43" t="s">
        <v>1133</v>
      </c>
      <c r="AE4" s="43" t="s">
        <v>270</v>
      </c>
      <c r="AF4" s="43" t="s">
        <v>1233</v>
      </c>
      <c r="AG4" s="43" t="s">
        <v>270</v>
      </c>
      <c r="AH4" s="43" t="s">
        <v>1133</v>
      </c>
      <c r="AI4" s="43" t="s">
        <v>1233</v>
      </c>
      <c r="AJ4" s="43" t="s">
        <v>1133</v>
      </c>
      <c r="AK4" s="43" t="s">
        <v>1356</v>
      </c>
      <c r="AL4" s="43"/>
      <c r="AM4" s="43" t="s">
        <v>1286</v>
      </c>
      <c r="AN4" s="44"/>
      <c r="AO4" s="47">
        <v>9.12</v>
      </c>
      <c r="AP4" s="48">
        <f t="shared" si="2"/>
        <v>32832</v>
      </c>
      <c r="AQ4" s="48">
        <f t="shared" si="3"/>
        <v>254448</v>
      </c>
      <c r="AR4" s="49">
        <v>46036</v>
      </c>
      <c r="AS4" s="40"/>
      <c r="AT4" s="40" t="s">
        <v>1310</v>
      </c>
      <c r="AU4" s="40"/>
      <c r="AV4" s="40"/>
      <c r="AW4" s="40"/>
      <c r="AX4" s="40"/>
      <c r="AY4" s="40"/>
      <c r="AZ4" s="40"/>
      <c r="BA4" s="40"/>
    </row>
    <row r="5" s="13" customFormat="1" customHeight="1" spans="1:53">
      <c r="A5" s="40">
        <v>46015</v>
      </c>
      <c r="B5" s="40" t="str">
        <f ca="1" t="shared" si="0"/>
        <v/>
      </c>
      <c r="C5" s="41" t="str">
        <f>VLOOKUP(H5,名称!A:E,4,0)</f>
        <v>二代</v>
      </c>
      <c r="D5" s="42" t="s">
        <v>1489</v>
      </c>
      <c r="E5" s="42" t="s">
        <v>1621</v>
      </c>
      <c r="F5" s="43" t="s">
        <v>381</v>
      </c>
      <c r="G5" s="43" t="s">
        <v>382</v>
      </c>
      <c r="H5" s="43" t="s">
        <v>65</v>
      </c>
      <c r="I5" s="43"/>
      <c r="J5" s="43">
        <v>1848</v>
      </c>
      <c r="K5" s="43"/>
      <c r="L5" s="43"/>
      <c r="M5" s="43">
        <v>24</v>
      </c>
      <c r="N5" s="44">
        <f t="shared" si="1"/>
        <v>77</v>
      </c>
      <c r="O5" s="40">
        <v>46064</v>
      </c>
      <c r="P5" s="40">
        <v>46064</v>
      </c>
      <c r="Q5" s="40">
        <v>46056</v>
      </c>
      <c r="R5" s="43"/>
      <c r="S5" s="40" t="s">
        <v>1133</v>
      </c>
      <c r="T5" s="43" t="s">
        <v>1133</v>
      </c>
      <c r="U5" s="43"/>
      <c r="V5" s="43"/>
      <c r="W5" s="40"/>
      <c r="X5" s="43" t="s">
        <v>1248</v>
      </c>
      <c r="Y5" s="43" t="s">
        <v>1233</v>
      </c>
      <c r="Z5" s="45" t="s">
        <v>1249</v>
      </c>
      <c r="AA5" s="46">
        <v>46026</v>
      </c>
      <c r="AB5" s="43">
        <v>46028</v>
      </c>
      <c r="AC5" s="43" t="s">
        <v>1133</v>
      </c>
      <c r="AD5" s="43" t="s">
        <v>1133</v>
      </c>
      <c r="AE5" s="43" t="s">
        <v>327</v>
      </c>
      <c r="AF5" s="43" t="s">
        <v>1228</v>
      </c>
      <c r="AG5" s="43" t="s">
        <v>327</v>
      </c>
      <c r="AH5" s="43" t="s">
        <v>1133</v>
      </c>
      <c r="AI5" s="43" t="s">
        <v>1228</v>
      </c>
      <c r="AJ5" s="43" t="s">
        <v>1133</v>
      </c>
      <c r="AK5" s="43" t="s">
        <v>327</v>
      </c>
      <c r="AL5" s="43"/>
      <c r="AM5" s="43" t="s">
        <v>1619</v>
      </c>
      <c r="AN5" s="44" t="s">
        <v>1251</v>
      </c>
      <c r="AO5" s="47">
        <v>0.63</v>
      </c>
      <c r="AP5" s="48">
        <f t="shared" si="2"/>
        <v>1164.24</v>
      </c>
      <c r="AQ5" s="48">
        <f t="shared" si="3"/>
        <v>9022.86</v>
      </c>
      <c r="AR5" s="49">
        <v>46036</v>
      </c>
      <c r="AS5" s="40"/>
      <c r="AT5" s="40" t="s">
        <v>1220</v>
      </c>
      <c r="AU5" s="40"/>
      <c r="AV5" s="40"/>
      <c r="AW5" s="40"/>
      <c r="AX5" s="40"/>
      <c r="AY5" s="40"/>
      <c r="AZ5" s="40"/>
      <c r="BA5" s="40"/>
    </row>
    <row r="6" s="13" customFormat="1" customHeight="1" spans="1:53">
      <c r="A6" s="40">
        <v>46015</v>
      </c>
      <c r="B6" s="40" t="str">
        <f ca="1" t="shared" si="0"/>
        <v/>
      </c>
      <c r="C6" s="41" t="str">
        <f>VLOOKUP(H6,名称!A:E,4,0)</f>
        <v>二代</v>
      </c>
      <c r="D6" s="42" t="s">
        <v>1489</v>
      </c>
      <c r="E6" s="42" t="s">
        <v>1621</v>
      </c>
      <c r="F6" s="43" t="s">
        <v>381</v>
      </c>
      <c r="G6" s="43" t="s">
        <v>382</v>
      </c>
      <c r="H6" s="43" t="s">
        <v>79</v>
      </c>
      <c r="I6" s="43"/>
      <c r="J6" s="43">
        <f>312-156</f>
        <v>156</v>
      </c>
      <c r="K6" s="43"/>
      <c r="L6" s="43"/>
      <c r="M6" s="43">
        <v>12</v>
      </c>
      <c r="N6" s="44">
        <f t="shared" si="1"/>
        <v>13</v>
      </c>
      <c r="O6" s="40">
        <v>46064</v>
      </c>
      <c r="P6" s="40">
        <v>46064</v>
      </c>
      <c r="Q6" s="40">
        <v>46056</v>
      </c>
      <c r="R6" s="43"/>
      <c r="S6" s="40" t="s">
        <v>1133</v>
      </c>
      <c r="T6" s="43" t="s">
        <v>1133</v>
      </c>
      <c r="U6" s="43"/>
      <c r="V6" s="43"/>
      <c r="W6" s="40"/>
      <c r="X6" s="43" t="s">
        <v>1248</v>
      </c>
      <c r="Y6" s="43" t="s">
        <v>1233</v>
      </c>
      <c r="Z6" s="45" t="s">
        <v>1249</v>
      </c>
      <c r="AA6" s="46">
        <v>46026</v>
      </c>
      <c r="AB6" s="43">
        <v>46028</v>
      </c>
      <c r="AC6" s="43" t="s">
        <v>1302</v>
      </c>
      <c r="AD6" s="43" t="s">
        <v>1133</v>
      </c>
      <c r="AE6" s="43" t="s">
        <v>327</v>
      </c>
      <c r="AF6" s="43" t="s">
        <v>1228</v>
      </c>
      <c r="AG6" s="43" t="s">
        <v>327</v>
      </c>
      <c r="AH6" s="43" t="s">
        <v>1133</v>
      </c>
      <c r="AI6" s="43" t="s">
        <v>1228</v>
      </c>
      <c r="AJ6" s="43" t="s">
        <v>1133</v>
      </c>
      <c r="AK6" s="43" t="s">
        <v>1133</v>
      </c>
      <c r="AL6" s="43"/>
      <c r="AM6" s="43" t="s">
        <v>1619</v>
      </c>
      <c r="AN6" s="44" t="s">
        <v>1251</v>
      </c>
      <c r="AO6" s="47">
        <v>1.58</v>
      </c>
      <c r="AP6" s="48">
        <f t="shared" si="2"/>
        <v>246.48</v>
      </c>
      <c r="AQ6" s="48">
        <f t="shared" si="3"/>
        <v>1910.22</v>
      </c>
      <c r="AR6" s="49">
        <v>46036</v>
      </c>
      <c r="AS6" s="40"/>
      <c r="AT6" s="40" t="s">
        <v>1220</v>
      </c>
      <c r="AU6" s="40"/>
      <c r="AV6" s="40"/>
      <c r="AW6" s="40"/>
      <c r="AX6" s="40"/>
      <c r="AY6" s="40"/>
      <c r="AZ6" s="40"/>
      <c r="BA6" s="40"/>
    </row>
    <row r="7" s="13" customFormat="1" customHeight="1" spans="1:53">
      <c r="A7" s="40">
        <v>46015</v>
      </c>
      <c r="B7" s="40" t="str">
        <f ca="1" t="shared" si="0"/>
        <v/>
      </c>
      <c r="C7" s="41" t="str">
        <f>VLOOKUP(H7,名称!A:E,4,0)</f>
        <v>二代</v>
      </c>
      <c r="D7" s="42" t="s">
        <v>1489</v>
      </c>
      <c r="E7" s="42" t="s">
        <v>1621</v>
      </c>
      <c r="F7" s="43" t="s">
        <v>381</v>
      </c>
      <c r="G7" s="43" t="s">
        <v>382</v>
      </c>
      <c r="H7" s="43" t="s">
        <v>74</v>
      </c>
      <c r="I7" s="43"/>
      <c r="J7" s="43">
        <v>780</v>
      </c>
      <c r="K7" s="43"/>
      <c r="L7" s="43"/>
      <c r="M7" s="43">
        <v>12</v>
      </c>
      <c r="N7" s="44">
        <f t="shared" si="1"/>
        <v>65</v>
      </c>
      <c r="O7" s="40">
        <v>46064</v>
      </c>
      <c r="P7" s="40">
        <v>46064</v>
      </c>
      <c r="Q7" s="40">
        <v>46056</v>
      </c>
      <c r="R7" s="43"/>
      <c r="S7" s="40" t="s">
        <v>1133</v>
      </c>
      <c r="T7" s="40" t="s">
        <v>1133</v>
      </c>
      <c r="U7" s="43"/>
      <c r="V7" s="43"/>
      <c r="W7" s="40"/>
      <c r="X7" s="43" t="s">
        <v>1248</v>
      </c>
      <c r="Y7" s="43" t="s">
        <v>1233</v>
      </c>
      <c r="Z7" s="43" t="s">
        <v>1249</v>
      </c>
      <c r="AA7" s="46">
        <v>46026</v>
      </c>
      <c r="AB7" s="45">
        <v>46028</v>
      </c>
      <c r="AC7" s="43" t="s">
        <v>1302</v>
      </c>
      <c r="AD7" s="43" t="s">
        <v>1133</v>
      </c>
      <c r="AE7" s="43" t="s">
        <v>327</v>
      </c>
      <c r="AF7" s="43" t="s">
        <v>1228</v>
      </c>
      <c r="AG7" s="43" t="s">
        <v>327</v>
      </c>
      <c r="AH7" s="43" t="s">
        <v>1562</v>
      </c>
      <c r="AI7" s="43" t="s">
        <v>1228</v>
      </c>
      <c r="AJ7" s="43" t="s">
        <v>1133</v>
      </c>
      <c r="AK7" s="43" t="s">
        <v>1133</v>
      </c>
      <c r="AL7" s="43"/>
      <c r="AM7" s="43" t="s">
        <v>1619</v>
      </c>
      <c r="AN7" s="44" t="s">
        <v>1251</v>
      </c>
      <c r="AO7" s="47">
        <v>1.6</v>
      </c>
      <c r="AP7" s="48">
        <f t="shared" si="2"/>
        <v>1248</v>
      </c>
      <c r="AQ7" s="48">
        <f t="shared" si="3"/>
        <v>9672</v>
      </c>
      <c r="AR7" s="49">
        <v>46036</v>
      </c>
      <c r="AS7" s="40"/>
      <c r="AT7" s="40" t="s">
        <v>1220</v>
      </c>
      <c r="AU7" s="40"/>
      <c r="AV7" s="40"/>
      <c r="AW7" s="40"/>
      <c r="AX7" s="40"/>
      <c r="AY7" s="40"/>
      <c r="AZ7" s="40"/>
      <c r="BA7" s="40"/>
    </row>
    <row r="8" s="13" customFormat="1" customHeight="1" spans="1:53">
      <c r="A8" s="40">
        <v>46035</v>
      </c>
      <c r="B8" s="40" t="str">
        <f ca="1" t="shared" si="0"/>
        <v>异常</v>
      </c>
      <c r="C8" s="41" t="str">
        <f>VLOOKUP(H8,名称!A:E,4,0)</f>
        <v>三代</v>
      </c>
      <c r="D8" s="42" t="s">
        <v>1240</v>
      </c>
      <c r="E8" s="42" t="s">
        <v>1224</v>
      </c>
      <c r="F8" s="43" t="s">
        <v>1998</v>
      </c>
      <c r="G8" s="43" t="s">
        <v>1999</v>
      </c>
      <c r="H8" s="43" t="s">
        <v>89</v>
      </c>
      <c r="I8" s="43"/>
      <c r="J8" s="43">
        <v>10800</v>
      </c>
      <c r="K8" s="43">
        <v>12</v>
      </c>
      <c r="L8" s="43">
        <f t="shared" ref="L8:L14" si="4">J8*K8</f>
        <v>129600</v>
      </c>
      <c r="M8" s="43">
        <f>VLOOKUP(H8,名称!A:E,3,0)</f>
        <v>6</v>
      </c>
      <c r="N8" s="44">
        <f t="shared" si="1"/>
        <v>1800</v>
      </c>
      <c r="O8" s="40">
        <v>46197</v>
      </c>
      <c r="P8" s="40">
        <v>46197</v>
      </c>
      <c r="Q8" s="40">
        <v>46196</v>
      </c>
      <c r="R8" s="43"/>
      <c r="S8" s="40">
        <v>46197</v>
      </c>
      <c r="T8" s="40"/>
      <c r="U8" s="43"/>
      <c r="V8" s="43"/>
      <c r="W8" s="40"/>
      <c r="X8" s="43" t="s">
        <v>1133</v>
      </c>
      <c r="Y8" s="43" t="s">
        <v>1133</v>
      </c>
      <c r="Z8" s="43" t="s">
        <v>1233</v>
      </c>
      <c r="AA8" s="46"/>
      <c r="AB8" s="45"/>
      <c r="AC8" s="43" t="s">
        <v>1318</v>
      </c>
      <c r="AD8" s="43" t="s">
        <v>1233</v>
      </c>
      <c r="AE8" s="43" t="s">
        <v>270</v>
      </c>
      <c r="AF8" s="43" t="s">
        <v>1233</v>
      </c>
      <c r="AG8" s="43" t="s">
        <v>270</v>
      </c>
      <c r="AH8" s="43" t="s">
        <v>1133</v>
      </c>
      <c r="AI8" s="43" t="s">
        <v>1233</v>
      </c>
      <c r="AJ8" s="43" t="s">
        <v>1598</v>
      </c>
      <c r="AK8" s="43" t="s">
        <v>1133</v>
      </c>
      <c r="AL8" s="43"/>
      <c r="AM8" s="43"/>
      <c r="AN8" s="44"/>
      <c r="AO8" s="47">
        <v>2.02</v>
      </c>
      <c r="AP8" s="48">
        <f t="shared" si="2"/>
        <v>21816</v>
      </c>
      <c r="AQ8" s="48">
        <f t="shared" si="3"/>
        <v>169074</v>
      </c>
      <c r="AR8" s="49">
        <v>46086</v>
      </c>
      <c r="AS8" s="40"/>
      <c r="AT8" s="40"/>
      <c r="AU8" s="40"/>
      <c r="AV8" s="40"/>
      <c r="AW8" s="40"/>
      <c r="AX8" s="40"/>
      <c r="AY8" s="40"/>
      <c r="AZ8" s="40"/>
      <c r="BA8" s="40"/>
    </row>
    <row r="9" s="13" customFormat="1" customHeight="1" spans="1:53">
      <c r="A9" s="40">
        <v>46031</v>
      </c>
      <c r="B9" s="40" t="str">
        <f ca="1" t="shared" si="0"/>
        <v/>
      </c>
      <c r="C9" s="41" t="str">
        <f>VLOOKUP(H9,名称!A:E,4,0)</f>
        <v>三代</v>
      </c>
      <c r="D9" s="42" t="s">
        <v>1276</v>
      </c>
      <c r="E9" s="42" t="s">
        <v>1224</v>
      </c>
      <c r="F9" s="43" t="s">
        <v>577</v>
      </c>
      <c r="G9" s="43" t="s">
        <v>578</v>
      </c>
      <c r="H9" s="43" t="s">
        <v>63</v>
      </c>
      <c r="I9" s="43"/>
      <c r="J9" s="43">
        <f>45600-16800</f>
        <v>28800</v>
      </c>
      <c r="K9" s="43">
        <v>5</v>
      </c>
      <c r="L9" s="43">
        <f t="shared" si="4"/>
        <v>144000</v>
      </c>
      <c r="M9" s="43">
        <f>VLOOKUP(H9,名称!A:E,3,0)</f>
        <v>24</v>
      </c>
      <c r="N9" s="44">
        <f t="shared" si="1"/>
        <v>1200</v>
      </c>
      <c r="O9" s="40">
        <v>46128</v>
      </c>
      <c r="P9" s="40">
        <v>46128</v>
      </c>
      <c r="Q9" s="40">
        <v>46127</v>
      </c>
      <c r="R9" s="43"/>
      <c r="S9" s="40">
        <v>46128</v>
      </c>
      <c r="T9" s="43"/>
      <c r="U9" s="43"/>
      <c r="V9" s="43"/>
      <c r="W9" s="40"/>
      <c r="X9" s="43" t="s">
        <v>1133</v>
      </c>
      <c r="Y9" s="43" t="s">
        <v>1133</v>
      </c>
      <c r="Z9" s="45">
        <v>46059</v>
      </c>
      <c r="AA9" s="46">
        <v>46079</v>
      </c>
      <c r="AB9" s="45">
        <v>46090</v>
      </c>
      <c r="AC9" s="43" t="s">
        <v>1133</v>
      </c>
      <c r="AD9" s="43" t="s">
        <v>1133</v>
      </c>
      <c r="AE9" s="43" t="s">
        <v>270</v>
      </c>
      <c r="AF9" s="43" t="s">
        <v>1228</v>
      </c>
      <c r="AG9" s="43" t="s">
        <v>270</v>
      </c>
      <c r="AH9" s="43" t="s">
        <v>1133</v>
      </c>
      <c r="AI9" s="43" t="s">
        <v>1228</v>
      </c>
      <c r="AJ9" s="43" t="s">
        <v>1133</v>
      </c>
      <c r="AK9" s="43" t="s">
        <v>1598</v>
      </c>
      <c r="AL9" s="43"/>
      <c r="AM9" s="43"/>
      <c r="AN9" s="44"/>
      <c r="AO9" s="47">
        <v>0.61</v>
      </c>
      <c r="AP9" s="48">
        <f t="shared" si="2"/>
        <v>17568</v>
      </c>
      <c r="AQ9" s="48">
        <f t="shared" si="3"/>
        <v>136152</v>
      </c>
      <c r="AR9" s="49">
        <v>46086</v>
      </c>
      <c r="AS9" s="40"/>
      <c r="AT9" s="40" t="s">
        <v>1310</v>
      </c>
      <c r="AU9" s="40"/>
      <c r="AV9" s="50">
        <f>AU9-J9</f>
        <v>-28800</v>
      </c>
      <c r="AW9" s="40"/>
      <c r="AX9" s="40"/>
      <c r="AY9" s="40"/>
      <c r="AZ9" s="40"/>
      <c r="BA9" s="40"/>
    </row>
    <row r="10" s="13" customFormat="1" customHeight="1" spans="1:53">
      <c r="A10" s="40">
        <v>46093</v>
      </c>
      <c r="B10" s="40" t="str">
        <f ca="1" t="shared" si="0"/>
        <v/>
      </c>
      <c r="C10" s="41" t="str">
        <f>VLOOKUP(H10,名称!A:E,4,0)</f>
        <v>三代</v>
      </c>
      <c r="D10" s="42" t="s">
        <v>1297</v>
      </c>
      <c r="E10" s="42" t="s">
        <v>1224</v>
      </c>
      <c r="F10" s="43">
        <v>7000991795</v>
      </c>
      <c r="G10" s="43" t="s">
        <v>2000</v>
      </c>
      <c r="H10" s="43" t="s">
        <v>107</v>
      </c>
      <c r="I10" s="43"/>
      <c r="J10" s="43">
        <f>450-215-220-15</f>
        <v>0</v>
      </c>
      <c r="K10" s="43">
        <v>12</v>
      </c>
      <c r="L10" s="43">
        <f t="shared" si="4"/>
        <v>0</v>
      </c>
      <c r="M10" s="43">
        <f>VLOOKUP(H10,名称!A:E,3,0)</f>
        <v>5</v>
      </c>
      <c r="N10" s="44">
        <f t="shared" si="1"/>
        <v>0</v>
      </c>
      <c r="O10" s="40">
        <v>46150</v>
      </c>
      <c r="P10" s="40">
        <v>46150</v>
      </c>
      <c r="Q10" s="40">
        <v>46149</v>
      </c>
      <c r="R10" s="43"/>
      <c r="S10" s="40">
        <v>46150</v>
      </c>
      <c r="T10" s="43"/>
      <c r="U10" s="43"/>
      <c r="V10" s="43"/>
      <c r="W10" s="40"/>
      <c r="X10" s="43" t="s">
        <v>1133</v>
      </c>
      <c r="Y10" s="43" t="s">
        <v>1133</v>
      </c>
      <c r="Z10" s="45">
        <v>46097</v>
      </c>
      <c r="AA10" s="46">
        <v>46099</v>
      </c>
      <c r="AB10" s="45">
        <v>46099</v>
      </c>
      <c r="AC10" s="43" t="s">
        <v>1302</v>
      </c>
      <c r="AD10" s="43" t="s">
        <v>1228</v>
      </c>
      <c r="AE10" s="43" t="s">
        <v>253</v>
      </c>
      <c r="AF10" s="43" t="s">
        <v>1228</v>
      </c>
      <c r="AG10" s="43" t="s">
        <v>253</v>
      </c>
      <c r="AH10" s="43" t="s">
        <v>253</v>
      </c>
      <c r="AI10" s="43" t="s">
        <v>1228</v>
      </c>
      <c r="AJ10" s="43" t="s">
        <v>253</v>
      </c>
      <c r="AK10" s="43" t="s">
        <v>1133</v>
      </c>
      <c r="AL10" s="43"/>
      <c r="AM10" s="43"/>
      <c r="AN10" s="44" t="s">
        <v>1231</v>
      </c>
      <c r="AO10" s="47">
        <v>2.12</v>
      </c>
      <c r="AP10" s="48">
        <f t="shared" si="2"/>
        <v>0</v>
      </c>
      <c r="AQ10" s="48">
        <f t="shared" si="3"/>
        <v>0</v>
      </c>
      <c r="AR10" s="51"/>
      <c r="AS10" s="40"/>
      <c r="AT10" s="40"/>
      <c r="AU10" s="40"/>
      <c r="AV10" s="50"/>
      <c r="AW10" s="40"/>
      <c r="AX10" s="40"/>
      <c r="AY10" s="40"/>
      <c r="AZ10" s="40"/>
      <c r="BA10" s="40"/>
    </row>
    <row r="11" s="13" customFormat="1" customHeight="1" spans="1:53">
      <c r="A11" s="40">
        <v>46062</v>
      </c>
      <c r="B11" s="40" t="str">
        <f ca="1" t="shared" si="0"/>
        <v/>
      </c>
      <c r="C11" s="41" t="str">
        <f>VLOOKUP(H11,名称!A:E,4,0)</f>
        <v>三代</v>
      </c>
      <c r="D11" s="42" t="s">
        <v>1297</v>
      </c>
      <c r="E11" s="42" t="s">
        <v>1224</v>
      </c>
      <c r="F11" s="43" t="s">
        <v>2001</v>
      </c>
      <c r="G11" s="43" t="s">
        <v>2002</v>
      </c>
      <c r="H11" s="43" t="s">
        <v>107</v>
      </c>
      <c r="I11" s="43"/>
      <c r="J11" s="43">
        <f>4335+1110-2660-1860-925</f>
        <v>0</v>
      </c>
      <c r="K11" s="43">
        <v>12</v>
      </c>
      <c r="L11" s="43">
        <f t="shared" si="4"/>
        <v>0</v>
      </c>
      <c r="M11" s="43">
        <v>5</v>
      </c>
      <c r="N11" s="44">
        <f t="shared" si="1"/>
        <v>0</v>
      </c>
      <c r="O11" s="40">
        <v>46156</v>
      </c>
      <c r="P11" s="40">
        <v>46156</v>
      </c>
      <c r="Q11" s="40">
        <v>46155</v>
      </c>
      <c r="R11" s="43"/>
      <c r="S11" s="40">
        <v>46156</v>
      </c>
      <c r="T11" s="43"/>
      <c r="U11" s="43"/>
      <c r="V11" s="43"/>
      <c r="W11" s="40"/>
      <c r="X11" s="43" t="s">
        <v>1133</v>
      </c>
      <c r="Y11" s="43" t="s">
        <v>1133</v>
      </c>
      <c r="Z11" s="45">
        <v>46097</v>
      </c>
      <c r="AA11" s="46">
        <v>46097</v>
      </c>
      <c r="AB11" s="45">
        <v>46099</v>
      </c>
      <c r="AC11" s="43" t="s">
        <v>1302</v>
      </c>
      <c r="AD11" s="43" t="s">
        <v>1228</v>
      </c>
      <c r="AE11" s="43" t="s">
        <v>253</v>
      </c>
      <c r="AF11" s="43" t="s">
        <v>1228</v>
      </c>
      <c r="AG11" s="43" t="s">
        <v>253</v>
      </c>
      <c r="AH11" s="43" t="s">
        <v>253</v>
      </c>
      <c r="AI11" s="43" t="s">
        <v>2003</v>
      </c>
      <c r="AJ11" s="43" t="s">
        <v>253</v>
      </c>
      <c r="AK11" s="43" t="s">
        <v>1133</v>
      </c>
      <c r="AL11" s="43"/>
      <c r="AM11" s="43"/>
      <c r="AN11" s="44" t="s">
        <v>1231</v>
      </c>
      <c r="AO11" s="47">
        <v>2.02</v>
      </c>
      <c r="AP11" s="48">
        <f t="shared" si="2"/>
        <v>0</v>
      </c>
      <c r="AQ11" s="48">
        <f t="shared" si="3"/>
        <v>0</v>
      </c>
      <c r="AR11" s="51"/>
      <c r="AS11" s="40"/>
      <c r="AT11" s="40"/>
      <c r="AU11" s="40"/>
      <c r="AV11" s="50"/>
      <c r="AW11" s="40"/>
      <c r="AX11" s="40"/>
      <c r="AY11" s="40"/>
      <c r="AZ11" s="40"/>
      <c r="BA11" s="40"/>
    </row>
    <row r="12" s="13" customFormat="1" customHeight="1" spans="1:53">
      <c r="A12" s="40">
        <v>46062</v>
      </c>
      <c r="B12" s="40" t="str">
        <f ca="1" t="shared" si="0"/>
        <v/>
      </c>
      <c r="C12" s="41" t="str">
        <f>VLOOKUP(H12,名称!A:E,4,0)</f>
        <v>三代</v>
      </c>
      <c r="D12" s="42" t="s">
        <v>1297</v>
      </c>
      <c r="E12" s="42" t="s">
        <v>1224</v>
      </c>
      <c r="F12" s="43" t="s">
        <v>2001</v>
      </c>
      <c r="G12" s="43" t="s">
        <v>2002</v>
      </c>
      <c r="H12" s="43" t="s">
        <v>107</v>
      </c>
      <c r="I12" s="43"/>
      <c r="J12" s="43">
        <f>21650-4060-450-2280-340-340-570-1140-1365-1710-1710-570-570-345-2430-2660-1110</f>
        <v>0</v>
      </c>
      <c r="K12" s="43">
        <v>12</v>
      </c>
      <c r="L12" s="43">
        <f t="shared" si="4"/>
        <v>0</v>
      </c>
      <c r="M12" s="43">
        <v>5</v>
      </c>
      <c r="N12" s="44">
        <f t="shared" si="1"/>
        <v>0</v>
      </c>
      <c r="O12" s="40">
        <v>46156</v>
      </c>
      <c r="P12" s="40">
        <v>46156</v>
      </c>
      <c r="Q12" s="40">
        <v>46155</v>
      </c>
      <c r="R12" s="43"/>
      <c r="S12" s="40">
        <v>46156</v>
      </c>
      <c r="T12" s="43"/>
      <c r="U12" s="43"/>
      <c r="V12" s="43"/>
      <c r="W12" s="40"/>
      <c r="X12" s="43" t="s">
        <v>1133</v>
      </c>
      <c r="Y12" s="43" t="s">
        <v>1133</v>
      </c>
      <c r="Z12" s="45">
        <v>46097</v>
      </c>
      <c r="AA12" s="46">
        <v>46097</v>
      </c>
      <c r="AB12" s="45">
        <v>46099</v>
      </c>
      <c r="AC12" s="43" t="s">
        <v>1302</v>
      </c>
      <c r="AD12" s="43" t="s">
        <v>1228</v>
      </c>
      <c r="AE12" s="43" t="s">
        <v>253</v>
      </c>
      <c r="AF12" s="43" t="s">
        <v>1228</v>
      </c>
      <c r="AG12" s="43" t="s">
        <v>253</v>
      </c>
      <c r="AH12" s="43" t="s">
        <v>253</v>
      </c>
      <c r="AI12" s="43" t="s">
        <v>1228</v>
      </c>
      <c r="AJ12" s="43" t="s">
        <v>253</v>
      </c>
      <c r="AK12" s="43" t="s">
        <v>1133</v>
      </c>
      <c r="AL12" s="43"/>
      <c r="AM12" s="43"/>
      <c r="AN12" s="44" t="s">
        <v>1231</v>
      </c>
      <c r="AO12" s="47">
        <v>2.02</v>
      </c>
      <c r="AP12" s="48">
        <f t="shared" si="2"/>
        <v>0</v>
      </c>
      <c r="AQ12" s="48">
        <f t="shared" si="3"/>
        <v>0</v>
      </c>
      <c r="AR12" s="51"/>
      <c r="AS12" s="40"/>
      <c r="AT12" s="40"/>
      <c r="AU12" s="40"/>
      <c r="AV12" s="50"/>
      <c r="AW12" s="40"/>
      <c r="AX12" s="40"/>
      <c r="AY12" s="40"/>
      <c r="AZ12" s="40"/>
      <c r="BA12" s="40"/>
    </row>
    <row r="13" s="13" customFormat="1" customHeight="1" spans="1:53">
      <c r="A13" s="40">
        <v>46062</v>
      </c>
      <c r="B13" s="40" t="str">
        <f ca="1" t="shared" si="0"/>
        <v/>
      </c>
      <c r="C13" s="41" t="str">
        <f>VLOOKUP(H13,名称!A:E,4,0)</f>
        <v>三代</v>
      </c>
      <c r="D13" s="42" t="s">
        <v>1297</v>
      </c>
      <c r="E13" s="42" t="s">
        <v>1224</v>
      </c>
      <c r="F13" s="43" t="s">
        <v>2004</v>
      </c>
      <c r="G13" s="43" t="s">
        <v>2005</v>
      </c>
      <c r="H13" s="43" t="s">
        <v>83</v>
      </c>
      <c r="I13" s="43"/>
      <c r="J13" s="43">
        <f>12360+2472-3552-3516-348-348-1140-1680-1416-1800-1032</f>
        <v>0</v>
      </c>
      <c r="K13" s="43">
        <v>5</v>
      </c>
      <c r="L13" s="43">
        <f t="shared" si="4"/>
        <v>0</v>
      </c>
      <c r="M13" s="43">
        <f>VLOOKUP(H13,名称!A:E,3,0)</f>
        <v>12</v>
      </c>
      <c r="N13" s="44">
        <f t="shared" si="1"/>
        <v>0</v>
      </c>
      <c r="O13" s="40">
        <v>46156</v>
      </c>
      <c r="P13" s="40">
        <v>46156</v>
      </c>
      <c r="Q13" s="40">
        <v>46151</v>
      </c>
      <c r="R13" s="43"/>
      <c r="S13" s="40">
        <v>46152</v>
      </c>
      <c r="T13" s="43"/>
      <c r="U13" s="43"/>
      <c r="V13" s="43"/>
      <c r="W13" s="40"/>
      <c r="X13" s="43" t="s">
        <v>1133</v>
      </c>
      <c r="Y13" s="43" t="s">
        <v>1133</v>
      </c>
      <c r="Z13" s="45">
        <v>46097</v>
      </c>
      <c r="AA13" s="46">
        <v>46097</v>
      </c>
      <c r="AB13" s="45">
        <v>46099</v>
      </c>
      <c r="AC13" s="43" t="s">
        <v>1133</v>
      </c>
      <c r="AD13" s="43" t="s">
        <v>1133</v>
      </c>
      <c r="AE13" s="43" t="s">
        <v>253</v>
      </c>
      <c r="AF13" s="43" t="s">
        <v>1228</v>
      </c>
      <c r="AG13" s="43" t="s">
        <v>253</v>
      </c>
      <c r="AH13" s="43" t="s">
        <v>1133</v>
      </c>
      <c r="AI13" s="43" t="s">
        <v>1228</v>
      </c>
      <c r="AJ13" s="43" t="s">
        <v>1133</v>
      </c>
      <c r="AK13" s="43" t="s">
        <v>253</v>
      </c>
      <c r="AL13" s="43"/>
      <c r="AM13" s="43"/>
      <c r="AN13" s="44"/>
      <c r="AO13" s="47">
        <v>0.83</v>
      </c>
      <c r="AP13" s="48">
        <f t="shared" si="2"/>
        <v>0</v>
      </c>
      <c r="AQ13" s="48">
        <f t="shared" si="3"/>
        <v>0</v>
      </c>
      <c r="AR13" s="51"/>
      <c r="AS13" s="40"/>
      <c r="AT13" s="40" t="s">
        <v>1310</v>
      </c>
      <c r="AU13" s="40"/>
      <c r="AV13" s="40"/>
      <c r="AW13" s="40"/>
      <c r="AX13" s="40"/>
      <c r="AY13" s="40"/>
      <c r="AZ13" s="40"/>
      <c r="BA13" s="40"/>
    </row>
    <row r="14" s="13" customFormat="1" customHeight="1" spans="1:53">
      <c r="A14" s="40">
        <v>46090</v>
      </c>
      <c r="B14" s="40" t="str">
        <f ca="1" t="shared" si="0"/>
        <v>异常</v>
      </c>
      <c r="C14" s="41" t="str">
        <f>VLOOKUP(H14,名称!A:E,4,0)</f>
        <v>三代</v>
      </c>
      <c r="D14" s="42" t="s">
        <v>1297</v>
      </c>
      <c r="E14" s="42" t="s">
        <v>1224</v>
      </c>
      <c r="F14" s="43" t="s">
        <v>2006</v>
      </c>
      <c r="G14" s="43" t="s">
        <v>2007</v>
      </c>
      <c r="H14" s="43" t="s">
        <v>60</v>
      </c>
      <c r="I14" s="43"/>
      <c r="J14" s="43">
        <f>11004-4236-4200-1500-1068</f>
        <v>0</v>
      </c>
      <c r="K14" s="43">
        <v>5</v>
      </c>
      <c r="L14" s="43">
        <f t="shared" si="4"/>
        <v>0</v>
      </c>
      <c r="M14" s="43">
        <f>VLOOKUP(H14,名称!A:E,3,0)</f>
        <v>12</v>
      </c>
      <c r="N14" s="44">
        <f t="shared" si="1"/>
        <v>0</v>
      </c>
      <c r="O14" s="40">
        <v>46149</v>
      </c>
      <c r="P14" s="40">
        <v>46149</v>
      </c>
      <c r="Q14" s="40">
        <v>46148</v>
      </c>
      <c r="R14" s="43"/>
      <c r="S14" s="40">
        <v>46149</v>
      </c>
      <c r="T14" s="43"/>
      <c r="U14" s="43"/>
      <c r="V14" s="43" t="s">
        <v>2008</v>
      </c>
      <c r="W14" s="40"/>
      <c r="X14" s="43" t="s">
        <v>1133</v>
      </c>
      <c r="Y14" s="43" t="s">
        <v>1133</v>
      </c>
      <c r="Z14" s="45" t="s">
        <v>1233</v>
      </c>
      <c r="AA14" s="46"/>
      <c r="AB14" s="45"/>
      <c r="AC14" s="43" t="s">
        <v>1133</v>
      </c>
      <c r="AD14" s="43" t="s">
        <v>1133</v>
      </c>
      <c r="AE14" s="43" t="s">
        <v>253</v>
      </c>
      <c r="AF14" s="43" t="s">
        <v>1228</v>
      </c>
      <c r="AG14" s="43" t="s">
        <v>253</v>
      </c>
      <c r="AH14" s="43" t="s">
        <v>1133</v>
      </c>
      <c r="AI14" s="43" t="s">
        <v>1228</v>
      </c>
      <c r="AJ14" s="43" t="s">
        <v>1133</v>
      </c>
      <c r="AK14" s="43" t="s">
        <v>253</v>
      </c>
      <c r="AL14" s="43"/>
      <c r="AM14" s="43"/>
      <c r="AN14" s="44" t="s">
        <v>1234</v>
      </c>
      <c r="AO14" s="47">
        <v>0.61</v>
      </c>
      <c r="AP14" s="48">
        <f t="shared" si="2"/>
        <v>0</v>
      </c>
      <c r="AQ14" s="48">
        <f t="shared" si="3"/>
        <v>0</v>
      </c>
      <c r="AR14" s="51"/>
      <c r="AS14" s="40"/>
      <c r="AT14" s="40"/>
      <c r="AU14" s="40"/>
      <c r="AV14" s="40"/>
      <c r="AW14" s="40"/>
      <c r="AX14" s="40"/>
      <c r="AY14" s="40"/>
      <c r="AZ14" s="40"/>
      <c r="BA14" s="40"/>
    </row>
    <row r="15" s="13" customFormat="1" customHeight="1" spans="1:53">
      <c r="A15" s="40">
        <v>46108</v>
      </c>
      <c r="B15" s="40" t="str">
        <f ca="1" t="shared" si="0"/>
        <v>异常</v>
      </c>
      <c r="C15" s="41" t="str">
        <f>VLOOKUP(H15,名称!A:E,4,0)</f>
        <v>三代</v>
      </c>
      <c r="D15" s="42" t="s">
        <v>1320</v>
      </c>
      <c r="E15" s="42" t="s">
        <v>1224</v>
      </c>
      <c r="F15" s="43" t="s">
        <v>2009</v>
      </c>
      <c r="G15" s="43" t="s">
        <v>2010</v>
      </c>
      <c r="H15" s="43" t="s">
        <v>88</v>
      </c>
      <c r="I15" s="43"/>
      <c r="J15" s="43">
        <f t="shared" ref="J15:J17" si="5">65280-65280</f>
        <v>0</v>
      </c>
      <c r="K15" s="43"/>
      <c r="L15" s="44"/>
      <c r="M15" s="43">
        <f>VLOOKUP(H15,名称!A:E,3,0)</f>
        <v>24</v>
      </c>
      <c r="N15" s="44">
        <f t="shared" si="1"/>
        <v>0</v>
      </c>
      <c r="O15" s="40">
        <v>46157</v>
      </c>
      <c r="P15" s="40">
        <v>46157</v>
      </c>
      <c r="Q15" s="40">
        <v>46157</v>
      </c>
      <c r="R15" s="43"/>
      <c r="S15" s="40" t="s">
        <v>1133</v>
      </c>
      <c r="T15" s="43"/>
      <c r="U15" s="43"/>
      <c r="V15" s="43"/>
      <c r="W15" s="40"/>
      <c r="X15" s="43" t="s">
        <v>1133</v>
      </c>
      <c r="Y15" s="43" t="s">
        <v>1133</v>
      </c>
      <c r="Z15" s="43" t="s">
        <v>1233</v>
      </c>
      <c r="AA15" s="46"/>
      <c r="AB15" s="43"/>
      <c r="AC15" s="43" t="s">
        <v>1133</v>
      </c>
      <c r="AD15" s="43" t="s">
        <v>1133</v>
      </c>
      <c r="AE15" s="43" t="s">
        <v>742</v>
      </c>
      <c r="AF15" s="43" t="s">
        <v>1233</v>
      </c>
      <c r="AG15" s="43" t="s">
        <v>742</v>
      </c>
      <c r="AH15" s="43" t="s">
        <v>1133</v>
      </c>
      <c r="AI15" s="43" t="s">
        <v>1233</v>
      </c>
      <c r="AJ15" s="43" t="s">
        <v>1133</v>
      </c>
      <c r="AK15" s="43" t="s">
        <v>742</v>
      </c>
      <c r="AL15" s="43"/>
      <c r="AM15" s="43"/>
      <c r="AN15" s="44"/>
      <c r="AO15" s="47">
        <v>0.63</v>
      </c>
      <c r="AP15" s="48">
        <f t="shared" si="2"/>
        <v>0</v>
      </c>
      <c r="AQ15" s="48">
        <f t="shared" si="3"/>
        <v>0</v>
      </c>
      <c r="AR15" s="51"/>
      <c r="AS15" s="40"/>
      <c r="AT15" s="40"/>
      <c r="AU15" s="40"/>
      <c r="AV15" s="40"/>
      <c r="AW15" s="40"/>
      <c r="AX15" s="40"/>
      <c r="AY15" s="40"/>
      <c r="AZ15" s="40"/>
      <c r="BA15" s="40"/>
    </row>
    <row r="16" s="13" customFormat="1" customHeight="1" spans="1:53">
      <c r="A16" s="40">
        <v>46108</v>
      </c>
      <c r="B16" s="40" t="str">
        <f ca="1" t="shared" si="0"/>
        <v>异常</v>
      </c>
      <c r="C16" s="41" t="str">
        <f>VLOOKUP(H16,名称!A:E,4,0)</f>
        <v>三代</v>
      </c>
      <c r="D16" s="42" t="s">
        <v>1320</v>
      </c>
      <c r="E16" s="42" t="s">
        <v>1224</v>
      </c>
      <c r="F16" s="43" t="s">
        <v>2011</v>
      </c>
      <c r="G16" s="43" t="s">
        <v>2012</v>
      </c>
      <c r="H16" s="43" t="s">
        <v>88</v>
      </c>
      <c r="I16" s="43"/>
      <c r="J16" s="43">
        <f t="shared" si="5"/>
        <v>0</v>
      </c>
      <c r="K16" s="43"/>
      <c r="L16" s="44"/>
      <c r="M16" s="43">
        <f>VLOOKUP(H16,名称!A:E,3,0)</f>
        <v>24</v>
      </c>
      <c r="N16" s="44">
        <f t="shared" si="1"/>
        <v>0</v>
      </c>
      <c r="O16" s="40">
        <v>46188</v>
      </c>
      <c r="P16" s="40">
        <v>46188</v>
      </c>
      <c r="Q16" s="40">
        <v>46188</v>
      </c>
      <c r="R16" s="43"/>
      <c r="S16" s="40" t="s">
        <v>1133</v>
      </c>
      <c r="T16" s="43"/>
      <c r="U16" s="43"/>
      <c r="V16" s="43"/>
      <c r="W16" s="40"/>
      <c r="X16" s="43" t="s">
        <v>1133</v>
      </c>
      <c r="Y16" s="43" t="s">
        <v>1133</v>
      </c>
      <c r="Z16" s="43" t="s">
        <v>1233</v>
      </c>
      <c r="AA16" s="46"/>
      <c r="AB16" s="43"/>
      <c r="AC16" s="43" t="s">
        <v>1133</v>
      </c>
      <c r="AD16" s="43" t="s">
        <v>1133</v>
      </c>
      <c r="AE16" s="43" t="s">
        <v>742</v>
      </c>
      <c r="AF16" s="43" t="s">
        <v>1233</v>
      </c>
      <c r="AG16" s="43" t="s">
        <v>742</v>
      </c>
      <c r="AH16" s="43" t="s">
        <v>1133</v>
      </c>
      <c r="AI16" s="43" t="s">
        <v>1233</v>
      </c>
      <c r="AJ16" s="43" t="s">
        <v>1133</v>
      </c>
      <c r="AK16" s="43" t="s">
        <v>742</v>
      </c>
      <c r="AL16" s="43"/>
      <c r="AM16" s="43"/>
      <c r="AN16" s="44"/>
      <c r="AO16" s="47">
        <v>0.63</v>
      </c>
      <c r="AP16" s="48">
        <f t="shared" si="2"/>
        <v>0</v>
      </c>
      <c r="AQ16" s="48">
        <f t="shared" si="3"/>
        <v>0</v>
      </c>
      <c r="AR16" s="51"/>
      <c r="AS16" s="40"/>
      <c r="AT16" s="40"/>
      <c r="AU16" s="40"/>
      <c r="AV16" s="40"/>
      <c r="AW16" s="40"/>
      <c r="AX16" s="40"/>
      <c r="AY16" s="40"/>
      <c r="AZ16" s="40"/>
      <c r="BA16" s="40"/>
    </row>
    <row r="17" s="13" customFormat="1" customHeight="1" spans="1:53">
      <c r="A17" s="40">
        <v>46108</v>
      </c>
      <c r="B17" s="40" t="str">
        <f ca="1" t="shared" si="0"/>
        <v>异常</v>
      </c>
      <c r="C17" s="41" t="str">
        <f>VLOOKUP(H17,名称!A:E,4,0)</f>
        <v>三代</v>
      </c>
      <c r="D17" s="42" t="s">
        <v>1320</v>
      </c>
      <c r="E17" s="42" t="s">
        <v>1224</v>
      </c>
      <c r="F17" s="43" t="s">
        <v>2013</v>
      </c>
      <c r="G17" s="43" t="s">
        <v>2014</v>
      </c>
      <c r="H17" s="43" t="s">
        <v>88</v>
      </c>
      <c r="I17" s="43"/>
      <c r="J17" s="43">
        <f t="shared" si="5"/>
        <v>0</v>
      </c>
      <c r="K17" s="43"/>
      <c r="L17" s="44"/>
      <c r="M17" s="43">
        <f>VLOOKUP(H17,名称!A:E,3,0)</f>
        <v>24</v>
      </c>
      <c r="N17" s="44">
        <f t="shared" si="1"/>
        <v>0</v>
      </c>
      <c r="O17" s="40">
        <v>46204</v>
      </c>
      <c r="P17" s="40">
        <v>46204</v>
      </c>
      <c r="Q17" s="40">
        <v>46204</v>
      </c>
      <c r="R17" s="43"/>
      <c r="S17" s="40" t="s">
        <v>1133</v>
      </c>
      <c r="T17" s="43"/>
      <c r="U17" s="43"/>
      <c r="V17" s="43"/>
      <c r="W17" s="40"/>
      <c r="X17" s="43" t="s">
        <v>1133</v>
      </c>
      <c r="Y17" s="43" t="s">
        <v>1133</v>
      </c>
      <c r="Z17" s="43" t="s">
        <v>1233</v>
      </c>
      <c r="AA17" s="46"/>
      <c r="AB17" s="43"/>
      <c r="AC17" s="43" t="s">
        <v>1133</v>
      </c>
      <c r="AD17" s="43" t="s">
        <v>1133</v>
      </c>
      <c r="AE17" s="43" t="s">
        <v>742</v>
      </c>
      <c r="AF17" s="43" t="s">
        <v>1233</v>
      </c>
      <c r="AG17" s="43" t="s">
        <v>742</v>
      </c>
      <c r="AH17" s="43" t="s">
        <v>1133</v>
      </c>
      <c r="AI17" s="43" t="s">
        <v>1233</v>
      </c>
      <c r="AJ17" s="43" t="s">
        <v>1133</v>
      </c>
      <c r="AK17" s="43" t="s">
        <v>742</v>
      </c>
      <c r="AL17" s="43"/>
      <c r="AM17" s="43"/>
      <c r="AN17" s="44"/>
      <c r="AO17" s="47">
        <v>0.63</v>
      </c>
      <c r="AP17" s="48">
        <f t="shared" si="2"/>
        <v>0</v>
      </c>
      <c r="AQ17" s="48">
        <f t="shared" si="3"/>
        <v>0</v>
      </c>
      <c r="AR17" s="51"/>
      <c r="AS17" s="40"/>
      <c r="AT17" s="40"/>
      <c r="AU17" s="40"/>
      <c r="AV17" s="40"/>
      <c r="AW17" s="40"/>
      <c r="AX17" s="40"/>
      <c r="AY17" s="40"/>
      <c r="AZ17" s="40"/>
      <c r="BA17" s="40"/>
    </row>
    <row r="18" s="13" customFormat="1" customHeight="1" spans="1:53">
      <c r="A18" s="40">
        <v>46113</v>
      </c>
      <c r="B18" s="40" t="str">
        <f ca="1" t="shared" si="0"/>
        <v>异常</v>
      </c>
      <c r="C18" s="41" t="str">
        <f>VLOOKUP(H18,名称!A:E,4,0)</f>
        <v>三代</v>
      </c>
      <c r="D18" s="42" t="s">
        <v>1276</v>
      </c>
      <c r="E18" s="42" t="s">
        <v>1224</v>
      </c>
      <c r="F18" s="43"/>
      <c r="G18" s="43" t="s">
        <v>2015</v>
      </c>
      <c r="H18" s="43" t="s">
        <v>120</v>
      </c>
      <c r="I18" s="43"/>
      <c r="J18" s="43">
        <v>136800</v>
      </c>
      <c r="K18" s="43"/>
      <c r="L18" s="44"/>
      <c r="M18" s="43">
        <f>VLOOKUP(H18,名称!A:E,3,0)</f>
        <v>72</v>
      </c>
      <c r="N18" s="44">
        <f t="shared" si="1"/>
        <v>1900</v>
      </c>
      <c r="O18" s="40">
        <v>46257</v>
      </c>
      <c r="P18" s="40">
        <f>O18</f>
        <v>46257</v>
      </c>
      <c r="Q18" s="40">
        <v>46256</v>
      </c>
      <c r="R18" s="43"/>
      <c r="S18" s="40">
        <v>46257</v>
      </c>
      <c r="T18" s="43"/>
      <c r="U18" s="43"/>
      <c r="V18" s="43"/>
      <c r="W18" s="40"/>
      <c r="X18" s="43" t="s">
        <v>1133</v>
      </c>
      <c r="Y18" s="43" t="s">
        <v>1133</v>
      </c>
      <c r="Z18" s="43" t="s">
        <v>1233</v>
      </c>
      <c r="AA18" s="46"/>
      <c r="AB18" s="43"/>
      <c r="AC18" s="43" t="s">
        <v>1133</v>
      </c>
      <c r="AD18" s="43" t="s">
        <v>1133</v>
      </c>
      <c r="AE18" s="43" t="s">
        <v>270</v>
      </c>
      <c r="AF18" s="43" t="s">
        <v>1233</v>
      </c>
      <c r="AG18" s="43" t="s">
        <v>270</v>
      </c>
      <c r="AH18" s="43" t="s">
        <v>1133</v>
      </c>
      <c r="AI18" s="43" t="s">
        <v>1233</v>
      </c>
      <c r="AJ18" s="43" t="s">
        <v>1133</v>
      </c>
      <c r="AK18" s="43" t="s">
        <v>270</v>
      </c>
      <c r="AL18" s="43"/>
      <c r="AM18" s="43"/>
      <c r="AN18" s="44"/>
      <c r="AO18" s="47">
        <v>0</v>
      </c>
      <c r="AP18" s="48">
        <f t="shared" si="2"/>
        <v>0</v>
      </c>
      <c r="AQ18" s="48">
        <f t="shared" si="3"/>
        <v>0</v>
      </c>
      <c r="AR18" s="51"/>
      <c r="AS18" s="40"/>
      <c r="AT18" s="40"/>
      <c r="AU18" s="40"/>
      <c r="AV18" s="40"/>
      <c r="AW18" s="40"/>
      <c r="AX18" s="40"/>
      <c r="AY18" s="40"/>
      <c r="AZ18" s="40"/>
      <c r="BA18" s="40"/>
    </row>
    <row r="19" s="13" customFormat="1" customHeight="1" spans="1:53">
      <c r="A19" s="40">
        <v>45807</v>
      </c>
      <c r="B19" s="40" t="str">
        <f ca="1" t="shared" si="0"/>
        <v/>
      </c>
      <c r="C19" s="41" t="str">
        <f>VLOOKUP(H19,名称!A:E,4,0)</f>
        <v>二代</v>
      </c>
      <c r="D19" s="42" t="s">
        <v>1223</v>
      </c>
      <c r="E19" s="42" t="s">
        <v>1224</v>
      </c>
      <c r="F19" s="43" t="s">
        <v>2016</v>
      </c>
      <c r="G19" s="43" t="s">
        <v>2017</v>
      </c>
      <c r="H19" s="43" t="s">
        <v>44</v>
      </c>
      <c r="I19" s="43"/>
      <c r="J19" s="43">
        <f>3000-1104-1896</f>
        <v>0</v>
      </c>
      <c r="K19" s="43">
        <f>VLOOKUP(H19,名称!A:C,2,0)</f>
        <v>5</v>
      </c>
      <c r="L19" s="43">
        <f>K19*J19</f>
        <v>0</v>
      </c>
      <c r="M19" s="43">
        <f>VLOOKUP(H19,名称!A:E,3,0)</f>
        <v>24</v>
      </c>
      <c r="N19" s="44">
        <f t="shared" si="1"/>
        <v>0</v>
      </c>
      <c r="O19" s="40">
        <v>45863</v>
      </c>
      <c r="P19" s="40" t="s">
        <v>1225</v>
      </c>
      <c r="Q19" s="40" t="s">
        <v>1225</v>
      </c>
      <c r="R19" s="43"/>
      <c r="S19" s="40" t="s">
        <v>1225</v>
      </c>
      <c r="T19" s="43"/>
      <c r="U19" s="43"/>
      <c r="V19" s="43"/>
      <c r="W19" s="40" t="s">
        <v>1628</v>
      </c>
      <c r="X19" s="43" t="s">
        <v>1133</v>
      </c>
      <c r="Y19" s="43" t="s">
        <v>1133</v>
      </c>
      <c r="Z19" s="43">
        <v>46106</v>
      </c>
      <c r="AA19" s="46">
        <v>46109</v>
      </c>
      <c r="AB19" s="43">
        <v>46111</v>
      </c>
      <c r="AC19" s="43" t="s">
        <v>1133</v>
      </c>
      <c r="AD19" s="43" t="s">
        <v>1133</v>
      </c>
      <c r="AE19" s="43" t="s">
        <v>253</v>
      </c>
      <c r="AF19" s="43" t="s">
        <v>1228</v>
      </c>
      <c r="AG19" s="43" t="s">
        <v>253</v>
      </c>
      <c r="AH19" s="43" t="s">
        <v>1133</v>
      </c>
      <c r="AI19" s="43" t="s">
        <v>1228</v>
      </c>
      <c r="AJ19" s="43" t="s">
        <v>1133</v>
      </c>
      <c r="AK19" s="43" t="s">
        <v>253</v>
      </c>
      <c r="AL19" s="43" t="s">
        <v>1228</v>
      </c>
      <c r="AM19" s="43" t="s">
        <v>1230</v>
      </c>
      <c r="AN19" s="44" t="s">
        <v>1234</v>
      </c>
      <c r="AO19" s="47">
        <v>0.62</v>
      </c>
      <c r="AP19" s="48">
        <f t="shared" si="2"/>
        <v>0</v>
      </c>
      <c r="AQ19" s="48">
        <f t="shared" si="3"/>
        <v>0</v>
      </c>
      <c r="AR19" s="51"/>
      <c r="AS19" s="40"/>
      <c r="AT19" s="40" t="s">
        <v>1220</v>
      </c>
      <c r="AU19" s="40"/>
      <c r="AV19" s="40"/>
      <c r="AW19" s="40"/>
      <c r="AX19" s="40"/>
      <c r="AY19" s="40" t="s">
        <v>1232</v>
      </c>
      <c r="AZ19" s="40" t="s">
        <v>1222</v>
      </c>
      <c r="BA19" s="40"/>
    </row>
    <row r="20" s="13" customFormat="1" customHeight="1" spans="1:53">
      <c r="A20" s="40">
        <v>45807</v>
      </c>
      <c r="B20" s="40" t="str">
        <f ca="1" t="shared" si="0"/>
        <v/>
      </c>
      <c r="C20" s="41" t="str">
        <f>VLOOKUP(H20,名称!A:E,4,0)</f>
        <v>二代</v>
      </c>
      <c r="D20" s="42" t="s">
        <v>1223</v>
      </c>
      <c r="E20" s="42" t="s">
        <v>1224</v>
      </c>
      <c r="F20" s="43" t="s">
        <v>2018</v>
      </c>
      <c r="G20" s="43" t="s">
        <v>2019</v>
      </c>
      <c r="H20" s="43" t="s">
        <v>44</v>
      </c>
      <c r="I20" s="43"/>
      <c r="J20" s="43">
        <f>5016-5016</f>
        <v>0</v>
      </c>
      <c r="K20" s="43">
        <f>VLOOKUP(H20,名称!A:C,2,0)</f>
        <v>5</v>
      </c>
      <c r="L20" s="43">
        <f>K20*J20</f>
        <v>0</v>
      </c>
      <c r="M20" s="43">
        <f>VLOOKUP(H20,名称!A:E,3,0)</f>
        <v>24</v>
      </c>
      <c r="N20" s="44">
        <f t="shared" si="1"/>
        <v>0</v>
      </c>
      <c r="O20" s="40">
        <v>45863</v>
      </c>
      <c r="P20" s="40" t="s">
        <v>1225</v>
      </c>
      <c r="Q20" s="40" t="s">
        <v>1225</v>
      </c>
      <c r="R20" s="43"/>
      <c r="S20" s="40" t="s">
        <v>1225</v>
      </c>
      <c r="T20" s="43"/>
      <c r="U20" s="43"/>
      <c r="V20" s="43"/>
      <c r="W20" s="40" t="s">
        <v>1628</v>
      </c>
      <c r="X20" s="43" t="s">
        <v>1133</v>
      </c>
      <c r="Y20" s="43" t="s">
        <v>1133</v>
      </c>
      <c r="Z20" s="43">
        <v>46106</v>
      </c>
      <c r="AA20" s="46">
        <v>46109</v>
      </c>
      <c r="AB20" s="43">
        <v>46111</v>
      </c>
      <c r="AC20" s="43" t="s">
        <v>1133</v>
      </c>
      <c r="AD20" s="43" t="s">
        <v>1133</v>
      </c>
      <c r="AE20" s="43" t="s">
        <v>253</v>
      </c>
      <c r="AF20" s="43" t="s">
        <v>1228</v>
      </c>
      <c r="AG20" s="43" t="s">
        <v>253</v>
      </c>
      <c r="AH20" s="43" t="s">
        <v>1133</v>
      </c>
      <c r="AI20" s="43" t="s">
        <v>1228</v>
      </c>
      <c r="AJ20" s="43" t="s">
        <v>1133</v>
      </c>
      <c r="AK20" s="43" t="s">
        <v>253</v>
      </c>
      <c r="AL20" s="43" t="s">
        <v>1228</v>
      </c>
      <c r="AM20" s="43" t="s">
        <v>1230</v>
      </c>
      <c r="AN20" s="44" t="s">
        <v>1234</v>
      </c>
      <c r="AO20" s="47">
        <v>0.62</v>
      </c>
      <c r="AP20" s="48">
        <f t="shared" si="2"/>
        <v>0</v>
      </c>
      <c r="AQ20" s="48">
        <f t="shared" si="3"/>
        <v>0</v>
      </c>
      <c r="AR20" s="51"/>
      <c r="AS20" s="40"/>
      <c r="AT20" s="40" t="s">
        <v>1220</v>
      </c>
      <c r="AU20" s="40"/>
      <c r="AV20" s="40"/>
      <c r="AW20" s="40"/>
      <c r="AX20" s="40"/>
      <c r="AY20" s="40" t="s">
        <v>1232</v>
      </c>
      <c r="AZ20" s="40" t="s">
        <v>1222</v>
      </c>
      <c r="BA20" s="40"/>
    </row>
    <row r="21" s="13" customFormat="1" customHeight="1" spans="1:53">
      <c r="A21" s="40">
        <v>46107</v>
      </c>
      <c r="B21" s="40" t="str">
        <f ca="1" t="shared" si="0"/>
        <v>异常</v>
      </c>
      <c r="C21" s="41" t="str">
        <f>VLOOKUP(H21,名称!A:E,4,0)</f>
        <v>蛋糕</v>
      </c>
      <c r="D21" s="42" t="s">
        <v>1891</v>
      </c>
      <c r="E21" s="42" t="s">
        <v>1224</v>
      </c>
      <c r="F21" s="43"/>
      <c r="G21" s="43" t="s">
        <v>2020</v>
      </c>
      <c r="H21" s="43" t="s">
        <v>50</v>
      </c>
      <c r="I21" s="43"/>
      <c r="J21" s="43">
        <f>30006-4662-4014-7038-4968-5004-4320</f>
        <v>0</v>
      </c>
      <c r="K21" s="43"/>
      <c r="L21" s="43"/>
      <c r="M21" s="43">
        <f>VLOOKUP(H21,名称!A:E,3,0)</f>
        <v>18</v>
      </c>
      <c r="N21" s="44">
        <f t="shared" si="1"/>
        <v>0</v>
      </c>
      <c r="O21" s="40">
        <v>46223</v>
      </c>
      <c r="P21" s="40">
        <v>46223</v>
      </c>
      <c r="Q21" s="40">
        <v>46220</v>
      </c>
      <c r="R21" s="43"/>
      <c r="S21" s="40">
        <v>46223</v>
      </c>
      <c r="T21" s="43"/>
      <c r="U21" s="43"/>
      <c r="V21" s="43"/>
      <c r="W21" s="40"/>
      <c r="X21" s="43" t="s">
        <v>1718</v>
      </c>
      <c r="Y21" s="43" t="s">
        <v>1233</v>
      </c>
      <c r="Z21" s="43" t="s">
        <v>1233</v>
      </c>
      <c r="AA21" s="46"/>
      <c r="AB21" s="43"/>
      <c r="AC21" s="43" t="s">
        <v>1133</v>
      </c>
      <c r="AD21" s="43" t="s">
        <v>1133</v>
      </c>
      <c r="AE21" s="43" t="s">
        <v>510</v>
      </c>
      <c r="AF21" s="43" t="s">
        <v>1228</v>
      </c>
      <c r="AG21" s="43" t="s">
        <v>510</v>
      </c>
      <c r="AH21" s="43" t="s">
        <v>1133</v>
      </c>
      <c r="AI21" s="43" t="s">
        <v>1228</v>
      </c>
      <c r="AJ21" s="43" t="s">
        <v>1133</v>
      </c>
      <c r="AK21" s="43" t="s">
        <v>1228</v>
      </c>
      <c r="AL21" s="43"/>
      <c r="AM21" s="43"/>
      <c r="AN21" s="44"/>
      <c r="AO21" s="47">
        <v>1.09</v>
      </c>
      <c r="AP21" s="48">
        <f t="shared" si="2"/>
        <v>0</v>
      </c>
      <c r="AQ21" s="48">
        <f t="shared" si="3"/>
        <v>0</v>
      </c>
      <c r="AR21" s="49">
        <v>46153</v>
      </c>
      <c r="AS21" s="40"/>
      <c r="AT21" s="40" t="s">
        <v>1220</v>
      </c>
      <c r="AU21" s="40"/>
      <c r="AV21" s="40"/>
      <c r="AW21" s="40"/>
      <c r="AX21" s="40"/>
      <c r="AY21" s="40"/>
      <c r="AZ21" s="40"/>
      <c r="BA21" s="40"/>
    </row>
    <row r="22" s="14" customFormat="1" customHeight="1" spans="1:53">
      <c r="A22" s="52">
        <v>46114</v>
      </c>
      <c r="B22" s="40" t="str">
        <f ca="1" t="shared" si="0"/>
        <v>异常</v>
      </c>
      <c r="C22" s="41" t="str">
        <f>VLOOKUP(H22,名称!A:E,4,0)</f>
        <v>三代</v>
      </c>
      <c r="D22" s="53" t="s">
        <v>2021</v>
      </c>
      <c r="E22" s="53" t="s">
        <v>1224</v>
      </c>
      <c r="F22" s="41" t="s">
        <v>2022</v>
      </c>
      <c r="G22" s="41" t="s">
        <v>2023</v>
      </c>
      <c r="H22" s="41" t="s">
        <v>60</v>
      </c>
      <c r="I22" s="41"/>
      <c r="J22" s="54">
        <v>48000</v>
      </c>
      <c r="K22" s="55">
        <f>VLOOKUP(H22,名称!A:C,2,0)</f>
        <v>5</v>
      </c>
      <c r="L22" s="56">
        <f>J22*K22</f>
        <v>240000</v>
      </c>
      <c r="M22" s="41">
        <f>VLOOKUP(H22,名称!A:E,3,0)</f>
        <v>12</v>
      </c>
      <c r="N22" s="56">
        <f t="shared" si="1"/>
        <v>4000</v>
      </c>
      <c r="O22" s="52">
        <v>46178</v>
      </c>
      <c r="P22" s="52">
        <f>O22</f>
        <v>46178</v>
      </c>
      <c r="Q22" s="52">
        <v>46177</v>
      </c>
      <c r="R22" s="41"/>
      <c r="S22" s="52">
        <v>46178</v>
      </c>
      <c r="T22" s="41"/>
      <c r="U22" s="41"/>
      <c r="V22" s="41" t="s">
        <v>2024</v>
      </c>
      <c r="W22" s="52"/>
      <c r="X22" s="41" t="s">
        <v>1133</v>
      </c>
      <c r="Y22" s="41" t="s">
        <v>1133</v>
      </c>
      <c r="Z22" s="57">
        <v>46119</v>
      </c>
      <c r="AA22" s="58">
        <v>46137</v>
      </c>
      <c r="AB22" s="41"/>
      <c r="AC22" s="41" t="s">
        <v>1133</v>
      </c>
      <c r="AD22" s="41" t="s">
        <v>1133</v>
      </c>
      <c r="AE22" s="41" t="s">
        <v>270</v>
      </c>
      <c r="AF22" s="41" t="s">
        <v>1228</v>
      </c>
      <c r="AG22" s="41" t="s">
        <v>270</v>
      </c>
      <c r="AH22" s="41" t="s">
        <v>1133</v>
      </c>
      <c r="AI22" s="41" t="s">
        <v>1228</v>
      </c>
      <c r="AJ22" s="41" t="s">
        <v>1133</v>
      </c>
      <c r="AK22" s="41" t="s">
        <v>1659</v>
      </c>
      <c r="AL22" s="41"/>
      <c r="AM22" s="41"/>
      <c r="AN22" s="56"/>
      <c r="AO22" s="59">
        <v>0.61</v>
      </c>
      <c r="AP22" s="60">
        <f t="shared" si="2"/>
        <v>29280</v>
      </c>
      <c r="AQ22" s="60">
        <f t="shared" si="3"/>
        <v>226920</v>
      </c>
      <c r="AR22" s="49">
        <v>46153</v>
      </c>
      <c r="AS22" s="52"/>
      <c r="AT22" s="52" t="s">
        <v>1220</v>
      </c>
      <c r="AU22" s="52"/>
      <c r="AV22" s="61">
        <f>AU22-J22</f>
        <v>-48000</v>
      </c>
      <c r="AW22" s="61"/>
      <c r="AX22" s="52" t="s">
        <v>1280</v>
      </c>
      <c r="AY22" s="52"/>
      <c r="AZ22" s="52"/>
      <c r="BA22" s="52"/>
    </row>
    <row r="23" s="13" customFormat="1" customHeight="1" spans="1:53">
      <c r="A23" s="40">
        <v>46108</v>
      </c>
      <c r="B23" s="40" t="str">
        <f ca="1" t="shared" si="0"/>
        <v>异常</v>
      </c>
      <c r="C23" s="41" t="str">
        <f>VLOOKUP(H23,名称!A:E,4,0)</f>
        <v>蛋糕</v>
      </c>
      <c r="D23" s="42" t="s">
        <v>1352</v>
      </c>
      <c r="E23" s="42" t="s">
        <v>1224</v>
      </c>
      <c r="F23" s="43" t="s">
        <v>2025</v>
      </c>
      <c r="G23" s="43" t="s">
        <v>2026</v>
      </c>
      <c r="H23" s="43" t="s">
        <v>50</v>
      </c>
      <c r="I23" s="43"/>
      <c r="J23" s="43">
        <f>25002-24984</f>
        <v>18</v>
      </c>
      <c r="K23" s="43"/>
      <c r="L23" s="43"/>
      <c r="M23" s="43">
        <f>VLOOKUP(H23,名称!A:E,3,0)</f>
        <v>18</v>
      </c>
      <c r="N23" s="44">
        <f t="shared" si="1"/>
        <v>1</v>
      </c>
      <c r="O23" s="40">
        <v>46172</v>
      </c>
      <c r="P23" s="40">
        <v>46172</v>
      </c>
      <c r="Q23" s="40">
        <v>46172</v>
      </c>
      <c r="R23" s="43"/>
      <c r="S23" s="40" t="s">
        <v>1133</v>
      </c>
      <c r="T23" s="43"/>
      <c r="U23" s="43"/>
      <c r="V23" s="43" t="s">
        <v>2024</v>
      </c>
      <c r="W23" s="40"/>
      <c r="X23" s="43" t="s">
        <v>1133</v>
      </c>
      <c r="Y23" s="43" t="s">
        <v>1133</v>
      </c>
      <c r="Z23" s="45">
        <v>46152</v>
      </c>
      <c r="AA23" s="46"/>
      <c r="AB23" s="43"/>
      <c r="AC23" s="43" t="s">
        <v>1133</v>
      </c>
      <c r="AD23" s="43" t="s">
        <v>1133</v>
      </c>
      <c r="AE23" s="43" t="s">
        <v>510</v>
      </c>
      <c r="AF23" s="43" t="s">
        <v>1228</v>
      </c>
      <c r="AG23" s="43" t="s">
        <v>510</v>
      </c>
      <c r="AH23" s="43" t="s">
        <v>1133</v>
      </c>
      <c r="AI23" s="43" t="s">
        <v>1228</v>
      </c>
      <c r="AJ23" s="43" t="s">
        <v>1133</v>
      </c>
      <c r="AK23" s="43" t="s">
        <v>1228</v>
      </c>
      <c r="AL23" s="43"/>
      <c r="AM23" s="43"/>
      <c r="AN23" s="44"/>
      <c r="AO23" s="47">
        <v>1.09</v>
      </c>
      <c r="AP23" s="48">
        <f t="shared" si="2"/>
        <v>19.62</v>
      </c>
      <c r="AQ23" s="48">
        <f t="shared" si="3"/>
        <v>152.06</v>
      </c>
      <c r="AR23" s="49">
        <v>46154</v>
      </c>
      <c r="AS23" s="40"/>
      <c r="AT23" s="40" t="s">
        <v>1220</v>
      </c>
      <c r="AU23" s="40"/>
      <c r="AV23" s="40"/>
      <c r="AW23" s="40"/>
      <c r="AX23" s="40"/>
      <c r="AY23" s="40"/>
      <c r="AZ23" s="40"/>
      <c r="BA23" s="40"/>
    </row>
    <row r="24" s="14" customFormat="1" customHeight="1" spans="1:53">
      <c r="A24" s="52">
        <v>46108</v>
      </c>
      <c r="B24" s="40" t="str">
        <f ca="1" t="shared" si="0"/>
        <v>异常</v>
      </c>
      <c r="C24" s="41" t="str">
        <f>VLOOKUP(H24,名称!A:E,4,0)</f>
        <v>三代</v>
      </c>
      <c r="D24" s="53" t="s">
        <v>1320</v>
      </c>
      <c r="E24" s="53" t="s">
        <v>1224</v>
      </c>
      <c r="F24" s="41" t="s">
        <v>2025</v>
      </c>
      <c r="G24" s="41" t="s">
        <v>2026</v>
      </c>
      <c r="H24" s="41" t="s">
        <v>88</v>
      </c>
      <c r="I24" s="41"/>
      <c r="J24" s="54">
        <f>5016-1992</f>
        <v>3024</v>
      </c>
      <c r="K24" s="55">
        <f>VLOOKUP(H24,名称!A:C,2,0)</f>
        <v>5</v>
      </c>
      <c r="L24" s="56">
        <f>J24*K24</f>
        <v>15120</v>
      </c>
      <c r="M24" s="41">
        <f>VLOOKUP(H24,名称!A:E,3,0)</f>
        <v>24</v>
      </c>
      <c r="N24" s="56">
        <f t="shared" si="1"/>
        <v>126</v>
      </c>
      <c r="O24" s="52">
        <v>46172</v>
      </c>
      <c r="P24" s="52">
        <v>46176</v>
      </c>
      <c r="Q24" s="52">
        <v>46176</v>
      </c>
      <c r="R24" s="41"/>
      <c r="S24" s="52" t="s">
        <v>1133</v>
      </c>
      <c r="T24" s="41"/>
      <c r="U24" s="41"/>
      <c r="V24" s="41"/>
      <c r="W24" s="52"/>
      <c r="X24" s="41" t="s">
        <v>1133</v>
      </c>
      <c r="Y24" s="41" t="s">
        <v>1133</v>
      </c>
      <c r="Z24" s="57">
        <v>46152</v>
      </c>
      <c r="AA24" s="58"/>
      <c r="AB24" s="57"/>
      <c r="AC24" s="41" t="s">
        <v>1133</v>
      </c>
      <c r="AD24" s="41" t="s">
        <v>1133</v>
      </c>
      <c r="AE24" s="41" t="s">
        <v>510</v>
      </c>
      <c r="AF24" s="41" t="s">
        <v>1228</v>
      </c>
      <c r="AG24" s="41" t="s">
        <v>510</v>
      </c>
      <c r="AH24" s="41" t="s">
        <v>1133</v>
      </c>
      <c r="AI24" s="41" t="s">
        <v>1228</v>
      </c>
      <c r="AJ24" s="41" t="s">
        <v>1133</v>
      </c>
      <c r="AK24" s="41" t="s">
        <v>510</v>
      </c>
      <c r="AL24" s="41"/>
      <c r="AM24" s="41"/>
      <c r="AN24" s="56"/>
      <c r="AO24" s="59">
        <v>0.63</v>
      </c>
      <c r="AP24" s="60">
        <f t="shared" si="2"/>
        <v>1905.12</v>
      </c>
      <c r="AQ24" s="60">
        <f t="shared" si="3"/>
        <v>14764.68</v>
      </c>
      <c r="AR24" s="49">
        <v>46154</v>
      </c>
      <c r="AS24" s="52"/>
      <c r="AT24" s="52" t="s">
        <v>1310</v>
      </c>
      <c r="AU24" s="52"/>
      <c r="AV24" s="61">
        <f>AU24-J24</f>
        <v>-3024</v>
      </c>
      <c r="AW24" s="61"/>
      <c r="AX24" s="52"/>
      <c r="AY24" s="52"/>
      <c r="AZ24" s="52"/>
      <c r="BA24" s="52"/>
    </row>
    <row r="25" s="13" customFormat="1" customHeight="1" spans="1:53">
      <c r="A25" s="40">
        <v>45807</v>
      </c>
      <c r="B25" s="40" t="str">
        <f ca="1" t="shared" si="0"/>
        <v>异常</v>
      </c>
      <c r="C25" s="41" t="str">
        <f>VLOOKUP(H25,名称!A:E,4,0)</f>
        <v>二代</v>
      </c>
      <c r="D25" s="42" t="s">
        <v>1223</v>
      </c>
      <c r="E25" s="42" t="s">
        <v>1224</v>
      </c>
      <c r="F25" s="43" t="s">
        <v>2027</v>
      </c>
      <c r="G25" s="43" t="s">
        <v>2028</v>
      </c>
      <c r="H25" s="43" t="s">
        <v>44</v>
      </c>
      <c r="I25" s="43"/>
      <c r="J25" s="43">
        <f>3600-1800-1800</f>
        <v>0</v>
      </c>
      <c r="K25" s="62">
        <f>VLOOKUP(H25,名称!A:C,2,0)</f>
        <v>5</v>
      </c>
      <c r="L25" s="62">
        <f>K25*J25</f>
        <v>0</v>
      </c>
      <c r="M25" s="43">
        <f>VLOOKUP(H25,名称!A:E,3,0)</f>
        <v>24</v>
      </c>
      <c r="N25" s="44">
        <f t="shared" si="1"/>
        <v>0</v>
      </c>
      <c r="O25" s="40">
        <v>45863</v>
      </c>
      <c r="P25" s="40" t="s">
        <v>1225</v>
      </c>
      <c r="Q25" s="40"/>
      <c r="R25" s="43"/>
      <c r="S25" s="40"/>
      <c r="T25" s="43"/>
      <c r="U25" s="43"/>
      <c r="V25" s="43"/>
      <c r="W25" s="43"/>
      <c r="X25" s="43"/>
      <c r="Y25" s="43"/>
      <c r="Z25" s="45"/>
      <c r="AA25" s="46"/>
      <c r="AB25" s="45"/>
      <c r="AC25" s="43" t="s">
        <v>1133</v>
      </c>
      <c r="AD25" s="43" t="s">
        <v>1133</v>
      </c>
      <c r="AE25" s="43" t="s">
        <v>253</v>
      </c>
      <c r="AF25" s="43" t="s">
        <v>1228</v>
      </c>
      <c r="AG25" s="43" t="s">
        <v>253</v>
      </c>
      <c r="AH25" s="43"/>
      <c r="AI25" s="43"/>
      <c r="AJ25" s="43"/>
      <c r="AK25" s="43"/>
      <c r="AL25" s="43"/>
      <c r="AM25" s="43"/>
      <c r="AN25" s="44"/>
      <c r="AO25" s="47"/>
      <c r="AP25" s="48">
        <f t="shared" si="2"/>
        <v>0</v>
      </c>
      <c r="AQ25" s="48">
        <f t="shared" si="3"/>
        <v>0</v>
      </c>
      <c r="AR25" s="51"/>
      <c r="AS25" s="40"/>
      <c r="AT25" s="40"/>
      <c r="AU25" s="63"/>
      <c r="AV25" s="50"/>
      <c r="AW25" s="40"/>
      <c r="AX25" s="40"/>
      <c r="AY25" s="40"/>
      <c r="AZ25" s="40"/>
      <c r="BA25" s="40"/>
    </row>
    <row r="26" s="13" customFormat="1" customHeight="1" spans="1:53">
      <c r="A26" s="40">
        <v>45807</v>
      </c>
      <c r="B26" s="40" t="str">
        <f ca="1" t="shared" si="0"/>
        <v>异常</v>
      </c>
      <c r="C26" s="41" t="str">
        <f>VLOOKUP(H26,名称!A:E,4,0)</f>
        <v>二代</v>
      </c>
      <c r="D26" s="42" t="s">
        <v>1223</v>
      </c>
      <c r="E26" s="42" t="s">
        <v>1224</v>
      </c>
      <c r="F26" s="43" t="s">
        <v>2029</v>
      </c>
      <c r="G26" s="43" t="s">
        <v>2030</v>
      </c>
      <c r="H26" s="43" t="s">
        <v>44</v>
      </c>
      <c r="I26" s="43"/>
      <c r="J26" s="43">
        <f>1200-1200</f>
        <v>0</v>
      </c>
      <c r="K26" s="62">
        <f>VLOOKUP(H26,名称!A:C,2,0)</f>
        <v>5</v>
      </c>
      <c r="L26" s="62">
        <f>K26*J26</f>
        <v>0</v>
      </c>
      <c r="M26" s="43">
        <f>VLOOKUP(H26,名称!A:E,3,0)</f>
        <v>24</v>
      </c>
      <c r="N26" s="44">
        <f t="shared" si="1"/>
        <v>0</v>
      </c>
      <c r="O26" s="40">
        <v>45863</v>
      </c>
      <c r="P26" s="40" t="s">
        <v>1225</v>
      </c>
      <c r="Q26" s="40"/>
      <c r="R26" s="43"/>
      <c r="S26" s="40"/>
      <c r="T26" s="43"/>
      <c r="U26" s="43"/>
      <c r="V26" s="43"/>
      <c r="W26" s="43"/>
      <c r="X26" s="43"/>
      <c r="Y26" s="43"/>
      <c r="Z26" s="45"/>
      <c r="AA26" s="46"/>
      <c r="AB26" s="45"/>
      <c r="AC26" s="43" t="s">
        <v>1133</v>
      </c>
      <c r="AD26" s="43" t="s">
        <v>1133</v>
      </c>
      <c r="AE26" s="43" t="s">
        <v>253</v>
      </c>
      <c r="AF26" s="43" t="s">
        <v>1228</v>
      </c>
      <c r="AG26" s="43" t="s">
        <v>253</v>
      </c>
      <c r="AH26" s="43"/>
      <c r="AI26" s="43"/>
      <c r="AJ26" s="43"/>
      <c r="AK26" s="43"/>
      <c r="AL26" s="43"/>
      <c r="AM26" s="43"/>
      <c r="AN26" s="44"/>
      <c r="AO26" s="47"/>
      <c r="AP26" s="48">
        <f t="shared" si="2"/>
        <v>0</v>
      </c>
      <c r="AQ26" s="48">
        <f t="shared" si="3"/>
        <v>0</v>
      </c>
      <c r="AR26" s="51"/>
      <c r="AS26" s="40"/>
      <c r="AT26" s="40"/>
      <c r="AU26" s="63"/>
      <c r="AV26" s="50"/>
      <c r="AW26" s="40"/>
      <c r="AX26" s="40"/>
      <c r="AY26" s="40"/>
      <c r="AZ26" s="40"/>
      <c r="BA26" s="40"/>
    </row>
    <row r="27" s="13" customFormat="1" customHeight="1" spans="1:53">
      <c r="A27" s="40">
        <v>45807</v>
      </c>
      <c r="B27" s="40" t="str">
        <f ca="1" t="shared" si="0"/>
        <v/>
      </c>
      <c r="C27" s="41" t="str">
        <f>VLOOKUP(H27,名称!A:E,4,0)</f>
        <v>二代</v>
      </c>
      <c r="D27" s="42" t="s">
        <v>1223</v>
      </c>
      <c r="E27" s="42" t="s">
        <v>1224</v>
      </c>
      <c r="F27" s="43" t="s">
        <v>2029</v>
      </c>
      <c r="G27" s="43" t="s">
        <v>2030</v>
      </c>
      <c r="H27" s="43" t="s">
        <v>44</v>
      </c>
      <c r="I27" s="43"/>
      <c r="J27" s="43">
        <f>3600+1008-1344-1800-288-1176</f>
        <v>0</v>
      </c>
      <c r="K27" s="62">
        <f>VLOOKUP(H27,名称!A:C,2,0)</f>
        <v>5</v>
      </c>
      <c r="L27" s="62">
        <f>K27*J27</f>
        <v>0</v>
      </c>
      <c r="M27" s="43">
        <f>VLOOKUP(H27,名称!A:E,3,0)</f>
        <v>24</v>
      </c>
      <c r="N27" s="44">
        <f t="shared" si="1"/>
        <v>0</v>
      </c>
      <c r="O27" s="40">
        <v>45863</v>
      </c>
      <c r="P27" s="40" t="s">
        <v>1225</v>
      </c>
      <c r="Q27" s="40" t="s">
        <v>1225</v>
      </c>
      <c r="R27" s="43"/>
      <c r="S27" s="40" t="s">
        <v>1225</v>
      </c>
      <c r="T27" s="43"/>
      <c r="U27" s="43"/>
      <c r="V27" s="43"/>
      <c r="W27" s="43" t="s">
        <v>1628</v>
      </c>
      <c r="X27" s="43" t="s">
        <v>1133</v>
      </c>
      <c r="Y27" s="43" t="s">
        <v>1133</v>
      </c>
      <c r="Z27" s="45">
        <v>46106</v>
      </c>
      <c r="AA27" s="46">
        <v>46109</v>
      </c>
      <c r="AB27" s="45">
        <v>46111</v>
      </c>
      <c r="AC27" s="43" t="s">
        <v>1133</v>
      </c>
      <c r="AD27" s="43" t="s">
        <v>1133</v>
      </c>
      <c r="AE27" s="43" t="s">
        <v>253</v>
      </c>
      <c r="AF27" s="43" t="s">
        <v>1228</v>
      </c>
      <c r="AG27" s="43" t="s">
        <v>253</v>
      </c>
      <c r="AH27" s="43" t="s">
        <v>1133</v>
      </c>
      <c r="AI27" s="43" t="s">
        <v>1228</v>
      </c>
      <c r="AJ27" s="43" t="s">
        <v>1133</v>
      </c>
      <c r="AK27" s="43" t="s">
        <v>253</v>
      </c>
      <c r="AL27" s="43" t="s">
        <v>1228</v>
      </c>
      <c r="AM27" s="43" t="s">
        <v>1230</v>
      </c>
      <c r="AN27" s="44" t="s">
        <v>1234</v>
      </c>
      <c r="AO27" s="47">
        <v>0.62</v>
      </c>
      <c r="AP27" s="48">
        <f t="shared" si="2"/>
        <v>0</v>
      </c>
      <c r="AQ27" s="48">
        <f t="shared" si="3"/>
        <v>0</v>
      </c>
      <c r="AR27" s="51"/>
      <c r="AS27" s="40"/>
      <c r="AT27" s="40" t="s">
        <v>1220</v>
      </c>
      <c r="AU27" s="63"/>
      <c r="AV27" s="50"/>
      <c r="AW27" s="40"/>
      <c r="AX27" s="40"/>
      <c r="AY27" s="40" t="s">
        <v>1232</v>
      </c>
      <c r="AZ27" s="40" t="s">
        <v>1222</v>
      </c>
      <c r="BA27" s="40"/>
    </row>
    <row r="28" s="14" customFormat="1" customHeight="1" spans="1:53">
      <c r="A28" s="52">
        <v>46150</v>
      </c>
      <c r="B28" s="52" t="str">
        <f ca="1" t="shared" si="0"/>
        <v>异常</v>
      </c>
      <c r="C28" s="41" t="str">
        <f>VLOOKUP(H28,名称!A:E,4,0)</f>
        <v>二代</v>
      </c>
      <c r="D28" s="64" t="s">
        <v>1807</v>
      </c>
      <c r="E28" s="64" t="s">
        <v>1325</v>
      </c>
      <c r="F28" s="64" t="s">
        <v>830</v>
      </c>
      <c r="G28" s="64" t="s">
        <v>831</v>
      </c>
      <c r="H28" s="64" t="s">
        <v>44</v>
      </c>
      <c r="I28" s="41"/>
      <c r="J28" s="65">
        <f>288-288</f>
        <v>0</v>
      </c>
      <c r="K28" s="62">
        <f>VLOOKUP(H28,名称!A:C,2,0)</f>
        <v>5</v>
      </c>
      <c r="L28" s="44">
        <f>J28*K28</f>
        <v>0</v>
      </c>
      <c r="M28" s="41">
        <f>VLOOKUP(H28,名称!A:E,3,0)</f>
        <v>24</v>
      </c>
      <c r="N28" s="56">
        <f t="shared" si="1"/>
        <v>0</v>
      </c>
      <c r="O28" s="66">
        <v>46191</v>
      </c>
      <c r="P28" s="66">
        <f>O28</f>
        <v>46191</v>
      </c>
      <c r="Q28" s="52">
        <v>46190</v>
      </c>
      <c r="R28" s="41"/>
      <c r="S28" s="52">
        <v>46191</v>
      </c>
      <c r="T28" s="41"/>
      <c r="U28" s="41"/>
      <c r="V28" s="41" t="s">
        <v>2031</v>
      </c>
      <c r="W28" s="52"/>
      <c r="X28" s="64" t="s">
        <v>1133</v>
      </c>
      <c r="Y28" s="41" t="s">
        <v>1133</v>
      </c>
      <c r="Z28" s="41" t="s">
        <v>1233</v>
      </c>
      <c r="AA28" s="58"/>
      <c r="AB28" s="41"/>
      <c r="AC28" s="41" t="s">
        <v>1133</v>
      </c>
      <c r="AD28" s="41" t="s">
        <v>1133</v>
      </c>
      <c r="AE28" s="64" t="s">
        <v>253</v>
      </c>
      <c r="AF28" s="41" t="s">
        <v>1228</v>
      </c>
      <c r="AG28" s="64" t="s">
        <v>253</v>
      </c>
      <c r="AH28" s="41" t="s">
        <v>1133</v>
      </c>
      <c r="AI28" s="41" t="s">
        <v>1133</v>
      </c>
      <c r="AJ28" s="41" t="s">
        <v>1133</v>
      </c>
      <c r="AK28" s="41" t="s">
        <v>253</v>
      </c>
      <c r="AL28" s="41" t="s">
        <v>1228</v>
      </c>
      <c r="AM28" s="41"/>
      <c r="AN28" s="64"/>
      <c r="AO28" s="59">
        <v>0.62</v>
      </c>
      <c r="AP28" s="60">
        <f t="shared" si="2"/>
        <v>0</v>
      </c>
      <c r="AQ28" s="60">
        <f t="shared" si="3"/>
        <v>0</v>
      </c>
      <c r="AR28" s="67"/>
      <c r="AS28" s="52"/>
      <c r="AT28" s="52" t="s">
        <v>1254</v>
      </c>
      <c r="AU28" s="52"/>
      <c r="AV28" s="52"/>
      <c r="AW28" s="52"/>
      <c r="AX28" s="52"/>
      <c r="AY28" s="52"/>
      <c r="AZ28" s="52"/>
      <c r="BA28" s="52"/>
    </row>
    <row r="29" s="14" customFormat="1" customHeight="1" spans="1:53">
      <c r="A29" s="52">
        <v>46150</v>
      </c>
      <c r="B29" s="52" t="str">
        <f ca="1" t="shared" si="0"/>
        <v>异常</v>
      </c>
      <c r="C29" s="41" t="str">
        <f>VLOOKUP(H29,名称!A:E,4,0)</f>
        <v>二代</v>
      </c>
      <c r="D29" s="64" t="s">
        <v>1807</v>
      </c>
      <c r="E29" s="64" t="s">
        <v>1325</v>
      </c>
      <c r="F29" s="64" t="s">
        <v>830</v>
      </c>
      <c r="G29" s="64" t="s">
        <v>831</v>
      </c>
      <c r="H29" s="64" t="s">
        <v>44</v>
      </c>
      <c r="I29" s="41"/>
      <c r="J29" s="65">
        <f>5016-5016</f>
        <v>0</v>
      </c>
      <c r="K29" s="62">
        <f>VLOOKUP(H29,名称!A:C,2,0)</f>
        <v>5</v>
      </c>
      <c r="L29" s="44">
        <f>J29*K29</f>
        <v>0</v>
      </c>
      <c r="M29" s="41">
        <f>VLOOKUP(H29,名称!A:E,3,0)</f>
        <v>24</v>
      </c>
      <c r="N29" s="56">
        <f t="shared" si="1"/>
        <v>0</v>
      </c>
      <c r="O29" s="66">
        <v>46191</v>
      </c>
      <c r="P29" s="66">
        <f>O29</f>
        <v>46191</v>
      </c>
      <c r="Q29" s="52">
        <v>46190</v>
      </c>
      <c r="R29" s="41"/>
      <c r="S29" s="52">
        <v>46191</v>
      </c>
      <c r="T29" s="41"/>
      <c r="U29" s="41"/>
      <c r="V29" s="41" t="s">
        <v>2031</v>
      </c>
      <c r="W29" s="52"/>
      <c r="X29" s="64" t="s">
        <v>1133</v>
      </c>
      <c r="Y29" s="41" t="s">
        <v>1133</v>
      </c>
      <c r="Z29" s="41" t="s">
        <v>1233</v>
      </c>
      <c r="AA29" s="58"/>
      <c r="AB29" s="41"/>
      <c r="AC29" s="41" t="s">
        <v>1133</v>
      </c>
      <c r="AD29" s="41" t="s">
        <v>1133</v>
      </c>
      <c r="AE29" s="64" t="s">
        <v>253</v>
      </c>
      <c r="AF29" s="41" t="s">
        <v>1228</v>
      </c>
      <c r="AG29" s="64" t="s">
        <v>253</v>
      </c>
      <c r="AH29" s="41" t="s">
        <v>1133</v>
      </c>
      <c r="AI29" s="41" t="s">
        <v>1133</v>
      </c>
      <c r="AJ29" s="41" t="s">
        <v>1133</v>
      </c>
      <c r="AK29" s="41" t="s">
        <v>253</v>
      </c>
      <c r="AL29" s="41" t="s">
        <v>1228</v>
      </c>
      <c r="AM29" s="41"/>
      <c r="AN29" s="64"/>
      <c r="AO29" s="59">
        <v>0.62</v>
      </c>
      <c r="AP29" s="60">
        <f t="shared" si="2"/>
        <v>0</v>
      </c>
      <c r="AQ29" s="60">
        <f t="shared" si="3"/>
        <v>0</v>
      </c>
      <c r="AR29" s="67"/>
      <c r="AS29" s="52"/>
      <c r="AT29" s="52" t="s">
        <v>1254</v>
      </c>
      <c r="AU29" s="52"/>
      <c r="AV29" s="52"/>
      <c r="AW29" s="52"/>
      <c r="AX29" s="52"/>
      <c r="AY29" s="52"/>
      <c r="AZ29" s="52"/>
      <c r="BA29" s="52"/>
    </row>
    <row r="30" s="14" customFormat="1" customHeight="1" spans="1:53">
      <c r="A30" s="52">
        <v>46150</v>
      </c>
      <c r="B30" s="52" t="str">
        <f ca="1" t="shared" si="0"/>
        <v>异常</v>
      </c>
      <c r="C30" s="41" t="str">
        <f>VLOOKUP(H30,名称!A:E,4,0)</f>
        <v>二代</v>
      </c>
      <c r="D30" s="64" t="s">
        <v>1807</v>
      </c>
      <c r="E30" s="64" t="s">
        <v>1325</v>
      </c>
      <c r="F30" s="64" t="s">
        <v>830</v>
      </c>
      <c r="G30" s="64" t="s">
        <v>831</v>
      </c>
      <c r="H30" s="64" t="s">
        <v>44</v>
      </c>
      <c r="I30" s="41"/>
      <c r="J30" s="65">
        <f>1896-1896</f>
        <v>0</v>
      </c>
      <c r="K30" s="62">
        <f>VLOOKUP(H30,名称!A:C,2,0)</f>
        <v>5</v>
      </c>
      <c r="L30" s="44">
        <f>J30*K30</f>
        <v>0</v>
      </c>
      <c r="M30" s="41">
        <f>VLOOKUP(H30,名称!A:E,3,0)</f>
        <v>24</v>
      </c>
      <c r="N30" s="56">
        <f t="shared" si="1"/>
        <v>0</v>
      </c>
      <c r="O30" s="66">
        <v>46191</v>
      </c>
      <c r="P30" s="66">
        <f>O30</f>
        <v>46191</v>
      </c>
      <c r="Q30" s="52">
        <v>46190</v>
      </c>
      <c r="R30" s="41"/>
      <c r="S30" s="52">
        <v>46191</v>
      </c>
      <c r="T30" s="41"/>
      <c r="U30" s="41"/>
      <c r="V30" s="41" t="s">
        <v>2031</v>
      </c>
      <c r="W30" s="52"/>
      <c r="X30" s="64" t="s">
        <v>1133</v>
      </c>
      <c r="Y30" s="41" t="s">
        <v>1133</v>
      </c>
      <c r="Z30" s="41" t="s">
        <v>1233</v>
      </c>
      <c r="AA30" s="58"/>
      <c r="AB30" s="41"/>
      <c r="AC30" s="41" t="s">
        <v>1133</v>
      </c>
      <c r="AD30" s="41" t="s">
        <v>1133</v>
      </c>
      <c r="AE30" s="64" t="s">
        <v>253</v>
      </c>
      <c r="AF30" s="41" t="s">
        <v>1228</v>
      </c>
      <c r="AG30" s="64" t="s">
        <v>253</v>
      </c>
      <c r="AH30" s="41" t="s">
        <v>1133</v>
      </c>
      <c r="AI30" s="41" t="s">
        <v>1133</v>
      </c>
      <c r="AJ30" s="41" t="s">
        <v>1133</v>
      </c>
      <c r="AK30" s="41" t="s">
        <v>253</v>
      </c>
      <c r="AL30" s="41" t="s">
        <v>1228</v>
      </c>
      <c r="AM30" s="41"/>
      <c r="AN30" s="64"/>
      <c r="AO30" s="59">
        <v>0.62</v>
      </c>
      <c r="AP30" s="60">
        <f t="shared" si="2"/>
        <v>0</v>
      </c>
      <c r="AQ30" s="60">
        <f t="shared" si="3"/>
        <v>0</v>
      </c>
      <c r="AR30" s="67"/>
      <c r="AS30" s="52"/>
      <c r="AT30" s="52" t="s">
        <v>1254</v>
      </c>
      <c r="AU30" s="52"/>
      <c r="AV30" s="52"/>
      <c r="AW30" s="52"/>
      <c r="AX30" s="52"/>
      <c r="AY30" s="52"/>
      <c r="AZ30" s="52"/>
      <c r="BA30" s="52"/>
    </row>
    <row r="31" s="14" customFormat="1" customHeight="1" spans="1:53">
      <c r="A31" s="52">
        <v>46127</v>
      </c>
      <c r="B31" s="40" t="str">
        <f ca="1" t="shared" si="0"/>
        <v>异常</v>
      </c>
      <c r="C31" s="41" t="str">
        <f>VLOOKUP(H31,名称!A:E,4,0)</f>
        <v>三代</v>
      </c>
      <c r="D31" s="53" t="s">
        <v>1366</v>
      </c>
      <c r="E31" s="64" t="s">
        <v>1224</v>
      </c>
      <c r="F31" s="41" t="s">
        <v>2032</v>
      </c>
      <c r="G31" s="41" t="s">
        <v>2033</v>
      </c>
      <c r="H31" s="41" t="s">
        <v>126</v>
      </c>
      <c r="I31" s="41"/>
      <c r="J31" s="54">
        <f>31920-31920</f>
        <v>0</v>
      </c>
      <c r="K31" s="55">
        <f>VLOOKUP(H31,名称!A:C,2,0)</f>
        <v>50</v>
      </c>
      <c r="L31" s="56">
        <f>J31*K31</f>
        <v>0</v>
      </c>
      <c r="M31" s="41">
        <f>VLOOKUP(H31,名称!A:E,3,0)</f>
        <v>40</v>
      </c>
      <c r="N31" s="56">
        <f t="shared" si="1"/>
        <v>0</v>
      </c>
      <c r="O31" s="52">
        <v>46204</v>
      </c>
      <c r="P31" s="52">
        <f>O31</f>
        <v>46204</v>
      </c>
      <c r="Q31" s="52">
        <v>46203</v>
      </c>
      <c r="R31" s="41"/>
      <c r="S31" s="52">
        <v>46204</v>
      </c>
      <c r="T31" s="41"/>
      <c r="U31" s="41"/>
      <c r="V31" s="41"/>
      <c r="W31" s="52"/>
      <c r="X31" s="41" t="s">
        <v>1133</v>
      </c>
      <c r="Y31" s="41" t="s">
        <v>1133</v>
      </c>
      <c r="Z31" s="41" t="s">
        <v>1233</v>
      </c>
      <c r="AA31" s="58"/>
      <c r="AB31" s="41"/>
      <c r="AC31" s="41" t="s">
        <v>1133</v>
      </c>
      <c r="AD31" s="41" t="s">
        <v>1133</v>
      </c>
      <c r="AE31" s="41" t="s">
        <v>584</v>
      </c>
      <c r="AF31" s="41" t="s">
        <v>1228</v>
      </c>
      <c r="AG31" s="41" t="s">
        <v>584</v>
      </c>
      <c r="AH31" s="41" t="s">
        <v>1225</v>
      </c>
      <c r="AI31" s="41" t="s">
        <v>1228</v>
      </c>
      <c r="AJ31" s="41" t="s">
        <v>1133</v>
      </c>
      <c r="AK31" s="41" t="s">
        <v>1356</v>
      </c>
      <c r="AL31" s="41"/>
      <c r="AM31" s="41"/>
      <c r="AN31" s="56" t="s">
        <v>1368</v>
      </c>
      <c r="AO31" s="59">
        <v>9.15</v>
      </c>
      <c r="AP31" s="60">
        <f t="shared" si="2"/>
        <v>0</v>
      </c>
      <c r="AQ31" s="60">
        <f t="shared" si="3"/>
        <v>0</v>
      </c>
      <c r="AR31" s="67"/>
      <c r="AS31" s="52"/>
      <c r="AT31" s="52" t="s">
        <v>1310</v>
      </c>
      <c r="AU31" s="68"/>
      <c r="AV31" s="61">
        <f>AU31-J31</f>
        <v>0</v>
      </c>
      <c r="AW31" s="61"/>
      <c r="AX31" s="52"/>
      <c r="AY31" s="52" t="s">
        <v>1255</v>
      </c>
      <c r="AZ31" s="52"/>
      <c r="BA31" s="52"/>
    </row>
    <row r="32" s="13" customFormat="1" customHeight="1" spans="1:53">
      <c r="A32" s="40">
        <v>45854</v>
      </c>
      <c r="B32" s="40" t="str">
        <f ca="1" t="shared" si="0"/>
        <v>异常</v>
      </c>
      <c r="C32" s="41" t="str">
        <f>VLOOKUP(H32,名称!A:E,4,0)</f>
        <v>二代</v>
      </c>
      <c r="D32" s="42" t="s">
        <v>2034</v>
      </c>
      <c r="E32" s="42" t="s">
        <v>2035</v>
      </c>
      <c r="F32" s="43" t="s">
        <v>2036</v>
      </c>
      <c r="G32" s="43" t="s">
        <v>2037</v>
      </c>
      <c r="H32" s="43" t="s">
        <v>44</v>
      </c>
      <c r="I32" s="43"/>
      <c r="J32" s="43">
        <v>3000</v>
      </c>
      <c r="K32" s="62">
        <f>VLOOKUP(H32,名称!A:C,2,0)</f>
        <v>5</v>
      </c>
      <c r="L32" s="62">
        <f>K32*J32</f>
        <v>15000</v>
      </c>
      <c r="M32" s="43">
        <f>VLOOKUP(H32,名称!A:E,3,0)</f>
        <v>24</v>
      </c>
      <c r="N32" s="44">
        <f t="shared" si="1"/>
        <v>125</v>
      </c>
      <c r="O32" s="40">
        <v>45923</v>
      </c>
      <c r="P32" s="40" t="s">
        <v>1225</v>
      </c>
      <c r="Q32" s="40" t="s">
        <v>1225</v>
      </c>
      <c r="R32" s="43"/>
      <c r="S32" s="40" t="s">
        <v>1225</v>
      </c>
      <c r="T32" s="43"/>
      <c r="U32" s="43"/>
      <c r="V32" s="43"/>
      <c r="W32" s="40" t="s">
        <v>1651</v>
      </c>
      <c r="X32" s="43" t="s">
        <v>2038</v>
      </c>
      <c r="Y32" s="43" t="s">
        <v>1233</v>
      </c>
      <c r="Z32" s="45">
        <v>46106</v>
      </c>
      <c r="AA32" s="46">
        <v>46109</v>
      </c>
      <c r="AB32" s="43"/>
      <c r="AC32" s="43" t="s">
        <v>1133</v>
      </c>
      <c r="AD32" s="43" t="s">
        <v>1133</v>
      </c>
      <c r="AE32" s="43" t="s">
        <v>2039</v>
      </c>
      <c r="AF32" s="43" t="s">
        <v>1228</v>
      </c>
      <c r="AG32" s="43" t="s">
        <v>2039</v>
      </c>
      <c r="AH32" s="43" t="s">
        <v>1133</v>
      </c>
      <c r="AI32" s="43" t="s">
        <v>1228</v>
      </c>
      <c r="AJ32" s="43" t="s">
        <v>1133</v>
      </c>
      <c r="AK32" s="43" t="s">
        <v>2039</v>
      </c>
      <c r="AL32" s="43" t="s">
        <v>1233</v>
      </c>
      <c r="AM32" s="43"/>
      <c r="AN32" s="44" t="s">
        <v>2040</v>
      </c>
      <c r="AO32" s="47">
        <v>0.65</v>
      </c>
      <c r="AP32" s="48">
        <f t="shared" si="2"/>
        <v>1950</v>
      </c>
      <c r="AQ32" s="48">
        <f t="shared" si="3"/>
        <v>15112.5</v>
      </c>
      <c r="AR32" s="49">
        <v>46162</v>
      </c>
      <c r="AS32" s="40"/>
      <c r="AT32" s="40" t="s">
        <v>1313</v>
      </c>
      <c r="AU32" s="63"/>
      <c r="AV32" s="50"/>
      <c r="AW32" s="40"/>
      <c r="AX32" s="40"/>
      <c r="AY32" s="40"/>
      <c r="AZ32" s="40"/>
      <c r="BA32" s="40"/>
    </row>
    <row r="33" s="13" customFormat="1" customHeight="1" spans="1:53">
      <c r="A33" s="40">
        <v>45854</v>
      </c>
      <c r="B33" s="40" t="str">
        <f ca="1" t="shared" si="0"/>
        <v>异常</v>
      </c>
      <c r="C33" s="41" t="str">
        <f>VLOOKUP(H33,名称!A:E,4,0)</f>
        <v>二代</v>
      </c>
      <c r="D33" s="42" t="s">
        <v>2034</v>
      </c>
      <c r="E33" s="42" t="s">
        <v>2035</v>
      </c>
      <c r="F33" s="43" t="s">
        <v>2036</v>
      </c>
      <c r="G33" s="43" t="s">
        <v>2037</v>
      </c>
      <c r="H33" s="43" t="s">
        <v>37</v>
      </c>
      <c r="I33" s="43"/>
      <c r="J33" s="43">
        <v>3000</v>
      </c>
      <c r="K33" s="62">
        <f>VLOOKUP(H33,名称!A:C,2,0)</f>
        <v>12</v>
      </c>
      <c r="L33" s="62">
        <f>K33*J33</f>
        <v>36000</v>
      </c>
      <c r="M33" s="43">
        <f>VLOOKUP(H33,名称!A:E,3,0)</f>
        <v>6</v>
      </c>
      <c r="N33" s="44">
        <f t="shared" si="1"/>
        <v>500</v>
      </c>
      <c r="O33" s="40">
        <v>45923</v>
      </c>
      <c r="P33" s="40" t="s">
        <v>1225</v>
      </c>
      <c r="Q33" s="40" t="s">
        <v>1225</v>
      </c>
      <c r="R33" s="43"/>
      <c r="S33" s="40" t="s">
        <v>1225</v>
      </c>
      <c r="T33" s="43"/>
      <c r="U33" s="43"/>
      <c r="V33" s="43"/>
      <c r="W33" s="40" t="s">
        <v>1651</v>
      </c>
      <c r="X33" s="43" t="s">
        <v>2038</v>
      </c>
      <c r="Y33" s="43" t="s">
        <v>1233</v>
      </c>
      <c r="Z33" s="45">
        <v>46106</v>
      </c>
      <c r="AA33" s="46">
        <v>46109</v>
      </c>
      <c r="AB33" s="43"/>
      <c r="AC33" s="43" t="s">
        <v>1233</v>
      </c>
      <c r="AD33" s="43"/>
      <c r="AE33" s="43" t="s">
        <v>2039</v>
      </c>
      <c r="AF33" s="43" t="s">
        <v>1228</v>
      </c>
      <c r="AG33" s="43" t="s">
        <v>2039</v>
      </c>
      <c r="AH33" s="43" t="s">
        <v>1233</v>
      </c>
      <c r="AI33" s="43" t="s">
        <v>1233</v>
      </c>
      <c r="AJ33" s="43" t="s">
        <v>327</v>
      </c>
      <c r="AK33" s="43" t="s">
        <v>1133</v>
      </c>
      <c r="AL33" s="43" t="s">
        <v>1233</v>
      </c>
      <c r="AM33" s="43"/>
      <c r="AN33" s="44" t="s">
        <v>2041</v>
      </c>
      <c r="AO33" s="47">
        <v>2.09</v>
      </c>
      <c r="AP33" s="48">
        <f t="shared" si="2"/>
        <v>6270</v>
      </c>
      <c r="AQ33" s="48">
        <f t="shared" si="3"/>
        <v>48592.5</v>
      </c>
      <c r="AR33" s="49">
        <v>46162</v>
      </c>
      <c r="AS33" s="40"/>
      <c r="AT33" s="40" t="s">
        <v>1313</v>
      </c>
      <c r="AU33" s="63"/>
      <c r="AV33" s="50"/>
      <c r="AW33" s="40"/>
      <c r="AX33" s="40"/>
      <c r="AY33" s="40"/>
      <c r="AZ33" s="40"/>
      <c r="BA33" s="40"/>
    </row>
    <row r="34" s="13" customFormat="1" customHeight="1" spans="1:53">
      <c r="A34" s="40">
        <v>45854</v>
      </c>
      <c r="B34" s="40" t="str">
        <f ca="1" t="shared" si="0"/>
        <v>异常</v>
      </c>
      <c r="C34" s="41" t="str">
        <f>VLOOKUP(H34,名称!A:E,4,0)</f>
        <v>二代</v>
      </c>
      <c r="D34" s="42" t="s">
        <v>2034</v>
      </c>
      <c r="E34" s="42" t="s">
        <v>2035</v>
      </c>
      <c r="F34" s="43" t="s">
        <v>2036</v>
      </c>
      <c r="G34" s="43" t="s">
        <v>2037</v>
      </c>
      <c r="H34" s="43" t="s">
        <v>38</v>
      </c>
      <c r="I34" s="43"/>
      <c r="J34" s="43">
        <v>3000</v>
      </c>
      <c r="K34" s="62">
        <f>VLOOKUP(H34,名称!A:C,2,0)</f>
        <v>32</v>
      </c>
      <c r="L34" s="62">
        <f>K34*J34</f>
        <v>96000</v>
      </c>
      <c r="M34" s="43">
        <f>VLOOKUP(H34,名称!A:E,3,0)</f>
        <v>4</v>
      </c>
      <c r="N34" s="44">
        <f t="shared" si="1"/>
        <v>750</v>
      </c>
      <c r="O34" s="40">
        <v>45923</v>
      </c>
      <c r="P34" s="40" t="s">
        <v>1225</v>
      </c>
      <c r="Q34" s="40" t="s">
        <v>1225</v>
      </c>
      <c r="R34" s="43"/>
      <c r="S34" s="40" t="s">
        <v>1225</v>
      </c>
      <c r="T34" s="43"/>
      <c r="U34" s="43"/>
      <c r="V34" s="43"/>
      <c r="W34" s="40" t="s">
        <v>1651</v>
      </c>
      <c r="X34" s="43" t="s">
        <v>2038</v>
      </c>
      <c r="Y34" s="43" t="s">
        <v>1233</v>
      </c>
      <c r="Z34" s="45">
        <v>46106</v>
      </c>
      <c r="AA34" s="46">
        <v>46109</v>
      </c>
      <c r="AB34" s="43"/>
      <c r="AC34" s="43" t="s">
        <v>1233</v>
      </c>
      <c r="AD34" s="43"/>
      <c r="AE34" s="43" t="s">
        <v>2039</v>
      </c>
      <c r="AF34" s="43" t="s">
        <v>1228</v>
      </c>
      <c r="AG34" s="43" t="s">
        <v>2039</v>
      </c>
      <c r="AH34" s="43" t="s">
        <v>1233</v>
      </c>
      <c r="AI34" s="43" t="s">
        <v>1233</v>
      </c>
      <c r="AJ34" s="43" t="s">
        <v>1133</v>
      </c>
      <c r="AK34" s="43" t="s">
        <v>1133</v>
      </c>
      <c r="AL34" s="43" t="s">
        <v>1233</v>
      </c>
      <c r="AM34" s="43"/>
      <c r="AN34" s="44" t="s">
        <v>2041</v>
      </c>
      <c r="AO34" s="47">
        <v>3.23</v>
      </c>
      <c r="AP34" s="48">
        <f t="shared" si="2"/>
        <v>9690</v>
      </c>
      <c r="AQ34" s="48">
        <f t="shared" si="3"/>
        <v>75097.5</v>
      </c>
      <c r="AR34" s="49">
        <v>46162</v>
      </c>
      <c r="AS34" s="40"/>
      <c r="AT34" s="40" t="s">
        <v>1313</v>
      </c>
      <c r="AU34" s="63"/>
      <c r="AV34" s="50"/>
      <c r="AW34" s="40"/>
      <c r="AX34" s="40"/>
      <c r="AY34" s="40"/>
      <c r="AZ34" s="40"/>
      <c r="BA34" s="40"/>
    </row>
    <row r="35" s="13" customFormat="1" customHeight="1" spans="1:53">
      <c r="A35" s="40">
        <v>45854</v>
      </c>
      <c r="B35" s="40" t="str">
        <f ca="1" t="shared" si="0"/>
        <v>异常</v>
      </c>
      <c r="C35" s="41" t="str">
        <f>VLOOKUP(H35,名称!A:E,4,0)</f>
        <v>二代</v>
      </c>
      <c r="D35" s="42" t="s">
        <v>2034</v>
      </c>
      <c r="E35" s="42" t="s">
        <v>2035</v>
      </c>
      <c r="F35" s="43" t="s">
        <v>2036</v>
      </c>
      <c r="G35" s="43" t="s">
        <v>2037</v>
      </c>
      <c r="H35" s="43" t="s">
        <v>39</v>
      </c>
      <c r="I35" s="43"/>
      <c r="J35" s="43">
        <v>3000</v>
      </c>
      <c r="K35" s="62">
        <f>VLOOKUP(H35,名称!A:C,2,0)</f>
        <v>12</v>
      </c>
      <c r="L35" s="62">
        <f>K35*J35</f>
        <v>36000</v>
      </c>
      <c r="M35" s="43">
        <f>VLOOKUP(H35,名称!A:E,3,0)</f>
        <v>6</v>
      </c>
      <c r="N35" s="44">
        <f t="shared" si="1"/>
        <v>500</v>
      </c>
      <c r="O35" s="40">
        <v>45923</v>
      </c>
      <c r="P35" s="40" t="s">
        <v>1225</v>
      </c>
      <c r="Q35" s="40" t="s">
        <v>1225</v>
      </c>
      <c r="R35" s="43"/>
      <c r="S35" s="40" t="s">
        <v>1225</v>
      </c>
      <c r="T35" s="43"/>
      <c r="U35" s="43"/>
      <c r="V35" s="43"/>
      <c r="W35" s="40" t="s">
        <v>1651</v>
      </c>
      <c r="X35" s="43" t="s">
        <v>2038</v>
      </c>
      <c r="Y35" s="43" t="s">
        <v>1233</v>
      </c>
      <c r="Z35" s="45">
        <v>46106</v>
      </c>
      <c r="AA35" s="46">
        <v>46109</v>
      </c>
      <c r="AB35" s="43"/>
      <c r="AC35" s="43" t="s">
        <v>1233</v>
      </c>
      <c r="AD35" s="43" t="s">
        <v>1233</v>
      </c>
      <c r="AE35" s="43" t="s">
        <v>2039</v>
      </c>
      <c r="AF35" s="43" t="s">
        <v>1228</v>
      </c>
      <c r="AG35" s="43" t="s">
        <v>2039</v>
      </c>
      <c r="AH35" s="43" t="s">
        <v>1233</v>
      </c>
      <c r="AI35" s="43" t="s">
        <v>1233</v>
      </c>
      <c r="AJ35" s="43" t="s">
        <v>1133</v>
      </c>
      <c r="AK35" s="43" t="s">
        <v>1133</v>
      </c>
      <c r="AL35" s="43" t="s">
        <v>1233</v>
      </c>
      <c r="AM35" s="43"/>
      <c r="AN35" s="44" t="s">
        <v>2041</v>
      </c>
      <c r="AO35" s="47">
        <v>1.68</v>
      </c>
      <c r="AP35" s="48">
        <f t="shared" si="2"/>
        <v>5040</v>
      </c>
      <c r="AQ35" s="48">
        <f t="shared" si="3"/>
        <v>39060</v>
      </c>
      <c r="AR35" s="49">
        <v>46162</v>
      </c>
      <c r="AS35" s="40"/>
      <c r="AT35" s="40" t="s">
        <v>1313</v>
      </c>
      <c r="AU35" s="63"/>
      <c r="AV35" s="50"/>
      <c r="AW35" s="40"/>
      <c r="AX35" s="40"/>
      <c r="AY35" s="40"/>
      <c r="AZ35" s="40"/>
      <c r="BA35" s="40"/>
    </row>
    <row r="36" s="13" customFormat="1" customHeight="1" spans="1:53">
      <c r="A36" s="40">
        <v>45854</v>
      </c>
      <c r="B36" s="40" t="str">
        <f ca="1" t="shared" si="0"/>
        <v>异常</v>
      </c>
      <c r="C36" s="41" t="str">
        <f>VLOOKUP(H36,名称!A:E,4,0)</f>
        <v>二代</v>
      </c>
      <c r="D36" s="42" t="s">
        <v>2034</v>
      </c>
      <c r="E36" s="42" t="s">
        <v>2035</v>
      </c>
      <c r="F36" s="43" t="s">
        <v>2036</v>
      </c>
      <c r="G36" s="43" t="s">
        <v>2037</v>
      </c>
      <c r="H36" s="43" t="s">
        <v>28</v>
      </c>
      <c r="I36" s="43"/>
      <c r="J36" s="43">
        <v>3000</v>
      </c>
      <c r="K36" s="62">
        <f>VLOOKUP(H36,名称!A:C,2,0)</f>
        <v>3</v>
      </c>
      <c r="L36" s="62">
        <f>K36*J36</f>
        <v>9000</v>
      </c>
      <c r="M36" s="43">
        <f>VLOOKUP(H36,名称!A:E,3,0)</f>
        <v>12</v>
      </c>
      <c r="N36" s="44">
        <f t="shared" si="1"/>
        <v>250</v>
      </c>
      <c r="O36" s="40">
        <v>45923</v>
      </c>
      <c r="P36" s="40" t="s">
        <v>1225</v>
      </c>
      <c r="Q36" s="40" t="s">
        <v>1225</v>
      </c>
      <c r="R36" s="43"/>
      <c r="S36" s="40" t="s">
        <v>1225</v>
      </c>
      <c r="T36" s="43"/>
      <c r="U36" s="43"/>
      <c r="V36" s="43"/>
      <c r="W36" s="40" t="s">
        <v>1603</v>
      </c>
      <c r="X36" s="43" t="s">
        <v>2038</v>
      </c>
      <c r="Y36" s="43" t="s">
        <v>1233</v>
      </c>
      <c r="Z36" s="45">
        <v>46106</v>
      </c>
      <c r="AA36" s="46">
        <v>46109</v>
      </c>
      <c r="AB36" s="43"/>
      <c r="AC36" s="43" t="s">
        <v>1133</v>
      </c>
      <c r="AD36" s="43" t="s">
        <v>1133</v>
      </c>
      <c r="AE36" s="43" t="s">
        <v>2039</v>
      </c>
      <c r="AF36" s="43" t="s">
        <v>1233</v>
      </c>
      <c r="AG36" s="43" t="s">
        <v>2039</v>
      </c>
      <c r="AH36" s="43" t="s">
        <v>2039</v>
      </c>
      <c r="AI36" s="43" t="s">
        <v>1228</v>
      </c>
      <c r="AJ36" s="43" t="s">
        <v>1133</v>
      </c>
      <c r="AK36" s="43" t="s">
        <v>1133</v>
      </c>
      <c r="AL36" s="43" t="s">
        <v>1233</v>
      </c>
      <c r="AM36" s="43"/>
      <c r="AN36" s="44" t="s">
        <v>2042</v>
      </c>
      <c r="AO36" s="47">
        <v>1.34</v>
      </c>
      <c r="AP36" s="48">
        <f t="shared" si="2"/>
        <v>4020</v>
      </c>
      <c r="AQ36" s="48">
        <f t="shared" si="3"/>
        <v>31155</v>
      </c>
      <c r="AR36" s="49">
        <v>46162</v>
      </c>
      <c r="AS36" s="40"/>
      <c r="AT36" s="40" t="s">
        <v>1313</v>
      </c>
      <c r="AU36" s="63"/>
      <c r="AV36" s="50"/>
      <c r="AW36" s="40"/>
      <c r="AX36" s="40"/>
      <c r="AY36" s="40"/>
      <c r="AZ36" s="40"/>
      <c r="BA36" s="40"/>
    </row>
    <row r="37" s="14" customFormat="1" customHeight="1" spans="1:53">
      <c r="A37" s="52">
        <v>46099</v>
      </c>
      <c r="B37" s="40" t="str">
        <f ca="1" t="shared" si="0"/>
        <v>异常</v>
      </c>
      <c r="C37" s="41" t="str">
        <f>VLOOKUP(H37,名称!A:E,4,0)</f>
        <v>三代</v>
      </c>
      <c r="D37" s="53" t="s">
        <v>1257</v>
      </c>
      <c r="E37" s="53" t="s">
        <v>1258</v>
      </c>
      <c r="F37" s="41">
        <v>4400544530</v>
      </c>
      <c r="G37" s="41" t="s">
        <v>573</v>
      </c>
      <c r="H37" s="41" t="s">
        <v>118</v>
      </c>
      <c r="I37" s="41"/>
      <c r="J37" s="54">
        <f>1648-1648</f>
        <v>0</v>
      </c>
      <c r="K37" s="55">
        <f>VLOOKUP(H37,名称!A:C,2,0)</f>
        <v>0</v>
      </c>
      <c r="L37" s="56">
        <f>J37*K37</f>
        <v>0</v>
      </c>
      <c r="M37" s="41">
        <f>VLOOKUP(H37,名称!A:E,3,0)</f>
        <v>4</v>
      </c>
      <c r="N37" s="56">
        <f t="shared" si="1"/>
        <v>0</v>
      </c>
      <c r="O37" s="52">
        <v>46202</v>
      </c>
      <c r="P37" s="52">
        <v>46202</v>
      </c>
      <c r="Q37" s="52" t="s">
        <v>1225</v>
      </c>
      <c r="R37" s="41"/>
      <c r="S37" s="52">
        <v>46164</v>
      </c>
      <c r="T37" s="41"/>
      <c r="U37" s="41"/>
      <c r="V37" s="41"/>
      <c r="W37" s="52"/>
      <c r="X37" s="41" t="s">
        <v>1133</v>
      </c>
      <c r="Y37" s="41" t="s">
        <v>1133</v>
      </c>
      <c r="Z37" s="41" t="s">
        <v>1233</v>
      </c>
      <c r="AA37" s="58"/>
      <c r="AB37" s="41"/>
      <c r="AC37" s="41" t="s">
        <v>1133</v>
      </c>
      <c r="AD37" s="41" t="s">
        <v>1133</v>
      </c>
      <c r="AE37" s="41" t="s">
        <v>334</v>
      </c>
      <c r="AF37" s="41" t="s">
        <v>1233</v>
      </c>
      <c r="AG37" s="41" t="s">
        <v>334</v>
      </c>
      <c r="AH37" s="41" t="s">
        <v>1361</v>
      </c>
      <c r="AI37" s="41" t="s">
        <v>1233</v>
      </c>
      <c r="AJ37" s="41" t="s">
        <v>1133</v>
      </c>
      <c r="AK37" s="41" t="s">
        <v>1133</v>
      </c>
      <c r="AL37" s="41"/>
      <c r="AM37" s="41" t="s">
        <v>2043</v>
      </c>
      <c r="AN37" s="56"/>
      <c r="AO37" s="59">
        <v>0</v>
      </c>
      <c r="AP37" s="60">
        <f t="shared" si="2"/>
        <v>0</v>
      </c>
      <c r="AQ37" s="60">
        <f t="shared" si="3"/>
        <v>0</v>
      </c>
      <c r="AR37" s="67"/>
      <c r="AS37" s="52"/>
      <c r="AT37" s="52" t="s">
        <v>1310</v>
      </c>
      <c r="AU37" s="68"/>
      <c r="AV37" s="61">
        <f>AU37-J37</f>
        <v>0</v>
      </c>
      <c r="AW37" s="61"/>
      <c r="AX37" s="52"/>
      <c r="AY37" s="52"/>
      <c r="AZ37" s="52"/>
      <c r="BA37" s="52"/>
    </row>
    <row r="38" s="14" customFormat="1" customHeight="1" spans="1:53">
      <c r="A38" s="52">
        <v>46099</v>
      </c>
      <c r="B38" s="40" t="str">
        <f ca="1" t="shared" si="0"/>
        <v>异常</v>
      </c>
      <c r="C38" s="41" t="str">
        <f>VLOOKUP(H38,名称!A:E,4,0)</f>
        <v>三代</v>
      </c>
      <c r="D38" s="53" t="s">
        <v>1257</v>
      </c>
      <c r="E38" s="53" t="s">
        <v>1258</v>
      </c>
      <c r="F38" s="41">
        <v>4400544531</v>
      </c>
      <c r="G38" s="41" t="s">
        <v>574</v>
      </c>
      <c r="H38" s="41" t="s">
        <v>118</v>
      </c>
      <c r="I38" s="41"/>
      <c r="J38" s="54">
        <f>4000-4000</f>
        <v>0</v>
      </c>
      <c r="K38" s="55">
        <f>VLOOKUP(H38,名称!A:C,2,0)</f>
        <v>0</v>
      </c>
      <c r="L38" s="56">
        <f>J38*K38</f>
        <v>0</v>
      </c>
      <c r="M38" s="41">
        <f>VLOOKUP(H38,名称!A:E,3,0)</f>
        <v>4</v>
      </c>
      <c r="N38" s="56">
        <f t="shared" si="1"/>
        <v>0</v>
      </c>
      <c r="O38" s="52">
        <v>46202</v>
      </c>
      <c r="P38" s="52">
        <v>46202</v>
      </c>
      <c r="Q38" s="52" t="s">
        <v>1225</v>
      </c>
      <c r="R38" s="41"/>
      <c r="S38" s="52">
        <v>46167</v>
      </c>
      <c r="T38" s="41"/>
      <c r="U38" s="41"/>
      <c r="V38" s="41"/>
      <c r="W38" s="52"/>
      <c r="X38" s="41" t="s">
        <v>1133</v>
      </c>
      <c r="Y38" s="41" t="s">
        <v>1133</v>
      </c>
      <c r="Z38" s="41" t="s">
        <v>1233</v>
      </c>
      <c r="AA38" s="58"/>
      <c r="AB38" s="41"/>
      <c r="AC38" s="41" t="s">
        <v>1133</v>
      </c>
      <c r="AD38" s="41" t="s">
        <v>1133</v>
      </c>
      <c r="AE38" s="41" t="s">
        <v>334</v>
      </c>
      <c r="AF38" s="41" t="s">
        <v>1233</v>
      </c>
      <c r="AG38" s="41" t="s">
        <v>334</v>
      </c>
      <c r="AH38" s="41" t="s">
        <v>1361</v>
      </c>
      <c r="AI38" s="41" t="s">
        <v>1233</v>
      </c>
      <c r="AJ38" s="41" t="s">
        <v>1133</v>
      </c>
      <c r="AK38" s="41" t="s">
        <v>1133</v>
      </c>
      <c r="AL38" s="41"/>
      <c r="AM38" s="41" t="s">
        <v>2044</v>
      </c>
      <c r="AN38" s="56"/>
      <c r="AO38" s="59">
        <v>0</v>
      </c>
      <c r="AP38" s="60">
        <f t="shared" si="2"/>
        <v>0</v>
      </c>
      <c r="AQ38" s="60">
        <f t="shared" si="3"/>
        <v>0</v>
      </c>
      <c r="AR38" s="67"/>
      <c r="AS38" s="52"/>
      <c r="AT38" s="52" t="s">
        <v>1310</v>
      </c>
      <c r="AU38" s="68"/>
      <c r="AV38" s="61">
        <f>AU38-J38</f>
        <v>0</v>
      </c>
      <c r="AW38" s="61"/>
      <c r="AX38" s="52"/>
      <c r="AY38" s="52"/>
      <c r="AZ38" s="52"/>
      <c r="BA38" s="52"/>
    </row>
    <row r="39" s="13" customFormat="1" customHeight="1" spans="1:53">
      <c r="A39" s="40">
        <v>46108</v>
      </c>
      <c r="B39" s="40" t="str">
        <f ca="1" t="shared" si="0"/>
        <v>异常</v>
      </c>
      <c r="C39" s="41" t="str">
        <f>VLOOKUP(H39,名称!A:E,4,0)</f>
        <v>蛋糕</v>
      </c>
      <c r="D39" s="42" t="s">
        <v>1352</v>
      </c>
      <c r="E39" s="42" t="s">
        <v>1224</v>
      </c>
      <c r="F39" s="43" t="s">
        <v>2045</v>
      </c>
      <c r="G39" s="43" t="s">
        <v>2046</v>
      </c>
      <c r="H39" s="43" t="s">
        <v>50</v>
      </c>
      <c r="I39" s="43"/>
      <c r="J39" s="43">
        <f>30006</f>
        <v>30006</v>
      </c>
      <c r="K39" s="43"/>
      <c r="L39" s="43"/>
      <c r="M39" s="43">
        <f>VLOOKUP(H39,名称!A:E,3,0)</f>
        <v>18</v>
      </c>
      <c r="N39" s="44">
        <f t="shared" si="1"/>
        <v>1667</v>
      </c>
      <c r="O39" s="40">
        <v>46235</v>
      </c>
      <c r="P39" s="40">
        <v>46235</v>
      </c>
      <c r="Q39" s="40">
        <v>46235</v>
      </c>
      <c r="R39" s="43"/>
      <c r="S39" s="40" t="s">
        <v>1133</v>
      </c>
      <c r="T39" s="43"/>
      <c r="U39" s="43"/>
      <c r="V39" s="43"/>
      <c r="W39" s="40"/>
      <c r="X39" s="43" t="s">
        <v>1133</v>
      </c>
      <c r="Y39" s="43" t="s">
        <v>1133</v>
      </c>
      <c r="Z39" s="43" t="s">
        <v>1233</v>
      </c>
      <c r="AA39" s="46"/>
      <c r="AB39" s="43"/>
      <c r="AC39" s="43" t="s">
        <v>1133</v>
      </c>
      <c r="AD39" s="43" t="s">
        <v>1133</v>
      </c>
      <c r="AE39" s="43" t="s">
        <v>510</v>
      </c>
      <c r="AF39" s="43" t="s">
        <v>1228</v>
      </c>
      <c r="AG39" s="43" t="s">
        <v>510</v>
      </c>
      <c r="AH39" s="43" t="s">
        <v>1133</v>
      </c>
      <c r="AI39" s="43" t="s">
        <v>1228</v>
      </c>
      <c r="AJ39" s="43" t="s">
        <v>1133</v>
      </c>
      <c r="AK39" s="43" t="s">
        <v>1228</v>
      </c>
      <c r="AL39" s="43"/>
      <c r="AM39" s="43"/>
      <c r="AN39" s="44" t="s">
        <v>2047</v>
      </c>
      <c r="AO39" s="47">
        <v>1.09</v>
      </c>
      <c r="AP39" s="48">
        <f t="shared" si="2"/>
        <v>32706.54</v>
      </c>
      <c r="AQ39" s="48">
        <f t="shared" si="3"/>
        <v>253475.69</v>
      </c>
      <c r="AR39" s="49">
        <v>46169</v>
      </c>
      <c r="AS39" s="40"/>
      <c r="AT39" s="40" t="s">
        <v>1220</v>
      </c>
      <c r="AU39" s="40"/>
      <c r="AV39" s="40"/>
      <c r="AW39" s="40"/>
      <c r="AX39" s="40"/>
      <c r="AY39" s="40"/>
      <c r="AZ39" s="40"/>
      <c r="BA39" s="40"/>
    </row>
    <row r="40" s="13" customFormat="1" customHeight="1" spans="1:53">
      <c r="A40" s="40">
        <v>46129</v>
      </c>
      <c r="B40" s="40" t="str">
        <f ca="1" t="shared" si="0"/>
        <v/>
      </c>
      <c r="C40" s="41" t="str">
        <f>VLOOKUP(H40,名称!A:E,4,0)</f>
        <v>蛋糕</v>
      </c>
      <c r="D40" s="69" t="s">
        <v>1420</v>
      </c>
      <c r="E40" s="69" t="s">
        <v>1421</v>
      </c>
      <c r="F40" s="70">
        <v>21011782</v>
      </c>
      <c r="G40" s="69" t="s">
        <v>743</v>
      </c>
      <c r="H40" s="69" t="s">
        <v>50</v>
      </c>
      <c r="I40" s="43"/>
      <c r="J40" s="69">
        <v>2808</v>
      </c>
      <c r="K40" s="55">
        <f>VLOOKUP(H40,名称!A:C,2,0)</f>
        <v>0</v>
      </c>
      <c r="L40" s="56">
        <f t="shared" ref="L40:L50" si="6">J40*K40</f>
        <v>0</v>
      </c>
      <c r="M40" s="43">
        <f>VLOOKUP(H40,名称!A:E,3,0)</f>
        <v>18</v>
      </c>
      <c r="N40" s="44">
        <f t="shared" si="1"/>
        <v>156</v>
      </c>
      <c r="O40" s="71">
        <v>46185</v>
      </c>
      <c r="P40" s="40">
        <f>O40</f>
        <v>46185</v>
      </c>
      <c r="Q40" s="40">
        <f>P40</f>
        <v>46185</v>
      </c>
      <c r="R40" s="43"/>
      <c r="S40" s="40" t="s">
        <v>1133</v>
      </c>
      <c r="T40" s="43"/>
      <c r="U40" s="43"/>
      <c r="V40" s="43"/>
      <c r="W40" s="40"/>
      <c r="X40" s="69" t="s">
        <v>1248</v>
      </c>
      <c r="Y40" s="43" t="s">
        <v>1228</v>
      </c>
      <c r="Z40" s="43" t="s">
        <v>1249</v>
      </c>
      <c r="AA40" s="46">
        <v>46135</v>
      </c>
      <c r="AB40" s="45">
        <v>46146</v>
      </c>
      <c r="AC40" s="43" t="s">
        <v>1133</v>
      </c>
      <c r="AD40" s="43" t="s">
        <v>1133</v>
      </c>
      <c r="AE40" s="69" t="s">
        <v>510</v>
      </c>
      <c r="AF40" s="43" t="s">
        <v>1228</v>
      </c>
      <c r="AG40" s="69" t="s">
        <v>510</v>
      </c>
      <c r="AH40" s="43" t="s">
        <v>1133</v>
      </c>
      <c r="AI40" s="43" t="s">
        <v>1228</v>
      </c>
      <c r="AJ40" s="43" t="s">
        <v>1133</v>
      </c>
      <c r="AK40" s="43" t="s">
        <v>1133</v>
      </c>
      <c r="AL40" s="43"/>
      <c r="AM40" s="43" t="s">
        <v>1506</v>
      </c>
      <c r="AN40" s="69" t="s">
        <v>1790</v>
      </c>
      <c r="AO40" s="47">
        <v>1.09</v>
      </c>
      <c r="AP40" s="48">
        <f t="shared" si="2"/>
        <v>3060.72</v>
      </c>
      <c r="AQ40" s="48">
        <f t="shared" si="3"/>
        <v>23720.58</v>
      </c>
      <c r="AR40" s="49">
        <v>46172</v>
      </c>
      <c r="AS40" s="40"/>
      <c r="AT40" s="40" t="s">
        <v>1220</v>
      </c>
      <c r="AU40" s="40"/>
      <c r="AV40" s="40"/>
      <c r="AW40" s="40"/>
      <c r="AX40" s="40"/>
      <c r="AY40" s="40"/>
      <c r="AZ40" s="40"/>
      <c r="BA40" s="40"/>
    </row>
    <row r="41" s="13" customFormat="1" customHeight="1" spans="1:53">
      <c r="A41" s="40">
        <v>46129</v>
      </c>
      <c r="B41" s="40" t="str">
        <f ca="1" t="shared" si="0"/>
        <v/>
      </c>
      <c r="C41" s="41" t="str">
        <f>VLOOKUP(H41,名称!A:E,4,0)</f>
        <v>蛋糕</v>
      </c>
      <c r="D41" s="69" t="s">
        <v>1420</v>
      </c>
      <c r="E41" s="69" t="s">
        <v>1421</v>
      </c>
      <c r="F41" s="70">
        <v>21011782</v>
      </c>
      <c r="G41" s="69" t="s">
        <v>743</v>
      </c>
      <c r="H41" s="69" t="s">
        <v>123</v>
      </c>
      <c r="I41" s="43"/>
      <c r="J41" s="69">
        <v>3984</v>
      </c>
      <c r="K41" s="55">
        <f>VLOOKUP(H41,名称!A:C,2,0)</f>
        <v>0</v>
      </c>
      <c r="L41" s="56">
        <f t="shared" si="6"/>
        <v>0</v>
      </c>
      <c r="M41" s="43">
        <f>VLOOKUP(H41,名称!A:E,3,0)</f>
        <v>24</v>
      </c>
      <c r="N41" s="44">
        <f t="shared" si="1"/>
        <v>166</v>
      </c>
      <c r="O41" s="71">
        <v>46185</v>
      </c>
      <c r="P41" s="40">
        <f>O41</f>
        <v>46185</v>
      </c>
      <c r="Q41" s="40">
        <f>P41</f>
        <v>46185</v>
      </c>
      <c r="R41" s="43"/>
      <c r="S41" s="40" t="s">
        <v>1133</v>
      </c>
      <c r="T41" s="43"/>
      <c r="U41" s="43"/>
      <c r="V41" s="43"/>
      <c r="W41" s="40"/>
      <c r="X41" s="69" t="s">
        <v>1248</v>
      </c>
      <c r="Y41" s="43" t="s">
        <v>1228</v>
      </c>
      <c r="Z41" s="43" t="s">
        <v>1249</v>
      </c>
      <c r="AA41" s="46">
        <v>46135</v>
      </c>
      <c r="AB41" s="45">
        <v>46146</v>
      </c>
      <c r="AC41" s="43" t="s">
        <v>1133</v>
      </c>
      <c r="AD41" s="43" t="s">
        <v>1133</v>
      </c>
      <c r="AE41" s="69" t="s">
        <v>510</v>
      </c>
      <c r="AF41" s="43" t="s">
        <v>1228</v>
      </c>
      <c r="AG41" s="69" t="s">
        <v>510</v>
      </c>
      <c r="AH41" s="43" t="s">
        <v>1133</v>
      </c>
      <c r="AI41" s="43" t="s">
        <v>1228</v>
      </c>
      <c r="AJ41" s="43" t="s">
        <v>1133</v>
      </c>
      <c r="AK41" s="43" t="s">
        <v>1133</v>
      </c>
      <c r="AL41" s="43"/>
      <c r="AM41" s="43" t="s">
        <v>1506</v>
      </c>
      <c r="AN41" s="69" t="s">
        <v>1790</v>
      </c>
      <c r="AO41" s="47">
        <v>0.81</v>
      </c>
      <c r="AP41" s="48">
        <f t="shared" si="2"/>
        <v>3227.04</v>
      </c>
      <c r="AQ41" s="48">
        <f t="shared" si="3"/>
        <v>25009.56</v>
      </c>
      <c r="AR41" s="49">
        <v>46172</v>
      </c>
      <c r="AS41" s="40"/>
      <c r="AT41" s="40" t="s">
        <v>1220</v>
      </c>
      <c r="AU41" s="40"/>
      <c r="AV41" s="40"/>
      <c r="AW41" s="40"/>
      <c r="AX41" s="40"/>
      <c r="AY41" s="40"/>
      <c r="AZ41" s="40"/>
      <c r="BA41" s="40"/>
    </row>
    <row r="42" s="14" customFormat="1" customHeight="1" spans="1:53">
      <c r="A42" s="52">
        <v>46155</v>
      </c>
      <c r="B42" s="40" t="str">
        <f ca="1" t="shared" si="0"/>
        <v>异常</v>
      </c>
      <c r="C42" s="41" t="str">
        <f>VLOOKUP(H42,名称!A:E,4,0)</f>
        <v>三代</v>
      </c>
      <c r="D42" s="64" t="s">
        <v>1489</v>
      </c>
      <c r="E42" s="64" t="s">
        <v>1934</v>
      </c>
      <c r="F42" s="64"/>
      <c r="G42" s="64" t="s">
        <v>843</v>
      </c>
      <c r="H42" s="64" t="s">
        <v>71</v>
      </c>
      <c r="I42" s="41"/>
      <c r="J42" s="65">
        <v>300</v>
      </c>
      <c r="K42" s="55">
        <f>VLOOKUP(H42,名称!A:C,2,0)</f>
        <v>50</v>
      </c>
      <c r="L42" s="56">
        <f t="shared" si="6"/>
        <v>15000</v>
      </c>
      <c r="M42" s="43">
        <f>VLOOKUP(H42,名称!A:E,3,0)</f>
        <v>4</v>
      </c>
      <c r="N42" s="44">
        <f t="shared" si="1"/>
        <v>75</v>
      </c>
      <c r="O42" s="66">
        <v>46213</v>
      </c>
      <c r="P42" s="71">
        <f>O42</f>
        <v>46213</v>
      </c>
      <c r="Q42" s="71">
        <f>P42</f>
        <v>46213</v>
      </c>
      <c r="R42" s="41"/>
      <c r="S42" s="40" t="s">
        <v>1133</v>
      </c>
      <c r="T42" s="41"/>
      <c r="U42" s="41"/>
      <c r="V42" s="41"/>
      <c r="W42" s="52"/>
      <c r="X42" s="64" t="s">
        <v>1248</v>
      </c>
      <c r="Y42" s="41" t="s">
        <v>1233</v>
      </c>
      <c r="Z42" s="41" t="s">
        <v>1249</v>
      </c>
      <c r="AA42" s="58">
        <v>46167</v>
      </c>
      <c r="AB42" s="41"/>
      <c r="AC42" s="41" t="s">
        <v>1308</v>
      </c>
      <c r="AD42" s="41" t="s">
        <v>1228</v>
      </c>
      <c r="AE42" s="43" t="s">
        <v>510</v>
      </c>
      <c r="AF42" s="43" t="s">
        <v>1228</v>
      </c>
      <c r="AG42" s="43" t="s">
        <v>510</v>
      </c>
      <c r="AH42" s="41" t="s">
        <v>510</v>
      </c>
      <c r="AI42" s="41" t="s">
        <v>1228</v>
      </c>
      <c r="AJ42" s="41" t="s">
        <v>510</v>
      </c>
      <c r="AK42" s="41" t="s">
        <v>1133</v>
      </c>
      <c r="AL42" s="41"/>
      <c r="AM42" s="41"/>
      <c r="AN42" s="64" t="s">
        <v>1251</v>
      </c>
      <c r="AO42" s="59">
        <v>7.54</v>
      </c>
      <c r="AP42" s="60">
        <f t="shared" si="2"/>
        <v>2262</v>
      </c>
      <c r="AQ42" s="60">
        <f t="shared" si="3"/>
        <v>17530.5</v>
      </c>
      <c r="AR42" s="72">
        <v>46175</v>
      </c>
      <c r="AS42" s="52"/>
      <c r="AT42" s="52" t="s">
        <v>1220</v>
      </c>
      <c r="AU42" s="68"/>
      <c r="AV42" s="52"/>
      <c r="AW42" s="52"/>
      <c r="AX42" s="52"/>
      <c r="AY42" s="52"/>
      <c r="AZ42" s="52"/>
      <c r="BA42" s="52"/>
    </row>
    <row r="43" s="14" customFormat="1" customHeight="1" spans="1:53">
      <c r="A43" s="52">
        <v>46155</v>
      </c>
      <c r="B43" s="40" t="str">
        <f ca="1" t="shared" si="0"/>
        <v>异常</v>
      </c>
      <c r="C43" s="41" t="str">
        <f>VLOOKUP(H43,名称!A:E,4,0)</f>
        <v>三代</v>
      </c>
      <c r="D43" s="64" t="s">
        <v>1489</v>
      </c>
      <c r="E43" s="64" t="s">
        <v>1934</v>
      </c>
      <c r="F43" s="64"/>
      <c r="G43" s="64" t="s">
        <v>843</v>
      </c>
      <c r="H43" s="64" t="s">
        <v>108</v>
      </c>
      <c r="I43" s="41"/>
      <c r="J43" s="65">
        <v>300</v>
      </c>
      <c r="K43" s="55">
        <f>VLOOKUP(H43,名称!A:C,2,0)</f>
        <v>50</v>
      </c>
      <c r="L43" s="56">
        <f t="shared" si="6"/>
        <v>15000</v>
      </c>
      <c r="M43" s="43">
        <f>VLOOKUP(H43,名称!A:E,3,0)</f>
        <v>4</v>
      </c>
      <c r="N43" s="44">
        <f t="shared" si="1"/>
        <v>75</v>
      </c>
      <c r="O43" s="66">
        <v>46213</v>
      </c>
      <c r="P43" s="71">
        <f>O43</f>
        <v>46213</v>
      </c>
      <c r="Q43" s="71">
        <f>P43</f>
        <v>46213</v>
      </c>
      <c r="R43" s="41"/>
      <c r="S43" s="40" t="s">
        <v>1133</v>
      </c>
      <c r="T43" s="41"/>
      <c r="U43" s="41"/>
      <c r="V43" s="41"/>
      <c r="W43" s="52"/>
      <c r="X43" s="64" t="s">
        <v>1248</v>
      </c>
      <c r="Y43" s="41" t="s">
        <v>1233</v>
      </c>
      <c r="Z43" s="41" t="s">
        <v>1249</v>
      </c>
      <c r="AA43" s="58">
        <v>46167</v>
      </c>
      <c r="AB43" s="41"/>
      <c r="AC43" s="41" t="s">
        <v>1308</v>
      </c>
      <c r="AD43" s="41" t="s">
        <v>1228</v>
      </c>
      <c r="AE43" s="43" t="s">
        <v>510</v>
      </c>
      <c r="AF43" s="41" t="s">
        <v>1233</v>
      </c>
      <c r="AG43" s="43" t="s">
        <v>510</v>
      </c>
      <c r="AH43" s="41" t="s">
        <v>510</v>
      </c>
      <c r="AI43" s="41" t="s">
        <v>1233</v>
      </c>
      <c r="AJ43" s="41" t="s">
        <v>510</v>
      </c>
      <c r="AK43" s="41" t="s">
        <v>1133</v>
      </c>
      <c r="AL43" s="41"/>
      <c r="AM43" s="41"/>
      <c r="AN43" s="64" t="s">
        <v>1251</v>
      </c>
      <c r="AO43" s="59">
        <v>7.54</v>
      </c>
      <c r="AP43" s="60">
        <f t="shared" si="2"/>
        <v>2262</v>
      </c>
      <c r="AQ43" s="60">
        <f t="shared" si="3"/>
        <v>17530.5</v>
      </c>
      <c r="AR43" s="72">
        <v>46175</v>
      </c>
      <c r="AS43" s="52"/>
      <c r="AT43" s="52" t="s">
        <v>1310</v>
      </c>
      <c r="AU43" s="68"/>
      <c r="AV43" s="52"/>
      <c r="AW43" s="52"/>
      <c r="AX43" s="52"/>
      <c r="AY43" s="52"/>
      <c r="AZ43" s="52"/>
      <c r="BA43" s="52"/>
    </row>
    <row r="44" s="14" customFormat="1" customHeight="1" spans="1:53">
      <c r="A44" s="52">
        <v>46151</v>
      </c>
      <c r="B44" s="40" t="str">
        <f ca="1" t="shared" si="0"/>
        <v>异常</v>
      </c>
      <c r="C44" s="41" t="str">
        <f>VLOOKUP(H44,名称!A:E,4,0)</f>
        <v>三代</v>
      </c>
      <c r="D44" s="64" t="s">
        <v>1430</v>
      </c>
      <c r="E44" s="64" t="s">
        <v>1431</v>
      </c>
      <c r="F44" s="64" t="s">
        <v>837</v>
      </c>
      <c r="G44" s="64" t="s">
        <v>838</v>
      </c>
      <c r="H44" s="64" t="s">
        <v>181</v>
      </c>
      <c r="I44" s="41"/>
      <c r="J44" s="65">
        <v>100</v>
      </c>
      <c r="K44" s="55">
        <f>VLOOKUP(H44,名称!A:C,2,0)</f>
        <v>5</v>
      </c>
      <c r="L44" s="56">
        <f t="shared" si="6"/>
        <v>500</v>
      </c>
      <c r="M44" s="43">
        <f>VLOOKUP(H44,名称!A:E,3,0)</f>
        <v>100</v>
      </c>
      <c r="N44" s="44">
        <f t="shared" si="1"/>
        <v>1</v>
      </c>
      <c r="O44" s="66">
        <v>46204</v>
      </c>
      <c r="P44" s="71">
        <f>O44</f>
        <v>46204</v>
      </c>
      <c r="Q44" s="71">
        <f>P44</f>
        <v>46204</v>
      </c>
      <c r="R44" s="41"/>
      <c r="S44" s="52" t="s">
        <v>1133</v>
      </c>
      <c r="T44" s="41"/>
      <c r="U44" s="41"/>
      <c r="V44" s="41"/>
      <c r="W44" s="52"/>
      <c r="X44" s="64" t="s">
        <v>1248</v>
      </c>
      <c r="Y44" s="41" t="s">
        <v>1233</v>
      </c>
      <c r="Z44" s="57">
        <v>46162</v>
      </c>
      <c r="AA44" s="58">
        <v>46170</v>
      </c>
      <c r="AB44" s="41"/>
      <c r="AC44" s="64" t="s">
        <v>1133</v>
      </c>
      <c r="AD44" s="64" t="s">
        <v>1133</v>
      </c>
      <c r="AE44" s="64" t="s">
        <v>510</v>
      </c>
      <c r="AF44" s="64" t="s">
        <v>1228</v>
      </c>
      <c r="AG44" s="64" t="s">
        <v>1879</v>
      </c>
      <c r="AH44" s="41" t="s">
        <v>1133</v>
      </c>
      <c r="AI44" s="64" t="s">
        <v>1228</v>
      </c>
      <c r="AJ44" s="64" t="s">
        <v>1133</v>
      </c>
      <c r="AK44" s="64" t="s">
        <v>510</v>
      </c>
      <c r="AL44" s="41"/>
      <c r="AM44" s="41" t="s">
        <v>1506</v>
      </c>
      <c r="AN44" s="64" t="s">
        <v>1251</v>
      </c>
      <c r="AO44" s="59">
        <v>0.75</v>
      </c>
      <c r="AP44" s="60">
        <f t="shared" si="2"/>
        <v>75</v>
      </c>
      <c r="AQ44" s="60">
        <f t="shared" si="3"/>
        <v>581.25</v>
      </c>
      <c r="AR44" s="72">
        <v>46175</v>
      </c>
      <c r="AS44" s="52"/>
      <c r="AT44" s="52" t="s">
        <v>1310</v>
      </c>
      <c r="AU44" s="68"/>
      <c r="AV44" s="52"/>
      <c r="AW44" s="52"/>
      <c r="AX44" s="52"/>
      <c r="AY44" s="52"/>
      <c r="AZ44" s="52"/>
      <c r="BA44" s="52"/>
    </row>
    <row r="45" s="13" customFormat="1" customHeight="1" spans="1:53">
      <c r="A45" s="52">
        <v>46161</v>
      </c>
      <c r="B45" s="40" t="str">
        <f ca="1" t="shared" si="0"/>
        <v>异常</v>
      </c>
      <c r="C45" s="41" t="str">
        <f>VLOOKUP(H45,名称!A:E,4,0)</f>
        <v>二代</v>
      </c>
      <c r="D45" s="42" t="s">
        <v>1223</v>
      </c>
      <c r="E45" s="42" t="s">
        <v>1224</v>
      </c>
      <c r="F45" s="43" t="s">
        <v>2029</v>
      </c>
      <c r="G45" s="43" t="s">
        <v>2030</v>
      </c>
      <c r="H45" s="43" t="s">
        <v>44</v>
      </c>
      <c r="I45" s="43"/>
      <c r="J45" s="43">
        <f>288-288</f>
        <v>0</v>
      </c>
      <c r="K45" s="55">
        <f>VLOOKUP(H45,名称!A:C,2,0)</f>
        <v>5</v>
      </c>
      <c r="L45" s="56">
        <f t="shared" si="6"/>
        <v>0</v>
      </c>
      <c r="M45" s="43">
        <f>VLOOKUP(H45,名称!A:E,3,0)</f>
        <v>24</v>
      </c>
      <c r="N45" s="44">
        <f t="shared" si="1"/>
        <v>0</v>
      </c>
      <c r="O45" s="40">
        <v>46191</v>
      </c>
      <c r="P45" s="40">
        <v>46191</v>
      </c>
      <c r="Q45" s="40" t="s">
        <v>1225</v>
      </c>
      <c r="R45" s="43"/>
      <c r="S45" s="40" t="s">
        <v>1225</v>
      </c>
      <c r="T45" s="43"/>
      <c r="U45" s="43"/>
      <c r="V45" s="43"/>
      <c r="W45" s="43" t="s">
        <v>1628</v>
      </c>
      <c r="X45" s="43" t="s">
        <v>1133</v>
      </c>
      <c r="Y45" s="43" t="s">
        <v>1133</v>
      </c>
      <c r="Z45" s="45"/>
      <c r="AA45" s="46"/>
      <c r="AB45" s="45"/>
      <c r="AC45" s="43" t="s">
        <v>1133</v>
      </c>
      <c r="AD45" s="43" t="s">
        <v>1133</v>
      </c>
      <c r="AE45" s="43" t="s">
        <v>253</v>
      </c>
      <c r="AF45" s="43"/>
      <c r="AG45" s="43" t="s">
        <v>253</v>
      </c>
      <c r="AH45" s="43" t="s">
        <v>1133</v>
      </c>
      <c r="AI45" s="43"/>
      <c r="AJ45" s="43" t="s">
        <v>1133</v>
      </c>
      <c r="AK45" s="43" t="s">
        <v>253</v>
      </c>
      <c r="AL45" s="43"/>
      <c r="AM45" s="43"/>
      <c r="AN45" s="44" t="s">
        <v>1234</v>
      </c>
      <c r="AO45" s="47">
        <v>0.62</v>
      </c>
      <c r="AP45" s="48">
        <f t="shared" si="2"/>
        <v>0</v>
      </c>
      <c r="AQ45" s="48">
        <f t="shared" si="3"/>
        <v>0</v>
      </c>
      <c r="AR45" s="51"/>
      <c r="AS45" s="40"/>
      <c r="AT45" s="40" t="s">
        <v>1254</v>
      </c>
      <c r="AU45" s="63"/>
      <c r="AV45" s="50"/>
      <c r="AW45" s="40"/>
      <c r="AX45" s="40"/>
      <c r="AY45" s="40" t="s">
        <v>1255</v>
      </c>
      <c r="AZ45" s="40" t="s">
        <v>1222</v>
      </c>
      <c r="BA45" s="40"/>
    </row>
    <row r="46" s="13" customFormat="1" customHeight="1" spans="1:53">
      <c r="A46" s="52">
        <v>46161</v>
      </c>
      <c r="B46" s="40" t="str">
        <f ca="1" t="shared" si="0"/>
        <v>异常</v>
      </c>
      <c r="C46" s="41" t="str">
        <f>VLOOKUP(H46,名称!A:E,4,0)</f>
        <v>二代</v>
      </c>
      <c r="D46" s="42" t="s">
        <v>1223</v>
      </c>
      <c r="E46" s="42" t="s">
        <v>1224</v>
      </c>
      <c r="F46" s="43" t="s">
        <v>2018</v>
      </c>
      <c r="G46" s="43" t="s">
        <v>2019</v>
      </c>
      <c r="H46" s="43" t="s">
        <v>44</v>
      </c>
      <c r="I46" s="43"/>
      <c r="J46" s="43">
        <f>5016-5016</f>
        <v>0</v>
      </c>
      <c r="K46" s="55">
        <f>VLOOKUP(H46,名称!A:C,2,0)</f>
        <v>5</v>
      </c>
      <c r="L46" s="56">
        <f t="shared" si="6"/>
        <v>0</v>
      </c>
      <c r="M46" s="43">
        <f>VLOOKUP(H46,名称!A:E,3,0)</f>
        <v>24</v>
      </c>
      <c r="N46" s="44">
        <f t="shared" si="1"/>
        <v>0</v>
      </c>
      <c r="O46" s="40">
        <v>46191</v>
      </c>
      <c r="P46" s="40">
        <v>46191</v>
      </c>
      <c r="Q46" s="40" t="s">
        <v>1225</v>
      </c>
      <c r="R46" s="43"/>
      <c r="S46" s="40" t="s">
        <v>1225</v>
      </c>
      <c r="T46" s="43"/>
      <c r="U46" s="43"/>
      <c r="V46" s="43"/>
      <c r="W46" s="40" t="s">
        <v>1628</v>
      </c>
      <c r="X46" s="43" t="s">
        <v>1133</v>
      </c>
      <c r="Y46" s="43" t="s">
        <v>1133</v>
      </c>
      <c r="Z46" s="45"/>
      <c r="AA46" s="46"/>
      <c r="AB46" s="45"/>
      <c r="AC46" s="43" t="s">
        <v>1133</v>
      </c>
      <c r="AD46" s="43" t="s">
        <v>1133</v>
      </c>
      <c r="AE46" s="43" t="s">
        <v>253</v>
      </c>
      <c r="AF46" s="43"/>
      <c r="AG46" s="43" t="s">
        <v>253</v>
      </c>
      <c r="AH46" s="43" t="s">
        <v>1133</v>
      </c>
      <c r="AI46" s="43"/>
      <c r="AJ46" s="43" t="s">
        <v>1133</v>
      </c>
      <c r="AK46" s="43" t="s">
        <v>253</v>
      </c>
      <c r="AL46" s="43"/>
      <c r="AM46" s="43"/>
      <c r="AN46" s="44" t="s">
        <v>1234</v>
      </c>
      <c r="AO46" s="47">
        <v>0.62</v>
      </c>
      <c r="AP46" s="48">
        <f t="shared" si="2"/>
        <v>0</v>
      </c>
      <c r="AQ46" s="48">
        <f t="shared" si="3"/>
        <v>0</v>
      </c>
      <c r="AR46" s="51"/>
      <c r="AS46" s="40"/>
      <c r="AT46" s="40" t="s">
        <v>1254</v>
      </c>
      <c r="AU46" s="40"/>
      <c r="AV46" s="40"/>
      <c r="AW46" s="40"/>
      <c r="AX46" s="40"/>
      <c r="AY46" s="40" t="s">
        <v>1255</v>
      </c>
      <c r="AZ46" s="40" t="s">
        <v>1222</v>
      </c>
      <c r="BA46" s="40"/>
    </row>
    <row r="47" s="13" customFormat="1" customHeight="1" spans="1:53">
      <c r="A47" s="52">
        <v>46161</v>
      </c>
      <c r="B47" s="40" t="str">
        <f ca="1" t="shared" si="0"/>
        <v/>
      </c>
      <c r="C47" s="41" t="str">
        <f>VLOOKUP(H47,名称!A:E,4,0)</f>
        <v>二代</v>
      </c>
      <c r="D47" s="42" t="s">
        <v>1223</v>
      </c>
      <c r="E47" s="42" t="s">
        <v>1224</v>
      </c>
      <c r="F47" s="43" t="s">
        <v>2016</v>
      </c>
      <c r="G47" s="43" t="s">
        <v>2017</v>
      </c>
      <c r="H47" s="43" t="s">
        <v>44</v>
      </c>
      <c r="I47" s="43"/>
      <c r="J47" s="43">
        <f>1896-984-624-288</f>
        <v>0</v>
      </c>
      <c r="K47" s="55">
        <f>VLOOKUP(H47,名称!A:C,2,0)</f>
        <v>5</v>
      </c>
      <c r="L47" s="56">
        <f t="shared" si="6"/>
        <v>0</v>
      </c>
      <c r="M47" s="43">
        <f>VLOOKUP(H47,名称!A:E,3,0)</f>
        <v>24</v>
      </c>
      <c r="N47" s="44">
        <f t="shared" si="1"/>
        <v>0</v>
      </c>
      <c r="O47" s="40">
        <v>46191</v>
      </c>
      <c r="P47" s="40">
        <v>46191</v>
      </c>
      <c r="Q47" s="40" t="s">
        <v>1225</v>
      </c>
      <c r="R47" s="43"/>
      <c r="S47" s="40" t="s">
        <v>1225</v>
      </c>
      <c r="T47" s="43"/>
      <c r="U47" s="43"/>
      <c r="V47" s="43"/>
      <c r="W47" s="40" t="s">
        <v>1628</v>
      </c>
      <c r="X47" s="43" t="s">
        <v>1133</v>
      </c>
      <c r="Y47" s="43" t="s">
        <v>1133</v>
      </c>
      <c r="Z47" s="45">
        <v>46106</v>
      </c>
      <c r="AA47" s="46">
        <v>46109</v>
      </c>
      <c r="AB47" s="45">
        <v>46111</v>
      </c>
      <c r="AC47" s="43" t="s">
        <v>1133</v>
      </c>
      <c r="AD47" s="43" t="s">
        <v>1133</v>
      </c>
      <c r="AE47" s="43" t="s">
        <v>253</v>
      </c>
      <c r="AF47" s="43"/>
      <c r="AG47" s="43" t="s">
        <v>253</v>
      </c>
      <c r="AH47" s="43" t="s">
        <v>1133</v>
      </c>
      <c r="AI47" s="43"/>
      <c r="AJ47" s="43" t="s">
        <v>1133</v>
      </c>
      <c r="AK47" s="43" t="s">
        <v>253</v>
      </c>
      <c r="AL47" s="43"/>
      <c r="AM47" s="43"/>
      <c r="AN47" s="44" t="s">
        <v>1234</v>
      </c>
      <c r="AO47" s="47">
        <v>0.62</v>
      </c>
      <c r="AP47" s="48">
        <f t="shared" si="2"/>
        <v>0</v>
      </c>
      <c r="AQ47" s="48">
        <f t="shared" si="3"/>
        <v>0</v>
      </c>
      <c r="AR47" s="51"/>
      <c r="AS47" s="40"/>
      <c r="AT47" s="40" t="s">
        <v>1254</v>
      </c>
      <c r="AU47" s="40"/>
      <c r="AV47" s="40"/>
      <c r="AW47" s="40"/>
      <c r="AX47" s="40"/>
      <c r="AY47" s="40" t="s">
        <v>1255</v>
      </c>
      <c r="AZ47" s="40" t="s">
        <v>1222</v>
      </c>
      <c r="BA47" s="40"/>
    </row>
    <row r="48" s="13" customFormat="1" customHeight="1" spans="1:53">
      <c r="A48" s="40">
        <v>46130</v>
      </c>
      <c r="B48" s="40" t="str">
        <f ca="1" t="shared" ref="B48:B61" si="7">IF(TODAY()-5&gt;=A48,IF(AB48="","异常",""),"")</f>
        <v>异常</v>
      </c>
      <c r="C48" s="43" t="str">
        <f>VLOOKUP(H48,名称!A:E,4,0)</f>
        <v>三代</v>
      </c>
      <c r="D48" s="73" t="s">
        <v>1324</v>
      </c>
      <c r="E48" s="73" t="s">
        <v>1325</v>
      </c>
      <c r="F48" s="73" t="s">
        <v>744</v>
      </c>
      <c r="G48" s="73" t="s">
        <v>745</v>
      </c>
      <c r="H48" s="73" t="s">
        <v>60</v>
      </c>
      <c r="I48" s="43"/>
      <c r="J48" s="74">
        <f>12000-1200-5400-5400</f>
        <v>0</v>
      </c>
      <c r="K48" s="62">
        <f>VLOOKUP(H48,名称!A:C,2,0)</f>
        <v>5</v>
      </c>
      <c r="L48" s="44">
        <f t="shared" si="6"/>
        <v>0</v>
      </c>
      <c r="M48" s="43">
        <f>VLOOKUP(H48,名称!A:E,3,0)</f>
        <v>12</v>
      </c>
      <c r="N48" s="44">
        <f t="shared" ref="N48:N61" si="8">J48/M48</f>
        <v>0</v>
      </c>
      <c r="O48" s="75">
        <v>46223</v>
      </c>
      <c r="P48" s="76" t="s">
        <v>1225</v>
      </c>
      <c r="Q48" s="76" t="s">
        <v>1225</v>
      </c>
      <c r="R48" s="43"/>
      <c r="S48" s="76" t="s">
        <v>1225</v>
      </c>
      <c r="T48" s="43"/>
      <c r="U48" s="43"/>
      <c r="V48" s="77" t="s">
        <v>1327</v>
      </c>
      <c r="W48" s="40"/>
      <c r="X48" s="73" t="s">
        <v>1133</v>
      </c>
      <c r="Y48" s="43" t="s">
        <v>1133</v>
      </c>
      <c r="Z48" s="43" t="s">
        <v>1233</v>
      </c>
      <c r="AA48" s="46"/>
      <c r="AB48" s="46"/>
      <c r="AC48" s="43" t="s">
        <v>1133</v>
      </c>
      <c r="AD48" s="43" t="s">
        <v>1133</v>
      </c>
      <c r="AE48" s="73" t="s">
        <v>253</v>
      </c>
      <c r="AF48" s="43" t="s">
        <v>1228</v>
      </c>
      <c r="AG48" s="73" t="s">
        <v>253</v>
      </c>
      <c r="AH48" s="43" t="s">
        <v>1133</v>
      </c>
      <c r="AI48" s="78" t="s">
        <v>1228</v>
      </c>
      <c r="AJ48" s="78" t="s">
        <v>1133</v>
      </c>
      <c r="AK48" s="78" t="s">
        <v>253</v>
      </c>
      <c r="AL48" s="43"/>
      <c r="AM48" s="43"/>
      <c r="AN48" s="44" t="s">
        <v>1234</v>
      </c>
      <c r="AO48" s="47">
        <v>0.61</v>
      </c>
      <c r="AP48" s="48">
        <f t="shared" si="2"/>
        <v>0</v>
      </c>
      <c r="AQ48" s="48">
        <f t="shared" si="3"/>
        <v>0</v>
      </c>
      <c r="AR48" s="51"/>
      <c r="AS48" s="40"/>
      <c r="AT48" s="40" t="s">
        <v>1220</v>
      </c>
      <c r="AU48" s="33"/>
      <c r="AV48" s="79">
        <f t="shared" ref="AV48:AV59" si="9">AU48-J48</f>
        <v>0</v>
      </c>
      <c r="AW48" s="79"/>
      <c r="AX48" s="40" t="s">
        <v>1280</v>
      </c>
      <c r="AY48" s="40"/>
      <c r="AZ48" s="40"/>
      <c r="BA48" s="40"/>
    </row>
    <row r="49" s="13" customFormat="1" customHeight="1" spans="1:55">
      <c r="A49" s="80">
        <v>46130</v>
      </c>
      <c r="B49" s="80" t="str">
        <f ca="1" t="shared" si="7"/>
        <v>异常</v>
      </c>
      <c r="C49" s="78" t="str">
        <f>VLOOKUP(H49,名称!A:E,4,0)</f>
        <v>三代</v>
      </c>
      <c r="D49" s="78" t="s">
        <v>1324</v>
      </c>
      <c r="E49" s="78" t="s">
        <v>1325</v>
      </c>
      <c r="F49" s="78" t="s">
        <v>744</v>
      </c>
      <c r="G49" s="78" t="s">
        <v>745</v>
      </c>
      <c r="H49" s="78" t="s">
        <v>60</v>
      </c>
      <c r="I49" s="78"/>
      <c r="J49" s="81">
        <f>5400-5400</f>
        <v>0</v>
      </c>
      <c r="K49" s="82">
        <f>VLOOKUP(H49,名称!A:C,2,0)</f>
        <v>5</v>
      </c>
      <c r="L49" s="83">
        <f t="shared" si="6"/>
        <v>0</v>
      </c>
      <c r="M49" s="78">
        <f>VLOOKUP(H49,名称!A:E,3,0)</f>
        <v>12</v>
      </c>
      <c r="N49" s="83">
        <f t="shared" si="8"/>
        <v>0</v>
      </c>
      <c r="O49" s="80">
        <v>46223</v>
      </c>
      <c r="P49" s="76" t="s">
        <v>1225</v>
      </c>
      <c r="Q49" s="76" t="s">
        <v>1225</v>
      </c>
      <c r="R49" s="78"/>
      <c r="S49" s="76" t="s">
        <v>1225</v>
      </c>
      <c r="T49" s="78"/>
      <c r="U49" s="78"/>
      <c r="V49" s="77" t="s">
        <v>1327</v>
      </c>
      <c r="W49" s="80"/>
      <c r="X49" s="78" t="s">
        <v>1133</v>
      </c>
      <c r="Y49" s="78" t="s">
        <v>1133</v>
      </c>
      <c r="Z49" s="78" t="s">
        <v>1233</v>
      </c>
      <c r="AA49" s="84"/>
      <c r="AB49" s="84"/>
      <c r="AC49" s="78" t="s">
        <v>1133</v>
      </c>
      <c r="AD49" s="78" t="s">
        <v>1133</v>
      </c>
      <c r="AE49" s="78" t="s">
        <v>253</v>
      </c>
      <c r="AF49" s="78" t="s">
        <v>1228</v>
      </c>
      <c r="AG49" s="78" t="s">
        <v>253</v>
      </c>
      <c r="AH49" s="78" t="s">
        <v>1133</v>
      </c>
      <c r="AI49" s="78" t="s">
        <v>1228</v>
      </c>
      <c r="AJ49" s="78" t="s">
        <v>1133</v>
      </c>
      <c r="AK49" s="78" t="s">
        <v>253</v>
      </c>
      <c r="AL49" s="78"/>
      <c r="AM49" s="78"/>
      <c r="AN49" s="83" t="s">
        <v>1234</v>
      </c>
      <c r="AO49" s="85">
        <v>0.61</v>
      </c>
      <c r="AP49" s="86">
        <f t="shared" si="2"/>
        <v>0</v>
      </c>
      <c r="AQ49" s="86">
        <f t="shared" si="3"/>
        <v>0</v>
      </c>
      <c r="AR49" s="87"/>
      <c r="AS49" s="80"/>
      <c r="AT49" s="80" t="s">
        <v>1220</v>
      </c>
      <c r="AU49" s="79"/>
      <c r="AV49" s="79">
        <f t="shared" si="9"/>
        <v>0</v>
      </c>
      <c r="AW49" s="79"/>
      <c r="AX49" s="80" t="s">
        <v>1280</v>
      </c>
      <c r="AY49" s="80"/>
      <c r="AZ49" s="80"/>
      <c r="BA49" s="80"/>
    </row>
    <row r="50" s="13" customFormat="1" customHeight="1" spans="1:55">
      <c r="A50" s="40">
        <v>46141</v>
      </c>
      <c r="B50" s="40" t="str">
        <f ca="1" t="shared" si="7"/>
        <v>异常</v>
      </c>
      <c r="C50" s="43" t="str">
        <f>VLOOKUP(H50,名称!A:E,4,0)</f>
        <v>三代</v>
      </c>
      <c r="D50" s="73" t="s">
        <v>1324</v>
      </c>
      <c r="E50" s="73" t="s">
        <v>1325</v>
      </c>
      <c r="F50" s="73" t="s">
        <v>802</v>
      </c>
      <c r="G50" s="73" t="s">
        <v>803</v>
      </c>
      <c r="H50" s="73" t="s">
        <v>60</v>
      </c>
      <c r="I50" s="43"/>
      <c r="J50" s="74">
        <f>10008-10008</f>
        <v>0</v>
      </c>
      <c r="K50" s="62">
        <f>VLOOKUP(H50,名称!A:C,2,0)</f>
        <v>5</v>
      </c>
      <c r="L50" s="44">
        <f t="shared" si="6"/>
        <v>0</v>
      </c>
      <c r="M50" s="43">
        <f>VLOOKUP(H50,名称!A:E,3,0)</f>
        <v>12</v>
      </c>
      <c r="N50" s="44">
        <f t="shared" si="8"/>
        <v>0</v>
      </c>
      <c r="O50" s="75">
        <v>46254</v>
      </c>
      <c r="P50" s="76" t="s">
        <v>1225</v>
      </c>
      <c r="Q50" s="76" t="s">
        <v>1225</v>
      </c>
      <c r="R50" s="43"/>
      <c r="S50" s="76" t="s">
        <v>1225</v>
      </c>
      <c r="T50" s="43"/>
      <c r="U50" s="43"/>
      <c r="V50" s="77" t="s">
        <v>1327</v>
      </c>
      <c r="W50" s="40"/>
      <c r="X50" s="73" t="s">
        <v>1133</v>
      </c>
      <c r="Y50" s="73" t="s">
        <v>1133</v>
      </c>
      <c r="Z50" s="43" t="s">
        <v>1233</v>
      </c>
      <c r="AA50" s="46"/>
      <c r="AB50" s="43"/>
      <c r="AC50" s="43" t="s">
        <v>1133</v>
      </c>
      <c r="AD50" s="43" t="s">
        <v>1133</v>
      </c>
      <c r="AE50" s="73" t="s">
        <v>253</v>
      </c>
      <c r="AF50" s="43" t="s">
        <v>1228</v>
      </c>
      <c r="AG50" s="73" t="s">
        <v>253</v>
      </c>
      <c r="AH50" s="43" t="s">
        <v>1133</v>
      </c>
      <c r="AI50" s="78" t="s">
        <v>1228</v>
      </c>
      <c r="AJ50" s="78" t="s">
        <v>1133</v>
      </c>
      <c r="AK50" s="78" t="s">
        <v>253</v>
      </c>
      <c r="AL50" s="43"/>
      <c r="AM50" s="43"/>
      <c r="AN50" s="44" t="s">
        <v>1234</v>
      </c>
      <c r="AO50" s="47">
        <v>0.61</v>
      </c>
      <c r="AP50" s="48">
        <f t="shared" si="2"/>
        <v>0</v>
      </c>
      <c r="AQ50" s="48">
        <f t="shared" si="3"/>
        <v>0</v>
      </c>
      <c r="AR50" s="51"/>
      <c r="AS50" s="40"/>
      <c r="AT50" s="40" t="s">
        <v>1220</v>
      </c>
      <c r="AU50" s="33"/>
      <c r="AV50" s="79">
        <f t="shared" si="9"/>
        <v>0</v>
      </c>
      <c r="AW50" s="40"/>
      <c r="AX50" s="40" t="s">
        <v>1280</v>
      </c>
      <c r="AY50" s="40"/>
      <c r="AZ50" s="40"/>
      <c r="BA50" s="40"/>
    </row>
    <row r="51" s="13" customFormat="1" customHeight="1" spans="1:55">
      <c r="A51" s="40">
        <v>46196</v>
      </c>
      <c r="B51" s="40" t="str">
        <f ca="1" t="shared" si="7"/>
        <v>异常</v>
      </c>
      <c r="C51" s="43" t="str">
        <f>VLOOKUP(H51,名称!A:E,4,0)</f>
        <v>三代</v>
      </c>
      <c r="D51" s="73" t="s">
        <v>1311</v>
      </c>
      <c r="E51" s="73" t="s">
        <v>1325</v>
      </c>
      <c r="F51" s="73">
        <v>2551020480</v>
      </c>
      <c r="G51" s="73" t="s">
        <v>2048</v>
      </c>
      <c r="H51" s="73" t="s">
        <v>102</v>
      </c>
      <c r="I51" s="43"/>
      <c r="J51" s="74">
        <f>4008-4008</f>
        <v>0</v>
      </c>
      <c r="K51" s="62"/>
      <c r="L51" s="44"/>
      <c r="M51" s="43">
        <f>VLOOKUP(H51,名称!A:E,3,0)</f>
        <v>12</v>
      </c>
      <c r="N51" s="44">
        <f t="shared" si="8"/>
        <v>0</v>
      </c>
      <c r="O51" s="75">
        <v>46262</v>
      </c>
      <c r="P51" s="76">
        <v>46262</v>
      </c>
      <c r="Q51" s="76"/>
      <c r="R51" s="43"/>
      <c r="S51" s="76"/>
      <c r="T51" s="43"/>
      <c r="U51" s="43"/>
      <c r="V51" s="43"/>
      <c r="W51" s="40"/>
      <c r="X51" s="73" t="s">
        <v>1133</v>
      </c>
      <c r="Y51" s="73"/>
      <c r="Z51" s="43" t="s">
        <v>1233</v>
      </c>
      <c r="AA51" s="46"/>
      <c r="AB51" s="43"/>
      <c r="AC51" s="43"/>
      <c r="AD51" s="43"/>
      <c r="AE51" s="73" t="s">
        <v>253</v>
      </c>
      <c r="AF51" s="43"/>
      <c r="AG51" s="73" t="s">
        <v>253</v>
      </c>
      <c r="AH51" s="43"/>
      <c r="AI51" s="78"/>
      <c r="AJ51" s="78"/>
      <c r="AK51" s="78"/>
      <c r="AL51" s="43"/>
      <c r="AM51" s="43"/>
      <c r="AN51" s="44" t="s">
        <v>1234</v>
      </c>
      <c r="AO51" s="47">
        <v>0.63</v>
      </c>
      <c r="AP51" s="48">
        <f t="shared" si="2"/>
        <v>0</v>
      </c>
      <c r="AQ51" s="48">
        <f t="shared" si="3"/>
        <v>0</v>
      </c>
      <c r="AR51" s="51"/>
      <c r="AS51" s="40"/>
      <c r="AT51" s="40" t="s">
        <v>1254</v>
      </c>
      <c r="AU51" s="33"/>
      <c r="AV51" s="79">
        <f t="shared" si="9"/>
        <v>0</v>
      </c>
      <c r="AW51" s="40"/>
      <c r="AX51" s="40" t="s">
        <v>1280</v>
      </c>
      <c r="AY51" s="40" t="s">
        <v>1255</v>
      </c>
      <c r="AZ51" s="40" t="s">
        <v>1256</v>
      </c>
      <c r="BA51" s="40"/>
    </row>
    <row r="52" s="13" customFormat="1" customHeight="1" spans="1:55">
      <c r="A52" s="40">
        <v>46196</v>
      </c>
      <c r="B52" s="40" t="str">
        <f ca="1" t="shared" si="7"/>
        <v>异常</v>
      </c>
      <c r="C52" s="43" t="str">
        <f>VLOOKUP(H52,名称!A:E,4,0)</f>
        <v>三代</v>
      </c>
      <c r="D52" s="73" t="s">
        <v>1311</v>
      </c>
      <c r="E52" s="73" t="s">
        <v>1325</v>
      </c>
      <c r="F52" s="73">
        <v>2551020482</v>
      </c>
      <c r="G52" s="73" t="s">
        <v>2049</v>
      </c>
      <c r="H52" s="73" t="s">
        <v>102</v>
      </c>
      <c r="I52" s="43"/>
      <c r="J52" s="74">
        <f>1992-1992</f>
        <v>0</v>
      </c>
      <c r="K52" s="62"/>
      <c r="L52" s="44"/>
      <c r="M52" s="43">
        <f>VLOOKUP(H52,名称!A:E,3,0)</f>
        <v>12</v>
      </c>
      <c r="N52" s="44">
        <f t="shared" si="8"/>
        <v>0</v>
      </c>
      <c r="O52" s="75">
        <v>46276</v>
      </c>
      <c r="P52" s="76">
        <v>46276</v>
      </c>
      <c r="Q52" s="76"/>
      <c r="R52" s="43"/>
      <c r="S52" s="76"/>
      <c r="T52" s="43"/>
      <c r="U52" s="43"/>
      <c r="V52" s="43"/>
      <c r="W52" s="40"/>
      <c r="X52" s="73" t="s">
        <v>1133</v>
      </c>
      <c r="Y52" s="73"/>
      <c r="Z52" s="43" t="s">
        <v>1233</v>
      </c>
      <c r="AA52" s="46"/>
      <c r="AB52" s="43"/>
      <c r="AC52" s="43"/>
      <c r="AD52" s="43"/>
      <c r="AE52" s="73" t="s">
        <v>253</v>
      </c>
      <c r="AF52" s="43"/>
      <c r="AG52" s="73" t="s">
        <v>253</v>
      </c>
      <c r="AH52" s="43"/>
      <c r="AI52" s="78"/>
      <c r="AJ52" s="78"/>
      <c r="AK52" s="78"/>
      <c r="AL52" s="43"/>
      <c r="AM52" s="43"/>
      <c r="AN52" s="44" t="s">
        <v>1234</v>
      </c>
      <c r="AO52" s="47">
        <v>0.63</v>
      </c>
      <c r="AP52" s="48">
        <f t="shared" si="2"/>
        <v>0</v>
      </c>
      <c r="AQ52" s="48">
        <f t="shared" si="3"/>
        <v>0</v>
      </c>
      <c r="AR52" s="51"/>
      <c r="AS52" s="40"/>
      <c r="AT52" s="40" t="s">
        <v>1254</v>
      </c>
      <c r="AU52" s="33"/>
      <c r="AV52" s="79">
        <f t="shared" si="9"/>
        <v>0</v>
      </c>
      <c r="AW52" s="40"/>
      <c r="AX52" s="40" t="s">
        <v>1280</v>
      </c>
      <c r="AY52" s="40" t="s">
        <v>1255</v>
      </c>
      <c r="AZ52" s="40" t="s">
        <v>1256</v>
      </c>
      <c r="BA52" s="40"/>
    </row>
    <row r="53" s="13" customFormat="1" customHeight="1" spans="1:55">
      <c r="A53" s="80">
        <v>46196</v>
      </c>
      <c r="B53" s="80" t="str">
        <f ca="1" t="shared" si="7"/>
        <v>异常</v>
      </c>
      <c r="C53" s="78" t="str">
        <f>VLOOKUP(H53,名称!A:E,4,0)</f>
        <v>三代</v>
      </c>
      <c r="D53" s="88" t="s">
        <v>1311</v>
      </c>
      <c r="E53" s="88" t="s">
        <v>1325</v>
      </c>
      <c r="F53" s="78">
        <v>2551020481</v>
      </c>
      <c r="G53" s="88" t="s">
        <v>2050</v>
      </c>
      <c r="H53" s="88" t="s">
        <v>102</v>
      </c>
      <c r="I53" s="78"/>
      <c r="J53" s="83">
        <f>1992-1992</f>
        <v>0</v>
      </c>
      <c r="K53" s="82"/>
      <c r="L53" s="83"/>
      <c r="M53" s="78">
        <f>VLOOKUP(H53,名称!A:E,3,0)</f>
        <v>12</v>
      </c>
      <c r="N53" s="83">
        <f t="shared" si="8"/>
        <v>0</v>
      </c>
      <c r="O53" s="80">
        <v>46269</v>
      </c>
      <c r="P53" s="80">
        <v>46269</v>
      </c>
      <c r="Q53" s="80"/>
      <c r="R53" s="78"/>
      <c r="S53" s="80"/>
      <c r="T53" s="78"/>
      <c r="U53" s="78"/>
      <c r="V53" s="78"/>
      <c r="W53" s="80"/>
      <c r="X53" s="78" t="s">
        <v>1133</v>
      </c>
      <c r="Y53" s="78"/>
      <c r="Z53" s="78" t="s">
        <v>1233</v>
      </c>
      <c r="AA53" s="84"/>
      <c r="AB53" s="78"/>
      <c r="AC53" s="78"/>
      <c r="AD53" s="78"/>
      <c r="AE53" s="88" t="s">
        <v>253</v>
      </c>
      <c r="AF53" s="78"/>
      <c r="AG53" s="88" t="s">
        <v>253</v>
      </c>
      <c r="AH53" s="78"/>
      <c r="AI53" s="78"/>
      <c r="AJ53" s="78"/>
      <c r="AK53" s="78"/>
      <c r="AL53" s="78"/>
      <c r="AM53" s="78"/>
      <c r="AN53" s="78" t="s">
        <v>1234</v>
      </c>
      <c r="AO53" s="85">
        <v>0.63</v>
      </c>
      <c r="AP53" s="86">
        <f t="shared" si="2"/>
        <v>0</v>
      </c>
      <c r="AQ53" s="86">
        <f t="shared" si="3"/>
        <v>0</v>
      </c>
      <c r="AR53" s="87"/>
      <c r="AS53" s="80"/>
      <c r="AT53" s="76" t="s">
        <v>1254</v>
      </c>
      <c r="AU53" s="79"/>
      <c r="AV53" s="79">
        <f t="shared" si="9"/>
        <v>0</v>
      </c>
      <c r="AW53" s="80"/>
      <c r="AX53" s="80" t="s">
        <v>1280</v>
      </c>
      <c r="AY53" s="76" t="s">
        <v>1255</v>
      </c>
      <c r="AZ53" s="80" t="s">
        <v>1256</v>
      </c>
      <c r="BA53" s="80"/>
    </row>
    <row r="54" s="13" customFormat="1" customHeight="1" spans="1:55">
      <c r="A54" s="80">
        <v>46196</v>
      </c>
      <c r="B54" s="80" t="str">
        <f ca="1" t="shared" si="7"/>
        <v>异常</v>
      </c>
      <c r="C54" s="78" t="str">
        <f>VLOOKUP(H54,名称!A:E,4,0)</f>
        <v>三代</v>
      </c>
      <c r="D54" s="88" t="s">
        <v>1311</v>
      </c>
      <c r="E54" s="88" t="s">
        <v>1325</v>
      </c>
      <c r="F54" s="78">
        <v>2551020481</v>
      </c>
      <c r="G54" s="88" t="s">
        <v>2050</v>
      </c>
      <c r="H54" s="88" t="s">
        <v>102</v>
      </c>
      <c r="I54" s="78"/>
      <c r="J54" s="83">
        <f>12-12</f>
        <v>0</v>
      </c>
      <c r="K54" s="82"/>
      <c r="L54" s="83"/>
      <c r="M54" s="78">
        <f>VLOOKUP(H54,名称!A:E,3,0)</f>
        <v>12</v>
      </c>
      <c r="N54" s="83">
        <f t="shared" si="8"/>
        <v>0</v>
      </c>
      <c r="O54" s="80">
        <v>46269</v>
      </c>
      <c r="P54" s="80">
        <v>46269</v>
      </c>
      <c r="Q54" s="80"/>
      <c r="R54" s="78"/>
      <c r="S54" s="80"/>
      <c r="T54" s="78"/>
      <c r="U54" s="78"/>
      <c r="V54" s="78"/>
      <c r="W54" s="80"/>
      <c r="X54" s="78" t="s">
        <v>1133</v>
      </c>
      <c r="Y54" s="78"/>
      <c r="Z54" s="78" t="s">
        <v>1233</v>
      </c>
      <c r="AA54" s="84"/>
      <c r="AB54" s="78"/>
      <c r="AC54" s="78"/>
      <c r="AD54" s="78"/>
      <c r="AE54" s="88" t="s">
        <v>253</v>
      </c>
      <c r="AF54" s="78"/>
      <c r="AG54" s="88" t="s">
        <v>253</v>
      </c>
      <c r="AH54" s="78"/>
      <c r="AI54" s="78"/>
      <c r="AJ54" s="78"/>
      <c r="AK54" s="78"/>
      <c r="AL54" s="78"/>
      <c r="AM54" s="78"/>
      <c r="AN54" s="78" t="s">
        <v>1234</v>
      </c>
      <c r="AO54" s="85">
        <v>0.63</v>
      </c>
      <c r="AP54" s="86">
        <f t="shared" si="2"/>
        <v>0</v>
      </c>
      <c r="AQ54" s="86">
        <f t="shared" si="3"/>
        <v>0</v>
      </c>
      <c r="AR54" s="87"/>
      <c r="AS54" s="80"/>
      <c r="AT54" s="76" t="s">
        <v>1254</v>
      </c>
      <c r="AU54" s="79"/>
      <c r="AV54" s="79">
        <f t="shared" si="9"/>
        <v>0</v>
      </c>
      <c r="AW54" s="80"/>
      <c r="AX54" s="80" t="s">
        <v>1280</v>
      </c>
      <c r="AY54" s="76" t="s">
        <v>1255</v>
      </c>
      <c r="AZ54" s="80" t="s">
        <v>1256</v>
      </c>
      <c r="BA54" s="80"/>
    </row>
    <row r="55" s="13" customFormat="1" customHeight="1" spans="1:55">
      <c r="A55" s="40">
        <v>46178</v>
      </c>
      <c r="B55" s="40" t="str">
        <f ca="1" t="shared" si="7"/>
        <v>异常</v>
      </c>
      <c r="C55" s="43" t="str">
        <f>VLOOKUP(H55,名称!A:E,4,0)</f>
        <v>三代</v>
      </c>
      <c r="D55" s="73" t="s">
        <v>1392</v>
      </c>
      <c r="E55" s="73" t="s">
        <v>1224</v>
      </c>
      <c r="F55" s="73" t="s">
        <v>2051</v>
      </c>
      <c r="G55" s="73" t="s">
        <v>2052</v>
      </c>
      <c r="H55" s="73" t="s">
        <v>119</v>
      </c>
      <c r="I55" s="43"/>
      <c r="J55" s="74">
        <f>75000-18696-18048-11424-16224-10608</f>
        <v>0</v>
      </c>
      <c r="K55" s="62">
        <f>VLOOKUP(H55,名称!A:C,2,0)</f>
        <v>5</v>
      </c>
      <c r="L55" s="44">
        <f t="shared" ref="L55:L61" si="10">J55*K55</f>
        <v>0</v>
      </c>
      <c r="M55" s="78">
        <f>VLOOKUP(H55,名称!A:E,3,0)</f>
        <v>24</v>
      </c>
      <c r="N55" s="83">
        <f t="shared" si="8"/>
        <v>0</v>
      </c>
      <c r="O55" s="75">
        <v>46234</v>
      </c>
      <c r="P55" s="75">
        <v>46234</v>
      </c>
      <c r="Q55" s="75">
        <v>46233</v>
      </c>
      <c r="R55" s="43"/>
      <c r="S55" s="40">
        <v>46234</v>
      </c>
      <c r="T55" s="43"/>
      <c r="U55" s="43"/>
      <c r="V55" s="43"/>
      <c r="W55" s="40"/>
      <c r="X55" s="78" t="s">
        <v>1133</v>
      </c>
      <c r="Y55" s="78" t="s">
        <v>1133</v>
      </c>
      <c r="Z55" s="43" t="s">
        <v>1233</v>
      </c>
      <c r="AA55" s="46"/>
      <c r="AB55" s="43"/>
      <c r="AC55" s="78" t="s">
        <v>1133</v>
      </c>
      <c r="AD55" s="78" t="s">
        <v>1133</v>
      </c>
      <c r="AE55" s="73" t="s">
        <v>270</v>
      </c>
      <c r="AF55" s="78" t="s">
        <v>1228</v>
      </c>
      <c r="AG55" s="78" t="s">
        <v>270</v>
      </c>
      <c r="AH55" s="78" t="s">
        <v>1133</v>
      </c>
      <c r="AI55" s="78" t="s">
        <v>1228</v>
      </c>
      <c r="AJ55" s="78" t="s">
        <v>1133</v>
      </c>
      <c r="AK55" s="78" t="s">
        <v>270</v>
      </c>
      <c r="AL55" s="78"/>
      <c r="AM55" s="88" t="s">
        <v>1292</v>
      </c>
      <c r="AN55" s="78"/>
      <c r="AO55" s="47">
        <v>0.61</v>
      </c>
      <c r="AP55" s="48">
        <f t="shared" si="2"/>
        <v>0</v>
      </c>
      <c r="AQ55" s="48">
        <f t="shared" si="3"/>
        <v>0</v>
      </c>
      <c r="AR55" s="51"/>
      <c r="AS55" s="40"/>
      <c r="AT55" s="40" t="s">
        <v>1313</v>
      </c>
      <c r="AU55" s="33"/>
      <c r="AV55" s="79">
        <f t="shared" si="9"/>
        <v>0</v>
      </c>
      <c r="AW55" s="40"/>
      <c r="AX55" s="80"/>
      <c r="AY55" s="40" t="s">
        <v>1255</v>
      </c>
      <c r="AZ55" s="40" t="s">
        <v>1256</v>
      </c>
      <c r="BA55" s="40"/>
      <c r="BB55" s="40" t="str">
        <f t="shared" ref="BB55:BB61" si="11">D55</f>
        <v>JAZWARES - FIVE BELOW FOB</v>
      </c>
      <c r="BC55" s="40" t="str">
        <f t="shared" ref="BC55:BC61" si="12">E55</f>
        <v>美国</v>
      </c>
    </row>
    <row r="56" s="13" customFormat="1" customHeight="1" spans="1:55">
      <c r="A56" s="40">
        <v>46178</v>
      </c>
      <c r="B56" s="40" t="str">
        <f ca="1" t="shared" si="7"/>
        <v>异常</v>
      </c>
      <c r="C56" s="43" t="str">
        <f>VLOOKUP(H56,名称!A:E,4,0)</f>
        <v>三代</v>
      </c>
      <c r="D56" s="73" t="s">
        <v>1392</v>
      </c>
      <c r="E56" s="73" t="s">
        <v>1224</v>
      </c>
      <c r="F56" s="73" t="s">
        <v>2051</v>
      </c>
      <c r="G56" s="73" t="s">
        <v>2052</v>
      </c>
      <c r="H56" s="73" t="s">
        <v>119</v>
      </c>
      <c r="I56" s="43"/>
      <c r="J56" s="74">
        <f>24-24</f>
        <v>0</v>
      </c>
      <c r="K56" s="62">
        <f>VLOOKUP(H56,名称!A:C,2,0)</f>
        <v>5</v>
      </c>
      <c r="L56" s="44">
        <f t="shared" si="10"/>
        <v>0</v>
      </c>
      <c r="M56" s="78">
        <f>VLOOKUP(H56,名称!A:E,3,0)</f>
        <v>24</v>
      </c>
      <c r="N56" s="83">
        <f t="shared" si="8"/>
        <v>0</v>
      </c>
      <c r="O56" s="75">
        <v>46234</v>
      </c>
      <c r="P56" s="75">
        <v>46234</v>
      </c>
      <c r="Q56" s="75">
        <v>46233</v>
      </c>
      <c r="R56" s="43"/>
      <c r="S56" s="40">
        <v>46234</v>
      </c>
      <c r="T56" s="43"/>
      <c r="U56" s="43"/>
      <c r="V56" s="43"/>
      <c r="W56" s="40"/>
      <c r="X56" s="78" t="s">
        <v>1133</v>
      </c>
      <c r="Y56" s="78" t="s">
        <v>1133</v>
      </c>
      <c r="Z56" s="43" t="s">
        <v>1233</v>
      </c>
      <c r="AA56" s="46"/>
      <c r="AB56" s="43"/>
      <c r="AC56" s="78" t="s">
        <v>1133</v>
      </c>
      <c r="AD56" s="78" t="s">
        <v>1133</v>
      </c>
      <c r="AE56" s="73" t="s">
        <v>270</v>
      </c>
      <c r="AF56" s="78" t="s">
        <v>1228</v>
      </c>
      <c r="AG56" s="78" t="s">
        <v>270</v>
      </c>
      <c r="AH56" s="78" t="s">
        <v>1133</v>
      </c>
      <c r="AI56" s="78" t="s">
        <v>1228</v>
      </c>
      <c r="AJ56" s="78" t="s">
        <v>1133</v>
      </c>
      <c r="AK56" s="78" t="s">
        <v>270</v>
      </c>
      <c r="AL56" s="78"/>
      <c r="AM56" s="88" t="s">
        <v>1292</v>
      </c>
      <c r="AN56" s="78"/>
      <c r="AO56" s="47">
        <v>0.61</v>
      </c>
      <c r="AP56" s="48">
        <f t="shared" ref="AP56:AP66" si="13">J56*AO56</f>
        <v>0</v>
      </c>
      <c r="AQ56" s="48">
        <f t="shared" ref="AQ56:AQ66" si="14">AP56*7.75</f>
        <v>0</v>
      </c>
      <c r="AR56" s="49"/>
      <c r="AS56" s="40"/>
      <c r="AT56" s="40" t="s">
        <v>1313</v>
      </c>
      <c r="AU56" s="33"/>
      <c r="AV56" s="79">
        <f t="shared" si="9"/>
        <v>0</v>
      </c>
      <c r="AW56" s="40"/>
      <c r="AX56" s="80"/>
      <c r="AY56" s="40" t="s">
        <v>1255</v>
      </c>
      <c r="AZ56" s="40" t="s">
        <v>1256</v>
      </c>
      <c r="BA56" s="40"/>
      <c r="BB56" s="40" t="str">
        <f t="shared" si="11"/>
        <v>JAZWARES - FIVE BELOW FOB</v>
      </c>
      <c r="BC56" s="40" t="str">
        <f t="shared" si="12"/>
        <v>美国</v>
      </c>
    </row>
    <row r="57" s="13" customFormat="1" customHeight="1" spans="1:55">
      <c r="A57" s="40">
        <v>46160</v>
      </c>
      <c r="B57" s="40" t="str">
        <f ca="1" t="shared" si="7"/>
        <v>异常</v>
      </c>
      <c r="C57" s="43" t="str">
        <f>VLOOKUP(H57,名称!A:E,4,0)</f>
        <v>三代</v>
      </c>
      <c r="D57" s="42" t="s">
        <v>1276</v>
      </c>
      <c r="E57" s="73" t="s">
        <v>1224</v>
      </c>
      <c r="F57" s="43" t="s">
        <v>2053</v>
      </c>
      <c r="G57" s="43" t="s">
        <v>2054</v>
      </c>
      <c r="H57" s="43" t="s">
        <v>184</v>
      </c>
      <c r="I57" s="43"/>
      <c r="J57" s="44">
        <v>45600</v>
      </c>
      <c r="K57" s="62">
        <f>VLOOKUP(H57,名称!A:C,2,0)</f>
        <v>0</v>
      </c>
      <c r="L57" s="44">
        <f t="shared" si="10"/>
        <v>0</v>
      </c>
      <c r="M57" s="78">
        <f>VLOOKUP(H57,名称!A:E,3,0)</f>
        <v>12</v>
      </c>
      <c r="N57" s="83">
        <f t="shared" si="8"/>
        <v>3800</v>
      </c>
      <c r="O57" s="40">
        <v>46235</v>
      </c>
      <c r="P57" s="71" t="s">
        <v>1225</v>
      </c>
      <c r="Q57" s="89" t="s">
        <v>1225</v>
      </c>
      <c r="R57" s="43"/>
      <c r="S57" s="76" t="s">
        <v>1225</v>
      </c>
      <c r="T57" s="43"/>
      <c r="U57" s="43"/>
      <c r="V57" s="43"/>
      <c r="W57" s="40"/>
      <c r="X57" s="88" t="s">
        <v>1133</v>
      </c>
      <c r="Y57" s="88" t="s">
        <v>1133</v>
      </c>
      <c r="Z57" s="43" t="s">
        <v>1233</v>
      </c>
      <c r="AA57" s="46"/>
      <c r="AB57" s="43"/>
      <c r="AC57" s="78"/>
      <c r="AD57" s="78"/>
      <c r="AE57" s="73" t="s">
        <v>270</v>
      </c>
      <c r="AF57" s="78" t="s">
        <v>1233</v>
      </c>
      <c r="AG57" s="78" t="s">
        <v>270</v>
      </c>
      <c r="AH57" s="78" t="s">
        <v>1133</v>
      </c>
      <c r="AI57" s="78" t="s">
        <v>1233</v>
      </c>
      <c r="AJ57" s="78" t="s">
        <v>1133</v>
      </c>
      <c r="AK57" s="78"/>
      <c r="AL57" s="78"/>
      <c r="AM57" s="90"/>
      <c r="AN57" s="44"/>
      <c r="AO57" s="47"/>
      <c r="AP57" s="48">
        <f t="shared" si="13"/>
        <v>0</v>
      </c>
      <c r="AQ57" s="48">
        <f t="shared" si="14"/>
        <v>0</v>
      </c>
      <c r="AR57" s="49">
        <v>46227</v>
      </c>
      <c r="AS57" s="40"/>
      <c r="AT57" s="40" t="s">
        <v>1310</v>
      </c>
      <c r="AU57" s="79"/>
      <c r="AV57" s="79">
        <f t="shared" si="9"/>
        <v>-45600</v>
      </c>
      <c r="AW57" s="91"/>
      <c r="AX57" s="80"/>
      <c r="AY57" s="40" t="s">
        <v>1255</v>
      </c>
      <c r="AZ57" s="40" t="s">
        <v>1256</v>
      </c>
      <c r="BA57" s="40"/>
      <c r="BB57" s="40" t="str">
        <f t="shared" si="11"/>
        <v>Jazwares- TARGET US DOM</v>
      </c>
      <c r="BC57" s="40" t="str">
        <f t="shared" si="12"/>
        <v>美国</v>
      </c>
    </row>
    <row r="58" s="13" customFormat="1" customHeight="1" spans="1:55">
      <c r="A58" s="40">
        <v>46122</v>
      </c>
      <c r="B58" s="40" t="str">
        <f ca="1" t="shared" si="7"/>
        <v/>
      </c>
      <c r="C58" s="43" t="str">
        <f>VLOOKUP(H58,名称!A:E,4,0)</f>
        <v>三代</v>
      </c>
      <c r="D58" s="42" t="s">
        <v>1315</v>
      </c>
      <c r="E58" s="42" t="s">
        <v>1316</v>
      </c>
      <c r="F58" s="43" t="s">
        <v>703</v>
      </c>
      <c r="G58" s="43" t="s">
        <v>704</v>
      </c>
      <c r="H58" s="43" t="s">
        <v>85</v>
      </c>
      <c r="I58" s="43"/>
      <c r="J58" s="44">
        <f>4200-4200</f>
        <v>0</v>
      </c>
      <c r="K58" s="92">
        <f>VLOOKUP(H58,名称!A:C,2,0)</f>
        <v>5</v>
      </c>
      <c r="L58" s="32">
        <f t="shared" si="10"/>
        <v>0</v>
      </c>
      <c r="M58" s="43">
        <f>VLOOKUP(H58,名称!A:E,3,0)</f>
        <v>24</v>
      </c>
      <c r="N58" s="44">
        <f t="shared" si="8"/>
        <v>0</v>
      </c>
      <c r="O58" s="40">
        <v>46161</v>
      </c>
      <c r="P58" s="80">
        <v>46226</v>
      </c>
      <c r="Q58" s="80">
        <v>46230</v>
      </c>
      <c r="R58" s="77" t="s">
        <v>1241</v>
      </c>
      <c r="S58" s="80" t="s">
        <v>1133</v>
      </c>
      <c r="T58" s="43"/>
      <c r="U58" s="43"/>
      <c r="V58" s="43"/>
      <c r="W58" s="40"/>
      <c r="X58" s="78" t="s">
        <v>1248</v>
      </c>
      <c r="Y58" s="93">
        <v>46193</v>
      </c>
      <c r="Z58" s="78" t="s">
        <v>1249</v>
      </c>
      <c r="AA58" s="84">
        <v>46181</v>
      </c>
      <c r="AB58" s="93">
        <v>46185</v>
      </c>
      <c r="AC58" s="78" t="s">
        <v>1133</v>
      </c>
      <c r="AD58" s="78" t="s">
        <v>1133</v>
      </c>
      <c r="AE58" s="43" t="s">
        <v>510</v>
      </c>
      <c r="AF58" s="78" t="s">
        <v>1228</v>
      </c>
      <c r="AG58" s="78" t="s">
        <v>510</v>
      </c>
      <c r="AH58" s="78" t="s">
        <v>1133</v>
      </c>
      <c r="AI58" s="78" t="s">
        <v>1228</v>
      </c>
      <c r="AJ58" s="78" t="s">
        <v>1133</v>
      </c>
      <c r="AK58" s="78" t="s">
        <v>510</v>
      </c>
      <c r="AL58" s="78"/>
      <c r="AM58" s="78" t="s">
        <v>1279</v>
      </c>
      <c r="AN58" s="94" t="s">
        <v>1395</v>
      </c>
      <c r="AO58" s="47">
        <v>0.83</v>
      </c>
      <c r="AP58" s="48">
        <f t="shared" si="13"/>
        <v>0</v>
      </c>
      <c r="AQ58" s="48">
        <f t="shared" si="14"/>
        <v>0</v>
      </c>
      <c r="AR58" s="51"/>
      <c r="AS58" s="40"/>
      <c r="AT58" s="40" t="s">
        <v>1220</v>
      </c>
      <c r="AU58" s="33">
        <v>4200</v>
      </c>
      <c r="AV58" s="79">
        <f t="shared" si="9"/>
        <v>4200</v>
      </c>
      <c r="AW58" s="79"/>
      <c r="AX58" s="80" t="s">
        <v>1280</v>
      </c>
      <c r="AY58" s="40" t="s">
        <v>1317</v>
      </c>
      <c r="AZ58" s="40" t="s">
        <v>1256</v>
      </c>
      <c r="BA58" s="40"/>
      <c r="BB58" s="40" t="str">
        <f t="shared" si="11"/>
        <v>New Laceys Promotions (Pty) Ltd</v>
      </c>
      <c r="BC58" s="40" t="str">
        <f t="shared" si="12"/>
        <v>南非</v>
      </c>
    </row>
    <row r="59" s="13" customFormat="1" customHeight="1" spans="1:55">
      <c r="A59" s="40">
        <v>46195</v>
      </c>
      <c r="B59" s="80" t="str">
        <f ca="1" t="shared" si="7"/>
        <v/>
      </c>
      <c r="C59" s="78" t="str">
        <f>VLOOKUP(H59,名称!A:E,4,0)</f>
        <v>三代</v>
      </c>
      <c r="D59" s="69" t="s">
        <v>2055</v>
      </c>
      <c r="E59" s="69" t="s">
        <v>2056</v>
      </c>
      <c r="F59" s="69" t="s">
        <v>2057</v>
      </c>
      <c r="G59" s="69" t="s">
        <v>2058</v>
      </c>
      <c r="H59" s="69" t="s">
        <v>85</v>
      </c>
      <c r="I59" s="43"/>
      <c r="J59" s="74">
        <f>3600-3600</f>
        <v>0</v>
      </c>
      <c r="K59" s="95">
        <f>VLOOKUP(H59,名称!A:C,2,0)</f>
        <v>5</v>
      </c>
      <c r="L59" s="96">
        <f t="shared" si="10"/>
        <v>0</v>
      </c>
      <c r="M59" s="78">
        <f>VLOOKUP(H59,名称!A:E,3,0)</f>
        <v>24</v>
      </c>
      <c r="N59" s="83">
        <f t="shared" si="8"/>
        <v>0</v>
      </c>
      <c r="O59" s="75">
        <v>46261</v>
      </c>
      <c r="P59" s="80">
        <v>46261</v>
      </c>
      <c r="Q59" s="80">
        <v>46261</v>
      </c>
      <c r="R59" s="43"/>
      <c r="S59" s="89" t="s">
        <v>1133</v>
      </c>
      <c r="T59" s="43"/>
      <c r="U59" s="43"/>
      <c r="V59" s="43"/>
      <c r="W59" s="40"/>
      <c r="X59" s="78" t="s">
        <v>1248</v>
      </c>
      <c r="Y59" s="97">
        <v>46210</v>
      </c>
      <c r="Z59" s="88" t="s">
        <v>1249</v>
      </c>
      <c r="AA59" s="46">
        <v>46198</v>
      </c>
      <c r="AB59" s="45">
        <v>46210</v>
      </c>
      <c r="AC59" s="88" t="s">
        <v>1133</v>
      </c>
      <c r="AD59" s="88" t="s">
        <v>1133</v>
      </c>
      <c r="AE59" s="69" t="s">
        <v>510</v>
      </c>
      <c r="AF59" s="78"/>
      <c r="AG59" s="88" t="s">
        <v>510</v>
      </c>
      <c r="AH59" s="88" t="s">
        <v>1133</v>
      </c>
      <c r="AI59" s="88" t="s">
        <v>1228</v>
      </c>
      <c r="AJ59" s="88" t="s">
        <v>1133</v>
      </c>
      <c r="AK59" s="88" t="s">
        <v>510</v>
      </c>
      <c r="AL59" s="78"/>
      <c r="AM59" s="88" t="s">
        <v>1293</v>
      </c>
      <c r="AN59" s="69" t="s">
        <v>2059</v>
      </c>
      <c r="AO59" s="47">
        <v>0.83</v>
      </c>
      <c r="AP59" s="48">
        <f t="shared" si="13"/>
        <v>0</v>
      </c>
      <c r="AQ59" s="48">
        <f t="shared" si="14"/>
        <v>0</v>
      </c>
      <c r="AR59" s="51"/>
      <c r="AS59" s="40"/>
      <c r="AT59" s="89" t="s">
        <v>1220</v>
      </c>
      <c r="AU59" s="79"/>
      <c r="AV59" s="79">
        <f t="shared" si="9"/>
        <v>0</v>
      </c>
      <c r="AW59" s="91"/>
      <c r="AX59" s="76" t="s">
        <v>1280</v>
      </c>
      <c r="AY59" s="89" t="s">
        <v>1255</v>
      </c>
      <c r="AZ59" s="80" t="s">
        <v>1256</v>
      </c>
      <c r="BA59" s="40"/>
      <c r="BB59" s="89" t="str">
        <f t="shared" si="11"/>
        <v>Happy Kids &amp; Toys</v>
      </c>
      <c r="BC59" s="89" t="str">
        <f t="shared" si="12"/>
        <v>上海</v>
      </c>
    </row>
    <row r="60" s="13" customFormat="1" customHeight="1" spans="1:55">
      <c r="A60" s="40">
        <v>46108</v>
      </c>
      <c r="B60" s="80" t="str">
        <f ca="1" t="shared" si="7"/>
        <v>异常</v>
      </c>
      <c r="C60" s="78" t="str">
        <f>VLOOKUP(H60,名称!A:E,4,0)</f>
        <v>蛋糕</v>
      </c>
      <c r="D60" s="69" t="s">
        <v>1352</v>
      </c>
      <c r="E60" s="69" t="s">
        <v>1224</v>
      </c>
      <c r="F60" s="69" t="s">
        <v>2045</v>
      </c>
      <c r="G60" s="69" t="s">
        <v>2060</v>
      </c>
      <c r="H60" s="69" t="s">
        <v>50</v>
      </c>
      <c r="I60" s="43"/>
      <c r="J60" s="74">
        <f>100008-50004-50004</f>
        <v>0</v>
      </c>
      <c r="K60" s="95">
        <f>VLOOKUP(H60,名称!A:C,2,0)</f>
        <v>0</v>
      </c>
      <c r="L60" s="96">
        <f t="shared" si="10"/>
        <v>0</v>
      </c>
      <c r="M60" s="78">
        <f>VLOOKUP(H60,名称!A:E,3,0)</f>
        <v>18</v>
      </c>
      <c r="N60" s="83">
        <f t="shared" si="8"/>
        <v>0</v>
      </c>
      <c r="O60" s="75">
        <v>46280</v>
      </c>
      <c r="P60" s="80">
        <v>46280</v>
      </c>
      <c r="Q60" s="80">
        <v>46280</v>
      </c>
      <c r="R60" s="43"/>
      <c r="S60" s="89" t="s">
        <v>1133</v>
      </c>
      <c r="T60" s="43"/>
      <c r="U60" s="43"/>
      <c r="V60" s="43"/>
      <c r="W60" s="40"/>
      <c r="X60" s="78" t="s">
        <v>1133</v>
      </c>
      <c r="Y60" s="97" t="s">
        <v>1133</v>
      </c>
      <c r="Z60" s="88" t="s">
        <v>1233</v>
      </c>
      <c r="AA60" s="46"/>
      <c r="AB60" s="45"/>
      <c r="AC60" s="88" t="s">
        <v>1133</v>
      </c>
      <c r="AD60" s="88" t="s">
        <v>1133</v>
      </c>
      <c r="AE60" s="69" t="s">
        <v>510</v>
      </c>
      <c r="AF60" s="78" t="s">
        <v>1228</v>
      </c>
      <c r="AG60" s="88" t="s">
        <v>510</v>
      </c>
      <c r="AH60" s="88" t="s">
        <v>1133</v>
      </c>
      <c r="AI60" s="88" t="s">
        <v>1228</v>
      </c>
      <c r="AJ60" s="88" t="s">
        <v>1133</v>
      </c>
      <c r="AK60" s="88" t="s">
        <v>1228</v>
      </c>
      <c r="AL60" s="78"/>
      <c r="AM60" s="88" t="s">
        <v>1267</v>
      </c>
      <c r="AN60" s="69" t="s">
        <v>1504</v>
      </c>
      <c r="AO60" s="47">
        <v>1.09</v>
      </c>
      <c r="AP60" s="48">
        <f t="shared" si="13"/>
        <v>0</v>
      </c>
      <c r="AQ60" s="48">
        <f t="shared" si="14"/>
        <v>0</v>
      </c>
      <c r="AR60" s="51"/>
      <c r="AS60" s="40"/>
      <c r="AT60" s="89" t="s">
        <v>1220</v>
      </c>
      <c r="AU60" s="79"/>
      <c r="AV60" s="79"/>
      <c r="AW60" s="91"/>
      <c r="AX60" s="76"/>
      <c r="AY60" s="89"/>
      <c r="AZ60" s="80"/>
      <c r="BA60" s="40"/>
      <c r="BB60" s="89" t="str">
        <f t="shared" si="11"/>
        <v>Sky Castle Toys, LLC</v>
      </c>
      <c r="BC60" s="89" t="str">
        <f t="shared" si="12"/>
        <v>美国</v>
      </c>
    </row>
    <row r="61" s="13" customFormat="1" customHeight="1" spans="1:55">
      <c r="A61" s="80">
        <v>46183</v>
      </c>
      <c r="B61" s="80" t="str">
        <f ca="1" t="shared" si="7"/>
        <v/>
      </c>
      <c r="C61" s="78" t="str">
        <f>VLOOKUP(H61,名称!A:E,4,0)</f>
        <v>三代</v>
      </c>
      <c r="D61" s="78" t="s">
        <v>1409</v>
      </c>
      <c r="E61" s="78" t="s">
        <v>1224</v>
      </c>
      <c r="F61" s="78" t="s">
        <v>957</v>
      </c>
      <c r="G61" s="78" t="s">
        <v>958</v>
      </c>
      <c r="H61" s="78" t="s">
        <v>102</v>
      </c>
      <c r="I61" s="78"/>
      <c r="J61" s="98">
        <f>5000-4992-8</f>
        <v>0</v>
      </c>
      <c r="K61" s="82">
        <f>VLOOKUP(H61,名称!A:C,2,0)</f>
        <v>5</v>
      </c>
      <c r="L61" s="83">
        <f t="shared" si="10"/>
        <v>0</v>
      </c>
      <c r="M61" s="78">
        <f>VLOOKUP(H61,名称!A:E,3,0)</f>
        <v>12</v>
      </c>
      <c r="N61" s="83">
        <f t="shared" si="8"/>
        <v>0</v>
      </c>
      <c r="O61" s="80">
        <v>46284</v>
      </c>
      <c r="P61" s="80">
        <v>46284</v>
      </c>
      <c r="Q61" s="80">
        <v>46283</v>
      </c>
      <c r="R61" s="78"/>
      <c r="S61" s="80">
        <v>46284</v>
      </c>
      <c r="T61" s="78"/>
      <c r="U61" s="78"/>
      <c r="V61" s="78"/>
      <c r="W61" s="44" t="str">
        <f>IFERROR(VLOOKUP(H61,名称!A:F,6,0),"")</f>
        <v>湖南</v>
      </c>
      <c r="X61" s="78" t="s">
        <v>1133</v>
      </c>
      <c r="Y61" s="78" t="s">
        <v>1133</v>
      </c>
      <c r="Z61" s="93">
        <v>46216</v>
      </c>
      <c r="AA61" s="84">
        <v>46217</v>
      </c>
      <c r="AB61" s="84">
        <v>46217</v>
      </c>
      <c r="AC61" s="88" t="s">
        <v>1133</v>
      </c>
      <c r="AD61" s="88" t="s">
        <v>1133</v>
      </c>
      <c r="AE61" s="78" t="s">
        <v>270</v>
      </c>
      <c r="AF61" s="78" t="s">
        <v>1228</v>
      </c>
      <c r="AG61" s="78" t="s">
        <v>270</v>
      </c>
      <c r="AH61" s="88" t="s">
        <v>1133</v>
      </c>
      <c r="AI61" s="78" t="s">
        <v>1228</v>
      </c>
      <c r="AJ61" s="88" t="s">
        <v>1133</v>
      </c>
      <c r="AK61" s="88" t="s">
        <v>270</v>
      </c>
      <c r="AL61" s="78"/>
      <c r="AM61" s="88" t="s">
        <v>1250</v>
      </c>
      <c r="AN61" s="78"/>
      <c r="AO61" s="85">
        <v>0.63</v>
      </c>
      <c r="AP61" s="86">
        <f t="shared" si="13"/>
        <v>0</v>
      </c>
      <c r="AQ61" s="86">
        <f t="shared" si="14"/>
        <v>0</v>
      </c>
      <c r="AR61" s="87"/>
      <c r="AS61" s="80"/>
      <c r="AT61" s="80" t="s">
        <v>1220</v>
      </c>
      <c r="AU61" s="79"/>
      <c r="AV61" s="79">
        <f>AU61-J61</f>
        <v>0</v>
      </c>
      <c r="AW61" s="99"/>
      <c r="AX61" s="76" t="s">
        <v>1280</v>
      </c>
      <c r="AY61" s="80" t="s">
        <v>1255</v>
      </c>
      <c r="AZ61" s="80" t="s">
        <v>1256</v>
      </c>
      <c r="BA61" s="80"/>
      <c r="BB61" s="80" t="str">
        <f t="shared" si="11"/>
        <v>JAZWARES - DOLLAR TREE INC.</v>
      </c>
      <c r="BC61" s="80" t="str">
        <f t="shared" si="12"/>
        <v>美国</v>
      </c>
    </row>
    <row r="62" s="15" customFormat="1" customHeight="1" spans="1:55">
      <c r="A62" s="100"/>
      <c r="B62" s="100"/>
      <c r="C62" s="100"/>
      <c r="D62" s="101"/>
      <c r="E62" s="101"/>
      <c r="F62" s="102"/>
      <c r="G62" s="102"/>
      <c r="H62" s="102"/>
      <c r="I62" s="103"/>
      <c r="J62" s="104"/>
      <c r="K62" s="105"/>
      <c r="L62" s="104"/>
      <c r="M62" s="103"/>
      <c r="N62" s="106"/>
      <c r="O62" s="100"/>
      <c r="P62" s="100"/>
      <c r="Q62" s="100"/>
      <c r="R62" s="100"/>
      <c r="S62" s="100"/>
      <c r="T62" s="107"/>
      <c r="U62" s="108"/>
      <c r="V62" s="108"/>
      <c r="W62" s="108"/>
      <c r="X62" s="102"/>
      <c r="Y62" s="102"/>
      <c r="Z62" s="102"/>
      <c r="AA62" s="102"/>
      <c r="AB62" s="102"/>
      <c r="AC62" s="102"/>
      <c r="AD62" s="102"/>
      <c r="AE62" s="109"/>
      <c r="AF62" s="109"/>
      <c r="AG62" s="109"/>
      <c r="AH62" s="109"/>
      <c r="AI62" s="109"/>
      <c r="AJ62" s="102"/>
      <c r="AK62" s="102"/>
      <c r="AL62" s="102"/>
      <c r="AM62" s="102"/>
      <c r="AN62" s="110"/>
      <c r="AO62" s="111"/>
      <c r="AP62" s="112">
        <f t="shared" si="13"/>
        <v>0</v>
      </c>
      <c r="AQ62" s="112">
        <f t="shared" si="14"/>
        <v>0</v>
      </c>
      <c r="AR62" s="113"/>
      <c r="AS62" s="114"/>
      <c r="AT62" s="100"/>
      <c r="AU62" s="100"/>
      <c r="AV62" s="101"/>
      <c r="AW62" s="115"/>
      <c r="AX62" s="115"/>
      <c r="AY62" s="115"/>
      <c r="AZ62" s="115"/>
      <c r="BA62" s="40"/>
    </row>
    <row r="63" s="15" customFormat="1" customHeight="1" spans="1:55">
      <c r="A63" s="100"/>
      <c r="B63" s="100"/>
      <c r="C63" s="100"/>
      <c r="D63" s="101"/>
      <c r="E63" s="101"/>
      <c r="F63" s="102"/>
      <c r="G63" s="102"/>
      <c r="H63" s="102"/>
      <c r="I63" s="103"/>
      <c r="J63" s="104"/>
      <c r="K63" s="105"/>
      <c r="L63" s="104"/>
      <c r="M63" s="103"/>
      <c r="N63" s="106"/>
      <c r="O63" s="100"/>
      <c r="P63" s="100"/>
      <c r="Q63" s="100"/>
      <c r="R63" s="100"/>
      <c r="S63" s="100"/>
      <c r="T63" s="107"/>
      <c r="U63" s="108"/>
      <c r="V63" s="108"/>
      <c r="W63" s="108"/>
      <c r="X63" s="102"/>
      <c r="Y63" s="102"/>
      <c r="Z63" s="102"/>
      <c r="AA63" s="102"/>
      <c r="AB63" s="102"/>
      <c r="AC63" s="102"/>
      <c r="AD63" s="102"/>
      <c r="AE63" s="109"/>
      <c r="AF63" s="109"/>
      <c r="AG63" s="109"/>
      <c r="AH63" s="109"/>
      <c r="AI63" s="109"/>
      <c r="AJ63" s="102"/>
      <c r="AK63" s="102"/>
      <c r="AL63" s="102"/>
      <c r="AM63" s="102"/>
      <c r="AN63" s="110"/>
      <c r="AO63" s="111"/>
      <c r="AP63" s="112">
        <f t="shared" si="13"/>
        <v>0</v>
      </c>
      <c r="AQ63" s="112">
        <f t="shared" si="14"/>
        <v>0</v>
      </c>
      <c r="AR63" s="113"/>
      <c r="AS63" s="114"/>
      <c r="AT63" s="100"/>
      <c r="AU63" s="100"/>
      <c r="AV63" s="101"/>
      <c r="AW63" s="115"/>
      <c r="AX63" s="115"/>
      <c r="AY63" s="115"/>
      <c r="AZ63" s="115"/>
      <c r="BA63" s="40"/>
    </row>
    <row r="64" s="15" customFormat="1" customHeight="1" spans="1:55">
      <c r="A64" s="100"/>
      <c r="B64" s="100"/>
      <c r="C64" s="100"/>
      <c r="D64" s="101"/>
      <c r="E64" s="101"/>
      <c r="F64" s="102"/>
      <c r="G64" s="102"/>
      <c r="H64" s="102"/>
      <c r="I64" s="103"/>
      <c r="J64" s="104"/>
      <c r="K64" s="105"/>
      <c r="L64" s="104"/>
      <c r="M64" s="103"/>
      <c r="N64" s="106"/>
      <c r="O64" s="100"/>
      <c r="P64" s="100"/>
      <c r="Q64" s="100"/>
      <c r="R64" s="100"/>
      <c r="S64" s="100"/>
      <c r="T64" s="107"/>
      <c r="U64" s="108"/>
      <c r="V64" s="108"/>
      <c r="W64" s="108"/>
      <c r="X64" s="102"/>
      <c r="Y64" s="102"/>
      <c r="Z64" s="102"/>
      <c r="AA64" s="102"/>
      <c r="AB64" s="102"/>
      <c r="AC64" s="102"/>
      <c r="AD64" s="102"/>
      <c r="AE64" s="109"/>
      <c r="AF64" s="109"/>
      <c r="AG64" s="109"/>
      <c r="AH64" s="109"/>
      <c r="AI64" s="109"/>
      <c r="AJ64" s="102"/>
      <c r="AK64" s="102"/>
      <c r="AL64" s="102"/>
      <c r="AM64" s="102"/>
      <c r="AN64" s="110"/>
      <c r="AO64" s="111"/>
      <c r="AP64" s="112">
        <f t="shared" si="13"/>
        <v>0</v>
      </c>
      <c r="AQ64" s="112">
        <f t="shared" si="14"/>
        <v>0</v>
      </c>
      <c r="AR64" s="113"/>
      <c r="AS64" s="114"/>
      <c r="AT64" s="100"/>
      <c r="AU64" s="100"/>
      <c r="AV64" s="101"/>
      <c r="AW64" s="115"/>
      <c r="AX64" s="115"/>
      <c r="AY64" s="115"/>
      <c r="AZ64" s="115"/>
      <c r="BA64" s="40"/>
    </row>
    <row r="65" s="15" customFormat="1" customHeight="1" spans="1:53">
      <c r="A65" s="100"/>
      <c r="B65" s="100"/>
      <c r="C65" s="100"/>
      <c r="D65" s="101"/>
      <c r="E65" s="101"/>
      <c r="F65" s="102"/>
      <c r="G65" s="102"/>
      <c r="H65" s="102"/>
      <c r="I65" s="103"/>
      <c r="J65" s="104"/>
      <c r="K65" s="105"/>
      <c r="L65" s="104"/>
      <c r="M65" s="103"/>
      <c r="N65" s="106"/>
      <c r="O65" s="100"/>
      <c r="P65" s="100"/>
      <c r="Q65" s="100"/>
      <c r="R65" s="100"/>
      <c r="S65" s="100"/>
      <c r="T65" s="107"/>
      <c r="U65" s="108"/>
      <c r="V65" s="108"/>
      <c r="W65" s="108"/>
      <c r="X65" s="102"/>
      <c r="Y65" s="102"/>
      <c r="Z65" s="102"/>
      <c r="AA65" s="102"/>
      <c r="AB65" s="102"/>
      <c r="AC65" s="102"/>
      <c r="AD65" s="102"/>
      <c r="AE65" s="109"/>
      <c r="AF65" s="109"/>
      <c r="AG65" s="109"/>
      <c r="AH65" s="109"/>
      <c r="AI65" s="109"/>
      <c r="AJ65" s="102"/>
      <c r="AK65" s="102"/>
      <c r="AL65" s="102"/>
      <c r="AM65" s="102"/>
      <c r="AN65" s="110"/>
      <c r="AO65" s="111"/>
      <c r="AP65" s="112">
        <f t="shared" si="13"/>
        <v>0</v>
      </c>
      <c r="AQ65" s="112">
        <f t="shared" si="14"/>
        <v>0</v>
      </c>
      <c r="AR65" s="113"/>
      <c r="AS65" s="114"/>
      <c r="AT65" s="100"/>
      <c r="AU65" s="100"/>
      <c r="AV65" s="101"/>
      <c r="AW65" s="115"/>
      <c r="AX65" s="115"/>
      <c r="AY65" s="115"/>
      <c r="AZ65" s="115"/>
      <c r="BA65" s="40"/>
    </row>
    <row r="66" s="15" customFormat="1" customHeight="1" spans="1:53">
      <c r="A66" s="100"/>
      <c r="B66" s="100"/>
      <c r="C66" s="100"/>
      <c r="D66" s="101"/>
      <c r="E66" s="101"/>
      <c r="F66" s="102"/>
      <c r="G66" s="102"/>
      <c r="H66" s="102"/>
      <c r="I66" s="103"/>
      <c r="J66" s="104"/>
      <c r="K66" s="105"/>
      <c r="L66" s="104"/>
      <c r="M66" s="103"/>
      <c r="N66" s="106"/>
      <c r="O66" s="100"/>
      <c r="P66" s="100"/>
      <c r="Q66" s="100"/>
      <c r="R66" s="100"/>
      <c r="S66" s="100"/>
      <c r="T66" s="107"/>
      <c r="U66" s="108"/>
      <c r="V66" s="108"/>
      <c r="W66" s="108"/>
      <c r="X66" s="102"/>
      <c r="Y66" s="102"/>
      <c r="Z66" s="102"/>
      <c r="AA66" s="102"/>
      <c r="AB66" s="102"/>
      <c r="AC66" s="102"/>
      <c r="AD66" s="102"/>
      <c r="AE66" s="109"/>
      <c r="AF66" s="109"/>
      <c r="AG66" s="109"/>
      <c r="AH66" s="109"/>
      <c r="AI66" s="109"/>
      <c r="AJ66" s="102"/>
      <c r="AK66" s="102"/>
      <c r="AL66" s="102"/>
      <c r="AM66" s="102"/>
      <c r="AN66" s="110"/>
      <c r="AO66" s="111"/>
      <c r="AP66" s="112">
        <f t="shared" si="13"/>
        <v>0</v>
      </c>
      <c r="AQ66" s="112">
        <f t="shared" si="14"/>
        <v>0</v>
      </c>
      <c r="AR66" s="113"/>
      <c r="AS66" s="114"/>
      <c r="AT66" s="100"/>
      <c r="AU66" s="100"/>
      <c r="AV66" s="101"/>
      <c r="AW66" s="115"/>
      <c r="AX66" s="115"/>
      <c r="AY66" s="115"/>
      <c r="AZ66" s="115"/>
      <c r="BA66" s="40"/>
    </row>
    <row r="67" s="16" customFormat="1" customHeight="1" spans="1:53">
      <c r="A67" s="116"/>
      <c r="B67" s="116"/>
      <c r="C67" s="116"/>
      <c r="D67" s="117"/>
      <c r="E67" s="117"/>
      <c r="F67" s="118"/>
      <c r="G67" s="118"/>
      <c r="H67" s="118"/>
      <c r="I67" s="119" t="s">
        <v>1552</v>
      </c>
      <c r="J67" s="92">
        <f>SUM(J3:J66)</f>
        <v>375124</v>
      </c>
      <c r="K67" s="120">
        <f>SUM(K3:K66)</f>
        <v>387</v>
      </c>
      <c r="L67" s="92">
        <f>SUM(L3:L66)</f>
        <v>751220</v>
      </c>
      <c r="M67" s="119"/>
      <c r="N67" s="121"/>
      <c r="O67" s="116"/>
      <c r="P67" s="116"/>
      <c r="Q67" s="116"/>
      <c r="R67" s="116"/>
      <c r="S67" s="116"/>
      <c r="T67" s="29"/>
      <c r="U67" s="122"/>
      <c r="V67" s="122"/>
      <c r="W67" s="122"/>
      <c r="X67" s="118"/>
      <c r="Y67" s="118"/>
      <c r="Z67" s="118"/>
      <c r="AA67" s="118"/>
      <c r="AB67" s="118"/>
      <c r="AC67" s="118"/>
      <c r="AD67" s="118"/>
      <c r="AE67" s="118"/>
      <c r="AF67" s="118"/>
      <c r="AG67" s="123"/>
      <c r="AH67" s="123"/>
      <c r="AI67" s="123"/>
      <c r="AJ67" s="118"/>
      <c r="AK67" s="118"/>
      <c r="AL67" s="118"/>
      <c r="AM67" s="118"/>
      <c r="AN67" s="32"/>
      <c r="AO67" s="124"/>
      <c r="AP67" s="125">
        <f>SUM(AP3:AP66)</f>
        <v>202130.76</v>
      </c>
      <c r="AQ67" s="125">
        <f>SUM(AQ3:AQ66)</f>
        <v>1566513.4</v>
      </c>
      <c r="AR67" s="126"/>
      <c r="AS67" s="127"/>
      <c r="AT67" s="116"/>
      <c r="AU67" s="117"/>
      <c r="AV67" s="117"/>
      <c r="AW67" s="128"/>
      <c r="AX67" s="128"/>
      <c r="AY67" s="128"/>
      <c r="AZ67" s="128"/>
      <c r="BA67" s="129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2:BA67" etc:filterBottomFollowUsedRange="0">
    <extLst/>
  </autoFilter>
  <mergeCells count="46">
    <mergeCell ref="X1:Y1"/>
    <mergeCell ref="Z1:AB1"/>
    <mergeCell ref="AC1:AD1"/>
    <mergeCell ref="AE1:AF1"/>
    <mergeCell ref="AG1:A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</mergeCells>
  <conditionalFormatting sqref="X3">
    <cfRule type="containsText" dxfId="0" priority="673" operator="between" text="欠">
      <formula>NOT(ISERROR(SEARCH("欠",X3)))</formula>
    </cfRule>
  </conditionalFormatting>
  <conditionalFormatting sqref="Y3">
    <cfRule type="containsText" dxfId="0" priority="665" operator="between" text="欠">
      <formula>NOT(ISERROR(SEARCH("欠",Y3)))</formula>
    </cfRule>
  </conditionalFormatting>
  <conditionalFormatting sqref="Z3">
    <cfRule type="containsText" dxfId="0" priority="672" operator="between" text="欠">
      <formula>NOT(ISERROR(SEARCH("欠",Z3)))</formula>
    </cfRule>
  </conditionalFormatting>
  <conditionalFormatting sqref="AA3:AB3">
    <cfRule type="containsText" dxfId="0" priority="670" operator="between" text="欠">
      <formula>NOT(ISERROR(SEARCH("欠",AA3)))</formula>
    </cfRule>
  </conditionalFormatting>
  <conditionalFormatting sqref="AC3:AD3">
    <cfRule type="containsText" dxfId="0" priority="669" operator="between" text="欠">
      <formula>NOT(ISERROR(SEARCH("欠",AC3)))</formula>
    </cfRule>
  </conditionalFormatting>
  <conditionalFormatting sqref="AE3">
    <cfRule type="containsText" dxfId="0" priority="667" operator="between" text="欠">
      <formula>NOT(ISERROR(SEARCH("欠",AE3)))</formula>
    </cfRule>
  </conditionalFormatting>
  <conditionalFormatting sqref="AF3">
    <cfRule type="containsText" dxfId="0" priority="671" operator="between" text="欠">
      <formula>NOT(ISERROR(SEARCH("欠",AF3)))</formula>
    </cfRule>
  </conditionalFormatting>
  <conditionalFormatting sqref="AG3">
    <cfRule type="containsText" dxfId="0" priority="666" operator="between" text="欠">
      <formula>NOT(ISERROR(SEARCH("欠",AG3)))</formula>
    </cfRule>
  </conditionalFormatting>
  <conditionalFormatting sqref="AH3:AI3">
    <cfRule type="containsText" dxfId="0" priority="668" operator="between" text="欠">
      <formula>NOT(ISERROR(SEARCH("欠",AH3)))</formula>
    </cfRule>
  </conditionalFormatting>
  <conditionalFormatting sqref="X4">
    <cfRule type="containsText" dxfId="0" priority="664" operator="between" text="欠">
      <formula>NOT(ISERROR(SEARCH("欠",X4)))</formula>
    </cfRule>
  </conditionalFormatting>
  <conditionalFormatting sqref="Y4">
    <cfRule type="containsText" dxfId="0" priority="656" operator="between" text="欠">
      <formula>NOT(ISERROR(SEARCH("欠",Y4)))</formula>
    </cfRule>
  </conditionalFormatting>
  <conditionalFormatting sqref="Z4">
    <cfRule type="containsText" dxfId="0" priority="663" operator="between" text="欠">
      <formula>NOT(ISERROR(SEARCH("欠",Z4)))</formula>
    </cfRule>
  </conditionalFormatting>
  <conditionalFormatting sqref="AA4:AB4">
    <cfRule type="containsText" dxfId="0" priority="661" operator="between" text="欠">
      <formula>NOT(ISERROR(SEARCH("欠",AA4)))</formula>
    </cfRule>
  </conditionalFormatting>
  <conditionalFormatting sqref="AC4:AD4">
    <cfRule type="containsText" dxfId="0" priority="659" operator="between" text="欠">
      <formula>NOT(ISERROR(SEARCH("欠",AC4)))</formula>
    </cfRule>
  </conditionalFormatting>
  <conditionalFormatting sqref="AE4">
    <cfRule type="containsText" dxfId="0" priority="658" operator="between" text="欠">
      <formula>NOT(ISERROR(SEARCH("欠",AE4)))</formula>
    </cfRule>
  </conditionalFormatting>
  <conditionalFormatting sqref="AF4">
    <cfRule type="containsText" dxfId="0" priority="662" operator="between" text="欠">
      <formula>NOT(ISERROR(SEARCH("欠",AF4)))</formula>
    </cfRule>
  </conditionalFormatting>
  <conditionalFormatting sqref="AG4">
    <cfRule type="containsText" dxfId="0" priority="657" operator="between" text="欠">
      <formula>NOT(ISERROR(SEARCH("欠",AG4)))</formula>
    </cfRule>
  </conditionalFormatting>
  <conditionalFormatting sqref="AH4:AI4">
    <cfRule type="containsText" dxfId="0" priority="660" operator="between" text="欠">
      <formula>NOT(ISERROR(SEARCH("欠",AH4)))</formula>
    </cfRule>
  </conditionalFormatting>
  <conditionalFormatting sqref="X5">
    <cfRule type="containsText" dxfId="0" priority="633" operator="between" text="欠">
      <formula>NOT(ISERROR(SEARCH("欠",X5)))</formula>
    </cfRule>
  </conditionalFormatting>
  <conditionalFormatting sqref="Y5">
    <cfRule type="containsText" dxfId="0" priority="617" operator="between" text="欠">
      <formula>NOT(ISERROR(SEARCH("欠",Y5)))</formula>
    </cfRule>
  </conditionalFormatting>
  <conditionalFormatting sqref="Z5">
    <cfRule type="containsText" dxfId="0" priority="631" operator="between" text="欠">
      <formula>NOT(ISERROR(SEARCH("欠",Z5)))</formula>
    </cfRule>
  </conditionalFormatting>
  <conditionalFormatting sqref="AA5:AB5">
    <cfRule type="containsText" dxfId="0" priority="627" operator="between" text="欠">
      <formula>NOT(ISERROR(SEARCH("欠",AA5)))</formula>
    </cfRule>
  </conditionalFormatting>
  <conditionalFormatting sqref="AC5:AD5">
    <cfRule type="containsText" dxfId="0" priority="623" operator="between" text="欠">
      <formula>NOT(ISERROR(SEARCH("欠",AC5)))</formula>
    </cfRule>
  </conditionalFormatting>
  <conditionalFormatting sqref="AE5">
    <cfRule type="containsText" dxfId="0" priority="621" operator="between" text="欠">
      <formula>NOT(ISERROR(SEARCH("欠",AE5)))</formula>
    </cfRule>
  </conditionalFormatting>
  <conditionalFormatting sqref="AF5">
    <cfRule type="containsText" dxfId="0" priority="629" operator="between" text="欠">
      <formula>NOT(ISERROR(SEARCH("欠",AF5)))</formula>
    </cfRule>
  </conditionalFormatting>
  <conditionalFormatting sqref="AG5">
    <cfRule type="containsText" dxfId="0" priority="619" operator="between" text="欠">
      <formula>NOT(ISERROR(SEARCH("欠",AG5)))</formula>
    </cfRule>
  </conditionalFormatting>
  <conditionalFormatting sqref="AH5:AI5">
    <cfRule type="containsText" dxfId="0" priority="625" operator="between" text="欠">
      <formula>NOT(ISERROR(SEARCH("欠",AH5)))</formula>
    </cfRule>
  </conditionalFormatting>
  <conditionalFormatting sqref="X6">
    <cfRule type="containsText" dxfId="0" priority="632" operator="between" text="欠">
      <formula>NOT(ISERROR(SEARCH("欠",X6)))</formula>
    </cfRule>
  </conditionalFormatting>
  <conditionalFormatting sqref="Y6">
    <cfRule type="containsText" dxfId="0" priority="616" operator="between" text="欠">
      <formula>NOT(ISERROR(SEARCH("欠",Y6)))</formula>
    </cfRule>
  </conditionalFormatting>
  <conditionalFormatting sqref="Z6">
    <cfRule type="containsText" dxfId="0" priority="630" operator="between" text="欠">
      <formula>NOT(ISERROR(SEARCH("欠",Z6)))</formula>
    </cfRule>
  </conditionalFormatting>
  <conditionalFormatting sqref="AA6:AB6">
    <cfRule type="containsText" dxfId="0" priority="626" operator="between" text="欠">
      <formula>NOT(ISERROR(SEARCH("欠",AA6)))</formula>
    </cfRule>
  </conditionalFormatting>
  <conditionalFormatting sqref="AC6:AD6">
    <cfRule type="containsText" dxfId="0" priority="622" operator="between" text="欠">
      <formula>NOT(ISERROR(SEARCH("欠",AC6)))</formula>
    </cfRule>
  </conditionalFormatting>
  <conditionalFormatting sqref="AE6">
    <cfRule type="containsText" dxfId="0" priority="620" operator="between" text="欠">
      <formula>NOT(ISERROR(SEARCH("欠",AE6)))</formula>
    </cfRule>
  </conditionalFormatting>
  <conditionalFormatting sqref="AF6">
    <cfRule type="containsText" dxfId="0" priority="628" operator="between" text="欠">
      <formula>NOT(ISERROR(SEARCH("欠",AF6)))</formula>
    </cfRule>
  </conditionalFormatting>
  <conditionalFormatting sqref="AG6">
    <cfRule type="containsText" dxfId="0" priority="618" operator="between" text="欠">
      <formula>NOT(ISERROR(SEARCH("欠",AG6)))</formula>
    </cfRule>
  </conditionalFormatting>
  <conditionalFormatting sqref="AH6:AI6">
    <cfRule type="containsText" dxfId="0" priority="624" operator="between" text="欠">
      <formula>NOT(ISERROR(SEARCH("欠",AH6)))</formula>
    </cfRule>
  </conditionalFormatting>
  <conditionalFormatting sqref="X7">
    <cfRule type="containsText" dxfId="0" priority="611" operator="between" text="欠">
      <formula>NOT(ISERROR(SEARCH("欠",X7)))</formula>
    </cfRule>
  </conditionalFormatting>
  <conditionalFormatting sqref="Y7">
    <cfRule type="containsText" dxfId="0" priority="605" operator="between" text="欠">
      <formula>NOT(ISERROR(SEARCH("欠",Y7)))</formula>
    </cfRule>
  </conditionalFormatting>
  <conditionalFormatting sqref="Z7">
    <cfRule type="containsText" dxfId="0" priority="610" operator="between" text="欠">
      <formula>NOT(ISERROR(SEARCH("欠",Z7)))</formula>
    </cfRule>
  </conditionalFormatting>
  <conditionalFormatting sqref="AA7:AB7">
    <cfRule type="containsText" dxfId="0" priority="607" operator="between" text="欠">
      <formula>NOT(ISERROR(SEARCH("欠",AA7)))</formula>
    </cfRule>
  </conditionalFormatting>
  <conditionalFormatting sqref="AC7">
    <cfRule type="containsText" dxfId="0" priority="614" operator="between" text="欠">
      <formula>NOT(ISERROR(SEARCH("欠",AC7)))</formula>
    </cfRule>
  </conditionalFormatting>
  <conditionalFormatting sqref="AD7">
    <cfRule type="containsText" dxfId="0" priority="608" operator="between" text="欠">
      <formula>NOT(ISERROR(SEARCH("欠",AD7)))</formula>
    </cfRule>
  </conditionalFormatting>
  <conditionalFormatting sqref="AE7">
    <cfRule type="containsText" dxfId="0" priority="613" operator="between" text="欠">
      <formula>NOT(ISERROR(SEARCH("欠",AE7)))</formula>
    </cfRule>
  </conditionalFormatting>
  <conditionalFormatting sqref="AF7">
    <cfRule type="containsText" dxfId="0" priority="615" operator="between" text="欠">
      <formula>NOT(ISERROR(SEARCH("欠",AF7)))</formula>
    </cfRule>
  </conditionalFormatting>
  <conditionalFormatting sqref="AG7">
    <cfRule type="containsText" dxfId="0" priority="612" operator="between" text="欠">
      <formula>NOT(ISERROR(SEARCH("欠",AG7)))</formula>
    </cfRule>
  </conditionalFormatting>
  <conditionalFormatting sqref="AH7">
    <cfRule type="containsText" dxfId="0" priority="609" operator="between" text="欠">
      <formula>NOT(ISERROR(SEARCH("欠",AH7)))</formula>
    </cfRule>
  </conditionalFormatting>
  <conditionalFormatting sqref="AI7">
    <cfRule type="containsText" dxfId="0" priority="606" operator="between" text="欠">
      <formula>NOT(ISERROR(SEARCH("欠",AI7)))</formula>
    </cfRule>
  </conditionalFormatting>
  <conditionalFormatting sqref="X8">
    <cfRule type="containsText" dxfId="0" priority="578" operator="between" text="欠">
      <formula>NOT(ISERROR(SEARCH("欠",X8)))</formula>
    </cfRule>
  </conditionalFormatting>
  <conditionalFormatting sqref="Y8">
    <cfRule type="containsText" dxfId="0" priority="572" operator="between" text="欠">
      <formula>NOT(ISERROR(SEARCH("欠",Y8)))</formula>
    </cfRule>
  </conditionalFormatting>
  <conditionalFormatting sqref="Z8">
    <cfRule type="containsText" dxfId="0" priority="577" operator="between" text="欠">
      <formula>NOT(ISERROR(SEARCH("欠",Z8)))</formula>
    </cfRule>
  </conditionalFormatting>
  <conditionalFormatting sqref="AA8:AB8">
    <cfRule type="containsText" dxfId="0" priority="574" operator="between" text="欠">
      <formula>NOT(ISERROR(SEARCH("欠",AA8)))</formula>
    </cfRule>
  </conditionalFormatting>
  <conditionalFormatting sqref="AC8">
    <cfRule type="containsText" dxfId="0" priority="581" operator="between" text="欠">
      <formula>NOT(ISERROR(SEARCH("欠",AC8)))</formula>
    </cfRule>
  </conditionalFormatting>
  <conditionalFormatting sqref="AD8">
    <cfRule type="containsText" dxfId="0" priority="575" operator="between" text="欠">
      <formula>NOT(ISERROR(SEARCH("欠",AD8)))</formula>
    </cfRule>
  </conditionalFormatting>
  <conditionalFormatting sqref="AE8">
    <cfRule type="containsText" dxfId="0" priority="580" operator="between" text="欠">
      <formula>NOT(ISERROR(SEARCH("欠",AE8)))</formula>
    </cfRule>
  </conditionalFormatting>
  <conditionalFormatting sqref="AF8">
    <cfRule type="containsText" dxfId="0" priority="582" operator="between" text="欠">
      <formula>NOT(ISERROR(SEARCH("欠",AF8)))</formula>
    </cfRule>
  </conditionalFormatting>
  <conditionalFormatting sqref="AG8">
    <cfRule type="containsText" dxfId="0" priority="579" operator="between" text="欠">
      <formula>NOT(ISERROR(SEARCH("欠",AG8)))</formula>
    </cfRule>
  </conditionalFormatting>
  <conditionalFormatting sqref="AH8">
    <cfRule type="containsText" dxfId="0" priority="576" operator="between" text="欠">
      <formula>NOT(ISERROR(SEARCH("欠",AH8)))</formula>
    </cfRule>
  </conditionalFormatting>
  <conditionalFormatting sqref="AI8">
    <cfRule type="containsText" dxfId="0" priority="573" operator="between" text="欠">
      <formula>NOT(ISERROR(SEARCH("欠",AI8)))</formula>
    </cfRule>
  </conditionalFormatting>
  <conditionalFormatting sqref="X9">
    <cfRule type="containsText" dxfId="0" priority="570" operator="between" text="欠">
      <formula>NOT(ISERROR(SEARCH("欠",X9)))</formula>
    </cfRule>
  </conditionalFormatting>
  <conditionalFormatting sqref="Y9">
    <cfRule type="containsText" dxfId="0" priority="562" operator="between" text="欠">
      <formula>NOT(ISERROR(SEARCH("欠",Y9)))</formula>
    </cfRule>
  </conditionalFormatting>
  <conditionalFormatting sqref="Z9">
    <cfRule type="containsText" dxfId="0" priority="569" operator="between" text="欠">
      <formula>NOT(ISERROR(SEARCH("欠",Z9)))</formula>
    </cfRule>
  </conditionalFormatting>
  <conditionalFormatting sqref="AA9:AB9">
    <cfRule type="containsText" dxfId="0" priority="564" operator="between" text="欠">
      <formula>NOT(ISERROR(SEARCH("欠",AA9)))</formula>
    </cfRule>
  </conditionalFormatting>
  <conditionalFormatting sqref="AC9:AD9">
    <cfRule type="containsText" dxfId="0" priority="563" operator="between" text="欠">
      <formula>NOT(ISERROR(SEARCH("欠",AC9)))</formula>
    </cfRule>
  </conditionalFormatting>
  <conditionalFormatting sqref="AE9">
    <cfRule type="containsText" dxfId="0" priority="567" operator="between" text="欠">
      <formula>NOT(ISERROR(SEARCH("欠",AE9)))</formula>
    </cfRule>
  </conditionalFormatting>
  <conditionalFormatting sqref="AF9">
    <cfRule type="containsText" dxfId="0" priority="568" operator="between" text="欠">
      <formula>NOT(ISERROR(SEARCH("欠",AF9)))</formula>
    </cfRule>
  </conditionalFormatting>
  <conditionalFormatting sqref="AG9">
    <cfRule type="containsText" dxfId="0" priority="566" operator="between" text="欠">
      <formula>NOT(ISERROR(SEARCH("欠",AG9)))</formula>
    </cfRule>
  </conditionalFormatting>
  <conditionalFormatting sqref="AH9:AI9">
    <cfRule type="containsText" dxfId="0" priority="565" operator="between" text="欠">
      <formula>NOT(ISERROR(SEARCH("欠",AH9)))</formula>
    </cfRule>
  </conditionalFormatting>
  <conditionalFormatting sqref="X10">
    <cfRule type="containsText" dxfId="0" priority="535" operator="between" text="欠">
      <formula>NOT(ISERROR(SEARCH("欠",X10)))</formula>
    </cfRule>
  </conditionalFormatting>
  <conditionalFormatting sqref="Y10">
    <cfRule type="containsText" dxfId="0" priority="511" operator="between" text="欠">
      <formula>NOT(ISERROR(SEARCH("欠",Y10)))</formula>
    </cfRule>
  </conditionalFormatting>
  <conditionalFormatting sqref="Z10">
    <cfRule type="containsText" dxfId="0" priority="532" operator="between" text="欠">
      <formula>NOT(ISERROR(SEARCH("欠",Z10)))</formula>
    </cfRule>
  </conditionalFormatting>
  <conditionalFormatting sqref="AA10:AB10">
    <cfRule type="containsText" dxfId="0" priority="517" operator="between" text="欠">
      <formula>NOT(ISERROR(SEARCH("欠",AA10)))</formula>
    </cfRule>
  </conditionalFormatting>
  <conditionalFormatting sqref="AC10:AD10">
    <cfRule type="containsText" dxfId="0" priority="514" operator="between" text="欠">
      <formula>NOT(ISERROR(SEARCH("欠",AC10)))</formula>
    </cfRule>
  </conditionalFormatting>
  <conditionalFormatting sqref="AE10">
    <cfRule type="containsText" dxfId="0" priority="526" operator="between" text="欠">
      <formula>NOT(ISERROR(SEARCH("欠",AE10)))</formula>
    </cfRule>
  </conditionalFormatting>
  <conditionalFormatting sqref="AF10">
    <cfRule type="containsText" dxfId="0" priority="529" operator="between" text="欠">
      <formula>NOT(ISERROR(SEARCH("欠",AF10)))</formula>
    </cfRule>
  </conditionalFormatting>
  <conditionalFormatting sqref="AG10">
    <cfRule type="containsText" dxfId="0" priority="523" operator="between" text="欠">
      <formula>NOT(ISERROR(SEARCH("欠",AG10)))</formula>
    </cfRule>
  </conditionalFormatting>
  <conditionalFormatting sqref="AH10:AI10">
    <cfRule type="containsText" dxfId="0" priority="520" operator="between" text="欠">
      <formula>NOT(ISERROR(SEARCH("欠",AH10)))</formula>
    </cfRule>
  </conditionalFormatting>
  <conditionalFormatting sqref="X11">
    <cfRule type="containsText" dxfId="0" priority="534" operator="between" text="欠">
      <formula>NOT(ISERROR(SEARCH("欠",X11)))</formula>
    </cfRule>
  </conditionalFormatting>
  <conditionalFormatting sqref="Y11">
    <cfRule type="containsText" dxfId="0" priority="510" operator="between" text="欠">
      <formula>NOT(ISERROR(SEARCH("欠",Y11)))</formula>
    </cfRule>
  </conditionalFormatting>
  <conditionalFormatting sqref="Z11">
    <cfRule type="containsText" dxfId="0" priority="531" operator="between" text="欠">
      <formula>NOT(ISERROR(SEARCH("欠",Z11)))</formula>
    </cfRule>
  </conditionalFormatting>
  <conditionalFormatting sqref="AA11:AB11">
    <cfRule type="containsText" dxfId="0" priority="516" operator="between" text="欠">
      <formula>NOT(ISERROR(SEARCH("欠",AA11)))</formula>
    </cfRule>
  </conditionalFormatting>
  <conditionalFormatting sqref="AC11:AD11">
    <cfRule type="containsText" dxfId="0" priority="513" operator="between" text="欠">
      <formula>NOT(ISERROR(SEARCH("欠",AC11)))</formula>
    </cfRule>
  </conditionalFormatting>
  <conditionalFormatting sqref="AE11">
    <cfRule type="containsText" dxfId="0" priority="525" operator="between" text="欠">
      <formula>NOT(ISERROR(SEARCH("欠",AE11)))</formula>
    </cfRule>
  </conditionalFormatting>
  <conditionalFormatting sqref="AF11">
    <cfRule type="containsText" dxfId="0" priority="528" operator="between" text="欠">
      <formula>NOT(ISERROR(SEARCH("欠",AF11)))</formula>
    </cfRule>
  </conditionalFormatting>
  <conditionalFormatting sqref="AG11">
    <cfRule type="containsText" dxfId="0" priority="522" operator="between" text="欠">
      <formula>NOT(ISERROR(SEARCH("欠",AG11)))</formula>
    </cfRule>
  </conditionalFormatting>
  <conditionalFormatting sqref="AH11:AI11">
    <cfRule type="containsText" dxfId="0" priority="519" operator="between" text="欠">
      <formula>NOT(ISERROR(SEARCH("欠",AH11)))</formula>
    </cfRule>
  </conditionalFormatting>
  <conditionalFormatting sqref="X12">
    <cfRule type="containsText" dxfId="0" priority="533" operator="between" text="欠">
      <formula>NOT(ISERROR(SEARCH("欠",X12)))</formula>
    </cfRule>
  </conditionalFormatting>
  <conditionalFormatting sqref="Y12">
    <cfRule type="containsText" dxfId="0" priority="509" operator="between" text="欠">
      <formula>NOT(ISERROR(SEARCH("欠",Y12)))</formula>
    </cfRule>
  </conditionalFormatting>
  <conditionalFormatting sqref="Z12">
    <cfRule type="containsText" dxfId="0" priority="530" operator="between" text="欠">
      <formula>NOT(ISERROR(SEARCH("欠",Z12)))</formula>
    </cfRule>
  </conditionalFormatting>
  <conditionalFormatting sqref="AA12:AB12">
    <cfRule type="containsText" dxfId="0" priority="515" operator="between" text="欠">
      <formula>NOT(ISERROR(SEARCH("欠",AA12)))</formula>
    </cfRule>
  </conditionalFormatting>
  <conditionalFormatting sqref="AC12:AD12">
    <cfRule type="containsText" dxfId="0" priority="512" operator="between" text="欠">
      <formula>NOT(ISERROR(SEARCH("欠",AC12)))</formula>
    </cfRule>
  </conditionalFormatting>
  <conditionalFormatting sqref="AE12">
    <cfRule type="containsText" dxfId="0" priority="524" operator="between" text="欠">
      <formula>NOT(ISERROR(SEARCH("欠",AE12)))</formula>
    </cfRule>
  </conditionalFormatting>
  <conditionalFormatting sqref="AF12">
    <cfRule type="containsText" dxfId="0" priority="527" operator="between" text="欠">
      <formula>NOT(ISERROR(SEARCH("欠",AF12)))</formula>
    </cfRule>
  </conditionalFormatting>
  <conditionalFormatting sqref="AG12">
    <cfRule type="containsText" dxfId="0" priority="521" operator="between" text="欠">
      <formula>NOT(ISERROR(SEARCH("欠",AG12)))</formula>
    </cfRule>
  </conditionalFormatting>
  <conditionalFormatting sqref="AH12:AI12">
    <cfRule type="containsText" dxfId="0" priority="518" operator="between" text="欠">
      <formula>NOT(ISERROR(SEARCH("欠",AH12)))</formula>
    </cfRule>
  </conditionalFormatting>
  <conditionalFormatting sqref="X13">
    <cfRule type="containsText" dxfId="0" priority="501" operator="between" text="欠">
      <formula>NOT(ISERROR(SEARCH("欠",X13)))</formula>
    </cfRule>
  </conditionalFormatting>
  <conditionalFormatting sqref="Y13">
    <cfRule type="containsText" dxfId="0" priority="503" operator="between" text="欠">
      <formula>NOT(ISERROR(SEARCH("欠",Y13)))</formula>
    </cfRule>
  </conditionalFormatting>
  <conditionalFormatting sqref="Z13">
    <cfRule type="containsText" dxfId="0" priority="502" operator="between" text="欠">
      <formula>NOT(ISERROR(SEARCH("欠",Z13)))</formula>
    </cfRule>
  </conditionalFormatting>
  <conditionalFormatting sqref="AA13:AB13">
    <cfRule type="containsText" dxfId="0" priority="500" operator="between" text="欠">
      <formula>NOT(ISERROR(SEARCH("欠",AA13)))</formula>
    </cfRule>
  </conditionalFormatting>
  <conditionalFormatting sqref="AC13:AD13">
    <cfRule type="containsText" dxfId="0" priority="499" operator="between" text="欠">
      <formula>NOT(ISERROR(SEARCH("欠",AC13)))</formula>
    </cfRule>
  </conditionalFormatting>
  <conditionalFormatting sqref="AE13">
    <cfRule type="containsText" dxfId="0" priority="498" operator="between" text="欠">
      <formula>NOT(ISERROR(SEARCH("欠",AE13)))</formula>
    </cfRule>
  </conditionalFormatting>
  <conditionalFormatting sqref="AF13">
    <cfRule type="containsText" dxfId="0" priority="505" operator="between" text="欠">
      <formula>NOT(ISERROR(SEARCH("欠",AF13)))</formula>
    </cfRule>
  </conditionalFormatting>
  <conditionalFormatting sqref="AG13:AH13">
    <cfRule type="containsText" dxfId="0" priority="497" operator="between" text="欠">
      <formula>NOT(ISERROR(SEARCH("欠",AG13)))</formula>
    </cfRule>
  </conditionalFormatting>
  <conditionalFormatting sqref="AI13">
    <cfRule type="containsText" dxfId="0" priority="504" operator="between" text="欠">
      <formula>NOT(ISERROR(SEARCH("欠",AI13)))</formula>
    </cfRule>
  </conditionalFormatting>
  <conditionalFormatting sqref="X14">
    <cfRule type="containsText" dxfId="0" priority="481" operator="between" text="欠">
      <formula>NOT(ISERROR(SEARCH("欠",X14)))</formula>
    </cfRule>
  </conditionalFormatting>
  <conditionalFormatting sqref="Y14">
    <cfRule type="containsText" dxfId="0" priority="483" operator="between" text="欠">
      <formula>NOT(ISERROR(SEARCH("欠",Y14)))</formula>
    </cfRule>
  </conditionalFormatting>
  <conditionalFormatting sqref="Z14">
    <cfRule type="containsText" dxfId="0" priority="482" operator="between" text="欠">
      <formula>NOT(ISERROR(SEARCH("欠",Z14)))</formula>
    </cfRule>
  </conditionalFormatting>
  <conditionalFormatting sqref="AA14:AB14">
    <cfRule type="containsText" dxfId="0" priority="480" operator="between" text="欠">
      <formula>NOT(ISERROR(SEARCH("欠",AA14)))</formula>
    </cfRule>
  </conditionalFormatting>
  <conditionalFormatting sqref="AC14:AD14">
    <cfRule type="containsText" dxfId="0" priority="479" operator="between" text="欠">
      <formula>NOT(ISERROR(SEARCH("欠",AC14)))</formula>
    </cfRule>
  </conditionalFormatting>
  <conditionalFormatting sqref="AE14">
    <cfRule type="containsText" dxfId="0" priority="478" operator="between" text="欠">
      <formula>NOT(ISERROR(SEARCH("欠",AE14)))</formula>
    </cfRule>
  </conditionalFormatting>
  <conditionalFormatting sqref="AF14">
    <cfRule type="containsText" dxfId="0" priority="485" operator="between" text="欠">
      <formula>NOT(ISERROR(SEARCH("欠",AF14)))</formula>
    </cfRule>
  </conditionalFormatting>
  <conditionalFormatting sqref="AG14:AH14">
    <cfRule type="containsText" dxfId="0" priority="477" operator="between" text="欠">
      <formula>NOT(ISERROR(SEARCH("欠",AG14)))</formula>
    </cfRule>
  </conditionalFormatting>
  <conditionalFormatting sqref="AI14">
    <cfRule type="containsText" dxfId="0" priority="484" operator="between" text="欠">
      <formula>NOT(ISERROR(SEARCH("欠",AI14)))</formula>
    </cfRule>
  </conditionalFormatting>
  <conditionalFormatting sqref="AF16">
    <cfRule type="containsText" dxfId="0" priority="460" operator="between" text="欠">
      <formula>NOT(ISERROR(SEARCH("欠",AF16)))</formula>
    </cfRule>
  </conditionalFormatting>
  <conditionalFormatting sqref="AA17:AB17">
    <cfRule type="containsText" dxfId="0" priority="466" operator="between" text="欠">
      <formula>NOT(ISERROR(SEARCH("欠",AA17)))</formula>
    </cfRule>
  </conditionalFormatting>
  <conditionalFormatting sqref="AC17:AD17">
    <cfRule type="containsText" dxfId="0" priority="465" operator="between" text="欠">
      <formula>NOT(ISERROR(SEARCH("欠",AC17)))</formula>
    </cfRule>
  </conditionalFormatting>
  <conditionalFormatting sqref="AE17">
    <cfRule type="containsText" dxfId="0" priority="463" operator="between" text="欠">
      <formula>NOT(ISERROR(SEARCH("欠",AE17)))</formula>
    </cfRule>
  </conditionalFormatting>
  <conditionalFormatting sqref="AF17">
    <cfRule type="containsText" dxfId="0" priority="461" operator="between" text="欠">
      <formula>NOT(ISERROR(SEARCH("欠",AF17)))</formula>
    </cfRule>
  </conditionalFormatting>
  <conditionalFormatting sqref="AG17">
    <cfRule type="containsText" dxfId="0" priority="462" operator="between" text="欠">
      <formula>NOT(ISERROR(SEARCH("欠",AG17)))</formula>
    </cfRule>
  </conditionalFormatting>
  <conditionalFormatting sqref="AH17">
    <cfRule type="containsText" dxfId="0" priority="464" operator="between" text="欠">
      <formula>NOT(ISERROR(SEARCH("欠",AH17)))</formula>
    </cfRule>
  </conditionalFormatting>
  <conditionalFormatting sqref="X18">
    <cfRule type="containsText" dxfId="0" priority="454" operator="between" text="欠">
      <formula>NOT(ISERROR(SEARCH("欠",X18)))</formula>
    </cfRule>
  </conditionalFormatting>
  <conditionalFormatting sqref="Y18">
    <cfRule type="containsText" dxfId="0" priority="453" operator="between" text="欠">
      <formula>NOT(ISERROR(SEARCH("欠",Y18)))</formula>
    </cfRule>
  </conditionalFormatting>
  <conditionalFormatting sqref="Z18">
    <cfRule type="containsText" dxfId="0" priority="456" operator="between" text="欠">
      <formula>NOT(ISERROR(SEARCH("欠",Z18)))</formula>
    </cfRule>
  </conditionalFormatting>
  <conditionalFormatting sqref="AA18:AB18">
    <cfRule type="containsText" dxfId="0" priority="451" operator="between" text="欠">
      <formula>NOT(ISERROR(SEARCH("欠",AA18)))</formula>
    </cfRule>
  </conditionalFormatting>
  <conditionalFormatting sqref="AC18">
    <cfRule type="containsText" dxfId="0" priority="445" operator="between" text="欠">
      <formula>NOT(ISERROR(SEARCH("欠",AC18)))</formula>
    </cfRule>
  </conditionalFormatting>
  <conditionalFormatting sqref="AD18">
    <cfRule type="containsText" dxfId="0" priority="446" operator="between" text="欠">
      <formula>NOT(ISERROR(SEARCH("欠",AD18)))</formula>
    </cfRule>
  </conditionalFormatting>
  <conditionalFormatting sqref="AE18">
    <cfRule type="containsText" dxfId="0" priority="450" operator="between" text="欠">
      <formula>NOT(ISERROR(SEARCH("欠",AE18)))</formula>
    </cfRule>
  </conditionalFormatting>
  <conditionalFormatting sqref="AF18">
    <cfRule type="containsText" dxfId="0" priority="452" operator="between" text="欠">
      <formula>NOT(ISERROR(SEARCH("欠",AF18)))</formula>
    </cfRule>
  </conditionalFormatting>
  <conditionalFormatting sqref="AG18">
    <cfRule type="containsText" dxfId="0" priority="449" operator="between" text="欠">
      <formula>NOT(ISERROR(SEARCH("欠",AG18)))</formula>
    </cfRule>
  </conditionalFormatting>
  <conditionalFormatting sqref="AH18">
    <cfRule type="containsText" dxfId="0" priority="457" operator="between" text="欠">
      <formula>NOT(ISERROR(SEARCH("欠",AH18)))</formula>
    </cfRule>
  </conditionalFormatting>
  <conditionalFormatting sqref="AI18">
    <cfRule type="containsText" dxfId="0" priority="455" operator="between" text="欠">
      <formula>NOT(ISERROR(SEARCH("欠",AI18)))</formula>
    </cfRule>
  </conditionalFormatting>
  <conditionalFormatting sqref="AL18">
    <cfRule type="containsText" dxfId="0" priority="447" operator="between" text="欠">
      <formula>NOT(ISERROR(SEARCH("欠",AL18)))</formula>
    </cfRule>
  </conditionalFormatting>
  <conditionalFormatting sqref="X19:Y19">
    <cfRule type="containsText" dxfId="0" priority="406" operator="between" text="欠">
      <formula>NOT(ISERROR(SEARCH("欠",X19)))</formula>
    </cfRule>
  </conditionalFormatting>
  <conditionalFormatting sqref="Z19">
    <cfRule type="containsText" dxfId="0" priority="414" operator="between" text="欠">
      <formula>NOT(ISERROR(SEARCH("欠",Z19)))</formula>
    </cfRule>
  </conditionalFormatting>
  <conditionalFormatting sqref="AA19:AB19">
    <cfRule type="containsText" dxfId="0" priority="412" operator="between" text="欠">
      <formula>NOT(ISERROR(SEARCH("欠",AA19)))</formula>
    </cfRule>
  </conditionalFormatting>
  <conditionalFormatting sqref="AC19:AD19">
    <cfRule type="containsText" dxfId="0" priority="402" operator="between" text="欠">
      <formula>NOT(ISERROR(SEARCH("欠",AC19)))</formula>
    </cfRule>
  </conditionalFormatting>
  <conditionalFormatting sqref="AE19">
    <cfRule type="containsText" dxfId="0" priority="410" operator="between" text="欠">
      <formula>NOT(ISERROR(SEARCH("欠",AE19)))</formula>
    </cfRule>
  </conditionalFormatting>
  <conditionalFormatting sqref="AF19">
    <cfRule type="containsText" dxfId="0" priority="418" operator="between" text="欠">
      <formula>NOT(ISERROR(SEARCH("欠",AF19)))</formula>
    </cfRule>
  </conditionalFormatting>
  <conditionalFormatting sqref="AG19">
    <cfRule type="containsText" dxfId="0" priority="408" operator="between" text="欠">
      <formula>NOT(ISERROR(SEARCH("欠",AG19)))</formula>
    </cfRule>
  </conditionalFormatting>
  <conditionalFormatting sqref="AH19">
    <cfRule type="containsText" dxfId="0" priority="420" operator="between" text="欠">
      <formula>NOT(ISERROR(SEARCH("欠",AH19)))</formula>
    </cfRule>
  </conditionalFormatting>
  <conditionalFormatting sqref="AI19">
    <cfRule type="containsText" dxfId="0" priority="416" operator="between" text="欠">
      <formula>NOT(ISERROR(SEARCH("欠",AI19)))</formula>
    </cfRule>
  </conditionalFormatting>
  <conditionalFormatting sqref="X20:Y20">
    <cfRule type="containsText" dxfId="0" priority="405" operator="between" text="欠">
      <formula>NOT(ISERROR(SEARCH("欠",X20)))</formula>
    </cfRule>
  </conditionalFormatting>
  <conditionalFormatting sqref="Z20">
    <cfRule type="containsText" dxfId="0" priority="413" operator="between" text="欠">
      <formula>NOT(ISERROR(SEARCH("欠",Z20)))</formula>
    </cfRule>
  </conditionalFormatting>
  <conditionalFormatting sqref="AA20:AB20">
    <cfRule type="containsText" dxfId="0" priority="411" operator="between" text="欠">
      <formula>NOT(ISERROR(SEARCH("欠",AA20)))</formula>
    </cfRule>
  </conditionalFormatting>
  <conditionalFormatting sqref="AC20:AD20">
    <cfRule type="containsText" dxfId="0" priority="401" operator="between" text="欠">
      <formula>NOT(ISERROR(SEARCH("欠",AC20)))</formula>
    </cfRule>
  </conditionalFormatting>
  <conditionalFormatting sqref="AE20">
    <cfRule type="containsText" dxfId="0" priority="409" operator="between" text="欠">
      <formula>NOT(ISERROR(SEARCH("欠",AE20)))</formula>
    </cfRule>
  </conditionalFormatting>
  <conditionalFormatting sqref="AF20">
    <cfRule type="containsText" dxfId="0" priority="417" operator="between" text="欠">
      <formula>NOT(ISERROR(SEARCH("欠",AF20)))</formula>
    </cfRule>
  </conditionalFormatting>
  <conditionalFormatting sqref="AG20">
    <cfRule type="containsText" dxfId="0" priority="407" operator="between" text="欠">
      <formula>NOT(ISERROR(SEARCH("欠",AG20)))</formula>
    </cfRule>
  </conditionalFormatting>
  <conditionalFormatting sqref="AH20">
    <cfRule type="containsText" dxfId="0" priority="419" operator="between" text="欠">
      <formula>NOT(ISERROR(SEARCH("欠",AH20)))</formula>
    </cfRule>
  </conditionalFormatting>
  <conditionalFormatting sqref="AI20">
    <cfRule type="containsText" dxfId="0" priority="415" operator="between" text="欠">
      <formula>NOT(ISERROR(SEARCH("欠",AI20)))</formula>
    </cfRule>
  </conditionalFormatting>
  <conditionalFormatting sqref="B21">
    <cfRule type="containsText" dxfId="1" priority="388" operator="between" text="异常">
      <formula>NOT(ISERROR(SEARCH("异常",B21)))</formula>
    </cfRule>
  </conditionalFormatting>
  <conditionalFormatting sqref="X21">
    <cfRule type="containsText" dxfId="0" priority="393" operator="between" text="欠">
      <formula>NOT(ISERROR(SEARCH("欠",X21)))</formula>
    </cfRule>
  </conditionalFormatting>
  <conditionalFormatting sqref="Y21">
    <cfRule type="containsText" dxfId="0" priority="392" operator="between" text="欠">
      <formula>NOT(ISERROR(SEARCH("欠",Y21)))</formula>
    </cfRule>
  </conditionalFormatting>
  <conditionalFormatting sqref="Z21">
    <cfRule type="containsText" dxfId="0" priority="399" operator="between" text="欠">
      <formula>NOT(ISERROR(SEARCH("欠",Z21)))</formula>
    </cfRule>
  </conditionalFormatting>
  <conditionalFormatting sqref="AA21:AB21">
    <cfRule type="containsText" dxfId="0" priority="394" operator="between" text="欠">
      <formula>NOT(ISERROR(SEARCH("欠",AA21)))</formula>
    </cfRule>
  </conditionalFormatting>
  <conditionalFormatting sqref="AC21:AD21">
    <cfRule type="containsText" dxfId="0" priority="391" operator="between" text="欠">
      <formula>NOT(ISERROR(SEARCH("欠",AC21)))</formula>
    </cfRule>
  </conditionalFormatting>
  <conditionalFormatting sqref="AE21">
    <cfRule type="containsText" dxfId="0" priority="398" operator="between" text="欠">
      <formula>NOT(ISERROR(SEARCH("欠",AE21)))</formula>
    </cfRule>
  </conditionalFormatting>
  <conditionalFormatting sqref="AF21">
    <cfRule type="containsText" dxfId="0" priority="397" operator="between" text="欠">
      <formula>NOT(ISERROR(SEARCH("欠",AF21)))</formula>
    </cfRule>
  </conditionalFormatting>
  <conditionalFormatting sqref="AG21">
    <cfRule type="containsText" dxfId="0" priority="395" operator="between" text="欠">
      <formula>NOT(ISERROR(SEARCH("欠",AG21)))</formula>
    </cfRule>
  </conditionalFormatting>
  <conditionalFormatting sqref="AH21">
    <cfRule type="containsText" dxfId="0" priority="400" operator="between" text="欠">
      <formula>NOT(ISERROR(SEARCH("欠",AH21)))</formula>
    </cfRule>
  </conditionalFormatting>
  <conditionalFormatting sqref="AI21">
    <cfRule type="containsText" dxfId="0" priority="396" operator="between" text="欠">
      <formula>NOT(ISERROR(SEARCH("欠",AI21)))</formula>
    </cfRule>
  </conditionalFormatting>
  <conditionalFormatting sqref="B22">
    <cfRule type="containsText" dxfId="1" priority="374" operator="between" text="异常">
      <formula>NOT(ISERROR(SEARCH("异常",B22)))</formula>
    </cfRule>
  </conditionalFormatting>
  <conditionalFormatting sqref="X22">
    <cfRule type="containsText" dxfId="0" priority="381" operator="between" text="欠">
      <formula>NOT(ISERROR(SEARCH("欠",X22)))</formula>
    </cfRule>
  </conditionalFormatting>
  <conditionalFormatting sqref="Y22">
    <cfRule type="containsText" dxfId="0" priority="383" operator="between" text="欠">
      <formula>NOT(ISERROR(SEARCH("欠",Y22)))</formula>
    </cfRule>
  </conditionalFormatting>
  <conditionalFormatting sqref="Z22">
    <cfRule type="containsText" dxfId="0" priority="386" operator="between" text="欠">
      <formula>NOT(ISERROR(SEARCH("欠",Z22)))</formula>
    </cfRule>
  </conditionalFormatting>
  <conditionalFormatting sqref="AA22:AB22">
    <cfRule type="containsText" dxfId="0" priority="380" operator="between" text="欠">
      <formula>NOT(ISERROR(SEARCH("欠",AA22)))</formula>
    </cfRule>
  </conditionalFormatting>
  <conditionalFormatting sqref="AC22:AD22">
    <cfRule type="containsText" dxfId="0" priority="379" operator="between" text="欠">
      <formula>NOT(ISERROR(SEARCH("欠",AC22)))</formula>
    </cfRule>
  </conditionalFormatting>
  <conditionalFormatting sqref="AE22">
    <cfRule type="containsText" dxfId="0" priority="384" operator="between" text="欠">
      <formula>NOT(ISERROR(SEARCH("欠",AE22)))</formula>
    </cfRule>
  </conditionalFormatting>
  <conditionalFormatting sqref="AF22">
    <cfRule type="containsText" dxfId="0" priority="387" operator="between" text="欠">
      <formula>NOT(ISERROR(SEARCH("欠",AF22)))</formula>
    </cfRule>
  </conditionalFormatting>
  <conditionalFormatting sqref="AG22">
    <cfRule type="containsText" dxfId="0" priority="382" operator="between" text="欠">
      <formula>NOT(ISERROR(SEARCH("欠",AG22)))</formula>
    </cfRule>
  </conditionalFormatting>
  <conditionalFormatting sqref="AH22">
    <cfRule type="containsText" dxfId="0" priority="385" operator="between" text="欠">
      <formula>NOT(ISERROR(SEARCH("欠",AH22)))</formula>
    </cfRule>
  </conditionalFormatting>
  <conditionalFormatting sqref="AI22">
    <cfRule type="containsText" dxfId="0" priority="377" operator="between" text="欠">
      <formula>NOT(ISERROR(SEARCH("欠",AI22)))</formula>
    </cfRule>
  </conditionalFormatting>
  <conditionalFormatting sqref="AL22">
    <cfRule type="containsText" dxfId="0" priority="378" operator="between" text="欠">
      <formula>NOT(ISERROR(SEARCH("欠",AL22)))</formula>
    </cfRule>
  </conditionalFormatting>
  <conditionalFormatting sqref="B23">
    <cfRule type="containsText" dxfId="1" priority="362" operator="between" text="异常">
      <formula>NOT(ISERROR(SEARCH("异常",B23)))</formula>
    </cfRule>
  </conditionalFormatting>
  <conditionalFormatting sqref="X23:Y23">
    <cfRule type="containsText" dxfId="0" priority="369" operator="between" text="欠">
      <formula>NOT(ISERROR(SEARCH("欠",X23)))</formula>
    </cfRule>
  </conditionalFormatting>
  <conditionalFormatting sqref="Z23">
    <cfRule type="containsText" dxfId="0" priority="370" operator="between" text="欠">
      <formula>NOT(ISERROR(SEARCH("欠",Z23)))</formula>
    </cfRule>
  </conditionalFormatting>
  <conditionalFormatting sqref="AA23:AB23">
    <cfRule type="containsText" dxfId="0" priority="368" operator="between" text="欠">
      <formula>NOT(ISERROR(SEARCH("欠",AA23)))</formula>
    </cfRule>
  </conditionalFormatting>
  <conditionalFormatting sqref="AC23:AD23">
    <cfRule type="containsText" dxfId="0" priority="365" operator="between" text="欠">
      <formula>NOT(ISERROR(SEARCH("欠",AC23)))</formula>
    </cfRule>
  </conditionalFormatting>
  <conditionalFormatting sqref="AE23">
    <cfRule type="containsText" dxfId="0" priority="367" operator="between" text="欠">
      <formula>NOT(ISERROR(SEARCH("欠",AE23)))</formula>
    </cfRule>
  </conditionalFormatting>
  <conditionalFormatting sqref="AF23">
    <cfRule type="containsText" dxfId="0" priority="372" operator="between" text="欠">
      <formula>NOT(ISERROR(SEARCH("欠",AF23)))</formula>
    </cfRule>
  </conditionalFormatting>
  <conditionalFormatting sqref="AG23">
    <cfRule type="containsText" dxfId="0" priority="366" operator="between" text="欠">
      <formula>NOT(ISERROR(SEARCH("欠",AG23)))</formula>
    </cfRule>
  </conditionalFormatting>
  <conditionalFormatting sqref="AH23">
    <cfRule type="containsText" dxfId="0" priority="373" operator="between" text="欠">
      <formula>NOT(ISERROR(SEARCH("欠",AH23)))</formula>
    </cfRule>
  </conditionalFormatting>
  <conditionalFormatting sqref="AI23">
    <cfRule type="containsText" dxfId="0" priority="371" operator="between" text="欠">
      <formula>NOT(ISERROR(SEARCH("欠",AI23)))</formula>
    </cfRule>
  </conditionalFormatting>
  <conditionalFormatting sqref="B24">
    <cfRule type="containsText" dxfId="1" priority="347" operator="between" text="异常">
      <formula>NOT(ISERROR(SEARCH("异常",B24)))</formula>
    </cfRule>
  </conditionalFormatting>
  <conditionalFormatting sqref="C24">
    <cfRule type="containsText" dxfId="2" priority="348" operator="between" text="二代">
      <formula>NOT(ISERROR(SEARCH("二代",C24)))</formula>
    </cfRule>
    <cfRule type="containsText" dxfId="3" priority="349" operator="between" text="蛋糕">
      <formula>NOT(ISERROR(SEARCH("蛋糕",C24)))</formula>
    </cfRule>
  </conditionalFormatting>
  <conditionalFormatting sqref="X24">
    <cfRule type="containsText" dxfId="0" priority="356" operator="between" text="欠">
      <formula>NOT(ISERROR(SEARCH("欠",X24)))</formula>
    </cfRule>
  </conditionalFormatting>
  <conditionalFormatting sqref="Y24">
    <cfRule type="containsText" dxfId="0" priority="358" operator="between" text="欠">
      <formula>NOT(ISERROR(SEARCH("欠",Y24)))</formula>
    </cfRule>
  </conditionalFormatting>
  <conditionalFormatting sqref="Z24">
    <cfRule type="containsText" dxfId="0" priority="359" operator="between" text="欠">
      <formula>NOT(ISERROR(SEARCH("欠",Z24)))</formula>
    </cfRule>
  </conditionalFormatting>
  <conditionalFormatting sqref="AA24:AB24">
    <cfRule type="containsText" dxfId="0" priority="355" operator="between" text="欠">
      <formula>NOT(ISERROR(SEARCH("欠",AA24)))</formula>
    </cfRule>
  </conditionalFormatting>
  <conditionalFormatting sqref="AC24">
    <cfRule type="containsText" dxfId="0" priority="354" operator="between" text="欠">
      <formula>NOT(ISERROR(SEARCH("欠",AC24)))</formula>
    </cfRule>
  </conditionalFormatting>
  <conditionalFormatting sqref="AD24">
    <cfRule type="containsText" dxfId="0" priority="361" operator="between" text="欠">
      <formula>NOT(ISERROR(SEARCH("欠",AD24)))</formula>
    </cfRule>
  </conditionalFormatting>
  <conditionalFormatting sqref="AE24">
    <cfRule type="containsText" dxfId="0" priority="357" operator="between" text="欠">
      <formula>NOT(ISERROR(SEARCH("欠",AE24)))</formula>
    </cfRule>
  </conditionalFormatting>
  <conditionalFormatting sqref="AF24">
    <cfRule type="containsText" dxfId="0" priority="360" operator="between" text="欠">
      <formula>NOT(ISERROR(SEARCH("欠",AF24)))</formula>
    </cfRule>
  </conditionalFormatting>
  <conditionalFormatting sqref="AG24">
    <cfRule type="containsText" dxfId="0" priority="352" operator="between" text="欠">
      <formula>NOT(ISERROR(SEARCH("欠",AG24)))</formula>
    </cfRule>
  </conditionalFormatting>
  <conditionalFormatting sqref="AH24">
    <cfRule type="containsText" dxfId="0" priority="353" operator="between" text="欠">
      <formula>NOT(ISERROR(SEARCH("欠",AH24)))</formula>
    </cfRule>
  </conditionalFormatting>
  <conditionalFormatting sqref="AI24">
    <cfRule type="containsText" dxfId="0" priority="350" operator="between" text="欠">
      <formula>NOT(ISERROR(SEARCH("欠",AI24)))</formula>
    </cfRule>
  </conditionalFormatting>
  <conditionalFormatting sqref="AK24">
    <cfRule type="containsText" dxfId="0" priority="351" operator="between" text="欠">
      <formula>NOT(ISERROR(SEARCH("欠",AK24)))</formula>
    </cfRule>
  </conditionalFormatting>
  <conditionalFormatting sqref="AL24">
    <cfRule type="containsText" dxfId="0" priority="346" operator="between" text="欠">
      <formula>NOT(ISERROR(SEARCH("欠",AL24)))</formula>
    </cfRule>
  </conditionalFormatting>
  <conditionalFormatting sqref="B27">
    <cfRule type="containsText" dxfId="1" priority="326" operator="between" text="异常">
      <formula>NOT(ISERROR(SEARCH("异常",B27)))</formula>
    </cfRule>
  </conditionalFormatting>
  <conditionalFormatting sqref="C27">
    <cfRule type="containsText" dxfId="2" priority="324" operator="between" text="二代">
      <formula>NOT(ISERROR(SEARCH("二代",C27)))</formula>
    </cfRule>
    <cfRule type="containsText" dxfId="3" priority="325" operator="between" text="蛋糕">
      <formula>NOT(ISERROR(SEARCH("蛋糕",C27)))</formula>
    </cfRule>
  </conditionalFormatting>
  <conditionalFormatting sqref="X27:Y27">
    <cfRule type="containsText" dxfId="0" priority="330" operator="between" text="欠">
      <formula>NOT(ISERROR(SEARCH("欠",X27)))</formula>
    </cfRule>
  </conditionalFormatting>
  <conditionalFormatting sqref="Z27:AB27">
    <cfRule type="containsText" dxfId="0" priority="327" operator="between" text="欠">
      <formula>NOT(ISERROR(SEARCH("欠",Z27)))</formula>
    </cfRule>
  </conditionalFormatting>
  <conditionalFormatting sqref="AC27:AD27">
    <cfRule type="containsText" dxfId="0" priority="329" operator="between" text="欠">
      <formula>NOT(ISERROR(SEARCH("欠",AC27)))</formula>
    </cfRule>
  </conditionalFormatting>
  <conditionalFormatting sqref="AE27:AI27">
    <cfRule type="containsText" dxfId="0" priority="328" operator="between" text="欠">
      <formula>NOT(ISERROR(SEARCH("欠",AE27)))</formula>
    </cfRule>
  </conditionalFormatting>
  <conditionalFormatting sqref="Y28">
    <cfRule type="containsText" dxfId="0" priority="313" operator="between" text="欠">
      <formula>NOT(ISERROR(SEARCH("欠",Y28)))</formula>
    </cfRule>
  </conditionalFormatting>
  <conditionalFormatting sqref="AA28:AB28">
    <cfRule type="containsText" dxfId="0" priority="322" operator="between" text="欠">
      <formula>NOT(ISERROR(SEARCH("欠",AA28)))</formula>
    </cfRule>
  </conditionalFormatting>
  <conditionalFormatting sqref="AH28:AJ28">
    <cfRule type="containsText" dxfId="0" priority="318" operator="between" text="欠">
      <formula>NOT(ISERROR(SEARCH("欠",AH28)))</formula>
    </cfRule>
  </conditionalFormatting>
  <conditionalFormatting sqref="Y29">
    <cfRule type="containsText" dxfId="0" priority="315" operator="between" text="欠">
      <formula>NOT(ISERROR(SEARCH("欠",Y29)))</formula>
    </cfRule>
  </conditionalFormatting>
  <conditionalFormatting sqref="AA29:AB29">
    <cfRule type="containsText" dxfId="0" priority="321" operator="between" text="欠">
      <formula>NOT(ISERROR(SEARCH("欠",AA29)))</formula>
    </cfRule>
  </conditionalFormatting>
  <conditionalFormatting sqref="AH29:AJ29">
    <cfRule type="containsText" dxfId="0" priority="317" operator="between" text="欠">
      <formula>NOT(ISERROR(SEARCH("欠",AH29)))</formula>
    </cfRule>
  </conditionalFormatting>
  <conditionalFormatting sqref="Y30">
    <cfRule type="containsText" dxfId="0" priority="314" operator="between" text="欠">
      <formula>NOT(ISERROR(SEARCH("欠",Y30)))</formula>
    </cfRule>
  </conditionalFormatting>
  <conditionalFormatting sqref="AA30:AB30">
    <cfRule type="containsText" dxfId="0" priority="320" operator="between" text="欠">
      <formula>NOT(ISERROR(SEARCH("欠",AA30)))</formula>
    </cfRule>
  </conditionalFormatting>
  <conditionalFormatting sqref="AH30:AJ30">
    <cfRule type="containsText" dxfId="0" priority="316" operator="between" text="欠">
      <formula>NOT(ISERROR(SEARCH("欠",AH30)))</formula>
    </cfRule>
  </conditionalFormatting>
  <conditionalFormatting sqref="B31">
    <cfRule type="containsText" dxfId="1" priority="299" operator="between" text="异常">
      <formula>NOT(ISERROR(SEARCH("异常",B31)))</formula>
    </cfRule>
  </conditionalFormatting>
  <conditionalFormatting sqref="C31">
    <cfRule type="containsText" dxfId="2" priority="297" operator="between" text="二代">
      <formula>NOT(ISERROR(SEARCH("二代",C31)))</formula>
    </cfRule>
    <cfRule type="containsText" dxfId="3" priority="298" operator="between" text="蛋糕">
      <formula>NOT(ISERROR(SEARCH("蛋糕",C31)))</formula>
    </cfRule>
  </conditionalFormatting>
  <conditionalFormatting sqref="X31">
    <cfRule type="containsText" dxfId="0" priority="306" operator="between" text="欠">
      <formula>NOT(ISERROR(SEARCH("欠",X31)))</formula>
    </cfRule>
  </conditionalFormatting>
  <conditionalFormatting sqref="Y31">
    <cfRule type="containsText" dxfId="0" priority="302" operator="between" text="欠">
      <formula>NOT(ISERROR(SEARCH("欠",Y31)))</formula>
    </cfRule>
  </conditionalFormatting>
  <conditionalFormatting sqref="Z31">
    <cfRule type="containsText" dxfId="0" priority="307" operator="between" text="欠">
      <formula>NOT(ISERROR(SEARCH("欠",Z31)))</formula>
    </cfRule>
  </conditionalFormatting>
  <conditionalFormatting sqref="AA31">
    <cfRule type="containsText" dxfId="0" priority="308" operator="between" text="欠">
      <formula>NOT(ISERROR(SEARCH("欠",AA31)))</formula>
    </cfRule>
  </conditionalFormatting>
  <conditionalFormatting sqref="AB31">
    <cfRule type="containsText" dxfId="0" priority="305" operator="between" text="欠">
      <formula>NOT(ISERROR(SEARCH("欠",AB31)))</formula>
    </cfRule>
  </conditionalFormatting>
  <conditionalFormatting sqref="AC31:AD31">
    <cfRule type="containsText" dxfId="0" priority="304" operator="between" text="欠">
      <formula>NOT(ISERROR(SEARCH("欠",AC31)))</formula>
    </cfRule>
  </conditionalFormatting>
  <conditionalFormatting sqref="AF31">
    <cfRule type="containsText" dxfId="0" priority="301" operator="between" text="欠">
      <formula>NOT(ISERROR(SEARCH("欠",AF31)))</formula>
    </cfRule>
  </conditionalFormatting>
  <conditionalFormatting sqref="AH31">
    <cfRule type="containsText" dxfId="0" priority="303" operator="between" text="欠">
      <formula>NOT(ISERROR(SEARCH("欠",AH31)))</formula>
    </cfRule>
  </conditionalFormatting>
  <conditionalFormatting sqref="AI31">
    <cfRule type="containsText" dxfId="0" priority="300" operator="between" text="欠">
      <formula>NOT(ISERROR(SEARCH("欠",AI31)))</formula>
    </cfRule>
  </conditionalFormatting>
  <conditionalFormatting sqref="AC32:AD32">
    <cfRule type="containsText" dxfId="0" priority="280" operator="between" text="欠">
      <formula>NOT(ISERROR(SEARCH("欠",AC32)))</formula>
    </cfRule>
  </conditionalFormatting>
  <conditionalFormatting sqref="AH32:AI32">
    <cfRule type="containsText" dxfId="0" priority="279" operator="between" text="欠">
      <formula>NOT(ISERROR(SEARCH("欠",AH32)))</formula>
    </cfRule>
  </conditionalFormatting>
  <conditionalFormatting sqref="AC33:AD33">
    <cfRule type="containsText" dxfId="0" priority="282" operator="between" text="欠">
      <formula>NOT(ISERROR(SEARCH("欠",AC33)))</formula>
    </cfRule>
  </conditionalFormatting>
  <conditionalFormatting sqref="AH33:AI33">
    <cfRule type="containsText" dxfId="0" priority="281" operator="between" text="欠">
      <formula>NOT(ISERROR(SEARCH("欠",AH33)))</formula>
    </cfRule>
  </conditionalFormatting>
  <conditionalFormatting sqref="X34:Y34">
    <cfRule type="containsText" dxfId="0" priority="292" operator="between" text="欠">
      <formula>NOT(ISERROR(SEARCH("欠",X34)))</formula>
    </cfRule>
  </conditionalFormatting>
  <conditionalFormatting sqref="AB34">
    <cfRule type="containsText" dxfId="0" priority="291" operator="between" text="欠">
      <formula>NOT(ISERROR(SEARCH("欠",AB34)))</formula>
    </cfRule>
  </conditionalFormatting>
  <conditionalFormatting sqref="AC34:AD34">
    <cfRule type="containsText" dxfId="0" priority="290" operator="between" text="欠">
      <formula>NOT(ISERROR(SEARCH("欠",AC34)))</formula>
    </cfRule>
  </conditionalFormatting>
  <conditionalFormatting sqref="AE34:AI34">
    <cfRule type="containsText" dxfId="0" priority="289" operator="between" text="欠">
      <formula>NOT(ISERROR(SEARCH("欠",AE34)))</formula>
    </cfRule>
  </conditionalFormatting>
  <conditionalFormatting sqref="X35:Y35">
    <cfRule type="containsText" dxfId="0" priority="296" operator="between" text="欠">
      <formula>NOT(ISERROR(SEARCH("欠",X35)))</formula>
    </cfRule>
  </conditionalFormatting>
  <conditionalFormatting sqref="AB35">
    <cfRule type="containsText" dxfId="0" priority="295" operator="between" text="欠">
      <formula>NOT(ISERROR(SEARCH("欠",AB35)))</formula>
    </cfRule>
  </conditionalFormatting>
  <conditionalFormatting sqref="AC35:AD35">
    <cfRule type="containsText" dxfId="0" priority="294" operator="between" text="欠">
      <formula>NOT(ISERROR(SEARCH("欠",AC35)))</formula>
    </cfRule>
  </conditionalFormatting>
  <conditionalFormatting sqref="AE35:AI35">
    <cfRule type="containsText" dxfId="0" priority="293" operator="between" text="欠">
      <formula>NOT(ISERROR(SEARCH("欠",AE35)))</formula>
    </cfRule>
  </conditionalFormatting>
  <conditionalFormatting sqref="X36:Y36">
    <cfRule type="containsText" dxfId="0" priority="288" operator="between" text="欠">
      <formula>NOT(ISERROR(SEARCH("欠",X36)))</formula>
    </cfRule>
  </conditionalFormatting>
  <conditionalFormatting sqref="AB36">
    <cfRule type="containsText" dxfId="0" priority="287" operator="between" text="欠">
      <formula>NOT(ISERROR(SEARCH("欠",AB36)))</formula>
    </cfRule>
  </conditionalFormatting>
  <conditionalFormatting sqref="AC36:AD36">
    <cfRule type="containsText" dxfId="0" priority="286" operator="between" text="欠">
      <formula>NOT(ISERROR(SEARCH("欠",AC36)))</formula>
    </cfRule>
  </conditionalFormatting>
  <conditionalFormatting sqref="AE36">
    <cfRule type="containsText" dxfId="0" priority="284" operator="between" text="欠">
      <formula>NOT(ISERROR(SEARCH("欠",AE36)))</formula>
    </cfRule>
  </conditionalFormatting>
  <conditionalFormatting sqref="AF36:AI36">
    <cfRule type="containsText" dxfId="0" priority="285" operator="between" text="欠">
      <formula>NOT(ISERROR(SEARCH("欠",AF36)))</formula>
    </cfRule>
  </conditionalFormatting>
  <conditionalFormatting sqref="B37">
    <cfRule type="containsText" dxfId="1" priority="259" operator="between" text="异常">
      <formula>NOT(ISERROR(SEARCH("异常",B37)))</formula>
    </cfRule>
  </conditionalFormatting>
  <conditionalFormatting sqref="C37">
    <cfRule type="containsText" dxfId="2" priority="257" operator="between" text="二代">
      <formula>NOT(ISERROR(SEARCH("二代",C37)))</formula>
    </cfRule>
    <cfRule type="containsText" dxfId="3" priority="258" operator="between" text="蛋糕">
      <formula>NOT(ISERROR(SEARCH("蛋糕",C37)))</formula>
    </cfRule>
  </conditionalFormatting>
  <conditionalFormatting sqref="X37">
    <cfRule type="containsText" dxfId="0" priority="261" operator="between" text="欠">
      <formula>NOT(ISERROR(SEARCH("欠",X37)))</formula>
    </cfRule>
  </conditionalFormatting>
  <conditionalFormatting sqref="Y37">
    <cfRule type="containsText" dxfId="0" priority="265" operator="between" text="欠">
      <formula>NOT(ISERROR(SEARCH("欠",Y37)))</formula>
    </cfRule>
  </conditionalFormatting>
  <conditionalFormatting sqref="Z37">
    <cfRule type="containsText" dxfId="0" priority="269" operator="between" text="欠">
      <formula>NOT(ISERROR(SEARCH("欠",Z37)))</formula>
    </cfRule>
  </conditionalFormatting>
  <conditionalFormatting sqref="AA37">
    <cfRule type="containsText" dxfId="0" priority="270" operator="between" text="欠">
      <formula>NOT(ISERROR(SEARCH("欠",AA37)))</formula>
    </cfRule>
  </conditionalFormatting>
  <conditionalFormatting sqref="AB37">
    <cfRule type="containsText" dxfId="0" priority="267" operator="between" text="欠">
      <formula>NOT(ISERROR(SEARCH("欠",AB37)))</formula>
    </cfRule>
  </conditionalFormatting>
  <conditionalFormatting sqref="AC37:AD37">
    <cfRule type="containsText" dxfId="0" priority="266" operator="between" text="欠">
      <formula>NOT(ISERROR(SEARCH("欠",AC37)))</formula>
    </cfRule>
  </conditionalFormatting>
  <conditionalFormatting sqref="AE37">
    <cfRule type="containsText" dxfId="0" priority="263" operator="between" text="欠">
      <formula>NOT(ISERROR(SEARCH("欠",AE37)))</formula>
    </cfRule>
  </conditionalFormatting>
  <conditionalFormatting sqref="AF37">
    <cfRule type="containsText" dxfId="0" priority="268" operator="between" text="欠">
      <formula>NOT(ISERROR(SEARCH("欠",AF37)))</formula>
    </cfRule>
  </conditionalFormatting>
  <conditionalFormatting sqref="AG37">
    <cfRule type="containsText" dxfId="0" priority="262" operator="between" text="欠">
      <formula>NOT(ISERROR(SEARCH("欠",AG37)))</formula>
    </cfRule>
  </conditionalFormatting>
  <conditionalFormatting sqref="AH37">
    <cfRule type="containsText" dxfId="0" priority="264" operator="between" text="欠">
      <formula>NOT(ISERROR(SEARCH("欠",AH37)))</formula>
    </cfRule>
  </conditionalFormatting>
  <conditionalFormatting sqref="AI37">
    <cfRule type="containsText" dxfId="0" priority="271" operator="between" text="欠">
      <formula>NOT(ISERROR(SEARCH("欠",AI37)))</formula>
    </cfRule>
  </conditionalFormatting>
  <conditionalFormatting sqref="AL37">
    <cfRule type="containsText" dxfId="0" priority="260" operator="between" text="欠">
      <formula>NOT(ISERROR(SEARCH("欠",AL37)))</formula>
    </cfRule>
  </conditionalFormatting>
  <conditionalFormatting sqref="B38">
    <cfRule type="containsText" dxfId="1" priority="244" operator="between" text="异常">
      <formula>NOT(ISERROR(SEARCH("异常",B38)))</formula>
    </cfRule>
  </conditionalFormatting>
  <conditionalFormatting sqref="C38">
    <cfRule type="containsText" dxfId="2" priority="242" operator="between" text="二代">
      <formula>NOT(ISERROR(SEARCH("二代",C38)))</formula>
    </cfRule>
    <cfRule type="containsText" dxfId="3" priority="243" operator="between" text="蛋糕">
      <formula>NOT(ISERROR(SEARCH("蛋糕",C38)))</formula>
    </cfRule>
  </conditionalFormatting>
  <conditionalFormatting sqref="X38">
    <cfRule type="containsText" dxfId="0" priority="253" operator="between" text="欠">
      <formula>NOT(ISERROR(SEARCH("欠",X38)))</formula>
    </cfRule>
  </conditionalFormatting>
  <conditionalFormatting sqref="Y38">
    <cfRule type="containsText" dxfId="0" priority="250" operator="between" text="欠">
      <formula>NOT(ISERROR(SEARCH("欠",Y38)))</formula>
    </cfRule>
  </conditionalFormatting>
  <conditionalFormatting sqref="Z38">
    <cfRule type="containsText" dxfId="0" priority="255" operator="between" text="欠">
      <formula>NOT(ISERROR(SEARCH("欠",Z38)))</formula>
    </cfRule>
  </conditionalFormatting>
  <conditionalFormatting sqref="AA38">
    <cfRule type="containsText" dxfId="0" priority="256" operator="between" text="欠">
      <formula>NOT(ISERROR(SEARCH("欠",AA38)))</formula>
    </cfRule>
  </conditionalFormatting>
  <conditionalFormatting sqref="AB38">
    <cfRule type="containsText" dxfId="0" priority="247" operator="between" text="欠">
      <formula>NOT(ISERROR(SEARCH("欠",AB38)))</formula>
    </cfRule>
  </conditionalFormatting>
  <conditionalFormatting sqref="AC38:AD38">
    <cfRule type="containsText" dxfId="0" priority="252" operator="between" text="欠">
      <formula>NOT(ISERROR(SEARCH("欠",AC38)))</formula>
    </cfRule>
  </conditionalFormatting>
  <conditionalFormatting sqref="AE38">
    <cfRule type="containsText" dxfId="0" priority="248" operator="between" text="欠">
      <formula>NOT(ISERROR(SEARCH("欠",AE38)))</formula>
    </cfRule>
  </conditionalFormatting>
  <conditionalFormatting sqref="AF38">
    <cfRule type="containsText" dxfId="0" priority="245" operator="between" text="欠">
      <formula>NOT(ISERROR(SEARCH("欠",AF38)))</formula>
    </cfRule>
  </conditionalFormatting>
  <conditionalFormatting sqref="AG38">
    <cfRule type="containsText" dxfId="0" priority="249" operator="between" text="欠">
      <formula>NOT(ISERROR(SEARCH("欠",AG38)))</formula>
    </cfRule>
  </conditionalFormatting>
  <conditionalFormatting sqref="AH38">
    <cfRule type="containsText" dxfId="0" priority="251" operator="between" text="欠">
      <formula>NOT(ISERROR(SEARCH("欠",AH38)))</formula>
    </cfRule>
  </conditionalFormatting>
  <conditionalFormatting sqref="AI38">
    <cfRule type="containsText" dxfId="0" priority="254" operator="between" text="欠">
      <formula>NOT(ISERROR(SEARCH("欠",AI38)))</formula>
    </cfRule>
  </conditionalFormatting>
  <conditionalFormatting sqref="AL38">
    <cfRule type="containsText" dxfId="0" priority="246" operator="between" text="欠">
      <formula>NOT(ISERROR(SEARCH("欠",AL38)))</formula>
    </cfRule>
  </conditionalFormatting>
  <conditionalFormatting sqref="B39">
    <cfRule type="containsText" dxfId="1" priority="207" operator="between" text="异常">
      <formula>NOT(ISERROR(SEARCH("异常",B39)))</formula>
    </cfRule>
  </conditionalFormatting>
  <conditionalFormatting sqref="C39">
    <cfRule type="containsText" dxfId="2" priority="208" operator="between" text="二代">
      <formula>NOT(ISERROR(SEARCH("二代",C39)))</formula>
    </cfRule>
    <cfRule type="containsText" dxfId="3" priority="209" operator="between" text="蛋糕">
      <formula>NOT(ISERROR(SEARCH("蛋糕",C39)))</formula>
    </cfRule>
  </conditionalFormatting>
  <conditionalFormatting sqref="X39:Y39">
    <cfRule type="containsText" dxfId="0" priority="212" operator="between" text="欠">
      <formula>NOT(ISERROR(SEARCH("欠",X39)))</formula>
    </cfRule>
  </conditionalFormatting>
  <conditionalFormatting sqref="Z39">
    <cfRule type="containsText" dxfId="0" priority="215" operator="between" text="欠">
      <formula>NOT(ISERROR(SEARCH("欠",Z39)))</formula>
    </cfRule>
  </conditionalFormatting>
  <conditionalFormatting sqref="AA39:AB39">
    <cfRule type="containsText" dxfId="0" priority="211" operator="between" text="欠">
      <formula>NOT(ISERROR(SEARCH("欠",AA39)))</formula>
    </cfRule>
  </conditionalFormatting>
  <conditionalFormatting sqref="AC39:AD39">
    <cfRule type="containsText" dxfId="0" priority="210" operator="between" text="欠">
      <formula>NOT(ISERROR(SEARCH("欠",AC39)))</formula>
    </cfRule>
  </conditionalFormatting>
  <conditionalFormatting sqref="AE39">
    <cfRule type="containsText" dxfId="0" priority="214" operator="between" text="欠">
      <formula>NOT(ISERROR(SEARCH("欠",AE39)))</formula>
    </cfRule>
  </conditionalFormatting>
  <conditionalFormatting sqref="AF39">
    <cfRule type="containsText" dxfId="0" priority="217" operator="between" text="欠">
      <formula>NOT(ISERROR(SEARCH("欠",AF39)))</formula>
    </cfRule>
  </conditionalFormatting>
  <conditionalFormatting sqref="AG39">
    <cfRule type="containsText" dxfId="0" priority="213" operator="between" text="欠">
      <formula>NOT(ISERROR(SEARCH("欠",AG39)))</formula>
    </cfRule>
  </conditionalFormatting>
  <conditionalFormatting sqref="AH39">
    <cfRule type="containsText" dxfId="0" priority="218" operator="between" text="欠">
      <formula>NOT(ISERROR(SEARCH("欠",AH39)))</formula>
    </cfRule>
  </conditionalFormatting>
  <conditionalFormatting sqref="AI39">
    <cfRule type="containsText" dxfId="0" priority="216" operator="between" text="欠">
      <formula>NOT(ISERROR(SEARCH("欠",AI39)))</formula>
    </cfRule>
  </conditionalFormatting>
  <conditionalFormatting sqref="B40">
    <cfRule type="containsText" dxfId="1" priority="198" operator="between" text="异常">
      <formula>NOT(ISERROR(SEARCH("异常",B40)))</formula>
    </cfRule>
  </conditionalFormatting>
  <conditionalFormatting sqref="C40">
    <cfRule type="containsText" dxfId="2" priority="199" operator="between" text="二代">
      <formula>NOT(ISERROR(SEARCH("二代",C40)))</formula>
    </cfRule>
    <cfRule type="containsText" dxfId="3" priority="200" operator="between" text="蛋糕">
      <formula>NOT(ISERROR(SEARCH("蛋糕",C40)))</formula>
    </cfRule>
  </conditionalFormatting>
  <conditionalFormatting sqref="X40">
    <cfRule type="containsText" dxfId="0" priority="197" operator="between" text="欠">
      <formula>NOT(ISERROR(SEARCH("欠",X40)))</formula>
    </cfRule>
  </conditionalFormatting>
  <conditionalFormatting sqref="Y40">
    <cfRule type="containsText" dxfId="0" priority="196" operator="between" text="欠">
      <formula>NOT(ISERROR(SEARCH("欠",Y40)))</formula>
    </cfRule>
  </conditionalFormatting>
  <conditionalFormatting sqref="Z40">
    <cfRule type="containsText" dxfId="0" priority="203" operator="between" text="欠">
      <formula>NOT(ISERROR(SEARCH("欠",Z40)))</formula>
    </cfRule>
  </conditionalFormatting>
  <conditionalFormatting sqref="AA40:AB40">
    <cfRule type="containsText" dxfId="0" priority="202" operator="between" text="欠">
      <formula>NOT(ISERROR(SEARCH("欠",AA40)))</formula>
    </cfRule>
  </conditionalFormatting>
  <conditionalFormatting sqref="AC40:AD40">
    <cfRule type="containsText" dxfId="0" priority="201" operator="between" text="欠">
      <formula>NOT(ISERROR(SEARCH("欠",AC40)))</formula>
    </cfRule>
  </conditionalFormatting>
  <conditionalFormatting sqref="AF40">
    <cfRule type="containsText" dxfId="0" priority="205" operator="between" text="欠">
      <formula>NOT(ISERROR(SEARCH("欠",AF40)))</formula>
    </cfRule>
  </conditionalFormatting>
  <conditionalFormatting sqref="AH40">
    <cfRule type="containsText" dxfId="0" priority="206" operator="between" text="欠">
      <formula>NOT(ISERROR(SEARCH("欠",AH40)))</formula>
    </cfRule>
  </conditionalFormatting>
  <conditionalFormatting sqref="AI40">
    <cfRule type="containsText" dxfId="0" priority="204" operator="between" text="欠">
      <formula>NOT(ISERROR(SEARCH("欠",AI40)))</formula>
    </cfRule>
  </conditionalFormatting>
  <conditionalFormatting sqref="B41">
    <cfRule type="containsText" dxfId="1" priority="186" operator="between" text="异常">
      <formula>NOT(ISERROR(SEARCH("异常",B41)))</formula>
    </cfRule>
  </conditionalFormatting>
  <conditionalFormatting sqref="C41">
    <cfRule type="containsText" dxfId="2" priority="187" operator="between" text="二代">
      <formula>NOT(ISERROR(SEARCH("二代",C41)))</formula>
    </cfRule>
    <cfRule type="containsText" dxfId="3" priority="188" operator="between" text="蛋糕">
      <formula>NOT(ISERROR(SEARCH("蛋糕",C41)))</formula>
    </cfRule>
  </conditionalFormatting>
  <conditionalFormatting sqref="Y41">
    <cfRule type="containsText" dxfId="0" priority="190" operator="between" text="欠">
      <formula>NOT(ISERROR(SEARCH("欠",Y41)))</formula>
    </cfRule>
  </conditionalFormatting>
  <conditionalFormatting sqref="Z41">
    <cfRule type="containsText" dxfId="0" priority="194" operator="between" text="欠">
      <formula>NOT(ISERROR(SEARCH("欠",Z41)))</formula>
    </cfRule>
  </conditionalFormatting>
  <conditionalFormatting sqref="AA41">
    <cfRule type="containsText" dxfId="0" priority="191" operator="between" text="欠">
      <formula>NOT(ISERROR(SEARCH("欠",AA41)))</formula>
    </cfRule>
  </conditionalFormatting>
  <conditionalFormatting sqref="AB41">
    <cfRule type="containsText" dxfId="0" priority="185" operator="between" text="欠">
      <formula>NOT(ISERROR(SEARCH("欠",AB41)))</formula>
    </cfRule>
  </conditionalFormatting>
  <conditionalFormatting sqref="AC41:AD41">
    <cfRule type="containsText" dxfId="0" priority="192" operator="between" text="欠">
      <formula>NOT(ISERROR(SEARCH("欠",AC41)))</formula>
    </cfRule>
  </conditionalFormatting>
  <conditionalFormatting sqref="AF41">
    <cfRule type="containsText" dxfId="0" priority="193" operator="between" text="欠">
      <formula>NOT(ISERROR(SEARCH("欠",AF41)))</formula>
    </cfRule>
  </conditionalFormatting>
  <conditionalFormatting sqref="AH41">
    <cfRule type="containsText" dxfId="0" priority="195" operator="between" text="欠">
      <formula>NOT(ISERROR(SEARCH("欠",AH41)))</formula>
    </cfRule>
  </conditionalFormatting>
  <conditionalFormatting sqref="AI41">
    <cfRule type="containsText" dxfId="0" priority="189" operator="between" text="欠">
      <formula>NOT(ISERROR(SEARCH("欠",AI41)))</formula>
    </cfRule>
  </conditionalFormatting>
  <conditionalFormatting sqref="Z42">
    <cfRule type="containsText" dxfId="0" priority="171" operator="between" text="欠">
      <formula>NOT(ISERROR(SEARCH("欠",Z42)))</formula>
    </cfRule>
  </conditionalFormatting>
  <conditionalFormatting sqref="AA42">
    <cfRule type="containsText" dxfId="0" priority="172" operator="between" text="欠">
      <formula>NOT(ISERROR(SEARCH("欠",AA42)))</formula>
    </cfRule>
  </conditionalFormatting>
  <conditionalFormatting sqref="AB42">
    <cfRule type="containsText" dxfId="0" priority="170" operator="between" text="欠">
      <formula>NOT(ISERROR(SEARCH("欠",AB42)))</formula>
    </cfRule>
  </conditionalFormatting>
  <conditionalFormatting sqref="Z43">
    <cfRule type="containsText" dxfId="0" priority="177" operator="between" text="欠">
      <formula>NOT(ISERROR(SEARCH("欠",Z43)))</formula>
    </cfRule>
  </conditionalFormatting>
  <conditionalFormatting sqref="AA43">
    <cfRule type="containsText" dxfId="0" priority="184" operator="between" text="欠">
      <formula>NOT(ISERROR(SEARCH("欠",AA43)))</formula>
    </cfRule>
  </conditionalFormatting>
  <conditionalFormatting sqref="AB43">
    <cfRule type="containsText" dxfId="0" priority="183" operator="between" text="欠">
      <formula>NOT(ISERROR(SEARCH("欠",AB43)))</formula>
    </cfRule>
  </conditionalFormatting>
  <conditionalFormatting sqref="B44">
    <cfRule type="containsText" dxfId="1" priority="163" operator="between" text="异常">
      <formula>NOT(ISERROR(SEARCH("异常",B44)))</formula>
    </cfRule>
  </conditionalFormatting>
  <conditionalFormatting sqref="C44">
    <cfRule type="containsText" dxfId="2" priority="161" operator="between" text="二代">
      <formula>NOT(ISERROR(SEARCH("二代",C44)))</formula>
    </cfRule>
    <cfRule type="containsText" dxfId="3" priority="162" operator="between" text="蛋糕">
      <formula>NOT(ISERROR(SEARCH("蛋糕",C44)))</formula>
    </cfRule>
  </conditionalFormatting>
  <conditionalFormatting sqref="Y44">
    <cfRule type="containsText" dxfId="0" priority="167" operator="between" text="欠">
      <formula>NOT(ISERROR(SEARCH("欠",Y44)))</formula>
    </cfRule>
  </conditionalFormatting>
  <conditionalFormatting sqref="Z44">
    <cfRule type="containsText" dxfId="0" priority="159" operator="between" text="欠">
      <formula>NOT(ISERROR(SEARCH("欠",Z44)))</formula>
    </cfRule>
  </conditionalFormatting>
  <conditionalFormatting sqref="AA44">
    <cfRule type="containsText" dxfId="0" priority="160" operator="between" text="欠">
      <formula>NOT(ISERROR(SEARCH("欠",AA44)))</formula>
    </cfRule>
  </conditionalFormatting>
  <conditionalFormatting sqref="AB44">
    <cfRule type="containsText" dxfId="0" priority="158" operator="between" text="欠">
      <formula>NOT(ISERROR(SEARCH("欠",AB44)))</formula>
    </cfRule>
  </conditionalFormatting>
  <conditionalFormatting sqref="AC44">
    <cfRule type="containsText" dxfId="0" priority="169" operator="between" text="欠">
      <formula>NOT(ISERROR(SEARCH("欠",AC44)))</formula>
    </cfRule>
  </conditionalFormatting>
  <conditionalFormatting sqref="AD44">
    <cfRule type="containsText" dxfId="0" priority="166" operator="between" text="欠">
      <formula>NOT(ISERROR(SEARCH("欠",AD44)))</formula>
    </cfRule>
  </conditionalFormatting>
  <conditionalFormatting sqref="AF44">
    <cfRule type="containsText" dxfId="0" priority="164" operator="between" text="欠">
      <formula>NOT(ISERROR(SEARCH("欠",AF44)))</formula>
    </cfRule>
  </conditionalFormatting>
  <conditionalFormatting sqref="AH44">
    <cfRule type="containsText" dxfId="0" priority="168" operator="between" text="欠">
      <formula>NOT(ISERROR(SEARCH("欠",AH44)))</formula>
    </cfRule>
  </conditionalFormatting>
  <conditionalFormatting sqref="AI44">
    <cfRule type="containsText" dxfId="0" priority="165" operator="between" text="欠">
      <formula>NOT(ISERROR(SEARCH("欠",AI44)))</formula>
    </cfRule>
  </conditionalFormatting>
  <conditionalFormatting sqref="X45:Y45">
    <cfRule type="containsText" dxfId="0" priority="154" operator="between" text="欠">
      <formula>NOT(ISERROR(SEARCH("欠",X45)))</formula>
    </cfRule>
  </conditionalFormatting>
  <conditionalFormatting sqref="Z45:AB45">
    <cfRule type="containsText" dxfId="0" priority="151" operator="between" text="欠">
      <formula>NOT(ISERROR(SEARCH("欠",Z45)))</formula>
    </cfRule>
  </conditionalFormatting>
  <conditionalFormatting sqref="AC45:AD45">
    <cfRule type="containsText" dxfId="0" priority="153" operator="between" text="欠">
      <formula>NOT(ISERROR(SEARCH("欠",AC45)))</formula>
    </cfRule>
  </conditionalFormatting>
  <conditionalFormatting sqref="AE45:AI45">
    <cfRule type="containsText" dxfId="0" priority="152" operator="between" text="欠">
      <formula>NOT(ISERROR(SEARCH("欠",AE45)))</formula>
    </cfRule>
  </conditionalFormatting>
  <conditionalFormatting sqref="X46:Y46">
    <cfRule type="containsText" dxfId="0" priority="145" operator="between" text="欠">
      <formula>NOT(ISERROR(SEARCH("欠",X46)))</formula>
    </cfRule>
  </conditionalFormatting>
  <conditionalFormatting sqref="Z46:AB46">
    <cfRule type="containsText" dxfId="0" priority="143" operator="between" text="欠">
      <formula>NOT(ISERROR(SEARCH("欠",Z46)))</formula>
    </cfRule>
  </conditionalFormatting>
  <conditionalFormatting sqref="AC46:AD46">
    <cfRule type="containsText" dxfId="0" priority="144" operator="between" text="欠">
      <formula>NOT(ISERROR(SEARCH("欠",AC46)))</formula>
    </cfRule>
  </conditionalFormatting>
  <conditionalFormatting sqref="AE46">
    <cfRule type="containsText" dxfId="0" priority="147" operator="between" text="欠">
      <formula>NOT(ISERROR(SEARCH("欠",AE46)))</formula>
    </cfRule>
  </conditionalFormatting>
  <conditionalFormatting sqref="AF46">
    <cfRule type="containsText" dxfId="0" priority="149" operator="between" text="欠">
      <formula>NOT(ISERROR(SEARCH("欠",AF46)))</formula>
    </cfRule>
  </conditionalFormatting>
  <conditionalFormatting sqref="AG46">
    <cfRule type="containsText" dxfId="0" priority="146" operator="between" text="欠">
      <formula>NOT(ISERROR(SEARCH("欠",AG46)))</formula>
    </cfRule>
  </conditionalFormatting>
  <conditionalFormatting sqref="AH46">
    <cfRule type="containsText" dxfId="0" priority="150" operator="between" text="欠">
      <formula>NOT(ISERROR(SEARCH("欠",AH46)))</formula>
    </cfRule>
  </conditionalFormatting>
  <conditionalFormatting sqref="AI46">
    <cfRule type="containsText" dxfId="0" priority="148" operator="between" text="欠">
      <formula>NOT(ISERROR(SEARCH("欠",AI46)))</formula>
    </cfRule>
  </conditionalFormatting>
  <conditionalFormatting sqref="X47:Y47">
    <cfRule type="containsText" dxfId="0" priority="137" operator="between" text="欠">
      <formula>NOT(ISERROR(SEARCH("欠",X47)))</formula>
    </cfRule>
  </conditionalFormatting>
  <conditionalFormatting sqref="Z47:AB47">
    <cfRule type="containsText" dxfId="0" priority="134" operator="between" text="欠">
      <formula>NOT(ISERROR(SEARCH("欠",Z47)))</formula>
    </cfRule>
  </conditionalFormatting>
  <conditionalFormatting sqref="AC47">
    <cfRule type="containsText" dxfId="0" priority="135" operator="between" text="欠">
      <formula>NOT(ISERROR(SEARCH("欠",AC47)))</formula>
    </cfRule>
  </conditionalFormatting>
  <conditionalFormatting sqref="AD47">
    <cfRule type="containsText" dxfId="0" priority="136" operator="between" text="欠">
      <formula>NOT(ISERROR(SEARCH("欠",AD47)))</formula>
    </cfRule>
  </conditionalFormatting>
  <conditionalFormatting sqref="AE47">
    <cfRule type="containsText" dxfId="0" priority="139" operator="between" text="欠">
      <formula>NOT(ISERROR(SEARCH("欠",AE47)))</formula>
    </cfRule>
  </conditionalFormatting>
  <conditionalFormatting sqref="AF47">
    <cfRule type="containsText" dxfId="0" priority="141" operator="between" text="欠">
      <formula>NOT(ISERROR(SEARCH("欠",AF47)))</formula>
    </cfRule>
  </conditionalFormatting>
  <conditionalFormatting sqref="AG47">
    <cfRule type="containsText" dxfId="0" priority="138" operator="between" text="欠">
      <formula>NOT(ISERROR(SEARCH("欠",AG47)))</formula>
    </cfRule>
  </conditionalFormatting>
  <conditionalFormatting sqref="AH47">
    <cfRule type="containsText" dxfId="0" priority="142" operator="between" text="欠">
      <formula>NOT(ISERROR(SEARCH("欠",AH47)))</formula>
    </cfRule>
  </conditionalFormatting>
  <conditionalFormatting sqref="AI47">
    <cfRule type="containsText" dxfId="0" priority="140" operator="between" text="欠">
      <formula>NOT(ISERROR(SEARCH("欠",AI47)))</formula>
    </cfRule>
  </conditionalFormatting>
  <conditionalFormatting sqref="B50">
    <cfRule type="containsText" dxfId="1" priority="114" operator="between" text="异常">
      <formula>NOT(ISERROR(SEARCH("异常",B50)))</formula>
    </cfRule>
  </conditionalFormatting>
  <conditionalFormatting sqref="C50">
    <cfRule type="containsText" dxfId="3" priority="113" operator="between" text="蛋糕">
      <formula>NOT(ISERROR(SEARCH("蛋糕",C50)))</formula>
    </cfRule>
    <cfRule type="containsText" dxfId="2" priority="112" operator="between" text="二代">
      <formula>NOT(ISERROR(SEARCH("二代",C50)))</formula>
    </cfRule>
  </conditionalFormatting>
  <conditionalFormatting sqref="Z50">
    <cfRule type="containsText" dxfId="0" priority="121" operator="between" text="欠">
      <formula>NOT(ISERROR(SEARCH("欠",Z50)))</formula>
    </cfRule>
  </conditionalFormatting>
  <conditionalFormatting sqref="AA50:AB50">
    <cfRule type="containsText" dxfId="0" priority="120" operator="between" text="欠">
      <formula>NOT(ISERROR(SEARCH("欠",AA50)))</formula>
    </cfRule>
  </conditionalFormatting>
  <conditionalFormatting sqref="AC50">
    <cfRule type="containsText" dxfId="0" priority="122" operator="between" text="欠">
      <formula>NOT(ISERROR(SEARCH("欠",AC50)))</formula>
    </cfRule>
  </conditionalFormatting>
  <conditionalFormatting sqref="AD50">
    <cfRule type="containsText" dxfId="0" priority="115" operator="between" text="欠">
      <formula>NOT(ISERROR(SEARCH("欠",AD50)))</formula>
    </cfRule>
  </conditionalFormatting>
  <conditionalFormatting sqref="AF50">
    <cfRule type="containsText" dxfId="0" priority="116" operator="between" text="欠">
      <formula>NOT(ISERROR(SEARCH("欠",AF50)))</formula>
    </cfRule>
  </conditionalFormatting>
  <conditionalFormatting sqref="AH50">
    <cfRule type="containsText" dxfId="0" priority="118" operator="between" text="欠">
      <formula>NOT(ISERROR(SEARCH("欠",AH50)))</formula>
    </cfRule>
  </conditionalFormatting>
  <conditionalFormatting sqref="AI50">
    <cfRule type="containsText" dxfId="0" priority="117" operator="between" text="欠">
      <formula>NOT(ISERROR(SEARCH("欠",AI50)))</formula>
    </cfRule>
  </conditionalFormatting>
  <conditionalFormatting sqref="B51">
    <cfRule type="containsText" dxfId="1" priority="98" operator="between" text="异常">
      <formula>NOT(ISERROR(SEARCH("异常",B51)))</formula>
    </cfRule>
  </conditionalFormatting>
  <conditionalFormatting sqref="C51">
    <cfRule type="containsText" dxfId="2" priority="99" operator="between" text="二代">
      <formula>NOT(ISERROR(SEARCH("二代",C51)))</formula>
    </cfRule>
    <cfRule type="containsText" dxfId="3" priority="100" operator="between" text="蛋糕">
      <formula>NOT(ISERROR(SEARCH("蛋糕",C51)))</formula>
    </cfRule>
  </conditionalFormatting>
  <conditionalFormatting sqref="Y51">
    <cfRule type="containsText" dxfId="0" priority="92" operator="between" text="欠">
      <formula>NOT(ISERROR(SEARCH("欠",Y51)))</formula>
    </cfRule>
  </conditionalFormatting>
  <conditionalFormatting sqref="Z51">
    <cfRule type="containsText" dxfId="0" priority="91" operator="between" text="欠">
      <formula>NOT(ISERROR(SEARCH("欠",Z51)))</formula>
    </cfRule>
  </conditionalFormatting>
  <conditionalFormatting sqref="AA51:AB51">
    <cfRule type="containsText" dxfId="0" priority="95" operator="between" text="欠">
      <formula>NOT(ISERROR(SEARCH("欠",AA51)))</formula>
    </cfRule>
  </conditionalFormatting>
  <conditionalFormatting sqref="AC51:AD51">
    <cfRule type="containsText" dxfId="0" priority="94" operator="between" text="欠">
      <formula>NOT(ISERROR(SEARCH("欠",AC51)))</formula>
    </cfRule>
  </conditionalFormatting>
  <conditionalFormatting sqref="AF51">
    <cfRule type="containsText" dxfId="0" priority="96" operator="between" text="欠">
      <formula>NOT(ISERROR(SEARCH("欠",AF51)))</formula>
    </cfRule>
  </conditionalFormatting>
  <conditionalFormatting sqref="AH51">
    <cfRule type="containsText" dxfId="0" priority="93" operator="between" text="欠">
      <formula>NOT(ISERROR(SEARCH("欠",AH51)))</formula>
    </cfRule>
  </conditionalFormatting>
  <conditionalFormatting sqref="AI51">
    <cfRule type="containsText" dxfId="0" priority="97" operator="between" text="欠">
      <formula>NOT(ISERROR(SEARCH("欠",AI51)))</formula>
    </cfRule>
  </conditionalFormatting>
  <conditionalFormatting sqref="B52">
    <cfRule type="containsText" dxfId="1" priority="88" operator="between" text="异常">
      <formula>NOT(ISERROR(SEARCH("异常",B52)))</formula>
    </cfRule>
  </conditionalFormatting>
  <conditionalFormatting sqref="C52">
    <cfRule type="containsText" dxfId="2" priority="89" operator="between" text="二代">
      <formula>NOT(ISERROR(SEARCH("二代",C52)))</formula>
    </cfRule>
    <cfRule type="containsText" dxfId="3" priority="90" operator="between" text="蛋糕">
      <formula>NOT(ISERROR(SEARCH("蛋糕",C52)))</formula>
    </cfRule>
  </conditionalFormatting>
  <conditionalFormatting sqref="Y52">
    <cfRule type="containsText" dxfId="0" priority="82" operator="between" text="欠">
      <formula>NOT(ISERROR(SEARCH("欠",Y52)))</formula>
    </cfRule>
  </conditionalFormatting>
  <conditionalFormatting sqref="Z52">
    <cfRule type="containsText" dxfId="0" priority="81" operator="between" text="欠">
      <formula>NOT(ISERROR(SEARCH("欠",Z52)))</formula>
    </cfRule>
  </conditionalFormatting>
  <conditionalFormatting sqref="AA52:AB52">
    <cfRule type="containsText" dxfId="0" priority="85" operator="between" text="欠">
      <formula>NOT(ISERROR(SEARCH("欠",AA52)))</formula>
    </cfRule>
  </conditionalFormatting>
  <conditionalFormatting sqref="AC52:AD52">
    <cfRule type="containsText" dxfId="0" priority="84" operator="between" text="欠">
      <formula>NOT(ISERROR(SEARCH("欠",AC52)))</formula>
    </cfRule>
  </conditionalFormatting>
  <conditionalFormatting sqref="AF52">
    <cfRule type="containsText" dxfId="0" priority="86" operator="between" text="欠">
      <formula>NOT(ISERROR(SEARCH("欠",AF52)))</formula>
    </cfRule>
  </conditionalFormatting>
  <conditionalFormatting sqref="AH52">
    <cfRule type="containsText" dxfId="0" priority="83" operator="between" text="欠">
      <formula>NOT(ISERROR(SEARCH("欠",AH52)))</formula>
    </cfRule>
  </conditionalFormatting>
  <conditionalFormatting sqref="AI52">
    <cfRule type="containsText" dxfId="0" priority="87" operator="between" text="欠">
      <formula>NOT(ISERROR(SEARCH("欠",AI52)))</formula>
    </cfRule>
  </conditionalFormatting>
  <conditionalFormatting sqref="AC55:AD55">
    <cfRule type="containsText" dxfId="0" priority="65" operator="between" text="欠">
      <formula>NOT(ISERROR(SEARCH("欠",AC55)))</formula>
    </cfRule>
  </conditionalFormatting>
  <conditionalFormatting sqref="AH55">
    <cfRule type="containsText" dxfId="0" priority="64" operator="between" text="欠">
      <formula>NOT(ISERROR(SEARCH("欠",AH55)))</formula>
    </cfRule>
  </conditionalFormatting>
  <conditionalFormatting sqref="AC56:AD56">
    <cfRule type="containsText" dxfId="0" priority="62" operator="between" text="欠">
      <formula>NOT(ISERROR(SEARCH("欠",AC56)))</formula>
    </cfRule>
  </conditionalFormatting>
  <conditionalFormatting sqref="AH56">
    <cfRule type="containsText" dxfId="0" priority="61" operator="between" text="欠">
      <formula>NOT(ISERROR(SEARCH("欠",AH56)))</formula>
    </cfRule>
  </conditionalFormatting>
  <conditionalFormatting sqref="B57">
    <cfRule type="containsText" dxfId="1" priority="55" operator="between" text="异常">
      <formula>NOT(ISERROR(SEARCH("异常",B57)))</formula>
    </cfRule>
  </conditionalFormatting>
  <conditionalFormatting sqref="C57">
    <cfRule type="containsText" dxfId="2" priority="56" operator="between" text="二代">
      <formula>NOT(ISERROR(SEARCH("二代",C57)))</formula>
    </cfRule>
    <cfRule type="containsText" dxfId="3" priority="57" operator="between" text="蛋糕">
      <formula>NOT(ISERROR(SEARCH("蛋糕",C57)))</formula>
    </cfRule>
  </conditionalFormatting>
  <conditionalFormatting sqref="Y57">
    <cfRule type="containsText" dxfId="0" priority="49" operator="between" text="欠">
      <formula>NOT(ISERROR(SEARCH("欠",Y57)))</formula>
    </cfRule>
  </conditionalFormatting>
  <conditionalFormatting sqref="Z57">
    <cfRule type="containsText" dxfId="0" priority="58" operator="between" text="欠">
      <formula>NOT(ISERROR(SEARCH("欠",Z57)))</formula>
    </cfRule>
  </conditionalFormatting>
  <conditionalFormatting sqref="AA57:AB57">
    <cfRule type="containsText" dxfId="0" priority="52" operator="between" text="欠">
      <formula>NOT(ISERROR(SEARCH("欠",AA57)))</formula>
    </cfRule>
  </conditionalFormatting>
  <conditionalFormatting sqref="AC57:AD57">
    <cfRule type="containsText" dxfId="0" priority="51" operator="between" text="欠">
      <formula>NOT(ISERROR(SEARCH("欠",AC57)))</formula>
    </cfRule>
  </conditionalFormatting>
  <conditionalFormatting sqref="AF57">
    <cfRule type="containsText" dxfId="0" priority="53" operator="between" text="欠">
      <formula>NOT(ISERROR(SEARCH("欠",AF57)))</formula>
    </cfRule>
  </conditionalFormatting>
  <conditionalFormatting sqref="AH57">
    <cfRule type="containsText" dxfId="0" priority="50" operator="between" text="欠">
      <formula>NOT(ISERROR(SEARCH("欠",AH57)))</formula>
    </cfRule>
  </conditionalFormatting>
  <conditionalFormatting sqref="AI57">
    <cfRule type="containsText" dxfId="0" priority="54" operator="between" text="欠">
      <formula>NOT(ISERROR(SEARCH("欠",AI57)))</formula>
    </cfRule>
  </conditionalFormatting>
  <conditionalFormatting sqref="B58">
    <cfRule type="containsText" dxfId="1" priority="36" operator="between" text="异常">
      <formula>NOT(ISERROR(SEARCH("异常",B58)))</formula>
    </cfRule>
  </conditionalFormatting>
  <conditionalFormatting sqref="C58">
    <cfRule type="containsText" dxfId="2" priority="34" operator="between" text="二代">
      <formula>NOT(ISERROR(SEARCH("二代",C58)))</formula>
    </cfRule>
    <cfRule type="containsText" dxfId="3" priority="35" operator="between" text="蛋糕">
      <formula>NOT(ISERROR(SEARCH("蛋糕",C58)))</formula>
    </cfRule>
  </conditionalFormatting>
  <conditionalFormatting sqref="X58">
    <cfRule type="containsText" dxfId="0" priority="45" operator="between" text="欠">
      <formula>NOT(ISERROR(SEARCH("欠",X58)))</formula>
    </cfRule>
  </conditionalFormatting>
  <conditionalFormatting sqref="Y58">
    <cfRule type="containsText" dxfId="0" priority="37" operator="between" text="欠">
      <formula>NOT(ISERROR(SEARCH("欠",Y58)))</formula>
    </cfRule>
  </conditionalFormatting>
  <conditionalFormatting sqref="Z58">
    <cfRule type="containsText" dxfId="0" priority="48" operator="between" text="欠">
      <formula>NOT(ISERROR(SEARCH("欠",Z58)))</formula>
    </cfRule>
  </conditionalFormatting>
  <conditionalFormatting sqref="AA58:AB58">
    <cfRule type="containsText" dxfId="0" priority="44" operator="between" text="欠">
      <formula>NOT(ISERROR(SEARCH("欠",AA58)))</formula>
    </cfRule>
  </conditionalFormatting>
  <conditionalFormatting sqref="AC58">
    <cfRule type="containsText" dxfId="0" priority="43" operator="between" text="欠">
      <formula>NOT(ISERROR(SEARCH("欠",AC58)))</formula>
    </cfRule>
  </conditionalFormatting>
  <conditionalFormatting sqref="AD58">
    <cfRule type="containsText" dxfId="0" priority="41" operator="between" text="欠">
      <formula>NOT(ISERROR(SEARCH("欠",AD58)))</formula>
    </cfRule>
  </conditionalFormatting>
  <conditionalFormatting sqref="AE58">
    <cfRule type="containsText" dxfId="0" priority="40" operator="between" text="欠">
      <formula>NOT(ISERROR(SEARCH("欠",AE58)))</formula>
    </cfRule>
  </conditionalFormatting>
  <conditionalFormatting sqref="AF58">
    <cfRule type="containsText" dxfId="0" priority="47" operator="between" text="欠">
      <formula>NOT(ISERROR(SEARCH("欠",AF58)))</formula>
    </cfRule>
  </conditionalFormatting>
  <conditionalFormatting sqref="AG58">
    <cfRule type="containsText" dxfId="0" priority="39" operator="between" text="欠">
      <formula>NOT(ISERROR(SEARCH("欠",AG58)))</formula>
    </cfRule>
  </conditionalFormatting>
  <conditionalFormatting sqref="AH58">
    <cfRule type="containsText" dxfId="0" priority="42" operator="between" text="欠">
      <formula>NOT(ISERROR(SEARCH("欠",AH58)))</formula>
    </cfRule>
  </conditionalFormatting>
  <conditionalFormatting sqref="AI58">
    <cfRule type="containsText" dxfId="0" priority="46" operator="between" text="欠">
      <formula>NOT(ISERROR(SEARCH("欠",AI58)))</formula>
    </cfRule>
  </conditionalFormatting>
  <conditionalFormatting sqref="AJ58">
    <cfRule type="containsText" dxfId="0" priority="38" operator="between" text="欠">
      <formula>NOT(ISERROR(SEARCH("欠",AJ58)))</formula>
    </cfRule>
  </conditionalFormatting>
  <conditionalFormatting sqref="B59">
    <cfRule type="containsText" dxfId="1" priority="31" operator="between" text="异常">
      <formula>NOT(ISERROR(SEARCH("异常",B59)))</formula>
    </cfRule>
  </conditionalFormatting>
  <conditionalFormatting sqref="C59">
    <cfRule type="containsText" dxfId="2" priority="32" operator="between" text="二代">
      <formula>NOT(ISERROR(SEARCH("二代",C59)))</formula>
    </cfRule>
    <cfRule type="containsText" dxfId="3" priority="33" operator="between" text="蛋糕">
      <formula>NOT(ISERROR(SEARCH("蛋糕",C59)))</formula>
    </cfRule>
  </conditionalFormatting>
  <conditionalFormatting sqref="Y59">
    <cfRule type="containsText" dxfId="0" priority="24" operator="between" text="欠">
      <formula>NOT(ISERROR(SEARCH("欠",Y59)))</formula>
    </cfRule>
  </conditionalFormatting>
  <conditionalFormatting sqref="Z59">
    <cfRule type="containsText" dxfId="0" priority="30" operator="between" text="欠">
      <formula>NOT(ISERROR(SEARCH("欠",Z59)))</formula>
    </cfRule>
  </conditionalFormatting>
  <conditionalFormatting sqref="AA59:AB59">
    <cfRule type="containsText" dxfId="0" priority="27" operator="between" text="欠">
      <formula>NOT(ISERROR(SEARCH("欠",AA59)))</formula>
    </cfRule>
  </conditionalFormatting>
  <conditionalFormatting sqref="AC59:AD59">
    <cfRule type="containsText" dxfId="0" priority="26" operator="between" text="欠">
      <formula>NOT(ISERROR(SEARCH("欠",AC59)))</formula>
    </cfRule>
  </conditionalFormatting>
  <conditionalFormatting sqref="AF59">
    <cfRule type="containsText" dxfId="0" priority="28" operator="between" text="欠">
      <formula>NOT(ISERROR(SEARCH("欠",AF59)))</formula>
    </cfRule>
  </conditionalFormatting>
  <conditionalFormatting sqref="AH59">
    <cfRule type="containsText" dxfId="0" priority="25" operator="between" text="欠">
      <formula>NOT(ISERROR(SEARCH("欠",AH59)))</formula>
    </cfRule>
  </conditionalFormatting>
  <conditionalFormatting sqref="AI59">
    <cfRule type="containsText" dxfId="0" priority="29" operator="between" text="欠">
      <formula>NOT(ISERROR(SEARCH("欠",AI59)))</formula>
    </cfRule>
  </conditionalFormatting>
  <conditionalFormatting sqref="B60">
    <cfRule type="containsText" dxfId="1" priority="11" operator="between" text="异常">
      <formula>NOT(ISERROR(SEARCH("异常",B60)))</formula>
    </cfRule>
  </conditionalFormatting>
  <conditionalFormatting sqref="C60">
    <cfRule type="containsText" dxfId="2" priority="12" operator="between" text="二代">
      <formula>NOT(ISERROR(SEARCH("二代",C60)))</formula>
    </cfRule>
    <cfRule type="containsText" dxfId="3" priority="13" operator="between" text="蛋糕">
      <formula>NOT(ISERROR(SEARCH("蛋糕",C60)))</formula>
    </cfRule>
  </conditionalFormatting>
  <conditionalFormatting sqref="X60:Y60">
    <cfRule type="containsText" dxfId="0" priority="21" operator="between" text="欠">
      <formula>NOT(ISERROR(SEARCH("欠",X60)))</formula>
    </cfRule>
  </conditionalFormatting>
  <conditionalFormatting sqref="Z60">
    <cfRule type="containsText" dxfId="0" priority="22" operator="between" text="欠">
      <formula>NOT(ISERROR(SEARCH("欠",Z60)))</formula>
    </cfRule>
  </conditionalFormatting>
  <conditionalFormatting sqref="AA60:AB60">
    <cfRule type="containsText" dxfId="0" priority="19" operator="between" text="欠">
      <formula>NOT(ISERROR(SEARCH("欠",AA60)))</formula>
    </cfRule>
  </conditionalFormatting>
  <conditionalFormatting sqref="AC60:AD60">
    <cfRule type="containsText" dxfId="0" priority="15" operator="between" text="欠">
      <formula>NOT(ISERROR(SEARCH("欠",AC60)))</formula>
    </cfRule>
  </conditionalFormatting>
  <conditionalFormatting sqref="AE60">
    <cfRule type="containsText" dxfId="0" priority="17" operator="between" text="欠">
      <formula>NOT(ISERROR(SEARCH("欠",AE60)))</formula>
    </cfRule>
  </conditionalFormatting>
  <conditionalFormatting sqref="AF60">
    <cfRule type="containsText" dxfId="0" priority="14" operator="between" text="欠">
      <formula>NOT(ISERROR(SEARCH("欠",AF60)))</formula>
    </cfRule>
  </conditionalFormatting>
  <conditionalFormatting sqref="AG60">
    <cfRule type="containsText" dxfId="0" priority="20" operator="between" text="欠">
      <formula>NOT(ISERROR(SEARCH("欠",AG60)))</formula>
    </cfRule>
  </conditionalFormatting>
  <conditionalFormatting sqref="AH60">
    <cfRule type="containsText" dxfId="0" priority="18" operator="between" text="欠">
      <formula>NOT(ISERROR(SEARCH("欠",AH60)))</formula>
    </cfRule>
  </conditionalFormatting>
  <conditionalFormatting sqref="AI60">
    <cfRule type="containsText" dxfId="0" priority="23" operator="between" text="欠">
      <formula>NOT(ISERROR(SEARCH("欠",AI60)))</formula>
    </cfRule>
  </conditionalFormatting>
  <conditionalFormatting sqref="AK60">
    <cfRule type="containsText" dxfId="0" priority="16" operator="between" text="欠">
      <formula>NOT(ISERROR(SEARCH("欠",AK60)))</formula>
    </cfRule>
  </conditionalFormatting>
  <conditionalFormatting sqref="B61">
    <cfRule type="containsText" dxfId="1" priority="8" operator="between" text="异常">
      <formula>NOT(ISERROR(SEARCH("异常",B61)))</formula>
    </cfRule>
  </conditionalFormatting>
  <conditionalFormatting sqref="C61">
    <cfRule type="containsText" dxfId="3" priority="10" operator="between" text="蛋糕">
      <formula>NOT(ISERROR(SEARCH("蛋糕",C61)))</formula>
    </cfRule>
    <cfRule type="containsText" dxfId="2" priority="9" operator="between" text="二代">
      <formula>NOT(ISERROR(SEARCH("二代",C61)))</formula>
    </cfRule>
  </conditionalFormatting>
  <conditionalFormatting sqref="Y61">
    <cfRule type="containsText" dxfId="0" priority="6" operator="between" text="欠">
      <formula>NOT(ISERROR(SEARCH("欠",Y61)))</formula>
    </cfRule>
  </conditionalFormatting>
  <conditionalFormatting sqref="Z61">
    <cfRule type="containsText" dxfId="0" priority="7" operator="between" text="欠">
      <formula>NOT(ISERROR(SEARCH("欠",Z61)))</formula>
    </cfRule>
  </conditionalFormatting>
  <conditionalFormatting sqref="AA61:AB61">
    <cfRule type="containsText" dxfId="0" priority="2" operator="between" text="欠">
      <formula>NOT(ISERROR(SEARCH("欠",AA61)))</formula>
    </cfRule>
  </conditionalFormatting>
  <conditionalFormatting sqref="AC61:AD61">
    <cfRule type="containsText" dxfId="0" priority="1" operator="between" text="欠">
      <formula>NOT(ISERROR(SEARCH("欠",AC61)))</formula>
    </cfRule>
  </conditionalFormatting>
  <conditionalFormatting sqref="AF61">
    <cfRule type="containsText" dxfId="0" priority="5" operator="between" text="欠">
      <formula>NOT(ISERROR(SEARCH("欠",AF61)))</formula>
    </cfRule>
  </conditionalFormatting>
  <conditionalFormatting sqref="AH61">
    <cfRule type="containsText" dxfId="0" priority="3" operator="between" text="欠">
      <formula>NOT(ISERROR(SEARCH("欠",AH61)))</formula>
    </cfRule>
  </conditionalFormatting>
  <conditionalFormatting sqref="AI61">
    <cfRule type="containsText" dxfId="0" priority="4" operator="between" text="欠">
      <formula>NOT(ISERROR(SEARCH("欠",AI61)))</formula>
    </cfRule>
  </conditionalFormatting>
  <conditionalFormatting sqref="B25:B26">
    <cfRule type="containsText" dxfId="1" priority="333" operator="between" text="异常">
      <formula>NOT(ISERROR(SEARCH("异常",B25)))</formula>
    </cfRule>
  </conditionalFormatting>
  <conditionalFormatting sqref="B28:B30">
    <cfRule type="containsText" dxfId="1" priority="311" operator="between" text="异常">
      <formula>NOT(ISERROR(SEARCH("异常",B28)))</formula>
    </cfRule>
  </conditionalFormatting>
  <conditionalFormatting sqref="B32:B36">
    <cfRule type="containsText" dxfId="1" priority="274" operator="between" text="异常">
      <formula>NOT(ISERROR(SEARCH("异常",B32)))</formula>
    </cfRule>
  </conditionalFormatting>
  <conditionalFormatting sqref="B42:B43">
    <cfRule type="containsText" dxfId="1" priority="175" operator="between" text="异常">
      <formula>NOT(ISERROR(SEARCH("异常",B42)))</formula>
    </cfRule>
  </conditionalFormatting>
  <conditionalFormatting sqref="B45:B47">
    <cfRule type="containsText" dxfId="1" priority="155" operator="between" text="异常">
      <formula>NOT(ISERROR(SEARCH("异常",B45)))</formula>
    </cfRule>
  </conditionalFormatting>
  <conditionalFormatting sqref="B48:B49">
    <cfRule type="containsText" dxfId="1" priority="125" operator="between" text="异常">
      <formula>NOT(ISERROR(SEARCH("异常",B48)))</formula>
    </cfRule>
  </conditionalFormatting>
  <conditionalFormatting sqref="B53:B54">
    <cfRule type="containsText" dxfId="1" priority="78" operator="between" text="异常">
      <formula>NOT(ISERROR(SEARCH("异常",B53)))</formula>
    </cfRule>
  </conditionalFormatting>
  <conditionalFormatting sqref="B55:B56">
    <cfRule type="containsText" dxfId="1" priority="68" operator="between" text="异常">
      <formula>NOT(ISERROR(SEARCH("异常",B55)))</formula>
    </cfRule>
  </conditionalFormatting>
  <conditionalFormatting sqref="C25:C26">
    <cfRule type="containsText" dxfId="2" priority="331" operator="between" text="二代">
      <formula>NOT(ISERROR(SEARCH("二代",C25)))</formula>
    </cfRule>
    <cfRule type="containsText" dxfId="3" priority="332" operator="between" text="蛋糕">
      <formula>NOT(ISERROR(SEARCH("蛋糕",C25)))</formula>
    </cfRule>
  </conditionalFormatting>
  <conditionalFormatting sqref="C28:C30">
    <cfRule type="containsText" dxfId="2" priority="309" operator="between" text="二代">
      <formula>NOT(ISERROR(SEARCH("二代",C28)))</formula>
    </cfRule>
    <cfRule type="containsText" dxfId="3" priority="310" operator="between" text="蛋糕">
      <formula>NOT(ISERROR(SEARCH("蛋糕",C28)))</formula>
    </cfRule>
  </conditionalFormatting>
  <conditionalFormatting sqref="C32:C36">
    <cfRule type="containsText" dxfId="2" priority="272" operator="between" text="二代">
      <formula>NOT(ISERROR(SEARCH("二代",C32)))</formula>
    </cfRule>
    <cfRule type="containsText" dxfId="3" priority="273" operator="between" text="蛋糕">
      <formula>NOT(ISERROR(SEARCH("蛋糕",C32)))</formula>
    </cfRule>
  </conditionalFormatting>
  <conditionalFormatting sqref="C42:C43">
    <cfRule type="containsText" dxfId="2" priority="173" operator="between" text="二代">
      <formula>NOT(ISERROR(SEARCH("二代",C42)))</formula>
    </cfRule>
    <cfRule type="containsText" dxfId="3" priority="174" operator="between" text="蛋糕">
      <formula>NOT(ISERROR(SEARCH("蛋糕",C42)))</formula>
    </cfRule>
  </conditionalFormatting>
  <conditionalFormatting sqref="C45:C47">
    <cfRule type="containsText" dxfId="2" priority="156" operator="between" text="二代">
      <formula>NOT(ISERROR(SEARCH("二代",C45)))</formula>
    </cfRule>
    <cfRule type="containsText" dxfId="3" priority="157" operator="between" text="蛋糕">
      <formula>NOT(ISERROR(SEARCH("蛋糕",C45)))</formula>
    </cfRule>
  </conditionalFormatting>
  <conditionalFormatting sqref="C48:C49">
    <cfRule type="containsText" dxfId="2" priority="123" operator="between" text="二代">
      <formula>NOT(ISERROR(SEARCH("二代",C48)))</formula>
    </cfRule>
    <cfRule type="containsText" dxfId="3" priority="124" operator="between" text="蛋糕">
      <formula>NOT(ISERROR(SEARCH("蛋糕",C48)))</formula>
    </cfRule>
  </conditionalFormatting>
  <conditionalFormatting sqref="C53:C54">
    <cfRule type="containsText" dxfId="2" priority="79" operator="between" text="二代">
      <formula>NOT(ISERROR(SEARCH("二代",C53)))</formula>
    </cfRule>
    <cfRule type="containsText" dxfId="3" priority="80" operator="between" text="蛋糕">
      <formula>NOT(ISERROR(SEARCH("蛋糕",C53)))</formula>
    </cfRule>
  </conditionalFormatting>
  <conditionalFormatting sqref="C55:C56">
    <cfRule type="containsText" dxfId="2" priority="69" operator="between" text="二代">
      <formula>NOT(ISERROR(SEARCH("二代",C55)))</formula>
    </cfRule>
    <cfRule type="containsText" dxfId="3" priority="70" operator="between" text="蛋糕">
      <formula>NOT(ISERROR(SEARCH("蛋糕",C55)))</formula>
    </cfRule>
  </conditionalFormatting>
  <conditionalFormatting sqref="X15:X17">
    <cfRule type="containsText" dxfId="0" priority="473" operator="between" text="欠">
      <formula>NOT(ISERROR(SEARCH("欠",X15)))</formula>
    </cfRule>
  </conditionalFormatting>
  <conditionalFormatting sqref="X32:X33">
    <cfRule type="containsText" dxfId="0" priority="277" operator="between" text="欠">
      <formula>NOT(ISERROR(SEARCH("欠",X32)))</formula>
    </cfRule>
  </conditionalFormatting>
  <conditionalFormatting sqref="Y15:Y17">
    <cfRule type="containsText" dxfId="0" priority="469" operator="between" text="欠">
      <formula>NOT(ISERROR(SEARCH("欠",Y15)))</formula>
    </cfRule>
  </conditionalFormatting>
  <conditionalFormatting sqref="Y32:Y33">
    <cfRule type="containsText" dxfId="0" priority="276" operator="between" text="欠">
      <formula>NOT(ISERROR(SEARCH("欠",Y32)))</formula>
    </cfRule>
  </conditionalFormatting>
  <conditionalFormatting sqref="Y42:Y43">
    <cfRule type="containsText" dxfId="0" priority="180" operator="between" text="欠">
      <formula>NOT(ISERROR(SEARCH("欠",Y42)))</formula>
    </cfRule>
  </conditionalFormatting>
  <conditionalFormatting sqref="Y48:Y49">
    <cfRule type="containsText" dxfId="0" priority="127" operator="between" text="欠">
      <formula>NOT(ISERROR(SEARCH("欠",Y48)))</formula>
    </cfRule>
  </conditionalFormatting>
  <conditionalFormatting sqref="Y53:Y54">
    <cfRule type="containsText" dxfId="0" priority="72" operator="between" text="欠">
      <formula>NOT(ISERROR(SEARCH("欠",Y53)))</formula>
    </cfRule>
  </conditionalFormatting>
  <conditionalFormatting sqref="Y55:Y56">
    <cfRule type="containsText" dxfId="0" priority="63" operator="between" text="欠">
      <formula>NOT(ISERROR(SEARCH("欠",Y55)))</formula>
    </cfRule>
  </conditionalFormatting>
  <conditionalFormatting sqref="Z15:Z17">
    <cfRule type="containsText" dxfId="0" priority="475" operator="between" text="欠">
      <formula>NOT(ISERROR(SEARCH("欠",Z15)))</formula>
    </cfRule>
  </conditionalFormatting>
  <conditionalFormatting sqref="Z28:Z30">
    <cfRule type="containsText" dxfId="0" priority="323" operator="between" text="欠">
      <formula>NOT(ISERROR(SEARCH("欠",Z28)))</formula>
    </cfRule>
  </conditionalFormatting>
  <conditionalFormatting sqref="Z48:Z49">
    <cfRule type="containsText" dxfId="0" priority="132" operator="between" text="欠">
      <formula>NOT(ISERROR(SEARCH("欠",Z48)))</formula>
    </cfRule>
  </conditionalFormatting>
  <conditionalFormatting sqref="Z53:Z54">
    <cfRule type="containsText" dxfId="0" priority="71" operator="between" text="欠">
      <formula>NOT(ISERROR(SEARCH("欠",Z53)))</formula>
    </cfRule>
  </conditionalFormatting>
  <conditionalFormatting sqref="Z55:Z56">
    <cfRule type="containsText" dxfId="0" priority="67" operator="between" text="欠">
      <formula>NOT(ISERROR(SEARCH("欠",Z55)))</formula>
    </cfRule>
  </conditionalFormatting>
  <conditionalFormatting sqref="AA48:AA49">
    <cfRule type="containsText" dxfId="0" priority="133" operator="between" text="欠">
      <formula>NOT(ISERROR(SEARCH("欠",AA48)))</formula>
    </cfRule>
  </conditionalFormatting>
  <conditionalFormatting sqref="AB32:AB33">
    <cfRule type="containsText" dxfId="0" priority="275" operator="between" text="欠">
      <formula>NOT(ISERROR(SEARCH("欠",AB32)))</formula>
    </cfRule>
  </conditionalFormatting>
  <conditionalFormatting sqref="AB48:AB49">
    <cfRule type="containsText" dxfId="0" priority="130" operator="between" text="欠">
      <formula>NOT(ISERROR(SEARCH("欠",AB48)))</formula>
    </cfRule>
  </conditionalFormatting>
  <conditionalFormatting sqref="AC42:AC43">
    <cfRule type="containsText" dxfId="0" priority="182" operator="between" text="欠">
      <formula>NOT(ISERROR(SEARCH("欠",AC42)))</formula>
    </cfRule>
  </conditionalFormatting>
  <conditionalFormatting sqref="AD42:AD43">
    <cfRule type="containsText" dxfId="0" priority="179" operator="between" text="欠">
      <formula>NOT(ISERROR(SEARCH("欠",AD42)))</formula>
    </cfRule>
  </conditionalFormatting>
  <conditionalFormatting sqref="AE15:AE16">
    <cfRule type="containsText" dxfId="0" priority="468" operator="between" text="欠">
      <formula>NOT(ISERROR(SEARCH("欠",AE15)))</formula>
    </cfRule>
  </conditionalFormatting>
  <conditionalFormatting sqref="AE25:AE26">
    <cfRule type="containsText" dxfId="0" priority="339" operator="between" text="欠">
      <formula>NOT(ISERROR(SEARCH("欠",AE25)))</formula>
    </cfRule>
  </conditionalFormatting>
  <conditionalFormatting sqref="AF25:AF26">
    <cfRule type="containsText" dxfId="0" priority="337" operator="between" text="欠">
      <formula>NOT(ISERROR(SEARCH("欠",AF25)))</formula>
    </cfRule>
  </conditionalFormatting>
  <conditionalFormatting sqref="AF28:AF30">
    <cfRule type="containsText" dxfId="0" priority="312" operator="between" text="欠">
      <formula>NOT(ISERROR(SEARCH("欠",AF28)))</formula>
    </cfRule>
  </conditionalFormatting>
  <conditionalFormatting sqref="AF42:AF43">
    <cfRule type="containsText" dxfId="0" priority="176" operator="between" text="欠">
      <formula>NOT(ISERROR(SEARCH("欠",AF42)))</formula>
    </cfRule>
  </conditionalFormatting>
  <conditionalFormatting sqref="AF48:AF49">
    <cfRule type="containsText" dxfId="0" priority="131" operator="between" text="欠">
      <formula>NOT(ISERROR(SEARCH("欠",AF48)))</formula>
    </cfRule>
  </conditionalFormatting>
  <conditionalFormatting sqref="AF53:AF54">
    <cfRule type="containsText" dxfId="0" priority="76" operator="between" text="欠">
      <formula>NOT(ISERROR(SEARCH("欠",AF53)))</formula>
    </cfRule>
  </conditionalFormatting>
  <conditionalFormatting sqref="AF55:AF56">
    <cfRule type="containsText" dxfId="0" priority="60" operator="between" text="欠">
      <formula>NOT(ISERROR(SEARCH("欠",AF55)))</formula>
    </cfRule>
  </conditionalFormatting>
  <conditionalFormatting sqref="AG15:AG16">
    <cfRule type="containsText" dxfId="0" priority="467" operator="between" text="欠">
      <formula>NOT(ISERROR(SEARCH("欠",AG15)))</formula>
    </cfRule>
  </conditionalFormatting>
  <conditionalFormatting sqref="AG25:AG26">
    <cfRule type="containsText" dxfId="0" priority="338" operator="between" text="欠">
      <formula>NOT(ISERROR(SEARCH("欠",AG25)))</formula>
    </cfRule>
  </conditionalFormatting>
  <conditionalFormatting sqref="AH25:AH26">
    <cfRule type="containsText" dxfId="0" priority="336" operator="between" text="欠">
      <formula>NOT(ISERROR(SEARCH("欠",AH25)))</formula>
    </cfRule>
  </conditionalFormatting>
  <conditionalFormatting sqref="AH42:AH43">
    <cfRule type="containsText" dxfId="0" priority="181" operator="between" text="欠">
      <formula>NOT(ISERROR(SEARCH("欠",AH42)))</formula>
    </cfRule>
  </conditionalFormatting>
  <conditionalFormatting sqref="AH48:AH49">
    <cfRule type="containsText" dxfId="0" priority="128" operator="between" text="欠">
      <formula>NOT(ISERROR(SEARCH("欠",AH48)))</formula>
    </cfRule>
  </conditionalFormatting>
  <conditionalFormatting sqref="AH53:AH54">
    <cfRule type="containsText" dxfId="0" priority="73" operator="between" text="欠">
      <formula>NOT(ISERROR(SEARCH("欠",AH53)))</formula>
    </cfRule>
  </conditionalFormatting>
  <conditionalFormatting sqref="AI15:AI17">
    <cfRule type="containsText" dxfId="0" priority="474" operator="between" text="欠">
      <formula>NOT(ISERROR(SEARCH("欠",AI15)))</formula>
    </cfRule>
  </conditionalFormatting>
  <conditionalFormatting sqref="AI25:AI26">
    <cfRule type="containsText" dxfId="0" priority="335" operator="between" text="欠">
      <formula>NOT(ISERROR(SEARCH("欠",AI25)))</formula>
    </cfRule>
  </conditionalFormatting>
  <conditionalFormatting sqref="AI42:AI43">
    <cfRule type="containsText" dxfId="0" priority="178" operator="between" text="欠">
      <formula>NOT(ISERROR(SEARCH("欠",AI42)))</formula>
    </cfRule>
  </conditionalFormatting>
  <conditionalFormatting sqref="AI48:AI49">
    <cfRule type="containsText" dxfId="0" priority="126" operator="between" text="欠">
      <formula>NOT(ISERROR(SEARCH("欠",AI48)))</formula>
    </cfRule>
  </conditionalFormatting>
  <conditionalFormatting sqref="AI53:AI54">
    <cfRule type="containsText" dxfId="0" priority="77" operator="between" text="欠">
      <formula>NOT(ISERROR(SEARCH("欠",AI53)))</formula>
    </cfRule>
  </conditionalFormatting>
  <conditionalFormatting sqref="AI55:AI56">
    <cfRule type="containsText" dxfId="0" priority="59" operator="between" text="欠">
      <formula>NOT(ISERROR(SEARCH("欠",AI55)))</formula>
    </cfRule>
  </conditionalFormatting>
  <conditionalFormatting sqref="AL15:AL17">
    <cfRule type="containsText" dxfId="0" priority="458" operator="between" text="欠">
      <formula>NOT(ISERROR(SEARCH("欠",AL15)))</formula>
    </cfRule>
  </conditionalFormatting>
  <conditionalFormatting sqref="C1 C3:C23">
    <cfRule type="containsText" dxfId="2" priority="342" operator="between" text="二代">
      <formula>NOT(ISERROR(SEARCH("二代",C1)))</formula>
    </cfRule>
    <cfRule type="containsText" dxfId="3" priority="343" operator="between" text="蛋糕">
      <formula>NOT(ISERROR(SEARCH("蛋糕",C1)))</formula>
    </cfRule>
  </conditionalFormatting>
  <conditionalFormatting sqref="X1:Y2">
    <cfRule type="containsText" dxfId="0" priority="560" operator="between" text="欠">
      <formula>NOT(ISERROR(SEARCH("欠",X1)))</formula>
    </cfRule>
  </conditionalFormatting>
  <conditionalFormatting sqref="Z1:AB2">
    <cfRule type="containsText" dxfId="0" priority="559" operator="between" text="欠">
      <formula>NOT(ISERROR(SEARCH("欠",Z1)))</formula>
    </cfRule>
  </conditionalFormatting>
  <conditionalFormatting sqref="AC1:AD2">
    <cfRule type="containsText" dxfId="0" priority="558" operator="between" text="欠">
      <formula>NOT(ISERROR(SEARCH("欠",AC1)))</formula>
    </cfRule>
  </conditionalFormatting>
  <conditionalFormatting sqref="AE1:AI2">
    <cfRule type="containsText" dxfId="0" priority="557" operator="between" text="欠">
      <formula>NOT(ISERROR(SEARCH("欠",AE1)))</formula>
    </cfRule>
  </conditionalFormatting>
  <conditionalFormatting sqref="AA15:AB16">
    <cfRule type="containsText" dxfId="0" priority="472" operator="between" text="欠">
      <formula>NOT(ISERROR(SEARCH("欠",AA15)))</formula>
    </cfRule>
  </conditionalFormatting>
  <conditionalFormatting sqref="AC15:AD16">
    <cfRule type="containsText" dxfId="0" priority="471" operator="between" text="欠">
      <formula>NOT(ISERROR(SEARCH("欠",AC15)))</formula>
    </cfRule>
  </conditionalFormatting>
  <conditionalFormatting sqref="AH15:AH16 AF15">
    <cfRule type="containsText" dxfId="0" priority="470" operator="between" text="欠">
      <formula>NOT(ISERROR(SEARCH("欠",AF15)))</formula>
    </cfRule>
  </conditionalFormatting>
  <conditionalFormatting sqref="X25:Y26">
    <cfRule type="containsText" dxfId="0" priority="341" operator="between" text="欠">
      <formula>NOT(ISERROR(SEARCH("欠",X25)))</formula>
    </cfRule>
  </conditionalFormatting>
  <conditionalFormatting sqref="Z25:AB26">
    <cfRule type="containsText" dxfId="0" priority="334" operator="between" text="欠">
      <formula>NOT(ISERROR(SEARCH("欠",Z25)))</formula>
    </cfRule>
  </conditionalFormatting>
  <conditionalFormatting sqref="AC25:AD26">
    <cfRule type="containsText" dxfId="0" priority="340" operator="between" text="欠">
      <formula>NOT(ISERROR(SEARCH("欠",AC25)))</formula>
    </cfRule>
  </conditionalFormatting>
  <conditionalFormatting sqref="AC28:AD30">
    <cfRule type="containsText" dxfId="0" priority="319" operator="between" text="欠">
      <formula>NOT(ISERROR(SEARCH("欠",AC28)))</formula>
    </cfRule>
  </conditionalFormatting>
  <conditionalFormatting sqref="Z32:AA36">
    <cfRule type="containsText" dxfId="0" priority="283" operator="between" text="欠">
      <formula>NOT(ISERROR(SEARCH("欠",Z32)))</formula>
    </cfRule>
  </conditionalFormatting>
  <conditionalFormatting sqref="AE32:AG33">
    <cfRule type="containsText" dxfId="0" priority="278" operator="between" text="欠">
      <formula>NOT(ISERROR(SEARCH("欠",AE32)))</formula>
    </cfRule>
  </conditionalFormatting>
  <conditionalFormatting sqref="AC48:AD49">
    <cfRule type="containsText" dxfId="0" priority="129" operator="between" text="欠">
      <formula>NOT(ISERROR(SEARCH("欠",AC48)))</formula>
    </cfRule>
  </conditionalFormatting>
  <conditionalFormatting sqref="AA53:AB54">
    <cfRule type="containsText" dxfId="0" priority="75" operator="between" text="欠">
      <formula>NOT(ISERROR(SEARCH("欠",AA53)))</formula>
    </cfRule>
  </conditionalFormatting>
  <conditionalFormatting sqref="AC53:AD54">
    <cfRule type="containsText" dxfId="0" priority="74" operator="between" text="欠">
      <formula>NOT(ISERROR(SEARCH("欠",AC53)))</formula>
    </cfRule>
  </conditionalFormatting>
  <conditionalFormatting sqref="AA55:AB56">
    <cfRule type="containsText" dxfId="0" priority="66" operator="between" text="欠">
      <formula>NOT(ISERROR(SEARCH("欠",AA55)))</formula>
    </cfRule>
  </conditionalFormatting>
  <pageMargins left="0.196527777777778" right="0.161111111111111" top="0.0152777777777778" bottom="0.2125" header="0.5" footer="0.5"/>
  <pageSetup paperSize="9" scale="40" fitToHeight="0" orientation="landscape" horizontalDpi="600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6"/>
  <sheetViews>
    <sheetView workbookViewId="0">
      <pane ySplit="1" topLeftCell="A147" activePane="bottomLeft" state="frozen"/>
      <selection/>
      <selection pane="bottomLeft" activeCell="H178" sqref="H178"/>
    </sheetView>
  </sheetViews>
  <sheetFormatPr defaultColWidth="15.625" defaultRowHeight="20" customHeight="1"/>
  <cols>
    <col min="1" max="1" width="20.625" style="2" customWidth="1"/>
    <col min="2" max="6" width="10.625" style="2" customWidth="1"/>
    <col min="7" max="7" width="10.625" style="4" customWidth="1"/>
    <col min="8" max="12" width="10.625" style="5" customWidth="1"/>
    <col min="13" max="13" width="10.625" style="4" customWidth="1"/>
    <col min="14" max="16384" width="15.625" style="2" customWidth="1"/>
  </cols>
  <sheetData>
    <row r="1" s="1" customFormat="1" customHeight="1" spans="1:13">
      <c r="A1" s="6" t="s">
        <v>0</v>
      </c>
      <c r="B1" s="6" t="s">
        <v>2061</v>
      </c>
      <c r="C1" s="6" t="s">
        <v>2062</v>
      </c>
      <c r="D1" s="6" t="s">
        <v>2063</v>
      </c>
      <c r="E1" s="6" t="s">
        <v>2064</v>
      </c>
      <c r="F1" s="6" t="s">
        <v>2065</v>
      </c>
      <c r="G1" s="7" t="s">
        <v>2066</v>
      </c>
      <c r="H1" s="8" t="s">
        <v>2061</v>
      </c>
      <c r="I1" s="6" t="s">
        <v>2062</v>
      </c>
      <c r="J1" s="6" t="s">
        <v>2063</v>
      </c>
      <c r="K1" s="6" t="s">
        <v>2064</v>
      </c>
      <c r="L1" s="8" t="s">
        <v>2065</v>
      </c>
      <c r="M1" s="7" t="s">
        <v>2066</v>
      </c>
    </row>
    <row r="2" customHeight="1" spans="1:13">
      <c r="A2" s="9" t="s">
        <v>123</v>
      </c>
      <c r="B2" s="2">
        <f>SUMIF(总接单!E:E,A2,总接单!F:F)</f>
        <v>116398</v>
      </c>
      <c r="C2" s="2">
        <f>SUMIF(一二代排期!H:H,A2,一二代排期!J:J)</f>
        <v>0</v>
      </c>
      <c r="D2" s="2">
        <f>SUMIF(三代排期!H:H,A2,三代排期!J:J)</f>
        <v>0</v>
      </c>
      <c r="E2" s="2">
        <f>SUMIF(蛋糕系列!H:H,A2,蛋糕系列!J:J)</f>
        <v>70160</v>
      </c>
      <c r="F2" s="2">
        <f>SUMIF(已走货!H:H,A2,已走货!J:J)</f>
        <v>46238</v>
      </c>
      <c r="G2" s="4">
        <f t="shared" ref="G2:G65" si="0">B2-C2-D2-F2-E2</f>
        <v>0</v>
      </c>
      <c r="H2" s="5">
        <f>SUMIF(总接单!E:E,A2,总接单!BX:BX)</f>
        <v>704350.85</v>
      </c>
      <c r="I2" s="5">
        <f>SUMIF(一二代排期!H:H,A2,一二代排期!AQ:AQ)</f>
        <v>0</v>
      </c>
      <c r="J2" s="5">
        <f>SUMIF(三代排期!H:H,A2,三代排期!AQ:AQ)</f>
        <v>0</v>
      </c>
      <c r="K2" s="5">
        <f>SUMIF(蛋糕系列!H:H,A2,蛋糕系列!AQ:AQ)</f>
        <v>423399.24</v>
      </c>
      <c r="L2" s="5">
        <f>SUMIF(已走货!H:H,A2,已走货!AQ:AQ)</f>
        <v>280951.61</v>
      </c>
      <c r="M2" s="4">
        <f t="shared" ref="M2:M65" si="1">H2-I2-J2-L2-K2</f>
        <v>0</v>
      </c>
    </row>
    <row r="3" customHeight="1" spans="1:13">
      <c r="A3" s="2" t="s">
        <v>50</v>
      </c>
      <c r="B3" s="2">
        <f>SUMIF(总接单!E:E,A3,总接单!F:F)</f>
        <v>617484</v>
      </c>
      <c r="C3" s="2">
        <f>SUMIF(一二代排期!H:H,A3,一二代排期!J:J)</f>
        <v>0</v>
      </c>
      <c r="D3" s="2">
        <f>SUMIF(三代排期!H:H,A3,三代排期!J:J)</f>
        <v>0</v>
      </c>
      <c r="E3" s="2">
        <f>SUMIF(蛋糕系列!H:H,A3,蛋糕系列!J:J)</f>
        <v>318810</v>
      </c>
      <c r="F3" s="2">
        <f>SUMIF(已走货!H:H,A3,已走货!J:J)</f>
        <v>298674</v>
      </c>
      <c r="G3" s="4">
        <f t="shared" si="0"/>
        <v>0</v>
      </c>
      <c r="H3" s="5">
        <f>SUMIF(总接单!E:E,A3,总接单!BX:BX)</f>
        <v>5147155.27</v>
      </c>
      <c r="I3" s="5">
        <f>SUMIF(一二代排期!H:H,A3,一二代排期!AQ:AQ)</f>
        <v>0</v>
      </c>
      <c r="J3" s="5">
        <f>SUMIF(三代排期!H:H,A3,三代排期!AQ:AQ)</f>
        <v>0</v>
      </c>
      <c r="K3" s="5">
        <f>SUMIF(蛋糕系列!H:H,A3,蛋糕系列!AQ:AQ)</f>
        <v>2661894.39</v>
      </c>
      <c r="L3" s="5">
        <f>SUMIF(已走货!H:H,A3,已走货!AQ:AQ)</f>
        <v>2485260.88</v>
      </c>
      <c r="M3" s="4">
        <f t="shared" si="1"/>
        <v>0</v>
      </c>
    </row>
    <row r="4" customHeight="1" spans="1:13">
      <c r="A4" s="9" t="s">
        <v>106</v>
      </c>
      <c r="B4" s="2">
        <f>SUMIF(总接单!E:E,A4,总接单!F:F)</f>
        <v>42264</v>
      </c>
      <c r="C4" s="2">
        <f>SUMIF(一二代排期!H:H,A4,一二代排期!J:J)</f>
        <v>0</v>
      </c>
      <c r="D4" s="2">
        <f>SUMIF(三代排期!H:H,A4,三代排期!J:J)</f>
        <v>0</v>
      </c>
      <c r="E4" s="2">
        <f>SUMIF(蛋糕系列!H:H,A4,蛋糕系列!J:J)</f>
        <v>12258</v>
      </c>
      <c r="F4" s="2">
        <f>SUMIF(已走货!H:H,A4,已走货!J:J)</f>
        <v>30006</v>
      </c>
      <c r="G4" s="4">
        <f t="shared" si="0"/>
        <v>0</v>
      </c>
      <c r="H4" s="5">
        <f>SUMIF(总接单!E:E,A4,总接单!BX:BX)</f>
        <v>343944.23</v>
      </c>
      <c r="I4" s="5">
        <f>SUMIF(一二代排期!H:H,A4,一二代排期!AQ:AQ)</f>
        <v>0</v>
      </c>
      <c r="J4" s="5">
        <f>SUMIF(三代排期!H:H,A4,三代排期!AQ:AQ)</f>
        <v>0</v>
      </c>
      <c r="K4" s="5">
        <f>SUMIF(蛋糕系列!H:H,A4,蛋糕系列!AQ:AQ)</f>
        <v>99770.4</v>
      </c>
      <c r="L4" s="5">
        <f>SUMIF(已走货!H:H,A4,已走货!AQ:AQ)</f>
        <v>244173.83</v>
      </c>
      <c r="M4" s="4">
        <f t="shared" si="1"/>
        <v>0</v>
      </c>
    </row>
    <row r="5" customHeight="1" spans="1:13">
      <c r="A5" s="2" t="s">
        <v>129</v>
      </c>
      <c r="B5" s="2">
        <f>SUMIF(总接单!E:E,A5,总接单!F:F)</f>
        <v>9750</v>
      </c>
      <c r="C5" s="2">
        <f>SUMIF(一二代排期!H:H,A5,一二代排期!J:J)</f>
        <v>0</v>
      </c>
      <c r="D5" s="2">
        <f>SUMIF(三代排期!H:H,A5,三代排期!J:J)</f>
        <v>0</v>
      </c>
      <c r="E5" s="2">
        <f>SUMIF(蛋糕系列!H:H,A5,蛋糕系列!J:J)</f>
        <v>990</v>
      </c>
      <c r="F5" s="2">
        <f>SUMIF(已走货!H:H,A5,已走货!J:J)</f>
        <v>8760</v>
      </c>
      <c r="G5" s="4">
        <f t="shared" si="0"/>
        <v>0</v>
      </c>
      <c r="H5" s="5">
        <f>SUMIF(总接单!E:E,A5,总接单!BX:BX)</f>
        <v>116882.4</v>
      </c>
      <c r="I5" s="5">
        <f>SUMIF(一二代排期!H:H,A5,一二代排期!AQ:AQ)</f>
        <v>0</v>
      </c>
      <c r="J5" s="5">
        <f>SUMIF(三代排期!H:H,A5,三代排期!AQ:AQ)</f>
        <v>0</v>
      </c>
      <c r="K5" s="5">
        <f>SUMIF(蛋糕系列!H:H,A5,蛋糕系列!AQ:AQ)</f>
        <v>9207</v>
      </c>
      <c r="L5" s="5">
        <f>SUMIF(已走货!H:H,A5,已走货!AQ:AQ)</f>
        <v>107675.4</v>
      </c>
      <c r="M5" s="4">
        <f t="shared" si="1"/>
        <v>0</v>
      </c>
    </row>
    <row r="6" customHeight="1" spans="1:13">
      <c r="A6" s="2" t="s">
        <v>130</v>
      </c>
      <c r="B6" s="2">
        <f>SUMIF(总接单!E:E,A6,总接单!F:F)</f>
        <v>9750</v>
      </c>
      <c r="C6" s="2">
        <f>SUMIF(一二代排期!H:H,A6,一二代排期!J:J)</f>
        <v>0</v>
      </c>
      <c r="D6" s="2">
        <f>SUMIF(三代排期!H:H,A6,三代排期!J:J)</f>
        <v>0</v>
      </c>
      <c r="E6" s="2">
        <f>SUMIF(蛋糕系列!H:H,A6,蛋糕系列!J:J)</f>
        <v>990</v>
      </c>
      <c r="F6" s="2">
        <f>SUMIF(已走货!H:H,A6,已走货!J:J)</f>
        <v>8760</v>
      </c>
      <c r="G6" s="4">
        <f t="shared" si="0"/>
        <v>0</v>
      </c>
      <c r="H6" s="5">
        <f>SUMIF(总接单!E:E,A6,总接单!BX:BX)</f>
        <v>116882.4</v>
      </c>
      <c r="I6" s="5">
        <f>SUMIF(一二代排期!H:H,A6,一二代排期!AQ:AQ)</f>
        <v>0</v>
      </c>
      <c r="J6" s="5">
        <f>SUMIF(三代排期!H:H,A6,三代排期!AQ:AQ)</f>
        <v>0</v>
      </c>
      <c r="K6" s="5">
        <f>SUMIF(蛋糕系列!H:H,A6,蛋糕系列!AQ:AQ)</f>
        <v>9207</v>
      </c>
      <c r="L6" s="5">
        <f>SUMIF(已走货!H:H,A6,已走货!AQ:AQ)</f>
        <v>107675.4</v>
      </c>
      <c r="M6" s="4">
        <f t="shared" si="1"/>
        <v>0</v>
      </c>
    </row>
    <row r="7" customHeight="1" spans="1:13">
      <c r="A7" s="2" t="s">
        <v>131</v>
      </c>
      <c r="B7" s="2">
        <f>SUMIF(总接单!E:E,A7,总接单!F:F)</f>
        <v>7980</v>
      </c>
      <c r="C7" s="2">
        <f>SUMIF(一二代排期!H:H,A7,一二代排期!J:J)</f>
        <v>0</v>
      </c>
      <c r="D7" s="2">
        <f>SUMIF(三代排期!H:H,A7,三代排期!J:J)</f>
        <v>0</v>
      </c>
      <c r="E7" s="2">
        <f>SUMIF(蛋糕系列!H:H,A7,蛋糕系列!J:J)</f>
        <v>1410</v>
      </c>
      <c r="F7" s="2">
        <f>SUMIF(已走货!H:H,A7,已走货!J:J)</f>
        <v>6570</v>
      </c>
      <c r="G7" s="4">
        <f t="shared" si="0"/>
        <v>0</v>
      </c>
      <c r="H7" s="5">
        <f>SUMIF(总接单!E:E,A7,总接单!BX:BX)</f>
        <v>93853.28</v>
      </c>
      <c r="I7" s="5">
        <f>SUMIF(一二代排期!H:H,A7,一二代排期!AQ:AQ)</f>
        <v>0</v>
      </c>
      <c r="J7" s="5">
        <f>SUMIF(三代排期!H:H,A7,三代排期!AQ:AQ)</f>
        <v>0</v>
      </c>
      <c r="K7" s="5">
        <f>SUMIF(蛋糕系列!H:H,A7,蛋糕系列!AQ:AQ)</f>
        <v>13113</v>
      </c>
      <c r="L7" s="5">
        <f>SUMIF(已走货!H:H,A7,已走货!AQ:AQ)</f>
        <v>80740.28</v>
      </c>
      <c r="M7" s="4">
        <f t="shared" si="1"/>
        <v>0</v>
      </c>
    </row>
    <row r="8" customHeight="1" spans="1:13">
      <c r="A8" s="2" t="s">
        <v>52</v>
      </c>
      <c r="B8" s="2">
        <f>SUMIF(总接单!E:E,A8,总接单!F:F)</f>
        <v>37591</v>
      </c>
      <c r="C8" s="2">
        <f>SUMIF(一二代排期!H:H,A8,一二代排期!J:J)</f>
        <v>0</v>
      </c>
      <c r="D8" s="2">
        <f>SUMIF(三代排期!H:H,A8,三代排期!J:J)</f>
        <v>0</v>
      </c>
      <c r="E8" s="2">
        <f>SUMIF(蛋糕系列!H:H,A8,蛋糕系列!J:J)</f>
        <v>14447</v>
      </c>
      <c r="F8" s="2">
        <f>SUMIF(已走货!H:H,A8,已走货!J:J)</f>
        <v>23144</v>
      </c>
      <c r="G8" s="4">
        <f t="shared" si="0"/>
        <v>0</v>
      </c>
      <c r="H8" s="5">
        <f>SUMIF(总接单!E:E,A8,总接单!BX:BX)</f>
        <v>828882.96</v>
      </c>
      <c r="I8" s="5">
        <f>SUMIF(一二代排期!H:H,A8,一二代排期!AQ:AQ)</f>
        <v>0</v>
      </c>
      <c r="J8" s="5">
        <f>SUMIF(三代排期!H:H,A8,三代排期!AQ:AQ)</f>
        <v>0</v>
      </c>
      <c r="K8" s="5">
        <f>SUMIF(蛋糕系列!H:H,A8,蛋糕系列!AQ:AQ)</f>
        <v>327315.36</v>
      </c>
      <c r="L8" s="5">
        <f>SUMIF(已走货!H:H,A8,已走货!AQ:AQ)</f>
        <v>501567.6</v>
      </c>
      <c r="M8" s="4">
        <f t="shared" si="1"/>
        <v>0</v>
      </c>
    </row>
    <row r="9" customHeight="1" spans="1:13">
      <c r="A9" s="9" t="s">
        <v>109</v>
      </c>
      <c r="B9" s="2">
        <f>SUMIF(总接单!E:E,A9,总接单!F:F)</f>
        <v>165432</v>
      </c>
      <c r="C9" s="2">
        <f>SUMIF(一二代排期!H:H,A9,一二代排期!J:J)</f>
        <v>0</v>
      </c>
      <c r="D9" s="2">
        <f>SUMIF(三代排期!H:H,A9,三代排期!J:J)</f>
        <v>112272</v>
      </c>
      <c r="E9" s="2">
        <f>SUMIF(蛋糕系列!H:H,A9,蛋糕系列!J:J)</f>
        <v>0</v>
      </c>
      <c r="F9" s="2">
        <f>SUMIF(已走货!H:H,A9,已走货!J:J)</f>
        <v>53160</v>
      </c>
      <c r="G9" s="4">
        <f t="shared" si="0"/>
        <v>0</v>
      </c>
      <c r="H9" s="5">
        <f>SUMIF(总接单!E:E,A9,总接单!BX:BX)</f>
        <v>784899.54</v>
      </c>
      <c r="I9" s="5">
        <f>SUMIF(一二代排期!H:H,A9,一二代排期!AQ:AQ)</f>
        <v>0</v>
      </c>
      <c r="J9" s="5">
        <f>SUMIF(三代排期!H:H,A9,三代排期!AQ:AQ)</f>
        <v>538310.04</v>
      </c>
      <c r="K9" s="5">
        <f>SUMIF(蛋糕系列!H:H,A9,蛋糕系列!AQ:AQ)</f>
        <v>0</v>
      </c>
      <c r="L9" s="5">
        <f>SUMIF(已走货!H:H,A9,已走货!AQ:AQ)</f>
        <v>246589.5</v>
      </c>
      <c r="M9" s="4">
        <f t="shared" si="1"/>
        <v>0</v>
      </c>
    </row>
    <row r="10" customHeight="1" spans="1:13">
      <c r="A10" s="2" t="s">
        <v>114</v>
      </c>
      <c r="B10" s="2">
        <f>SUMIF(总接单!E:E,A10,总接单!F:F)</f>
        <v>28035</v>
      </c>
      <c r="C10" s="2">
        <f>SUMIF(一二代排期!H:H,A10,一二代排期!J:J)</f>
        <v>0</v>
      </c>
      <c r="D10" s="2">
        <f>SUMIF(三代排期!H:H,A10,三代排期!J:J)</f>
        <v>18</v>
      </c>
      <c r="E10" s="2">
        <f>SUMIF(蛋糕系列!H:H,A10,蛋糕系列!J:J)</f>
        <v>0</v>
      </c>
      <c r="F10" s="2">
        <f>SUMIF(已走货!H:H,A10,已走货!J:J)</f>
        <v>28017</v>
      </c>
      <c r="G10" s="4">
        <f t="shared" si="0"/>
        <v>0</v>
      </c>
      <c r="H10" s="5">
        <f>SUMIF(总接单!E:E,A10,总接单!BX:BX)</f>
        <v>131985.84</v>
      </c>
      <c r="I10" s="5">
        <f>SUMIF(一二代排期!H:H,A10,一二代排期!AQ:AQ)</f>
        <v>0</v>
      </c>
      <c r="J10" s="5">
        <f>SUMIF(三代排期!H:H,A10,三代排期!AQ:AQ)</f>
        <v>0</v>
      </c>
      <c r="K10" s="5">
        <f>SUMIF(蛋糕系列!H:H,A10,蛋糕系列!AQ:AQ)</f>
        <v>0</v>
      </c>
      <c r="L10" s="5">
        <f>SUMIF(已走货!H:H,A10,已走货!AQ:AQ)</f>
        <v>131985.84</v>
      </c>
      <c r="M10" s="4">
        <f t="shared" si="1"/>
        <v>0</v>
      </c>
    </row>
    <row r="11" s="2" customFormat="1" customHeight="1" spans="1:13">
      <c r="A11" s="2" t="s">
        <v>53</v>
      </c>
      <c r="B11" s="2">
        <f>SUMIF(总接单!E:E,A11,总接单!F:F)</f>
        <v>21048</v>
      </c>
      <c r="C11" s="2">
        <f>SUMIF(一二代排期!H:H,A11,一二代排期!J:J)</f>
        <v>0</v>
      </c>
      <c r="D11" s="2">
        <f>SUMIF(三代排期!H:H,A11,三代排期!J:J)</f>
        <v>0</v>
      </c>
      <c r="E11" s="2">
        <f>SUMIF(蛋糕系列!H:H,A11,蛋糕系列!J:J)</f>
        <v>0</v>
      </c>
      <c r="F11" s="2">
        <f>SUMIF(已走货!H:H,A11,已走货!J:J)</f>
        <v>21048</v>
      </c>
      <c r="G11" s="4">
        <f t="shared" si="0"/>
        <v>0</v>
      </c>
      <c r="H11" s="5">
        <f>SUMIF(总接单!E:E,A11,总接单!BX:BX)</f>
        <v>102127.02</v>
      </c>
      <c r="I11" s="5">
        <f>SUMIF(一二代排期!H:H,A11,一二代排期!AQ:AQ)</f>
        <v>0</v>
      </c>
      <c r="J11" s="5">
        <f>SUMIF(三代排期!H:H,A11,三代排期!AQ:AQ)</f>
        <v>0</v>
      </c>
      <c r="K11" s="5">
        <f>SUMIF(蛋糕系列!H:H,A11,蛋糕系列!AQ:AQ)</f>
        <v>0</v>
      </c>
      <c r="L11" s="5">
        <f>SUMIF(已走货!H:H,A11,已走货!AQ:AQ)</f>
        <v>102127.02</v>
      </c>
      <c r="M11" s="4">
        <f t="shared" si="1"/>
        <v>0</v>
      </c>
    </row>
    <row r="12" customHeight="1" spans="1:13">
      <c r="A12" s="2" t="s">
        <v>54</v>
      </c>
      <c r="B12" s="2">
        <f>SUMIF(总接单!E:E,A12,总接单!F:F)</f>
        <v>6003</v>
      </c>
      <c r="C12" s="2">
        <f>SUMIF(一二代排期!H:H,A12,一二代排期!J:J)</f>
        <v>0</v>
      </c>
      <c r="D12" s="2">
        <f>SUMIF(三代排期!H:H,A12,三代排期!J:J)</f>
        <v>0</v>
      </c>
      <c r="E12" s="2">
        <f>SUMIF(蛋糕系列!H:H,A12,蛋糕系列!J:J)</f>
        <v>0</v>
      </c>
      <c r="F12" s="2">
        <f>SUMIF(已走货!H:H,A12,已走货!J:J)</f>
        <v>6003</v>
      </c>
      <c r="G12" s="4">
        <f t="shared" si="0"/>
        <v>0</v>
      </c>
      <c r="H12" s="5">
        <f>SUMIF(总接单!E:E,A12,总接单!BX:BX)</f>
        <v>27913.95</v>
      </c>
      <c r="I12" s="5">
        <f>SUMIF(一二代排期!H:H,A12,一二代排期!AQ:AQ)</f>
        <v>0</v>
      </c>
      <c r="J12" s="5">
        <f>SUMIF(三代排期!H:H,A12,三代排期!AQ:AQ)</f>
        <v>0</v>
      </c>
      <c r="K12" s="5">
        <f>SUMIF(蛋糕系列!H:H,A12,蛋糕系列!AQ:AQ)</f>
        <v>0</v>
      </c>
      <c r="L12" s="5">
        <f>SUMIF(已走货!H:H,A12,已走货!AQ:AQ)</f>
        <v>27913.95</v>
      </c>
      <c r="M12" s="4">
        <f t="shared" si="1"/>
        <v>0</v>
      </c>
    </row>
    <row r="13" customHeight="1" spans="1:13">
      <c r="A13" s="2" t="s">
        <v>28</v>
      </c>
      <c r="B13" s="2">
        <f>SUMIF(总接单!E:E,A13,总接单!F:F)</f>
        <v>5160</v>
      </c>
      <c r="C13" s="2">
        <f>SUMIF(一二代排期!H:H,A13,一二代排期!J:J)</f>
        <v>0</v>
      </c>
      <c r="D13" s="2">
        <f>SUMIF(三代排期!H:H,A13,三代排期!J:J)</f>
        <v>0</v>
      </c>
      <c r="E13" s="2">
        <f>SUMIF(蛋糕系列!H:H,A13,蛋糕系列!J:J)</f>
        <v>0</v>
      </c>
      <c r="F13" s="2">
        <f>SUMIF(已走货!H:H,A13,已走货!J:J)</f>
        <v>5160</v>
      </c>
      <c r="G13" s="4">
        <f t="shared" si="0"/>
        <v>0</v>
      </c>
      <c r="H13" s="5">
        <f>SUMIF(总接单!E:E,A13,总接单!BX:BX)</f>
        <v>50463.66</v>
      </c>
      <c r="I13" s="5">
        <f>SUMIF(一二代排期!H:H,A13,一二代排期!AQ:AQ)</f>
        <v>0</v>
      </c>
      <c r="J13" s="5">
        <f>SUMIF(三代排期!H:H,A13,三代排期!AQ:AQ)</f>
        <v>0</v>
      </c>
      <c r="K13" s="5">
        <f>SUMIF(蛋糕系列!H:H,A13,蛋糕系列!AQ:AQ)</f>
        <v>0</v>
      </c>
      <c r="L13" s="5">
        <f>SUMIF(已走货!H:H,A13,已走货!AQ:AQ)</f>
        <v>50463.66</v>
      </c>
      <c r="M13" s="4">
        <f t="shared" si="1"/>
        <v>0</v>
      </c>
    </row>
    <row r="14" customHeight="1" spans="1:13">
      <c r="A14" s="9" t="s">
        <v>100</v>
      </c>
      <c r="B14" s="2">
        <f>SUMIF(总接单!E:E,A14,总接单!F:F)</f>
        <v>7824</v>
      </c>
      <c r="C14" s="2">
        <f>SUMIF(一二代排期!H:H,A14,一二代排期!J:J)</f>
        <v>0</v>
      </c>
      <c r="D14" s="2">
        <f>SUMIF(三代排期!H:H,A14,三代排期!J:J)</f>
        <v>1824</v>
      </c>
      <c r="E14" s="2">
        <f>SUMIF(蛋糕系列!H:H,A14,蛋糕系列!J:J)</f>
        <v>0</v>
      </c>
      <c r="F14" s="2">
        <f>SUMIF(已走货!H:H,A14,已走货!J:J)</f>
        <v>6000</v>
      </c>
      <c r="G14" s="4">
        <f t="shared" si="0"/>
        <v>0</v>
      </c>
      <c r="H14" s="5">
        <f>SUMIF(总接单!E:E,A14,总接单!BX:BX)</f>
        <v>76492.5</v>
      </c>
      <c r="I14" s="5">
        <f>SUMIF(一二代排期!H:H,A14,一二代排期!AQ:AQ)</f>
        <v>0</v>
      </c>
      <c r="J14" s="5">
        <f>SUMIF(三代排期!H:H,A14,三代排期!AQ:AQ)</f>
        <v>18832.5</v>
      </c>
      <c r="K14" s="5">
        <f>SUMIF(蛋糕系列!H:H,A14,蛋糕系列!AQ:AQ)</f>
        <v>0</v>
      </c>
      <c r="L14" s="5">
        <f>SUMIF(已走货!H:H,A14,已走货!AQ:AQ)</f>
        <v>57660</v>
      </c>
      <c r="M14" s="4">
        <f t="shared" si="1"/>
        <v>0</v>
      </c>
    </row>
    <row r="15" customHeight="1" spans="1:13">
      <c r="A15" s="9" t="s">
        <v>132</v>
      </c>
      <c r="B15" s="2">
        <f>SUMIF(总接单!E:E,A15,总接单!F:F)</f>
        <v>2400</v>
      </c>
      <c r="C15" s="2">
        <f>SUMIF(一二代排期!H:H,A15,一二代排期!J:J)</f>
        <v>0</v>
      </c>
      <c r="D15" s="2">
        <f>SUMIF(三代排期!H:H,A15,三代排期!J:J)</f>
        <v>2400</v>
      </c>
      <c r="E15" s="2">
        <f>SUMIF(蛋糕系列!H:H,A15,蛋糕系列!J:J)</f>
        <v>0</v>
      </c>
      <c r="F15" s="2">
        <f>SUMIF(已走货!H:H,A15,已走货!J:J)</f>
        <v>0</v>
      </c>
      <c r="G15" s="4">
        <f t="shared" si="0"/>
        <v>0</v>
      </c>
      <c r="H15" s="5">
        <f>SUMIF(总接单!E:E,A15,总接单!BX:BX)</f>
        <v>11160</v>
      </c>
      <c r="I15" s="5">
        <f>SUMIF(一二代排期!H:H,A15,一二代排期!AQ:AQ)</f>
        <v>0</v>
      </c>
      <c r="J15" s="5">
        <f>SUMIF(三代排期!H:H,A15,三代排期!AQ:AQ)</f>
        <v>11160</v>
      </c>
      <c r="K15" s="5">
        <f>SUMIF(蛋糕系列!H:H,A15,蛋糕系列!AQ:AQ)</f>
        <v>0</v>
      </c>
      <c r="L15" s="5">
        <f>SUMIF(已走货!H:H,A15,已走货!AQ:AQ)</f>
        <v>0</v>
      </c>
      <c r="M15" s="4">
        <f t="shared" si="1"/>
        <v>0</v>
      </c>
    </row>
    <row r="16" customHeight="1" spans="1:13">
      <c r="A16" s="2" t="s">
        <v>133</v>
      </c>
      <c r="B16" s="2">
        <f>SUMIF(总接单!E:E,A16,总接单!F:F)</f>
        <v>2400</v>
      </c>
      <c r="C16" s="2">
        <f>SUMIF(一二代排期!H:H,A16,一二代排期!J:J)</f>
        <v>0</v>
      </c>
      <c r="D16" s="2">
        <f>SUMIF(三代排期!H:H,A16,三代排期!J:J)</f>
        <v>2400</v>
      </c>
      <c r="E16" s="2">
        <f>SUMIF(蛋糕系列!H:H,A16,蛋糕系列!J:J)</f>
        <v>0</v>
      </c>
      <c r="F16" s="2">
        <f>SUMIF(已走货!H:H,A16,已走货!J:J)</f>
        <v>0</v>
      </c>
      <c r="G16" s="4">
        <f t="shared" si="0"/>
        <v>0</v>
      </c>
      <c r="H16" s="5">
        <f>SUMIF(总接单!E:E,A16,总接单!BX:BX)</f>
        <v>11160</v>
      </c>
      <c r="I16" s="5">
        <f>SUMIF(一二代排期!H:H,A16,一二代排期!AQ:AQ)</f>
        <v>0</v>
      </c>
      <c r="J16" s="5">
        <f>SUMIF(三代排期!H:H,A16,三代排期!AQ:AQ)</f>
        <v>11160</v>
      </c>
      <c r="K16" s="5">
        <f>SUMIF(蛋糕系列!H:H,A16,蛋糕系列!AQ:AQ)</f>
        <v>0</v>
      </c>
      <c r="L16" s="5">
        <f>SUMIF(已走货!H:H,A16,已走货!AQ:AQ)</f>
        <v>0</v>
      </c>
      <c r="M16" s="4">
        <f t="shared" si="1"/>
        <v>0</v>
      </c>
    </row>
    <row r="17" customHeight="1" spans="1:13">
      <c r="A17" s="2" t="s">
        <v>134</v>
      </c>
      <c r="B17" s="2">
        <f>SUMIF(总接单!E:E,A17,总接单!F:F)</f>
        <v>2400</v>
      </c>
      <c r="C17" s="2">
        <f>SUMIF(一二代排期!H:H,A17,一二代排期!J:J)</f>
        <v>0</v>
      </c>
      <c r="D17" s="2">
        <f>SUMIF(三代排期!H:H,A17,三代排期!J:J)</f>
        <v>2400</v>
      </c>
      <c r="E17" s="2">
        <f>SUMIF(蛋糕系列!H:H,A17,蛋糕系列!J:J)</f>
        <v>0</v>
      </c>
      <c r="F17" s="2">
        <f>SUMIF(已走货!H:H,A17,已走货!J:J)</f>
        <v>0</v>
      </c>
      <c r="G17" s="4">
        <f t="shared" si="0"/>
        <v>0</v>
      </c>
      <c r="H17" s="5">
        <f>SUMIF(总接单!E:E,A17,总接单!BX:BX)</f>
        <v>11160</v>
      </c>
      <c r="I17" s="5">
        <f>SUMIF(一二代排期!H:H,A17,一二代排期!AQ:AQ)</f>
        <v>0</v>
      </c>
      <c r="J17" s="5">
        <f>SUMIF(三代排期!H:H,A17,三代排期!AQ:AQ)</f>
        <v>11160</v>
      </c>
      <c r="K17" s="5">
        <f>SUMIF(蛋糕系列!H:H,A17,蛋糕系列!AQ:AQ)</f>
        <v>0</v>
      </c>
      <c r="L17" s="5">
        <f>SUMIF(已走货!H:H,A17,已走货!AQ:AQ)</f>
        <v>0</v>
      </c>
      <c r="M17" s="4">
        <f t="shared" si="1"/>
        <v>0</v>
      </c>
    </row>
    <row r="18" customHeight="1" spans="1:13">
      <c r="A18" s="9" t="s">
        <v>135</v>
      </c>
      <c r="B18" s="2">
        <f>SUMIF(总接单!E:E,A18,总接单!F:F)</f>
        <v>2400</v>
      </c>
      <c r="C18" s="2">
        <f>SUMIF(一二代排期!H:H,A18,一二代排期!J:J)</f>
        <v>0</v>
      </c>
      <c r="D18" s="2">
        <f>SUMIF(三代排期!H:H,A18,三代排期!J:J)</f>
        <v>2400</v>
      </c>
      <c r="E18" s="2">
        <f>SUMIF(蛋糕系列!H:H,A18,蛋糕系列!J:J)</f>
        <v>0</v>
      </c>
      <c r="F18" s="2">
        <f>SUMIF(已走货!H:H,A18,已走货!J:J)</f>
        <v>0</v>
      </c>
      <c r="G18" s="4">
        <f t="shared" si="0"/>
        <v>0</v>
      </c>
      <c r="H18" s="5">
        <f>SUMIF(总接单!E:E,A18,总接单!BX:BX)</f>
        <v>11160</v>
      </c>
      <c r="I18" s="5">
        <f>SUMIF(一二代排期!H:H,A18,一二代排期!AQ:AQ)</f>
        <v>0</v>
      </c>
      <c r="J18" s="5">
        <f>SUMIF(三代排期!H:H,A18,三代排期!AQ:AQ)</f>
        <v>11160</v>
      </c>
      <c r="K18" s="5">
        <f>SUMIF(蛋糕系列!H:H,A18,蛋糕系列!AQ:AQ)</f>
        <v>0</v>
      </c>
      <c r="L18" s="5">
        <f>SUMIF(已走货!H:H,A18,已走货!AQ:AQ)</f>
        <v>0</v>
      </c>
      <c r="M18" s="4">
        <f t="shared" si="1"/>
        <v>0</v>
      </c>
    </row>
    <row r="19" customHeight="1" spans="1:13">
      <c r="A19" s="9" t="s">
        <v>110</v>
      </c>
      <c r="B19" s="2">
        <f>SUMIF(总接单!E:E,A19,总接单!F:F)</f>
        <v>92424</v>
      </c>
      <c r="C19" s="2">
        <f>SUMIF(一二代排期!H:H,A19,一二代排期!J:J)</f>
        <v>0</v>
      </c>
      <c r="D19" s="2">
        <f>SUMIF(三代排期!H:H,A19,三代排期!J:J)</f>
        <v>91200</v>
      </c>
      <c r="E19" s="2">
        <f>SUMIF(蛋糕系列!H:H,A19,蛋糕系列!J:J)</f>
        <v>0</v>
      </c>
      <c r="F19" s="2">
        <f>SUMIF(已走货!H:H,A19,已走货!J:J)</f>
        <v>1224</v>
      </c>
      <c r="G19" s="4">
        <f t="shared" si="0"/>
        <v>0</v>
      </c>
      <c r="H19" s="5">
        <f>SUMIF(总接单!E:E,A19,总接单!BX:BX)</f>
        <v>422608.74</v>
      </c>
      <c r="I19" s="5">
        <f>SUMIF(一二代排期!H:H,A19,一二代排期!AQ:AQ)</f>
        <v>0</v>
      </c>
      <c r="J19" s="5">
        <f>SUMIF(三代排期!H:H,A19,三代排期!AQ:AQ)</f>
        <v>417012</v>
      </c>
      <c r="K19" s="5">
        <f>SUMIF(蛋糕系列!H:H,A19,蛋糕系列!AQ:AQ)</f>
        <v>0</v>
      </c>
      <c r="L19" s="5">
        <f>SUMIF(已走货!H:H,A19,已走货!AQ:AQ)</f>
        <v>5596.74</v>
      </c>
      <c r="M19" s="4">
        <f t="shared" si="1"/>
        <v>0</v>
      </c>
    </row>
    <row r="20" customHeight="1" spans="1:13">
      <c r="A20" s="2" t="s">
        <v>23</v>
      </c>
      <c r="B20" s="2">
        <f>SUMIF(总接单!E:E,A20,总接单!F:F)</f>
        <v>1005000</v>
      </c>
      <c r="C20" s="2">
        <f>SUMIF(一二代排期!H:H,A20,一二代排期!J:J)</f>
        <v>5000</v>
      </c>
      <c r="D20" s="2">
        <f>SUMIF(三代排期!H:H,A20,三代排期!J:J)</f>
        <v>0</v>
      </c>
      <c r="E20" s="2">
        <f>SUMIF(蛋糕系列!H:H,A20,蛋糕系列!J:J)</f>
        <v>0</v>
      </c>
      <c r="F20" s="2">
        <f>SUMIF(已走货!H:H,A20,已走货!J:J)</f>
        <v>1000000</v>
      </c>
      <c r="G20" s="4">
        <f t="shared" si="0"/>
        <v>0</v>
      </c>
      <c r="H20" s="5">
        <f>SUMIF(总接单!E:E,A20,总接单!BX:BX)</f>
        <v>70525</v>
      </c>
      <c r="I20" s="5">
        <f>SUMIF(一二代排期!H:H,A20,一二代排期!AQ:AQ)</f>
        <v>3875</v>
      </c>
      <c r="J20" s="5">
        <f>SUMIF(三代排期!H:H,A20,三代排期!AQ:AQ)</f>
        <v>0</v>
      </c>
      <c r="K20" s="5">
        <f>SUMIF(蛋糕系列!H:H,A20,蛋糕系列!AQ:AQ)</f>
        <v>0</v>
      </c>
      <c r="L20" s="5">
        <f>SUMIF(已走货!H:H,A20,已走货!AQ:AQ)</f>
        <v>66650</v>
      </c>
      <c r="M20" s="4">
        <f t="shared" si="1"/>
        <v>0</v>
      </c>
    </row>
    <row r="21" customHeight="1" spans="1:13">
      <c r="A21" s="2" t="s">
        <v>45</v>
      </c>
      <c r="B21" s="2">
        <f>SUMIF(总接单!E:E,A21,总接单!F:F)</f>
        <v>27000</v>
      </c>
      <c r="C21" s="2">
        <f>SUMIF(一二代排期!H:H,A21,一二代排期!J:J)</f>
        <v>0</v>
      </c>
      <c r="D21" s="2">
        <f>SUMIF(三代排期!H:H,A21,三代排期!J:J)</f>
        <v>0</v>
      </c>
      <c r="E21" s="2">
        <f>SUMIF(蛋糕系列!H:H,A21,蛋糕系列!J:J)</f>
        <v>0</v>
      </c>
      <c r="F21" s="2">
        <f>SUMIF(已走货!H:H,A21,已走货!J:J)</f>
        <v>27000</v>
      </c>
      <c r="G21" s="4">
        <f t="shared" si="0"/>
        <v>0</v>
      </c>
      <c r="H21" s="5">
        <f>SUMIF(总接单!E:E,A21,总接单!BX:BX)</f>
        <v>64867.5</v>
      </c>
      <c r="I21" s="5">
        <f>SUMIF(一二代排期!H:H,A21,一二代排期!AQ:AQ)</f>
        <v>0</v>
      </c>
      <c r="J21" s="5">
        <f>SUMIF(三代排期!H:H,A21,三代排期!AQ:AQ)</f>
        <v>0</v>
      </c>
      <c r="K21" s="5">
        <f>SUMIF(蛋糕系列!H:H,A21,蛋糕系列!AQ:AQ)</f>
        <v>0</v>
      </c>
      <c r="L21" s="5">
        <f>SUMIF(已走货!H:H,A21,已走货!AQ:AQ)</f>
        <v>64867.5</v>
      </c>
      <c r="M21" s="4">
        <f t="shared" si="1"/>
        <v>0</v>
      </c>
    </row>
    <row r="22" customHeight="1" spans="1:13">
      <c r="A22" s="2" t="s">
        <v>40</v>
      </c>
      <c r="B22" s="2">
        <f>SUMIF(总接单!E:E,A22,总接单!F:F)</f>
        <v>22800</v>
      </c>
      <c r="C22" s="2">
        <f>SUMIF(一二代排期!H:H,A22,一二代排期!J:J)</f>
        <v>3984</v>
      </c>
      <c r="D22" s="2">
        <f>SUMIF(三代排期!H:H,A22,三代排期!J:J)</f>
        <v>0</v>
      </c>
      <c r="E22" s="2">
        <f>SUMIF(蛋糕系列!H:H,A22,蛋糕系列!J:J)</f>
        <v>0</v>
      </c>
      <c r="F22" s="2">
        <f>SUMIF(已走货!H:H,A22,已走货!J:J)</f>
        <v>18816</v>
      </c>
      <c r="G22" s="4">
        <f t="shared" si="0"/>
        <v>0</v>
      </c>
      <c r="H22" s="5">
        <f>SUMIF(总接单!E:E,A22,总接单!BX:BX)</f>
        <v>140911.74</v>
      </c>
      <c r="I22" s="5">
        <f>SUMIF(一二代排期!H:H,A22,一二代排期!AQ:AQ)</f>
        <v>26862.12</v>
      </c>
      <c r="J22" s="5">
        <f>SUMIF(三代排期!H:H,A22,三代排期!AQ:AQ)</f>
        <v>0</v>
      </c>
      <c r="K22" s="5">
        <f>SUMIF(蛋糕系列!H:H,A22,蛋糕系列!AQ:AQ)</f>
        <v>0</v>
      </c>
      <c r="L22" s="5">
        <f>SUMIF(已走货!H:H,A22,已走货!AQ:AQ)</f>
        <v>114049.62</v>
      </c>
      <c r="M22" s="4">
        <f t="shared" si="1"/>
        <v>0</v>
      </c>
    </row>
    <row r="23" customHeight="1" spans="1:13">
      <c r="A23" s="2" t="s">
        <v>121</v>
      </c>
      <c r="B23" s="2">
        <f>SUMIF(总接单!E:E,A23,总接单!F:F)</f>
        <v>36744</v>
      </c>
      <c r="C23" s="2">
        <f>SUMIF(一二代排期!H:H,A23,一二代排期!J:J)</f>
        <v>0</v>
      </c>
      <c r="D23" s="2">
        <f>SUMIF(三代排期!H:H,A23,三代排期!J:J)</f>
        <v>9540</v>
      </c>
      <c r="E23" s="2">
        <f>SUMIF(蛋糕系列!H:H,A23,蛋糕系列!J:J)</f>
        <v>0</v>
      </c>
      <c r="F23" s="2">
        <f>SUMIF(已走货!H:H,A23,已走货!J:J)</f>
        <v>27204</v>
      </c>
      <c r="G23" s="4">
        <f t="shared" si="0"/>
        <v>0</v>
      </c>
      <c r="H23" s="5">
        <f>SUMIF(总接单!E:E,A23,总接单!BX:BX)</f>
        <v>225608.7</v>
      </c>
      <c r="I23" s="5">
        <f>SUMIF(一二代排期!H:H,A23,一二代排期!AQ:AQ)</f>
        <v>0</v>
      </c>
      <c r="J23" s="5">
        <f>SUMIF(三代排期!H:H,A23,三代排期!AQ:AQ)</f>
        <v>58641.15</v>
      </c>
      <c r="K23" s="5">
        <f>SUMIF(蛋糕系列!H:H,A23,蛋糕系列!AQ:AQ)</f>
        <v>0</v>
      </c>
      <c r="L23" s="5">
        <f>SUMIF(已走货!H:H,A23,已走货!AQ:AQ)</f>
        <v>166967.55</v>
      </c>
      <c r="M23" s="4">
        <f t="shared" si="1"/>
        <v>0</v>
      </c>
    </row>
    <row r="24" customHeight="1" spans="1:13">
      <c r="A24" s="2" t="s">
        <v>191</v>
      </c>
      <c r="B24" s="2">
        <f>SUMIF(总接单!E:E,A24,总接单!F:F)</f>
        <v>4728</v>
      </c>
      <c r="C24" s="2">
        <f>SUMIF(一二代排期!H:H,A24,一二代排期!J:J)</f>
        <v>0</v>
      </c>
      <c r="D24" s="2">
        <f>SUMIF(三代排期!H:H,A24,三代排期!J:J)</f>
        <v>2940</v>
      </c>
      <c r="E24" s="2">
        <f>SUMIF(蛋糕系列!H:H,A24,蛋糕系列!J:J)</f>
        <v>0</v>
      </c>
      <c r="F24" s="2">
        <f>SUMIF(已走货!H:H,A24,已走货!J:J)</f>
        <v>1788</v>
      </c>
      <c r="G24" s="4">
        <f t="shared" si="0"/>
        <v>0</v>
      </c>
      <c r="H24" s="5">
        <f>SUMIF(总接单!E:E,A24,总接单!BX:BX)</f>
        <v>28630.05</v>
      </c>
      <c r="I24" s="5">
        <f>SUMIF(一二代排期!H:H,A24,一二代排期!AQ:AQ)</f>
        <v>0</v>
      </c>
      <c r="J24" s="5">
        <f>SUMIF(三代排期!H:H,A24,三代排期!AQ:AQ)</f>
        <v>17544.45</v>
      </c>
      <c r="K24" s="5">
        <f>SUMIF(蛋糕系列!H:H,A24,蛋糕系列!AQ:AQ)</f>
        <v>0</v>
      </c>
      <c r="L24" s="5">
        <f>SUMIF(已走货!H:H,A24,已走货!AQ:AQ)</f>
        <v>11085.6</v>
      </c>
      <c r="M24" s="4">
        <f t="shared" si="1"/>
        <v>0</v>
      </c>
    </row>
    <row r="25" customHeight="1" spans="1:13">
      <c r="A25" s="2" t="s">
        <v>192</v>
      </c>
      <c r="B25" s="2">
        <f>SUMIF(总接单!E:E,A25,总接单!F:F)</f>
        <v>2748</v>
      </c>
      <c r="C25" s="2">
        <f>SUMIF(一二代排期!H:H,A25,一二代排期!J:J)</f>
        <v>0</v>
      </c>
      <c r="D25" s="2">
        <f>SUMIF(三代排期!H:H,A25,三代排期!J:J)</f>
        <v>1032</v>
      </c>
      <c r="E25" s="2">
        <f>SUMIF(蛋糕系列!H:H,A25,蛋糕系列!J:J)</f>
        <v>0</v>
      </c>
      <c r="F25" s="2">
        <f>SUMIF(已走货!H:H,A25,已走货!J:J)</f>
        <v>1716</v>
      </c>
      <c r="G25" s="4">
        <f t="shared" si="0"/>
        <v>0</v>
      </c>
      <c r="H25" s="5">
        <f>SUMIF(总接单!E:E,A25,总接单!BX:BX)</f>
        <v>16797.66</v>
      </c>
      <c r="I25" s="5">
        <f>SUMIF(一二代排期!H:H,A25,一二代排期!AQ:AQ)</f>
        <v>0</v>
      </c>
      <c r="J25" s="5">
        <f>SUMIF(三代排期!H:H,A25,三代排期!AQ:AQ)</f>
        <v>6158.46</v>
      </c>
      <c r="K25" s="5">
        <f>SUMIF(蛋糕系列!H:H,A25,蛋糕系列!AQ:AQ)</f>
        <v>0</v>
      </c>
      <c r="L25" s="5">
        <f>SUMIF(已走货!H:H,A25,已走货!AQ:AQ)</f>
        <v>10639.2</v>
      </c>
      <c r="M25" s="4">
        <f t="shared" si="1"/>
        <v>0</v>
      </c>
    </row>
    <row r="26" customHeight="1" spans="1:13">
      <c r="A26" s="2" t="s">
        <v>193</v>
      </c>
      <c r="B26" s="2">
        <f>SUMIF(总接单!E:E,A26,总接单!F:F)</f>
        <v>4536</v>
      </c>
      <c r="C26" s="2">
        <f>SUMIF(一二代排期!H:H,A26,一二代排期!J:J)</f>
        <v>0</v>
      </c>
      <c r="D26" s="2">
        <f>SUMIF(三代排期!H:H,A26,三代排期!J:J)</f>
        <v>3000</v>
      </c>
      <c r="E26" s="2">
        <f>SUMIF(蛋糕系列!H:H,A26,蛋糕系列!J:J)</f>
        <v>0</v>
      </c>
      <c r="F26" s="2">
        <f>SUMIF(已走货!H:H,A26,已走货!J:J)</f>
        <v>1536</v>
      </c>
      <c r="G26" s="4">
        <f t="shared" si="0"/>
        <v>0</v>
      </c>
      <c r="H26" s="5">
        <f>SUMIF(总接单!E:E,A26,总接单!BX:BX)</f>
        <v>27425.7</v>
      </c>
      <c r="I26" s="5">
        <f>SUMIF(一二代排期!H:H,A26,一二代排期!AQ:AQ)</f>
        <v>0</v>
      </c>
      <c r="J26" s="5">
        <f>SUMIF(三代排期!H:H,A26,三代排期!AQ:AQ)</f>
        <v>17902.5</v>
      </c>
      <c r="K26" s="5">
        <f>SUMIF(蛋糕系列!H:H,A26,蛋糕系列!AQ:AQ)</f>
        <v>0</v>
      </c>
      <c r="L26" s="5">
        <f>SUMIF(已走货!H:H,A26,已走货!AQ:AQ)</f>
        <v>9523.2</v>
      </c>
      <c r="M26" s="4">
        <f t="shared" si="1"/>
        <v>0</v>
      </c>
    </row>
    <row r="27" customHeight="1" spans="1:13">
      <c r="A27" s="2" t="s">
        <v>55</v>
      </c>
      <c r="B27" s="2">
        <f>SUMIF(总接单!E:E,A27,总接单!F:F)</f>
        <v>69712</v>
      </c>
      <c r="C27" s="2">
        <f>SUMIF(一二代排期!H:H,A27,一二代排期!J:J)</f>
        <v>0</v>
      </c>
      <c r="D27" s="2">
        <f>SUMIF(三代排期!H:H,A27,三代排期!J:J)</f>
        <v>19280</v>
      </c>
      <c r="E27" s="2">
        <f>SUMIF(蛋糕系列!H:H,A27,蛋糕系列!J:J)</f>
        <v>0</v>
      </c>
      <c r="F27" s="2">
        <f>SUMIF(已走货!H:H,A27,已走货!J:J)</f>
        <v>50432</v>
      </c>
      <c r="G27" s="4">
        <f t="shared" si="0"/>
        <v>0</v>
      </c>
      <c r="H27" s="5">
        <f>SUMIF(总接单!E:E,A27,总接单!BX:BX)</f>
        <v>481735.04</v>
      </c>
      <c r="I27" s="5">
        <f>SUMIF(一二代排期!H:H,A27,一二代排期!AQ:AQ)</f>
        <v>0</v>
      </c>
      <c r="J27" s="5">
        <f>SUMIF(三代排期!H:H,A27,三代排期!AQ:AQ)</f>
        <v>131779.76</v>
      </c>
      <c r="K27" s="5">
        <f>SUMIF(蛋糕系列!H:H,A27,蛋糕系列!AQ:AQ)</f>
        <v>0</v>
      </c>
      <c r="L27" s="5">
        <f>SUMIF(已走货!H:H,A27,已走货!AQ:AQ)</f>
        <v>349955.28</v>
      </c>
      <c r="M27" s="4">
        <f t="shared" si="1"/>
        <v>0</v>
      </c>
    </row>
    <row r="28" customHeight="1" spans="1:13">
      <c r="A28" s="2" t="s">
        <v>99</v>
      </c>
      <c r="B28" s="2">
        <f>SUMIF(总接单!E:E,A28,总接单!F:F)</f>
        <v>268224</v>
      </c>
      <c r="C28" s="2">
        <f>SUMIF(一二代排期!H:H,A28,一二代排期!J:J)</f>
        <v>0</v>
      </c>
      <c r="D28" s="2">
        <f>SUMIF(三代排期!H:H,A28,三代排期!J:J)</f>
        <v>86040</v>
      </c>
      <c r="E28" s="2">
        <f>SUMIF(蛋糕系列!H:H,A28,蛋糕系列!J:J)</f>
        <v>0</v>
      </c>
      <c r="F28" s="2">
        <f>SUMIF(已走货!H:H,A28,已走货!J:J)</f>
        <v>182184</v>
      </c>
      <c r="G28" s="4">
        <f t="shared" si="0"/>
        <v>0</v>
      </c>
      <c r="H28" s="5">
        <f>SUMIF(总接单!E:E,A28,总接单!BX:BX)</f>
        <v>1812423.06</v>
      </c>
      <c r="I28" s="5">
        <f>SUMIF(一二代排期!H:H,A28,一二代排期!AQ:AQ)</f>
        <v>0</v>
      </c>
      <c r="J28" s="5">
        <f>SUMIF(三代排期!H:H,A28,三代排期!AQ:AQ)</f>
        <v>578298.18</v>
      </c>
      <c r="K28" s="5">
        <f>SUMIF(蛋糕系列!H:H,A28,蛋糕系列!AQ:AQ)</f>
        <v>0</v>
      </c>
      <c r="L28" s="5">
        <f>SUMIF(已走货!H:H,A28,已走货!AQ:AQ)</f>
        <v>1234124.88</v>
      </c>
      <c r="M28" s="4">
        <f t="shared" si="1"/>
        <v>0</v>
      </c>
    </row>
    <row r="29" customHeight="1" spans="1:13">
      <c r="A29" s="2" t="s">
        <v>103</v>
      </c>
      <c r="B29" s="2">
        <f>SUMIF(总接单!E:E,A29,总接单!F:F)</f>
        <v>102024</v>
      </c>
      <c r="C29" s="2">
        <f>SUMIF(一二代排期!H:H,A29,一二代排期!J:J)</f>
        <v>0</v>
      </c>
      <c r="D29" s="2">
        <f>SUMIF(三代排期!H:H,A29,三代排期!J:J)</f>
        <v>0</v>
      </c>
      <c r="E29" s="2">
        <f>SUMIF(蛋糕系列!H:H,A29,蛋糕系列!J:J)</f>
        <v>0</v>
      </c>
      <c r="F29" s="2">
        <f>SUMIF(已走货!H:H,A29,已走货!J:J)</f>
        <v>102024</v>
      </c>
      <c r="G29" s="4">
        <f t="shared" si="0"/>
        <v>0</v>
      </c>
      <c r="H29" s="5">
        <f>SUMIF(总接单!E:E,A29,总接单!BX:BX)</f>
        <v>677548.03</v>
      </c>
      <c r="I29" s="5">
        <f>SUMIF(一二代排期!H:H,A29,一二代排期!AQ:AQ)</f>
        <v>0</v>
      </c>
      <c r="J29" s="5">
        <f>SUMIF(三代排期!H:H,A29,三代排期!AQ:AQ)</f>
        <v>0</v>
      </c>
      <c r="K29" s="5">
        <f>SUMIF(蛋糕系列!H:H,A29,蛋糕系列!AQ:AQ)</f>
        <v>0</v>
      </c>
      <c r="L29" s="5">
        <f>SUMIF(已走货!H:H,A29,已走货!AQ:AQ)</f>
        <v>677548.03</v>
      </c>
      <c r="M29" s="4">
        <f t="shared" si="1"/>
        <v>0</v>
      </c>
    </row>
    <row r="30" customHeight="1" spans="1:13">
      <c r="A30" s="2" t="s">
        <v>194</v>
      </c>
      <c r="B30" s="2">
        <f>SUMIF(总接单!E:E,A30,总接单!F:F)</f>
        <v>1656</v>
      </c>
      <c r="C30" s="2">
        <f>SUMIF(一二代排期!H:H,A30,一二代排期!J:J)</f>
        <v>0</v>
      </c>
      <c r="D30" s="2">
        <f>SUMIF(三代排期!H:H,A30,三代排期!J:J)</f>
        <v>1380</v>
      </c>
      <c r="E30" s="2">
        <f>SUMIF(蛋糕系列!H:H,A30,蛋糕系列!J:J)</f>
        <v>0</v>
      </c>
      <c r="F30" s="2">
        <f>SUMIF(已走货!H:H,A30,已走货!J:J)</f>
        <v>276</v>
      </c>
      <c r="G30" s="4">
        <f t="shared" si="0"/>
        <v>0</v>
      </c>
      <c r="H30" s="5">
        <f>SUMIF(总接单!E:E,A30,总接单!BX:BX)</f>
        <v>9946.35</v>
      </c>
      <c r="I30" s="5">
        <f>SUMIF(一二代排期!H:H,A30,一二代排期!AQ:AQ)</f>
        <v>0</v>
      </c>
      <c r="J30" s="5">
        <f>SUMIF(三代排期!H:H,A30,三代排期!AQ:AQ)</f>
        <v>8235.15</v>
      </c>
      <c r="K30" s="5">
        <f>SUMIF(蛋糕系列!H:H,A30,蛋糕系列!AQ:AQ)</f>
        <v>0</v>
      </c>
      <c r="L30" s="5">
        <f>SUMIF(已走货!H:H,A30,已走货!AQ:AQ)</f>
        <v>1711.2</v>
      </c>
      <c r="M30" s="4">
        <f t="shared" si="1"/>
        <v>0</v>
      </c>
    </row>
    <row r="31" customHeight="1" spans="1:13">
      <c r="A31" s="2" t="s">
        <v>195</v>
      </c>
      <c r="B31" s="2">
        <f>SUMIF(总接单!E:E,A31,总接单!F:F)</f>
        <v>4728</v>
      </c>
      <c r="C31" s="2">
        <f>SUMIF(一二代排期!H:H,A31,一二代排期!J:J)</f>
        <v>0</v>
      </c>
      <c r="D31" s="2">
        <f>SUMIF(三代排期!H:H,A31,三代排期!J:J)</f>
        <v>3060</v>
      </c>
      <c r="E31" s="2">
        <f>SUMIF(蛋糕系列!H:H,A31,蛋糕系列!J:J)</f>
        <v>0</v>
      </c>
      <c r="F31" s="2">
        <f>SUMIF(已走货!H:H,A31,已走货!J:J)</f>
        <v>1668</v>
      </c>
      <c r="G31" s="4">
        <f t="shared" si="0"/>
        <v>0</v>
      </c>
      <c r="H31" s="5">
        <f>SUMIF(总接单!E:E,A31,总接单!BX:BX)</f>
        <v>28602.15</v>
      </c>
      <c r="I31" s="5">
        <f>SUMIF(一二代排期!H:H,A31,一二代排期!AQ:AQ)</f>
        <v>0</v>
      </c>
      <c r="J31" s="5">
        <f>SUMIF(三代排期!H:H,A31,三代排期!AQ:AQ)</f>
        <v>18260.55</v>
      </c>
      <c r="K31" s="5">
        <f>SUMIF(蛋糕系列!H:H,A31,蛋糕系列!AQ:AQ)</f>
        <v>0</v>
      </c>
      <c r="L31" s="5">
        <f>SUMIF(已走货!H:H,A31,已走货!AQ:AQ)</f>
        <v>10341.6</v>
      </c>
      <c r="M31" s="4">
        <f t="shared" si="1"/>
        <v>0</v>
      </c>
    </row>
    <row r="32" customHeight="1" spans="1:13">
      <c r="A32" s="2" t="s">
        <v>136</v>
      </c>
      <c r="B32" s="2">
        <f>SUMIF(总接单!E:E,A32,总接单!F:F)</f>
        <v>14688</v>
      </c>
      <c r="C32" s="2">
        <f>SUMIF(一二代排期!H:H,A32,一二代排期!J:J)</f>
        <v>0</v>
      </c>
      <c r="D32" s="2">
        <f>SUMIF(三代排期!H:H,A32,三代排期!J:J)</f>
        <v>2448</v>
      </c>
      <c r="E32" s="2">
        <f>SUMIF(蛋糕系列!H:H,A32,蛋糕系列!J:J)</f>
        <v>0</v>
      </c>
      <c r="F32" s="2">
        <f>SUMIF(已走货!H:H,A32,已走货!J:J)</f>
        <v>12240</v>
      </c>
      <c r="G32" s="4">
        <f t="shared" si="0"/>
        <v>0</v>
      </c>
      <c r="H32" s="5">
        <f>SUMIF(总接单!E:E,A32,总接单!BX:BX)</f>
        <v>71903.88</v>
      </c>
      <c r="I32" s="5">
        <f>SUMIF(一二代排期!H:H,A32,一二代排期!AQ:AQ)</f>
        <v>0</v>
      </c>
      <c r="J32" s="5">
        <f>SUMIF(三代排期!H:H,A32,三代排期!AQ:AQ)</f>
        <v>12142.08</v>
      </c>
      <c r="K32" s="5">
        <f>SUMIF(蛋糕系列!H:H,A32,蛋糕系列!AQ:AQ)</f>
        <v>0</v>
      </c>
      <c r="L32" s="5">
        <f>SUMIF(已走货!H:H,A32,已走货!AQ:AQ)</f>
        <v>59761.8</v>
      </c>
      <c r="M32" s="4">
        <f t="shared" si="1"/>
        <v>0</v>
      </c>
    </row>
    <row r="33" customHeight="1" spans="1:13">
      <c r="A33" s="2" t="s">
        <v>137</v>
      </c>
      <c r="B33" s="2">
        <f>SUMIF(总接单!E:E,A33,总接单!F:F)</f>
        <v>16848</v>
      </c>
      <c r="C33" s="2">
        <f>SUMIF(一二代排期!H:H,A33,一二代排期!J:J)</f>
        <v>0</v>
      </c>
      <c r="D33" s="2">
        <f>SUMIF(三代排期!H:H,A33,三代排期!J:J)</f>
        <v>16128</v>
      </c>
      <c r="E33" s="2">
        <f>SUMIF(蛋糕系列!H:H,A33,蛋糕系列!J:J)</f>
        <v>0</v>
      </c>
      <c r="F33" s="2">
        <f>SUMIF(已走货!H:H,A33,已走货!J:J)</f>
        <v>720</v>
      </c>
      <c r="G33" s="4">
        <f t="shared" si="0"/>
        <v>0</v>
      </c>
      <c r="H33" s="5">
        <f>SUMIF(总接单!E:E,A33,总接单!BX:BX)</f>
        <v>83510.28</v>
      </c>
      <c r="I33" s="5">
        <f>SUMIF(一二代排期!H:H,A33,一二代排期!AQ:AQ)</f>
        <v>0</v>
      </c>
      <c r="J33" s="5">
        <f>SUMIF(三代排期!H:H,A33,三代排期!AQ:AQ)</f>
        <v>79994.88</v>
      </c>
      <c r="K33" s="5">
        <f>SUMIF(蛋糕系列!H:H,A33,蛋糕系列!AQ:AQ)</f>
        <v>0</v>
      </c>
      <c r="L33" s="5">
        <f>SUMIF(已走货!H:H,A33,已走货!AQ:AQ)</f>
        <v>3515.4</v>
      </c>
      <c r="M33" s="4">
        <f t="shared" si="1"/>
        <v>0</v>
      </c>
    </row>
    <row r="34" customHeight="1" spans="1:13">
      <c r="A34" s="2" t="s">
        <v>138</v>
      </c>
      <c r="B34" s="2">
        <f>SUMIF(总接单!E:E,A34,总接单!F:F)</f>
        <v>9504</v>
      </c>
      <c r="C34" s="2">
        <f>SUMIF(一二代排期!H:H,A34,一二代排期!J:J)</f>
        <v>0</v>
      </c>
      <c r="D34" s="2">
        <f>SUMIF(三代排期!H:H,A34,三代排期!J:J)</f>
        <v>9072</v>
      </c>
      <c r="E34" s="2">
        <f>SUMIF(蛋糕系列!H:H,A34,蛋糕系列!J:J)</f>
        <v>0</v>
      </c>
      <c r="F34" s="2">
        <f>SUMIF(已走货!H:H,A34,已走货!J:J)</f>
        <v>432</v>
      </c>
      <c r="G34" s="4">
        <f t="shared" si="0"/>
        <v>0</v>
      </c>
      <c r="H34" s="5">
        <f>SUMIF(总接单!E:E,A34,总接单!BX:BX)</f>
        <v>47106.36</v>
      </c>
      <c r="I34" s="5">
        <f>SUMIF(一二代排期!H:H,A34,一二代排期!AQ:AQ)</f>
        <v>0</v>
      </c>
      <c r="J34" s="5">
        <f>SUMIF(三代排期!H:H,A34,三代排期!AQ:AQ)</f>
        <v>44997.12</v>
      </c>
      <c r="K34" s="5">
        <f>SUMIF(蛋糕系列!H:H,A34,蛋糕系列!AQ:AQ)</f>
        <v>0</v>
      </c>
      <c r="L34" s="5">
        <f>SUMIF(已走货!H:H,A34,已走货!AQ:AQ)</f>
        <v>2109.24</v>
      </c>
      <c r="M34" s="4">
        <f t="shared" si="1"/>
        <v>0</v>
      </c>
    </row>
    <row r="35" customHeight="1" spans="1:13">
      <c r="A35" s="2" t="s">
        <v>139</v>
      </c>
      <c r="B35" s="2">
        <f>SUMIF(总接单!E:E,A35,总接单!F:F)</f>
        <v>4752</v>
      </c>
      <c r="C35" s="2">
        <f>SUMIF(一二代排期!H:H,A35,一二代排期!J:J)</f>
        <v>0</v>
      </c>
      <c r="D35" s="2">
        <f>SUMIF(三代排期!H:H,A35,三代排期!J:J)</f>
        <v>4464</v>
      </c>
      <c r="E35" s="2">
        <f>SUMIF(蛋糕系列!H:H,A35,蛋糕系列!J:J)</f>
        <v>0</v>
      </c>
      <c r="F35" s="2">
        <f>SUMIF(已走货!H:H,A35,已走货!J:J)</f>
        <v>288</v>
      </c>
      <c r="G35" s="4">
        <f t="shared" si="0"/>
        <v>0</v>
      </c>
      <c r="H35" s="5">
        <f>SUMIF(总接单!E:E,A35,总接单!BX:BX)</f>
        <v>23547.6</v>
      </c>
      <c r="I35" s="5">
        <f>SUMIF(一二代排期!H:H,A35,一二代排期!AQ:AQ)</f>
        <v>0</v>
      </c>
      <c r="J35" s="5">
        <f>SUMIF(三代排期!H:H,A35,三代排期!AQ:AQ)</f>
        <v>22141.44</v>
      </c>
      <c r="K35" s="5">
        <f>SUMIF(蛋糕系列!H:H,A35,蛋糕系列!AQ:AQ)</f>
        <v>0</v>
      </c>
      <c r="L35" s="5">
        <f>SUMIF(已走货!H:H,A35,已走货!AQ:AQ)</f>
        <v>1406.16</v>
      </c>
      <c r="M35" s="4">
        <f t="shared" si="1"/>
        <v>0</v>
      </c>
    </row>
    <row r="36" customHeight="1" spans="1:13">
      <c r="A36" s="9" t="s">
        <v>140</v>
      </c>
      <c r="B36" s="2">
        <f>SUMIF(总接单!E:E,A36,总接单!F:F)</f>
        <v>12816</v>
      </c>
      <c r="C36" s="2">
        <f>SUMIF(一二代排期!H:H,A36,一二代排期!J:J)</f>
        <v>0</v>
      </c>
      <c r="D36" s="2">
        <f>SUMIF(三代排期!H:H,A36,三代排期!J:J)</f>
        <v>12240</v>
      </c>
      <c r="E36" s="2">
        <f>SUMIF(蛋糕系列!H:H,A36,蛋糕系列!J:J)</f>
        <v>0</v>
      </c>
      <c r="F36" s="2">
        <f>SUMIF(已走货!H:H,A36,已走货!J:J)</f>
        <v>576</v>
      </c>
      <c r="G36" s="4">
        <f t="shared" si="0"/>
        <v>0</v>
      </c>
      <c r="H36" s="5">
        <f>SUMIF(总接单!E:E,A36,总接单!BX:BX)</f>
        <v>63522.72</v>
      </c>
      <c r="I36" s="5">
        <f>SUMIF(一二代排期!H:H,A36,一二代排期!AQ:AQ)</f>
        <v>0</v>
      </c>
      <c r="J36" s="5">
        <f>SUMIF(三代排期!H:H,A36,三代排期!AQ:AQ)</f>
        <v>60710.4</v>
      </c>
      <c r="K36" s="5">
        <f>SUMIF(蛋糕系列!H:H,A36,蛋糕系列!AQ:AQ)</f>
        <v>0</v>
      </c>
      <c r="L36" s="5">
        <f>SUMIF(已走货!H:H,A36,已走货!AQ:AQ)</f>
        <v>2812.32</v>
      </c>
      <c r="M36" s="4">
        <f t="shared" si="1"/>
        <v>0</v>
      </c>
    </row>
    <row r="37" customHeight="1" spans="1:13">
      <c r="A37" s="2" t="s">
        <v>141</v>
      </c>
      <c r="B37" s="2">
        <f>SUMIF(总接单!E:E,A37,总接单!F:F)</f>
        <v>11376</v>
      </c>
      <c r="C37" s="2">
        <f>SUMIF(一二代排期!H:H,A37,一二代排期!J:J)</f>
        <v>0</v>
      </c>
      <c r="D37" s="2">
        <f>SUMIF(三代排期!H:H,A37,三代排期!J:J)</f>
        <v>2016</v>
      </c>
      <c r="E37" s="2">
        <f>SUMIF(蛋糕系列!H:H,A37,蛋糕系列!J:J)</f>
        <v>0</v>
      </c>
      <c r="F37" s="2">
        <f>SUMIF(已走货!H:H,A37,已走货!J:J)</f>
        <v>9360</v>
      </c>
      <c r="G37" s="4">
        <f t="shared" si="0"/>
        <v>0</v>
      </c>
      <c r="H37" s="5">
        <f>SUMIF(总接单!E:E,A37,总接单!BX:BX)</f>
        <v>55699.56</v>
      </c>
      <c r="I37" s="5">
        <f>SUMIF(一二代排期!H:H,A37,一二代排期!AQ:AQ)</f>
        <v>0</v>
      </c>
      <c r="J37" s="5">
        <f>SUMIF(三代排期!H:H,A37,三代排期!AQ:AQ)</f>
        <v>9999.36</v>
      </c>
      <c r="K37" s="5">
        <f>SUMIF(蛋糕系列!H:H,A37,蛋糕系列!AQ:AQ)</f>
        <v>0</v>
      </c>
      <c r="L37" s="5">
        <f>SUMIF(已走货!H:H,A37,已走货!AQ:AQ)</f>
        <v>45700.2</v>
      </c>
      <c r="M37" s="4">
        <f t="shared" si="1"/>
        <v>0</v>
      </c>
    </row>
    <row r="38" customHeight="1" spans="1:13">
      <c r="A38" s="2" t="s">
        <v>196</v>
      </c>
      <c r="B38" s="2">
        <f>SUMIF(总接单!E:E,A38,总接单!F:F)</f>
        <v>4476</v>
      </c>
      <c r="C38" s="2">
        <f>SUMIF(一二代排期!H:H,A38,一二代排期!J:J)</f>
        <v>0</v>
      </c>
      <c r="D38" s="2">
        <f>SUMIF(三代排期!H:H,A38,三代排期!J:J)</f>
        <v>2904</v>
      </c>
      <c r="E38" s="2">
        <f>SUMIF(蛋糕系列!H:H,A38,蛋糕系列!J:J)</f>
        <v>0</v>
      </c>
      <c r="F38" s="2">
        <f>SUMIF(已走货!H:H,A38,已走货!J:J)</f>
        <v>1572</v>
      </c>
      <c r="G38" s="4">
        <f t="shared" si="0"/>
        <v>0</v>
      </c>
      <c r="H38" s="5">
        <f>SUMIF(总接单!E:E,A38,总接单!BX:BX)</f>
        <v>27076.02</v>
      </c>
      <c r="I38" s="5">
        <f>SUMIF(一二代排期!H:H,A38,一二代排期!AQ:AQ)</f>
        <v>0</v>
      </c>
      <c r="J38" s="5">
        <f>SUMIF(三代排期!H:H,A38,三代排期!AQ:AQ)</f>
        <v>17329.62</v>
      </c>
      <c r="K38" s="5">
        <f>SUMIF(蛋糕系列!H:H,A38,蛋糕系列!AQ:AQ)</f>
        <v>0</v>
      </c>
      <c r="L38" s="5">
        <f>SUMIF(已走货!H:H,A38,已走货!AQ:AQ)</f>
        <v>9746.4</v>
      </c>
      <c r="M38" s="4">
        <f t="shared" si="1"/>
        <v>0</v>
      </c>
    </row>
    <row r="39" customHeight="1" spans="1:13">
      <c r="A39" s="9" t="s">
        <v>57</v>
      </c>
      <c r="B39" s="2">
        <f>SUMIF(总接单!E:E,A39,总接单!F:F)</f>
        <v>5600</v>
      </c>
      <c r="C39" s="2">
        <f>SUMIF(一二代排期!H:H,A39,一二代排期!J:J)</f>
        <v>5600</v>
      </c>
      <c r="D39" s="2">
        <f>SUMIF(三代排期!H:H,A39,三代排期!J:J)</f>
        <v>0</v>
      </c>
      <c r="E39" s="2">
        <f>SUMIF(蛋糕系列!H:H,A39,蛋糕系列!J:J)</f>
        <v>0</v>
      </c>
      <c r="F39" s="2">
        <f>SUMIF(已走货!H:H,A39,已走货!J:J)</f>
        <v>0</v>
      </c>
      <c r="G39" s="4">
        <f t="shared" si="0"/>
        <v>0</v>
      </c>
      <c r="H39" s="5">
        <f>SUMIF(总接单!E:E,A39,总接单!BX:BX)</f>
        <v>42532</v>
      </c>
      <c r="I39" s="5">
        <f>SUMIF(一二代排期!H:H,A39,一二代排期!AQ:AQ)</f>
        <v>42532</v>
      </c>
      <c r="J39" s="5">
        <f>SUMIF(三代排期!H:H,A39,三代排期!AQ:AQ)</f>
        <v>0</v>
      </c>
      <c r="K39" s="5">
        <f>SUMIF(蛋糕系列!H:H,A39,蛋糕系列!AQ:AQ)</f>
        <v>0</v>
      </c>
      <c r="L39" s="5">
        <f>SUMIF(已走货!H:H,A39,已走货!AQ:AQ)</f>
        <v>0</v>
      </c>
      <c r="M39" s="4">
        <f t="shared" si="1"/>
        <v>0</v>
      </c>
    </row>
    <row r="40" customHeight="1" spans="1:13">
      <c r="A40" s="9" t="s">
        <v>25</v>
      </c>
      <c r="B40" s="2">
        <f>SUMIF(总接单!E:E,A40,总接单!F:F)</f>
        <v>42368</v>
      </c>
      <c r="C40" s="2">
        <f>SUMIF(一二代排期!H:H,A40,一二代排期!J:J)</f>
        <v>0</v>
      </c>
      <c r="D40" s="2">
        <f>SUMIF(三代排期!H:H,A40,三代排期!J:J)</f>
        <v>0</v>
      </c>
      <c r="E40" s="2">
        <f>SUMIF(蛋糕系列!H:H,A40,蛋糕系列!J:J)</f>
        <v>0</v>
      </c>
      <c r="F40" s="2">
        <f>SUMIF(已走货!H:H,A40,已走货!J:J)</f>
        <v>42368</v>
      </c>
      <c r="G40" s="4">
        <f t="shared" si="0"/>
        <v>0</v>
      </c>
      <c r="H40" s="5">
        <f>SUMIF(总接单!E:E,A40,总接单!BX:BX)</f>
        <v>283548.32</v>
      </c>
      <c r="I40" s="5">
        <f>SUMIF(一二代排期!H:H,A40,一二代排期!AQ:AQ)</f>
        <v>0</v>
      </c>
      <c r="J40" s="5">
        <f>SUMIF(三代排期!H:H,A40,三代排期!AQ:AQ)</f>
        <v>0</v>
      </c>
      <c r="K40" s="5">
        <f>SUMIF(蛋糕系列!H:H,A40,蛋糕系列!AQ:AQ)</f>
        <v>0</v>
      </c>
      <c r="L40" s="5">
        <f>SUMIF(已走货!H:H,A40,已走货!AQ:AQ)</f>
        <v>283548.32</v>
      </c>
      <c r="M40" s="4">
        <f t="shared" si="1"/>
        <v>0</v>
      </c>
    </row>
    <row r="41" customHeight="1" spans="1:13">
      <c r="A41" s="9" t="s">
        <v>35</v>
      </c>
      <c r="B41" s="2">
        <f>SUMIF(总接单!E:E,A41,总接单!F:F)</f>
        <v>46776</v>
      </c>
      <c r="C41" s="2">
        <f>SUMIF(一二代排期!H:H,A41,一二代排期!J:J)</f>
        <v>0</v>
      </c>
      <c r="D41" s="2">
        <f>SUMIF(三代排期!H:H,A41,三代排期!J:J)</f>
        <v>0</v>
      </c>
      <c r="E41" s="2">
        <f>SUMIF(蛋糕系列!H:H,A41,蛋糕系列!J:J)</f>
        <v>0</v>
      </c>
      <c r="F41" s="2">
        <f>SUMIF(已走货!H:H,A41,已走货!J:J)</f>
        <v>46776</v>
      </c>
      <c r="G41" s="4">
        <f t="shared" si="0"/>
        <v>0</v>
      </c>
      <c r="H41" s="5">
        <f>SUMIF(总接单!E:E,A41,总接单!BX:BX)</f>
        <v>312600.9</v>
      </c>
      <c r="I41" s="5">
        <f>SUMIF(一二代排期!H:H,A41,一二代排期!AQ:AQ)</f>
        <v>0</v>
      </c>
      <c r="J41" s="5">
        <f>SUMIF(三代排期!H:H,A41,三代排期!AQ:AQ)</f>
        <v>0</v>
      </c>
      <c r="K41" s="5">
        <f>SUMIF(蛋糕系列!H:H,A41,蛋糕系列!AQ:AQ)</f>
        <v>0</v>
      </c>
      <c r="L41" s="5">
        <f>SUMIF(已走货!H:H,A41,已走货!AQ:AQ)</f>
        <v>312600.9</v>
      </c>
      <c r="M41" s="4">
        <f t="shared" si="1"/>
        <v>0</v>
      </c>
    </row>
    <row r="42" customHeight="1" spans="1:13">
      <c r="A42" s="2" t="s">
        <v>36</v>
      </c>
      <c r="B42" s="2">
        <f>SUMIF(总接单!E:E,A42,总接单!F:F)</f>
        <v>12006</v>
      </c>
      <c r="C42" s="2">
        <f>SUMIF(一二代排期!H:H,A42,一二代排期!J:J)</f>
        <v>0</v>
      </c>
      <c r="D42" s="2">
        <f>SUMIF(三代排期!H:H,A42,三代排期!J:J)</f>
        <v>0</v>
      </c>
      <c r="E42" s="2">
        <f>SUMIF(蛋糕系列!H:H,A42,蛋糕系列!J:J)</f>
        <v>0</v>
      </c>
      <c r="F42" s="2">
        <f>SUMIF(已走货!H:H,A42,已走货!J:J)</f>
        <v>12006</v>
      </c>
      <c r="G42" s="4">
        <f t="shared" si="0"/>
        <v>0</v>
      </c>
      <c r="H42" s="5">
        <f>SUMIF(总接单!E:E,A42,总接单!BX:BX)</f>
        <v>77228.6</v>
      </c>
      <c r="I42" s="5">
        <f>SUMIF(一二代排期!H:H,A42,一二代排期!AQ:AQ)</f>
        <v>0</v>
      </c>
      <c r="J42" s="5">
        <f>SUMIF(三代排期!H:H,A42,三代排期!AQ:AQ)</f>
        <v>0</v>
      </c>
      <c r="K42" s="5">
        <f>SUMIF(蛋糕系列!H:H,A42,蛋糕系列!AQ:AQ)</f>
        <v>0</v>
      </c>
      <c r="L42" s="5">
        <f>SUMIF(已走货!H:H,A42,已走货!AQ:AQ)</f>
        <v>77228.6</v>
      </c>
      <c r="M42" s="4">
        <f t="shared" si="1"/>
        <v>0</v>
      </c>
    </row>
    <row r="43" customHeight="1" spans="1:13">
      <c r="A43" s="2" t="s">
        <v>58</v>
      </c>
      <c r="B43" s="2">
        <f>SUMIF(总接单!E:E,A43,总接单!F:F)</f>
        <v>3312</v>
      </c>
      <c r="C43" s="2">
        <f>SUMIF(一二代排期!H:H,A43,一二代排期!J:J)</f>
        <v>0</v>
      </c>
      <c r="D43" s="2">
        <f>SUMIF(三代排期!H:H,A43,三代排期!J:J)</f>
        <v>0</v>
      </c>
      <c r="E43" s="2">
        <f>SUMIF(蛋糕系列!H:H,A43,蛋糕系列!J:J)</f>
        <v>0</v>
      </c>
      <c r="F43" s="2">
        <f>SUMIF(已走货!H:H,A43,已走货!J:J)</f>
        <v>3312</v>
      </c>
      <c r="G43" s="4">
        <f t="shared" si="0"/>
        <v>0</v>
      </c>
      <c r="H43" s="5">
        <f>SUMIF(总接单!E:E,A43,总接单!BX:BX)</f>
        <v>16170.84</v>
      </c>
      <c r="I43" s="5">
        <f>SUMIF(一二代排期!H:H,A43,一二代排期!AQ:AQ)</f>
        <v>0</v>
      </c>
      <c r="J43" s="5">
        <f>SUMIF(三代排期!H:H,A43,三代排期!AQ:AQ)</f>
        <v>0</v>
      </c>
      <c r="K43" s="5">
        <f>SUMIF(蛋糕系列!H:H,A43,蛋糕系列!AQ:AQ)</f>
        <v>0</v>
      </c>
      <c r="L43" s="5">
        <f>SUMIF(已走货!H:H,A43,已走货!AQ:AQ)</f>
        <v>16170.84</v>
      </c>
      <c r="M43" s="4">
        <f t="shared" si="1"/>
        <v>0</v>
      </c>
    </row>
    <row r="44" customHeight="1" spans="1:13">
      <c r="A44" s="2" t="s">
        <v>102</v>
      </c>
      <c r="B44" s="2">
        <f>SUMIF(总接单!E:E,A44,总接单!F:F)</f>
        <v>249996</v>
      </c>
      <c r="C44" s="2">
        <f>SUMIF(一二代排期!H:H,A44,一二代排期!J:J)</f>
        <v>0</v>
      </c>
      <c r="D44" s="2">
        <f>SUMIF(三代排期!H:H,A44,三代排期!J:J)</f>
        <v>141000</v>
      </c>
      <c r="E44" s="2">
        <f>SUMIF(蛋糕系列!H:H,A44,蛋糕系列!J:J)</f>
        <v>0</v>
      </c>
      <c r="F44" s="2">
        <f>SUMIF(已走货!H:H,A44,已走货!J:J)</f>
        <v>108996</v>
      </c>
      <c r="G44" s="4">
        <f t="shared" si="0"/>
        <v>0</v>
      </c>
      <c r="H44" s="5">
        <f>SUMIF(总接单!E:E,A44,总接单!BX:BX)</f>
        <v>1205049.36</v>
      </c>
      <c r="I44" s="5">
        <f>SUMIF(一二代排期!H:H,A44,一二代排期!AQ:AQ)</f>
        <v>0</v>
      </c>
      <c r="J44" s="5">
        <f>SUMIF(三代排期!H:H,A44,三代排期!AQ:AQ)</f>
        <v>687658.74</v>
      </c>
      <c r="K44" s="5">
        <f>SUMIF(蛋糕系列!H:H,A44,蛋糕系列!AQ:AQ)</f>
        <v>0</v>
      </c>
      <c r="L44" s="5">
        <f>SUMIF(已走货!H:H,A44,已走货!AQ:AQ)</f>
        <v>517390.62</v>
      </c>
      <c r="M44" s="4">
        <f t="shared" si="1"/>
        <v>0</v>
      </c>
    </row>
    <row r="45" customHeight="1" spans="1:13">
      <c r="A45" s="2" t="s">
        <v>59</v>
      </c>
      <c r="B45" s="2">
        <f>SUMIF(总接单!E:E,A45,总接单!F:F)</f>
        <v>788328</v>
      </c>
      <c r="C45" s="2">
        <f>SUMIF(一二代排期!H:H,A45,一二代排期!J:J)</f>
        <v>0</v>
      </c>
      <c r="D45" s="2">
        <f>SUMIF(三代排期!H:H,A45,三代排期!J:J)</f>
        <v>447000</v>
      </c>
      <c r="E45" s="2">
        <f>SUMIF(蛋糕系列!H:H,A45,蛋糕系列!J:J)</f>
        <v>0</v>
      </c>
      <c r="F45" s="2">
        <f>SUMIF(已走货!H:H,A45,已走货!J:J)</f>
        <v>341328</v>
      </c>
      <c r="G45" s="4">
        <f t="shared" si="0"/>
        <v>0</v>
      </c>
      <c r="H45" s="5">
        <f>SUMIF(总接单!E:E,A45,总接单!BX:BX)</f>
        <v>3802044.6</v>
      </c>
      <c r="I45" s="5">
        <f>SUMIF(一二代排期!H:H,A45,一二代排期!AQ:AQ)</f>
        <v>0</v>
      </c>
      <c r="J45" s="5">
        <f>SUMIF(三代排期!H:H,A45,三代排期!AQ:AQ)</f>
        <v>2151592.2</v>
      </c>
      <c r="K45" s="5">
        <f>SUMIF(蛋糕系列!H:H,A45,蛋糕系列!AQ:AQ)</f>
        <v>0</v>
      </c>
      <c r="L45" s="5">
        <f>SUMIF(已走货!H:H,A45,已走货!AQ:AQ)</f>
        <v>1650452.4</v>
      </c>
      <c r="M45" s="4">
        <f t="shared" si="1"/>
        <v>0</v>
      </c>
    </row>
    <row r="46" customHeight="1" spans="1:13">
      <c r="A46" s="2" t="s">
        <v>31</v>
      </c>
      <c r="B46" s="2">
        <f>SUMIF(总接单!E:E,A46,总接单!F:F)</f>
        <v>1104</v>
      </c>
      <c r="C46" s="2">
        <f>SUMIF(一二代排期!H:H,A46,一二代排期!J:J)</f>
        <v>0</v>
      </c>
      <c r="D46" s="2">
        <f>SUMIF(三代排期!H:H,A46,三代排期!J:J)</f>
        <v>0</v>
      </c>
      <c r="E46" s="2">
        <f>SUMIF(蛋糕系列!H:H,A46,蛋糕系列!J:J)</f>
        <v>0</v>
      </c>
      <c r="F46" s="2">
        <f>SUMIF(已走货!H:H,A46,已走货!J:J)</f>
        <v>1104</v>
      </c>
      <c r="G46" s="4">
        <f t="shared" si="0"/>
        <v>0</v>
      </c>
      <c r="H46" s="5">
        <f>SUMIF(总接单!E:E,A46,总接单!BX:BX)</f>
        <v>5390.28</v>
      </c>
      <c r="I46" s="5">
        <f>SUMIF(一二代排期!H:H,A46,一二代排期!AQ:AQ)</f>
        <v>0</v>
      </c>
      <c r="J46" s="5">
        <f>SUMIF(三代排期!H:H,A46,三代排期!AQ:AQ)</f>
        <v>0</v>
      </c>
      <c r="K46" s="5">
        <f>SUMIF(蛋糕系列!H:H,A46,蛋糕系列!AQ:AQ)</f>
        <v>0</v>
      </c>
      <c r="L46" s="5">
        <f>SUMIF(已走货!H:H,A46,已走货!AQ:AQ)</f>
        <v>5390.28</v>
      </c>
      <c r="M46" s="4">
        <f t="shared" si="1"/>
        <v>0</v>
      </c>
    </row>
    <row r="47" customHeight="1" spans="1:13">
      <c r="A47" s="9" t="s">
        <v>44</v>
      </c>
      <c r="B47" s="2">
        <f>SUMIF(总接单!E:E,A47,总接单!F:F)</f>
        <v>222840</v>
      </c>
      <c r="C47" s="2">
        <f>SUMIF(一二代排期!H:H,A47,一二代排期!J:J)</f>
        <v>26016</v>
      </c>
      <c r="D47" s="2">
        <f>SUMIF(三代排期!H:H,A47,三代排期!J:J)</f>
        <v>0</v>
      </c>
      <c r="E47" s="2">
        <f>SUMIF(蛋糕系列!H:H,A47,蛋糕系列!J:J)</f>
        <v>0</v>
      </c>
      <c r="F47" s="2">
        <f>SUMIF(已走货!H:H,A47,已走货!J:J)</f>
        <v>196824</v>
      </c>
      <c r="G47" s="4">
        <f t="shared" si="0"/>
        <v>0</v>
      </c>
      <c r="H47" s="5">
        <f>SUMIF(总接单!E:E,A47,总接单!BX:BX)</f>
        <v>1056785.04</v>
      </c>
      <c r="I47" s="5">
        <f>SUMIF(一二代排期!H:H,A47,一二代排期!AQ:AQ)</f>
        <v>123920.64</v>
      </c>
      <c r="J47" s="5">
        <f>SUMIF(三代排期!H:H,A47,三代排期!AQ:AQ)</f>
        <v>0</v>
      </c>
      <c r="K47" s="5">
        <f>SUMIF(蛋糕系列!H:H,A47,蛋糕系列!AQ:AQ)</f>
        <v>0</v>
      </c>
      <c r="L47" s="5">
        <f>SUMIF(已走货!H:H,A47,已走货!AQ:AQ)</f>
        <v>932864.4</v>
      </c>
      <c r="M47" s="4">
        <f t="shared" si="1"/>
        <v>0</v>
      </c>
    </row>
    <row r="48" customHeight="1" spans="1:13">
      <c r="A48" s="2" t="s">
        <v>48</v>
      </c>
      <c r="B48" s="2">
        <f>SUMIF(总接单!E:E,A48,总接单!F:F)</f>
        <v>3816</v>
      </c>
      <c r="C48" s="2">
        <f>SUMIF(一二代排期!H:H,A48,一二代排期!J:J)</f>
        <v>0</v>
      </c>
      <c r="D48" s="2">
        <f>SUMIF(三代排期!H:H,A48,三代排期!J:J)</f>
        <v>0</v>
      </c>
      <c r="E48" s="2">
        <f>SUMIF(蛋糕系列!H:H,A48,蛋糕系列!J:J)</f>
        <v>0</v>
      </c>
      <c r="F48" s="2">
        <f>SUMIF(已走货!H:H,A48,已走货!J:J)</f>
        <v>3816</v>
      </c>
      <c r="G48" s="4">
        <f t="shared" si="0"/>
        <v>0</v>
      </c>
      <c r="H48" s="5">
        <f>SUMIF(总接单!E:E,A48,总接单!BX:BX)</f>
        <v>18631.62</v>
      </c>
      <c r="I48" s="5">
        <f>SUMIF(一二代排期!H:H,A48,一二代排期!AQ:AQ)</f>
        <v>0</v>
      </c>
      <c r="J48" s="5">
        <f>SUMIF(三代排期!H:H,A48,三代排期!AQ:AQ)</f>
        <v>0</v>
      </c>
      <c r="K48" s="5">
        <f>SUMIF(蛋糕系列!H:H,A48,蛋糕系列!AQ:AQ)</f>
        <v>0</v>
      </c>
      <c r="L48" s="5">
        <f>SUMIF(已走货!H:H,A48,已走货!AQ:AQ)</f>
        <v>18631.62</v>
      </c>
      <c r="M48" s="4">
        <f t="shared" si="1"/>
        <v>0</v>
      </c>
    </row>
    <row r="49" customHeight="1" spans="1:13">
      <c r="A49" s="2" t="s">
        <v>43</v>
      </c>
      <c r="B49" s="2">
        <f>SUMIF(总接单!E:E,A49,总接单!F:F)</f>
        <v>222024</v>
      </c>
      <c r="C49" s="2">
        <f>SUMIF(一二代排期!H:H,A49,一二代排期!J:J)</f>
        <v>20280</v>
      </c>
      <c r="D49" s="2">
        <f>SUMIF(三代排期!H:H,A49,三代排期!J:J)</f>
        <v>0</v>
      </c>
      <c r="E49" s="2">
        <f>SUMIF(蛋糕系列!H:H,A49,蛋糕系列!J:J)</f>
        <v>0</v>
      </c>
      <c r="F49" s="2">
        <f>SUMIF(已走货!H:H,A49,已走货!J:J)</f>
        <v>201744</v>
      </c>
      <c r="G49" s="4">
        <f t="shared" si="0"/>
        <v>0</v>
      </c>
      <c r="H49" s="5">
        <f>SUMIF(总接单!E:E,A49,总接单!BX:BX)</f>
        <v>1050574.5</v>
      </c>
      <c r="I49" s="5">
        <f>SUMIF(一二代排期!H:H,A49,一二代排期!AQ:AQ)</f>
        <v>96282.9</v>
      </c>
      <c r="J49" s="5">
        <f>SUMIF(三代排期!H:H,A49,三代排期!AQ:AQ)</f>
        <v>0</v>
      </c>
      <c r="K49" s="5">
        <f>SUMIF(蛋糕系列!H:H,A49,蛋糕系列!AQ:AQ)</f>
        <v>0</v>
      </c>
      <c r="L49" s="5">
        <f>SUMIF(已走货!H:H,A49,已走货!AQ:AQ)</f>
        <v>954291.6</v>
      </c>
      <c r="M49" s="4">
        <f t="shared" si="1"/>
        <v>0</v>
      </c>
    </row>
    <row r="50" customHeight="1" spans="1:13">
      <c r="A50" s="2" t="s">
        <v>182</v>
      </c>
      <c r="B50" s="2">
        <f>SUMIF(总接单!E:E,A50,总接单!F:F)</f>
        <v>3840</v>
      </c>
      <c r="C50" s="2">
        <f>SUMIF(一二代排期!H:H,A50,一二代排期!J:J)</f>
        <v>0</v>
      </c>
      <c r="D50" s="2">
        <f>SUMIF(三代排期!H:H,A50,三代排期!J:J)</f>
        <v>768</v>
      </c>
      <c r="E50" s="2">
        <f>SUMIF(蛋糕系列!H:H,A50,蛋糕系列!J:J)</f>
        <v>0</v>
      </c>
      <c r="F50" s="2">
        <f>SUMIF(已走货!H:H,A50,已走货!J:J)</f>
        <v>3072</v>
      </c>
      <c r="G50" s="4">
        <f t="shared" si="0"/>
        <v>0</v>
      </c>
      <c r="H50" s="5">
        <f>SUMIF(总接单!E:E,A50,总接单!BX:BX)</f>
        <v>13094.4</v>
      </c>
      <c r="I50" s="5">
        <f>SUMIF(一二代排期!H:H,A50,一二代排期!AQ:AQ)</f>
        <v>0</v>
      </c>
      <c r="J50" s="5">
        <f>SUMIF(三代排期!H:H,A50,三代排期!AQ:AQ)</f>
        <v>0</v>
      </c>
      <c r="K50" s="5">
        <f>SUMIF(蛋糕系列!H:H,A50,蛋糕系列!AQ:AQ)</f>
        <v>0</v>
      </c>
      <c r="L50" s="5">
        <f>SUMIF(已走货!H:H,A50,已走货!AQ:AQ)</f>
        <v>13094.4</v>
      </c>
      <c r="M50" s="4">
        <f t="shared" si="1"/>
        <v>0</v>
      </c>
    </row>
    <row r="51" customHeight="1" spans="1:13">
      <c r="A51" s="9" t="s">
        <v>60</v>
      </c>
      <c r="B51" s="2">
        <f>SUMIF(总接单!E:E,A51,总接单!F:F)</f>
        <v>155712</v>
      </c>
      <c r="C51" s="2">
        <f>SUMIF(一二代排期!H:H,A51,一二代排期!J:J)</f>
        <v>0</v>
      </c>
      <c r="D51" s="2">
        <f>SUMIF(三代排期!H:H,A51,三代排期!J:J)</f>
        <v>35484</v>
      </c>
      <c r="E51" s="2">
        <f>SUMIF(蛋糕系列!H:H,A51,蛋糕系列!J:J)</f>
        <v>0</v>
      </c>
      <c r="F51" s="2">
        <f>SUMIF(已走货!H:H,A51,已走货!J:J)</f>
        <v>120228</v>
      </c>
      <c r="G51" s="4">
        <f t="shared" si="0"/>
        <v>0</v>
      </c>
      <c r="H51" s="5">
        <f>SUMIF(总接单!E:E,A51,总接单!BX:BX)</f>
        <v>729670.56</v>
      </c>
      <c r="I51" s="5">
        <f>SUMIF(一二代排期!H:H,A51,一二代排期!AQ:AQ)</f>
        <v>0</v>
      </c>
      <c r="J51" s="5">
        <f>SUMIF(三代排期!H:H,A51,三代排期!AQ:AQ)</f>
        <v>167750.61</v>
      </c>
      <c r="K51" s="5">
        <f>SUMIF(蛋糕系列!H:H,A51,蛋糕系列!AQ:AQ)</f>
        <v>0</v>
      </c>
      <c r="L51" s="5">
        <f>SUMIF(已走货!H:H,A51,已走货!AQ:AQ)</f>
        <v>561919.95</v>
      </c>
      <c r="M51" s="4">
        <f t="shared" si="1"/>
        <v>0</v>
      </c>
    </row>
    <row r="52" customHeight="1" spans="1:13">
      <c r="A52" s="2" t="s">
        <v>61</v>
      </c>
      <c r="B52" s="2">
        <f>SUMIF(总接单!E:E,A52,总接单!F:F)</f>
        <v>364656</v>
      </c>
      <c r="C52" s="2">
        <f>SUMIF(一二代排期!H:H,A52,一二代排期!J:J)</f>
        <v>0</v>
      </c>
      <c r="D52" s="2">
        <f>SUMIF(三代排期!H:H,A52,三代排期!J:J)</f>
        <v>84672</v>
      </c>
      <c r="E52" s="2">
        <f>SUMIF(蛋糕系列!H:H,A52,蛋糕系列!J:J)</f>
        <v>0</v>
      </c>
      <c r="F52" s="2">
        <f>SUMIF(已走货!H:H,A52,已走货!J:J)</f>
        <v>279984</v>
      </c>
      <c r="G52" s="4">
        <f t="shared" si="0"/>
        <v>0</v>
      </c>
      <c r="H52" s="5">
        <f>SUMIF(总接单!E:E,A52,总接单!BX:BX)</f>
        <v>1728088.8</v>
      </c>
      <c r="I52" s="5">
        <f>SUMIF(一二代排期!H:H,A52,一二代排期!AQ:AQ)</f>
        <v>0</v>
      </c>
      <c r="J52" s="5">
        <f>SUMIF(三代排期!H:H,A52,三代排期!AQ:AQ)</f>
        <v>402370.08</v>
      </c>
      <c r="K52" s="5">
        <f>SUMIF(蛋糕系列!H:H,A52,蛋糕系列!AQ:AQ)</f>
        <v>0</v>
      </c>
      <c r="L52" s="5">
        <f>SUMIF(已走货!H:H,A52,已走货!AQ:AQ)</f>
        <v>1325718.72</v>
      </c>
      <c r="M52" s="4">
        <f t="shared" si="1"/>
        <v>0</v>
      </c>
    </row>
    <row r="53" customHeight="1" spans="1:13">
      <c r="A53" s="2" t="s">
        <v>62</v>
      </c>
      <c r="B53" s="2">
        <f>SUMIF(总接单!E:E,A53,总接单!F:F)</f>
        <v>11160</v>
      </c>
      <c r="C53" s="2">
        <f>SUMIF(一二代排期!H:H,A53,一二代排期!J:J)</f>
        <v>0</v>
      </c>
      <c r="D53" s="2">
        <f>SUMIF(三代排期!H:H,A53,三代排期!J:J)</f>
        <v>0</v>
      </c>
      <c r="E53" s="2">
        <f>SUMIF(蛋糕系列!H:H,A53,蛋糕系列!J:J)</f>
        <v>0</v>
      </c>
      <c r="F53" s="2">
        <f>SUMIF(已走货!H:H,A53,已走货!J:J)</f>
        <v>11160</v>
      </c>
      <c r="G53" s="4">
        <f t="shared" si="0"/>
        <v>0</v>
      </c>
      <c r="H53" s="5">
        <f>SUMIF(总接单!E:E,A53,总接单!BX:BX)</f>
        <v>53800.5</v>
      </c>
      <c r="I53" s="5">
        <f>SUMIF(一二代排期!H:H,A53,一二代排期!AQ:AQ)</f>
        <v>0</v>
      </c>
      <c r="J53" s="5">
        <f>SUMIF(三代排期!H:H,A53,三代排期!AQ:AQ)</f>
        <v>0</v>
      </c>
      <c r="K53" s="5">
        <f>SUMIF(蛋糕系列!H:H,A53,蛋糕系列!AQ:AQ)</f>
        <v>0</v>
      </c>
      <c r="L53" s="5">
        <f>SUMIF(已走货!H:H,A53,已走货!AQ:AQ)</f>
        <v>53800.5</v>
      </c>
      <c r="M53" s="4">
        <f t="shared" si="1"/>
        <v>0</v>
      </c>
    </row>
    <row r="54" customHeight="1" spans="1:13">
      <c r="A54" s="2" t="s">
        <v>105</v>
      </c>
      <c r="B54" s="2">
        <f>SUMIF(总接单!E:E,A54,总接单!F:F)</f>
        <v>1380</v>
      </c>
      <c r="C54" s="2">
        <f>SUMIF(一二代排期!H:H,A54,一二代排期!J:J)</f>
        <v>0</v>
      </c>
      <c r="D54" s="2">
        <f>SUMIF(三代排期!H:H,A54,三代排期!J:J)</f>
        <v>0</v>
      </c>
      <c r="E54" s="2">
        <f>SUMIF(蛋糕系列!H:H,A54,蛋糕系列!J:J)</f>
        <v>0</v>
      </c>
      <c r="F54" s="2">
        <f>SUMIF(已走货!H:H,A54,已走货!J:J)</f>
        <v>1380</v>
      </c>
      <c r="G54" s="4">
        <f t="shared" si="0"/>
        <v>0</v>
      </c>
      <c r="H54" s="5">
        <f>SUMIF(总接单!E:E,A54,总接单!BX:BX)</f>
        <v>6523.95</v>
      </c>
      <c r="I54" s="5">
        <f>SUMIF(一二代排期!H:H,A54,一二代排期!AQ:AQ)</f>
        <v>0</v>
      </c>
      <c r="J54" s="5">
        <f>SUMIF(三代排期!H:H,A54,三代排期!AQ:AQ)</f>
        <v>0</v>
      </c>
      <c r="K54" s="5">
        <f>SUMIF(蛋糕系列!H:H,A54,蛋糕系列!AQ:AQ)</f>
        <v>0</v>
      </c>
      <c r="L54" s="5">
        <f>SUMIF(已走货!H:H,A54,已走货!AQ:AQ)</f>
        <v>6523.95</v>
      </c>
      <c r="M54" s="4">
        <f t="shared" si="1"/>
        <v>0</v>
      </c>
    </row>
    <row r="55" customHeight="1" spans="1:13">
      <c r="A55" s="2" t="s">
        <v>63</v>
      </c>
      <c r="B55" s="2">
        <f>SUMIF(总接单!E:E,A55,总接单!F:F)</f>
        <v>68232</v>
      </c>
      <c r="C55" s="2">
        <f>SUMIF(一二代排期!H:H,A55,一二代排期!J:J)</f>
        <v>0</v>
      </c>
      <c r="D55" s="2">
        <f>SUMIF(三代排期!H:H,A55,三代排期!J:J)</f>
        <v>1440</v>
      </c>
      <c r="E55" s="2">
        <f>SUMIF(蛋糕系列!H:H,A55,蛋糕系列!J:J)</f>
        <v>0</v>
      </c>
      <c r="F55" s="2">
        <f>SUMIF(已走货!H:H,A55,已走货!J:J)</f>
        <v>66792</v>
      </c>
      <c r="G55" s="4">
        <f t="shared" si="0"/>
        <v>0</v>
      </c>
      <c r="H55" s="5">
        <f>SUMIF(总接单!E:E,A55,总接单!BX:BX)</f>
        <v>328477.86</v>
      </c>
      <c r="I55" s="5">
        <f>SUMIF(一二代排期!H:H,A55,一二代排期!AQ:AQ)</f>
        <v>0</v>
      </c>
      <c r="J55" s="5">
        <f>SUMIF(三代排期!H:H,A55,三代排期!AQ:AQ)</f>
        <v>7142.4</v>
      </c>
      <c r="K55" s="5">
        <f>SUMIF(蛋糕系列!H:H,A55,蛋糕系列!AQ:AQ)</f>
        <v>0</v>
      </c>
      <c r="L55" s="5">
        <f>SUMIF(已走货!H:H,A55,已走货!AQ:AQ)</f>
        <v>321335.46</v>
      </c>
      <c r="M55" s="4">
        <f t="shared" si="1"/>
        <v>0</v>
      </c>
    </row>
    <row r="56" customHeight="1" spans="1:13">
      <c r="A56" s="2" t="s">
        <v>64</v>
      </c>
      <c r="B56" s="2">
        <f>SUMIF(总接单!E:E,A56,总接单!F:F)</f>
        <v>3600</v>
      </c>
      <c r="C56" s="2">
        <f>SUMIF(一二代排期!H:H,A56,一二代排期!J:J)</f>
        <v>0</v>
      </c>
      <c r="D56" s="2">
        <f>SUMIF(三代排期!H:H,A56,三代排期!J:J)</f>
        <v>0</v>
      </c>
      <c r="E56" s="2">
        <f>SUMIF(蛋糕系列!H:H,A56,蛋糕系列!J:J)</f>
        <v>0</v>
      </c>
      <c r="F56" s="2">
        <f>SUMIF(已走货!H:H,A56,已走货!J:J)</f>
        <v>3600</v>
      </c>
      <c r="G56" s="4">
        <f t="shared" si="0"/>
        <v>0</v>
      </c>
      <c r="H56" s="5">
        <f>SUMIF(总接单!E:E,A56,总接单!BX:BX)</f>
        <v>17279.4</v>
      </c>
      <c r="I56" s="5">
        <f>SUMIF(一二代排期!H:H,A56,一二代排期!AQ:AQ)</f>
        <v>0</v>
      </c>
      <c r="J56" s="5">
        <f>SUMIF(三代排期!H:H,A56,三代排期!AQ:AQ)</f>
        <v>0</v>
      </c>
      <c r="K56" s="5">
        <f>SUMIF(蛋糕系列!H:H,A56,蛋糕系列!AQ:AQ)</f>
        <v>0</v>
      </c>
      <c r="L56" s="5">
        <f>SUMIF(已走货!H:H,A56,已走货!AQ:AQ)</f>
        <v>17279.4</v>
      </c>
      <c r="M56" s="4">
        <f t="shared" si="1"/>
        <v>0</v>
      </c>
    </row>
    <row r="57" customHeight="1" spans="1:13">
      <c r="A57" s="2" t="s">
        <v>65</v>
      </c>
      <c r="B57" s="2">
        <f>SUMIF(总接单!E:E,A57,总接单!F:F)</f>
        <v>35520</v>
      </c>
      <c r="C57" s="2">
        <f>SUMIF(一二代排期!H:H,A57,一二代排期!J:J)</f>
        <v>3384</v>
      </c>
      <c r="D57" s="2">
        <f>SUMIF(三代排期!H:H,A57,三代排期!J:J)</f>
        <v>0</v>
      </c>
      <c r="E57" s="2">
        <f>SUMIF(蛋糕系列!H:H,A57,蛋糕系列!J:J)</f>
        <v>0</v>
      </c>
      <c r="F57" s="2">
        <f>SUMIF(已走货!H:H,A57,已走货!J:J)</f>
        <v>32136</v>
      </c>
      <c r="G57" s="4">
        <f t="shared" si="0"/>
        <v>0</v>
      </c>
      <c r="H57" s="5">
        <f>SUMIF(总接单!E:E,A57,总接单!BX:BX)</f>
        <v>169691.52</v>
      </c>
      <c r="I57" s="5">
        <f>SUMIF(一二代排期!H:H,A57,一二代排期!AQ:AQ)</f>
        <v>16522.38</v>
      </c>
      <c r="J57" s="5">
        <f>SUMIF(三代排期!H:H,A57,三代排期!AQ:AQ)</f>
        <v>0</v>
      </c>
      <c r="K57" s="5">
        <f>SUMIF(蛋糕系列!H:H,A57,蛋糕系列!AQ:AQ)</f>
        <v>0</v>
      </c>
      <c r="L57" s="5">
        <f>SUMIF(已走货!H:H,A57,已走货!AQ:AQ)</f>
        <v>153169.14</v>
      </c>
      <c r="M57" s="4">
        <f t="shared" si="1"/>
        <v>0</v>
      </c>
    </row>
    <row r="58" customHeight="1" spans="1:13">
      <c r="A58" s="2" t="s">
        <v>37</v>
      </c>
      <c r="B58" s="2">
        <f>SUMIF(总接单!E:E,A58,总接单!F:F)</f>
        <v>73440</v>
      </c>
      <c r="C58" s="2">
        <f>SUMIF(一二代排期!H:H,A58,一二代排期!J:J)</f>
        <v>4506</v>
      </c>
      <c r="D58" s="2">
        <f>SUMIF(三代排期!H:H,A58,三代排期!J:J)</f>
        <v>0</v>
      </c>
      <c r="E58" s="2">
        <f>SUMIF(蛋糕系列!H:H,A58,蛋糕系列!J:J)</f>
        <v>0</v>
      </c>
      <c r="F58" s="2">
        <f>SUMIF(已走货!H:H,A58,已走货!J:J)</f>
        <v>68934</v>
      </c>
      <c r="G58" s="4">
        <f t="shared" si="0"/>
        <v>0</v>
      </c>
      <c r="H58" s="5">
        <f>SUMIF(总接单!E:E,A58,总接单!BX:BX)</f>
        <v>1158679.1</v>
      </c>
      <c r="I58" s="5">
        <f>SUMIF(一二代排期!H:H,A58,一二代排期!AQ:AQ)</f>
        <v>73335.15</v>
      </c>
      <c r="J58" s="5">
        <f>SUMIF(三代排期!H:H,A58,三代排期!AQ:AQ)</f>
        <v>0</v>
      </c>
      <c r="K58" s="5">
        <f>SUMIF(蛋糕系列!H:H,A58,蛋糕系列!AQ:AQ)</f>
        <v>0</v>
      </c>
      <c r="L58" s="5">
        <f>SUMIF(已走货!H:H,A58,已走货!AQ:AQ)</f>
        <v>1085343.95</v>
      </c>
      <c r="M58" s="4">
        <f t="shared" si="1"/>
        <v>0</v>
      </c>
    </row>
    <row r="59" customHeight="1" spans="1:13">
      <c r="A59" s="9" t="s">
        <v>66</v>
      </c>
      <c r="B59" s="2">
        <f>SUMIF(总接单!E:E,A59,总接单!F:F)</f>
        <v>294299</v>
      </c>
      <c r="C59" s="2">
        <f>SUMIF(一二代排期!H:H,A59,一二代排期!J:J)</f>
        <v>0</v>
      </c>
      <c r="D59" s="2">
        <f>SUMIF(三代排期!H:H,A59,三代排期!J:J)</f>
        <v>64163</v>
      </c>
      <c r="E59" s="2">
        <f>SUMIF(蛋糕系列!H:H,A59,蛋糕系列!J:J)</f>
        <v>0</v>
      </c>
      <c r="F59" s="2">
        <f>SUMIF(已走货!H:H,A59,已走货!J:J)</f>
        <v>230136</v>
      </c>
      <c r="G59" s="4">
        <f t="shared" si="0"/>
        <v>0</v>
      </c>
      <c r="H59" s="5">
        <f>SUMIF(总接单!E:E,A59,总接单!BX:BX)</f>
        <v>4621232.32</v>
      </c>
      <c r="I59" s="5">
        <f>SUMIF(一二代排期!H:H,A59,一二代排期!AQ:AQ)</f>
        <v>0</v>
      </c>
      <c r="J59" s="5">
        <f>SUMIF(三代排期!H:H,A59,三代排期!AQ:AQ)</f>
        <v>1010643.09</v>
      </c>
      <c r="K59" s="5">
        <f>SUMIF(蛋糕系列!H:H,A59,蛋糕系列!AQ:AQ)</f>
        <v>0</v>
      </c>
      <c r="L59" s="5">
        <f>SUMIF(已走货!H:H,A59,已走货!AQ:AQ)</f>
        <v>3610589.23</v>
      </c>
      <c r="M59" s="4">
        <f t="shared" si="1"/>
        <v>0</v>
      </c>
    </row>
    <row r="60" customHeight="1" spans="1:13">
      <c r="A60" s="9" t="s">
        <v>67</v>
      </c>
      <c r="B60" s="2">
        <f>SUMIF(总接单!E:E,A60,总接单!F:F)</f>
        <v>74868</v>
      </c>
      <c r="C60" s="2">
        <f>SUMIF(一二代排期!H:H,A60,一二代排期!J:J)</f>
        <v>0</v>
      </c>
      <c r="D60" s="2">
        <f>SUMIF(三代排期!H:H,A60,三代排期!J:J)</f>
        <v>71868</v>
      </c>
      <c r="E60" s="2">
        <f>SUMIF(蛋糕系列!H:H,A60,蛋糕系列!J:J)</f>
        <v>0</v>
      </c>
      <c r="F60" s="2">
        <f>SUMIF(已走货!H:H,A60,已走货!J:J)</f>
        <v>3000</v>
      </c>
      <c r="G60" s="4">
        <f t="shared" si="0"/>
        <v>0</v>
      </c>
      <c r="H60" s="5">
        <f>SUMIF(总接单!E:E,A60,总接单!BX:BX)</f>
        <v>1172523.54</v>
      </c>
      <c r="I60" s="5">
        <f>SUMIF(一二代排期!H:H,A60,一二代排期!AQ:AQ)</f>
        <v>0</v>
      </c>
      <c r="J60" s="5">
        <f>SUMIF(三代排期!H:H,A60,三代排期!AQ:AQ)</f>
        <v>1125558.54</v>
      </c>
      <c r="K60" s="5">
        <f>SUMIF(蛋糕系列!H:H,A60,蛋糕系列!AQ:AQ)</f>
        <v>0</v>
      </c>
      <c r="L60" s="5">
        <f>SUMIF(已走货!H:H,A60,已走货!AQ:AQ)</f>
        <v>46965</v>
      </c>
      <c r="M60" s="4">
        <f t="shared" si="1"/>
        <v>0</v>
      </c>
    </row>
    <row r="61" customHeight="1" spans="1:13">
      <c r="A61" s="2" t="s">
        <v>107</v>
      </c>
      <c r="B61" s="2">
        <f>SUMIF(总接单!E:E,A61,总接单!F:F)</f>
        <v>107500</v>
      </c>
      <c r="C61" s="2">
        <f>SUMIF(一二代排期!H:H,A61,一二代排期!J:J)</f>
        <v>0</v>
      </c>
      <c r="D61" s="2">
        <f>SUMIF(三代排期!H:H,A61,三代排期!J:J)</f>
        <v>76425</v>
      </c>
      <c r="E61" s="2">
        <f>SUMIF(蛋糕系列!H:H,A61,蛋糕系列!J:J)</f>
        <v>0</v>
      </c>
      <c r="F61" s="2">
        <f>SUMIF(已走货!H:H,A61,已走货!J:J)</f>
        <v>31075</v>
      </c>
      <c r="G61" s="4">
        <f t="shared" si="0"/>
        <v>0</v>
      </c>
      <c r="H61" s="5">
        <f>SUMIF(总接单!E:E,A61,总接单!BX:BX)</f>
        <v>1774788.75</v>
      </c>
      <c r="I61" s="5">
        <f>SUMIF(一二代排期!H:H,A61,一二代排期!AQ:AQ)</f>
        <v>0</v>
      </c>
      <c r="J61" s="5">
        <f>SUMIF(三代排期!H:H,A61,三代排期!AQ:AQ)</f>
        <v>1255662.75</v>
      </c>
      <c r="K61" s="5">
        <f>SUMIF(蛋糕系列!H:H,A61,蛋糕系列!AQ:AQ)</f>
        <v>0</v>
      </c>
      <c r="L61" s="5">
        <f>SUMIF(已走货!H:H,A61,已走货!AQ:AQ)</f>
        <v>519126</v>
      </c>
      <c r="M61" s="4">
        <f t="shared" si="1"/>
        <v>0</v>
      </c>
    </row>
    <row r="62" customHeight="1" spans="1:13">
      <c r="A62" s="2" t="s">
        <v>142</v>
      </c>
      <c r="B62" s="2">
        <f>SUMIF(总接单!E:E,A62,总接单!F:F)</f>
        <v>91104</v>
      </c>
      <c r="C62" s="2">
        <f>SUMIF(一二代排期!H:H,A62,一二代排期!J:J)</f>
        <v>0</v>
      </c>
      <c r="D62" s="2">
        <f>SUMIF(三代排期!H:H,A62,三代排期!J:J)</f>
        <v>18000</v>
      </c>
      <c r="E62" s="2">
        <f>SUMIF(蛋糕系列!H:H,A62,蛋糕系列!J:J)</f>
        <v>0</v>
      </c>
      <c r="F62" s="2">
        <f>SUMIF(已走货!H:H,A62,已走货!J:J)</f>
        <v>73104</v>
      </c>
      <c r="G62" s="4">
        <f t="shared" si="0"/>
        <v>0</v>
      </c>
      <c r="H62" s="5">
        <f>SUMIF(总接单!E:E,A62,总接单!BX:BX)</f>
        <v>1167782.4</v>
      </c>
      <c r="I62" s="5">
        <f>SUMIF(一二代排期!H:H,A62,一二代排期!AQ:AQ)</f>
        <v>0</v>
      </c>
      <c r="J62" s="5">
        <f>SUMIF(三代排期!H:H,A62,三代排期!AQ:AQ)</f>
        <v>232965</v>
      </c>
      <c r="K62" s="5">
        <f>SUMIF(蛋糕系列!H:H,A62,蛋糕系列!AQ:AQ)</f>
        <v>0</v>
      </c>
      <c r="L62" s="5">
        <f>SUMIF(已走货!H:H,A62,已走货!AQ:AQ)</f>
        <v>934817.4</v>
      </c>
      <c r="M62" s="4">
        <f t="shared" si="1"/>
        <v>0</v>
      </c>
    </row>
    <row r="63" customHeight="1" spans="1:13">
      <c r="A63" s="2" t="s">
        <v>26</v>
      </c>
      <c r="B63" s="2">
        <f>SUMIF(总接单!E:E,A63,总接单!F:F)</f>
        <v>90510</v>
      </c>
      <c r="C63" s="2">
        <f>SUMIF(一二代排期!H:H,A63,一二代排期!J:J)</f>
        <v>9000</v>
      </c>
      <c r="D63" s="2">
        <f>SUMIF(三代排期!H:H,A63,三代排期!J:J)</f>
        <v>0</v>
      </c>
      <c r="E63" s="2">
        <f>SUMIF(蛋糕系列!H:H,A63,蛋糕系列!J:J)</f>
        <v>0</v>
      </c>
      <c r="F63" s="2">
        <f>SUMIF(已走货!H:H,A63,已走货!J:J)</f>
        <v>81510</v>
      </c>
      <c r="G63" s="4">
        <f t="shared" si="0"/>
        <v>0</v>
      </c>
      <c r="H63" s="5">
        <f>SUMIF(总接单!E:E,A63,总接单!BX:BX)</f>
        <v>1501596.6</v>
      </c>
      <c r="I63" s="5">
        <f>SUMIF(一二代排期!H:H,A63,一二代排期!AQ:AQ)</f>
        <v>149265</v>
      </c>
      <c r="J63" s="5">
        <f>SUMIF(三代排期!H:H,A63,三代排期!AQ:AQ)</f>
        <v>0</v>
      </c>
      <c r="K63" s="5">
        <f>SUMIF(蛋糕系列!H:H,A63,蛋糕系列!AQ:AQ)</f>
        <v>0</v>
      </c>
      <c r="L63" s="5">
        <f>SUMIF(已走货!H:H,A63,已走货!AQ:AQ)</f>
        <v>1352331.6</v>
      </c>
      <c r="M63" s="4">
        <f t="shared" si="1"/>
        <v>0</v>
      </c>
    </row>
    <row r="64" customHeight="1" spans="1:13">
      <c r="A64" s="2" t="s">
        <v>47</v>
      </c>
      <c r="B64" s="2">
        <f>SUMIF(总接单!E:E,A64,总接单!F:F)</f>
        <v>3580</v>
      </c>
      <c r="C64" s="2">
        <f>SUMIF(一二代排期!H:H,A64,一二代排期!J:J)</f>
        <v>0</v>
      </c>
      <c r="D64" s="2">
        <f>SUMIF(三代排期!H:H,A64,三代排期!J:J)</f>
        <v>0</v>
      </c>
      <c r="E64" s="2">
        <f>SUMIF(蛋糕系列!H:H,A64,蛋糕系列!J:J)</f>
        <v>0</v>
      </c>
      <c r="F64" s="2">
        <f>SUMIF(已走货!H:H,A64,已走货!J:J)</f>
        <v>3580</v>
      </c>
      <c r="G64" s="4">
        <f t="shared" si="0"/>
        <v>0</v>
      </c>
      <c r="H64" s="5">
        <f>SUMIF(总接单!E:E,A64,总接单!BX:BX)</f>
        <v>63536.05</v>
      </c>
      <c r="I64" s="5">
        <f>SUMIF(一二代排期!H:H,A64,一二代排期!AQ:AQ)</f>
        <v>0</v>
      </c>
      <c r="J64" s="5">
        <f>SUMIF(三代排期!H:H,A64,三代排期!AQ:AQ)</f>
        <v>0</v>
      </c>
      <c r="K64" s="5">
        <f>SUMIF(蛋糕系列!H:H,A64,蛋糕系列!AQ:AQ)</f>
        <v>0</v>
      </c>
      <c r="L64" s="5">
        <f>SUMIF(已走货!H:H,A64,已走货!AQ:AQ)</f>
        <v>63536.05</v>
      </c>
      <c r="M64" s="4">
        <f t="shared" si="1"/>
        <v>0</v>
      </c>
    </row>
    <row r="65" customHeight="1" spans="1:13">
      <c r="A65" s="9" t="s">
        <v>38</v>
      </c>
      <c r="B65" s="2">
        <f>SUMIF(总接单!E:E,A65,总接单!F:F)</f>
        <v>28028</v>
      </c>
      <c r="C65" s="2">
        <f>SUMIF(一二代排期!H:H,A65,一二代排期!J:J)</f>
        <v>0</v>
      </c>
      <c r="D65" s="2">
        <f>SUMIF(三代排期!H:H,A65,三代排期!J:J)</f>
        <v>0</v>
      </c>
      <c r="E65" s="2">
        <f>SUMIF(蛋糕系列!H:H,A65,蛋糕系列!J:J)</f>
        <v>0</v>
      </c>
      <c r="F65" s="2">
        <f>SUMIF(已走货!H:H,A65,已走货!J:J)</f>
        <v>28028</v>
      </c>
      <c r="G65" s="4">
        <f t="shared" si="0"/>
        <v>0</v>
      </c>
      <c r="H65" s="5">
        <f>SUMIF(总接单!E:E,A65,总接单!BX:BX)</f>
        <v>678990.83</v>
      </c>
      <c r="I65" s="5">
        <f>SUMIF(一二代排期!H:H,A65,一二代排期!AQ:AQ)</f>
        <v>0</v>
      </c>
      <c r="J65" s="5">
        <f>SUMIF(三代排期!H:H,A65,三代排期!AQ:AQ)</f>
        <v>0</v>
      </c>
      <c r="K65" s="5">
        <f>SUMIF(蛋糕系列!H:H,A65,蛋糕系列!AQ:AQ)</f>
        <v>0</v>
      </c>
      <c r="L65" s="5">
        <f>SUMIF(已走货!H:H,A65,已走货!AQ:AQ)</f>
        <v>678990.83</v>
      </c>
      <c r="M65" s="4">
        <f t="shared" si="1"/>
        <v>0</v>
      </c>
    </row>
    <row r="66" customHeight="1" spans="1:13">
      <c r="A66" s="2" t="s">
        <v>68</v>
      </c>
      <c r="B66" s="2">
        <f>SUMIF(总接单!E:E,A66,总接单!F:F)</f>
        <v>122775</v>
      </c>
      <c r="C66" s="2">
        <f>SUMIF(一二代排期!H:H,A66,一二代排期!J:J)</f>
        <v>0</v>
      </c>
      <c r="D66" s="2">
        <f>SUMIF(三代排期!H:H,A66,三代排期!J:J)</f>
        <v>59259</v>
      </c>
      <c r="E66" s="2">
        <f>SUMIF(蛋糕系列!H:H,A66,蛋糕系列!J:J)</f>
        <v>0</v>
      </c>
      <c r="F66" s="2">
        <f>SUMIF(已走货!H:H,A66,已走货!J:J)</f>
        <v>63516</v>
      </c>
      <c r="G66" s="4">
        <f t="shared" ref="G66:G129" si="2">B66-C66-D66-F66-E66</f>
        <v>0</v>
      </c>
      <c r="H66" s="5">
        <f>SUMIF(总接单!E:E,A66,总接单!BX:BX)</f>
        <v>2950011.15</v>
      </c>
      <c r="I66" s="5">
        <f>SUMIF(一二代排期!H:H,A66,一二代排期!AQ:AQ)</f>
        <v>0</v>
      </c>
      <c r="J66" s="5">
        <f>SUMIF(三代排期!H:H,A66,三代排期!AQ:AQ)</f>
        <v>1422431.28</v>
      </c>
      <c r="K66" s="5">
        <f>SUMIF(蛋糕系列!H:H,A66,蛋糕系列!AQ:AQ)</f>
        <v>0</v>
      </c>
      <c r="L66" s="5">
        <f>SUMIF(已走货!H:H,A66,已走货!AQ:AQ)</f>
        <v>1527579.87</v>
      </c>
      <c r="M66" s="4">
        <f t="shared" ref="M66:M129" si="3">H66-I66-J66-L66-K66</f>
        <v>0</v>
      </c>
    </row>
    <row r="67" customHeight="1" spans="1:13">
      <c r="A67" s="2" t="s">
        <v>143</v>
      </c>
      <c r="B67" s="2">
        <f>SUMIF(总接单!E:E,A67,总接单!F:F)</f>
        <v>34020</v>
      </c>
      <c r="C67" s="2">
        <f>SUMIF(一二代排期!H:H,A67,一二代排期!J:J)</f>
        <v>0</v>
      </c>
      <c r="D67" s="2">
        <f>SUMIF(三代排期!H:H,A67,三代排期!J:J)</f>
        <v>34020</v>
      </c>
      <c r="E67" s="2">
        <f>SUMIF(蛋糕系列!H:H,A67,蛋糕系列!J:J)</f>
        <v>0</v>
      </c>
      <c r="F67" s="2">
        <f>SUMIF(已走货!H:H,A67,已走货!J:J)</f>
        <v>0</v>
      </c>
      <c r="G67" s="4">
        <f t="shared" si="2"/>
        <v>0</v>
      </c>
      <c r="H67" s="5">
        <f>SUMIF(总接单!E:E,A67,总接单!BX:BX)</f>
        <v>677593.35</v>
      </c>
      <c r="I67" s="5">
        <f>SUMIF(一二代排期!H:H,A67,一二代排期!AQ:AQ)</f>
        <v>0</v>
      </c>
      <c r="J67" s="5">
        <f>SUMIF(三代排期!H:H,A67,三代排期!AQ:AQ)</f>
        <v>677593.35</v>
      </c>
      <c r="K67" s="5">
        <f>SUMIF(蛋糕系列!H:H,A67,蛋糕系列!AQ:AQ)</f>
        <v>0</v>
      </c>
      <c r="L67" s="5">
        <f>SUMIF(已走货!H:H,A67,已走货!AQ:AQ)</f>
        <v>0</v>
      </c>
      <c r="M67" s="4">
        <f t="shared" si="3"/>
        <v>0</v>
      </c>
    </row>
    <row r="68" customHeight="1" spans="1:13">
      <c r="A68" s="2" t="s">
        <v>69</v>
      </c>
      <c r="B68" s="2">
        <f>SUMIF(总接单!E:E,A68,总接单!F:F)</f>
        <v>7590</v>
      </c>
      <c r="C68" s="2">
        <f>SUMIF(一二代排期!H:H,A68,一二代排期!J:J)</f>
        <v>0</v>
      </c>
      <c r="D68" s="2">
        <f>SUMIF(三代排期!H:H,A68,三代排期!J:J)</f>
        <v>0</v>
      </c>
      <c r="E68" s="2">
        <f>SUMIF(蛋糕系列!H:H,A68,蛋糕系列!J:J)</f>
        <v>0</v>
      </c>
      <c r="F68" s="2">
        <f>SUMIF(已走货!H:H,A68,已走货!J:J)</f>
        <v>7590</v>
      </c>
      <c r="G68" s="4">
        <f t="shared" si="2"/>
        <v>0</v>
      </c>
      <c r="H68" s="5">
        <f>SUMIF(总接单!E:E,A68,总接单!BX:BX)</f>
        <v>539994.89</v>
      </c>
      <c r="I68" s="5">
        <f>SUMIF(一二代排期!H:H,A68,一二代排期!AQ:AQ)</f>
        <v>0</v>
      </c>
      <c r="J68" s="5">
        <f>SUMIF(三代排期!H:H,A68,三代排期!AQ:AQ)</f>
        <v>0</v>
      </c>
      <c r="K68" s="5">
        <f>SUMIF(蛋糕系列!H:H,A68,蛋糕系列!AQ:AQ)</f>
        <v>0</v>
      </c>
      <c r="L68" s="5">
        <f>SUMIF(已走货!H:H,A68,已走货!AQ:AQ)</f>
        <v>539994.89</v>
      </c>
      <c r="M68" s="4">
        <f t="shared" si="3"/>
        <v>0</v>
      </c>
    </row>
    <row r="69" customHeight="1" spans="1:13">
      <c r="A69" s="2" t="s">
        <v>112</v>
      </c>
      <c r="B69" s="2">
        <f>SUMIF(总接单!E:E,A69,总接单!F:F)</f>
        <v>34121</v>
      </c>
      <c r="C69" s="2">
        <f>SUMIF(一二代排期!H:H,A69,一二代排期!J:J)</f>
        <v>0</v>
      </c>
      <c r="D69" s="2">
        <f>SUMIF(三代排期!H:H,A69,三代排期!J:J)</f>
        <v>12873</v>
      </c>
      <c r="E69" s="2">
        <f>SUMIF(蛋糕系列!H:H,A69,蛋糕系列!J:J)</f>
        <v>0</v>
      </c>
      <c r="F69" s="2">
        <f>SUMIF(已走货!H:H,A69,已走货!J:J)</f>
        <v>21248</v>
      </c>
      <c r="G69" s="4">
        <f t="shared" si="2"/>
        <v>0</v>
      </c>
      <c r="H69" s="5">
        <f>SUMIF(总接单!E:E,A69,总接单!BX:BX)</f>
        <v>2430447.29</v>
      </c>
      <c r="I69" s="5">
        <f>SUMIF(一二代排期!H:H,A69,一二代排期!AQ:AQ)</f>
        <v>0</v>
      </c>
      <c r="J69" s="5">
        <f>SUMIF(三代排期!H:H,A69,三代排期!AQ:AQ)</f>
        <v>915378.08</v>
      </c>
      <c r="K69" s="5">
        <f>SUMIF(蛋糕系列!H:H,A69,蛋糕系列!AQ:AQ)</f>
        <v>0</v>
      </c>
      <c r="L69" s="5">
        <f>SUMIF(已走货!H:H,A69,已走货!AQ:AQ)</f>
        <v>1515069.21</v>
      </c>
      <c r="M69" s="4">
        <f t="shared" si="3"/>
        <v>0</v>
      </c>
    </row>
    <row r="70" customHeight="1" spans="1:13">
      <c r="A70" s="2" t="s">
        <v>111</v>
      </c>
      <c r="B70" s="2">
        <f>SUMIF(总接单!E:E,A70,总接单!F:F)</f>
        <v>440</v>
      </c>
      <c r="C70" s="2">
        <f>SUMIF(一二代排期!H:H,A70,一二代排期!J:J)</f>
        <v>0</v>
      </c>
      <c r="D70" s="2">
        <f>SUMIF(三代排期!H:H,A70,三代排期!J:J)</f>
        <v>0</v>
      </c>
      <c r="E70" s="2">
        <f>SUMIF(蛋糕系列!H:H,A70,蛋糕系列!J:J)</f>
        <v>0</v>
      </c>
      <c r="F70" s="2">
        <f>SUMIF(已走货!H:H,A70,已走货!J:J)</f>
        <v>440</v>
      </c>
      <c r="G70" s="4">
        <f t="shared" si="2"/>
        <v>0</v>
      </c>
      <c r="H70" s="5">
        <f>SUMIF(总接单!E:E,A70,总接单!BX:BX)</f>
        <v>32019.9</v>
      </c>
      <c r="I70" s="5">
        <f>SUMIF(一二代排期!H:H,A70,一二代排期!AQ:AQ)</f>
        <v>0</v>
      </c>
      <c r="J70" s="5">
        <f>SUMIF(三代排期!H:H,A70,三代排期!AQ:AQ)</f>
        <v>0</v>
      </c>
      <c r="K70" s="5">
        <f>SUMIF(蛋糕系列!H:H,A70,蛋糕系列!AQ:AQ)</f>
        <v>0</v>
      </c>
      <c r="L70" s="5">
        <f>SUMIF(已走货!H:H,A70,已走货!AQ:AQ)</f>
        <v>32019.9</v>
      </c>
      <c r="M70" s="4">
        <f t="shared" si="3"/>
        <v>0</v>
      </c>
    </row>
    <row r="71" customHeight="1" spans="1:13">
      <c r="A71" s="9" t="s">
        <v>126</v>
      </c>
      <c r="B71" s="2">
        <f>SUMIF(总接单!E:E,A71,总接单!F:F)</f>
        <v>31920</v>
      </c>
      <c r="C71" s="2">
        <f>SUMIF(一二代排期!H:H,A71,一二代排期!J:J)</f>
        <v>0</v>
      </c>
      <c r="D71" s="2">
        <f>SUMIF(三代排期!H:H,A71,三代排期!J:J)</f>
        <v>13440</v>
      </c>
      <c r="E71" s="2">
        <f>SUMIF(蛋糕系列!H:H,A71,蛋糕系列!J:J)</f>
        <v>0</v>
      </c>
      <c r="F71" s="2">
        <f>SUMIF(已走货!H:H,A71,已走货!J:J)</f>
        <v>18480</v>
      </c>
      <c r="G71" s="4">
        <f t="shared" si="2"/>
        <v>0</v>
      </c>
      <c r="H71" s="5">
        <f>SUMIF(总接单!E:E,A71,总接单!BX:BX)</f>
        <v>2572882.2</v>
      </c>
      <c r="I71" s="5">
        <f>SUMIF(一二代排期!H:H,A71,一二代排期!AQ:AQ)</f>
        <v>0</v>
      </c>
      <c r="J71" s="5">
        <f>SUMIF(三代排期!H:H,A71,三代排期!AQ:AQ)</f>
        <v>953064</v>
      </c>
      <c r="K71" s="5">
        <f>SUMIF(蛋糕系列!H:H,A71,蛋糕系列!AQ:AQ)</f>
        <v>0</v>
      </c>
      <c r="L71" s="5">
        <f>SUMIF(已走货!H:H,A71,已走货!AQ:AQ)</f>
        <v>1619818.2</v>
      </c>
      <c r="M71" s="4">
        <f t="shared" si="3"/>
        <v>0</v>
      </c>
    </row>
    <row r="72" customHeight="1" spans="1:13">
      <c r="A72" s="2" t="s">
        <v>144</v>
      </c>
      <c r="B72" s="2">
        <f>SUMIF(总接单!E:E,A72,总接单!F:F)</f>
        <v>4104</v>
      </c>
      <c r="C72" s="2">
        <f>SUMIF(一二代排期!H:H,A72,一二代排期!J:J)</f>
        <v>0</v>
      </c>
      <c r="D72" s="2">
        <f>SUMIF(三代排期!H:H,A72,三代排期!J:J)</f>
        <v>4104</v>
      </c>
      <c r="E72" s="2">
        <f>SUMIF(蛋糕系列!H:H,A72,蛋糕系列!J:J)</f>
        <v>0</v>
      </c>
      <c r="F72" s="2">
        <f>SUMIF(已走货!H:H,A72,已走货!J:J)</f>
        <v>0</v>
      </c>
      <c r="G72" s="4">
        <f t="shared" si="2"/>
        <v>0</v>
      </c>
      <c r="H72" s="5">
        <f>SUMIF(总接单!E:E,A72,总接单!BX:BX)</f>
        <v>285617.88</v>
      </c>
      <c r="I72" s="5">
        <f>SUMIF(一二代排期!H:H,A72,一二代排期!AQ:AQ)</f>
        <v>0</v>
      </c>
      <c r="J72" s="5">
        <f>SUMIF(三代排期!H:H,A72,三代排期!AQ:AQ)</f>
        <v>285617.88</v>
      </c>
      <c r="K72" s="5">
        <f>SUMIF(蛋糕系列!H:H,A72,蛋糕系列!AQ:AQ)</f>
        <v>0</v>
      </c>
      <c r="L72" s="5">
        <f>SUMIF(已走货!H:H,A72,已走货!AQ:AQ)</f>
        <v>0</v>
      </c>
      <c r="M72" s="4">
        <f t="shared" si="3"/>
        <v>0</v>
      </c>
    </row>
    <row r="73" customHeight="1" spans="1:13">
      <c r="A73" s="2" t="s">
        <v>145</v>
      </c>
      <c r="B73" s="2">
        <f>SUMIF(总接单!E:E,A73,总接单!F:F)</f>
        <v>3660</v>
      </c>
      <c r="C73" s="2">
        <f>SUMIF(一二代排期!H:H,A73,一二代排期!J:J)</f>
        <v>0</v>
      </c>
      <c r="D73" s="2">
        <f>SUMIF(三代排期!H:H,A73,三代排期!J:J)</f>
        <v>3660</v>
      </c>
      <c r="E73" s="2">
        <f>SUMIF(蛋糕系列!H:H,A73,蛋糕系列!J:J)</f>
        <v>0</v>
      </c>
      <c r="F73" s="2">
        <f>SUMIF(已走货!H:H,A73,已走货!J:J)</f>
        <v>0</v>
      </c>
      <c r="G73" s="4">
        <f t="shared" si="2"/>
        <v>0</v>
      </c>
      <c r="H73" s="5">
        <f>SUMIF(总接单!E:E,A73,总接单!BX:BX)</f>
        <v>254717.7</v>
      </c>
      <c r="I73" s="5">
        <f>SUMIF(一二代排期!H:H,A73,一二代排期!AQ:AQ)</f>
        <v>0</v>
      </c>
      <c r="J73" s="5">
        <f>SUMIF(三代排期!H:H,A73,三代排期!AQ:AQ)</f>
        <v>254717.7</v>
      </c>
      <c r="K73" s="5">
        <f>SUMIF(蛋糕系列!H:H,A73,蛋糕系列!AQ:AQ)</f>
        <v>0</v>
      </c>
      <c r="L73" s="5">
        <f>SUMIF(已走货!H:H,A73,已走货!AQ:AQ)</f>
        <v>0</v>
      </c>
      <c r="M73" s="4">
        <f t="shared" si="3"/>
        <v>0</v>
      </c>
    </row>
    <row r="74" customHeight="1" spans="1:13">
      <c r="A74" s="2" t="s">
        <v>49</v>
      </c>
      <c r="B74" s="2">
        <f>SUMIF(总接单!E:E,A74,总接单!F:F)</f>
        <v>16480</v>
      </c>
      <c r="C74" s="2">
        <f>SUMIF(一二代排期!H:H,A74,一二代排期!J:J)</f>
        <v>16480</v>
      </c>
      <c r="D74" s="2">
        <f>SUMIF(三代排期!H:H,A74,三代排期!J:J)</f>
        <v>0</v>
      </c>
      <c r="E74" s="2">
        <f>SUMIF(蛋糕系列!H:H,A74,蛋糕系列!J:J)</f>
        <v>0</v>
      </c>
      <c r="F74" s="2">
        <f>SUMIF(已走货!H:H,A74,已走货!J:J)</f>
        <v>0</v>
      </c>
      <c r="G74" s="4">
        <f t="shared" si="2"/>
        <v>0</v>
      </c>
      <c r="H74" s="5">
        <f>SUMIF(总接单!E:E,A74,总接单!BX:BX)</f>
        <v>885099.6</v>
      </c>
      <c r="I74" s="5">
        <f>SUMIF(一二代排期!H:H,A74,一二代排期!AQ:AQ)</f>
        <v>885099.6</v>
      </c>
      <c r="J74" s="5">
        <f>SUMIF(三代排期!H:H,A74,三代排期!AQ:AQ)</f>
        <v>0</v>
      </c>
      <c r="K74" s="5">
        <f>SUMIF(蛋糕系列!H:H,A74,蛋糕系列!AQ:AQ)</f>
        <v>0</v>
      </c>
      <c r="L74" s="5">
        <f>SUMIF(已走货!H:H,A74,已走货!AQ:AQ)</f>
        <v>0</v>
      </c>
      <c r="M74" s="4">
        <f t="shared" si="3"/>
        <v>0</v>
      </c>
    </row>
    <row r="75" customHeight="1" spans="1:13">
      <c r="A75" s="2" t="s">
        <v>71</v>
      </c>
      <c r="B75" s="2">
        <f>SUMIF(总接单!E:E,A75,总接单!F:F)</f>
        <v>17886</v>
      </c>
      <c r="C75" s="2">
        <f>SUMIF(一二代排期!H:H,A75,一二代排期!J:J)</f>
        <v>0</v>
      </c>
      <c r="D75" s="2">
        <f>SUMIF(三代排期!H:H,A75,三代排期!J:J)</f>
        <v>2</v>
      </c>
      <c r="E75" s="2">
        <f>SUMIF(蛋糕系列!H:H,A75,蛋糕系列!J:J)</f>
        <v>0</v>
      </c>
      <c r="F75" s="2">
        <f>SUMIF(已走货!H:H,A75,已走货!J:J)</f>
        <v>17884</v>
      </c>
      <c r="G75" s="4">
        <f t="shared" si="2"/>
        <v>0</v>
      </c>
      <c r="H75" s="5">
        <f>SUMIF(总接单!E:E,A75,总接单!BX:BX)</f>
        <v>1003854.09</v>
      </c>
      <c r="I75" s="5">
        <f>SUMIF(一二代排期!H:H,A75,一二代排期!AQ:AQ)</f>
        <v>0</v>
      </c>
      <c r="J75" s="5">
        <f>SUMIF(三代排期!H:H,A75,三代排期!AQ:AQ)</f>
        <v>0</v>
      </c>
      <c r="K75" s="5">
        <f>SUMIF(蛋糕系列!H:H,A75,蛋糕系列!AQ:AQ)</f>
        <v>0</v>
      </c>
      <c r="L75" s="5">
        <f>SUMIF(已走货!H:H,A75,已走货!AQ:AQ)</f>
        <v>1003854.09</v>
      </c>
      <c r="M75" s="4">
        <f t="shared" si="3"/>
        <v>0</v>
      </c>
    </row>
    <row r="76" customHeight="1" spans="1:13">
      <c r="A76" s="2" t="s">
        <v>127</v>
      </c>
      <c r="B76" s="2">
        <f>SUMIF(总接单!E:E,A76,总接单!F:F)</f>
        <v>20016</v>
      </c>
      <c r="C76" s="2">
        <f>SUMIF(一二代排期!H:H,A76,一二代排期!J:J)</f>
        <v>0</v>
      </c>
      <c r="D76" s="2">
        <f>SUMIF(三代排期!H:H,A76,三代排期!J:J)</f>
        <v>20016</v>
      </c>
      <c r="E76" s="2">
        <f>SUMIF(蛋糕系列!H:H,A76,蛋糕系列!J:J)</f>
        <v>0</v>
      </c>
      <c r="F76" s="2">
        <f>SUMIF(已走货!H:H,A76,已走货!J:J)</f>
        <v>0</v>
      </c>
      <c r="G76" s="4">
        <f t="shared" si="2"/>
        <v>0</v>
      </c>
      <c r="H76" s="5">
        <f>SUMIF(总接单!E:E,A76,总接单!BX:BX)</f>
        <v>1087419.24</v>
      </c>
      <c r="I76" s="5">
        <f>SUMIF(一二代排期!H:H,A76,一二代排期!AQ:AQ)</f>
        <v>0</v>
      </c>
      <c r="J76" s="5">
        <f>SUMIF(三代排期!H:H,A76,三代排期!AQ:AQ)</f>
        <v>1087419.24</v>
      </c>
      <c r="K76" s="5">
        <f>SUMIF(蛋糕系列!H:H,A76,蛋糕系列!AQ:AQ)</f>
        <v>0</v>
      </c>
      <c r="L76" s="5">
        <f>SUMIF(已走货!H:H,A76,已走货!AQ:AQ)</f>
        <v>0</v>
      </c>
      <c r="M76" s="4">
        <f t="shared" si="3"/>
        <v>0</v>
      </c>
    </row>
    <row r="77" customHeight="1" spans="1:13">
      <c r="A77" s="2" t="s">
        <v>41</v>
      </c>
      <c r="B77" s="2">
        <f>SUMIF(总接单!E:E,A77,总接单!F:F)</f>
        <v>12168</v>
      </c>
      <c r="C77" s="2">
        <f>SUMIF(一二代排期!H:H,A77,一二代排期!J:J)</f>
        <v>0</v>
      </c>
      <c r="D77" s="2">
        <f>SUMIF(三代排期!H:H,A77,三代排期!J:J)</f>
        <v>0</v>
      </c>
      <c r="E77" s="2">
        <f>SUMIF(蛋糕系列!H:H,A77,蛋糕系列!J:J)</f>
        <v>0</v>
      </c>
      <c r="F77" s="2">
        <f>SUMIF(已走货!H:H,A77,已走货!J:J)</f>
        <v>12168</v>
      </c>
      <c r="G77" s="4">
        <f t="shared" si="2"/>
        <v>0</v>
      </c>
      <c r="H77" s="5">
        <f>SUMIF(总接单!E:E,A77,总接单!BX:BX)</f>
        <v>140858.73</v>
      </c>
      <c r="I77" s="5">
        <f>SUMIF(一二代排期!H:H,A77,一二代排期!AQ:AQ)</f>
        <v>0</v>
      </c>
      <c r="J77" s="5">
        <f>SUMIF(三代排期!H:H,A77,三代排期!AQ:AQ)</f>
        <v>0</v>
      </c>
      <c r="K77" s="5">
        <f>SUMIF(蛋糕系列!H:H,A77,蛋糕系列!AQ:AQ)</f>
        <v>0</v>
      </c>
      <c r="L77" s="5">
        <f>SUMIF(已走货!H:H,A77,已走货!AQ:AQ)</f>
        <v>140858.73</v>
      </c>
      <c r="M77" s="4">
        <f t="shared" si="3"/>
        <v>0</v>
      </c>
    </row>
    <row r="78" customHeight="1" spans="1:13">
      <c r="A78" s="2" t="s">
        <v>185</v>
      </c>
      <c r="B78" s="2">
        <f>SUMIF(总接单!E:E,A78,总接单!F:F)</f>
        <v>2640</v>
      </c>
      <c r="C78" s="2">
        <f>SUMIF(一二代排期!H:H,A78,一二代排期!J:J)</f>
        <v>0</v>
      </c>
      <c r="D78" s="2">
        <f>SUMIF(三代排期!H:H,A78,三代排期!J:J)</f>
        <v>804</v>
      </c>
      <c r="E78" s="2">
        <f>SUMIF(蛋糕系列!H:H,A78,蛋糕系列!J:J)</f>
        <v>0</v>
      </c>
      <c r="F78" s="2">
        <f>SUMIF(已走货!H:H,A78,已走货!J:J)</f>
        <v>1836</v>
      </c>
      <c r="G78" s="4">
        <f t="shared" si="2"/>
        <v>0</v>
      </c>
      <c r="H78" s="5">
        <f>SUMIF(总接单!E:E,A78,总接单!BX:BX)</f>
        <v>30663.03</v>
      </c>
      <c r="I78" s="5">
        <f>SUMIF(一二代排期!H:H,A78,一二代排期!AQ:AQ)</f>
        <v>0</v>
      </c>
      <c r="J78" s="5">
        <f>SUMIF(三代排期!H:H,A78,三代排期!AQ:AQ)</f>
        <v>9034.95</v>
      </c>
      <c r="K78" s="5">
        <f>SUMIF(蛋糕系列!H:H,A78,蛋糕系列!AQ:AQ)</f>
        <v>0</v>
      </c>
      <c r="L78" s="5">
        <f>SUMIF(已走货!H:H,A78,已走货!AQ:AQ)</f>
        <v>21628.08</v>
      </c>
      <c r="M78" s="4">
        <f t="shared" si="3"/>
        <v>0</v>
      </c>
    </row>
    <row r="79" customHeight="1" spans="1:13">
      <c r="A79" s="2" t="s">
        <v>186</v>
      </c>
      <c r="B79" s="2">
        <f>SUMIF(总接单!E:E,A79,总接单!F:F)</f>
        <v>1914</v>
      </c>
      <c r="C79" s="2">
        <f>SUMIF(一二代排期!H:H,A79,一二代排期!J:J)</f>
        <v>0</v>
      </c>
      <c r="D79" s="2">
        <f>SUMIF(三代排期!H:H,A79,三代排期!J:J)</f>
        <v>1350</v>
      </c>
      <c r="E79" s="2">
        <f>SUMIF(蛋糕系列!H:H,A79,蛋糕系列!J:J)</f>
        <v>0</v>
      </c>
      <c r="F79" s="2">
        <f>SUMIF(已走货!H:H,A79,已走货!J:J)</f>
        <v>564</v>
      </c>
      <c r="G79" s="4">
        <f t="shared" si="2"/>
        <v>0</v>
      </c>
      <c r="H79" s="5">
        <f>SUMIF(总接单!E:E,A79,总接单!BX:BX)</f>
        <v>21814.55</v>
      </c>
      <c r="I79" s="5">
        <f>SUMIF(一二代排期!H:H,A79,一二代排期!AQ:AQ)</f>
        <v>0</v>
      </c>
      <c r="J79" s="5">
        <f>SUMIF(三代排期!H:H,A79,三代排期!AQ:AQ)</f>
        <v>15170.63</v>
      </c>
      <c r="K79" s="5">
        <f>SUMIF(蛋糕系列!H:H,A79,蛋糕系列!AQ:AQ)</f>
        <v>0</v>
      </c>
      <c r="L79" s="5">
        <f>SUMIF(已走货!H:H,A79,已走货!AQ:AQ)</f>
        <v>6643.92</v>
      </c>
      <c r="M79" s="4">
        <f t="shared" si="3"/>
        <v>0</v>
      </c>
    </row>
    <row r="80" customHeight="1" spans="1:13">
      <c r="A80" s="2" t="s">
        <v>187</v>
      </c>
      <c r="B80" s="2">
        <f>SUMIF(总接单!E:E,A80,总接单!F:F)</f>
        <v>3858</v>
      </c>
      <c r="C80" s="2">
        <f>SUMIF(一二代排期!H:H,A80,一二代排期!J:J)</f>
        <v>0</v>
      </c>
      <c r="D80" s="2">
        <f>SUMIF(三代排期!H:H,A80,三代排期!J:J)</f>
        <v>2502</v>
      </c>
      <c r="E80" s="2">
        <f>SUMIF(蛋糕系列!H:H,A80,蛋糕系列!J:J)</f>
        <v>0</v>
      </c>
      <c r="F80" s="2">
        <f>SUMIF(已走货!H:H,A80,已走货!J:J)</f>
        <v>1356</v>
      </c>
      <c r="G80" s="4">
        <f t="shared" si="2"/>
        <v>0</v>
      </c>
      <c r="H80" s="5">
        <f>SUMIF(总接单!E:E,A80,总接单!BX:BX)</f>
        <v>44089.91</v>
      </c>
      <c r="I80" s="5">
        <f>SUMIF(一二代排期!H:H,A80,一二代排期!AQ:AQ)</f>
        <v>0</v>
      </c>
      <c r="J80" s="5">
        <f>SUMIF(三代排期!H:H,A80,三代排期!AQ:AQ)</f>
        <v>28116.23</v>
      </c>
      <c r="K80" s="5">
        <f>SUMIF(蛋糕系列!H:H,A80,蛋糕系列!AQ:AQ)</f>
        <v>0</v>
      </c>
      <c r="L80" s="5">
        <f>SUMIF(已走货!H:H,A80,已走货!AQ:AQ)</f>
        <v>15973.68</v>
      </c>
      <c r="M80" s="4">
        <f t="shared" si="3"/>
        <v>0</v>
      </c>
    </row>
    <row r="81" customHeight="1" spans="1:13">
      <c r="A81" s="2" t="s">
        <v>72</v>
      </c>
      <c r="B81" s="2">
        <f>SUMIF(总接单!E:E,A81,总接单!F:F)</f>
        <v>33564</v>
      </c>
      <c r="C81" s="2">
        <f>SUMIF(一二代排期!H:H,A81,一二代排期!J:J)</f>
        <v>0</v>
      </c>
      <c r="D81" s="2">
        <f>SUMIF(三代排期!H:H,A81,三代排期!J:J)</f>
        <v>12912</v>
      </c>
      <c r="E81" s="2">
        <f>SUMIF(蛋糕系列!H:H,A81,蛋糕系列!J:J)</f>
        <v>0</v>
      </c>
      <c r="F81" s="2">
        <f>SUMIF(已走货!H:H,A81,已走货!J:J)</f>
        <v>20652</v>
      </c>
      <c r="G81" s="4">
        <f t="shared" si="2"/>
        <v>0</v>
      </c>
      <c r="H81" s="5">
        <f>SUMIF(总接单!E:E,A81,总接单!BX:BX)</f>
        <v>408276.51</v>
      </c>
      <c r="I81" s="5">
        <f>SUMIF(一二代排期!H:H,A81,一二代排期!AQ:AQ)</f>
        <v>0</v>
      </c>
      <c r="J81" s="5">
        <f>SUMIF(三代排期!H:H,A81,三代排期!AQ:AQ)</f>
        <v>154238.64</v>
      </c>
      <c r="K81" s="5">
        <f>SUMIF(蛋糕系列!H:H,A81,蛋糕系列!AQ:AQ)</f>
        <v>0</v>
      </c>
      <c r="L81" s="5">
        <f>SUMIF(已走货!H:H,A81,已走货!AQ:AQ)</f>
        <v>254037.87</v>
      </c>
      <c r="M81" s="4">
        <f t="shared" si="3"/>
        <v>0</v>
      </c>
    </row>
    <row r="82" customHeight="1" spans="1:13">
      <c r="A82" s="2" t="s">
        <v>188</v>
      </c>
      <c r="B82" s="2">
        <f>SUMIF(总接单!E:E,A82,总接单!F:F)</f>
        <v>1500</v>
      </c>
      <c r="C82" s="2">
        <f>SUMIF(一二代排期!H:H,A82,一二代排期!J:J)</f>
        <v>0</v>
      </c>
      <c r="D82" s="2">
        <f>SUMIF(三代排期!H:H,A82,三代排期!J:J)</f>
        <v>1200</v>
      </c>
      <c r="E82" s="2">
        <f>SUMIF(蛋糕系列!H:H,A82,蛋糕系列!J:J)</f>
        <v>0</v>
      </c>
      <c r="F82" s="2">
        <f>SUMIF(已走货!H:H,A82,已走货!J:J)</f>
        <v>300</v>
      </c>
      <c r="G82" s="4">
        <f t="shared" si="2"/>
        <v>0</v>
      </c>
      <c r="H82" s="5">
        <f>SUMIF(总接单!E:E,A82,总接单!BX:BX)</f>
        <v>17019</v>
      </c>
      <c r="I82" s="5">
        <f>SUMIF(一二代排期!H:H,A82,一二代排期!AQ:AQ)</f>
        <v>0</v>
      </c>
      <c r="J82" s="5">
        <f>SUMIF(三代排期!H:H,A82,三代排期!AQ:AQ)</f>
        <v>13485</v>
      </c>
      <c r="K82" s="5">
        <f>SUMIF(蛋糕系列!H:H,A82,蛋糕系列!AQ:AQ)</f>
        <v>0</v>
      </c>
      <c r="L82" s="5">
        <f>SUMIF(已走货!H:H,A82,已走货!AQ:AQ)</f>
        <v>3534</v>
      </c>
      <c r="M82" s="4">
        <f t="shared" si="3"/>
        <v>0</v>
      </c>
    </row>
    <row r="83" customHeight="1" spans="1:13">
      <c r="A83" s="2" t="s">
        <v>189</v>
      </c>
      <c r="B83" s="2">
        <f>SUMIF(总接单!E:E,A83,总接单!F:F)</f>
        <v>2538</v>
      </c>
      <c r="C83" s="2">
        <f>SUMIF(一二代排期!H:H,A83,一二代排期!J:J)</f>
        <v>0</v>
      </c>
      <c r="D83" s="2">
        <f>SUMIF(三代排期!H:H,A83,三代排期!J:J)</f>
        <v>1506</v>
      </c>
      <c r="E83" s="2">
        <f>SUMIF(蛋糕系列!H:H,A83,蛋糕系列!J:J)</f>
        <v>0</v>
      </c>
      <c r="F83" s="2">
        <f>SUMIF(已走货!H:H,A83,已走货!J:J)</f>
        <v>1032</v>
      </c>
      <c r="G83" s="4">
        <f t="shared" si="2"/>
        <v>0</v>
      </c>
      <c r="H83" s="5">
        <f>SUMIF(总接单!E:E,A83,总接单!BX:BX)</f>
        <v>29080.64</v>
      </c>
      <c r="I83" s="5">
        <f>SUMIF(一二代排期!H:H,A83,一二代排期!AQ:AQ)</f>
        <v>0</v>
      </c>
      <c r="J83" s="5">
        <f>SUMIF(三代排期!H:H,A83,三代排期!AQ:AQ)</f>
        <v>16923.68</v>
      </c>
      <c r="K83" s="5">
        <f>SUMIF(蛋糕系列!H:H,A83,蛋糕系列!AQ:AQ)</f>
        <v>0</v>
      </c>
      <c r="L83" s="5">
        <f>SUMIF(已走货!H:H,A83,已走货!AQ:AQ)</f>
        <v>12156.96</v>
      </c>
      <c r="M83" s="4">
        <f t="shared" si="3"/>
        <v>0</v>
      </c>
    </row>
    <row r="84" customHeight="1" spans="1:13">
      <c r="A84" s="2" t="s">
        <v>146</v>
      </c>
      <c r="B84" s="2">
        <f>SUMIF(总接单!E:E,A84,总接单!F:F)</f>
        <v>2784</v>
      </c>
      <c r="C84" s="2">
        <f>SUMIF(一二代排期!H:H,A84,一二代排期!J:J)</f>
        <v>0</v>
      </c>
      <c r="D84" s="2">
        <f>SUMIF(三代排期!H:H,A84,三代排期!J:J)</f>
        <v>2784</v>
      </c>
      <c r="E84" s="2">
        <f>SUMIF(蛋糕系列!H:H,A84,蛋糕系列!J:J)</f>
        <v>0</v>
      </c>
      <c r="F84" s="2">
        <f>SUMIF(已走货!H:H,A84,已走货!J:J)</f>
        <v>0</v>
      </c>
      <c r="G84" s="4">
        <f t="shared" si="2"/>
        <v>0</v>
      </c>
      <c r="H84" s="5">
        <f>SUMIF(总接单!E:E,A84,总接单!BX:BX)</f>
        <v>28048.8</v>
      </c>
      <c r="I84" s="5">
        <f>SUMIF(一二代排期!H:H,A84,一二代排期!AQ:AQ)</f>
        <v>0</v>
      </c>
      <c r="J84" s="5">
        <f>SUMIF(三代排期!H:H,A84,三代排期!AQ:AQ)</f>
        <v>28048.8</v>
      </c>
      <c r="K84" s="5">
        <f>SUMIF(蛋糕系列!H:H,A84,蛋糕系列!AQ:AQ)</f>
        <v>0</v>
      </c>
      <c r="L84" s="5">
        <f>SUMIF(已走货!H:H,A84,已走货!AQ:AQ)</f>
        <v>0</v>
      </c>
      <c r="M84" s="4">
        <f t="shared" si="3"/>
        <v>0</v>
      </c>
    </row>
    <row r="85" customHeight="1" spans="1:13">
      <c r="A85" s="2" t="s">
        <v>147</v>
      </c>
      <c r="B85" s="2">
        <f>SUMIF(总接单!E:E,A85,总接单!F:F)</f>
        <v>2496</v>
      </c>
      <c r="C85" s="2">
        <f>SUMIF(一二代排期!H:H,A85,一二代排期!J:J)</f>
        <v>0</v>
      </c>
      <c r="D85" s="2">
        <f>SUMIF(三代排期!H:H,A85,三代排期!J:J)</f>
        <v>2496</v>
      </c>
      <c r="E85" s="2">
        <f>SUMIF(蛋糕系列!H:H,A85,蛋糕系列!J:J)</f>
        <v>0</v>
      </c>
      <c r="F85" s="2">
        <f>SUMIF(已走货!H:H,A85,已走货!J:J)</f>
        <v>0</v>
      </c>
      <c r="G85" s="4">
        <f t="shared" si="2"/>
        <v>0</v>
      </c>
      <c r="H85" s="5">
        <f>SUMIF(总接单!E:E,A85,总接单!BX:BX)</f>
        <v>25147.2</v>
      </c>
      <c r="I85" s="5">
        <f>SUMIF(一二代排期!H:H,A85,一二代排期!AQ:AQ)</f>
        <v>0</v>
      </c>
      <c r="J85" s="5">
        <f>SUMIF(三代排期!H:H,A85,三代排期!AQ:AQ)</f>
        <v>25147.2</v>
      </c>
      <c r="K85" s="5">
        <f>SUMIF(蛋糕系列!H:H,A85,蛋糕系列!AQ:AQ)</f>
        <v>0</v>
      </c>
      <c r="L85" s="5">
        <f>SUMIF(已走货!H:H,A85,已走货!AQ:AQ)</f>
        <v>0</v>
      </c>
      <c r="M85" s="4">
        <f t="shared" si="3"/>
        <v>0</v>
      </c>
    </row>
    <row r="86" customHeight="1" spans="1:13">
      <c r="A86" s="2" t="s">
        <v>148</v>
      </c>
      <c r="B86" s="2">
        <f>SUMIF(总接单!E:E,A86,总接单!F:F)</f>
        <v>4416</v>
      </c>
      <c r="C86" s="2">
        <f>SUMIF(一二代排期!H:H,A86,一二代排期!J:J)</f>
        <v>0</v>
      </c>
      <c r="D86" s="2">
        <f>SUMIF(三代排期!H:H,A86,三代排期!J:J)</f>
        <v>4416</v>
      </c>
      <c r="E86" s="2">
        <f>SUMIF(蛋糕系列!H:H,A86,蛋糕系列!J:J)</f>
        <v>0</v>
      </c>
      <c r="F86" s="2">
        <f>SUMIF(已走货!H:H,A86,已走货!J:J)</f>
        <v>0</v>
      </c>
      <c r="G86" s="4">
        <f t="shared" si="2"/>
        <v>0</v>
      </c>
      <c r="H86" s="5">
        <f>SUMIF(总接单!E:E,A86,总接单!BX:BX)</f>
        <v>44491.2</v>
      </c>
      <c r="I86" s="5">
        <f>SUMIF(一二代排期!H:H,A86,一二代排期!AQ:AQ)</f>
        <v>0</v>
      </c>
      <c r="J86" s="5">
        <f>SUMIF(三代排期!H:H,A86,三代排期!AQ:AQ)</f>
        <v>44491.2</v>
      </c>
      <c r="K86" s="5">
        <f>SUMIF(蛋糕系列!H:H,A86,蛋糕系列!AQ:AQ)</f>
        <v>0</v>
      </c>
      <c r="L86" s="5">
        <f>SUMIF(已走货!H:H,A86,已走货!AQ:AQ)</f>
        <v>0</v>
      </c>
      <c r="M86" s="4">
        <f t="shared" si="3"/>
        <v>0</v>
      </c>
    </row>
    <row r="87" customHeight="1" spans="1:13">
      <c r="A87" s="2" t="s">
        <v>149</v>
      </c>
      <c r="B87" s="2">
        <f>SUMIF(总接单!E:E,A87,总接单!F:F)</f>
        <v>4608</v>
      </c>
      <c r="C87" s="2">
        <f>SUMIF(一二代排期!H:H,A87,一二代排期!J:J)</f>
        <v>0</v>
      </c>
      <c r="D87" s="2">
        <f>SUMIF(三代排期!H:H,A87,三代排期!J:J)</f>
        <v>4608</v>
      </c>
      <c r="E87" s="2">
        <f>SUMIF(蛋糕系列!H:H,A87,蛋糕系列!J:J)</f>
        <v>0</v>
      </c>
      <c r="F87" s="2">
        <f>SUMIF(已走货!H:H,A87,已走货!J:J)</f>
        <v>0</v>
      </c>
      <c r="G87" s="4">
        <f t="shared" si="2"/>
        <v>0</v>
      </c>
      <c r="H87" s="5">
        <f>SUMIF(总接单!E:E,A87,总接单!BX:BX)</f>
        <v>46425.6</v>
      </c>
      <c r="I87" s="5">
        <f>SUMIF(一二代排期!H:H,A87,一二代排期!AQ:AQ)</f>
        <v>0</v>
      </c>
      <c r="J87" s="5">
        <f>SUMIF(三代排期!H:H,A87,三代排期!AQ:AQ)</f>
        <v>46425.6</v>
      </c>
      <c r="K87" s="5">
        <f>SUMIF(蛋糕系列!H:H,A87,蛋糕系列!AQ:AQ)</f>
        <v>0</v>
      </c>
      <c r="L87" s="5">
        <f>SUMIF(已走货!H:H,A87,已走货!AQ:AQ)</f>
        <v>0</v>
      </c>
      <c r="M87" s="4">
        <f t="shared" si="3"/>
        <v>0</v>
      </c>
    </row>
    <row r="88" customHeight="1" spans="1:13">
      <c r="A88" s="2" t="s">
        <v>150</v>
      </c>
      <c r="B88" s="2">
        <f>SUMIF(总接单!E:E,A88,总接单!F:F)</f>
        <v>2112</v>
      </c>
      <c r="C88" s="2">
        <f>SUMIF(一二代排期!H:H,A88,一二代排期!J:J)</f>
        <v>0</v>
      </c>
      <c r="D88" s="2">
        <f>SUMIF(三代排期!H:H,A88,三代排期!J:J)</f>
        <v>2112</v>
      </c>
      <c r="E88" s="2">
        <f>SUMIF(蛋糕系列!H:H,A88,蛋糕系列!J:J)</f>
        <v>0</v>
      </c>
      <c r="F88" s="2">
        <f>SUMIF(已走货!H:H,A88,已走货!J:J)</f>
        <v>0</v>
      </c>
      <c r="G88" s="4">
        <f t="shared" si="2"/>
        <v>0</v>
      </c>
      <c r="H88" s="5">
        <f>SUMIF(总接单!E:E,A88,总接单!BX:BX)</f>
        <v>21278.4</v>
      </c>
      <c r="I88" s="5">
        <f>SUMIF(一二代排期!H:H,A88,一二代排期!AQ:AQ)</f>
        <v>0</v>
      </c>
      <c r="J88" s="5">
        <f>SUMIF(三代排期!H:H,A88,三代排期!AQ:AQ)</f>
        <v>21278.4</v>
      </c>
      <c r="K88" s="5">
        <f>SUMIF(蛋糕系列!H:H,A88,蛋糕系列!AQ:AQ)</f>
        <v>0</v>
      </c>
      <c r="L88" s="5">
        <f>SUMIF(已走货!H:H,A88,已走货!AQ:AQ)</f>
        <v>0</v>
      </c>
      <c r="M88" s="4">
        <f t="shared" si="3"/>
        <v>0</v>
      </c>
    </row>
    <row r="89" customHeight="1" spans="1:13">
      <c r="A89" s="2" t="s">
        <v>151</v>
      </c>
      <c r="B89" s="2">
        <f>SUMIF(总接单!E:E,A89,总接单!F:F)</f>
        <v>6432</v>
      </c>
      <c r="C89" s="2">
        <f>SUMIF(一二代排期!H:H,A89,一二代排期!J:J)</f>
        <v>0</v>
      </c>
      <c r="D89" s="2">
        <f>SUMIF(三代排期!H:H,A89,三代排期!J:J)</f>
        <v>6432</v>
      </c>
      <c r="E89" s="2">
        <f>SUMIF(蛋糕系列!H:H,A89,蛋糕系列!J:J)</f>
        <v>0</v>
      </c>
      <c r="F89" s="2">
        <f>SUMIF(已走货!H:H,A89,已走货!J:J)</f>
        <v>0</v>
      </c>
      <c r="G89" s="4">
        <f t="shared" si="2"/>
        <v>0</v>
      </c>
      <c r="H89" s="5">
        <f>SUMIF(总接单!E:E,A89,总接单!BX:BX)</f>
        <v>64802.4</v>
      </c>
      <c r="I89" s="5">
        <f>SUMIF(一二代排期!H:H,A89,一二代排期!AQ:AQ)</f>
        <v>0</v>
      </c>
      <c r="J89" s="5">
        <f>SUMIF(三代排期!H:H,A89,三代排期!AQ:AQ)</f>
        <v>64802.4</v>
      </c>
      <c r="K89" s="5">
        <f>SUMIF(蛋糕系列!H:H,A89,蛋糕系列!AQ:AQ)</f>
        <v>0</v>
      </c>
      <c r="L89" s="5">
        <f>SUMIF(已走货!H:H,A89,已走货!AQ:AQ)</f>
        <v>0</v>
      </c>
      <c r="M89" s="4">
        <f t="shared" si="3"/>
        <v>0</v>
      </c>
    </row>
    <row r="90" customHeight="1" spans="1:13">
      <c r="A90" s="2" t="s">
        <v>190</v>
      </c>
      <c r="B90" s="2">
        <f>SUMIF(总接单!E:E,A90,总接单!F:F)</f>
        <v>2736</v>
      </c>
      <c r="C90" s="2">
        <f>SUMIF(一二代排期!H:H,A90,一二代排期!J:J)</f>
        <v>0</v>
      </c>
      <c r="D90" s="2">
        <f>SUMIF(三代排期!H:H,A90,三代排期!J:J)</f>
        <v>1488</v>
      </c>
      <c r="E90" s="2">
        <f>SUMIF(蛋糕系列!H:H,A90,蛋糕系列!J:J)</f>
        <v>0</v>
      </c>
      <c r="F90" s="2">
        <f>SUMIF(已走货!H:H,A90,已走货!J:J)</f>
        <v>1248</v>
      </c>
      <c r="G90" s="4">
        <f t="shared" si="2"/>
        <v>0</v>
      </c>
      <c r="H90" s="5">
        <f>SUMIF(总接单!E:E,A90,总接单!BX:BX)</f>
        <v>31422.84</v>
      </c>
      <c r="I90" s="5">
        <f>SUMIF(一二代排期!H:H,A90,一二代排期!AQ:AQ)</f>
        <v>0</v>
      </c>
      <c r="J90" s="5">
        <f>SUMIF(三代排期!H:H,A90,三代排期!AQ:AQ)</f>
        <v>16721.4</v>
      </c>
      <c r="K90" s="5">
        <f>SUMIF(蛋糕系列!H:H,A90,蛋糕系列!AQ:AQ)</f>
        <v>0</v>
      </c>
      <c r="L90" s="5">
        <f>SUMIF(已走货!H:H,A90,已走货!AQ:AQ)</f>
        <v>14701.44</v>
      </c>
      <c r="M90" s="4">
        <f t="shared" si="3"/>
        <v>0</v>
      </c>
    </row>
    <row r="91" customHeight="1" spans="1:13">
      <c r="A91" s="2" t="s">
        <v>73</v>
      </c>
      <c r="B91" s="2">
        <f>SUMIF(总接单!E:E,A91,总接单!F:F)</f>
        <v>3180</v>
      </c>
      <c r="C91" s="2">
        <f>SUMIF(一二代排期!H:H,A91,一二代排期!J:J)</f>
        <v>0</v>
      </c>
      <c r="D91" s="2">
        <f>SUMIF(三代排期!H:H,A91,三代排期!J:J)</f>
        <v>0</v>
      </c>
      <c r="E91" s="2">
        <f>SUMIF(蛋糕系列!H:H,A91,蛋糕系列!J:J)</f>
        <v>0</v>
      </c>
      <c r="F91" s="2">
        <f>SUMIF(已走货!H:H,A91,已走货!J:J)</f>
        <v>3180</v>
      </c>
      <c r="G91" s="4">
        <f t="shared" si="2"/>
        <v>0</v>
      </c>
      <c r="H91" s="5">
        <f>SUMIF(总接单!E:E,A91,总接单!BX:BX)</f>
        <v>39320.4</v>
      </c>
      <c r="I91" s="5">
        <f>SUMIF(一二代排期!H:H,A91,一二代排期!AQ:AQ)</f>
        <v>0</v>
      </c>
      <c r="J91" s="5">
        <f>SUMIF(三代排期!H:H,A91,三代排期!AQ:AQ)</f>
        <v>0</v>
      </c>
      <c r="K91" s="5">
        <f>SUMIF(蛋糕系列!H:H,A91,蛋糕系列!AQ:AQ)</f>
        <v>0</v>
      </c>
      <c r="L91" s="5">
        <f>SUMIF(已走货!H:H,A91,已走货!AQ:AQ)</f>
        <v>39320.4</v>
      </c>
      <c r="M91" s="4">
        <f t="shared" si="3"/>
        <v>0</v>
      </c>
    </row>
    <row r="92" customHeight="1" spans="1:13">
      <c r="A92" s="2" t="s">
        <v>34</v>
      </c>
      <c r="B92" s="2">
        <f>SUMIF(总接单!E:E,A92,总接单!F:F)</f>
        <v>1284</v>
      </c>
      <c r="C92" s="2">
        <f>SUMIF(一二代排期!H:H,A92,一二代排期!J:J)</f>
        <v>0</v>
      </c>
      <c r="D92" s="2">
        <f>SUMIF(三代排期!H:H,A92,三代排期!J:J)</f>
        <v>0</v>
      </c>
      <c r="E92" s="2">
        <f>SUMIF(蛋糕系列!H:H,A92,蛋糕系列!J:J)</f>
        <v>0</v>
      </c>
      <c r="F92" s="2">
        <f>SUMIF(已走货!H:H,A92,已走货!J:J)</f>
        <v>1284</v>
      </c>
      <c r="G92" s="4">
        <f t="shared" si="2"/>
        <v>0</v>
      </c>
      <c r="H92" s="5">
        <f>SUMIF(总接单!E:E,A92,总接单!BX:BX)</f>
        <v>14826.99</v>
      </c>
      <c r="I92" s="5">
        <f>SUMIF(一二代排期!H:H,A92,一二代排期!AQ:AQ)</f>
        <v>0</v>
      </c>
      <c r="J92" s="5">
        <f>SUMIF(三代排期!H:H,A92,三代排期!AQ:AQ)</f>
        <v>0</v>
      </c>
      <c r="K92" s="5">
        <f>SUMIF(蛋糕系列!H:H,A92,蛋糕系列!AQ:AQ)</f>
        <v>0</v>
      </c>
      <c r="L92" s="5">
        <f>SUMIF(已走货!H:H,A92,已走货!AQ:AQ)</f>
        <v>14826.99</v>
      </c>
      <c r="M92" s="4">
        <f t="shared" si="3"/>
        <v>0</v>
      </c>
    </row>
    <row r="93" customHeight="1" spans="1:13">
      <c r="A93" s="2" t="s">
        <v>74</v>
      </c>
      <c r="B93" s="2">
        <f>SUMIF(总接单!E:E,A93,总接单!F:F)</f>
        <v>5160</v>
      </c>
      <c r="C93" s="2">
        <f>SUMIF(一二代排期!H:H,A93,一二代排期!J:J)</f>
        <v>0</v>
      </c>
      <c r="D93" s="2">
        <f>SUMIF(三代排期!H:H,A93,三代排期!J:J)</f>
        <v>0</v>
      </c>
      <c r="E93" s="2">
        <f>SUMIF(蛋糕系列!H:H,A93,蛋糕系列!J:J)</f>
        <v>0</v>
      </c>
      <c r="F93" s="2">
        <f>SUMIF(已走货!H:H,A93,已走货!J:J)</f>
        <v>5160</v>
      </c>
      <c r="G93" s="4">
        <f t="shared" si="2"/>
        <v>0</v>
      </c>
      <c r="H93" s="5">
        <f>SUMIF(总接单!E:E,A93,总接单!BX:BX)</f>
        <v>63472.5</v>
      </c>
      <c r="I93" s="5">
        <f>SUMIF(一二代排期!H:H,A93,一二代排期!AQ:AQ)</f>
        <v>0</v>
      </c>
      <c r="J93" s="5">
        <f>SUMIF(三代排期!H:H,A93,三代排期!AQ:AQ)</f>
        <v>0</v>
      </c>
      <c r="K93" s="5">
        <f>SUMIF(蛋糕系列!H:H,A93,蛋糕系列!AQ:AQ)</f>
        <v>0</v>
      </c>
      <c r="L93" s="5">
        <f>SUMIF(已走货!H:H,A93,已走货!AQ:AQ)</f>
        <v>63472.5</v>
      </c>
      <c r="M93" s="4">
        <f t="shared" si="3"/>
        <v>0</v>
      </c>
    </row>
    <row r="94" customHeight="1" spans="1:13">
      <c r="A94" s="2" t="s">
        <v>75</v>
      </c>
      <c r="B94" s="2">
        <f>SUMIF(总接单!E:E,A94,总接单!F:F)</f>
        <v>6000</v>
      </c>
      <c r="C94" s="2">
        <f>SUMIF(一二代排期!H:H,A94,一二代排期!J:J)</f>
        <v>0</v>
      </c>
      <c r="D94" s="2">
        <f>SUMIF(三代排期!H:H,A94,三代排期!J:J)</f>
        <v>0</v>
      </c>
      <c r="E94" s="2">
        <f>SUMIF(蛋糕系列!H:H,A94,蛋糕系列!J:J)</f>
        <v>0</v>
      </c>
      <c r="F94" s="2">
        <f>SUMIF(已走货!H:H,A94,已走货!J:J)</f>
        <v>6000</v>
      </c>
      <c r="G94" s="4">
        <f t="shared" si="2"/>
        <v>0</v>
      </c>
      <c r="H94" s="5">
        <f>SUMIF(总接单!E:E,A94,总接单!BX:BX)</f>
        <v>72540</v>
      </c>
      <c r="I94" s="5">
        <f>SUMIF(一二代排期!H:H,A94,一二代排期!AQ:AQ)</f>
        <v>0</v>
      </c>
      <c r="J94" s="5">
        <f>SUMIF(三代排期!H:H,A94,三代排期!AQ:AQ)</f>
        <v>0</v>
      </c>
      <c r="K94" s="5">
        <f>SUMIF(蛋糕系列!H:H,A94,蛋糕系列!AQ:AQ)</f>
        <v>0</v>
      </c>
      <c r="L94" s="5">
        <f>SUMIF(已走货!H:H,A94,已走货!AQ:AQ)</f>
        <v>72540</v>
      </c>
      <c r="M94" s="4">
        <f t="shared" si="3"/>
        <v>0</v>
      </c>
    </row>
    <row r="95" customHeight="1" spans="1:13">
      <c r="A95" s="2" t="s">
        <v>76</v>
      </c>
      <c r="B95" s="2">
        <f>SUMIF(总接单!E:E,A95,总接单!F:F)</f>
        <v>4416</v>
      </c>
      <c r="C95" s="2">
        <f>SUMIF(一二代排期!H:H,A95,一二代排期!J:J)</f>
        <v>0</v>
      </c>
      <c r="D95" s="2">
        <f>SUMIF(三代排期!H:H,A95,三代排期!J:J)</f>
        <v>0</v>
      </c>
      <c r="E95" s="2">
        <f>SUMIF(蛋糕系列!H:H,A95,蛋糕系列!J:J)</f>
        <v>0</v>
      </c>
      <c r="F95" s="2">
        <f>SUMIF(已走货!H:H,A95,已走货!J:J)</f>
        <v>4416</v>
      </c>
      <c r="G95" s="4">
        <f t="shared" si="2"/>
        <v>0</v>
      </c>
      <c r="H95" s="5">
        <f>SUMIF(总接单!E:E,A95,总接单!BX:BX)</f>
        <v>43464.48</v>
      </c>
      <c r="I95" s="5">
        <f>SUMIF(一二代排期!H:H,A95,一二代排期!AQ:AQ)</f>
        <v>0</v>
      </c>
      <c r="J95" s="5">
        <f>SUMIF(三代排期!H:H,A95,三代排期!AQ:AQ)</f>
        <v>0</v>
      </c>
      <c r="K95" s="5">
        <f>SUMIF(蛋糕系列!H:H,A95,蛋糕系列!AQ:AQ)</f>
        <v>0</v>
      </c>
      <c r="L95" s="5">
        <f>SUMIF(已走货!H:H,A95,已走货!AQ:AQ)</f>
        <v>43464.48</v>
      </c>
      <c r="M95" s="4">
        <f t="shared" si="3"/>
        <v>0</v>
      </c>
    </row>
    <row r="96" customHeight="1" spans="1:13">
      <c r="A96" s="2" t="s">
        <v>77</v>
      </c>
      <c r="B96" s="2">
        <f>SUMIF(总接单!E:E,A96,总接单!F:F)</f>
        <v>3360</v>
      </c>
      <c r="C96" s="2">
        <f>SUMIF(一二代排期!H:H,A96,一二代排期!J:J)</f>
        <v>0</v>
      </c>
      <c r="D96" s="2">
        <f>SUMIF(三代排期!H:H,A96,三代排期!J:J)</f>
        <v>0</v>
      </c>
      <c r="E96" s="2">
        <f>SUMIF(蛋糕系列!H:H,A96,蛋糕系列!J:J)</f>
        <v>0</v>
      </c>
      <c r="F96" s="2">
        <f>SUMIF(已走货!H:H,A96,已走货!J:J)</f>
        <v>3360</v>
      </c>
      <c r="G96" s="4">
        <f t="shared" si="2"/>
        <v>0</v>
      </c>
      <c r="H96" s="5">
        <f>SUMIF(总接单!E:E,A96,总接单!BX:BX)</f>
        <v>33070.8</v>
      </c>
      <c r="I96" s="5">
        <f>SUMIF(一二代排期!H:H,A96,一二代排期!AQ:AQ)</f>
        <v>0</v>
      </c>
      <c r="J96" s="5">
        <f>SUMIF(三代排期!H:H,A96,三代排期!AQ:AQ)</f>
        <v>0</v>
      </c>
      <c r="K96" s="5">
        <f>SUMIF(蛋糕系列!H:H,A96,蛋糕系列!AQ:AQ)</f>
        <v>0</v>
      </c>
      <c r="L96" s="5">
        <f>SUMIF(已走货!H:H,A96,已走货!AQ:AQ)</f>
        <v>33070.8</v>
      </c>
      <c r="M96" s="4">
        <f t="shared" si="3"/>
        <v>0</v>
      </c>
    </row>
    <row r="97" customHeight="1" spans="1:13">
      <c r="A97" s="2" t="s">
        <v>78</v>
      </c>
      <c r="B97" s="2">
        <f>SUMIF(总接单!E:E,A97,总接单!F:F)</f>
        <v>3360</v>
      </c>
      <c r="C97" s="2">
        <f>SUMIF(一二代排期!H:H,A97,一二代排期!J:J)</f>
        <v>0</v>
      </c>
      <c r="D97" s="2">
        <f>SUMIF(三代排期!H:H,A97,三代排期!J:J)</f>
        <v>0</v>
      </c>
      <c r="E97" s="2">
        <f>SUMIF(蛋糕系列!H:H,A97,蛋糕系列!J:J)</f>
        <v>0</v>
      </c>
      <c r="F97" s="2">
        <f>SUMIF(已走货!H:H,A97,已走货!J:J)</f>
        <v>3360</v>
      </c>
      <c r="G97" s="4">
        <f t="shared" si="2"/>
        <v>0</v>
      </c>
      <c r="H97" s="5">
        <f>SUMIF(总接单!E:E,A97,总接单!BX:BX)</f>
        <v>33070.8</v>
      </c>
      <c r="I97" s="5">
        <f>SUMIF(一二代排期!H:H,A97,一二代排期!AQ:AQ)</f>
        <v>0</v>
      </c>
      <c r="J97" s="5">
        <f>SUMIF(三代排期!H:H,A97,三代排期!AQ:AQ)</f>
        <v>0</v>
      </c>
      <c r="K97" s="5">
        <f>SUMIF(蛋糕系列!H:H,A97,蛋糕系列!AQ:AQ)</f>
        <v>0</v>
      </c>
      <c r="L97" s="5">
        <f>SUMIF(已走货!H:H,A97,已走货!AQ:AQ)</f>
        <v>33070.8</v>
      </c>
      <c r="M97" s="4">
        <f t="shared" si="3"/>
        <v>0</v>
      </c>
    </row>
    <row r="98" customHeight="1" spans="1:13">
      <c r="A98" s="2" t="s">
        <v>116</v>
      </c>
      <c r="B98" s="2">
        <f>SUMIF(总接单!E:E,A98,总接单!F:F)</f>
        <v>13692</v>
      </c>
      <c r="C98" s="2">
        <f>SUMIF(一二代排期!H:H,A98,一二代排期!J:J)</f>
        <v>0</v>
      </c>
      <c r="D98" s="2">
        <f>SUMIF(三代排期!H:H,A98,三代排期!J:J)</f>
        <v>0</v>
      </c>
      <c r="E98" s="2">
        <f>SUMIF(蛋糕系列!H:H,A98,蛋糕系列!J:J)</f>
        <v>0</v>
      </c>
      <c r="F98" s="2">
        <f>SUMIF(已走货!H:H,A98,已走货!J:J)</f>
        <v>13692</v>
      </c>
      <c r="G98" s="4">
        <f t="shared" si="2"/>
        <v>0</v>
      </c>
      <c r="H98" s="5">
        <f>SUMIF(总接单!E:E,A98,总接单!BX:BX)</f>
        <v>166047.78</v>
      </c>
      <c r="I98" s="5">
        <f>SUMIF(一二代排期!H:H,A98,一二代排期!AQ:AQ)</f>
        <v>0</v>
      </c>
      <c r="J98" s="5">
        <f>SUMIF(三代排期!H:H,A98,三代排期!AQ:AQ)</f>
        <v>0</v>
      </c>
      <c r="K98" s="5">
        <f>SUMIF(蛋糕系列!H:H,A98,蛋糕系列!AQ:AQ)</f>
        <v>0</v>
      </c>
      <c r="L98" s="5">
        <f>SUMIF(已走货!H:H,A98,已走货!AQ:AQ)</f>
        <v>166047.78</v>
      </c>
      <c r="M98" s="4">
        <f t="shared" si="3"/>
        <v>0</v>
      </c>
    </row>
    <row r="99" customHeight="1" spans="1:13">
      <c r="A99" s="2" t="s">
        <v>113</v>
      </c>
      <c r="B99" s="2">
        <f>SUMIF(总接单!E:E,A99,总接单!F:F)</f>
        <v>12048</v>
      </c>
      <c r="C99" s="2">
        <f>SUMIF(一二代排期!H:H,A99,一二代排期!J:J)</f>
        <v>0</v>
      </c>
      <c r="D99" s="2">
        <f>SUMIF(三代排期!H:H,A99,三代排期!J:J)</f>
        <v>6048</v>
      </c>
      <c r="E99" s="2">
        <f>SUMIF(蛋糕系列!H:H,A99,蛋糕系列!J:J)</f>
        <v>0</v>
      </c>
      <c r="F99" s="2">
        <f>SUMIF(已走货!H:H,A99,已走货!J:J)</f>
        <v>6000</v>
      </c>
      <c r="G99" s="4">
        <f t="shared" si="2"/>
        <v>0</v>
      </c>
      <c r="H99" s="5">
        <f>SUMIF(总接单!E:E,A99,总接单!BX:BX)</f>
        <v>141925.44</v>
      </c>
      <c r="I99" s="5">
        <f>SUMIF(一二代排期!H:H,A99,一二代排期!AQ:AQ)</f>
        <v>0</v>
      </c>
      <c r="J99" s="5">
        <f>SUMIF(三代排期!H:H,A99,三代排期!AQ:AQ)</f>
        <v>71245.44</v>
      </c>
      <c r="K99" s="5">
        <f>SUMIF(蛋糕系列!H:H,A99,蛋糕系列!AQ:AQ)</f>
        <v>0</v>
      </c>
      <c r="L99" s="5">
        <f>SUMIF(已走货!H:H,A99,已走货!AQ:AQ)</f>
        <v>70680</v>
      </c>
      <c r="M99" s="4">
        <f t="shared" si="3"/>
        <v>0</v>
      </c>
    </row>
    <row r="100" customHeight="1" spans="1:13">
      <c r="A100" s="2" t="s">
        <v>152</v>
      </c>
      <c r="B100" s="2">
        <f>SUMIF(总接单!E:E,A100,总接单!F:F)</f>
        <v>4032</v>
      </c>
      <c r="C100" s="2">
        <f>SUMIF(一二代排期!H:H,A100,一二代排期!J:J)</f>
        <v>0</v>
      </c>
      <c r="D100" s="2">
        <f>SUMIF(三代排期!H:H,A100,三代排期!J:J)</f>
        <v>3840</v>
      </c>
      <c r="E100" s="2">
        <f>SUMIF(蛋糕系列!H:H,A100,蛋糕系列!J:J)</f>
        <v>0</v>
      </c>
      <c r="F100" s="2">
        <f>SUMIF(已走货!H:H,A100,已走货!J:J)</f>
        <v>192</v>
      </c>
      <c r="G100" s="4">
        <f t="shared" si="2"/>
        <v>0</v>
      </c>
      <c r="H100" s="5">
        <f>SUMIF(总接单!E:E,A100,总接单!BX:BX)</f>
        <v>39684.96</v>
      </c>
      <c r="I100" s="5">
        <f>SUMIF(一二代排期!H:H,A100,一二代排期!AQ:AQ)</f>
        <v>0</v>
      </c>
      <c r="J100" s="5">
        <f>SUMIF(三代排期!H:H,A100,三代排期!AQ:AQ)</f>
        <v>37795.2</v>
      </c>
      <c r="K100" s="5">
        <f>SUMIF(蛋糕系列!H:H,A100,蛋糕系列!AQ:AQ)</f>
        <v>0</v>
      </c>
      <c r="L100" s="5">
        <f>SUMIF(已走货!H:H,A100,已走货!AQ:AQ)</f>
        <v>1889.76</v>
      </c>
      <c r="M100" s="4">
        <f t="shared" si="3"/>
        <v>0</v>
      </c>
    </row>
    <row r="101" customHeight="1" spans="1:13">
      <c r="A101" s="2" t="s">
        <v>153</v>
      </c>
      <c r="B101" s="2">
        <f>SUMIF(总接单!E:E,A101,总接单!F:F)</f>
        <v>4032</v>
      </c>
      <c r="C101" s="2">
        <f>SUMIF(一二代排期!H:H,A101,一二代排期!J:J)</f>
        <v>0</v>
      </c>
      <c r="D101" s="2">
        <f>SUMIF(三代排期!H:H,A101,三代排期!J:J)</f>
        <v>3840</v>
      </c>
      <c r="E101" s="2">
        <f>SUMIF(蛋糕系列!H:H,A101,蛋糕系列!J:J)</f>
        <v>0</v>
      </c>
      <c r="F101" s="2">
        <f>SUMIF(已走货!H:H,A101,已走货!J:J)</f>
        <v>192</v>
      </c>
      <c r="G101" s="4">
        <f t="shared" si="2"/>
        <v>0</v>
      </c>
      <c r="H101" s="5">
        <f>SUMIF(总接单!E:E,A101,总接单!BX:BX)</f>
        <v>39684.96</v>
      </c>
      <c r="I101" s="5">
        <f>SUMIF(一二代排期!H:H,A101,一二代排期!AQ:AQ)</f>
        <v>0</v>
      </c>
      <c r="J101" s="5">
        <f>SUMIF(三代排期!H:H,A101,三代排期!AQ:AQ)</f>
        <v>37795.2</v>
      </c>
      <c r="K101" s="5">
        <f>SUMIF(蛋糕系列!H:H,A101,蛋糕系列!AQ:AQ)</f>
        <v>0</v>
      </c>
      <c r="L101" s="5">
        <f>SUMIF(已走货!H:H,A101,已走货!AQ:AQ)</f>
        <v>1889.76</v>
      </c>
      <c r="M101" s="4">
        <f t="shared" si="3"/>
        <v>0</v>
      </c>
    </row>
    <row r="102" customHeight="1" spans="1:13">
      <c r="A102" s="2" t="s">
        <v>154</v>
      </c>
      <c r="B102" s="2">
        <f>SUMIF(总接单!E:E,A102,总接单!F:F)</f>
        <v>4032</v>
      </c>
      <c r="C102" s="2">
        <f>SUMIF(一二代排期!H:H,A102,一二代排期!J:J)</f>
        <v>0</v>
      </c>
      <c r="D102" s="2">
        <f>SUMIF(三代排期!H:H,A102,三代排期!J:J)</f>
        <v>3840</v>
      </c>
      <c r="E102" s="2">
        <f>SUMIF(蛋糕系列!H:H,A102,蛋糕系列!J:J)</f>
        <v>0</v>
      </c>
      <c r="F102" s="2">
        <f>SUMIF(已走货!H:H,A102,已走货!J:J)</f>
        <v>192</v>
      </c>
      <c r="G102" s="4">
        <f t="shared" si="2"/>
        <v>0</v>
      </c>
      <c r="H102" s="5">
        <f>SUMIF(总接单!E:E,A102,总接单!BX:BX)</f>
        <v>39684.96</v>
      </c>
      <c r="I102" s="5">
        <f>SUMIF(一二代排期!H:H,A102,一二代排期!AQ:AQ)</f>
        <v>0</v>
      </c>
      <c r="J102" s="5">
        <f>SUMIF(三代排期!H:H,A102,三代排期!AQ:AQ)</f>
        <v>37795.2</v>
      </c>
      <c r="K102" s="5">
        <f>SUMIF(蛋糕系列!H:H,A102,蛋糕系列!AQ:AQ)</f>
        <v>0</v>
      </c>
      <c r="L102" s="5">
        <f>SUMIF(已走货!H:H,A102,已走货!AQ:AQ)</f>
        <v>1889.76</v>
      </c>
      <c r="M102" s="4">
        <f t="shared" si="3"/>
        <v>0</v>
      </c>
    </row>
    <row r="103" customHeight="1" spans="1:13">
      <c r="A103" s="2" t="s">
        <v>79</v>
      </c>
      <c r="B103" s="2">
        <f>SUMIF(总接单!E:E,A103,总接单!F:F)</f>
        <v>3876</v>
      </c>
      <c r="C103" s="2">
        <f>SUMIF(一二代排期!H:H,A103,一二代排期!J:J)</f>
        <v>0</v>
      </c>
      <c r="D103" s="2">
        <f>SUMIF(三代排期!H:H,A103,三代排期!J:J)</f>
        <v>0</v>
      </c>
      <c r="E103" s="2">
        <f>SUMIF(蛋糕系列!H:H,A103,蛋糕系列!J:J)</f>
        <v>0</v>
      </c>
      <c r="F103" s="2">
        <f>SUMIF(已走货!H:H,A103,已走货!J:J)</f>
        <v>3876</v>
      </c>
      <c r="G103" s="4">
        <f t="shared" si="2"/>
        <v>0</v>
      </c>
      <c r="H103" s="5">
        <f>SUMIF(总接单!E:E,A103,总接单!BX:BX)</f>
        <v>46996.62</v>
      </c>
      <c r="I103" s="5">
        <f>SUMIF(一二代排期!H:H,A103,一二代排期!AQ:AQ)</f>
        <v>0</v>
      </c>
      <c r="J103" s="5">
        <f>SUMIF(三代排期!H:H,A103,三代排期!AQ:AQ)</f>
        <v>0</v>
      </c>
      <c r="K103" s="5">
        <f>SUMIF(蛋糕系列!H:H,A103,蛋糕系列!AQ:AQ)</f>
        <v>0</v>
      </c>
      <c r="L103" s="5">
        <f>SUMIF(已走货!H:H,A103,已走货!AQ:AQ)</f>
        <v>46996.62</v>
      </c>
      <c r="M103" s="4">
        <f t="shared" si="3"/>
        <v>0</v>
      </c>
    </row>
    <row r="104" customHeight="1" spans="1:13">
      <c r="A104" s="2" t="s">
        <v>80</v>
      </c>
      <c r="B104" s="2">
        <f>SUMIF(总接单!E:E,A104,总接单!F:F)</f>
        <v>10002</v>
      </c>
      <c r="C104" s="2">
        <f>SUMIF(一二代排期!H:H,A104,一二代排期!J:J)</f>
        <v>0</v>
      </c>
      <c r="D104" s="2">
        <f>SUMIF(三代排期!H:H,A104,三代排期!J:J)</f>
        <v>0</v>
      </c>
      <c r="E104" s="2">
        <f>SUMIF(蛋糕系列!H:H,A104,蛋糕系列!J:J)</f>
        <v>0</v>
      </c>
      <c r="F104" s="2">
        <f>SUMIF(已走货!H:H,A104,已走货!J:J)</f>
        <v>10002</v>
      </c>
      <c r="G104" s="4">
        <f t="shared" si="2"/>
        <v>0</v>
      </c>
      <c r="H104" s="5">
        <f>SUMIF(总接单!E:E,A104,总接单!BX:BX)</f>
        <v>117823.56</v>
      </c>
      <c r="I104" s="5">
        <f>SUMIF(一二代排期!H:H,A104,一二代排期!AQ:AQ)</f>
        <v>0</v>
      </c>
      <c r="J104" s="5">
        <f>SUMIF(三代排期!H:H,A104,三代排期!AQ:AQ)</f>
        <v>0</v>
      </c>
      <c r="K104" s="5">
        <f>SUMIF(蛋糕系列!H:H,A104,蛋糕系列!AQ:AQ)</f>
        <v>0</v>
      </c>
      <c r="L104" s="5">
        <f>SUMIF(已走货!H:H,A104,已走货!AQ:AQ)</f>
        <v>117823.56</v>
      </c>
      <c r="M104" s="4">
        <f t="shared" si="3"/>
        <v>0</v>
      </c>
    </row>
    <row r="105" customHeight="1" spans="1:13">
      <c r="A105" s="2" t="s">
        <v>81</v>
      </c>
      <c r="B105" s="2">
        <f>SUMIF(总接单!E:E,A105,总接单!F:F)</f>
        <v>4512</v>
      </c>
      <c r="C105" s="2">
        <f>SUMIF(一二代排期!H:H,A105,一二代排期!J:J)</f>
        <v>0</v>
      </c>
      <c r="D105" s="2">
        <f>SUMIF(三代排期!H:H,A105,三代排期!J:J)</f>
        <v>0</v>
      </c>
      <c r="E105" s="2">
        <f>SUMIF(蛋糕系列!H:H,A105,蛋糕系列!J:J)</f>
        <v>0</v>
      </c>
      <c r="F105" s="2">
        <f>SUMIF(已走货!H:H,A105,已走货!J:J)</f>
        <v>4512</v>
      </c>
      <c r="G105" s="4">
        <f t="shared" si="2"/>
        <v>0</v>
      </c>
      <c r="H105" s="5">
        <f>SUMIF(总接单!E:E,A105,总接单!BX:BX)</f>
        <v>44409.36</v>
      </c>
      <c r="I105" s="5">
        <f>SUMIF(一二代排期!H:H,A105,一二代排期!AQ:AQ)</f>
        <v>0</v>
      </c>
      <c r="J105" s="5">
        <f>SUMIF(三代排期!H:H,A105,三代排期!AQ:AQ)</f>
        <v>0</v>
      </c>
      <c r="K105" s="5">
        <f>SUMIF(蛋糕系列!H:H,A105,蛋糕系列!AQ:AQ)</f>
        <v>0</v>
      </c>
      <c r="L105" s="5">
        <f>SUMIF(已走货!H:H,A105,已走货!AQ:AQ)</f>
        <v>44409.36</v>
      </c>
      <c r="M105" s="4">
        <f t="shared" si="3"/>
        <v>0</v>
      </c>
    </row>
    <row r="106" customHeight="1" spans="1:13">
      <c r="A106" s="2" t="s">
        <v>18</v>
      </c>
      <c r="B106" s="2">
        <f>SUMIF(总接单!E:E,A106,总接单!F:F)</f>
        <v>1566</v>
      </c>
      <c r="C106" s="2">
        <f>SUMIF(一二代排期!H:H,A106,一二代排期!J:J)</f>
        <v>816</v>
      </c>
      <c r="D106" s="2">
        <f>SUMIF(三代排期!H:H,A106,三代排期!J:J)</f>
        <v>0</v>
      </c>
      <c r="E106" s="2">
        <f>SUMIF(蛋糕系列!H:H,A106,蛋糕系列!J:J)</f>
        <v>0</v>
      </c>
      <c r="F106" s="2">
        <f>SUMIF(已走货!H:H,A106,已走货!J:J)</f>
        <v>750</v>
      </c>
      <c r="G106" s="4">
        <f t="shared" si="2"/>
        <v>0</v>
      </c>
      <c r="H106" s="5">
        <f>SUMIF(总接单!E:E,A106,总接单!BX:BX)</f>
        <v>17840.66</v>
      </c>
      <c r="I106" s="5">
        <f>SUMIF(一二代排期!H:H,A106,一二代排期!AQ:AQ)</f>
        <v>9296.28</v>
      </c>
      <c r="J106" s="5">
        <f>SUMIF(三代排期!H:H,A106,三代排期!AQ:AQ)</f>
        <v>0</v>
      </c>
      <c r="K106" s="5">
        <f>SUMIF(蛋糕系列!H:H,A106,蛋糕系列!AQ:AQ)</f>
        <v>0</v>
      </c>
      <c r="L106" s="5">
        <f>SUMIF(已走货!H:H,A106,已走货!AQ:AQ)</f>
        <v>8544.38</v>
      </c>
      <c r="M106" s="4">
        <f t="shared" si="3"/>
        <v>0</v>
      </c>
    </row>
    <row r="107" customHeight="1" spans="1:13">
      <c r="A107" s="2" t="s">
        <v>82</v>
      </c>
      <c r="B107" s="2">
        <f>SUMIF(总接单!E:E,A107,总接单!F:F)</f>
        <v>48552</v>
      </c>
      <c r="C107" s="2">
        <f>SUMIF(一二代排期!H:H,A107,一二代排期!J:J)</f>
        <v>15552</v>
      </c>
      <c r="D107" s="2">
        <f>SUMIF(三代排期!H:H,A107,三代排期!J:J)</f>
        <v>0</v>
      </c>
      <c r="E107" s="2">
        <f>SUMIF(蛋糕系列!H:H,A107,蛋糕系列!J:J)</f>
        <v>0</v>
      </c>
      <c r="F107" s="2">
        <f>SUMIF(已走货!H:H,A107,已走货!J:J)</f>
        <v>33000</v>
      </c>
      <c r="G107" s="4">
        <f t="shared" si="2"/>
        <v>0</v>
      </c>
      <c r="H107" s="5">
        <f>SUMIF(总接单!E:E,A107,总接单!BX:BX)</f>
        <v>560654.22</v>
      </c>
      <c r="I107" s="5">
        <f>SUMIF(一二代排期!H:H,A107,一二代排期!AQ:AQ)</f>
        <v>179586.72</v>
      </c>
      <c r="J107" s="5">
        <f>SUMIF(三代排期!H:H,A107,三代排期!AQ:AQ)</f>
        <v>0</v>
      </c>
      <c r="K107" s="5">
        <f>SUMIF(蛋糕系列!H:H,A107,蛋糕系列!AQ:AQ)</f>
        <v>0</v>
      </c>
      <c r="L107" s="5">
        <f>SUMIF(已走货!H:H,A107,已走货!AQ:AQ)</f>
        <v>381067.5</v>
      </c>
      <c r="M107" s="4">
        <f t="shared" si="3"/>
        <v>0</v>
      </c>
    </row>
    <row r="108" customHeight="1" spans="1:13">
      <c r="A108" s="2" t="s">
        <v>181</v>
      </c>
      <c r="B108" s="2">
        <f>SUMIF(总接单!E:E,A108,总接单!F:F)</f>
        <v>10470</v>
      </c>
      <c r="C108" s="2">
        <f>SUMIF(一二代排期!H:H,A108,一二代排期!J:J)</f>
        <v>0</v>
      </c>
      <c r="D108" s="2">
        <f>SUMIF(三代排期!H:H,A108,三代排期!J:J)</f>
        <v>5670</v>
      </c>
      <c r="E108" s="2">
        <f>SUMIF(蛋糕系列!H:H,A108,蛋糕系列!J:J)</f>
        <v>0</v>
      </c>
      <c r="F108" s="2">
        <f>SUMIF(已走货!H:H,A108,已走货!J:J)</f>
        <v>4800</v>
      </c>
      <c r="G108" s="4">
        <f t="shared" si="2"/>
        <v>0</v>
      </c>
      <c r="H108" s="5">
        <f>SUMIF(总接单!E:E,A108,总接单!BX:BX)</f>
        <v>53428.5</v>
      </c>
      <c r="I108" s="5">
        <f>SUMIF(一二代排期!H:H,A108,一二代排期!AQ:AQ)</f>
        <v>0</v>
      </c>
      <c r="J108" s="5">
        <f>SUMIF(三代排期!H:H,A108,三代排期!AQ:AQ)</f>
        <v>24412.5</v>
      </c>
      <c r="K108" s="5">
        <f>SUMIF(蛋糕系列!H:H,A108,蛋糕系列!AQ:AQ)</f>
        <v>0</v>
      </c>
      <c r="L108" s="5">
        <f>SUMIF(已走货!H:H,A108,已走货!AQ:AQ)</f>
        <v>29016</v>
      </c>
      <c r="M108" s="4">
        <f t="shared" si="3"/>
        <v>0</v>
      </c>
    </row>
    <row r="109" customHeight="1" spans="1:13">
      <c r="A109" s="2" t="s">
        <v>83</v>
      </c>
      <c r="B109" s="2">
        <f>SUMIF(总接单!E:E,A109,总接单!F:F)</f>
        <v>144696</v>
      </c>
      <c r="C109" s="2">
        <f>SUMIF(一二代排期!H:H,A109,一二代排期!J:J)</f>
        <v>0</v>
      </c>
      <c r="D109" s="2">
        <f>SUMIF(三代排期!H:H,A109,三代排期!J:J)</f>
        <v>102720</v>
      </c>
      <c r="E109" s="2">
        <f>SUMIF(蛋糕系列!H:H,A109,蛋糕系列!J:J)</f>
        <v>0</v>
      </c>
      <c r="F109" s="2">
        <f>SUMIF(已走货!H:H,A109,已走货!J:J)</f>
        <v>41976</v>
      </c>
      <c r="G109" s="4">
        <f t="shared" si="2"/>
        <v>0</v>
      </c>
      <c r="H109" s="5">
        <f>SUMIF(总接单!E:E,A109,总接单!BX:BX)</f>
        <v>958026.48</v>
      </c>
      <c r="I109" s="5">
        <f>SUMIF(一二代排期!H:H,A109,一二代排期!AQ:AQ)</f>
        <v>0</v>
      </c>
      <c r="J109" s="5">
        <f>SUMIF(三代排期!H:H,A109,三代排期!AQ:AQ)</f>
        <v>660746.4</v>
      </c>
      <c r="K109" s="5">
        <f>SUMIF(蛋糕系列!H:H,A109,蛋糕系列!AQ:AQ)</f>
        <v>0</v>
      </c>
      <c r="L109" s="5">
        <f>SUMIF(已走货!H:H,A109,已走货!AQ:AQ)</f>
        <v>297280.08</v>
      </c>
      <c r="M109" s="4">
        <f t="shared" si="3"/>
        <v>0</v>
      </c>
    </row>
    <row r="110" customHeight="1" spans="1:13">
      <c r="A110" s="2" t="s">
        <v>84</v>
      </c>
      <c r="B110" s="2">
        <f>SUMIF(总接单!E:E,A110,总接单!F:F)</f>
        <v>363042</v>
      </c>
      <c r="C110" s="2">
        <f>SUMIF(一二代排期!H:H,A110,一二代排期!J:J)</f>
        <v>0</v>
      </c>
      <c r="D110" s="2">
        <f>SUMIF(三代排期!H:H,A110,三代排期!J:J)</f>
        <v>192006</v>
      </c>
      <c r="E110" s="2">
        <f>SUMIF(蛋糕系列!H:H,A110,蛋糕系列!J:J)</f>
        <v>0</v>
      </c>
      <c r="F110" s="2">
        <f>SUMIF(已走货!H:H,A110,已走货!J:J)</f>
        <v>171036</v>
      </c>
      <c r="G110" s="4">
        <f t="shared" si="2"/>
        <v>0</v>
      </c>
      <c r="H110" s="5">
        <f>SUMIF(总接单!E:E,A110,总接单!BX:BX)</f>
        <v>2472923.48</v>
      </c>
      <c r="I110" s="5">
        <f>SUMIF(一二代排期!H:H,A110,一二代排期!AQ:AQ)</f>
        <v>0</v>
      </c>
      <c r="J110" s="5">
        <f>SUMIF(三代排期!H:H,A110,三代排期!AQ:AQ)</f>
        <v>1309480.92</v>
      </c>
      <c r="K110" s="5">
        <f>SUMIF(蛋糕系列!H:H,A110,蛋糕系列!AQ:AQ)</f>
        <v>0</v>
      </c>
      <c r="L110" s="5">
        <f>SUMIF(已走货!H:H,A110,已走货!AQ:AQ)</f>
        <v>1163442.56</v>
      </c>
      <c r="M110" s="4">
        <f t="shared" si="3"/>
        <v>0</v>
      </c>
    </row>
    <row r="111" customHeight="1" spans="1:13">
      <c r="A111" s="2" t="s">
        <v>85</v>
      </c>
      <c r="B111" s="2">
        <f>SUMIF(总接单!E:E,A111,总接单!F:F)</f>
        <v>720300</v>
      </c>
      <c r="C111" s="2">
        <f>SUMIF(一二代排期!H:H,A111,一二代排期!J:J)</f>
        <v>0</v>
      </c>
      <c r="D111" s="2">
        <f>SUMIF(三代排期!H:H,A111,三代排期!J:J)</f>
        <v>220956</v>
      </c>
      <c r="E111" s="2">
        <f>SUMIF(蛋糕系列!H:H,A111,蛋糕系列!J:J)</f>
        <v>0</v>
      </c>
      <c r="F111" s="2">
        <f>SUMIF(已走货!H:H,A111,已走货!J:J)</f>
        <v>499344</v>
      </c>
      <c r="G111" s="4">
        <f t="shared" si="2"/>
        <v>0</v>
      </c>
      <c r="H111" s="5">
        <f>SUMIF(总接单!E:E,A111,总接单!BX:BX)</f>
        <v>4858213.05</v>
      </c>
      <c r="I111" s="5">
        <f>SUMIF(一二代排期!H:H,A111,一二代排期!AQ:AQ)</f>
        <v>0</v>
      </c>
      <c r="J111" s="5">
        <f>SUMIF(三代排期!H:H,A111,三代排期!AQ:AQ)</f>
        <v>1448371.77</v>
      </c>
      <c r="K111" s="5">
        <f>SUMIF(蛋糕系列!H:H,A111,蛋糕系列!AQ:AQ)</f>
        <v>0</v>
      </c>
      <c r="L111" s="5">
        <f>SUMIF(已走货!H:H,A111,已走货!AQ:AQ)</f>
        <v>3409841.28</v>
      </c>
      <c r="M111" s="4">
        <f t="shared" si="3"/>
        <v>0</v>
      </c>
    </row>
    <row r="112" customHeight="1" spans="1:13">
      <c r="A112" s="2" t="s">
        <v>155</v>
      </c>
      <c r="B112" s="2">
        <f>SUMIF(总接单!E:E,A112,总接单!F:F)</f>
        <v>9225</v>
      </c>
      <c r="C112" s="2">
        <f>SUMIF(一二代排期!H:H,A112,一二代排期!J:J)</f>
        <v>0</v>
      </c>
      <c r="D112" s="2">
        <f>SUMIF(三代排期!H:H,A112,三代排期!J:J)</f>
        <v>2325</v>
      </c>
      <c r="E112" s="2">
        <f>SUMIF(蛋糕系列!H:H,A112,蛋糕系列!J:J)</f>
        <v>0</v>
      </c>
      <c r="F112" s="2">
        <f>SUMIF(已走货!H:H,A112,已走货!J:J)</f>
        <v>6900</v>
      </c>
      <c r="G112" s="4">
        <f t="shared" si="2"/>
        <v>0</v>
      </c>
      <c r="H112" s="5">
        <f>SUMIF(总接单!E:E,A112,总接单!BX:BX)</f>
        <v>98795.06</v>
      </c>
      <c r="I112" s="5">
        <f>SUMIF(一二代排期!H:H,A112,一二代排期!AQ:AQ)</f>
        <v>0</v>
      </c>
      <c r="J112" s="5">
        <f>SUMIF(三代排期!H:H,A112,三代排期!AQ:AQ)</f>
        <v>14955.56</v>
      </c>
      <c r="K112" s="5">
        <f>SUMIF(蛋糕系列!H:H,A112,蛋糕系列!AQ:AQ)</f>
        <v>0</v>
      </c>
      <c r="L112" s="5">
        <f>SUMIF(已走货!H:H,A112,已走货!AQ:AQ)</f>
        <v>83839.5</v>
      </c>
      <c r="M112" s="4">
        <f t="shared" si="3"/>
        <v>0</v>
      </c>
    </row>
    <row r="113" customHeight="1" spans="1:13">
      <c r="A113" s="2" t="s">
        <v>156</v>
      </c>
      <c r="B113" s="2">
        <f>SUMIF(总接单!E:E,A113,总接单!F:F)</f>
        <v>10950</v>
      </c>
      <c r="C113" s="2">
        <f>SUMIF(一二代排期!H:H,A113,一二代排期!J:J)</f>
        <v>0</v>
      </c>
      <c r="D113" s="2">
        <f>SUMIF(三代排期!H:H,A113,三代排期!J:J)</f>
        <v>2775</v>
      </c>
      <c r="E113" s="2">
        <f>SUMIF(蛋糕系列!H:H,A113,蛋糕系列!J:J)</f>
        <v>0</v>
      </c>
      <c r="F113" s="2">
        <f>SUMIF(已走货!H:H,A113,已走货!J:J)</f>
        <v>8175</v>
      </c>
      <c r="G113" s="4">
        <f t="shared" si="2"/>
        <v>0</v>
      </c>
      <c r="H113" s="5">
        <f>SUMIF(总接单!E:E,A113,总接单!BX:BX)</f>
        <v>117174.19</v>
      </c>
      <c r="I113" s="5">
        <f>SUMIF(一二代排期!H:H,A113,一二代排期!AQ:AQ)</f>
        <v>0</v>
      </c>
      <c r="J113" s="5">
        <f>SUMIF(三代排期!H:H,A113,三代排期!AQ:AQ)</f>
        <v>17850.19</v>
      </c>
      <c r="K113" s="5">
        <f>SUMIF(蛋糕系列!H:H,A113,蛋糕系列!AQ:AQ)</f>
        <v>0</v>
      </c>
      <c r="L113" s="5">
        <f>SUMIF(已走货!H:H,A113,已走货!AQ:AQ)</f>
        <v>99324</v>
      </c>
      <c r="M113" s="4">
        <f t="shared" si="3"/>
        <v>0</v>
      </c>
    </row>
    <row r="114" customHeight="1" spans="1:13">
      <c r="A114" s="2" t="s">
        <v>157</v>
      </c>
      <c r="B114" s="2">
        <f>SUMIF(总接单!E:E,A114,总接单!F:F)</f>
        <v>9225</v>
      </c>
      <c r="C114" s="2">
        <f>SUMIF(一二代排期!H:H,A114,一二代排期!J:J)</f>
        <v>0</v>
      </c>
      <c r="D114" s="2">
        <f>SUMIF(三代排期!H:H,A114,三代排期!J:J)</f>
        <v>5625</v>
      </c>
      <c r="E114" s="2">
        <f>SUMIF(蛋糕系列!H:H,A114,蛋糕系列!J:J)</f>
        <v>0</v>
      </c>
      <c r="F114" s="2">
        <f>SUMIF(已走货!H:H,A114,已走货!J:J)</f>
        <v>3600</v>
      </c>
      <c r="G114" s="4">
        <f t="shared" si="2"/>
        <v>0</v>
      </c>
      <c r="H114" s="5">
        <f>SUMIF(总接单!E:E,A114,总接单!BX:BX)</f>
        <v>79869.56</v>
      </c>
      <c r="I114" s="5">
        <f>SUMIF(一二代排期!H:H,A114,一二代排期!AQ:AQ)</f>
        <v>0</v>
      </c>
      <c r="J114" s="5">
        <f>SUMIF(三代排期!H:H,A114,三代排期!AQ:AQ)</f>
        <v>36182.81</v>
      </c>
      <c r="K114" s="5">
        <f>SUMIF(蛋糕系列!H:H,A114,蛋糕系列!AQ:AQ)</f>
        <v>0</v>
      </c>
      <c r="L114" s="5">
        <f>SUMIF(已走货!H:H,A114,已走货!AQ:AQ)</f>
        <v>43686.75</v>
      </c>
      <c r="M114" s="4">
        <f t="shared" si="3"/>
        <v>0</v>
      </c>
    </row>
    <row r="115" customHeight="1" spans="1:13">
      <c r="A115" s="2" t="s">
        <v>158</v>
      </c>
      <c r="B115" s="2">
        <f>SUMIF(总接单!E:E,A115,总接单!F:F)</f>
        <v>14250</v>
      </c>
      <c r="C115" s="2">
        <f>SUMIF(一二代排期!H:H,A115,一二代排期!J:J)</f>
        <v>0</v>
      </c>
      <c r="D115" s="2">
        <f>SUMIF(三代排期!H:H,A115,三代排期!J:J)</f>
        <v>12075</v>
      </c>
      <c r="E115" s="2">
        <f>SUMIF(蛋糕系列!H:H,A115,蛋糕系列!J:J)</f>
        <v>0</v>
      </c>
      <c r="F115" s="2">
        <f>SUMIF(已走货!H:H,A115,已走货!J:J)</f>
        <v>2175</v>
      </c>
      <c r="G115" s="4">
        <f t="shared" si="2"/>
        <v>0</v>
      </c>
      <c r="H115" s="5">
        <f>SUMIF(总接单!E:E,A115,总接单!BX:BX)</f>
        <v>103968.19</v>
      </c>
      <c r="I115" s="5">
        <f>SUMIF(一二代排期!H:H,A115,一二代排期!AQ:AQ)</f>
        <v>0</v>
      </c>
      <c r="J115" s="5">
        <f>SUMIF(三代排期!H:H,A115,三代排期!AQ:AQ)</f>
        <v>77672.44</v>
      </c>
      <c r="K115" s="5">
        <f>SUMIF(蛋糕系列!H:H,A115,蛋糕系列!AQ:AQ)</f>
        <v>0</v>
      </c>
      <c r="L115" s="5">
        <f>SUMIF(已走货!H:H,A115,已走货!AQ:AQ)</f>
        <v>26295.75</v>
      </c>
      <c r="M115" s="4">
        <f t="shared" si="3"/>
        <v>0</v>
      </c>
    </row>
    <row r="116" customHeight="1" spans="1:13">
      <c r="A116" s="2" t="s">
        <v>159</v>
      </c>
      <c r="B116" s="2">
        <f>SUMIF(总接单!E:E,A116,总接单!F:F)</f>
        <v>10950</v>
      </c>
      <c r="C116" s="2">
        <f>SUMIF(一二代排期!H:H,A116,一二代排期!J:J)</f>
        <v>0</v>
      </c>
      <c r="D116" s="2">
        <f>SUMIF(三代排期!H:H,A116,三代排期!J:J)</f>
        <v>2775</v>
      </c>
      <c r="E116" s="2">
        <f>SUMIF(蛋糕系列!H:H,A116,蛋糕系列!J:J)</f>
        <v>0</v>
      </c>
      <c r="F116" s="2">
        <f>SUMIF(已走货!H:H,A116,已走货!J:J)</f>
        <v>8175</v>
      </c>
      <c r="G116" s="4">
        <f t="shared" si="2"/>
        <v>0</v>
      </c>
      <c r="H116" s="5">
        <f>SUMIF(总接单!E:E,A116,总接单!BX:BX)</f>
        <v>117174.19</v>
      </c>
      <c r="I116" s="5">
        <f>SUMIF(一二代排期!H:H,A116,一二代排期!AQ:AQ)</f>
        <v>0</v>
      </c>
      <c r="J116" s="5">
        <f>SUMIF(三代排期!H:H,A116,三代排期!AQ:AQ)</f>
        <v>17850.19</v>
      </c>
      <c r="K116" s="5">
        <f>SUMIF(蛋糕系列!H:H,A116,蛋糕系列!AQ:AQ)</f>
        <v>0</v>
      </c>
      <c r="L116" s="5">
        <f>SUMIF(已走货!H:H,A116,已走货!AQ:AQ)</f>
        <v>99324</v>
      </c>
      <c r="M116" s="4">
        <f t="shared" si="3"/>
        <v>0</v>
      </c>
    </row>
    <row r="117" customHeight="1" spans="1:13">
      <c r="A117" s="2" t="s">
        <v>124</v>
      </c>
      <c r="B117" s="2">
        <f>SUMIF(总接单!E:E,A117,总接单!F:F)</f>
        <v>24996</v>
      </c>
      <c r="C117" s="2">
        <f>SUMIF(一二代排期!H:H,A117,一二代排期!J:J)</f>
        <v>0</v>
      </c>
      <c r="D117" s="2">
        <f>SUMIF(三代排期!H:H,A117,三代排期!J:J)</f>
        <v>0</v>
      </c>
      <c r="E117" s="2">
        <f>SUMIF(蛋糕系列!H:H,A117,蛋糕系列!J:J)</f>
        <v>0</v>
      </c>
      <c r="F117" s="2">
        <f>SUMIF(已走货!H:H,A117,已走货!J:J)</f>
        <v>24996</v>
      </c>
      <c r="G117" s="4">
        <f t="shared" si="2"/>
        <v>0</v>
      </c>
      <c r="H117" s="5">
        <f>SUMIF(总接单!E:E,A117,总接单!BX:BX)</f>
        <v>114294.21</v>
      </c>
      <c r="I117" s="5">
        <f>SUMIF(一二代排期!H:H,A117,一二代排期!AQ:AQ)</f>
        <v>0</v>
      </c>
      <c r="J117" s="5">
        <f>SUMIF(三代排期!H:H,A117,三代排期!AQ:AQ)</f>
        <v>0</v>
      </c>
      <c r="K117" s="5">
        <f>SUMIF(蛋糕系列!H:H,A117,蛋糕系列!AQ:AQ)</f>
        <v>0</v>
      </c>
      <c r="L117" s="5">
        <f>SUMIF(已走货!H:H,A117,已走货!AQ:AQ)</f>
        <v>114294.21</v>
      </c>
      <c r="M117" s="4">
        <f t="shared" si="3"/>
        <v>0</v>
      </c>
    </row>
    <row r="118" customHeight="1" spans="1:13">
      <c r="A118" s="2" t="s">
        <v>179</v>
      </c>
      <c r="B118" s="2">
        <f>SUMIF(总接单!E:E,A118,总接单!F:F)</f>
        <v>10440</v>
      </c>
      <c r="C118" s="2">
        <f>SUMIF(一二代排期!H:H,A118,一二代排期!J:J)</f>
        <v>0</v>
      </c>
      <c r="D118" s="2">
        <f>SUMIF(三代排期!H:H,A118,三代排期!J:J)</f>
        <v>2400</v>
      </c>
      <c r="E118" s="2">
        <f>SUMIF(蛋糕系列!H:H,A118,蛋糕系列!J:J)</f>
        <v>0</v>
      </c>
      <c r="F118" s="2">
        <f>SUMIF(已走货!H:H,A118,已走货!J:J)</f>
        <v>8040</v>
      </c>
      <c r="G118" s="4">
        <f t="shared" si="2"/>
        <v>0</v>
      </c>
      <c r="H118" s="5">
        <f>SUMIF(总接单!E:E,A118,总接单!BX:BX)</f>
        <v>50294.4</v>
      </c>
      <c r="I118" s="5">
        <f>SUMIF(一二代排期!H:H,A118,一二代排期!AQ:AQ)</f>
        <v>0</v>
      </c>
      <c r="J118" s="5">
        <f>SUMIF(三代排期!H:H,A118,三代排期!AQ:AQ)</f>
        <v>12090</v>
      </c>
      <c r="K118" s="5">
        <f>SUMIF(蛋糕系列!H:H,A118,蛋糕系列!AQ:AQ)</f>
        <v>0</v>
      </c>
      <c r="L118" s="5">
        <f>SUMIF(已走货!H:H,A118,已走货!AQ:AQ)</f>
        <v>38204.4</v>
      </c>
      <c r="M118" s="4">
        <f t="shared" si="3"/>
        <v>0</v>
      </c>
    </row>
    <row r="119" customHeight="1" spans="1:13">
      <c r="A119" s="2" t="s">
        <v>160</v>
      </c>
      <c r="B119" s="2">
        <f>SUMIF(总接单!E:E,A119,总接单!F:F)</f>
        <v>3990</v>
      </c>
      <c r="C119" s="2">
        <f>SUMIF(一二代排期!H:H,A119,一二代排期!J:J)</f>
        <v>0</v>
      </c>
      <c r="D119" s="2">
        <f>SUMIF(三代排期!H:H,A119,三代排期!J:J)</f>
        <v>3780</v>
      </c>
      <c r="E119" s="2">
        <f>SUMIF(蛋糕系列!H:H,A119,蛋糕系列!J:J)</f>
        <v>0</v>
      </c>
      <c r="F119" s="2">
        <f>SUMIF(已走货!H:H,A119,已走货!J:J)</f>
        <v>210</v>
      </c>
      <c r="G119" s="4">
        <f t="shared" si="2"/>
        <v>0</v>
      </c>
      <c r="H119" s="5">
        <f>SUMIF(总接单!E:E,A119,总接单!BX:BX)</f>
        <v>20099.63</v>
      </c>
      <c r="I119" s="5">
        <f>SUMIF(一二代排期!H:H,A119,一二代排期!AQ:AQ)</f>
        <v>0</v>
      </c>
      <c r="J119" s="5">
        <f>SUMIF(三代排期!H:H,A119,三代排期!AQ:AQ)</f>
        <v>19041.75</v>
      </c>
      <c r="K119" s="5">
        <f>SUMIF(蛋糕系列!H:H,A119,蛋糕系列!AQ:AQ)</f>
        <v>0</v>
      </c>
      <c r="L119" s="5">
        <f>SUMIF(已走货!H:H,A119,已走货!AQ:AQ)</f>
        <v>1057.88</v>
      </c>
      <c r="M119" s="4">
        <f t="shared" si="3"/>
        <v>0</v>
      </c>
    </row>
    <row r="120" customHeight="1" spans="1:13">
      <c r="A120" s="2" t="s">
        <v>178</v>
      </c>
      <c r="B120" s="2">
        <f>SUMIF(总接单!E:E,A120,总接单!F:F)</f>
        <v>3990</v>
      </c>
      <c r="C120" s="2">
        <f>SUMIF(一二代排期!H:H,A120,一二代排期!J:J)</f>
        <v>0</v>
      </c>
      <c r="D120" s="2">
        <f>SUMIF(三代排期!H:H,A120,三代排期!J:J)</f>
        <v>3780</v>
      </c>
      <c r="E120" s="2">
        <f>SUMIF(蛋糕系列!H:H,A120,蛋糕系列!J:J)</f>
        <v>0</v>
      </c>
      <c r="F120" s="2">
        <f>SUMIF(已走货!H:H,A120,已走货!J:J)</f>
        <v>210</v>
      </c>
      <c r="G120" s="4">
        <f t="shared" si="2"/>
        <v>0</v>
      </c>
      <c r="H120" s="5">
        <f>SUMIF(总接单!E:E,A120,总接单!BX:BX)</f>
        <v>20099.63</v>
      </c>
      <c r="I120" s="5">
        <f>SUMIF(一二代排期!H:H,A120,一二代排期!AQ:AQ)</f>
        <v>0</v>
      </c>
      <c r="J120" s="5">
        <f>SUMIF(三代排期!H:H,A120,三代排期!AQ:AQ)</f>
        <v>19041.75</v>
      </c>
      <c r="K120" s="5">
        <f>SUMIF(蛋糕系列!H:H,A120,蛋糕系列!AQ:AQ)</f>
        <v>0</v>
      </c>
      <c r="L120" s="5">
        <f>SUMIF(已走货!H:H,A120,已走货!AQ:AQ)</f>
        <v>1057.88</v>
      </c>
      <c r="M120" s="4">
        <f t="shared" si="3"/>
        <v>0</v>
      </c>
    </row>
    <row r="121" customHeight="1" spans="1:13">
      <c r="A121" s="2" t="s">
        <v>119</v>
      </c>
      <c r="B121" s="2">
        <f>SUMIF(总接单!E:E,A121,总接单!F:F)</f>
        <v>305170</v>
      </c>
      <c r="C121" s="2">
        <f>SUMIF(一二代排期!H:H,A121,一二代排期!J:J)</f>
        <v>0</v>
      </c>
      <c r="D121" s="2">
        <f>SUMIF(三代排期!H:H,A121,三代排期!J:J)</f>
        <v>200170</v>
      </c>
      <c r="E121" s="2">
        <f>SUMIF(蛋糕系列!H:H,A121,蛋糕系列!J:J)</f>
        <v>0</v>
      </c>
      <c r="F121" s="2">
        <f>SUMIF(已走货!H:H,A121,已走货!J:J)</f>
        <v>105000</v>
      </c>
      <c r="G121" s="4">
        <f t="shared" si="2"/>
        <v>0</v>
      </c>
      <c r="H121" s="5">
        <f>SUMIF(总接单!E:E,A121,总接单!BX:BX)</f>
        <v>1458083.76</v>
      </c>
      <c r="I121" s="5">
        <f>SUMIF(一二代排期!H:H,A121,一二代排期!AQ:AQ)</f>
        <v>0</v>
      </c>
      <c r="J121" s="5">
        <f>SUMIF(三代排期!H:H,A121,三代排期!AQ:AQ)</f>
        <v>950363.28</v>
      </c>
      <c r="K121" s="5">
        <f>SUMIF(蛋糕系列!H:H,A121,蛋糕系列!AQ:AQ)</f>
        <v>0</v>
      </c>
      <c r="L121" s="5">
        <f>SUMIF(已走货!H:H,A121,已走货!AQ:AQ)</f>
        <v>507720.48</v>
      </c>
      <c r="M121" s="4">
        <f t="shared" si="3"/>
        <v>0</v>
      </c>
    </row>
    <row r="122" customHeight="1" spans="1:13">
      <c r="A122" s="2" t="s">
        <v>117</v>
      </c>
      <c r="B122" s="2">
        <f>SUMIF(总接单!E:E,A122,总接单!F:F)</f>
        <v>33302</v>
      </c>
      <c r="C122" s="2">
        <f>SUMIF(一二代排期!H:H,A122,一二代排期!J:J)</f>
        <v>0</v>
      </c>
      <c r="D122" s="2">
        <f>SUMIF(三代排期!H:H,A122,三代排期!J:J)</f>
        <v>9902</v>
      </c>
      <c r="E122" s="2">
        <f>SUMIF(蛋糕系列!H:H,A122,蛋糕系列!J:J)</f>
        <v>0</v>
      </c>
      <c r="F122" s="2">
        <f>SUMIF(已走货!H:H,A122,已走货!J:J)</f>
        <v>23400</v>
      </c>
      <c r="G122" s="4">
        <f t="shared" si="2"/>
        <v>0</v>
      </c>
      <c r="H122" s="5">
        <f>SUMIF(总接单!E:E,A122,总接单!BX:BX)</f>
        <v>2268944.25</v>
      </c>
      <c r="I122" s="5">
        <f>SUMIF(一二代排期!H:H,A122,一二代排期!AQ:AQ)</f>
        <v>0</v>
      </c>
      <c r="J122" s="5">
        <f>SUMIF(三代排期!H:H,A122,三代排期!AQ:AQ)</f>
        <v>711450</v>
      </c>
      <c r="K122" s="5">
        <f>SUMIF(蛋糕系列!H:H,A122,蛋糕系列!AQ:AQ)</f>
        <v>0</v>
      </c>
      <c r="L122" s="5">
        <f>SUMIF(已走货!H:H,A122,已走货!AQ:AQ)</f>
        <v>1557494.25</v>
      </c>
      <c r="M122" s="4">
        <f t="shared" si="3"/>
        <v>0</v>
      </c>
    </row>
    <row r="123" customHeight="1" spans="1:13">
      <c r="A123" s="2" t="s">
        <v>161</v>
      </c>
      <c r="B123" s="2">
        <f>SUMIF(总接单!E:E,A123,总接单!F:F)</f>
        <v>2502</v>
      </c>
      <c r="C123" s="2">
        <f>SUMIF(一二代排期!H:H,A123,一二代排期!J:J)</f>
        <v>0</v>
      </c>
      <c r="D123" s="2">
        <f>SUMIF(三代排期!H:H,A123,三代排期!J:J)</f>
        <v>2376</v>
      </c>
      <c r="E123" s="2">
        <f>SUMIF(蛋糕系列!H:H,A123,蛋糕系列!J:J)</f>
        <v>0</v>
      </c>
      <c r="F123" s="2">
        <f>SUMIF(已走货!H:H,A123,已走货!J:J)</f>
        <v>126</v>
      </c>
      <c r="G123" s="4">
        <f t="shared" si="2"/>
        <v>0</v>
      </c>
      <c r="H123" s="5">
        <f>SUMIF(总接单!E:E,A123,总接单!BX:BX)</f>
        <v>177423.09</v>
      </c>
      <c r="I123" s="5">
        <f>SUMIF(一二代排期!H:H,A123,一二代排期!AQ:AQ)</f>
        <v>0</v>
      </c>
      <c r="J123" s="5">
        <f>SUMIF(三代排期!H:H,A123,三代排期!AQ:AQ)</f>
        <v>168488.11</v>
      </c>
      <c r="K123" s="5">
        <f>SUMIF(蛋糕系列!H:H,A123,蛋糕系列!AQ:AQ)</f>
        <v>0</v>
      </c>
      <c r="L123" s="5">
        <f>SUMIF(已走货!H:H,A123,已走货!AQ:AQ)</f>
        <v>8934.98</v>
      </c>
      <c r="M123" s="4">
        <f t="shared" si="3"/>
        <v>0</v>
      </c>
    </row>
    <row r="124" customHeight="1" spans="1:13">
      <c r="A124" s="2" t="s">
        <v>125</v>
      </c>
      <c r="B124" s="2">
        <f>SUMIF(总接单!E:E,A124,总接单!F:F)</f>
        <v>17126</v>
      </c>
      <c r="C124" s="2">
        <f>SUMIF(一二代排期!H:H,A124,一二代排期!J:J)</f>
        <v>0</v>
      </c>
      <c r="D124" s="2">
        <f>SUMIF(三代排期!H:H,A124,三代排期!J:J)</f>
        <v>3086</v>
      </c>
      <c r="E124" s="2">
        <f>SUMIF(蛋糕系列!H:H,A124,蛋糕系列!J:J)</f>
        <v>0</v>
      </c>
      <c r="F124" s="2">
        <f>SUMIF(已走货!H:H,A124,已走货!J:J)</f>
        <v>14040</v>
      </c>
      <c r="G124" s="4">
        <f t="shared" si="2"/>
        <v>0</v>
      </c>
      <c r="H124" s="5">
        <f>SUMIF(总接单!E:E,A124,总接单!BX:BX)</f>
        <v>217038.75</v>
      </c>
      <c r="I124" s="5">
        <f>SUMIF(一二代排期!H:H,A124,一二代排期!AQ:AQ)</f>
        <v>0</v>
      </c>
      <c r="J124" s="5">
        <f>SUMIF(三代排期!H:H,A124,三代排期!AQ:AQ)</f>
        <v>37944</v>
      </c>
      <c r="K124" s="5">
        <f>SUMIF(蛋糕系列!H:H,A124,蛋糕系列!AQ:AQ)</f>
        <v>0</v>
      </c>
      <c r="L124" s="5">
        <f>SUMIF(已走货!H:H,A124,已走货!AQ:AQ)</f>
        <v>179094.75</v>
      </c>
      <c r="M124" s="4">
        <f t="shared" si="3"/>
        <v>0</v>
      </c>
    </row>
    <row r="125" customHeight="1" spans="1:13">
      <c r="A125" s="2" t="s">
        <v>104</v>
      </c>
      <c r="B125" s="2">
        <f>SUMIF(总接单!E:E,A125,总接单!F:F)</f>
        <v>30072</v>
      </c>
      <c r="C125" s="2">
        <f>SUMIF(一二代排期!H:H,A125,一二代排期!J:J)</f>
        <v>0</v>
      </c>
      <c r="D125" s="2">
        <f>SUMIF(三代排期!H:H,A125,三代排期!J:J)</f>
        <v>6060</v>
      </c>
      <c r="E125" s="2">
        <f>SUMIF(蛋糕系列!H:H,A125,蛋糕系列!J:J)</f>
        <v>0</v>
      </c>
      <c r="F125" s="2">
        <f>SUMIF(已走货!H:H,A125,已走货!J:J)</f>
        <v>24012</v>
      </c>
      <c r="G125" s="4">
        <f t="shared" si="2"/>
        <v>0</v>
      </c>
      <c r="H125" s="5">
        <f>SUMIF(总接单!E:E,A125,总接单!BX:BX)</f>
        <v>361550.52</v>
      </c>
      <c r="I125" s="5">
        <f>SUMIF(一二代排期!H:H,A125,一二代排期!AQ:AQ)</f>
        <v>0</v>
      </c>
      <c r="J125" s="5">
        <f>SUMIF(三代排期!H:H,A125,三代排期!AQ:AQ)</f>
        <v>71245.44</v>
      </c>
      <c r="K125" s="5">
        <f>SUMIF(蛋糕系列!H:H,A125,蛋糕系列!AQ:AQ)</f>
        <v>0</v>
      </c>
      <c r="L125" s="5">
        <f>SUMIF(已走货!H:H,A125,已走货!AQ:AQ)</f>
        <v>290305.08</v>
      </c>
      <c r="M125" s="4">
        <f t="shared" si="3"/>
        <v>0</v>
      </c>
    </row>
    <row r="126" customHeight="1" spans="1:13">
      <c r="A126" s="2" t="s">
        <v>162</v>
      </c>
      <c r="B126" s="2">
        <f>SUMIF(总接单!E:E,A126,总接单!F:F)</f>
        <v>9504</v>
      </c>
      <c r="C126" s="2">
        <f>SUMIF(一二代排期!H:H,A126,一二代排期!J:J)</f>
        <v>0</v>
      </c>
      <c r="D126" s="2">
        <f>SUMIF(三代排期!H:H,A126,三代排期!J:J)</f>
        <v>9504</v>
      </c>
      <c r="E126" s="2">
        <f>SUMIF(蛋糕系列!H:H,A126,蛋糕系列!J:J)</f>
        <v>0</v>
      </c>
      <c r="F126" s="2">
        <f>SUMIF(已走货!H:H,A126,已走货!J:J)</f>
        <v>0</v>
      </c>
      <c r="G126" s="4">
        <f t="shared" si="2"/>
        <v>0</v>
      </c>
      <c r="H126" s="5">
        <f>SUMIF(总接单!E:E,A126,总接单!BX:BX)</f>
        <v>93543.12</v>
      </c>
      <c r="I126" s="5">
        <f>SUMIF(一二代排期!H:H,A126,一二代排期!AQ:AQ)</f>
        <v>0</v>
      </c>
      <c r="J126" s="5">
        <f>SUMIF(三代排期!H:H,A126,三代排期!AQ:AQ)</f>
        <v>93543.12</v>
      </c>
      <c r="K126" s="5">
        <f>SUMIF(蛋糕系列!H:H,A126,蛋糕系列!AQ:AQ)</f>
        <v>0</v>
      </c>
      <c r="L126" s="5">
        <f>SUMIF(已走货!H:H,A126,已走货!AQ:AQ)</f>
        <v>0</v>
      </c>
      <c r="M126" s="4">
        <f t="shared" si="3"/>
        <v>0</v>
      </c>
    </row>
    <row r="127" customHeight="1" spans="1:13">
      <c r="A127" s="2" t="s">
        <v>163</v>
      </c>
      <c r="B127" s="2">
        <f>SUMIF(总接单!E:E,A127,总接单!F:F)</f>
        <v>9504</v>
      </c>
      <c r="C127" s="2">
        <f>SUMIF(一二代排期!H:H,A127,一二代排期!J:J)</f>
        <v>0</v>
      </c>
      <c r="D127" s="2">
        <f>SUMIF(三代排期!H:H,A127,三代排期!J:J)</f>
        <v>9504</v>
      </c>
      <c r="E127" s="2">
        <f>SUMIF(蛋糕系列!H:H,A127,蛋糕系列!J:J)</f>
        <v>0</v>
      </c>
      <c r="F127" s="2">
        <f>SUMIF(已走货!H:H,A127,已走货!J:J)</f>
        <v>0</v>
      </c>
      <c r="G127" s="4">
        <f t="shared" si="2"/>
        <v>0</v>
      </c>
      <c r="H127" s="5">
        <f>SUMIF(总接单!E:E,A127,总接单!BX:BX)</f>
        <v>93543.12</v>
      </c>
      <c r="I127" s="5">
        <f>SUMIF(一二代排期!H:H,A127,一二代排期!AQ:AQ)</f>
        <v>0</v>
      </c>
      <c r="J127" s="5">
        <f>SUMIF(三代排期!H:H,A127,三代排期!AQ:AQ)</f>
        <v>93543.12</v>
      </c>
      <c r="K127" s="5">
        <f>SUMIF(蛋糕系列!H:H,A127,蛋糕系列!AQ:AQ)</f>
        <v>0</v>
      </c>
      <c r="L127" s="5">
        <f>SUMIF(已走货!H:H,A127,已走货!AQ:AQ)</f>
        <v>0</v>
      </c>
      <c r="M127" s="4">
        <f t="shared" si="3"/>
        <v>0</v>
      </c>
    </row>
    <row r="128" customHeight="1" spans="1:13">
      <c r="A128" s="2" t="s">
        <v>164</v>
      </c>
      <c r="B128" s="2">
        <f>SUMIF(总接单!E:E,A128,总接单!F:F)</f>
        <v>9504</v>
      </c>
      <c r="C128" s="2">
        <f>SUMIF(一二代排期!H:H,A128,一二代排期!J:J)</f>
        <v>0</v>
      </c>
      <c r="D128" s="2">
        <f>SUMIF(三代排期!H:H,A128,三代排期!J:J)</f>
        <v>9504</v>
      </c>
      <c r="E128" s="2">
        <f>SUMIF(蛋糕系列!H:H,A128,蛋糕系列!J:J)</f>
        <v>0</v>
      </c>
      <c r="F128" s="2">
        <f>SUMIF(已走货!H:H,A128,已走货!J:J)</f>
        <v>0</v>
      </c>
      <c r="G128" s="4">
        <f t="shared" si="2"/>
        <v>0</v>
      </c>
      <c r="H128" s="5">
        <f>SUMIF(总接单!E:E,A128,总接单!BX:BX)</f>
        <v>93543.12</v>
      </c>
      <c r="I128" s="5">
        <f>SUMIF(一二代排期!H:H,A128,一二代排期!AQ:AQ)</f>
        <v>0</v>
      </c>
      <c r="J128" s="5">
        <f>SUMIF(三代排期!H:H,A128,三代排期!AQ:AQ)</f>
        <v>93543.12</v>
      </c>
      <c r="K128" s="5">
        <f>SUMIF(蛋糕系列!H:H,A128,蛋糕系列!AQ:AQ)</f>
        <v>0</v>
      </c>
      <c r="L128" s="5">
        <f>SUMIF(已走货!H:H,A128,已走货!AQ:AQ)</f>
        <v>0</v>
      </c>
      <c r="M128" s="4">
        <f t="shared" si="3"/>
        <v>0</v>
      </c>
    </row>
    <row r="129" customHeight="1" spans="1:13">
      <c r="A129" s="2" t="s">
        <v>200</v>
      </c>
      <c r="B129" s="2">
        <f>SUMIF(总接单!E:E,A129,总接单!F:F)</f>
        <v>51300</v>
      </c>
      <c r="C129" s="2">
        <f>SUMIF(一二代排期!H:H,A129,一二代排期!J:J)</f>
        <v>0</v>
      </c>
      <c r="D129" s="2">
        <f>SUMIF(三代排期!H:H,A129,三代排期!J:J)</f>
        <v>51300</v>
      </c>
      <c r="E129" s="2">
        <f>SUMIF(蛋糕系列!H:H,A129,蛋糕系列!J:J)</f>
        <v>0</v>
      </c>
      <c r="F129" s="2">
        <f>SUMIF(已走货!H:H,A129,已走货!J:J)</f>
        <v>0</v>
      </c>
      <c r="G129" s="4">
        <f t="shared" si="2"/>
        <v>0</v>
      </c>
      <c r="H129" s="5">
        <f>SUMIF(总接单!E:E,A129,总接单!BX:BX)</f>
        <v>361793.25</v>
      </c>
      <c r="I129" s="5">
        <f>SUMIF(一二代排期!H:H,A129,一二代排期!AQ:AQ)</f>
        <v>0</v>
      </c>
      <c r="J129" s="5">
        <f>SUMIF(三代排期!H:H,A129,三代排期!AQ:AQ)</f>
        <v>361793.25</v>
      </c>
      <c r="K129" s="5">
        <f>SUMIF(蛋糕系列!H:H,A129,蛋糕系列!AQ:AQ)</f>
        <v>0</v>
      </c>
      <c r="L129" s="5">
        <f>SUMIF(已走货!H:H,A129,已走货!AQ:AQ)</f>
        <v>0</v>
      </c>
      <c r="M129" s="4">
        <f t="shared" si="3"/>
        <v>0</v>
      </c>
    </row>
    <row r="130" customHeight="1" spans="1:13">
      <c r="A130" s="2" t="s">
        <v>199</v>
      </c>
      <c r="B130" s="2">
        <f>SUMIF(总接单!E:E,A130,总接单!F:F)</f>
        <v>256344</v>
      </c>
      <c r="C130" s="2">
        <f>SUMIF(一二代排期!H:H,A130,一二代排期!J:J)</f>
        <v>0</v>
      </c>
      <c r="D130" s="2">
        <f>SUMIF(三代排期!H:H,A130,三代排期!J:J)</f>
        <v>256344</v>
      </c>
      <c r="E130" s="2">
        <f>SUMIF(蛋糕系列!H:H,A130,蛋糕系列!J:J)</f>
        <v>0</v>
      </c>
      <c r="F130" s="2">
        <f>SUMIF(已走货!H:H,A130,已走货!J:J)</f>
        <v>0</v>
      </c>
      <c r="G130" s="4">
        <f t="shared" ref="G130:G174" si="4">B130-C130-D130-F130-E130</f>
        <v>0</v>
      </c>
      <c r="H130" s="5">
        <f>SUMIF(总接单!E:E,A130,总接单!BX:BX)</f>
        <v>1759163.82</v>
      </c>
      <c r="I130" s="5">
        <f>SUMIF(一二代排期!H:H,A130,一二代排期!AQ:AQ)</f>
        <v>0</v>
      </c>
      <c r="J130" s="5">
        <f>SUMIF(三代排期!H:H,A130,三代排期!AQ:AQ)</f>
        <v>1759163.82</v>
      </c>
      <c r="K130" s="5">
        <f>SUMIF(蛋糕系列!H:H,A130,蛋糕系列!AQ:AQ)</f>
        <v>0</v>
      </c>
      <c r="L130" s="5">
        <f>SUMIF(已走货!H:H,A130,已走货!AQ:AQ)</f>
        <v>0</v>
      </c>
      <c r="M130" s="4">
        <f t="shared" ref="M130:M174" si="5">H130-I130-J130-L130-K130</f>
        <v>0</v>
      </c>
    </row>
    <row r="131" customHeight="1" spans="1:13">
      <c r="A131" s="2" t="s">
        <v>180</v>
      </c>
      <c r="B131" s="2">
        <f>SUMIF(总接单!E:E,A131,总接单!F:F)</f>
        <v>38016</v>
      </c>
      <c r="C131" s="2">
        <f>SUMIF(一二代排期!H:H,A131,一二代排期!J:J)</f>
        <v>0</v>
      </c>
      <c r="D131" s="2">
        <f>SUMIF(三代排期!H:H,A131,三代排期!J:J)</f>
        <v>38016</v>
      </c>
      <c r="E131" s="2">
        <f>SUMIF(蛋糕系列!H:H,A131,蛋糕系列!J:J)</f>
        <v>0</v>
      </c>
      <c r="F131" s="2">
        <f>SUMIF(已走货!H:H,A131,已走货!J:J)</f>
        <v>0</v>
      </c>
      <c r="G131" s="4">
        <f t="shared" si="4"/>
        <v>0</v>
      </c>
      <c r="H131" s="5">
        <f>SUMIF(总接单!E:E,A131,总接单!BX:BX)</f>
        <v>254615.4</v>
      </c>
      <c r="I131" s="5">
        <f>SUMIF(一二代排期!H:H,A131,一二代排期!AQ:AQ)</f>
        <v>0</v>
      </c>
      <c r="J131" s="5">
        <f>SUMIF(三代排期!H:H,A131,三代排期!AQ:AQ)</f>
        <v>254615.4</v>
      </c>
      <c r="K131" s="5">
        <f>SUMIF(蛋糕系列!H:H,A131,蛋糕系列!AQ:AQ)</f>
        <v>0</v>
      </c>
      <c r="L131" s="5">
        <f>SUMIF(已走货!H:H,A131,已走货!AQ:AQ)</f>
        <v>0</v>
      </c>
      <c r="M131" s="4">
        <f t="shared" si="5"/>
        <v>0</v>
      </c>
    </row>
    <row r="132" customHeight="1" spans="1:13">
      <c r="A132" s="2" t="s">
        <v>184</v>
      </c>
      <c r="B132" s="2">
        <f>SUMIF(总接单!E:E,A132,总接单!F:F)</f>
        <v>0</v>
      </c>
      <c r="C132" s="2">
        <f>SUMIF(一二代排期!H:H,A132,一二代排期!J:J)</f>
        <v>0</v>
      </c>
      <c r="D132" s="2">
        <f>SUMIF(三代排期!H:H,A132,三代排期!J:J)</f>
        <v>0</v>
      </c>
      <c r="E132" s="2">
        <f>SUMIF(蛋糕系列!H:H,A132,蛋糕系列!J:J)</f>
        <v>0</v>
      </c>
      <c r="F132" s="2">
        <f>SUMIF(已走货!H:H,A132,已走货!J:J)</f>
        <v>0</v>
      </c>
      <c r="G132" s="4">
        <f t="shared" si="4"/>
        <v>0</v>
      </c>
      <c r="H132" s="5">
        <f>SUMIF(总接单!E:E,A132,总接单!BX:BX)</f>
        <v>0</v>
      </c>
      <c r="I132" s="5">
        <f>SUMIF(一二代排期!H:H,A132,一二代排期!AQ:AQ)</f>
        <v>0</v>
      </c>
      <c r="J132" s="5">
        <f>SUMIF(三代排期!H:H,A132,三代排期!AQ:AQ)</f>
        <v>0</v>
      </c>
      <c r="K132" s="5">
        <f>SUMIF(蛋糕系列!H:H,A132,蛋糕系列!AQ:AQ)</f>
        <v>0</v>
      </c>
      <c r="L132" s="5">
        <f>SUMIF(已走货!H:H,A132,已走货!AQ:AQ)</f>
        <v>0</v>
      </c>
      <c r="M132" s="4">
        <f t="shared" si="5"/>
        <v>0</v>
      </c>
    </row>
    <row r="133" customHeight="1" spans="1:13">
      <c r="A133" s="2" t="s">
        <v>108</v>
      </c>
      <c r="B133" s="2">
        <f>SUMIF(总接单!E:E,A133,总接单!F:F)</f>
        <v>6620</v>
      </c>
      <c r="C133" s="2">
        <f>SUMIF(一二代排期!H:H,A133,一二代排期!J:J)</f>
        <v>0</v>
      </c>
      <c r="D133" s="2">
        <f>SUMIF(三代排期!H:H,A133,三代排期!J:J)</f>
        <v>0</v>
      </c>
      <c r="E133" s="2">
        <f>SUMIF(蛋糕系列!H:H,A133,蛋糕系列!J:J)</f>
        <v>0</v>
      </c>
      <c r="F133" s="2">
        <f>SUMIF(已走货!H:H,A133,已走货!J:J)</f>
        <v>6620</v>
      </c>
      <c r="G133" s="4">
        <f t="shared" si="4"/>
        <v>0</v>
      </c>
      <c r="H133" s="5">
        <f>SUMIF(总接单!E:E,A133,总接单!BX:BX)</f>
        <v>365183.1</v>
      </c>
      <c r="I133" s="5">
        <f>SUMIF(一二代排期!H:H,A133,一二代排期!AQ:AQ)</f>
        <v>0</v>
      </c>
      <c r="J133" s="5">
        <f>SUMIF(三代排期!H:H,A133,三代排期!AQ:AQ)</f>
        <v>0</v>
      </c>
      <c r="K133" s="5">
        <f>SUMIF(蛋糕系列!H:H,A133,蛋糕系列!AQ:AQ)</f>
        <v>0</v>
      </c>
      <c r="L133" s="5">
        <f>SUMIF(已走货!H:H,A133,已走货!AQ:AQ)</f>
        <v>365183.1</v>
      </c>
      <c r="M133" s="4">
        <f t="shared" si="5"/>
        <v>0</v>
      </c>
    </row>
    <row r="134" customHeight="1" spans="1:13">
      <c r="A134" s="2" t="s">
        <v>201</v>
      </c>
      <c r="B134" s="2">
        <f>SUMIF(总接单!E:E,A134,总接单!F:F)</f>
        <v>4020</v>
      </c>
      <c r="C134" s="2">
        <f>SUMIF(一二代排期!H:H,A134,一二代排期!J:J)</f>
        <v>0</v>
      </c>
      <c r="D134" s="2">
        <f>SUMIF(三代排期!H:H,A134,三代排期!J:J)</f>
        <v>4020</v>
      </c>
      <c r="E134" s="2">
        <f>SUMIF(蛋糕系列!H:H,A134,蛋糕系列!J:J)</f>
        <v>0</v>
      </c>
      <c r="F134" s="2">
        <f>SUMIF(已走货!H:H,A134,已走货!J:J)</f>
        <v>0</v>
      </c>
      <c r="G134" s="4">
        <f t="shared" si="4"/>
        <v>0</v>
      </c>
      <c r="H134" s="5">
        <f>SUMIF(总接单!E:E,A134,总接单!BX:BX)</f>
        <v>49224.9</v>
      </c>
      <c r="I134" s="5">
        <f>SUMIF(一二代排期!H:H,A134,一二代排期!AQ:AQ)</f>
        <v>0</v>
      </c>
      <c r="J134" s="5">
        <f>SUMIF(三代排期!H:H,A134,三代排期!AQ:AQ)</f>
        <v>49224.9</v>
      </c>
      <c r="K134" s="5">
        <f>SUMIF(蛋糕系列!H:H,A134,蛋糕系列!AQ:AQ)</f>
        <v>0</v>
      </c>
      <c r="L134" s="5">
        <f>SUMIF(已走货!H:H,A134,已走货!AQ:AQ)</f>
        <v>0</v>
      </c>
      <c r="M134" s="4">
        <f t="shared" si="5"/>
        <v>0</v>
      </c>
    </row>
    <row r="135" customHeight="1" spans="1:13">
      <c r="A135" s="2" t="s">
        <v>204</v>
      </c>
      <c r="B135" s="2">
        <f>SUMIF(总接单!E:E,A135,总接单!F:F)</f>
        <v>446</v>
      </c>
      <c r="C135" s="2">
        <f>SUMIF(一二代排期!H:H,A135,一二代排期!J:J)</f>
        <v>0</v>
      </c>
      <c r="D135" s="2">
        <f>SUMIF(三代排期!H:H,A135,三代排期!J:J)</f>
        <v>446</v>
      </c>
      <c r="E135" s="2">
        <f>SUMIF(蛋糕系列!H:H,A135,蛋糕系列!J:J)</f>
        <v>0</v>
      </c>
      <c r="F135" s="2">
        <f>SUMIF(已走货!H:H,A135,已走货!J:J)</f>
        <v>0</v>
      </c>
      <c r="G135" s="4">
        <f t="shared" si="4"/>
        <v>0</v>
      </c>
      <c r="H135" s="5">
        <f>SUMIF(总接单!E:E,A135,总接单!BX:BX)</f>
        <v>0</v>
      </c>
      <c r="I135" s="5">
        <f>SUMIF(一二代排期!H:H,A135,一二代排期!AQ:AQ)</f>
        <v>0</v>
      </c>
      <c r="J135" s="5">
        <f>SUMIF(三代排期!H:H,A135,三代排期!AQ:AQ)</f>
        <v>0</v>
      </c>
      <c r="K135" s="5">
        <f>SUMIF(蛋糕系列!H:H,A135,蛋糕系列!AQ:AQ)</f>
        <v>0</v>
      </c>
      <c r="L135" s="5">
        <f>SUMIF(已走货!H:H,A135,已走货!AQ:AQ)</f>
        <v>0</v>
      </c>
      <c r="M135" s="4">
        <f t="shared" si="5"/>
        <v>0</v>
      </c>
    </row>
    <row r="136" customHeight="1" spans="1:13">
      <c r="A136" s="2" t="s">
        <v>198</v>
      </c>
      <c r="B136" s="2">
        <f>SUMIF(总接单!E:E,A136,总接单!F:F)</f>
        <v>20400</v>
      </c>
      <c r="C136" s="2">
        <f>SUMIF(一二代排期!H:H,A136,一二代排期!J:J)</f>
        <v>0</v>
      </c>
      <c r="D136" s="2">
        <f>SUMIF(三代排期!H:H,A136,三代排期!J:J)</f>
        <v>20400</v>
      </c>
      <c r="E136" s="2">
        <f>SUMIF(蛋糕系列!H:H,A136,蛋糕系列!J:J)</f>
        <v>0</v>
      </c>
      <c r="F136" s="2">
        <f>SUMIF(已走货!H:H,A136,已走货!J:J)</f>
        <v>0</v>
      </c>
      <c r="G136" s="4">
        <f t="shared" si="4"/>
        <v>0</v>
      </c>
      <c r="H136" s="5">
        <f>SUMIF(总接单!E:E,A136,总接单!BX:BX)</f>
        <v>110112</v>
      </c>
      <c r="I136" s="5">
        <f>SUMIF(一二代排期!H:H,A136,一二代排期!AQ:AQ)</f>
        <v>0</v>
      </c>
      <c r="J136" s="5">
        <f>SUMIF(三代排期!H:H,A136,三代排期!AQ:AQ)</f>
        <v>110112</v>
      </c>
      <c r="K136" s="5">
        <f>SUMIF(蛋糕系列!H:H,A136,蛋糕系列!AQ:AQ)</f>
        <v>0</v>
      </c>
      <c r="L136" s="5">
        <f>SUMIF(已走货!H:H,A136,已走货!AQ:AQ)</f>
        <v>0</v>
      </c>
      <c r="M136" s="4">
        <f t="shared" si="5"/>
        <v>0</v>
      </c>
    </row>
    <row r="137" customHeight="1" spans="1:13">
      <c r="A137" s="2" t="s">
        <v>88</v>
      </c>
      <c r="B137" s="2">
        <f>SUMIF(总接单!E:E,A137,总接单!F:F)</f>
        <v>451382</v>
      </c>
      <c r="C137" s="2">
        <f>SUMIF(一二代排期!H:H,A137,一二代排期!J:J)</f>
        <v>0</v>
      </c>
      <c r="D137" s="2">
        <f>SUMIF(三代排期!H:H,A137,三代排期!J:J)</f>
        <v>2424</v>
      </c>
      <c r="E137" s="2">
        <f>SUMIF(蛋糕系列!H:H,A137,蛋糕系列!J:J)</f>
        <v>0</v>
      </c>
      <c r="F137" s="2">
        <f>SUMIF(已走货!H:H,A137,已走货!J:J)</f>
        <v>448958</v>
      </c>
      <c r="G137" s="4">
        <f t="shared" si="4"/>
        <v>0</v>
      </c>
      <c r="H137" s="5">
        <f>SUMIF(总接单!E:E,A137,总接单!BX:BX)</f>
        <v>2799648.6</v>
      </c>
      <c r="I137" s="5">
        <f>SUMIF(一二代排期!H:H,A137,一二代排期!AQ:AQ)</f>
        <v>0</v>
      </c>
      <c r="J137" s="5">
        <f>SUMIF(三代排期!H:H,A137,三代排期!AQ:AQ)</f>
        <v>11273.46</v>
      </c>
      <c r="K137" s="5">
        <f>SUMIF(蛋糕系列!H:H,A137,蛋糕系列!AQ:AQ)</f>
        <v>0</v>
      </c>
      <c r="L137" s="5">
        <f>SUMIF(已走货!H:H,A137,已走货!AQ:AQ)</f>
        <v>2788375.14</v>
      </c>
      <c r="M137" s="4">
        <f t="shared" si="5"/>
        <v>0</v>
      </c>
    </row>
    <row r="138" customHeight="1" spans="1:13">
      <c r="A138" s="2" t="s">
        <v>166</v>
      </c>
      <c r="B138" s="2">
        <f>SUMIF(总接单!E:E,A138,总接单!F:F)</f>
        <v>38400</v>
      </c>
      <c r="C138" s="2">
        <f>SUMIF(一二代排期!H:H,A138,一二代排期!J:J)</f>
        <v>0</v>
      </c>
      <c r="D138" s="2">
        <f>SUMIF(三代排期!H:H,A138,三代排期!J:J)</f>
        <v>36675</v>
      </c>
      <c r="E138" s="2">
        <f>SUMIF(蛋糕系列!H:H,A138,蛋糕系列!J:J)</f>
        <v>0</v>
      </c>
      <c r="F138" s="2">
        <f>SUMIF(已走货!H:H,A138,已走货!J:J)</f>
        <v>1725</v>
      </c>
      <c r="G138" s="4">
        <f t="shared" si="4"/>
        <v>0</v>
      </c>
      <c r="H138" s="5">
        <f>SUMIF(总接单!E:E,A138,总接单!BX:BX)</f>
        <v>191963.63</v>
      </c>
      <c r="I138" s="5">
        <f>SUMIF(一二代排期!H:H,A138,一二代排期!AQ:AQ)</f>
        <v>0</v>
      </c>
      <c r="J138" s="5">
        <f>SUMIF(三代排期!H:H,A138,三代排期!AQ:AQ)</f>
        <v>173381.07</v>
      </c>
      <c r="K138" s="5">
        <f>SUMIF(蛋糕系列!H:H,A138,蛋糕系列!AQ:AQ)</f>
        <v>0</v>
      </c>
      <c r="L138" s="5">
        <f>SUMIF(已走货!H:H,A138,已走货!AQ:AQ)</f>
        <v>18582.56</v>
      </c>
      <c r="M138" s="4">
        <f t="shared" si="5"/>
        <v>0</v>
      </c>
    </row>
    <row r="139" customHeight="1" spans="1:13">
      <c r="A139" s="2" t="s">
        <v>89</v>
      </c>
      <c r="B139" s="2">
        <f>SUMIF(总接单!E:E,A139,总接单!F:F)</f>
        <v>103516</v>
      </c>
      <c r="C139" s="2">
        <f>SUMIF(一二代排期!H:H,A139,一二代排期!J:J)</f>
        <v>0</v>
      </c>
      <c r="D139" s="2">
        <f>SUMIF(三代排期!H:H,A139,三代排期!J:J)</f>
        <v>13412</v>
      </c>
      <c r="E139" s="2">
        <f>SUMIF(蛋糕系列!H:H,A139,蛋糕系列!J:J)</f>
        <v>0</v>
      </c>
      <c r="F139" s="2">
        <f>SUMIF(已走货!H:H,A139,已走货!J:J)</f>
        <v>90104</v>
      </c>
      <c r="G139" s="4">
        <f t="shared" si="4"/>
        <v>0</v>
      </c>
      <c r="H139" s="5">
        <f>SUMIF(总接单!E:E,A139,总接单!BX:BX)</f>
        <v>1468223.71</v>
      </c>
      <c r="I139" s="5">
        <f>SUMIF(一二代排期!H:H,A139,一二代排期!AQ:AQ)</f>
        <v>0</v>
      </c>
      <c r="J139" s="5">
        <f>SUMIF(三代排期!H:H,A139,三代排期!AQ:AQ)</f>
        <v>185876.31</v>
      </c>
      <c r="K139" s="5">
        <f>SUMIF(蛋糕系列!H:H,A139,蛋糕系列!AQ:AQ)</f>
        <v>0</v>
      </c>
      <c r="L139" s="5">
        <f>SUMIF(已走货!H:H,A139,已走货!AQ:AQ)</f>
        <v>1282347.4</v>
      </c>
      <c r="M139" s="4">
        <f t="shared" si="5"/>
        <v>0</v>
      </c>
    </row>
    <row r="140" customHeight="1" spans="1:13">
      <c r="A140" s="2" t="s">
        <v>167</v>
      </c>
      <c r="B140" s="2">
        <f>SUMIF(总接单!E:E,A140,总接单!F:F)</f>
        <v>49512</v>
      </c>
      <c r="C140" s="2">
        <f>SUMIF(一二代排期!H:H,A140,一二代排期!J:J)</f>
        <v>0</v>
      </c>
      <c r="D140" s="2">
        <f>SUMIF(三代排期!H:H,A140,三代排期!J:J)</f>
        <v>47256</v>
      </c>
      <c r="E140" s="2">
        <f>SUMIF(蛋糕系列!H:H,A140,蛋糕系列!J:J)</f>
        <v>0</v>
      </c>
      <c r="F140" s="2">
        <f>SUMIF(已走货!H:H,A140,已走货!J:J)</f>
        <v>2256</v>
      </c>
      <c r="G140" s="4">
        <f t="shared" si="4"/>
        <v>0</v>
      </c>
      <c r="H140" s="5">
        <f>SUMIF(总接单!E:E,A140,总接单!BX:BX)</f>
        <v>640809.06</v>
      </c>
      <c r="I140" s="5">
        <f>SUMIF(一二代排期!H:H,A140,一二代排期!AQ:AQ)</f>
        <v>0</v>
      </c>
      <c r="J140" s="5">
        <f>SUMIF(三代排期!H:H,A140,三代排期!AQ:AQ)</f>
        <v>611610.78</v>
      </c>
      <c r="K140" s="5">
        <f>SUMIF(蛋糕系列!H:H,A140,蛋糕系列!AQ:AQ)</f>
        <v>0</v>
      </c>
      <c r="L140" s="5">
        <f>SUMIF(已走货!H:H,A140,已走货!AQ:AQ)</f>
        <v>29198.28</v>
      </c>
      <c r="M140" s="4">
        <f t="shared" si="5"/>
        <v>0</v>
      </c>
    </row>
    <row r="141" customHeight="1" spans="1:13">
      <c r="A141" s="2" t="s">
        <v>118</v>
      </c>
      <c r="B141" s="2">
        <f>SUMIF(总接单!E:E,A141,总接单!F:F)</f>
        <v>6448</v>
      </c>
      <c r="C141" s="2">
        <f>SUMIF(一二代排期!H:H,A141,一二代排期!J:J)</f>
        <v>0</v>
      </c>
      <c r="D141" s="2">
        <f>SUMIF(三代排期!H:H,A141,三代排期!J:J)</f>
        <v>6448</v>
      </c>
      <c r="E141" s="2">
        <f>SUMIF(蛋糕系列!H:H,A141,蛋糕系列!J:J)</f>
        <v>0</v>
      </c>
      <c r="F141" s="2">
        <f>SUMIF(已走货!H:H,A141,已走货!J:J)</f>
        <v>0</v>
      </c>
      <c r="G141" s="4">
        <f t="shared" si="4"/>
        <v>0</v>
      </c>
      <c r="H141" s="5">
        <f>SUMIF(总接单!E:E,A141,总接单!BX:BX)</f>
        <v>0</v>
      </c>
      <c r="I141" s="5">
        <f>SUMIF(一二代排期!H:H,A141,一二代排期!AQ:AQ)</f>
        <v>0</v>
      </c>
      <c r="J141" s="5">
        <f>SUMIF(三代排期!H:H,A141,三代排期!AQ:AQ)</f>
        <v>0</v>
      </c>
      <c r="K141" s="5">
        <f>SUMIF(蛋糕系列!H:H,A141,蛋糕系列!AQ:AQ)</f>
        <v>0</v>
      </c>
      <c r="L141" s="5">
        <f>SUMIF(已走货!H:H,A141,已走货!AQ:AQ)</f>
        <v>0</v>
      </c>
      <c r="M141" s="4">
        <f t="shared" si="5"/>
        <v>0</v>
      </c>
    </row>
    <row r="142" customHeight="1" spans="1:13">
      <c r="A142" s="2" t="s">
        <v>905</v>
      </c>
      <c r="B142" s="2">
        <f>SUMIF(总接单!E:E,A142,总接单!F:F)</f>
        <v>10</v>
      </c>
      <c r="C142" s="2">
        <f>SUMIF(一二代排期!H:H,A142,一二代排期!J:J)</f>
        <v>0</v>
      </c>
      <c r="D142" s="2">
        <f>SUMIF(三代排期!H:H,A142,三代排期!J:J)</f>
        <v>10</v>
      </c>
      <c r="E142" s="2">
        <f>SUMIF(蛋糕系列!H:H,A142,蛋糕系列!J:J)</f>
        <v>0</v>
      </c>
      <c r="F142" s="2">
        <f>SUMIF(已走货!H:H,A142,已走货!J:J)</f>
        <v>0</v>
      </c>
      <c r="G142" s="4">
        <f t="shared" si="4"/>
        <v>0</v>
      </c>
      <c r="H142" s="5">
        <f>SUMIF(总接单!E:E,A142,总接单!BX:BX)</f>
        <v>0</v>
      </c>
      <c r="I142" s="5">
        <f>SUMIF(一二代排期!H:H,A142,一二代排期!AQ:AQ)</f>
        <v>0</v>
      </c>
      <c r="J142" s="5">
        <f>SUMIF(三代排期!H:H,A142,三代排期!AQ:AQ)</f>
        <v>0</v>
      </c>
      <c r="K142" s="5">
        <f>SUMIF(蛋糕系列!H:H,A142,蛋糕系列!AQ:AQ)</f>
        <v>0</v>
      </c>
      <c r="L142" s="5">
        <f>SUMIF(已走货!H:H,A142,已走货!AQ:AQ)</f>
        <v>0</v>
      </c>
      <c r="M142" s="4">
        <f t="shared" si="5"/>
        <v>0</v>
      </c>
    </row>
    <row r="143" customHeight="1" spans="1:13">
      <c r="A143" s="2" t="s">
        <v>906</v>
      </c>
      <c r="B143" s="2">
        <f>SUMIF(总接单!E:E,A143,总接单!F:F)</f>
        <v>10</v>
      </c>
      <c r="C143" s="2">
        <f>SUMIF(一二代排期!H:H,A143,一二代排期!J:J)</f>
        <v>0</v>
      </c>
      <c r="D143" s="2">
        <f>SUMIF(三代排期!H:H,A143,三代排期!J:J)</f>
        <v>10</v>
      </c>
      <c r="E143" s="2">
        <f>SUMIF(蛋糕系列!H:H,A143,蛋糕系列!J:J)</f>
        <v>0</v>
      </c>
      <c r="F143" s="2">
        <f>SUMIF(已走货!H:H,A143,已走货!J:J)</f>
        <v>0</v>
      </c>
      <c r="G143" s="4">
        <f t="shared" si="4"/>
        <v>0</v>
      </c>
      <c r="H143" s="5">
        <f>SUMIF(总接单!E:E,A143,总接单!BX:BX)</f>
        <v>0</v>
      </c>
      <c r="I143" s="5">
        <f>SUMIF(一二代排期!H:H,A143,一二代排期!AQ:AQ)</f>
        <v>0</v>
      </c>
      <c r="J143" s="5">
        <f>SUMIF(三代排期!H:H,A143,三代排期!AQ:AQ)</f>
        <v>0</v>
      </c>
      <c r="K143" s="5">
        <f>SUMIF(蛋糕系列!H:H,A143,蛋糕系列!AQ:AQ)</f>
        <v>0</v>
      </c>
      <c r="L143" s="5">
        <f>SUMIF(已走货!H:H,A143,已走货!AQ:AQ)</f>
        <v>0</v>
      </c>
      <c r="M143" s="4">
        <f t="shared" si="5"/>
        <v>0</v>
      </c>
    </row>
    <row r="144" customHeight="1" spans="1:13">
      <c r="A144" s="2" t="s">
        <v>907</v>
      </c>
      <c r="B144" s="2">
        <f>SUMIF(总接单!E:E,A144,总接单!F:F)</f>
        <v>10</v>
      </c>
      <c r="C144" s="2">
        <f>SUMIF(一二代排期!H:H,A144,一二代排期!J:J)</f>
        <v>0</v>
      </c>
      <c r="D144" s="2">
        <f>SUMIF(三代排期!H:H,A144,三代排期!J:J)</f>
        <v>10</v>
      </c>
      <c r="E144" s="2">
        <f>SUMIF(蛋糕系列!H:H,A144,蛋糕系列!J:J)</f>
        <v>0</v>
      </c>
      <c r="F144" s="2">
        <f>SUMIF(已走货!H:H,A144,已走货!J:J)</f>
        <v>0</v>
      </c>
      <c r="G144" s="4">
        <f t="shared" si="4"/>
        <v>0</v>
      </c>
      <c r="H144" s="5">
        <f>SUMIF(总接单!E:E,A144,总接单!BX:BX)</f>
        <v>0</v>
      </c>
      <c r="I144" s="5">
        <f>SUMIF(一二代排期!H:H,A144,一二代排期!AQ:AQ)</f>
        <v>0</v>
      </c>
      <c r="J144" s="5">
        <f>SUMIF(三代排期!H:H,A144,三代排期!AQ:AQ)</f>
        <v>0</v>
      </c>
      <c r="K144" s="5">
        <f>SUMIF(蛋糕系列!H:H,A144,蛋糕系列!AQ:AQ)</f>
        <v>0</v>
      </c>
      <c r="L144" s="5">
        <f>SUMIF(已走货!H:H,A144,已走货!AQ:AQ)</f>
        <v>0</v>
      </c>
      <c r="M144" s="4">
        <f t="shared" si="5"/>
        <v>0</v>
      </c>
    </row>
    <row r="145" customHeight="1" spans="1:13">
      <c r="A145" s="2" t="s">
        <v>122</v>
      </c>
      <c r="B145" s="2">
        <f>SUMIF(总接单!E:E,A145,总接单!F:F)</f>
        <v>12348</v>
      </c>
      <c r="C145" s="2">
        <f>SUMIF(一二代排期!H:H,A145,一二代排期!J:J)</f>
        <v>0</v>
      </c>
      <c r="D145" s="2">
        <f>SUMIF(三代排期!H:H,A145,三代排期!J:J)</f>
        <v>0</v>
      </c>
      <c r="E145" s="2">
        <f>SUMIF(蛋糕系列!H:H,A145,蛋糕系列!J:J)</f>
        <v>0</v>
      </c>
      <c r="F145" s="2">
        <f>SUMIF(已走货!H:H,A145,已走货!J:J)</f>
        <v>12348</v>
      </c>
      <c r="G145" s="4">
        <f t="shared" si="4"/>
        <v>0</v>
      </c>
      <c r="H145" s="5">
        <f>SUMIF(总接单!E:E,A145,总接单!BX:BX)</f>
        <v>147338.04</v>
      </c>
      <c r="I145" s="5">
        <f>SUMIF(一二代排期!H:H,A145,一二代排期!AQ:AQ)</f>
        <v>0</v>
      </c>
      <c r="J145" s="5">
        <f>SUMIF(三代排期!H:H,A145,三代排期!AQ:AQ)</f>
        <v>0</v>
      </c>
      <c r="K145" s="5">
        <f>SUMIF(蛋糕系列!H:H,A145,蛋糕系列!AQ:AQ)</f>
        <v>0</v>
      </c>
      <c r="L145" s="5">
        <f>SUMIF(已走货!H:H,A145,已走货!AQ:AQ)</f>
        <v>147338.04</v>
      </c>
      <c r="M145" s="4">
        <f t="shared" si="5"/>
        <v>0</v>
      </c>
    </row>
    <row r="146" customHeight="1" spans="1:13">
      <c r="A146" s="2" t="s">
        <v>90</v>
      </c>
      <c r="B146" s="2">
        <f>SUMIF(总接单!E:E,A146,总接单!F:F)</f>
        <v>30000</v>
      </c>
      <c r="C146" s="2">
        <f>SUMIF(一二代排期!H:H,A146,一二代排期!J:J)</f>
        <v>0</v>
      </c>
      <c r="D146" s="2">
        <f>SUMIF(三代排期!H:H,A146,三代排期!J:J)</f>
        <v>0</v>
      </c>
      <c r="E146" s="2">
        <f>SUMIF(蛋糕系列!H:H,A146,蛋糕系列!J:J)</f>
        <v>0</v>
      </c>
      <c r="F146" s="2">
        <f>SUMIF(已走货!H:H,A146,已走货!J:J)</f>
        <v>30000</v>
      </c>
      <c r="G146" s="4">
        <f t="shared" si="4"/>
        <v>0</v>
      </c>
      <c r="H146" s="5">
        <f>SUMIF(总接单!E:E,A146,总接单!BX:BX)</f>
        <v>362700</v>
      </c>
      <c r="I146" s="5">
        <f>SUMIF(一二代排期!H:H,A146,一二代排期!AQ:AQ)</f>
        <v>0</v>
      </c>
      <c r="J146" s="5">
        <f>SUMIF(三代排期!H:H,A146,三代排期!AQ:AQ)</f>
        <v>0</v>
      </c>
      <c r="K146" s="5">
        <f>SUMIF(蛋糕系列!H:H,A146,蛋糕系列!AQ:AQ)</f>
        <v>0</v>
      </c>
      <c r="L146" s="5">
        <f>SUMIF(已走货!H:H,A146,已走货!AQ:AQ)</f>
        <v>362700</v>
      </c>
      <c r="M146" s="4">
        <f t="shared" si="5"/>
        <v>0</v>
      </c>
    </row>
    <row r="147" customHeight="1" spans="1:13">
      <c r="A147" s="2" t="s">
        <v>168</v>
      </c>
      <c r="B147" s="2">
        <f>SUMIF(总接单!E:E,A147,总接单!F:F)</f>
        <v>24192</v>
      </c>
      <c r="C147" s="2">
        <f>SUMIF(一二代排期!H:H,A147,一二代排期!J:J)</f>
        <v>0</v>
      </c>
      <c r="D147" s="2">
        <f>SUMIF(三代排期!H:H,A147,三代排期!J:J)</f>
        <v>2208</v>
      </c>
      <c r="E147" s="2">
        <f>SUMIF(蛋糕系列!H:H,A147,蛋糕系列!J:J)</f>
        <v>0</v>
      </c>
      <c r="F147" s="2">
        <f>SUMIF(已走货!H:H,A147,已走货!J:J)</f>
        <v>21984</v>
      </c>
      <c r="G147" s="4">
        <f t="shared" si="4"/>
        <v>0</v>
      </c>
      <c r="H147" s="5">
        <f>SUMIF(总接单!E:E,A147,总接单!BX:BX)</f>
        <v>253294.8</v>
      </c>
      <c r="I147" s="5">
        <f>SUMIF(一二代排期!H:H,A147,一二代排期!AQ:AQ)</f>
        <v>0</v>
      </c>
      <c r="J147" s="5">
        <f>SUMIF(三代排期!H:H,A147,三代排期!AQ:AQ)</f>
        <v>26694.72</v>
      </c>
      <c r="K147" s="5">
        <f>SUMIF(蛋糕系列!H:H,A147,蛋糕系列!AQ:AQ)</f>
        <v>0</v>
      </c>
      <c r="L147" s="5">
        <f>SUMIF(已走货!H:H,A147,已走货!AQ:AQ)</f>
        <v>226600.08</v>
      </c>
      <c r="M147" s="4">
        <f t="shared" si="5"/>
        <v>0</v>
      </c>
    </row>
    <row r="148" customHeight="1" spans="1:13">
      <c r="A148" s="2" t="s">
        <v>169</v>
      </c>
      <c r="B148" s="2">
        <f>SUMIF(总接单!E:E,A148,总接单!F:F)</f>
        <v>24192</v>
      </c>
      <c r="C148" s="2">
        <f>SUMIF(一二代排期!H:H,A148,一二代排期!J:J)</f>
        <v>0</v>
      </c>
      <c r="D148" s="2">
        <f>SUMIF(三代排期!H:H,A148,三代排期!J:J)</f>
        <v>2208</v>
      </c>
      <c r="E148" s="2">
        <f>SUMIF(蛋糕系列!H:H,A148,蛋糕系列!J:J)</f>
        <v>0</v>
      </c>
      <c r="F148" s="2">
        <f>SUMIF(已走货!H:H,A148,已走货!J:J)</f>
        <v>21984</v>
      </c>
      <c r="G148" s="4">
        <f t="shared" si="4"/>
        <v>0</v>
      </c>
      <c r="H148" s="5">
        <f>SUMIF(总接单!E:E,A148,总接单!BX:BX)</f>
        <v>253294.8</v>
      </c>
      <c r="I148" s="5">
        <f>SUMIF(一二代排期!H:H,A148,一二代排期!AQ:AQ)</f>
        <v>0</v>
      </c>
      <c r="J148" s="5">
        <f>SUMIF(三代排期!H:H,A148,三代排期!AQ:AQ)</f>
        <v>26694.72</v>
      </c>
      <c r="K148" s="5">
        <f>SUMIF(蛋糕系列!H:H,A148,蛋糕系列!AQ:AQ)</f>
        <v>0</v>
      </c>
      <c r="L148" s="5">
        <f>SUMIF(已走货!H:H,A148,已走货!AQ:AQ)</f>
        <v>226600.08</v>
      </c>
      <c r="M148" s="4">
        <f t="shared" si="5"/>
        <v>0</v>
      </c>
    </row>
    <row r="149" customHeight="1" spans="1:13">
      <c r="A149" s="2" t="s">
        <v>170</v>
      </c>
      <c r="B149" s="2">
        <f>SUMIF(总接单!E:E,A149,总接单!F:F)</f>
        <v>24192</v>
      </c>
      <c r="C149" s="2">
        <f>SUMIF(一二代排期!H:H,A149,一二代排期!J:J)</f>
        <v>0</v>
      </c>
      <c r="D149" s="2">
        <f>SUMIF(三代排期!H:H,A149,三代排期!J:J)</f>
        <v>2208</v>
      </c>
      <c r="E149" s="2">
        <f>SUMIF(蛋糕系列!H:H,A149,蛋糕系列!J:J)</f>
        <v>0</v>
      </c>
      <c r="F149" s="2">
        <f>SUMIF(已走货!H:H,A149,已走货!J:J)</f>
        <v>21984</v>
      </c>
      <c r="G149" s="4">
        <f t="shared" si="4"/>
        <v>0</v>
      </c>
      <c r="H149" s="5">
        <f>SUMIF(总接单!E:E,A149,总接单!BX:BX)</f>
        <v>253294.8</v>
      </c>
      <c r="I149" s="5">
        <f>SUMIF(一二代排期!H:H,A149,一二代排期!AQ:AQ)</f>
        <v>0</v>
      </c>
      <c r="J149" s="5">
        <f>SUMIF(三代排期!H:H,A149,三代排期!AQ:AQ)</f>
        <v>26694.72</v>
      </c>
      <c r="K149" s="5">
        <f>SUMIF(蛋糕系列!H:H,A149,蛋糕系列!AQ:AQ)</f>
        <v>0</v>
      </c>
      <c r="L149" s="5">
        <f>SUMIF(已走货!H:H,A149,已走货!AQ:AQ)</f>
        <v>226600.08</v>
      </c>
      <c r="M149" s="4">
        <f t="shared" si="5"/>
        <v>0</v>
      </c>
    </row>
    <row r="150" customHeight="1" spans="1:13">
      <c r="A150" s="2" t="s">
        <v>92</v>
      </c>
      <c r="B150" s="2">
        <f>SUMIF(总接单!E:E,A150,总接单!F:F)</f>
        <v>71104</v>
      </c>
      <c r="C150" s="2">
        <f>SUMIF(一二代排期!H:H,A150,一二代排期!J:J)</f>
        <v>0</v>
      </c>
      <c r="D150" s="2">
        <f>SUMIF(三代排期!H:H,A150,三代排期!J:J)</f>
        <v>33504</v>
      </c>
      <c r="E150" s="2">
        <f>SUMIF(蛋糕系列!H:H,A150,蛋糕系列!J:J)</f>
        <v>0</v>
      </c>
      <c r="F150" s="2">
        <f>SUMIF(已走货!H:H,A150,已走货!J:J)</f>
        <v>37600</v>
      </c>
      <c r="G150" s="4">
        <f t="shared" si="4"/>
        <v>0</v>
      </c>
      <c r="H150" s="5">
        <f>SUMIF(总接单!E:E,A150,总接单!BX:BX)</f>
        <v>460780.28</v>
      </c>
      <c r="I150" s="5">
        <f>SUMIF(一二代排期!H:H,A150,一二代排期!AQ:AQ)</f>
        <v>0</v>
      </c>
      <c r="J150" s="5">
        <f>SUMIF(三代排期!H:H,A150,三代排期!AQ:AQ)</f>
        <v>208625.04</v>
      </c>
      <c r="K150" s="5">
        <f>SUMIF(蛋糕系列!H:H,A150,蛋糕系列!AQ:AQ)</f>
        <v>0</v>
      </c>
      <c r="L150" s="5">
        <f>SUMIF(已走货!H:H,A150,已走货!AQ:AQ)</f>
        <v>252155.24</v>
      </c>
      <c r="M150" s="4">
        <f t="shared" si="5"/>
        <v>0</v>
      </c>
    </row>
    <row r="151" customHeight="1" spans="1:13">
      <c r="A151" s="2" t="s">
        <v>115</v>
      </c>
      <c r="B151" s="2">
        <f>SUMIF(总接单!E:E,A151,总接单!F:F)</f>
        <v>12024</v>
      </c>
      <c r="C151" s="2">
        <f>SUMIF(一二代排期!H:H,A151,一二代排期!J:J)</f>
        <v>0</v>
      </c>
      <c r="D151" s="2">
        <f>SUMIF(三代排期!H:H,A151,三代排期!J:J)</f>
        <v>18</v>
      </c>
      <c r="E151" s="2">
        <f>SUMIF(蛋糕系列!H:H,A151,蛋糕系列!J:J)</f>
        <v>0</v>
      </c>
      <c r="F151" s="2">
        <f>SUMIF(已走货!H:H,A151,已走货!J:J)</f>
        <v>12006</v>
      </c>
      <c r="G151" s="4">
        <f t="shared" si="4"/>
        <v>0</v>
      </c>
      <c r="H151" s="5">
        <f>SUMIF(总接单!E:E,A151,总接单!BX:BX)</f>
        <v>81415.69</v>
      </c>
      <c r="I151" s="5">
        <f>SUMIF(一二代排期!H:H,A151,一二代排期!AQ:AQ)</f>
        <v>0</v>
      </c>
      <c r="J151" s="5">
        <f>SUMIF(三代排期!H:H,A151,三代排期!AQ:AQ)</f>
        <v>0</v>
      </c>
      <c r="K151" s="5">
        <f>SUMIF(蛋糕系列!H:H,A151,蛋糕系列!AQ:AQ)</f>
        <v>0</v>
      </c>
      <c r="L151" s="5">
        <f>SUMIF(已走货!H:H,A151,已走货!AQ:AQ)</f>
        <v>81415.69</v>
      </c>
      <c r="M151" s="4">
        <f t="shared" si="5"/>
        <v>0</v>
      </c>
    </row>
    <row r="152" customHeight="1" spans="1:13">
      <c r="A152" s="2" t="s">
        <v>171</v>
      </c>
      <c r="B152" s="2">
        <f>SUMIF(总接单!E:E,A152,总接单!F:F)</f>
        <v>4896</v>
      </c>
      <c r="C152" s="2">
        <f>SUMIF(一二代排期!H:H,A152,一二代排期!J:J)</f>
        <v>0</v>
      </c>
      <c r="D152" s="2">
        <f>SUMIF(三代排期!H:H,A152,三代排期!J:J)</f>
        <v>4608</v>
      </c>
      <c r="E152" s="2">
        <f>SUMIF(蛋糕系列!H:H,A152,蛋糕系列!J:J)</f>
        <v>0</v>
      </c>
      <c r="F152" s="2">
        <f>SUMIF(已走货!H:H,A152,已走货!J:J)</f>
        <v>288</v>
      </c>
      <c r="G152" s="4">
        <f t="shared" si="4"/>
        <v>0</v>
      </c>
      <c r="H152" s="5">
        <f>SUMIF(总接单!E:E,A152,总接单!BX:BX)</f>
        <v>24261.84</v>
      </c>
      <c r="I152" s="5">
        <f>SUMIF(一二代排期!H:H,A152,一二代排期!AQ:AQ)</f>
        <v>0</v>
      </c>
      <c r="J152" s="5">
        <f>SUMIF(三代排期!H:H,A152,三代排期!AQ:AQ)</f>
        <v>22855.68</v>
      </c>
      <c r="K152" s="5">
        <f>SUMIF(蛋糕系列!H:H,A152,蛋糕系列!AQ:AQ)</f>
        <v>0</v>
      </c>
      <c r="L152" s="5">
        <f>SUMIF(已走货!H:H,A152,已走货!AQ:AQ)</f>
        <v>1406.16</v>
      </c>
      <c r="M152" s="4">
        <f t="shared" si="5"/>
        <v>0</v>
      </c>
    </row>
    <row r="153" customHeight="1" spans="1:13">
      <c r="A153" s="2" t="s">
        <v>172</v>
      </c>
      <c r="B153" s="2">
        <f>SUMIF(总接单!E:E,A153,总接单!F:F)</f>
        <v>4896</v>
      </c>
      <c r="C153" s="2">
        <f>SUMIF(一二代排期!H:H,A153,一二代排期!J:J)</f>
        <v>0</v>
      </c>
      <c r="D153" s="2">
        <f>SUMIF(三代排期!H:H,A153,三代排期!J:J)</f>
        <v>4608</v>
      </c>
      <c r="E153" s="2">
        <f>SUMIF(蛋糕系列!H:H,A153,蛋糕系列!J:J)</f>
        <v>0</v>
      </c>
      <c r="F153" s="2">
        <f>SUMIF(已走货!H:H,A153,已走货!J:J)</f>
        <v>288</v>
      </c>
      <c r="G153" s="4">
        <f t="shared" si="4"/>
        <v>0</v>
      </c>
      <c r="H153" s="5">
        <f>SUMIF(总接单!E:E,A153,总接单!BX:BX)</f>
        <v>24261.84</v>
      </c>
      <c r="I153" s="5">
        <f>SUMIF(一二代排期!H:H,A153,一二代排期!AQ:AQ)</f>
        <v>0</v>
      </c>
      <c r="J153" s="5">
        <f>SUMIF(三代排期!H:H,A153,三代排期!AQ:AQ)</f>
        <v>22855.68</v>
      </c>
      <c r="K153" s="5">
        <f>SUMIF(蛋糕系列!H:H,A153,蛋糕系列!AQ:AQ)</f>
        <v>0</v>
      </c>
      <c r="L153" s="5">
        <f>SUMIF(已走货!H:H,A153,已走货!AQ:AQ)</f>
        <v>1406.16</v>
      </c>
      <c r="M153" s="4">
        <f t="shared" si="5"/>
        <v>0</v>
      </c>
    </row>
    <row r="154" customHeight="1" spans="1:13">
      <c r="A154" s="2" t="s">
        <v>173</v>
      </c>
      <c r="B154" s="2">
        <f>SUMIF(总接单!E:E,A154,总接单!F:F)</f>
        <v>4896</v>
      </c>
      <c r="C154" s="2">
        <f>SUMIF(一二代排期!H:H,A154,一二代排期!J:J)</f>
        <v>0</v>
      </c>
      <c r="D154" s="2">
        <f>SUMIF(三代排期!H:H,A154,三代排期!J:J)</f>
        <v>4608</v>
      </c>
      <c r="E154" s="2">
        <f>SUMIF(蛋糕系列!H:H,A154,蛋糕系列!J:J)</f>
        <v>0</v>
      </c>
      <c r="F154" s="2">
        <f>SUMIF(已走货!H:H,A154,已走货!J:J)</f>
        <v>288</v>
      </c>
      <c r="G154" s="4">
        <f t="shared" si="4"/>
        <v>0</v>
      </c>
      <c r="H154" s="5">
        <f>SUMIF(总接单!E:E,A154,总接单!BX:BX)</f>
        <v>24261.84</v>
      </c>
      <c r="I154" s="5">
        <f>SUMIF(一二代排期!H:H,A154,一二代排期!AQ:AQ)</f>
        <v>0</v>
      </c>
      <c r="J154" s="5">
        <f>SUMIF(三代排期!H:H,A154,三代排期!AQ:AQ)</f>
        <v>22855.68</v>
      </c>
      <c r="K154" s="5">
        <f>SUMIF(蛋糕系列!H:H,A154,蛋糕系列!AQ:AQ)</f>
        <v>0</v>
      </c>
      <c r="L154" s="5">
        <f>SUMIF(已走货!H:H,A154,已走货!AQ:AQ)</f>
        <v>1406.16</v>
      </c>
      <c r="M154" s="4">
        <f t="shared" si="5"/>
        <v>0</v>
      </c>
    </row>
    <row r="155" customHeight="1" spans="1:13">
      <c r="A155" s="2" t="s">
        <v>93</v>
      </c>
      <c r="B155" s="2">
        <f>SUMIF(总接单!E:E,A155,总接单!F:F)</f>
        <v>22200</v>
      </c>
      <c r="C155" s="2">
        <f>SUMIF(一二代排期!H:H,A155,一二代排期!J:J)</f>
        <v>0</v>
      </c>
      <c r="D155" s="2">
        <f>SUMIF(三代排期!H:H,A155,三代排期!J:J)</f>
        <v>7500</v>
      </c>
      <c r="E155" s="2">
        <f>SUMIF(蛋糕系列!H:H,A155,蛋糕系列!J:J)</f>
        <v>0</v>
      </c>
      <c r="F155" s="2">
        <f>SUMIF(已走货!H:H,A155,已走货!J:J)</f>
        <v>14700</v>
      </c>
      <c r="G155" s="4">
        <f t="shared" si="4"/>
        <v>0</v>
      </c>
      <c r="H155" s="5">
        <f>SUMIF(总接单!E:E,A155,总接单!BX:BX)</f>
        <v>104950.5</v>
      </c>
      <c r="I155" s="5">
        <f>SUMIF(一二代排期!H:H,A155,一二代排期!AQ:AQ)</f>
        <v>0</v>
      </c>
      <c r="J155" s="5">
        <f>SUMIF(三代排期!H:H,A155,三代排期!AQ:AQ)</f>
        <v>35456.25</v>
      </c>
      <c r="K155" s="5">
        <f>SUMIF(蛋糕系列!H:H,A155,蛋糕系列!AQ:AQ)</f>
        <v>0</v>
      </c>
      <c r="L155" s="5">
        <f>SUMIF(已走货!H:H,A155,已走货!AQ:AQ)</f>
        <v>69494.25</v>
      </c>
      <c r="M155" s="4">
        <f t="shared" si="5"/>
        <v>0</v>
      </c>
    </row>
    <row r="156" customHeight="1" spans="1:13">
      <c r="A156" s="2" t="s">
        <v>94</v>
      </c>
      <c r="B156" s="2">
        <f>SUMIF(总接单!E:E,A156,总接单!F:F)</f>
        <v>442752</v>
      </c>
      <c r="C156" s="2">
        <f>SUMIF(一二代排期!H:H,A156,一二代排期!J:J)</f>
        <v>0</v>
      </c>
      <c r="D156" s="2">
        <f>SUMIF(三代排期!H:H,A156,三代排期!J:J)</f>
        <v>193560</v>
      </c>
      <c r="E156" s="2">
        <f>SUMIF(蛋糕系列!H:H,A156,蛋糕系列!J:J)</f>
        <v>0</v>
      </c>
      <c r="F156" s="2">
        <f>SUMIF(已走货!H:H,A156,已走货!J:J)</f>
        <v>249192</v>
      </c>
      <c r="G156" s="4">
        <f t="shared" si="4"/>
        <v>0</v>
      </c>
      <c r="H156" s="5">
        <f>SUMIF(总接单!E:E,A156,总接单!BX:BX)</f>
        <v>2105964.54</v>
      </c>
      <c r="I156" s="5">
        <f>SUMIF(一二代排期!H:H,A156,一二代排期!AQ:AQ)</f>
        <v>0</v>
      </c>
      <c r="J156" s="5">
        <f>SUMIF(三代排期!H:H,A156,三代排期!AQ:AQ)</f>
        <v>915006.54</v>
      </c>
      <c r="K156" s="5">
        <f>SUMIF(蛋糕系列!H:H,A156,蛋糕系列!AQ:AQ)</f>
        <v>0</v>
      </c>
      <c r="L156" s="5">
        <f>SUMIF(已走货!H:H,A156,已走货!AQ:AQ)</f>
        <v>1190958</v>
      </c>
      <c r="M156" s="4">
        <f t="shared" si="5"/>
        <v>0</v>
      </c>
    </row>
    <row r="157" customHeight="1" spans="1:13">
      <c r="A157" s="2" t="s">
        <v>197</v>
      </c>
      <c r="B157" s="2">
        <f>SUMIF(总接单!E:E,A157,总接单!F:F)</f>
        <v>23976</v>
      </c>
      <c r="C157" s="2">
        <f>SUMIF(一二代排期!H:H,A157,一二代排期!J:J)</f>
        <v>0</v>
      </c>
      <c r="D157" s="2">
        <f>SUMIF(三代排期!H:H,A157,三代排期!J:J)</f>
        <v>23976</v>
      </c>
      <c r="E157" s="2">
        <f>SUMIF(蛋糕系列!H:H,A157,蛋糕系列!J:J)</f>
        <v>0</v>
      </c>
      <c r="F157" s="2">
        <f>SUMIF(已走货!H:H,A157,已走货!J:J)</f>
        <v>0</v>
      </c>
      <c r="G157" s="4">
        <f t="shared" si="4"/>
        <v>0</v>
      </c>
      <c r="H157" s="5">
        <f>SUMIF(总接单!E:E,A157,总接单!BX:BX)</f>
        <v>130069.8</v>
      </c>
      <c r="I157" s="5">
        <f>SUMIF(一二代排期!H:H,A157,一二代排期!AQ:AQ)</f>
        <v>0</v>
      </c>
      <c r="J157" s="5">
        <f>SUMIF(三代排期!H:H,A157,三代排期!AQ:AQ)</f>
        <v>130069.8</v>
      </c>
      <c r="K157" s="5">
        <f>SUMIF(蛋糕系列!H:H,A157,蛋糕系列!AQ:AQ)</f>
        <v>0</v>
      </c>
      <c r="L157" s="5">
        <f>SUMIF(已走货!H:H,A157,已走货!AQ:AQ)</f>
        <v>0</v>
      </c>
      <c r="M157" s="4">
        <f t="shared" si="5"/>
        <v>0</v>
      </c>
    </row>
    <row r="158" customHeight="1" spans="1:13">
      <c r="A158" s="2" t="s">
        <v>95</v>
      </c>
      <c r="B158" s="2">
        <f>SUMIF(总接单!E:E,A158,总接单!F:F)</f>
        <v>40159</v>
      </c>
      <c r="C158" s="2">
        <f>SUMIF(一二代排期!H:H,A158,一二代排期!J:J)</f>
        <v>0</v>
      </c>
      <c r="D158" s="2">
        <f>SUMIF(三代排期!H:H,A158,三代排期!J:J)</f>
        <v>28763</v>
      </c>
      <c r="E158" s="2">
        <f>SUMIF(蛋糕系列!H:H,A158,蛋糕系列!J:J)</f>
        <v>0</v>
      </c>
      <c r="F158" s="2">
        <f>SUMIF(已走货!H:H,A158,已走货!J:J)</f>
        <v>11396</v>
      </c>
      <c r="G158" s="4">
        <f t="shared" si="4"/>
        <v>0</v>
      </c>
      <c r="H158" s="5">
        <f>SUMIF(总接单!E:E,A158,总接单!BX:BX)</f>
        <v>969303.66</v>
      </c>
      <c r="I158" s="5">
        <f>SUMIF(一二代排期!H:H,A158,一二代排期!AQ:AQ)</f>
        <v>0</v>
      </c>
      <c r="J158" s="5">
        <f>SUMIF(三代排期!H:H,A158,三代排期!AQ:AQ)</f>
        <v>689139.3</v>
      </c>
      <c r="K158" s="5">
        <f>SUMIF(蛋糕系列!H:H,A158,蛋糕系列!AQ:AQ)</f>
        <v>0</v>
      </c>
      <c r="L158" s="5">
        <f>SUMIF(已走货!H:H,A158,已走货!AQ:AQ)</f>
        <v>280164.36</v>
      </c>
      <c r="M158" s="4">
        <f t="shared" si="5"/>
        <v>0</v>
      </c>
    </row>
    <row r="159" customHeight="1" spans="1:13">
      <c r="A159" s="2" t="s">
        <v>174</v>
      </c>
      <c r="B159" s="2">
        <f>SUMIF(总接单!E:E,A159,总接单!F:F)</f>
        <v>4980</v>
      </c>
      <c r="C159" s="2">
        <f>SUMIF(一二代排期!H:H,A159,一二代排期!J:J)</f>
        <v>0</v>
      </c>
      <c r="D159" s="2">
        <f>SUMIF(三代排期!H:H,A159,三代排期!J:J)</f>
        <v>4740</v>
      </c>
      <c r="E159" s="2">
        <f>SUMIF(蛋糕系列!H:H,A159,蛋糕系列!J:J)</f>
        <v>0</v>
      </c>
      <c r="F159" s="2">
        <f>SUMIF(已走货!H:H,A159,已走货!J:J)</f>
        <v>240</v>
      </c>
      <c r="G159" s="4">
        <f t="shared" si="4"/>
        <v>0</v>
      </c>
      <c r="H159" s="5">
        <f>SUMIF(总接单!E:E,A159,总接单!BX:BX)</f>
        <v>99189.15</v>
      </c>
      <c r="I159" s="5">
        <f>SUMIF(一二代排期!H:H,A159,一二代排期!AQ:AQ)</f>
        <v>0</v>
      </c>
      <c r="J159" s="5">
        <f>SUMIF(三代排期!H:H,A159,三代排期!AQ:AQ)</f>
        <v>94408.95</v>
      </c>
      <c r="K159" s="5">
        <f>SUMIF(蛋糕系列!H:H,A159,蛋糕系列!AQ:AQ)</f>
        <v>0</v>
      </c>
      <c r="L159" s="5">
        <f>SUMIF(已走货!H:H,A159,已走货!AQ:AQ)</f>
        <v>4780.2</v>
      </c>
      <c r="M159" s="4">
        <f t="shared" si="5"/>
        <v>0</v>
      </c>
    </row>
    <row r="160" s="2" customFormat="1" customHeight="1" spans="1:13">
      <c r="A160" s="2" t="s">
        <v>96</v>
      </c>
      <c r="B160" s="2">
        <f>SUMIF(总接单!E:E,A160,总接单!F:F)</f>
        <v>16068</v>
      </c>
      <c r="C160" s="2">
        <f>SUMIF(一二代排期!H:H,A160,一二代排期!J:J)</f>
        <v>0</v>
      </c>
      <c r="D160" s="2">
        <f>SUMIF(三代排期!H:H,A160,三代排期!J:J)</f>
        <v>8064</v>
      </c>
      <c r="E160" s="2">
        <f>SUMIF(蛋糕系列!H:H,A160,蛋糕系列!J:J)</f>
        <v>0</v>
      </c>
      <c r="F160" s="2">
        <f>SUMIF(已走货!H:H,A160,已走货!J:J)</f>
        <v>8004</v>
      </c>
      <c r="G160" s="4">
        <f t="shared" si="4"/>
        <v>0</v>
      </c>
      <c r="H160" s="5">
        <f>SUMIF(总接单!E:E,A160,总接单!BX:BX)</f>
        <v>74323.74</v>
      </c>
      <c r="I160" s="5">
        <f>SUMIF(一二代排期!H:H,A160,一二代排期!AQ:AQ)</f>
        <v>0</v>
      </c>
      <c r="J160" s="5">
        <f>SUMIF(三代排期!H:H,A160,三代排期!AQ:AQ)</f>
        <v>36872.64</v>
      </c>
      <c r="K160" s="5">
        <f>SUMIF(蛋糕系列!H:H,A160,蛋糕系列!AQ:AQ)</f>
        <v>0</v>
      </c>
      <c r="L160" s="5">
        <f>SUMIF(已走货!H:H,A160,已走货!AQ:AQ)</f>
        <v>37451.1</v>
      </c>
      <c r="M160" s="4">
        <f t="shared" si="5"/>
        <v>0</v>
      </c>
    </row>
    <row r="161" s="2" customFormat="1" customHeight="1" spans="1:13">
      <c r="A161" s="2" t="s">
        <v>97</v>
      </c>
      <c r="B161" s="2">
        <f>SUMIF(总接单!E:E,A161,总接单!F:F)</f>
        <v>68928</v>
      </c>
      <c r="C161" s="2">
        <f>SUMIF(一二代排期!H:H,A161,一二代排期!J:J)</f>
        <v>0</v>
      </c>
      <c r="D161" s="2">
        <f>SUMIF(三代排期!H:H,A161,三代排期!J:J)</f>
        <v>53016</v>
      </c>
      <c r="E161" s="2">
        <f>SUMIF(蛋糕系列!H:H,A161,蛋糕系列!J:J)</f>
        <v>0</v>
      </c>
      <c r="F161" s="2">
        <f>SUMIF(已走货!H:H,A161,已走货!J:J)</f>
        <v>15912</v>
      </c>
      <c r="G161" s="4">
        <f t="shared" si="4"/>
        <v>0</v>
      </c>
      <c r="H161" s="5">
        <f>SUMIF(总接单!E:E,A161,总接单!BX:BX)</f>
        <v>329956.56</v>
      </c>
      <c r="I161" s="5">
        <f>SUMIF(一二代排期!H:H,A161,一二代排期!AQ:AQ)</f>
        <v>0</v>
      </c>
      <c r="J161" s="5">
        <f>SUMIF(三代排期!H:H,A161,三代排期!AQ:AQ)</f>
        <v>252056.04</v>
      </c>
      <c r="K161" s="5">
        <f>SUMIF(蛋糕系列!H:H,A161,蛋糕系列!AQ:AQ)</f>
        <v>0</v>
      </c>
      <c r="L161" s="5">
        <f>SUMIF(已走货!H:H,A161,已走货!AQ:AQ)</f>
        <v>77900.52</v>
      </c>
      <c r="M161" s="4">
        <f t="shared" si="5"/>
        <v>0</v>
      </c>
    </row>
    <row r="162" s="2" customFormat="1" customHeight="1" spans="1:13">
      <c r="A162" s="2" t="s">
        <v>98</v>
      </c>
      <c r="B162" s="2">
        <f>SUMIF(总接单!E:E,A162,总接单!F:F)</f>
        <v>19488</v>
      </c>
      <c r="C162" s="2">
        <f>SUMIF(一二代排期!H:H,A162,一二代排期!J:J)</f>
        <v>0</v>
      </c>
      <c r="D162" s="2">
        <f>SUMIF(三代排期!H:H,A162,三代排期!J:J)</f>
        <v>8028</v>
      </c>
      <c r="E162" s="2">
        <f>SUMIF(蛋糕系列!H:H,A162,蛋糕系列!J:J)</f>
        <v>0</v>
      </c>
      <c r="F162" s="2">
        <f>SUMIF(已走货!H:H,A162,已走货!J:J)</f>
        <v>11460</v>
      </c>
      <c r="G162" s="4">
        <f t="shared" si="4"/>
        <v>0</v>
      </c>
      <c r="H162" s="5">
        <f>SUMIF(总接单!E:E,A162,总接单!BX:BX)</f>
        <v>237121.17</v>
      </c>
      <c r="I162" s="5">
        <f>SUMIF(一二代排期!H:H,A162,一二代排期!AQ:AQ)</f>
        <v>0</v>
      </c>
      <c r="J162" s="5">
        <f>SUMIF(三代排期!H:H,A162,三代排期!AQ:AQ)</f>
        <v>95617.02</v>
      </c>
      <c r="K162" s="5">
        <f>SUMIF(蛋糕系列!H:H,A162,蛋糕系列!AQ:AQ)</f>
        <v>0</v>
      </c>
      <c r="L162" s="5">
        <f>SUMIF(已走货!H:H,A162,已走货!AQ:AQ)</f>
        <v>141504.15</v>
      </c>
      <c r="M162" s="4">
        <f t="shared" si="5"/>
        <v>0</v>
      </c>
    </row>
    <row r="163" s="2" customFormat="1" customHeight="1" spans="1:13">
      <c r="A163" s="2" t="s">
        <v>175</v>
      </c>
      <c r="B163" s="2">
        <f>SUMIF(总接单!E:E,A163,总接单!F:F)</f>
        <v>2496</v>
      </c>
      <c r="C163" s="2">
        <f>SUMIF(一二代排期!H:H,A163,一二代排期!J:J)</f>
        <v>0</v>
      </c>
      <c r="D163" s="2">
        <f>SUMIF(三代排期!H:H,A163,三代排期!J:J)</f>
        <v>2400</v>
      </c>
      <c r="E163" s="2">
        <f>SUMIF(蛋糕系列!H:H,A163,蛋糕系列!J:J)</f>
        <v>0</v>
      </c>
      <c r="F163" s="2">
        <f>SUMIF(已走货!H:H,A163,已走货!J:J)</f>
        <v>96</v>
      </c>
      <c r="G163" s="4">
        <f t="shared" si="4"/>
        <v>0</v>
      </c>
      <c r="H163" s="5">
        <f>SUMIF(总接单!E:E,A163,总接单!BX:BX)</f>
        <v>25147.2</v>
      </c>
      <c r="I163" s="5">
        <f>SUMIF(一二代排期!H:H,A163,一二代排期!AQ:AQ)</f>
        <v>0</v>
      </c>
      <c r="J163" s="5">
        <f>SUMIF(三代排期!H:H,A163,三代排期!AQ:AQ)</f>
        <v>24180</v>
      </c>
      <c r="K163" s="5">
        <f>SUMIF(蛋糕系列!H:H,A163,蛋糕系列!AQ:AQ)</f>
        <v>0</v>
      </c>
      <c r="L163" s="5">
        <f>SUMIF(已走货!H:H,A163,已走货!AQ:AQ)</f>
        <v>967.2</v>
      </c>
      <c r="M163" s="4">
        <f t="shared" si="5"/>
        <v>0</v>
      </c>
    </row>
    <row r="164" s="2" customFormat="1" customHeight="1" spans="1:13">
      <c r="A164" s="2" t="s">
        <v>176</v>
      </c>
      <c r="B164" s="2">
        <f>SUMIF(总接单!E:E,A164,总接单!F:F)</f>
        <v>2496</v>
      </c>
      <c r="C164" s="2">
        <f>SUMIF(一二代排期!H:H,A164,一二代排期!J:J)</f>
        <v>0</v>
      </c>
      <c r="D164" s="2">
        <f>SUMIF(三代排期!H:H,A164,三代排期!J:J)</f>
        <v>2400</v>
      </c>
      <c r="E164" s="2">
        <f>SUMIF(蛋糕系列!H:H,A164,蛋糕系列!J:J)</f>
        <v>0</v>
      </c>
      <c r="F164" s="2">
        <f>SUMIF(已走货!H:H,A164,已走货!J:J)</f>
        <v>96</v>
      </c>
      <c r="G164" s="4">
        <f t="shared" si="4"/>
        <v>0</v>
      </c>
      <c r="H164" s="5">
        <f>SUMIF(总接单!E:E,A164,总接单!BX:BX)</f>
        <v>25147.2</v>
      </c>
      <c r="I164" s="5">
        <f>SUMIF(一二代排期!H:H,A164,一二代排期!AQ:AQ)</f>
        <v>0</v>
      </c>
      <c r="J164" s="5">
        <f>SUMIF(三代排期!H:H,A164,三代排期!AQ:AQ)</f>
        <v>24180</v>
      </c>
      <c r="K164" s="5">
        <f>SUMIF(蛋糕系列!H:H,A164,蛋糕系列!AQ:AQ)</f>
        <v>0</v>
      </c>
      <c r="L164" s="5">
        <f>SUMIF(已走货!H:H,A164,已走货!AQ:AQ)</f>
        <v>967.2</v>
      </c>
      <c r="M164" s="4">
        <f t="shared" si="5"/>
        <v>0</v>
      </c>
    </row>
    <row r="165" s="2" customFormat="1" customHeight="1" spans="1:13">
      <c r="A165" s="2" t="s">
        <v>177</v>
      </c>
      <c r="B165" s="2">
        <f>SUMIF(总接单!E:E,A165,总接单!F:F)</f>
        <v>2496</v>
      </c>
      <c r="C165" s="2">
        <f>SUMIF(一二代排期!H:H,A165,一二代排期!J:J)</f>
        <v>0</v>
      </c>
      <c r="D165" s="2">
        <f>SUMIF(三代排期!H:H,A165,三代排期!J:J)</f>
        <v>2400</v>
      </c>
      <c r="E165" s="2">
        <f>SUMIF(蛋糕系列!H:H,A165,蛋糕系列!J:J)</f>
        <v>0</v>
      </c>
      <c r="F165" s="2">
        <f>SUMIF(已走货!H:H,A165,已走货!J:J)</f>
        <v>96</v>
      </c>
      <c r="G165" s="4">
        <f t="shared" si="4"/>
        <v>0</v>
      </c>
      <c r="H165" s="5">
        <f>SUMIF(总接单!E:E,A165,总接单!BX:BX)</f>
        <v>25147.2</v>
      </c>
      <c r="I165" s="5">
        <f>SUMIF(一二代排期!H:H,A165,一二代排期!AQ:AQ)</f>
        <v>0</v>
      </c>
      <c r="J165" s="5">
        <f>SUMIF(三代排期!H:H,A165,三代排期!AQ:AQ)</f>
        <v>24180</v>
      </c>
      <c r="K165" s="5">
        <f>SUMIF(蛋糕系列!H:H,A165,蛋糕系列!AQ:AQ)</f>
        <v>0</v>
      </c>
      <c r="L165" s="5">
        <f>SUMIF(已走货!H:H,A165,已走货!AQ:AQ)</f>
        <v>967.2</v>
      </c>
      <c r="M165" s="4">
        <f t="shared" si="5"/>
        <v>0</v>
      </c>
    </row>
    <row r="166" customHeight="1" spans="1:13">
      <c r="A166" s="2" t="s">
        <v>1029</v>
      </c>
      <c r="B166" s="2">
        <f>SUMIF(总接单!E:E,A166,总接单!F:F)</f>
        <v>234</v>
      </c>
      <c r="C166" s="2">
        <f>SUMIF(一二代排期!H:H,A166,一二代排期!J:J)</f>
        <v>0</v>
      </c>
      <c r="D166" s="2">
        <f>SUMIF(三代排期!H:H,A166,三代排期!J:J)</f>
        <v>234</v>
      </c>
      <c r="E166" s="2">
        <f>SUMIF(蛋糕系列!H:H,A166,蛋糕系列!J:J)</f>
        <v>0</v>
      </c>
      <c r="F166" s="2">
        <f>SUMIF(已走货!H:H,A166,已走货!J:J)</f>
        <v>0</v>
      </c>
      <c r="G166" s="4">
        <f t="shared" si="4"/>
        <v>0</v>
      </c>
      <c r="H166" s="5">
        <f>SUMIF(总接单!E:E,A166,总接单!BX:BX)</f>
        <v>0</v>
      </c>
      <c r="I166" s="5">
        <f>SUMIF(一二代排期!H:H,A166,一二代排期!AQ:AQ)</f>
        <v>0</v>
      </c>
      <c r="J166" s="5">
        <f>SUMIF(三代排期!H:H,A166,三代排期!AQ:AQ)</f>
        <v>0</v>
      </c>
      <c r="K166" s="5">
        <f>SUMIF(蛋糕系列!H:H,A166,蛋糕系列!AQ:AQ)</f>
        <v>0</v>
      </c>
      <c r="L166" s="5">
        <f>SUMIF(已走货!H:H,A166,已走货!AQ:AQ)</f>
        <v>0</v>
      </c>
      <c r="M166" s="4">
        <f t="shared" si="5"/>
        <v>0</v>
      </c>
    </row>
    <row r="167" customHeight="1" spans="1:13">
      <c r="A167" s="2" t="s">
        <v>202</v>
      </c>
      <c r="B167" s="2">
        <f>SUMIF(总接单!E:E,A167,总接单!F:F)</f>
        <v>36000</v>
      </c>
      <c r="C167" s="2">
        <f>SUMIF(一二代排期!H:H,A167,一二代排期!J:J)</f>
        <v>0</v>
      </c>
      <c r="D167" s="2">
        <f>SUMIF(三代排期!H:H,A167,三代排期!J:J)</f>
        <v>36000</v>
      </c>
      <c r="E167" s="2">
        <f>SUMIF(蛋糕系列!H:H,A167,蛋糕系列!J:J)</f>
        <v>0</v>
      </c>
      <c r="F167" s="2">
        <f>SUMIF(已走货!H:H,A167,已走货!J:J)</f>
        <v>0</v>
      </c>
      <c r="G167" s="4">
        <f t="shared" si="4"/>
        <v>0</v>
      </c>
      <c r="H167" s="5">
        <f>SUMIF(总接单!E:E,A167,总接单!BX:BX)</f>
        <v>223200</v>
      </c>
      <c r="I167" s="5">
        <f>SUMIF(一二代排期!H:H,A167,一二代排期!AQ:AQ)</f>
        <v>0</v>
      </c>
      <c r="J167" s="5">
        <f>SUMIF(三代排期!H:H,A167,三代排期!AQ:AQ)</f>
        <v>223200</v>
      </c>
      <c r="K167" s="5">
        <f>SUMIF(蛋糕系列!H:H,A167,蛋糕系列!AQ:AQ)</f>
        <v>0</v>
      </c>
      <c r="L167" s="5">
        <f>SUMIF(已走货!H:H,A167,已走货!AQ:AQ)</f>
        <v>0</v>
      </c>
      <c r="M167" s="4">
        <f t="shared" si="5"/>
        <v>0</v>
      </c>
    </row>
    <row r="168" customHeight="1" spans="1:13">
      <c r="A168" s="2" t="s">
        <v>203</v>
      </c>
      <c r="B168" s="2">
        <f>SUMIF(总接单!E:E,A168,总接单!F:F)</f>
        <v>201</v>
      </c>
      <c r="C168" s="2">
        <f>SUMIF(一二代排期!H:H,A168,一二代排期!J:J)</f>
        <v>0</v>
      </c>
      <c r="D168" s="2">
        <f>SUMIF(三代排期!H:H,A168,三代排期!J:J)</f>
        <v>201</v>
      </c>
      <c r="E168" s="2">
        <f>SUMIF(蛋糕系列!H:H,A168,蛋糕系列!J:J)</f>
        <v>0</v>
      </c>
      <c r="F168" s="2">
        <f>SUMIF(已走货!H:H,A168,已走货!J:J)</f>
        <v>0</v>
      </c>
      <c r="G168" s="4">
        <f t="shared" si="4"/>
        <v>0</v>
      </c>
      <c r="H168" s="5">
        <f>SUMIF(总接单!E:E,A168,总接单!BX:BX)</f>
        <v>0</v>
      </c>
      <c r="I168" s="5">
        <f>SUMIF(一二代排期!H:H,A168,一二代排期!AQ:AQ)</f>
        <v>0</v>
      </c>
      <c r="J168" s="5">
        <f>SUMIF(三代排期!H:H,A168,三代排期!AQ:AQ)</f>
        <v>0</v>
      </c>
      <c r="K168" s="5">
        <f>SUMIF(蛋糕系列!H:H,A168,蛋糕系列!AQ:AQ)</f>
        <v>0</v>
      </c>
      <c r="L168" s="5">
        <f>SUMIF(已走货!H:H,A168,已走货!AQ:AQ)</f>
        <v>0</v>
      </c>
      <c r="M168" s="4">
        <f t="shared" si="5"/>
        <v>0</v>
      </c>
    </row>
    <row r="169" customHeight="1" spans="1:13">
      <c r="A169" s="2" t="s">
        <v>205</v>
      </c>
      <c r="B169" s="2">
        <f>SUMIF(总接单!E:E,A169,总接单!F:F)</f>
        <v>10050</v>
      </c>
      <c r="C169" s="2">
        <f>SUMIF(一二代排期!H:H,A169,一二代排期!J:J)</f>
        <v>0</v>
      </c>
      <c r="D169" s="2">
        <f>SUMIF(三代排期!H:H,A169,三代排期!J:J)</f>
        <v>10050</v>
      </c>
      <c r="E169" s="2">
        <f>SUMIF(蛋糕系列!H:H,A169,蛋糕系列!J:J)</f>
        <v>0</v>
      </c>
      <c r="F169" s="2">
        <f>SUMIF(已走货!H:H,A169,已走货!J:J)</f>
        <v>0</v>
      </c>
      <c r="G169" s="4">
        <f t="shared" si="4"/>
        <v>0</v>
      </c>
      <c r="H169" s="5">
        <f>SUMIF(总接单!E:E,A169,总接单!BX:BX)</f>
        <v>49069.13</v>
      </c>
      <c r="I169" s="5">
        <f>SUMIF(一二代排期!H:H,A169,一二代排期!AQ:AQ)</f>
        <v>0</v>
      </c>
      <c r="J169" s="5">
        <f>SUMIF(三代排期!H:H,A169,三代排期!AQ:AQ)</f>
        <v>49069.13</v>
      </c>
      <c r="K169" s="5">
        <f>SUMIF(蛋糕系列!H:H,A169,蛋糕系列!AQ:AQ)</f>
        <v>0</v>
      </c>
      <c r="L169" s="5">
        <f>SUMIF(已走货!H:H,A169,已走货!AQ:AQ)</f>
        <v>0</v>
      </c>
      <c r="M169" s="4">
        <f t="shared" si="5"/>
        <v>0</v>
      </c>
    </row>
    <row r="170" customHeight="1" spans="1:13">
      <c r="A170" s="2" t="s">
        <v>206</v>
      </c>
      <c r="B170" s="2">
        <f>SUMIF(总接单!E:E,A170,总接单!F:F)</f>
        <v>40104</v>
      </c>
      <c r="C170" s="2">
        <f>SUMIF(一二代排期!H:H,A170,一二代排期!J:J)</f>
        <v>0</v>
      </c>
      <c r="D170" s="2">
        <f>SUMIF(三代排期!H:H,A170,三代排期!J:J)</f>
        <v>0</v>
      </c>
      <c r="E170" s="2">
        <f>SUMIF(蛋糕系列!H:H,A170,蛋糕系列!J:J)</f>
        <v>40104</v>
      </c>
      <c r="F170" s="2">
        <f>SUMIF(已走货!H:H,A170,已走货!J:J)</f>
        <v>0</v>
      </c>
      <c r="G170" s="4">
        <f t="shared" si="4"/>
        <v>0</v>
      </c>
      <c r="H170" s="5">
        <f>SUMIF(总接单!E:E,A170,总接单!BX:BX)</f>
        <v>344994.66</v>
      </c>
      <c r="I170" s="5">
        <f>SUMIF(一二代排期!H:H,A170,一二代排期!AQ:AQ)</f>
        <v>0</v>
      </c>
      <c r="J170" s="5">
        <f>SUMIF(三代排期!H:H,A170,三代排期!AQ:AQ)</f>
        <v>0</v>
      </c>
      <c r="K170" s="5">
        <f>SUMIF(蛋糕系列!H:H,A170,蛋糕系列!AQ:AQ)</f>
        <v>344994.66</v>
      </c>
      <c r="L170" s="5">
        <f>SUMIF(已走货!H:H,A170,已走货!AQ:AQ)</f>
        <v>0</v>
      </c>
      <c r="M170" s="4">
        <f t="shared" si="5"/>
        <v>0</v>
      </c>
    </row>
    <row r="171" customHeight="1" spans="1:13">
      <c r="B171" s="2">
        <f>SUMIF(总接单!E:E,A171,总接单!F:F)</f>
        <v>0</v>
      </c>
      <c r="C171" s="2">
        <f>SUMIF(一二代排期!H:H,A171,一二代排期!J:J)</f>
        <v>0</v>
      </c>
      <c r="D171" s="2">
        <f>SUMIF(三代排期!H:H,A171,三代排期!J:J)</f>
        <v>0</v>
      </c>
      <c r="E171" s="2">
        <f>SUMIF(蛋糕系列!H:H,A171,蛋糕系列!J:J)</f>
        <v>0</v>
      </c>
      <c r="F171" s="2">
        <f>SUMIF(已走货!H:H,A171,已走货!J:J)</f>
        <v>0</v>
      </c>
      <c r="G171" s="4">
        <f t="shared" si="4"/>
        <v>0</v>
      </c>
      <c r="H171" s="5">
        <f>SUMIF(总接单!E:E,A171,总接单!BX:BX)</f>
        <v>0</v>
      </c>
      <c r="I171" s="5">
        <f>SUMIF(一二代排期!H:H,A171,一二代排期!AQ:AQ)</f>
        <v>0</v>
      </c>
      <c r="J171" s="5">
        <f>SUMIF(三代排期!H:H,A171,三代排期!AQ:AQ)</f>
        <v>0</v>
      </c>
      <c r="K171" s="5">
        <f>SUMIF(蛋糕系列!H:H,A171,蛋糕系列!AQ:AQ)</f>
        <v>0</v>
      </c>
      <c r="L171" s="5">
        <f>SUMIF(已走货!H:H,A171,已走货!AQ:AQ)</f>
        <v>0</v>
      </c>
      <c r="M171" s="4">
        <f t="shared" si="5"/>
        <v>0</v>
      </c>
    </row>
    <row r="172" customHeight="1" spans="1:13">
      <c r="B172" s="2">
        <f>SUMIF(总接单!E:E,A172,总接单!F:F)</f>
        <v>0</v>
      </c>
      <c r="C172" s="2">
        <f>SUMIF(一二代排期!H:H,A172,一二代排期!J:J)</f>
        <v>0</v>
      </c>
      <c r="D172" s="2">
        <f>SUMIF(三代排期!H:H,A172,三代排期!J:J)</f>
        <v>0</v>
      </c>
      <c r="E172" s="2">
        <f>SUMIF(蛋糕系列!H:H,A172,蛋糕系列!J:J)</f>
        <v>0</v>
      </c>
      <c r="F172" s="2">
        <f>SUMIF(已走货!H:H,A172,已走货!J:J)</f>
        <v>0</v>
      </c>
      <c r="G172" s="4">
        <f t="shared" si="4"/>
        <v>0</v>
      </c>
      <c r="H172" s="5">
        <f>SUMIF(总接单!E:E,A172,总接单!BX:BX)</f>
        <v>0</v>
      </c>
      <c r="I172" s="5">
        <f>SUMIF(一二代排期!H:H,A172,一二代排期!AQ:AQ)</f>
        <v>0</v>
      </c>
      <c r="J172" s="5">
        <f>SUMIF(三代排期!H:H,A172,三代排期!AQ:AQ)</f>
        <v>0</v>
      </c>
      <c r="K172" s="5">
        <f>SUMIF(蛋糕系列!H:H,A172,蛋糕系列!AQ:AQ)</f>
        <v>0</v>
      </c>
      <c r="L172" s="5">
        <f>SUMIF(已走货!H:H,A172,已走货!AQ:AQ)</f>
        <v>0</v>
      </c>
      <c r="M172" s="4">
        <f t="shared" si="5"/>
        <v>0</v>
      </c>
    </row>
    <row r="173" customHeight="1" spans="1:13">
      <c r="B173" s="2">
        <f>SUMIF(总接单!E:E,A173,总接单!F:F)</f>
        <v>0</v>
      </c>
      <c r="C173" s="2">
        <f>SUMIF(一二代排期!H:H,A173,一二代排期!J:J)</f>
        <v>0</v>
      </c>
      <c r="D173" s="2">
        <f>SUMIF(三代排期!H:H,A173,三代排期!J:J)</f>
        <v>0</v>
      </c>
      <c r="E173" s="2">
        <f>SUMIF(蛋糕系列!H:H,A173,蛋糕系列!J:J)</f>
        <v>0</v>
      </c>
      <c r="F173" s="2">
        <f>SUMIF(已走货!H:H,A173,已走货!J:J)</f>
        <v>0</v>
      </c>
      <c r="G173" s="4">
        <f t="shared" si="4"/>
        <v>0</v>
      </c>
      <c r="H173" s="5">
        <f>SUMIF(总接单!E:E,A173,总接单!BX:BX)</f>
        <v>0</v>
      </c>
      <c r="I173" s="5">
        <f>SUMIF(一二代排期!H:H,A173,一二代排期!AQ:AQ)</f>
        <v>0</v>
      </c>
      <c r="J173" s="5">
        <f>SUMIF(三代排期!H:H,A173,三代排期!AQ:AQ)</f>
        <v>0</v>
      </c>
      <c r="K173" s="5">
        <f>SUMIF(蛋糕系列!H:H,A173,蛋糕系列!AQ:AQ)</f>
        <v>0</v>
      </c>
      <c r="L173" s="5">
        <f>SUMIF(已走货!H:H,A173,已走货!AQ:AQ)</f>
        <v>0</v>
      </c>
      <c r="M173" s="4">
        <f t="shared" si="5"/>
        <v>0</v>
      </c>
    </row>
    <row r="174" customHeight="1" spans="1:13">
      <c r="A174" s="10" t="s">
        <v>242</v>
      </c>
      <c r="B174" s="2">
        <f>SUMIF(总接单!E:E,A174,总接单!F:F)</f>
        <v>48846</v>
      </c>
      <c r="C174" s="2">
        <f>SUMIF(一二代排期!H:H,A174,一二代排期!J:J)</f>
        <v>0</v>
      </c>
      <c r="D174" s="2">
        <f>SUMIF(三代排期!H:H,A174,三代排期!J:J)</f>
        <v>43776</v>
      </c>
      <c r="E174" s="2">
        <f>SUMIF(蛋糕系列!H:H,A174,蛋糕系列!J:J)</f>
        <v>0</v>
      </c>
      <c r="F174" s="2">
        <f>SUMIF(已走货!H:H,A174,已走货!J:J)</f>
        <v>5070</v>
      </c>
      <c r="G174" s="4">
        <f t="shared" si="4"/>
        <v>0</v>
      </c>
      <c r="H174" s="5">
        <f>SUMIF(总接单!E:E,A174,总接单!BX:BX)</f>
        <v>21610.88</v>
      </c>
      <c r="I174" s="5">
        <f>SUMIF(一二代排期!H:H,A174,一二代排期!AQ:AQ)</f>
        <v>0</v>
      </c>
      <c r="J174" s="5">
        <f>SUMIF(三代排期!H:H,A174,三代排期!AQ:AQ)</f>
        <v>0</v>
      </c>
      <c r="K174" s="5">
        <f>SUMIF(蛋糕系列!H:H,A174,蛋糕系列!AQ:AQ)</f>
        <v>0</v>
      </c>
      <c r="L174" s="5">
        <f>SUMIF(已走货!H:H,A174,已走货!AQ:AQ)</f>
        <v>21610.88</v>
      </c>
      <c r="M174" s="4">
        <f t="shared" si="5"/>
        <v>0</v>
      </c>
    </row>
    <row r="175" s="3" customFormat="1" customHeight="1" spans="1:13">
      <c r="A175" s="11" t="s">
        <v>1145</v>
      </c>
      <c r="B175" s="3">
        <f t="shared" ref="B175:M175" si="6">SUM(B2:B174)</f>
        <v>10090440</v>
      </c>
      <c r="C175" s="3">
        <f t="shared" si="6"/>
        <v>110618</v>
      </c>
      <c r="D175" s="3">
        <f t="shared" si="6"/>
        <v>3303672</v>
      </c>
      <c r="E175" s="3">
        <f t="shared" si="6"/>
        <v>459169</v>
      </c>
      <c r="F175" s="3">
        <f t="shared" si="6"/>
        <v>6216981</v>
      </c>
      <c r="G175" s="4">
        <f t="shared" si="6"/>
        <v>0</v>
      </c>
      <c r="H175" s="3">
        <f t="shared" si="6"/>
        <v>79673244.36</v>
      </c>
      <c r="I175" s="3">
        <f t="shared" si="6"/>
        <v>1606577.79</v>
      </c>
      <c r="J175" s="3">
        <f t="shared" si="6"/>
        <v>27754589.12</v>
      </c>
      <c r="K175" s="3">
        <f t="shared" si="6"/>
        <v>3888901.05</v>
      </c>
      <c r="L175" s="3">
        <f t="shared" si="6"/>
        <v>46423176.4</v>
      </c>
      <c r="M175" s="4">
        <f t="shared" si="6"/>
        <v>0</v>
      </c>
    </row>
    <row r="176" customHeight="1" spans="1:13">
      <c r="B176" s="3">
        <f>B175-总接单!F1291</f>
        <v>-1153</v>
      </c>
      <c r="C176" s="3">
        <f>C175-一二代排期!J34</f>
        <v>0</v>
      </c>
      <c r="D176" s="3">
        <f>D175-三代排期!J458</f>
        <v>-1153</v>
      </c>
      <c r="E176" s="3">
        <f>E175-蛋糕系列!J54</f>
        <v>0</v>
      </c>
      <c r="F176" s="3">
        <f>F175-已走货!J776</f>
        <v>0</v>
      </c>
      <c r="G176" s="3">
        <f>G175-已走货!K776</f>
        <v>0</v>
      </c>
      <c r="H176" s="3">
        <f>H175-总接单!BX1291</f>
        <v>0</v>
      </c>
      <c r="I176" s="3">
        <f>I175-一二代排期!AQ34</f>
        <v>0</v>
      </c>
      <c r="J176" s="3">
        <f>J175-三代排期!AQ458</f>
        <v>0</v>
      </c>
      <c r="K176" s="3">
        <f>K175-蛋糕系列!AQ54</f>
        <v>0</v>
      </c>
      <c r="L176" s="3">
        <f>L175-已走货!AQ776</f>
        <v>0</v>
      </c>
      <c r="M176" s="3">
        <f>M175-已走货!Q776</f>
        <v>0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M176" etc:filterBottomFollowUsedRange="0">
    <extLst/>
  </autoFilter>
  <conditionalFormatting sqref="G175">
    <cfRule type="cellIs" dxfId="0" priority="8" operator="lessThan">
      <formula>0</formula>
    </cfRule>
  </conditionalFormatting>
  <conditionalFormatting sqref="M175">
    <cfRule type="cellIs" dxfId="0" priority="7" operator="lessThan">
      <formula>0</formula>
    </cfRule>
  </conditionalFormatting>
  <conditionalFormatting sqref="A160:A162">
    <cfRule type="duplicateValues" dxfId="0" priority="1"/>
  </conditionalFormatting>
  <conditionalFormatting sqref="A163:A165">
    <cfRule type="duplicateValues" dxfId="0" priority="4"/>
  </conditionalFormatting>
  <conditionalFormatting sqref="G160:G162">
    <cfRule type="cellIs" dxfId="0" priority="2" operator="lessThan">
      <formula>0</formula>
    </cfRule>
  </conditionalFormatting>
  <conditionalFormatting sqref="G163:G165">
    <cfRule type="cellIs" dxfId="0" priority="5" operator="lessThan">
      <formula>0</formula>
    </cfRule>
  </conditionalFormatting>
  <conditionalFormatting sqref="M160:M162">
    <cfRule type="cellIs" dxfId="0" priority="3" operator="lessThan">
      <formula>0</formula>
    </cfRule>
  </conditionalFormatting>
  <conditionalFormatting sqref="M163:M165">
    <cfRule type="cellIs" dxfId="0" priority="6" operator="lessThan">
      <formula>0</formula>
    </cfRule>
  </conditionalFormatting>
  <conditionalFormatting sqref="A1:A159 A166:A1048576">
    <cfRule type="duplicateValues" dxfId="0" priority="9"/>
  </conditionalFormatting>
  <conditionalFormatting sqref="G1:G159 G166:G174 G176:G1048576">
    <cfRule type="cellIs" dxfId="0" priority="10" operator="lessThan">
      <formula>0</formula>
    </cfRule>
  </conditionalFormatting>
  <conditionalFormatting sqref="M1:M159 M166:M174 M176:M1048576">
    <cfRule type="cellIs" dxfId="0" priority="12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 otherUserPermission="edit"/>
  <rangeList sheetStid="47" master="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</arrUserId>
  </rangeList>
  <rangeList sheetStid="45" master="1475153551" otherUserPermission="visible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  <userID accessPermission="edit">1862877470</userID>
    </arrUserId>
    <arrUserId title="Range2" rangeCreator="" othersAccessPermission="visible">
      <userID accessPermission="edit">1475153551</userID>
      <userID accessPermission="edit">1715258932</userID>
      <userID accessPermission="edit">1475426452</userID>
      <userID accessPermission="edit">1475148402</userID>
      <userID accessPermission="edit">1475812750</userID>
      <userID accessPermission="edit">1862877470</userID>
      <userID accessPermission="edit">1828109780</userID>
    </arrUserId>
  </rangeList>
  <rangeList sheetStid="57" master="1475153551" otherUserPermission="visible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  <userID accessPermission="edit">1828109780</userID>
      <userID accessPermission="edit">1862877470</userID>
      <userID accessPermission="edit">1853477080</userID>
    </arrUserId>
    <arrUserId title="Range2" rangeCreator="" othersAccessPermission="visible">
      <userID accessPermission="edit">1475153551</userID>
      <userID accessPermission="edit">1715258932</userID>
      <userID accessPermission="edit">1475148402</userID>
      <userID accessPermission="edit">1475426452</userID>
      <userID accessPermission="edit">1475812750</userID>
      <userID accessPermission="edit">1862877470</userID>
      <userID accessPermission="edit">1828109780</userID>
    </arrUserId>
  </rangeList>
  <rangeList sheetStid="58" master="1475153551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  <userID accessPermission="edit">1862877470</userID>
      <userID accessPermission="edit">1828109780</userID>
    </arrUserId>
    <arrUserId title="Range2" rangeCreator="" othersAccessPermission="visible">
      <userID accessPermission="edit">1475153551</userID>
      <userID accessPermission="edit">1715258932</userID>
      <userID accessPermission="edit">1475148402</userID>
      <userID accessPermission="edit">1475426452</userID>
      <userID accessPermission="edit">1475812750</userID>
      <userID accessPermission="edit">1862877470</userID>
      <userID accessPermission="edit">1828109780</userID>
    </arrUserId>
  </rangeList>
  <rangeList sheetStid="51" master="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</arrUserId>
  </rangeList>
  <rangeList sheetStid="59" master="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</arrUserId>
  </rangeList>
  <rangeList sheetStid="54" master="" otherUserPermission="edit"/>
  <rangeList sheetStid="55" master="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</arrUserId>
  </rangeList>
  <rangeList sheetStid="56" master="" otherUserPermission="visible">
    <arrUserId title="Range1" rangeCreator="" othersAccessPermission="visible">
      <userID accessPermission="edit">1475153551</userID>
      <userID accessPermission="edit">1475148402</userID>
      <userID accessPermission="edit">1475426452</userID>
    </arrUserId>
  </rangeList>
</allowEditUser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47">
    <commentChains s:ref="F6" rgbClr="FF0000">
      <unresolved>
        <commentChain chainId="324ed548b470d46e98bff9e9d8adbbefee645493">
          <item id="6bb54af4b41160cb673db4f8fcbb38a4aee2cfc4" isNormal="1">
            <s:text>
              <s:r>
                <s:t xml:space="preserve">Administrator:
转1500PCS到PO0000302</s:t>
              </s:r>
            </s:text>
          </item>
        </commentChain>
      </unresolved>
      <resolved/>
    </commentChains>
    <commentChains s:ref="F14" rgbClr="FF0000">
      <unresolved>
        <commentChain chainId="b7ec87107941350bdab3b0e76531e203abefc311">
          <item id="e49496fffa328746311179b74f4edad1d0fd67a8" isNormal="1">
            <s:text>
              <s:r>
                <s:t xml:space="preserve">Administrator:
转1200PCS到PO0000123</s:t>
              </s:r>
            </s:text>
          </item>
        </commentChain>
      </unresolved>
      <resolved/>
    </commentChains>
    <commentChains s:ref="F44" rgbClr="FF0000">
      <unresolved>
        <commentChain chainId="64083d548a9cc3fe01fc309e557670bdf0a2fc82">
          <item id="f8a6075015f21eedd37125a5367fd497c7097eee" isNormal="1">
            <s:text>
              <s:r>
                <s:t xml:space="preserve">Administrator:
转1500PCS到PO0000302
从PO0000302退回1500PCS</s:t>
              </s:r>
            </s:text>
          </item>
        </commentChain>
      </unresolved>
      <resolved/>
    </commentChains>
    <commentChains s:ref="F45" rgbClr="FF0000">
      <unresolved>
        <commentChain chainId="2c292354053a6a92afcbcfbefda1f4886fff7824">
          <item id="4a85fd0eb50016aa2e52f7f1cbad7f1c1cf4fd62" isNormal="1">
            <s:text>
              <s:r>
                <s:t xml:space="preserve">Administrator:
从CAJZ043转入</s:t>
              </s:r>
            </s:text>
          </item>
        </commentChain>
      </unresolved>
      <resolved/>
    </commentChains>
    <commentChains s:ref="C56" rgbClr="FF0000">
      <unresolved>
        <commentChain chainId="b27fbe471628982eb54ee68a2916a6b689346056">
          <item id="8effba038ba12d2c8a78304c9e6edfbff5a8b03a" isNormal="1">
            <s:text>
              <s:r>
                <s:t xml:space="preserve">Administrator:
从JAZ254722转入</s:t>
              </s:r>
            </s:text>
          </item>
        </commentChain>
      </unresolved>
      <resolved/>
    </commentChains>
    <commentChains s:ref="BW156" rgbClr="FF0000">
      <unresolved>
        <commentChain chainId="b41851152948de26d03e4647265276c157dd7192">
          <item id="5f92c8463c31f10d4dfab577f6f4c2d111259850" isNormal="1">
            <s:text>
              <s:r>
                <s:t xml:space="preserve">Administrator:
86折后价</s:t>
              </s:r>
            </s:text>
          </item>
        </commentChain>
      </unresolved>
      <resolved/>
    </commentChains>
    <commentChains s:ref="F205" rgbClr="FF0000">
      <unresolved>
        <commentChain chainId="d4aa454d041b5662e0cf24f4cc249e06c0376457">
          <item id="de3a58f164622f375f0bbbcf2dedb190336e1b23" isNormal="1">
            <s:text>
              <s:r>
                <s:t xml:space="preserve">Administrator:
从CAJZ044转入
</s:t>
              </s:r>
            </s:text>
          </item>
        </commentChain>
      </unresolved>
      <resolved/>
    </commentChains>
    <commentChains s:ref="F215" rgbClr="FF0000">
      <unresolved>
        <commentChain chainId="365f9e5eadd95eee983bc306aadd3254bd64b9fb">
          <item id="b4b22717407617728b093dfceb209ce615784556" isNormal="1">
            <s:text>
              <s:r>
                <s:t xml:space="preserve">Administrator:
从CAJZ050转入</s:t>
              </s:r>
            </s:text>
          </item>
        </commentChain>
      </unresolved>
      <resolved/>
    </commentChains>
    <commentChains s:ref="F352" rgbClr="FF0000">
      <unresolved>
        <commentChain chainId="9039b0174ccc753488dd67bc8d150b2929f8b7d8">
          <item id="e055de938ac6e4d536b67c96f54477956e549abf" isNormal="1">
            <s:text>
              <s:r>
                <s:t xml:space="preserve">Administrator:
从PO0000149转入4060PCS
从PO0000188转入15PCS</s:t>
              </s:r>
            </s:text>
          </item>
        </commentChain>
      </unresolved>
      <resolved/>
    </commentChains>
    <commentChains s:ref="F353" rgbClr="FF0000">
      <unresolved>
        <commentChain chainId="4e4b9f045a2861da9a73f0b0c92d3909b1abb28b">
          <item id="3531e8b9afe256f7c1b4c6893bac651f81620456" isNormal="1">
            <s:text>
              <s:r>
                <s:t xml:space="preserve">Administrator:
从PO0000149转入2280PCS
从PO0000188转入220PCS
</s:t>
              </s:r>
            </s:text>
          </item>
        </commentChain>
      </unresolved>
      <resolved/>
    </commentChains>
    <commentChains s:ref="F354" rgbClr="FF0000">
      <unresolved>
        <commentChain chainId="281b32ceffc4ef5f7b61ea6d5d4b2e9b04014b00">
          <item id="2a8b7860cd3925304987362b8520633f441c5bcf" isNormal="1">
            <s:text>
              <s:r>
                <s:t xml:space="preserve">Administrator:
从PO0000149转入340PCS
从PO0000149转入2660PCS
</s:t>
              </s:r>
            </s:text>
          </item>
        </commentChain>
      </unresolved>
      <resolved/>
    </commentChains>
    <commentChains s:ref="F355" rgbClr="FF0000">
      <unresolved>
        <commentChain chainId="ec52604b277df156015878c58ca8750da8e5e9b8">
          <item id="e2d74840d25f798620452cc2d67d14f43816c4ca" isNormal="1">
            <s:text>
              <s:r>
                <s:t xml:space="preserve">Administrator:
从PO0000149转入340PCS
从PO0000149转入2660PCS</s:t>
              </s:r>
            </s:text>
          </item>
        </commentChain>
      </unresolved>
      <resolved/>
    </commentChains>
    <commentChains s:ref="F356" rgbClr="FF0000">
      <unresolved>
        <commentChain chainId="0de52a67b44b177b710e1b314366cb9c96302d29">
          <item id="923d6955b54e2cf5eac2872214ad8c4fe7d7787b" isNormal="1">
            <s:text>
              <s:r>
                <s:t xml:space="preserve">Administrator:
从PO0000149转入570PCS
从PO0000149转入2430PCS</s:t>
              </s:r>
            </s:text>
          </item>
        </commentChain>
      </unresolved>
      <resolved/>
    </commentChains>
    <commentChains s:ref="F357" rgbClr="FF0000">
      <unresolved>
        <commentChain chainId="57c9088ec3696a890e63efc42dcd4e2267e24a24">
          <item id="50b9183fdec26bd11204d8aa39f70190f0763d5d" isNormal="1">
            <s:text>
              <s:r>
                <s:t xml:space="preserve">Administrator:
从PO0000149转入1140PCS
从PO0000149转入1860PCS
</s:t>
              </s:r>
            </s:text>
          </item>
        </commentChain>
      </unresolved>
      <resolved/>
    </commentChains>
    <commentChains s:ref="F358" rgbClr="FF0000">
      <unresolved>
        <commentChain chainId="8681a4da5fd2350acc65f85412ad470cf66f133b">
          <item id="a3d219560b3fee2f406acb0538c0d3d71dcd5d58" isNormal="1">
            <s:text>
              <s:r>
                <s:t xml:space="preserve">Administrator:
从PO0000149转入1365PCS
从PO0000149转入925PCS
从PO0000188转入215PCS
</s:t>
              </s:r>
            </s:text>
          </item>
        </commentChain>
      </unresolved>
      <resolved/>
    </commentChains>
    <commentChains s:ref="F360" rgbClr="FF0000">
      <unresolved>
        <commentChain chainId="6fddb281266e9b477c7063c068877e5e4c95491b">
          <item id="99a3ab87f071f3778e028729fd83ad9ce60c31b0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F361" rgbClr="FF0000">
      <unresolved>
        <commentChain chainId="f40a6d2df4b5810a3eb0d90a396c38b656e4e387">
          <item id="90c5ff567f639034103890b656aafb4d9627c940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F362" rgbClr="FF0000">
      <unresolved>
        <commentChain chainId="50233e722f96fbb1c9b628428092a15eedc2e4c9">
          <item id="3bf628bc56fbfa515ebb65336692f9fb4fd41b11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F363" rgbClr="FF0000">
      <unresolved>
        <commentChain chainId="f3b9caceb101c921db2e41b11071a07cabbd1276">
          <item id="90f5759e2b8eb7566410eddd2cd51e2d8a582bf3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F364" rgbClr="FF0000">
      <unresolved>
        <commentChain chainId="352c62abd20a32a0d4ae073e5ac0f7ff9ab1b47e">
          <item id="12cad037038e6ed64c68f08e53f4471a05bbfed9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F468" rgbClr="FF0000">
      <unresolved>
        <commentChain chainId="91f72a28160a43c0dbb1b759e8940c0b7babbc16">
          <item id="ccc6e86e017b68a37bc8446c0d613ada0ee9ab57" isNormal="1">
            <s:text>
              <s:r>
                <s:t xml:space="preserve">Administrator:
从PO0000151转入</s:t>
              </s:r>
            </s:text>
          </item>
        </commentChain>
      </unresolved>
      <resolved/>
    </commentChains>
    <commentChains s:ref="F469" rgbClr="FF0000">
      <unresolved>
        <commentChain chainId="8af5afd79825099e4d669dfde6feb58978cdf3e0">
          <item id="9223dd3deb0f5ee2f4682f57d80ec9e8e9298813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F470" rgbClr="FF0000">
      <unresolved>
        <commentChain chainId="fe5369872b7895c74e939d3305296f663c8bceba">
          <item id="f8123d6fb0c83bb9110b50ad5b2bbe327286a792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F471" rgbClr="FF0000">
      <unresolved>
        <commentChain chainId="d1bad85262431a760cd36a76feae3b879ba69383">
          <item id="ab92b35a25f9b82f2df321c3a716454c88113964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F472" rgbClr="FF0000">
      <unresolved>
        <commentChain chainId="6acd8eb44e4e2ca9777a4bb5d2e081be4f225fa4">
          <item id="51fea77f33f83de0b00a69a78687b58df6d0f203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F473" rgbClr="FF0000">
      <unresolved>
        <commentChain chainId="706c3ee94d6c1fd712a5db0df638ca945b965351">
          <item id="debfec25a562c2a563bb1a6e1c27ad436ddc0ec9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F474" rgbClr="FF0000">
      <unresolved>
        <commentChain chainId="12d5f2dbb384ed559c91b5d7ff32059308b57d6e">
          <item id="8496222c010f828f8c34bc1479fda952a361c006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F475" rgbClr="FF0000">
      <unresolved>
        <commentChain chainId="b1f310d2eca2d0e2f5dd1f42c35956a2420446d4">
          <item id="4c297a6e4260b8ea2a329dd22d4e4407b572bd56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F476" rgbClr="FF0000">
      <unresolved>
        <commentChain chainId="b826bc1bfaa26fcdd5c96e29e0b0727f1378c1e3">
          <item id="6d06029498c28e763cf37175102ec3f23547ba59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F477" rgbClr="FF0000">
      <unresolved>
        <commentChain chainId="eb014508add483b85da9c87ca9ee4a6818950378">
          <item id="e4fd62e9cc57ba049cba978b9203468c259735f8" isNormal="1">
            <s:text>
              <s:r>
                <s:t xml:space="preserve">Administrator:
从PO0000177转入</s:t>
              </s:r>
            </s:text>
          </item>
        </commentChain>
      </unresolved>
      <resolved/>
    </commentChains>
    <commentChains s:ref="F478" rgbClr="FF0000">
      <unresolved>
        <commentChain chainId="fa64371d90ae650c1b92bdd44fdbbe3675fe3afc">
          <item id="49ef108e9004e22712120977fa93c8f518bccd7b" isNormal="1">
            <s:text>
              <s:r>
                <s:t xml:space="preserve">Administrator:
从PO0000177转入
</s:t>
              </s:r>
            </s:text>
          </item>
        </commentChain>
      </unresolved>
      <resolved/>
    </commentChains>
    <commentChains s:ref="F479" rgbClr="FF0000">
      <unresolved>
        <commentChain chainId="db1b3f882fe79eb0f39fa94398dcfa776ccc0615">
          <item id="2fce95cc493919f84e83b63caab494b968db9f94" isNormal="1">
            <s:text>
              <s:r>
                <s:t xml:space="preserve">Administrator:
从PO0000177转入
</s:t>
              </s:r>
            </s:text>
          </item>
        </commentChain>
      </unresolved>
      <resolved/>
    </commentChains>
    <commentChains s:ref="F485" rgbClr="FF0000">
      <unresolved>
        <commentChain chainId="355f545e7f735cedb00b01c8a3884c5d8a8c4704">
          <item id="10b566194ab5f2dd3fa9f9a02d2d94a6005d0897" isNormal="1">
            <s:text>
              <s:r>
                <s:t xml:space="preserve">Administrator:
从PO0000177转入</s:t>
              </s:r>
            </s:text>
          </item>
        </commentChain>
      </unresolved>
      <resolved/>
    </commentChains>
    <commentChains s:ref="F496" rgbClr="FF0000">
      <unresolved>
        <commentChain chainId="c394a1d6b4a2fba08548d2bc0e9cb7bee05fb5ab">
          <item id="170b8ee20c1c7e6de90338b34d6352520b9f8e42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497" rgbClr="FF0000">
      <unresolved>
        <commentChain chainId="c63664fadab3d2f87925a80a8a5754b0222e3e9e">
          <item id="25cf7b385b1d740006338da45aec526ec5c20a5f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498" rgbClr="FF0000">
      <unresolved>
        <commentChain chainId="6ff8504bff8f2992f859efa008a513df3e2b8198">
          <item id="ec87f3504d1b46ef71789c1e9ec82d672e4d44a6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499" rgbClr="FF0000">
      <unresolved>
        <commentChain chainId="28e59dd27cdd24da68c3a4e7c3d2c6d2f468f7f1">
          <item id="62bb485accfd156ac65afb1fc0a9ee2f0a106028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00" rgbClr="FF0000">
      <unresolved>
        <commentChain chainId="7cdb2efedaeec746da0f4ce650bd51332fc9274e">
          <item id="9ab8bbd10f3d606e356fb66bdb32b31845a8e87d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01" rgbClr="FF0000">
      <unresolved>
        <commentChain chainId="bd5b7c24c4f5925e1d804395c273c6d9e173039c">
          <item id="3acfea4e3106a201714b6cd81573405512048e5f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02" rgbClr="FF0000">
      <unresolved>
        <commentChain chainId="10283429083359e81935ca8eb17da944d92a78fe">
          <item id="a452a48f29ad6ffcda0533e679429c0673b9aa6f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03" rgbClr="FF0000">
      <unresolved>
        <commentChain chainId="79f309cd645d91ec8c09ad6446d7f6850b0d5c85">
          <item id="78b16744af58f6717ad7e3f95c005068eba20aed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04" rgbClr="FF0000">
      <unresolved>
        <commentChain chainId="a894e48cf6e374a8c6ba63c19a7d41d361a9c6f6">
          <item id="cda31b7b02fb9ab53cd95da0b1a524d14fe0926b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05" rgbClr="FF0000">
      <unresolved>
        <commentChain chainId="413fe1fb019aa94f6094d6fbf7143a8893038138">
          <item id="37134059c50dc4c273ef5c66701a4fabeb170b54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06" rgbClr="FF0000">
      <unresolved>
        <commentChain chainId="165965d4f41e98a19a30d72e30573fd075f5ffc9">
          <item id="1af0a6b753d1b7d0e8b619a6cdd9ee2ff4156d62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07" rgbClr="FF0000">
      <unresolved>
        <commentChain chainId="d7e774b1faf03c6d78d41f53a7ee18b1287aee1f">
          <item id="e667c604959905220016f471bb316a5e935a9475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F564" rgbClr="FF0000">
      <unresolved>
        <commentChain chainId="79f1d0532545cf1ad60924042608babdfd75eeef">
          <item id="dd4368acdf183c9ddfc4234bdabd686d4f3f8324" isNormal="1">
            <s:text>
              <s:r>
                <s:t xml:space="preserve">Administrator:
从PO0000215转入</s:t>
              </s:r>
            </s:text>
          </item>
        </commentChain>
      </unresolved>
      <resolved/>
    </commentChains>
    <commentChains s:ref="F565" rgbClr="FF0000">
      <unresolved>
        <commentChain chainId="b780eadf7afd7e658df1a09c802fa1c0bab3caac">
          <item id="2433cd7d707a41096619de70e42e8a3c6622fdd7" isNormal="1">
            <s:text>
              <s:r>
                <s:t xml:space="preserve">Administrator:
从PO0000216转入</s:t>
              </s:r>
            </s:text>
          </item>
        </commentChain>
      </unresolved>
      <resolved/>
    </commentChains>
    <commentChains s:ref="F566" rgbClr="FF0000">
      <unresolved>
        <commentChain chainId="3bd73d2b2c183dc02a31d7037d242ada836d302d">
          <item id="6ee59f0bcaae00edc54d7eb24430f111c2b57fa1" isNormal="1">
            <s:text>
              <s:r>
                <s:t xml:space="preserve">Administrator:
从PO0000217转入</s:t>
              </s:r>
            </s:text>
          </item>
        </commentChain>
      </unresolved>
      <resolved/>
    </commentChains>
    <commentChains s:ref="F571" rgbClr="FF0000">
      <unresolved>
        <commentChain chainId="e3763f84fd536713882c6f13879a450550f0dda0">
          <item id="fee6f3067a136577ba6a4318636efe0ffeae6eb8" isNormal="1">
            <s:text>
              <s:r>
                <s:t xml:space="preserve">Administrator:
转1200PCS到PO0000335-1</s:t>
              </s:r>
            </s:text>
          </item>
        </commentChain>
      </unresolved>
      <resolved/>
    </commentChains>
    <commentChains s:ref="F573" rgbClr="FF0000">
      <unresolved>
        <commentChain chainId="37b3fcb27f356fd6205eccc3e13e7ae8b7ec37db">
          <item id="d10b1d1cb4a54d8aca1bbccfbb44247d8dcc0928" userID="1475148402" userName="sara" dateTime="2026-08-13T07:05:21" isNormal="0">
            <s:text>
              <s:r>
                <s:t xml:space="preserve">转5000PCS到PO0000498</s:t>
              </s:r>
            </s:text>
          </item>
        </commentChain>
      </unresolved>
      <resolved/>
    </commentChains>
    <commentChains s:ref="F590" rgbClr="FF0000">
      <unresolved>
        <commentChain chainId="60dcd8fd953b990dfb356f45bfdc9dec34131c3d">
          <item id="1d4119ddd57b1785d1bd3f5406276ba5c22e6186" isNormal="1">
            <s:text>
              <s:r>
                <s:t xml:space="preserve">Administrator:
从PO0000212转入</s:t>
              </s:r>
            </s:text>
          </item>
        </commentChain>
      </unresolved>
      <resolved/>
    </commentChains>
    <commentChains s:ref="F591" rgbClr="FF0000">
      <unresolved>
        <commentChain chainId="88443a4e16d0c2a6adff5416bc3c62dc9d6aafb4">
          <item id="cbf91ac0846d0fee8169730b79df5d931c55f158" isNormal="1">
            <s:text>
              <s:r>
                <s:t xml:space="preserve">Administrator:
从PO0000212转入
</s:t>
              </s:r>
            </s:text>
          </item>
        </commentChain>
      </unresolved>
      <resolved/>
    </commentChains>
    <commentChains s:ref="F592" rgbClr="FF0000">
      <unresolved>
        <commentChain chainId="c5c21e962404a4cc128d19da26ec3ca9163fed5c">
          <item id="c90070b7f35d8122364d6e07395b2ef6f363b2ff" isNormal="1">
            <s:text>
              <s:r>
                <s:t xml:space="preserve">Administrator:
从PO0000212转入
</s:t>
              </s:r>
            </s:text>
          </item>
        </commentChain>
      </unresolved>
      <resolved/>
    </commentChains>
    <commentChains s:ref="F593" rgbClr="FF0000">
      <unresolved>
        <commentChain chainId="10aac4f1350573ca304343e8e39eb0719c62adcd">
          <item id="2ca9280785034b3121e30a35d88dcb54f3456938" isNormal="1">
            <s:text>
              <s:r>
                <s:t xml:space="preserve">Administrator:
从PO0000212转入
</s:t>
              </s:r>
            </s:text>
          </item>
        </commentChain>
      </unresolved>
      <resolved/>
    </commentChains>
    <commentChains s:ref="F594" rgbClr="FF0000">
      <unresolved>
        <commentChain chainId="71dad86a6e7379177bf4a0886213e332acd8a9c4">
          <item id="344da3b45e98caeffdd2e70339cc97525c6d395e" isNormal="1">
            <s:text>
              <s:r>
                <s:t xml:space="preserve">Administrator:
从PO0000212转入
</s:t>
              </s:r>
            </s:text>
          </item>
        </commentChain>
      </unresolved>
      <resolved/>
    </commentChains>
    <commentChains s:ref="F595" rgbClr="FF0000">
      <unresolved>
        <commentChain chainId="af62cdb2ee8d2ab1da556b61fec9dfaa7a27960b">
          <item id="a8ad48b3cab597832097cabdf77eef88d1e9df38" isNormal="1">
            <s:text>
              <s:r>
                <s:t xml:space="preserve">Administrator:
4320PCS从PO0000212转入，新加5688PCS</s:t>
              </s:r>
            </s:text>
          </item>
        </commentChain>
      </unresolved>
      <resolved/>
    </commentChains>
    <commentChains s:ref="F596" rgbClr="FF0000">
      <unresolved>
        <commentChain chainId="8f75fdf9ddb523ed9523bae0a9f0a369e5b4e106">
          <item id="1d592580b25ac65cbc9df3616afb98b99b1104a6" isNormal="1">
            <s:text>
              <s:r>
                <s:t xml:space="preserve">Administrator:
从CAJZ040转入1500PCS</s:t>
              </s:r>
            </s:text>
          </item>
        </commentChain>
      </unresolved>
      <resolved/>
    </commentChains>
    <commentChains s:ref="F604" rgbClr="FF0000">
      <unresolved>
        <commentChain chainId="4fa3e971393ed31ec96f64df7c5713a9f7b7d86a">
          <item id="a330706673057600d8964d8b4f42c0c44c2db838" isNormal="1">
            <s:text>
              <s:r>
                <s:t xml:space="preserve">Administrator:
从PO0000214转入</s:t>
              </s:r>
            </s:text>
          </item>
        </commentChain>
      </unresolved>
      <resolved/>
    </commentChains>
    <commentChains s:ref="F605" rgbClr="FF0000">
      <unresolved>
        <commentChain chainId="f029e392270d4618fab269a941272b77485b7883">
          <item id="88fbbf2cb217ca4cffdab3cd6685260e3e23510d" isNormal="1">
            <s:text>
              <s:r>
                <s:t xml:space="preserve">Administrator:
从PO0000214转入</s:t>
              </s:r>
            </s:text>
          </item>
        </commentChain>
      </unresolved>
      <resolved/>
    </commentChains>
    <commentChains s:ref="F773" rgbClr="FF0000">
      <unresolved>
        <commentChain chainId="ac11c18c055069b2d4bd857b3e14cbaef18d2d1e">
          <item id="087fb530b7a75ef137e8de00218b965326b7ea0d" userID="1475148402" userName="sara" dateTime="2026-08-13T07:08:02" isNormal="0">
            <s:text>
              <s:r>
                <s:t xml:space="preserve">转5004PCS到PO0000498</s:t>
              </s:r>
            </s:text>
          </item>
        </commentChain>
      </unresolved>
      <resolved/>
    </commentChains>
    <commentChains s:ref="F878" rgbClr="FF0000">
      <unresolved>
        <commentChain chainId="fb074519ac8765af5a72943c348c2bda2e86d2ac">
          <item id="65596a5f591ae86915ba9987b7f09507caa84899" isNormal="1">
            <s:text>
              <s:r>
                <s:t xml:space="preserve">Administrator:
从PO0000295转入</s:t>
              </s:r>
            </s:text>
          </item>
        </commentChain>
      </unresolved>
      <resolved/>
    </commentChains>
    <commentChains s:ref="D938" rgbClr="FF0000">
      <unresolved>
        <commentChain chainId="c86471b28ff020fbd15ad6aeec198ff39e5897d6">
          <item id="cf6f64e5e31fe30a96afa03b88fac81e1c4eadb6" isNormal="1">
            <s:text>
              <s:r>
                <s:t xml:space="preserve">Administrator:
从CAJZ045转入</s:t>
              </s:r>
            </s:text>
          </item>
        </commentChain>
      </unresolved>
      <resolved/>
    </commentChains>
    <commentChains s:ref="D939" rgbClr="FF0000">
      <unresolved>
        <commentChain chainId="29f035247d2e00b6ac80ecd8f5149958aec7b1b5">
          <item id="d5f02ecc5640538f182838d2f8042bc80ad448bd" isNormal="1">
            <s:text>
              <s:r>
                <s:t xml:space="preserve">Administrator:
从CAJZ043转入</s:t>
              </s:r>
            </s:text>
          </item>
        </commentChain>
      </unresolved>
      <resolved/>
    </commentChains>
    <commentChains s:ref="F951" rgbClr="FF0000">
      <unresolved>
        <commentChain chainId="27b91b2627870f2e02484b08480bb18082557bdd">
          <item id="b7d33fcc26f81d3bc5a1747e4524f1a242d24e47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52" rgbClr="FF0000">
      <unresolved>
        <commentChain chainId="72a43e721da79a854ee56e3498b662cc3e261d55">
          <item id="4f87b805b9591345034a681e2091fb8b2a5b675c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53" rgbClr="FF0000">
      <unresolved>
        <commentChain chainId="72a202cb735ee96cbc45ffb1a3bf8ae1d44934fd">
          <item id="94693af1084d153b69c436416755557419c329af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54" rgbClr="FF0000">
      <unresolved>
        <commentChain chainId="249053acc933f923b5731e52396b6dda8b6de973">
          <item id="d5900ef6c9519d1b8e63c825baa165e4ba2e5a63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55" rgbClr="FF0000">
      <unresolved>
        <commentChain chainId="53be921bfc7afb4c0aa5902d834f5c4593420b4d">
          <item id="acac1602cb037ceacca04fa9faafa4d1c62fece0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56" rgbClr="FF0000">
      <unresolved>
        <commentChain chainId="8800cc15fc206faa97935b21d203387504965675">
          <item id="666181ea1c6dec24b4585034f846fe0502830587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57" rgbClr="FF0000">
      <unresolved>
        <commentChain chainId="7d83aba234ad3661d0b0bf4b53bdcc4f63ab3d89">
          <item id="16a9d29074e813172db0d6dcbd4e6af402d320d5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58" rgbClr="FF0000">
      <unresolved>
        <commentChain chainId="9a8561c65754e2c7bc9505b8bc2c5837cae51469">
          <item id="a8f30d01e1cb8433676ca8e1116c4ddf6e7b1fa9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59" rgbClr="FF0000">
      <unresolved>
        <commentChain chainId="b08e37fc0bb0a6b829cb7eee4a63bd097703eee6">
          <item id="02aba2653851756d93a7d2180a083eb4894b2134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0" rgbClr="FF0000">
      <unresolved>
        <commentChain chainId="dcbb24d7603fda381d4c64b476674602af568445">
          <item id="d834904572e340df9ce387af8e84be136984e097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1" rgbClr="FF0000">
      <unresolved>
        <commentChain chainId="836576fde316620851fe607131c1a4dcc4810f69">
          <item id="8a1519589a4375434f626a44d1d8a8bcad96175a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2" rgbClr="FF0000">
      <unresolved>
        <commentChain chainId="a2b7607de8f7d571e86bfe3cada40447a23ef5e1">
          <item id="e04c0c5370f623c1532e1562b6e0566188a2ef9d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3" rgbClr="FF0000">
      <unresolved>
        <commentChain chainId="3cfccf99eb577e7264d537122c196a40087c398a">
          <item id="583cdbd5a82501307a15915fd5aedd2ed1252cdb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4" rgbClr="FF0000">
      <unresolved>
        <commentChain chainId="e11661e19030a05d8b27777119659db211bdc9d2">
          <item id="ee9f7284aeef034eda3c60347a0be0a9963a1c51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5" rgbClr="FF0000">
      <unresolved>
        <commentChain chainId="b01bc82894a02d8db2393defd7b52991ac9e59c7">
          <item id="46118b09214c20df86230464c049cb9404e032cc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6" rgbClr="FF0000">
      <unresolved>
        <commentChain chainId="34d44649b23a0d1199080eb1ab331dd7c898dc80">
          <item id="9d974675a2cdb4a15f035584c7e906e4b023cdb4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7" rgbClr="FF0000">
      <unresolved>
        <commentChain chainId="2ef058886f4f3046784a06ca42c00fd6fee9842d">
          <item id="e0575fc25c1dcf2326923e7a89c8a6b00fb03c5c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8" rgbClr="FF0000">
      <unresolved>
        <commentChain chainId="84598e343d275fd06a067d0a3347ee13daefbd3d">
          <item id="accb4042abd5b2ea6b9308d86cdfab49240f1423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69" rgbClr="FF0000">
      <unresolved>
        <commentChain chainId="868a3b95cfd6809ee2c4d3213eb6b3a86ece0dc6">
          <item id="b97bc22cf0862486b38bb9aed681777f760596b9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F971" rgbClr="FF0000">
      <unresolved>
        <commentChain chainId="f80a8619e0555a838672188cb6fd08281d1b6c46">
          <item id="8edc5c248bfaa47d03db4a2e6dbccf9a5f1bbade" isNormal="1">
            <s:text>
              <s:r>
                <s:t xml:space="preserve">Administrator:
从PO0000204转入1648PCS
从PO0000203转入4000PCS</s:t>
              </s:r>
            </s:text>
          </item>
        </commentChain>
      </unresolved>
      <resolved/>
    </commentChains>
    <commentChains s:ref="D979" rgbClr="FF0000">
      <unresolved>
        <commentChain chainId="5d5d5e3e550c661ff77cbd535052fd26f1d65d3c">
          <item id="f69f4e5f4756095a41feaf53488d9e4b7053ef56" userID="1475148402" userName="sara" dateTime="2026-06-22T07:09:32" isNormal="0">
            <s:text>
              <s:r>
                <s:t xml:space="preserve">PO0000329改PO0000381</s:t>
              </s:r>
            </s:text>
          </item>
        </commentChain>
      </unresolved>
      <resolved/>
    </commentChains>
    <commentChains s:ref="F991" rgbClr="FF0000">
      <unresolved>
        <commentChain chainId="8c3a8058397f4f0c03544cf3b02393d63158f4fa">
          <item id="080e9e053332fae39cfa6beac599b3c3a6479748" isNormal="1">
            <s:text>
              <s:r>
                <s:t xml:space="preserve">Administrator:
从CAJZ044转入</s:t>
              </s:r>
            </s:text>
          </item>
        </commentChain>
      </unresolved>
      <resolved/>
    </commentChains>
    <commentChains s:ref="F992" rgbClr="FF0000">
      <unresolved>
        <commentChain chainId="2430e41f2fc8946966b4fbe83fecc541b49e7a80">
          <item id="84b5038b1aeeb1ba0ae3fae444197393f1fda8cd" isNormal="1">
            <s:text>
              <s:r>
                <s:t xml:space="preserve">Administrator:
从CAJZ044转入
</s:t>
              </s:r>
            </s:text>
          </item>
        </commentChain>
      </unresolved>
      <resolved/>
    </commentChains>
    <commentChains s:ref="D994" rgbClr="FF0000">
      <unresolved>
        <commentChain chainId="5ab3ad60883aff77ae01ee4af5f6887073285a1a">
          <item id="bbdf25adde3d1865f41fe0471dac2e543d4e3eb3" userID="1475148402" userName="sara" dateTime="2026-06-24T09:20:07" isNormal="0">
            <s:text>
              <s:r>
                <s:t xml:space="preserve">PO0000381改PO0000428</s:t>
              </s:r>
            </s:text>
          </item>
        </commentChain>
      </unresolved>
      <resolved/>
    </commentChains>
    <commentChains s:ref="F1010" rgbClr="FF0000">
      <unresolved>
        <commentChain chainId="951265c32640353ec94878ea4dc5bf720cda1f32">
          <item id="1ec1711835ba68a6d024fe9b1273bf79aff3d7f2" isNormal="1">
            <s:text>
              <s:r>
                <s:t xml:space="preserve">Administrator:
从CAJZ044/CAJZ045/CAJZ046转入</s:t>
              </s:r>
            </s:text>
          </item>
        </commentChain>
      </unresolved>
      <resolved/>
    </commentChains>
    <commentChains s:ref="F1126" rgbClr="FF0000">
      <unresolved>
        <commentChain chainId="dd98ebbd05aa172b9ab4e1daffffb802b87d85c7">
          <item id="8165508ad010a49719a79e55bd25b60ebfe7db52" userID="1475148402" userName="sara" dateTime="2026-06-24T09:06:15" isNormal="0">
            <s:text>
              <s:r>
                <s:t xml:space="preserve">从PO0000292转入</s:t>
              </s:r>
            </s:text>
          </item>
        </commentChain>
      </unresolved>
      <resolved/>
    </commentChains>
    <commentChains s:ref="F1127" rgbClr="FF0000">
      <unresolved>
        <commentChain chainId="d563ea3d9cb62fbd2eaa74292658c02c90f40af2">
          <item id="315534594569cae9484c45faa8ff6feabcd228fb" userID="1475148402" userName="sara" dateTime="2026-06-24T09:06:15" isNormal="0">
            <s:text>
              <s:r>
                <s:t xml:space="preserve">从PO0000292转入</s:t>
              </s:r>
            </s:text>
          </item>
        </commentChain>
      </unresolved>
      <resolved/>
    </commentChains>
    <commentChains s:ref="F1128" rgbClr="FF0000">
      <unresolved>
        <commentChain chainId="58343ee1d71388f459cf2de35553f342258a12a0">
          <item id="d25e3400dd804b6d6165f4261c775c2c1522ff78" userID="1475148402" userName="sara" dateTime="2026-06-24T09:06:15" isNormal="0">
            <s:text>
              <s:r>
                <s:t xml:space="preserve">从PO0000292转入</s:t>
              </s:r>
            </s:text>
          </item>
        </commentChain>
      </unresolved>
      <resolved/>
    </commentChains>
    <commentChains s:ref="F1154" rgbClr="FF0000">
      <unresolved>
        <commentChain chainId="50a9807856e22f02f39614d4c6d1888b2c3ea967">
          <item id="9050abff72e8e94832519d0bf6278dd216e1b702" userID="1475148402" userName="sara" dateTime="2026-07-08T07:18:38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F1155" rgbClr="FF0000">
      <unresolved>
        <commentChain chainId="b812d8ec1286a067af79c3c355d8db88bd59d539">
          <item id="200c5cf9af5d168579df77cc1c9bdb03184450fc" userID="1475148402" userName="sara" dateTime="2026-07-08T07:18:42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F1156" rgbClr="FF0000">
      <unresolved>
        <commentChain chainId="6f8cae392ec359f9584e8f870bfff24582a8e890">
          <item id="191a1eef52877bd059a23de031383fe226919fb4" userID="1475148402" userName="sara" dateTime="2026-07-08T07:18:44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F1157" rgbClr="FF0000">
      <unresolved>
        <commentChain chainId="92f8c169655a496aae3b5fff354ceda5e1111bfa">
          <item id="19a997dad736269d31e5301d6d36a6427e1110c7" userID="1475148402" userName="sara" dateTime="2026-07-08T07:18:47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F1158" rgbClr="FF0000">
      <unresolved>
        <commentChain chainId="68565ec3072b81236b5ea9ab083e7b48b64a4ab8">
          <item id="4715de171be07652eff797e1f068b24c70cd87bf" userID="1475148402" userName="sara" dateTime="2026-07-08T07:18:49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F1159" rgbClr="FF0000">
      <unresolved>
        <commentChain chainId="5c7f4244d699f7202c4bb638491e8c3d2efca05f">
          <item id="4f525db73b3c1913a16450c9531261cd82078b58" userID="1475148402" userName="sara" dateTime="2026-07-08T07:18:49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F1179" rgbClr="FF0000">
      <unresolved>
        <commentChain chainId="97b5ec65df8423740b8896d9491602a761ed7f03">
          <item id="783959d658bf3710c0ccb8c666db051c298b6b5d" userID="1475148402" userName="sara" dateTime="2026-07-22T08:29:58" isNormal="0">
            <s:text>
              <s:r>
                <s:t xml:space="preserve">转3108PCS到PO0000462</s:t>
              </s:r>
            </s:text>
          </item>
        </commentChain>
      </unresolved>
      <resolved/>
    </commentChains>
    <commentChains s:ref="F1184" rgbClr="FF0000">
      <unresolved>
        <commentChain chainId="1b2becd13f4086da7732ac6bf54233e3c8e55edb">
          <item id="cb0bcbbe59a5b8e7168a11231cd7bc21a65ccbf6" userID="1475148402" userName="sara" dateTime="2026-07-22T08:33:39" isNormal="0">
            <s:text>
              <s:r>
                <s:t xml:space="preserve">从PO0000458转入</s:t>
              </s:r>
            </s:text>
          </item>
        </commentChain>
      </unresolved>
      <resolved/>
    </commentChains>
    <commentChains s:ref="F1188" rgbClr="FF0000">
      <unresolved>
        <commentChain chainId="b20062f9b9ad13271fdd8fdeb8ea0a863bdac8f2">
          <item id="1e32d62f8017a0c342fdf88a68a908db8f8741e5" userID="1475148402" userName="sara" dateTime="2026-07-22T08:39:11" isNormal="0">
            <s:text>
              <s:r>
                <s:t xml:space="preserve">从PO0000408转入</s:t>
              </s:r>
            </s:text>
          </item>
        </commentChain>
      </unresolved>
      <resolved/>
    </commentChains>
    <commentChains s:ref="F1189" rgbClr="FF0000">
      <unresolved>
        <commentChain chainId="c6f19b8ad9893fbab6815f469e741b13838ce6dd">
          <item id="e579837c952cc5ec7711a68e1b30a9c1cede4067" userID="1475148402" userName="sara" dateTime="2026-07-22T08:39:11" isNormal="0">
            <s:text>
              <s:r>
                <s:t xml:space="preserve">从PO0000408转入</s:t>
              </s:r>
            </s:text>
          </item>
        </commentChain>
      </unresolved>
      <resolved/>
    </commentChains>
    <commentChains s:ref="F1190" rgbClr="FF0000">
      <unresolved>
        <commentChain chainId="1d432639af5fe94aa0170c4b5393ad8fd7e9962e">
          <item id="c27357aada850ded238800ad5a36732946d655d6" userID="1475148402" userName="sara" dateTime="2026-07-22T08:39:11" isNormal="0">
            <s:text>
              <s:r>
                <s:t xml:space="preserve">从PO0000408转入</s:t>
              </s:r>
            </s:text>
          </item>
        </commentChain>
      </unresolved>
      <resolved/>
    </commentChains>
    <commentChains s:ref="F1203" rgbClr="FF0000">
      <unresolved>
        <commentChain chainId="797ef50d0d462cca28846310b8c71ccc53cbfc95">
          <item id="48f9e8dc53a422d751cda68d9fbdc481e320989c" userID="1475148402" userName="sara" dateTime="2026-07-31T08:32:02" isNormal="0">
            <s:text>
              <s:r>
                <s:t xml:space="preserve">从PO0000266转入4200PCS</s:t>
              </s:r>
            </s:text>
          </item>
          <item id="628ffec4f0c73b219a8033482872812192c3b230" userID="1475148402" userName="sara" dateTime="2026-07-31T08:32:10" isNormal="0">
            <s:text>
              <s:r>
                <s:t xml:space="preserve">从PO0000419转入3600PCS</s:t>
              </s:r>
            </s:text>
          </item>
        </commentChain>
      </unresolved>
      <resolved/>
    </commentChains>
    <commentChains s:ref="F1249" rgbClr="FF0000">
      <unresolved>
        <commentChain chainId="e15e29514e07b0fdb2fce497fa35e463975ab8b4">
          <item id="8f7cdaf3b467d921dec97cea65fb6305aac7c384" userID="1475148402" userName="sara" dateTime="2026-08-07T07:26:57" isNormal="0">
            <s:text>
              <s:r>
                <s:t xml:space="preserve">从PO0000213转入</s:t>
              </s:r>
            </s:text>
          </item>
        </commentChain>
      </unresolved>
      <resolved/>
    </commentChains>
    <commentChains s:ref="F1250" rgbClr="FF0000">
      <unresolved>
        <commentChain chainId="926c3ae279837e473dfdaeba213a95ca83cefdf8">
          <item id="14df7d3f637b4647b0432675a487dbeb46fb5264" userID="1475148402" userName="sara" dateTime="2026-08-07T07:27:04" isNormal="0">
            <s:text>
              <s:r>
                <s:t xml:space="preserve">从PO0000213转入</s:t>
              </s:r>
            </s:text>
          </item>
        </commentChain>
      </unresolved>
      <resolved/>
    </commentChains>
    <commentChains s:ref="F1277" rgbClr="FF0000">
      <unresolved>
        <commentChain chainId="621683b899c1546d03ee65bac421ec08fb729365">
          <item id="9a7fb01b1af3ce474e0d8375449215991c45bacd" userID="1475148402" userName="sara" dateTime="2026-08-13T07:14:26" isNormal="0">
            <s:text>
              <s:r>
                <s:t xml:space="preserve">从PO0000291转入5000PCS</s:t>
              </s:r>
            </s:text>
          </item>
        </commentChain>
      </unresolved>
      <resolved/>
    </commentChains>
    <commentChains s:ref="F1278" rgbClr="FF0000">
      <unresolved>
        <commentChain chainId="b2ef33972a3880e37225a47abc5be1417e490347">
          <item id="4d1e71d2ad9f1d34be3ca9c625322acff9a62338" userID="1475148402" userName="sara" dateTime="2026-08-13T07:08:02" isNormal="0">
            <s:text>
              <s:r>
                <s:t xml:space="preserve">从PO0000322转入5004PCS</s:t>
              </s:r>
            </s:text>
          </item>
        </commentChain>
      </unresolved>
      <resolved/>
    </commentChains>
    <commentChains s:ref="F1279" rgbClr="FF0000">
      <unresolved>
        <commentChain chainId="fac057e5e8845216d1859577fb8a5d478b44efc2">
          <item id="e539d4a9ab1d9cc871befd2327adbe84a72d1736" userID="1475148402" userName="sara" dateTime="2026-08-13T07:09:33" isNormal="0">
            <s:text>
              <s:r>
                <s:t xml:space="preserve">从PO0000404转入4992PCS</s:t>
              </s:r>
            </s:text>
          </item>
        </commentChain>
      </unresolved>
      <resolved/>
    </commentChains>
  </commentList>
  <commentList sheetStid="45">
    <commentChains s:ref="W1" rgbClr="FF0000">
      <unresolved>
        <commentChain chainId="34dcf9107d9e0277c3bf0adcd4976a1888f4660b">
          <item id="61ecd1e55a4c79bb2acae19abde483782db31295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  <commentChains s:ref="J5" rgbClr="FF0000">
      <unresolved>
        <commentChain chainId="8e923fd084340c3a94a2289ac5477329f763fe41">
          <item id="f8b5fa3ad188f20060d8e34c8f2817d0e501e271" isNormal="1">
            <s:text>
              <s:r>
                <s:t xml:space="preserve">Administrator:
转1500PCS到PO0000302</s:t>
              </s:r>
            </s:text>
          </item>
        </commentChain>
      </unresolved>
      <resolved/>
    </commentChains>
    <commentChains s:ref="AU5" rgbClr="FF0000">
      <unresolved>
        <commentChain chainId="88feef1d9cb68963863af8df2b9e65e2afb73c9b">
          <item id="e69fe46c0c66768292c8b7abf20ea5a44b65403d" userID="1715258932" userName="严新荟" dateTime="2026-08-10T05:43:49" isNormal="0">
            <s:text>
              <s:r>
                <s:t xml:space="preserve">1600649 8/8 300 PCS</s:t>
              </s:r>
            </s:text>
          </item>
        </commentChain>
      </unresolved>
      <resolved/>
    </commentChains>
    <commentChains s:ref="AU6" rgbClr="FF0000">
      <unresolved>
        <commentChain chainId="ea736dd95b6582d85d45d0511ae4e4c878b1ca54">
          <item id="129a7161a710fa028cf14606fef31785ab9c7fc8" userID="1715258932" userName="严新荟" dateTime="2026-08-08T02:37:59" isNormal="0">
            <s:text>
              <s:r>
                <s:t xml:space="preserve">1600639 8/6 2004 PCS</s:t>
              </s:r>
            </s:text>
          </item>
        </commentChain>
      </unresolved>
      <resolved/>
    </commentChains>
    <commentChains s:ref="AU7" rgbClr="FF0000">
      <unresolved>
        <commentChain chainId="a770ae01b2110a595e4567338ee62f6cc81eed9c">
          <item id="d0d594ddb3240ca7a5dbd9c88a0a7f3c1c17bc29" userID="1715258932" userName="严新荟" dateTime="2026-08-04T06:17:19" isNormal="0">
            <s:text>
              <s:r>
                <s:t xml:space="preserve">2801937 8/3 1200 pcs</s:t>
              </s:r>
            </s:text>
          </item>
        </commentChain>
      </unresolved>
      <resolved/>
    </commentChains>
    <commentChains s:ref="AU8" rgbClr="FF0000">
      <unresolved>
        <commentChain chainId="9d94beb7e22de7c32a5e0f11eac909bdea60fdf4">
          <item id="9536ce0a1daec6c6d46ade068c33de1f7bf90a1f" userID="1715258932" userName="严新荟" dateTime="2026-08-03T00:27:26" isNormal="0">
            <s:text>
              <s:r>
                <s:t xml:space="preserve">1001611 8/1 2000</s:t>
              </s:r>
            </s:text>
          </item>
        </commentChain>
      </unresolved>
      <resolved/>
    </commentChains>
    <commentChains s:ref="AU9" rgbClr="FF0000">
      <unresolved>
        <commentChain chainId="6b991ea5b8ffcf59b2fbae4e2619582d90da108e">
          <item id="31e4add641320affa3fca389b5caa7ebd9b525ef" userID="1715258932" userName="严新荟" dateTime="2026-08-03T00:27:42" isNormal="0">
            <s:text>
              <s:r>
                <s:t xml:space="preserve">1001611 8/1 3600</s:t>
              </s:r>
            </s:text>
          </item>
        </commentChain>
      </unresolved>
      <resolved/>
    </commentChains>
    <commentChains s:ref="AU12" rgbClr="FF0000">
      <unresolved>
        <commentChain chainId="bb55b3f9602c65172670669dea7b6494372aeb46">
          <item id="73c0316aa022ecdb0a80250e77f664e4e9a696b9" userID="1715258932" userName="严新荟" dateTime="2026-08-03T00:28:15" isNormal="0">
            <s:text>
              <s:r>
                <s:t xml:space="preserve">1001611 8/1  1800 pcs</s:t>
              </s:r>
            </s:text>
          </item>
        </commentChain>
      </unresolved>
      <resolved/>
    </commentChains>
    <commentChains s:ref="J13" rgbClr="FF0000">
      <unresolved>
        <commentChain chainId="f2d4911e7aa01cbec78a215ac98c60191efff2ad">
          <item id="61034340970a5bb9ff5a9fd5e4041dd8eb69f843" isNormal="1">
            <s:text>
              <s:r>
                <s:t xml:space="preserve">Administrator:
转1200PCS到PO0000123</s:t>
              </s:r>
            </s:text>
          </item>
        </commentChain>
      </unresolved>
      <resolved/>
    </commentChains>
    <commentChains s:ref="AU13" rgbClr="FF0000">
      <unresolved>
        <commentChain chainId="ada26e08c27855d3e73f323d929997baabc008b4">
          <item id="be8bd5ab8ecda5d5aae3855d6d3bfddc020a4b3b" userID="1715258932" userName="严新荟" dateTime="2026-08-03T00:28:44" isNormal="0">
            <s:text>
              <s:r>
                <s:t xml:space="preserve">1001611 8/1  600 pcs</s:t>
              </s:r>
            </s:text>
          </item>
        </commentChain>
      </unresolved>
      <resolved/>
    </commentChains>
    <commentChains s:ref="AU14" rgbClr="FF0000">
      <unresolved>
        <commentChain chainId="e96ea6647a6fcc4a940285bcf0ac3257f294ad9f">
          <item id="1dd509afd556323fca3564495f2c156e1db60d12" userID="1715258932" userName="严新荟" dateTime="2026-08-03T00:28:57" isNormal="0">
            <s:text>
              <s:r>
                <s:t xml:space="preserve">1001611 8/1  2280 pcs</s:t>
              </s:r>
            </s:text>
          </item>
        </commentChain>
      </unresolved>
      <resolved/>
    </commentChains>
    <commentChains s:ref="AU15" rgbClr="FF0000">
      <unresolved>
        <commentChain chainId="52cd033862204370f86cc7b9480689362bcd4c18">
          <item id="6222cdb290a992183b2c24b985aad3ab8c192413" userID="1715258932" userName="严新荟" dateTime="2026-08-03T00:29:24" isNormal="0">
            <s:text>
              <s:r>
                <s:t xml:space="preserve">1001611 8/1  2400 pcs</s:t>
              </s:r>
            </s:text>
          </item>
        </commentChain>
      </unresolved>
      <resolved/>
    </commentChains>
    <commentChains s:ref="J19" rgbClr="FF0000">
      <unresolved>
        <commentChain chainId="5c0fce6864a7ba47369f467eed4580a28bb36c37">
          <item id="a6910ed6d9a3c9c7aab8dfcb377581643036358f" isNormal="1">
            <s:text>
              <s:r>
                <s:t xml:space="preserve">Administrator:
转1500PCS到PO0000302
从PO0000302退回1500PCS</s:t>
              </s:r>
            </s:text>
          </item>
        </commentChain>
      </unresolved>
      <resolved/>
    </commentChains>
    <commentChains s:ref="AU20" rgbClr="FF0000">
      <unresolved>
        <commentChain chainId="05fdcf15e19dec298e896ed5c88dda3a59218800">
          <item id="980923abd6e36db76d90bf338940d50a3ce91137" userID="1715258932" userName="严新荟" dateTime="2026-08-05T01:41:38" isNormal="0">
            <s:text>
              <s:r>
                <s:t xml:space="preserve">2801947 8/4 3360 PCS
2801948 8/5 24 pcs</s:t>
              </s:r>
            </s:text>
          </item>
        </commentChain>
      </unresolved>
      <resolved/>
    </commentChains>
    <commentChains s:ref="J21" rgbClr="FF0000">
      <unresolved>
        <commentChain chainId="11d190321e9b14ae40f87c9fee9931db25821369">
          <item id="70c05f06d280ccbe1f341033c61aae6e70b4b1ef" isNormal="1">
            <s:text>
              <s:r>
                <s:t xml:space="preserve">Administrator:
从CAJZ044/CAJZ045/CAJZ046转入</s:t>
              </s:r>
            </s:text>
          </item>
        </commentChain>
      </unresolved>
      <resolved/>
    </commentChains>
    <commentChains s:ref="AU22" rgbClr="FF0000">
      <unresolved>
        <commentChain chainId="070318c6669aa432b1ead27be650d13ea9b7d6dc">
          <item id="e6eddd7b85e5565d9bd980c11f25b1e6e7a8e721" userID="1715258932" userName="严新荟" dateTime="2026-08-10T06:06:41" isNormal="0">
            <s:text>
              <s:r>
                <s:t xml:space="preserve">1600649 8/8 24 pcs
1600642 8/8 384 pcs</s:t>
              </s:r>
            </s:text>
          </item>
        </commentChain>
      </unresolved>
      <resolved/>
    </commentChains>
    <commentChains s:ref="AU24" rgbClr="FF0000">
      <unresolved>
        <commentChain chainId="09750df93ca45b4545ca82d0cfe3f391476f87f1">
          <item id="8311588f4bd5528e857ae57dd7bba099ba533696" userID="1715258932" userName="严新荟" dateTime="2026-08-18T00:19:20" isNormal="0">
            <s:text>
              <s:r>
                <s:t xml:space="preserve">8/15 </s:t>
              </s:r>
            </s:text>
          </item>
        </commentChain>
      </unresolved>
      <resolved/>
    </commentChains>
    <commentChains s:ref="AW25" rgbClr="FF0000">
      <unresolved>
        <commentChain chainId="bca5cb5389d31179a7f917237ebcfa783d63ca93">
          <item id="8882e49a682637044a194b0483066d9a802cd213" userID="1715258932" userName="严新荟" dateTime="2026-07-23T07:34:35" isNormal="0">
            <s:text>
              <s:r>
                <s:t xml:space="preserve">7/23 印尼客贴纸 816 pcs</s:t>
              </s:r>
            </s:text>
          </item>
        </commentChain>
      </unresolved>
      <resolved/>
    </commentChains>
  </commentList>
  <commentList sheetStid="57">
    <commentChains s:ref="W1" rgbClr="FF0000">
      <unresolved>
        <commentChain chainId="d5b574338d608c69f69e53f1fb786d4949d56ea8">
          <item id="d5a5e9fcef3e6ab95a4eaeca006b7375052a1df4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  <commentChains s:ref="AU3" rgbClr="FF0000">
      <unresolved>
        <commentChain chainId="1e45c73480cefddf8f68f1b370242553d228e9c5">
          <item id="aa7c104e11e62efb1767dc8bdca219326bb99d5f" isNormal="1">
            <s:text>
              <s:r>
                <s:t xml:space="preserve">Administrator:
2500265 5/25 20976 pcs</s:t>
              </s:r>
            </s:text>
          </item>
        </commentChain>
      </unresolved>
      <resolved/>
    </commentChains>
    <commentChains s:ref="AU4" rgbClr="FF0000">
      <unresolved>
        <commentChain chainId="e1c272f1f6531817a5bc1cbd3c4aa83f144979ad">
          <item id="8c16beb6311a0b90e63573d3b229ca005739f665" isNormal="1">
            <s:text>
              <s:r>
                <s:t xml:space="preserve">Administrator:
1405354 4/9 32 PCS 
1405395 4/6 2976</s:t>
              </s:r>
            </s:text>
          </item>
        </commentChain>
      </unresolved>
      <resolved/>
    </commentChains>
    <commentChains s:ref="AU5" rgbClr="FF0000">
      <unresolved>
        <commentChain chainId="47dad5bfc4e4289401d5556e616d6add4cbe23fc">
          <item id="4042682b5155399c0848df2df038c495b571645a" isNormal="1">
            <s:text>
              <s:r>
                <s:t xml:space="preserve">Administrator:
1403560 5/22 6240 pcs</s:t>
              </s:r>
            </s:text>
          </item>
        </commentChain>
      </unresolved>
      <resolved/>
    </commentChains>
    <commentChains s:ref="AU11" rgbClr="FF0000">
      <unresolved>
        <commentChain chainId="6a79f0e75838ca4b2f65b18cde9f18139cda0296">
          <item id="ac1540a5b93c36fb8e7a32f938cc8bad9a6496ba" userID="1715258932" userName="严新荟" dateTime="2026-07-21T00:32:14" isNormal="0">
            <s:text>
              <s:r>
                <s:t xml:space="preserve">2200203 7/20 204 PCS</s:t>
              </s:r>
            </s:text>
          </item>
        </commentChain>
      </unresolved>
      <resolved/>
    </commentChains>
    <commentChains s:ref="AU12" rgbClr="FF0000">
      <unresolved>
        <commentChain chainId="9893c8688df188fc7698b782c2352acdf801b804">
          <item id="66c9ffe044b247f590e3dcf934dc73efe75e9311" isNormal="1">
            <s:text>
              <s:r>
                <s:t xml:space="preserve">Administrator:
2500294 6/2 16320 pcs
2500389 6/5 3632 pcs
2500386 6/4 4320 pcs
2500382 6/3 11040 pcs
2500157 6/8 9120 pcs
2500175 6/11 4368 PCS
2500172 6/10 2400 pcs</s:t>
              </s:r>
            </s:text>
          </item>
        </commentChain>
      </unresolved>
      <resolved/>
    </commentChains>
    <commentChains s:ref="AU13" rgbClr="FF0000">
      <unresolved>
        <commentChain chainId="426d49645218a3f400c2d05aaa48b5af3f71355c">
          <item id="14776e82346a70edb6d7c13bc87dc059ae34c110" isNormal="1">
            <s:text>
              <s:r>
                <s:t xml:space="preserve">Administrator:
1403747 5/6 7488 PCS 
1403471 5/11 12 PCS </s:t>
              </s:r>
            </s:text>
          </item>
        </commentChain>
      </unresolved>
      <resolved/>
    </commentChains>
    <commentChains s:ref="AU14" rgbClr="FF0000">
      <unresolved>
        <commentChain chainId="fa395f935cddb44d1d6414c0514e7e208ed58b74">
          <item id="59c3278f0d986b04d78ba1a071e16fcb921c5dc3" isNormal="1">
            <s:text>
              <s:r>
                <s:t xml:space="preserve">Administrator:
2500153 5/29 4992 PCS</s:t>
              </s:r>
            </s:text>
          </item>
        </commentChain>
      </unresolved>
      <resolved/>
    </commentChains>
    <commentChains s:ref="AU15" rgbClr="FF0000">
      <unresolved>
        <commentChain chainId="6c464595d06bcb76d323632fe0f147a6296611e3">
          <item id="80f79c3b8246af036e27f99bc17bd0b26dd018a1" isNormal="1">
            <s:text>
              <s:r>
                <s:t xml:space="preserve">Administrator:
1403388 5/4 5004 pcs</s:t>
              </s:r>
            </s:text>
          </item>
        </commentChain>
      </unresolved>
      <resolved/>
    </commentChains>
    <commentChains s:ref="AU17" rgbClr="FF0000">
      <unresolved>
        <commentChain chainId="baa75c927f61e33b38d4feaa7172ea7c3e4c9c39">
          <item id="ecf9fd52557e91d6c5b1a89ca364b6c5509dd007" userID="1715258932" userName="严新荟" dateTime="2026-06-16T02:17:02" isNormal="0">
            <s:text>
              <s:r>
                <s:t xml:space="preserve">2500323 6/15 3864 pcs
2500197 6/18 84 pcs</s:t>
              </s:r>
            </s:text>
          </item>
        </commentChain>
      </unresolved>
      <resolved/>
    </commentChains>
    <commentChains s:ref="J19" rgbClr="FF0000">
      <unresolved>
        <commentChain chainId="f8940db1e526f5b87bbfe3f92f072c0392545d5a">
          <item id="1ff3538840eda9929244b48f7d475803af44be07" isNormal="1">
            <s:text>
              <s:r>
                <s:t xml:space="preserve">Administrator:
从PO0000149转入1365PCS
从PO0000149转入925PCS
从PO0000188转入215PCS
</s:t>
              </s:r>
            </s:text>
          </item>
        </commentChain>
      </unresolved>
      <resolved/>
    </commentChains>
    <commentChains s:ref="AU19" rgbClr="FF0000">
      <unresolved>
        <commentChain chainId="c107c554ddf1d64d9f06ac50d9d121b023e00734">
          <item id="78ca8d05cfa51608a672b169820016a249bc2c80" userID="1715258932" userName="严新荟" dateTime="2026-07-20T06:26:33" isNormal="0">
            <s:text>
              <s:r>
                <s:t xml:space="preserve">2200182 7/18 750 pcs
2200207 7/21 1755 pcs</s:t>
              </s:r>
            </s:text>
          </item>
        </commentChain>
      </unresolved>
      <resolved/>
    </commentChains>
    <commentChains s:ref="AU20" rgbClr="FF0000">
      <unresolved>
        <commentChain chainId="5ae08979bff51192e08a3e1daa826ccc666626b6">
          <item id="fd7620884c6737a499e0828a25b31ae20947b12b" userID="1715258932" userName="严新荟" dateTime="2026-07-20T06:26:33" isNormal="0">
            <s:text>
              <s:r>
                <s:t xml:space="preserve">2200182 7/18 995 pcs</s:t>
              </s:r>
            </s:text>
          </item>
        </commentChain>
      </unresolved>
      <resolved/>
    </commentChains>
    <commentChains s:ref="J21" rgbClr="FF0000">
      <unresolved>
        <commentChain chainId="b46979f19d20a6a41405d37427bd073fcdacfe94">
          <item id="f762a31501b3a1203c9b92884e46c9d41f9df13b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AU21" rgbClr="FF0000">
      <unresolved>
        <commentChain chainId="0ad8082b49e86034778c878fc5285f0793e7b2ba">
          <item id="fff97a413d2d4b415f0d976df80212bf81d56ac9" userID="1715258932" userName="严新荟" dateTime="2026-07-31T01:45:53" isNormal="0">
            <s:text>
              <s:r>
                <s:t xml:space="preserve">2801918 7/30 1710 pcs</s:t>
              </s:r>
            </s:text>
          </item>
        </commentChain>
      </unresolved>
      <resolved/>
    </commentChains>
    <commentChains s:ref="J22" rgbClr="FF0000">
      <unresolved>
        <commentChain chainId="705503d2474665e89b28bdfdff4098161002502a">
          <item id="3380193b464c8481b65021d39e12c96b089e5fca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AU22" rgbClr="FF0000">
      <unresolved>
        <commentChain chainId="492c96b31f12a940e6cbdbb99bf952a11bb90571">
          <item id="1218907f69d17c98cdd0bbfb6d9003251dbaf4f4" userID="1715258932" userName="严新荟" dateTime="2026-08-03T00:37:24" isNormal="0">
            <s:text>
              <s:r>
                <s:t xml:space="preserve">2801929 8/1 1710 pcs</s:t>
              </s:r>
            </s:text>
          </item>
        </commentChain>
      </unresolved>
      <resolved/>
    </commentChains>
    <commentChains s:ref="J23" rgbClr="FF0000">
      <unresolved>
        <commentChain chainId="cd902751282537e6e53b6ae12f109980a105dfd2">
          <item id="1a3a200b0a2f5346631805c189ea7f17f4613125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J24" rgbClr="FF0000">
      <unresolved>
        <commentChain chainId="bd3871f50065ed9728b503ad95ca09b585417fcb">
          <item id="600ad53cd73a2fe46de844993ee33a2f38ac874d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J25" rgbClr="FF0000">
      <unresolved>
        <commentChain chainId="dca63a6b890f98810f57e7593b07ce0b44670f60">
          <item id="0cc25da28797caa93228acc8f70fe320dc54cebe" isNormal="1">
            <s:text>
              <s:r>
                <s:t xml:space="preserve">Administrator:
从PO0000149转入</s:t>
              </s:r>
            </s:text>
          </item>
        </commentChain>
      </unresolved>
      <resolved/>
    </commentChains>
    <commentChains s:ref="AU26" rgbClr="FF0000">
      <unresolved>
        <commentChain chainId="83f29519aba3a55cd7ad90646f3b5e939fc50178">
          <item id="37e1309de6d97dad73696ff1790374181b04b4f9" userID="1715258932" userName="严新荟" dateTime="2026-08-17T01:33:07" isNormal="0">
            <s:text>
              <s:r>
                <s:t xml:space="preserve">2200634 8/14 3192 pcs</s:t>
              </s:r>
            </s:text>
          </item>
        </commentChain>
      </unresolved>
      <resolved/>
    </commentChains>
    <commentChains s:ref="AU27" rgbClr="FF0000">
      <unresolved>
        <commentChain chainId="e044de023bde35b5a02750bb91a6ab1d3d6ad60e">
          <item id="790e8a20cba06cf2bc6f5610a0fc7478f455aa99" userID="1715258932" userName="严新荟" dateTime="2026-08-17T01:35:02" isNormal="0">
            <s:text>
              <s:r>
                <s:t xml:space="preserve">2200633 8/14 2136 pcs</s:t>
              </s:r>
            </s:text>
          </item>
        </commentChain>
      </unresolved>
      <resolved/>
    </commentChains>
    <commentChains s:ref="AU28" rgbClr="FF0000">
      <unresolved>
        <commentChain chainId="e78237d363aa1eb1c0291c313f7c363db4fbcf33">
          <item id="6b89311be5c6c523e76a326d5f0c3231f177eb8e" userID="1715258932" userName="严新荟" dateTime="2026-08-17T01:34:17" isNormal="0">
            <s:text>
              <s:r>
                <s:t xml:space="preserve">2200633 8/14 1856 pcs</s:t>
              </s:r>
            </s:text>
          </item>
        </commentChain>
      </unresolved>
      <resolved/>
    </commentChains>
    <commentChains s:ref="AU30" rgbClr="FF0000">
      <unresolved>
        <commentChain chainId="8f56a396bb99fa5658c2065148789b65889e38d4">
          <item id="2c0d46efaf285352c965c71a994fd74702d1d563" userID="1715258932" userName="严新荟" dateTime="2026-08-04T06:21:13" isNormal="0">
            <s:text>
              <s:r>
                <s:t xml:space="preserve">2801936 8/3 1040 pcs</s:t>
              </s:r>
            </s:text>
          </item>
        </commentChain>
      </unresolved>
      <resolved/>
    </commentChains>
    <commentChains s:ref="AU31" rgbClr="FF0000">
      <unresolved>
        <commentChain chainId="9a1414f36b1f822b7e2967aea4a659ed1616f792">
          <item id="64f39414b22597473592a095ec6bf30561e66b4f" userID="1715258932" userName="严新荟" dateTime="2026-08-12T01:21:13" isNormal="0">
            <s:text>
              <s:r>
                <s:t xml:space="preserve">2200619 8/10 2664 pcs
2200631 8/14 24 PCS</s:t>
              </s:r>
            </s:text>
          </item>
        </commentChain>
      </unresolved>
      <resolved/>
    </commentChains>
    <commentChains s:ref="AU32" rgbClr="FF0000">
      <unresolved>
        <commentChain chainId="f26b4796252b3a1bb0de96a7bc1eec519289f7ac">
          <item id="d0ac1941e7ae3ac41ace34859483ffcef8a7aa51" userID="1715258932" userName="严新荟" dateTime="2026-08-12T01:20:52" isNormal="0">
            <s:text>
              <s:r>
                <s:t xml:space="preserve">2200619 8/10 2136 pcs
2200633 8/14 24 pcs</s:t>
              </s:r>
            </s:text>
          </item>
        </commentChain>
      </unresolved>
      <resolved/>
    </commentChains>
    <commentChains s:ref="AU33" rgbClr="FF0000">
      <unresolved>
        <commentChain chainId="56c915d4c86d24a80440fabd27c44a4fb276be68">
          <item id="af3eb5ab30e2cad6e479f1c668b78246c9afba4d" userID="1715258932" userName="严新荟" dateTime="2026-07-21T00:33:32" isNormal="0">
            <s:text>
              <s:r>
                <s:t xml:space="preserve">2200203 7/20 19992 PCS
2200233 7/23 24 pcs</s:t>
              </s:r>
            </s:text>
          </item>
        </commentChain>
      </unresolved>
      <resolved/>
    </commentChains>
    <commentChains s:ref="AU34" rgbClr="FF0000">
      <unresolved>
        <commentChain chainId="9a760f3c1c0f86ee66e93bf7667e07af9dd1db56">
          <item id="febe78f15126ff09307e9534311073db4d26906f" userID="1715258932" userName="严新荟" dateTime="2026-08-04T06:16:20" isNormal="0">
            <s:text>
              <s:r>
                <s:t xml:space="preserve">2801937  8/3 16776 pcs
1801947 8/4 3240 PCS</s:t>
              </s:r>
            </s:text>
          </item>
        </commentChain>
      </unresolved>
      <resolved/>
    </commentChains>
    <commentChains s:ref="AU35" rgbClr="FF0000">
      <unresolved>
        <commentChain chainId="f722ce2d73979ff89d9d3e5f65445cbbcdbf6abd">
          <item id="d71ca56bebd67eedec1a4e4308e9ed4713c74886" userID="1715258932" userName="严新荟" dateTime="2026-07-29T03:27:06" isNormal="0">
            <s:text>
              <s:r>
                <s:t xml:space="preserve">2801909 7/28 19944 PCS
2801912 7/29 24 pcs</s:t>
              </s:r>
            </s:text>
          </item>
        </commentChain>
      </unresolved>
      <resolved/>
    </commentChains>
    <commentChains s:ref="AU36" rgbClr="FF0000">
      <unresolved>
        <commentChain chainId="a078ba8b57a5d4920fa4d28ff6206b7917464435">
          <item id="4cda56644598943cc03533fc450991734cd0675e" userID="1715258932" userName="严新荟" dateTime="2026-08-05T01:43:06" isNormal="0">
            <s:text>
              <s:r>
                <s:t xml:space="preserve">2801947 8/4 23208 PCS
2801948 8/5 16800 PCS</s:t>
              </s:r>
            </s:text>
          </item>
        </commentChain>
      </unresolved>
      <resolved/>
    </commentChains>
    <commentChains s:ref="J38" rgbClr="FF0000">
      <unresolved>
        <commentChain chainId="55431bec0293a4c85905c7cc94190ab55e02785b">
          <item id="713ff9f9b64842afa2915764b49cdfd2d5b56580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AU38" rgbClr="FF0000">
      <unresolved>
        <commentChain chainId="f5a96dc18a7ae92a5140230a4759f502905bf475">
          <item id="b62dda38a69c823d78f23d75553a2c4c57d16023" userID="1715258932" userName="严新荟" dateTime="2026-07-28T02:20:25" isNormal="0">
            <s:text>
              <s:r>
                <s:t xml:space="preserve">2801903 7/27 1680 pcs</s:t>
              </s:r>
            </s:text>
          </item>
        </commentChain>
      </unresolved>
      <resolved/>
    </commentChains>
    <commentChains s:ref="J39" rgbClr="FF0000">
      <unresolved>
        <commentChain chainId="46431a0bb95b83da784005e344a54d75206f2428">
          <item id="e0b9158ea90ac830e536d2927fa1d9c314df661d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AU39" rgbClr="FF0000">
      <unresolved>
        <commentChain chainId="0fad053e4bfc437a7d73dd6e4542bc279feb9f21">
          <item id="5588c52ae7e7690f904b8cad589a73e1a838e1ef" userID="1715258932" userName="严新荟" dateTime="2026-07-29T03:30:52" isNormal="0">
            <s:text>
              <s:r>
                <s:t xml:space="preserve">2801905 7/28 1404 PCS
2801912 7/29 12 pcs</s:t>
              </s:r>
            </s:text>
          </item>
        </commentChain>
      </unresolved>
      <resolved/>
    </commentChains>
    <commentChains s:ref="J40" rgbClr="FF0000">
      <unresolved>
        <commentChain chainId="94f27eabbb64b185bcd37c50834811a4aeb23b1d">
          <item id="e64e43062338f813d173e73addcf470cc13da769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AU40" rgbClr="FF0000">
      <unresolved>
        <commentChain chainId="2263ef8cfa5fffbe241b140cd1c9b425a6eea06d">
          <item id="50f6aeb191421e31f3b9177e9b0097ad3b51f010" userID="1715258932" userName="严新荟" dateTime="2026-08-17T01:14:19" isNormal="0">
            <s:text>
              <s:r>
                <s:t xml:space="preserve">2200212 8/15 12 pcs
2200633 8/14 1788 PCS</s:t>
              </s:r>
            </s:text>
          </item>
        </commentChain>
      </unresolved>
      <resolved/>
    </commentChains>
    <commentChains s:ref="J41" rgbClr="FF0000">
      <unresolved>
        <commentChain chainId="3e43bf7dd1589c1cfbdd5e39367d8bf128b13a75">
          <item id="d41742ca468e9c0ed40844456e64e697788d3fa2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AU42" rgbClr="FF0000">
      <unresolved>
        <commentChain chainId="93b37f645a12fec622333fbbfa21bb1cf4148408">
          <item id="177648506635cc675e6bac219f5fd4f89ad212a1" userID="1715258932" userName="严新荟" dateTime="2026-07-31T01:45:53" isNormal="0">
            <s:text>
              <s:r>
                <s:t xml:space="preserve">2801918 7/30 2790 pcs</s:t>
              </s:r>
            </s:text>
          </item>
        </commentChain>
      </unresolved>
      <resolved/>
    </commentChains>
    <commentChains s:ref="AU43" rgbClr="FF0000">
      <unresolved>
        <commentChain chainId="08e8eab1834da10209be7e4936219cfe5713ef95">
          <item id="c955acf5cc500ae5cf8ba81410b4f61fca598b57" userID="1715258932" userName="严新荟" dateTime="2026-08-03T01:03:30" isNormal="0">
            <s:text>
              <s:r>
                <s:t xml:space="preserve">2801929 8/1 6215 pcs</s:t>
              </s:r>
            </s:text>
          </item>
        </commentChain>
      </unresolved>
      <resolved/>
    </commentChains>
    <commentChains s:ref="AU47" rgbClr="FF0000">
      <unresolved>
        <commentChain chainId="fb0e4060799e3a81789277cabda12c3a58c56256">
          <item id="1be7554de2aee8791cb6c476a26851ad1aeacb9f" userID="1715258932" userName="严新荟" dateTime="2026-07-28T02:20:46" isNormal="0">
            <s:text>
              <s:r>
                <s:t xml:space="preserve">2801903 7/27 1800 pcs</s:t>
              </s:r>
            </s:text>
          </item>
        </commentChain>
      </unresolved>
      <resolved/>
    </commentChains>
    <commentChains s:ref="AU48" rgbClr="FF0000">
      <unresolved>
        <commentChain chainId="03378a3565d5df18b8ad76b536465335f1c0c548">
          <item id="4e52812e9dca836ab0236429dfa88be15ea747e6" userID="1715258932" userName="严新荟" dateTime="2026-07-31T01:59:25" isNormal="0">
            <s:text>
              <s:r>
                <s:t xml:space="preserve">2801916 7/30 1800 pcs</s:t>
              </s:r>
            </s:text>
          </item>
        </commentChain>
      </unresolved>
      <resolved/>
    </commentChains>
    <commentChains s:ref="J54" rgbClr="FF0000">
      <unresolved>
        <commentChain chainId="4efe046c90823ad615b39a84370819313fc51d17">
          <item id="4ff4d9df39de62127bb9b4b03c4664c92261bdbc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54" rgbClr="FF0000">
      <unresolved>
        <commentChain chainId="906d5289c1de2b8ecb486e54a2e9ee10f3dbdfa2">
          <item id="14f0e7e4599bbbb443713e0a52a3907b01dae198" userID="1715258932" userName="严新荟" dateTime="2026-07-28T02:19:16" isNormal="0">
            <s:text>
              <s:r>
                <s:t xml:space="preserve">2801903 7/27 2352 pcs
1600644 8/8 60 pcs</s:t>
              </s:r>
            </s:text>
          </item>
        </commentChain>
      </unresolved>
      <resolved/>
    </commentChains>
    <commentChains s:ref="J55" rgbClr="FF0000">
      <unresolved>
        <commentChain chainId="a1cdc110aba536159602f1f8ce0ad65c5f828edd">
          <item id="c0b10c15b9201da33d4b9f2d3eaddce7e695221f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55" rgbClr="FF0000">
      <unresolved>
        <commentChain chainId="f05ac9d0f0ba689842234b5c9117c673a63e38f3">
          <item id="e26097c0010fe11c5a41df9df568d33dd759ad66" userID="1715258932" userName="严新荟" dateTime="2026-08-12T00:42:04" isNormal="0">
            <s:text>
              <s:r>
                <s:t xml:space="preserve">2200623 8/11 2964 pcs</s:t>
              </s:r>
            </s:text>
          </item>
        </commentChain>
      </unresolved>
      <resolved/>
    </commentChains>
    <commentChains s:ref="J56" rgbClr="FF0000">
      <unresolved>
        <commentChain chainId="51239bf115434891562632471d29f8573f8ba053">
          <item id="afd7ffb4983b1e648d03bd81a6c8fdc98ba2ecf2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J57" rgbClr="FF0000">
      <unresolved>
        <commentChain chainId="503a9689c075687e0edf77d42c165983939d8975">
          <item id="f354e70716cab34268176ebbde432fddca400ed6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J58" rgbClr="FF0000">
      <unresolved>
        <commentChain chainId="7cf21b0a50e39687dd61b5f0387fa8287ff88e23">
          <item id="8297a548330baf36ad3727ab198f970430324306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J59" rgbClr="FF0000">
      <unresolved>
        <commentChain chainId="4ef4f93a0a3355bf81c6481b7bb17e891ab85193">
          <item id="b478c9845560e3eae829e579cac92d5a2b7096ce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61" rgbClr="FF0000">
      <unresolved>
        <commentChain chainId="ec0b972e4853c732635f45ff15c0fb5a12ca6c69">
          <item id="c3b3310ff1cfbe415ac43fd3f8caeefcf806864b" userID="1715258932" userName="严新荟" dateTime="2026-07-27T02:31:48" isNormal="0">
            <s:text>
              <s:r>
                <s:t xml:space="preserve">2200254 7/25 48 pcs
2200250 7/25 2352 pcs</s:t>
              </s:r>
            </s:text>
          </item>
        </commentChain>
      </unresolved>
      <resolved/>
    </commentChains>
    <commentChains s:ref="AU62" rgbClr="FF0000">
      <unresolved>
        <commentChain chainId="ce720642df24b950ea05f49c1c5ab85b33c699ed">
          <item id="1018329e4b77778f46b0679b762b0e16935eefe1" userID="1715258932" userName="严新荟" dateTime="2026-07-21T00:34:22" isNormal="0">
            <s:text>
              <s:r>
                <s:t xml:space="preserve">2200203 7/20 3576 PCS
2200233 7/23 24 pcs</s:t>
              </s:r>
            </s:text>
          </item>
        </commentChain>
      </unresolved>
      <resolved/>
    </commentChains>
    <commentChains s:ref="AU63" rgbClr="FF0000">
      <unresolved>
        <commentChain chainId="bab8ef3076a01f535159b5a6e373b113b2ebbf4b">
          <item id="44039921a2366a48977e828fb3a8b7f98143ce54" userID="1715258932" userName="严新荟" dateTime="2026-07-24T02:05:37" isNormal="0">
            <s:text>
              <s:r>
                <s:t xml:space="preserve">2200233 7/23 1800 pcs</s:t>
              </s:r>
            </s:text>
          </item>
        </commentChain>
      </unresolved>
      <resolved/>
    </commentChains>
    <commentChains s:ref="AU64" rgbClr="FF0000">
      <unresolved>
        <commentChain chainId="78230e1286285811a506fb80e9290e8b0c41f035">
          <item id="e57d934228db058d4bf48a4eb40c2ee20251abcf" userID="1715258932" userName="严新荟" dateTime="2026-07-16T03:05:03" isNormal="0">
            <s:text>
              <s:r>
                <s:t xml:space="preserve">2200164 7/15 1404 pcs</s:t>
              </s:r>
            </s:text>
          </item>
        </commentChain>
      </unresolved>
      <resolved/>
    </commentChains>
    <commentChains s:ref="AU65" rgbClr="FF0000">
      <unresolved>
        <commentChain chainId="9c5c6cbf558c27083d54c3d2821fcaacd323e527">
          <item id="c15161c7039daacda5e51ac18e5e8e87e9ffcc26" userID="1715258932" userName="严新荟" dateTime="2026-07-27T02:32:16" isNormal="0">
            <s:text>
              <s:r>
                <s:t xml:space="preserve">2200254 7/25 8 pcs
2200250 7/25 472 pcs</s:t>
              </s:r>
            </s:text>
          </item>
        </commentChain>
      </unresolved>
      <resolved/>
    </commentChains>
    <commentChains s:ref="AU66" rgbClr="FF0000">
      <unresolved>
        <commentChain chainId="df0245cd98d3d1ed7c64721eaa9c85b26bd851f4">
          <item id="944d271f98e7813d1a84fd0aca87bd4139cca46f" userID="1715258932" userName="严新荟" dateTime="2026-07-27T02:33:29" isNormal="0">
            <s:text>
              <s:r>
                <s:t xml:space="preserve">2200254 7/25 1200 pcs</s:t>
              </s:r>
            </s:text>
          </item>
        </commentChain>
      </unresolved>
      <resolved/>
    </commentChains>
    <commentChains s:ref="AU67" rgbClr="FF0000">
      <unresolved>
        <commentChain chainId="fe343db81f1fe25bdcaff6ea0e38011d34d525e2">
          <item id="ee81c034e3af2195d96ee77b38629cb481bbf6ff" userID="1715258932" userName="严新荟" dateTime="2026-07-27T02:31:16" isNormal="0">
            <s:text>
              <s:r>
                <s:t xml:space="preserve">2200254 7/25 1800 pcs
2200250 7/25 17610 pcs
2801903 7/27 594 pcs</s:t>
              </s:r>
            </s:text>
          </item>
        </commentChain>
      </unresolved>
      <resolved/>
    </commentChains>
    <commentChains s:ref="AU72" rgbClr="FF0000">
      <unresolved>
        <commentChain chainId="841a08c6d32075ad1ee43f39bfa3fd6abf4fa035">
          <item id="20d0fa9fbab61695043f23be870e748645bfa57f" userID="1715258932" userName="严新荟" dateTime="2026-07-14T01:55:57" isNormal="0">
            <s:text>
              <s:r>
                <s:t xml:space="preserve">2200128 7/13 960 pcs</s:t>
              </s:r>
            </s:text>
          </item>
        </commentChain>
      </unresolved>
      <resolved/>
    </commentChains>
    <commentChains s:ref="J73" rgbClr="FF0000">
      <unresolved>
        <commentChain chainId="5f574759daf2568d815f067f011ecc0bbb2c52d2">
          <item id="1c0d882849f7475582bd8083df6ac4450894d192" userID="1475148402" userName="sara" dateTime="2026-08-13T07:05:21" isNormal="0">
            <s:text>
              <s:r>
                <s:t xml:space="preserve">转5000PCS到PO0000498</s:t>
              </s:r>
            </s:text>
          </item>
        </commentChain>
      </unresolved>
      <resolved/>
    </commentChains>
    <commentChains s:ref="J75" rgbClr="FF0000">
      <unresolved>
        <commentChain chainId="3106adf35e9e61d9b65f141bc45a60cac53962ec">
          <item id="f97d270bcd61e5529b0b3be91d11aaa95ac64514" isNormal="1">
            <s:text>
              <s:r>
                <s:t xml:space="preserve">Administrator:
转1200PCS到PO0000335-1</s:t>
              </s:r>
            </s:text>
          </item>
        </commentChain>
      </unresolved>
      <resolved/>
    </commentChains>
    <commentChains s:ref="AU77" rgbClr="FF0000">
      <unresolved>
        <commentChain chainId="58be68d6fe1e0649ba2e0e20bb58b7dbcaaad93b">
          <item id="4f0d57391b4005e8c20de2804b2b1904a7433124" userID="1715258932" userName="严新荟" dateTime="2026-08-05T01:42:11" isNormal="0">
            <s:text>
              <s:r>
                <s:t xml:space="preserve">2801947 8/4 2016 PCS</s:t>
              </s:r>
            </s:text>
          </item>
        </commentChain>
      </unresolved>
      <resolved/>
    </commentChains>
    <commentChains s:ref="AU79" rgbClr="FF0000">
      <unresolved>
        <commentChain chainId="934fc8d39e4f1e9116fb52f5a15f43070de3fd8f">
          <item id="5efa03d45c52ecef170bc25998e2bc72e51bfffc" userID="1715258932" userName="严新荟" dateTime="2026-08-17T01:31:56" isNormal="0">
            <s:text>
              <s:r>
                <s:t xml:space="preserve">2200634 8/14 19968 pcs
2200215 8/15 48 PCS</s:t>
              </s:r>
            </s:text>
          </item>
        </commentChain>
      </unresolved>
      <resolved/>
    </commentChains>
    <commentChains s:ref="AU81" rgbClr="FF0000">
      <unresolved>
        <commentChain chainId="d816b794347f344dfdf658c344e0eb753257b70d">
          <item id="7db613d6218d6168d83cad94584af486711fb7a3" userID="1715258932" userName="严新荟" dateTime="2026-08-07T01:32:39" isNormal="0">
            <s:text>
              <s:r>
                <s:t xml:space="preserve">1600631 8/6 30216 pcs
2200619 8/10 17304 PCS</s:t>
              </s:r>
            </s:text>
          </item>
        </commentChain>
      </unresolved>
      <resolved/>
    </commentChains>
    <commentChains s:ref="AU82" rgbClr="FF0000">
      <unresolved>
        <commentChain chainId="41de4ed9a74817d0983893f7df25b0271874d9a5">
          <item id="addbbd2ff61fecc59acad80c3febf917834b4182" userID="1715258932" userName="严新荟" dateTime="2026-06-30T01:25:42" isNormal="0">
            <s:text>
              <s:r>
                <s:t xml:space="preserve">2200026 6/29 2448 PCS</s:t>
              </s:r>
            </s:text>
          </item>
        </commentChain>
      </unresolved>
      <resolved/>
    </commentChains>
    <commentChains s:ref="AW82" rgbClr="FF0000">
      <unresolved>
        <commentChain chainId="854eddfa35e8f626c614af0aa992d152be978639">
          <item id="ef9403873bc9e6c0067f3dd3213d8cd19db8bbea" userID="1715258932" userName="严新荟" dateTime="2026-08-15T03:36:56" isNormal="0">
            <s:text>
              <s:r>
                <s:t xml:space="preserve">8/15 外箱贴纸 17 pcs</s:t>
              </s:r>
            </s:text>
          </item>
        </commentChain>
      </unresolved>
      <resolved/>
    </commentChains>
    <commentChains s:ref="AU83" rgbClr="FF0000">
      <unresolved>
        <commentChain chainId="9b1367deaa6621fabc79bf23d37b9df3ddcdcbe1">
          <item id="d2bac8ce9ea5b06e49393f4955cc4af409a3b78d" userID="1715258932" userName="严新荟" dateTime="2026-07-07T00:52:35" isNormal="0">
            <s:text>
              <s:r>
                <s:t xml:space="preserve">2200047 7/6 2448 PCS</s:t>
              </s:r>
            </s:text>
          </item>
        </commentChain>
      </unresolved>
      <resolved/>
    </commentChains>
    <commentChains s:ref="AW83" rgbClr="FF0000">
      <unresolved>
        <commentChain chainId="8afb33bb6f06b926a5a9aedd109faa280f92dae9">
          <item id="a9b7f1a4d8272272def2e6fe36dc236fe53411dd" userID="1715258932" userName="严新荟" dateTime="2026-08-15T03:36:56" isNormal="0">
            <s:text>
              <s:r>
                <s:t xml:space="preserve">8/15 外箱贴纸 17 pcs</s:t>
              </s:r>
            </s:text>
          </item>
        </commentChain>
      </unresolved>
      <resolved/>
    </commentChains>
    <commentChains s:ref="AU84" rgbClr="FF0000">
      <unresolved>
        <commentChain chainId="3f2005c4c23e4b36085d70b9ac74712e8b46e8c9">
          <item id="103ac4b5717b7ba879bbdc99b91ebd190d242fc1" userID="1715258932" userName="严新荟" dateTime="2026-07-10T03:29:24" isNormal="0">
            <s:text>
              <s:r>
                <s:t xml:space="preserve">2200099 7/9 2016 PCS</s:t>
              </s:r>
            </s:text>
          </item>
        </commentChain>
      </unresolved>
      <resolved/>
    </commentChains>
    <commentChains s:ref="AW84" rgbClr="FF0000">
      <unresolved>
        <commentChain chainId="59039b0a9ceeff483aebdce259c3908f09904951">
          <item id="4b54d6a5003aa8e242dafc116b08b727f31a22b8" userID="1715258932" userName="严新荟" dateTime="2026-08-15T03:36:56" isNormal="0">
            <s:text>
              <s:r>
                <s:t xml:space="preserve">8/15 外箱贴纸 14 pcs</s:t>
              </s:r>
            </s:text>
          </item>
        </commentChain>
      </unresolved>
      <resolved/>
    </commentChains>
    <commentChains s:ref="AU85" rgbClr="FF0000">
      <unresolved>
        <commentChain chainId="d2380b2253a1ab6569d44589df7ce731c1c3f125">
          <item id="ff1c0e94d09c1191e1f78ed08d594c6afa3616d0" userID="1715258932" userName="严新荟" dateTime="2026-07-10T03:29:24" isNormal="0">
            <s:text>
              <s:r>
                <s:t xml:space="preserve">2200099 7/9 2016 PCS</s:t>
              </s:r>
            </s:text>
          </item>
        </commentChain>
      </unresolved>
      <resolved/>
    </commentChains>
    <commentChains s:ref="AW85" rgbClr="FF0000">
      <unresolved>
        <commentChain chainId="fc63cb61fbdaf332b5f7ecd31f39287c78d20ab3">
          <item id="0fe66b0a9b59079e7a7bcc0a1a6b76a1a418e784" userID="1715258932" userName="严新荟" dateTime="2026-08-15T03:36:56" isNormal="0">
            <s:text>
              <s:r>
                <s:t xml:space="preserve">8/15 外箱贴纸 14 pcs</s:t>
              </s:r>
            </s:text>
          </item>
        </commentChain>
      </unresolved>
      <resolved/>
    </commentChains>
    <commentChains s:ref="AU86" rgbClr="FF0000">
      <unresolved>
        <commentChain chainId="c90ec4e8e0ab4d0e39091898de2a7f86216a8020">
          <item id="a866597092c6c7b008c4abaa6591fccb10844085" userID="1715258932" userName="严新荟" dateTime="2026-07-10T03:29:24" isNormal="0">
            <s:text>
              <s:r>
                <s:t xml:space="preserve">2200099 7/9 2016 PCS</s:t>
              </s:r>
            </s:text>
          </item>
        </commentChain>
      </unresolved>
      <resolved/>
    </commentChains>
    <commentChains s:ref="AW86" rgbClr="FF0000">
      <unresolved>
        <commentChain chainId="92913a10e4d0671bed0e906cf75b6f0e1cb91922">
          <item id="f7bc16668f56daabe0a478e1b2e894bc65dd7e08" userID="1715258932" userName="严新荟" dateTime="2026-08-15T03:36:56" isNormal="0">
            <s:text>
              <s:r>
                <s:t xml:space="preserve">8/15 外箱贴纸 14 pcs</s:t>
              </s:r>
            </s:text>
          </item>
        </commentChain>
      </unresolved>
      <resolved/>
    </commentChains>
    <commentChains s:ref="AU87" rgbClr="FF0000">
      <unresolved>
        <commentChain chainId="65fcdda9305d6b5ee12ac159d337634a4b426395">
          <item id="21dc210bf0352f96adf70cf8bc23d0648a9f561f" userID="1715258932" userName="严新荟" dateTime="2026-07-07T00:54:57" isNormal="0">
            <s:text>
              <s:r>
                <s:t xml:space="preserve">2200047 7/6 5760 PCS</s:t>
              </s:r>
            </s:text>
          </item>
          <item id="3440a30e0283ea789947589c7475d77825f4eafa" userID="1715258932" userName="严新荟" dateTime="2026-07-13T03:49:46" isNormal="0">
            <s:text>
              <s:r>
                <s:t xml:space="preserve">2200115 7/11 12240 PCS</s:t>
              </s:r>
            </s:text>
          </item>
        </commentChain>
      </unresolved>
      <resolved/>
    </commentChains>
    <commentChains s:ref="AW87" rgbClr="FF0000">
      <unresolved>
        <commentChain chainId="ebb080ffded46ec61f2e4b31ce655c9aa53214b2">
          <item id="2d25258136e3866de7d6123d80266d9fd8b8ac60" userID="1715258932" userName="严新荟" dateTime="2026-08-15T03:36:56" isNormal="0">
            <s:text>
              <s:r>
                <s:t xml:space="preserve">8/15 外箱贴纸 750 pcs</s:t>
              </s:r>
            </s:text>
          </item>
        </commentChain>
      </unresolved>
      <resolved/>
    </commentChains>
    <commentChains s:ref="AU88" rgbClr="FF0000">
      <unresolved>
        <commentChain chainId="5e1272a872eafbc4dd496ee5e654a640bb52e89f">
          <item id="bdd39241009ec8f4e1c8229144046d02045cc306" userID="1715258932" userName="严新荟" dateTime="2026-07-13T03:30:11" isNormal="0">
            <s:text>
              <s:r>
                <s:t xml:space="preserve">2200117 7/11 3000 pcs</s:t>
              </s:r>
            </s:text>
          </item>
        </commentChain>
      </unresolved>
      <resolved/>
    </commentChains>
    <commentChains s:ref="AW88" rgbClr="FF0000">
      <unresolved>
        <commentChain chainId="b55e3351cb7370ba71112fb919c1ed3f3aab2f0f">
          <item id="c83824847ff7b4d4af18a653e1f4840d6d51ea94" userID="1715258932" userName="严新荟" dateTime="2026-08-15T03:36:56" isNormal="0">
            <s:text>
              <s:r>
                <s:t xml:space="preserve">8/15 外箱贴纸 50 pcs</s:t>
              </s:r>
            </s:text>
          </item>
        </commentChain>
      </unresolved>
      <resolved/>
    </commentChains>
    <commentChains s:ref="AU89" rgbClr="FF0000">
      <unresolved>
        <commentChain chainId="fc31da0fb28f36d77fddf28412ee1b8823927d80">
          <item id="0b4ab5fe8432a8fe9dadf4fbda8a673347edb814" userID="1715258932" userName="严新荟" dateTime="2026-07-09T01:58:02" isNormal="0">
            <s:text>
              <s:r>
                <s:t xml:space="preserve">2500228 7/8 2025 pcs</s:t>
              </s:r>
            </s:text>
          </item>
        </commentChain>
      </unresolved>
      <resolved/>
    </commentChains>
    <commentChains s:ref="AW89" rgbClr="FF0000">
      <unresolved>
        <commentChain chainId="af1c445ea63f06c2ebc7390ce6beb7e1d9fe7635">
          <item id="031234aa93c1ad39e4686138d40af5849441a374" userID="1715258932" userName="严新荟" dateTime="2026-08-15T03:36:56" isNormal="0">
            <s:text>
              <s:r>
                <s:t xml:space="preserve">8/15 外箱贴纸 27 pcs</s:t>
              </s:r>
            </s:text>
          </item>
        </commentChain>
      </unresolved>
      <resolved/>
    </commentChains>
    <commentChains s:ref="AU90" rgbClr="FF0000">
      <unresolved>
        <commentChain chainId="eb1fd5a28b4a7e71077afb41628052f4c14f6e7f">
          <item id="be16887326d84547c53dab7a5c48a76c8a4acd77" userID="1715258932" userName="严新荟" dateTime="2026-07-13T03:21:24" isNormal="0">
            <s:text>
              <s:r>
                <s:t xml:space="preserve">2200119 7/11 2025 pcs</s:t>
              </s:r>
            </s:text>
          </item>
        </commentChain>
      </unresolved>
      <resolved/>
    </commentChains>
    <commentChains s:ref="AW90" rgbClr="FF0000">
      <unresolved>
        <commentChain chainId="b0cf4e70a2a7066e48830f7c58434cafbb00113d">
          <item id="65153be7daec1a60f905c37ac5b5193e06398b46" userID="1715258932" userName="严新荟" dateTime="2026-08-15T03:36:56" isNormal="0">
            <s:text>
              <s:r>
                <s:t xml:space="preserve">8/15 外箱贴纸 27 pcs</s:t>
              </s:r>
            </s:text>
          </item>
        </commentChain>
      </unresolved>
      <resolved/>
    </commentChains>
    <commentChains s:ref="AU91" rgbClr="FF0000">
      <unresolved>
        <commentChain chainId="0f34af2a95c85604d20f665cc9b171dd8ead43a3">
          <item id="51295517e00184f31fedc1dcf0eff4797a853fb2" userID="1715258932" userName="严新荟" dateTime="2026-07-13T03:21:24" isNormal="0">
            <s:text>
              <s:r>
                <s:t xml:space="preserve">2200119 7/11 2025 pcs</s:t>
              </s:r>
            </s:text>
          </item>
        </commentChain>
      </unresolved>
      <resolved/>
    </commentChains>
    <commentChains s:ref="AW91" rgbClr="FF0000">
      <unresolved>
        <commentChain chainId="238edea93660a115e8566616a7c79de334633957">
          <item id="00983c85f3ca8810653864868368331e5217875d" userID="1715258932" userName="严新荟" dateTime="2026-08-15T03:36:56" isNormal="0">
            <s:text>
              <s:r>
                <s:t xml:space="preserve">8/15 外箱贴纸 27 pcs</s:t>
              </s:r>
            </s:text>
          </item>
        </commentChain>
      </unresolved>
      <resolved/>
    </commentChains>
    <commentChains s:ref="AU92" rgbClr="FF0000">
      <unresolved>
        <commentChain chainId="c9c6a1f04b12eeedcfd3163b1ad68556517c513f">
          <item id="d8a81b583f3a7f6292447d226c6b1d34499bba4f" userID="1715258932" userName="严新荟" dateTime="2026-07-13T03:24:26" isNormal="0">
            <s:text>
              <s:r>
                <s:t xml:space="preserve">22000119 7/11 3000 pcs</s:t>
              </s:r>
            </s:text>
          </item>
        </commentChain>
      </unresolved>
      <resolved/>
    </commentChains>
    <commentChains s:ref="AW92" rgbClr="FF0000">
      <unresolved>
        <commentChain chainId="82f711752d90c7eb2f934460fb2aeb2011a2f79f">
          <item id="b5fd203c0fe8d978f1b9291e283b7df514676028" userID="1715258932" userName="严新荟" dateTime="2026-08-15T03:36:56" isNormal="0">
            <s:text>
              <s:r>
                <s:t xml:space="preserve">8/15 外箱贴纸 40 pcs</s:t>
              </s:r>
            </s:text>
          </item>
        </commentChain>
      </unresolved>
      <resolved/>
    </commentChains>
    <commentChains s:ref="AU93" rgbClr="FF0000">
      <unresolved>
        <commentChain chainId="d9656d924a2b7cfc74a024d1f56b642e68ae1a59">
          <item id="cea44253a2f14970437af2354a84cf027196a40e" userID="1715258932" userName="严新荟" dateTime="2026-07-13T03:21:24" isNormal="0">
            <s:text>
              <s:r>
                <s:t xml:space="preserve">2200119 7/11 2025 pcs</s:t>
              </s:r>
            </s:text>
          </item>
        </commentChain>
      </unresolved>
      <resolved/>
    </commentChains>
    <commentChains s:ref="AW93" rgbClr="FF0000">
      <unresolved>
        <commentChain chainId="67ec470a256c123aacd8f3b18cdc4437e7787253">
          <item id="35dded4090843391c1cd4b0597cb3376115395bb" userID="1715258932" userName="严新荟" dateTime="2026-08-15T03:36:56" isNormal="0">
            <s:text>
              <s:r>
                <s:t xml:space="preserve">8/15 外箱贴纸 27 pcs</s:t>
              </s:r>
            </s:text>
          </item>
        </commentChain>
      </unresolved>
      <resolved/>
    </commentChains>
    <commentChains s:ref="AU94" rgbClr="FF0000">
      <unresolved>
        <commentChain chainId="2ba57362ff3ad92a60027ec4adfe7d2caac5ddf0">
          <item id="11618cf23e827ab3d0d8c878d23c5371895987b6" userID="1715258932" userName="严新荟" dateTime="2026-07-25T02:17:27" isNormal="0">
            <s:text>
              <s:r>
                <s:t xml:space="preserve">2200243 7/24 1248 pcs</s:t>
              </s:r>
            </s:text>
          </item>
          <item id="409becc4a46879de8157ba87f1d370bedb48e18d" userID="1715258932" userName="严新荟" dateTime="2026-07-27T02:35:11" isNormal="0">
            <s:text>
              <s:r>
                <s:t xml:space="preserve">2200249 7/25 288 pcs</s:t>
              </s:r>
            </s:text>
          </item>
        </commentChain>
      </unresolved>
      <resolved/>
    </commentChains>
    <commentChains s:ref="AU95" rgbClr="FF0000">
      <unresolved>
        <commentChain chainId="012ea045fc7af98307adb39fd996a1cb56d14ae3">
          <item id="750603eb541ba91f2d3afd3e9259a77ec7ea291e" userID="1715258932" userName="严新荟" dateTime="2026-07-23T07:16:52" isNormal="0">
            <s:text>
              <s:r>
                <s:t xml:space="preserve">2200228 7/22 1440 PCS
2200249 7/25 96 pcs</s:t>
              </s:r>
            </s:text>
          </item>
        </commentChain>
      </unresolved>
      <resolved/>
    </commentChains>
    <commentChains s:ref="AU96" rgbClr="FF0000">
      <unresolved>
        <commentChain chainId="4ef493e88d43a9b33218eaed0c2a42787e71c9b4">
          <item id="89083ea9eb4cc0046d59f674425c7535da721f09" userID="1715258932" userName="严新荟" dateTime="2026-07-23T07:16:52" isNormal="0">
            <s:text>
              <s:r>
                <s:t xml:space="preserve">2200228 7/22 1440 PCS
2200233 7/23 96 pcs</s:t>
              </s:r>
            </s:text>
          </item>
        </commentChain>
      </unresolved>
      <resolved/>
    </commentChains>
    <commentChains s:ref="AU107" rgbClr="FF0000">
      <unresolved>
        <commentChain chainId="f15bf737f949d4e4697b3ba40c74253f52efac59">
          <item id="26bc98a571f64d2a3a845584ea59ce5e3fd0a1d9" userID="1715258932" userName="严新荟" dateTime="2026-07-07T00:52:35" isNormal="0">
            <s:text>
              <s:r>
                <s:t xml:space="preserve">2200047 7/6 2160 PCS</s:t>
              </s:r>
            </s:text>
          </item>
        </commentChain>
      </unresolved>
      <resolved/>
    </commentChains>
    <commentChains s:ref="AU108" rgbClr="FF0000">
      <unresolved>
        <commentChain chainId="84e77770efa288dc6f50fb394266d19a992a78c7">
          <item id="368b41ee34c66084330aeed8d301cdf8acb42c34" userID="1715258932" userName="严新荟" dateTime="2026-07-13T03:29:38" isNormal="0">
            <s:text>
              <s:r>
                <s:t xml:space="preserve">2200117 7/11 1152 pcs</s:t>
              </s:r>
            </s:text>
          </item>
        </commentChain>
      </unresolved>
      <resolved/>
    </commentChains>
    <commentChains s:ref="AU109" rgbClr="FF0000">
      <unresolved>
        <commentChain chainId="301bc252ed620b9ea68aaefbae9e00e9de211df7">
          <item id="320973cf260772569c5240794034235f4b98d4eb" userID="1715258932" userName="严新荟" dateTime="2026-07-13T03:28:30" isNormal="0">
            <s:text>
              <s:r>
                <s:t xml:space="preserve">2200117 7/11 720 pcs</s:t>
              </s:r>
            </s:text>
          </item>
        </commentChain>
      </unresolved>
      <resolved/>
    </commentChains>
    <commentChains s:ref="AU110" rgbClr="FF0000">
      <unresolved>
        <commentChain chainId="93f64827557751573075955c6d6863814c3efd72">
          <item id="59a72b8b2b9086b4120a103465cea2837015eeb5" userID="1715258932" userName="严新荟" dateTime="2026-07-13T03:28:11" isNormal="0">
            <s:text>
              <s:r>
                <s:t xml:space="preserve">2200117 7/11 1584 pcs</s:t>
              </s:r>
            </s:text>
          </item>
        </commentChain>
      </unresolved>
      <resolved/>
    </commentChains>
    <commentChains s:ref="AU111" rgbClr="FF0000">
      <unresolved>
        <commentChain chainId="18c51fe40ee3adbcb92a9c97120b70ca1603a160">
          <item id="07872bae81176a0039600c045d4a3c6c0b919eaf" userID="1715258932" userName="严新荟" dateTime="2026-07-23T06:14:46" isNormal="0">
            <s:text>
              <s:r>
                <s:t xml:space="preserve">2200228 7/22 4620 PCS
2200233 7/23 60 pcs</s:t>
              </s:r>
            </s:text>
          </item>
        </commentChain>
      </unresolved>
      <resolved/>
    </commentChains>
    <commentChains s:ref="AU114" rgbClr="FF0000">
      <unresolved>
        <commentChain chainId="47eaf8a70d561a35b246c92ff849da5c6ec2156e">
          <item id="1ff62ed5c3f3c47771c61d1c5f88ded2a44473f4" userID="1715258932" userName="严新荟" dateTime="2026-07-27T02:47:35" isNormal="0">
            <s:text>
              <s:r>
                <s:t xml:space="preserve">2200250 7/25 384 pcs</s:t>
              </s:r>
            </s:text>
          </item>
        </commentChain>
      </unresolved>
      <resolved/>
    </commentChains>
    <commentChains s:ref="AU115" rgbClr="FF0000">
      <unresolved>
        <commentChain chainId="c8e4a6121a2d4308971709fe7fc834879465c0e7">
          <item id="1e1d914b30c9cba072767ca7be00fd2f64451d8f" userID="1715258932" userName="严新荟" dateTime="2026-07-25T02:18:06" isNormal="0">
            <s:text>
              <s:r>
                <s:t xml:space="preserve">2200243 7/24 384 pcs</s:t>
              </s:r>
            </s:text>
          </item>
        </commentChain>
      </unresolved>
      <resolved/>
    </commentChains>
    <commentChains s:ref="AU116" rgbClr="FF0000">
      <unresolved>
        <commentChain chainId="a0b34a99e544b474ea04da1eb616fc0b2dc32302">
          <item id="75236fe5b790d6466bc2eb0a26d14851ec47b20f" userID="1715258932" userName="严新荟" dateTime="2026-07-25T02:18:06" isNormal="0">
            <s:text>
              <s:r>
                <s:t xml:space="preserve">2200243 7/24 672 pcs</s:t>
              </s:r>
            </s:text>
          </item>
        </commentChain>
      </unresolved>
      <resolved/>
    </commentChains>
    <commentChains s:ref="AU117" rgbClr="FF0000">
      <unresolved>
        <commentChain chainId="a8953dc0632e2e5ed4ad84cd4581bf5452942840">
          <item id="fb9f37ac26120e08d987043259a85c1a4efb98b9" userID="1715258932" userName="严新荟" dateTime="2026-07-25T02:18:06" isNormal="0">
            <s:text>
              <s:r>
                <s:t xml:space="preserve">2200243 7/24 672 pcs</s:t>
              </s:r>
            </s:text>
          </item>
        </commentChain>
      </unresolved>
      <resolved/>
    </commentChains>
    <commentChains s:ref="AU118" rgbClr="FF0000">
      <unresolved>
        <commentChain chainId="bc3fde2fe8a2da9ddd825a4a8cad4a723c9965ea">
          <item id="46302a017841147c029b90c1829ac0e15e90730f" userID="1715258932" userName="严新荟" dateTime="2026-07-27T02:47:48" isNormal="0">
            <s:text>
              <s:r>
                <s:t xml:space="preserve">2200250 7/25 288 pcs</s:t>
              </s:r>
            </s:text>
          </item>
        </commentChain>
      </unresolved>
      <resolved/>
    </commentChains>
    <commentChains s:ref="AU119" rgbClr="FF0000">
      <unresolved>
        <commentChain chainId="9da848901e9ca69849f04a45c214562a7b2f2337">
          <item id="82a3630f5b912031af34626a8c1a5c38534d9d78" userID="1715258932" userName="严新荟" dateTime="2026-07-24T02:04:11" isNormal="0">
            <s:text>
              <s:r>
                <s:t xml:space="preserve">2200233 7/23 768 pcs
2200243 7/24 192 PCS</s:t>
              </s:r>
            </s:text>
          </item>
        </commentChain>
      </unresolved>
      <resolved/>
    </commentChains>
    <commentChains s:ref="AU120" rgbClr="FF0000">
      <unresolved>
        <commentChain chainId="e98b9e404179ddcb732273f21df4afc9fa7dd70e">
          <item id="b60132a9b6d92bd6cda2edc8d8b22af9857fe4af" userID="1715258932" userName="严新荟" dateTime="2026-07-10T03:23:23" isNormal="0">
            <s:text>
              <s:r>
                <s:t xml:space="preserve">2200095 7/9 576 PCS</s:t>
              </s:r>
            </s:text>
          </item>
        </commentChain>
      </unresolved>
      <resolved/>
    </commentChains>
    <commentChains s:ref="AU121" rgbClr="FF0000">
      <unresolved>
        <commentChain chainId="c91c583f34031dd5be2a1fea733abd2c9dc9d560">
          <item id="11e8520821216860a37efe11696de7315554616b" userID="1715258932" userName="严新荟" dateTime="2026-07-13T03:19:46" isNormal="0">
            <s:text>
              <s:r>
                <s:t xml:space="preserve">2200119 7/11 576 pcs</s:t>
              </s:r>
            </s:text>
          </item>
        </commentChain>
      </unresolved>
      <resolved/>
    </commentChains>
    <commentChains s:ref="AU122" rgbClr="FF0000">
      <unresolved>
        <commentChain chainId="5feb44af4b850e1fda06229f6840f6500204170f">
          <item id="d7ac295784ade02e8a4f7d6d2546be4a938a351e" userID="1715258932" userName="严新荟" dateTime="2026-07-13T03:19:46" isNormal="0">
            <s:text>
              <s:r>
                <s:t xml:space="preserve">2200119 7/11 576 pcs</s:t>
              </s:r>
            </s:text>
          </item>
        </commentChain>
      </unresolved>
      <resolved/>
    </commentChains>
    <commentChains s:ref="AU123" rgbClr="FF0000">
      <unresolved>
        <commentChain chainId="3eb413e7e0d2a8204738ce599fe1fa77f70abe8e">
          <item id="c43177eb8805af24be3849d08c73a5466b28dc26" userID="1715258932" userName="严新荟" dateTime="2026-07-23T06:06:37" isNormal="0">
            <s:text>
              <s:r>
                <s:t xml:space="preserve">2200229 7/22 560 pcs</s:t>
              </s:r>
            </s:text>
          </item>
        </commentChain>
      </unresolved>
      <resolved/>
    </commentChains>
    <commentChains s:ref="AU124" rgbClr="FF0000">
      <unresolved>
        <commentChain chainId="314688fa827bada510a47536629787d87ba4b13b">
          <item id="f0b3249e88c1e9687de3acf53d070f5b295fd77c" userID="1715258932" userName="严新荟" dateTime="2026-07-23T06:06:37" isNormal="0">
            <s:text>
              <s:r>
                <s:t xml:space="preserve">2200229 7/22 560 pcs</s:t>
              </s:r>
            </s:text>
          </item>
        </commentChain>
      </unresolved>
      <resolved/>
    </commentChains>
    <commentChains s:ref="AU126" rgbClr="FF0000">
      <unresolved>
        <commentChain chainId="097480f827b7b35f30047eeb54fecd4296964042">
          <item id="567f54f3b0615f7a0416130561e5cbe4b5f78011" userID="1715258932" userName="严新荟" dateTime="2026-07-23T07:08:40" isNormal="0">
            <s:text>
              <s:r>
                <s:t xml:space="preserve">2200228 7/22 1152 pcs</s:t>
              </s:r>
            </s:text>
          </item>
        </commentChain>
      </unresolved>
      <resolved/>
    </commentChains>
    <commentChains s:ref="AU127" rgbClr="FF0000">
      <unresolved>
        <commentChain chainId="32d370725d50c020f2dbf22d6bb251db79c47ea9">
          <item id="5031060991d6457b56d8ac8b3b1a5fefa8cb476c" userID="1715258932" userName="严新荟" dateTime="2026-07-23T07:16:04" isNormal="0">
            <s:text>
              <s:r>
                <s:t xml:space="preserve">2200228 7/22 1056 PCS
2200233 7/23 96 pcs</s:t>
              </s:r>
            </s:text>
          </item>
        </commentChain>
      </unresolved>
      <resolved/>
    </commentChains>
    <commentChains s:ref="AU128" rgbClr="FF0000">
      <unresolved>
        <commentChain chainId="e294fe212c4ec6ebce4920bde38a28e453867955">
          <item id="d9828d924f1648b3b899c113f8ff0327adcad7ad" userID="1715258932" userName="严新荟" dateTime="2026-07-23T07:16:27" isNormal="0">
            <s:text>
              <s:r>
                <s:t xml:space="preserve">2200228 7/22 960 PCS
22002337/23 96 pcs
2200249 7/25 96 pcs</s:t>
              </s:r>
            </s:text>
          </item>
        </commentChain>
      </unresolved>
      <resolved/>
    </commentChains>
    <commentChains s:ref="AU132" rgbClr="FF0000">
      <unresolved>
        <commentChain chainId="9e0792b4eb7bd4e3237ec11a88c2d5f241a7eee5">
          <item id="66eacf7db57fa4a787f840fd4d328590904ece28" userID="1715258932" userName="严新荟" dateTime="2026-07-10T03:23:23" isNormal="0">
            <s:text>
              <s:r>
                <s:t xml:space="preserve">2200095 7/9 720 PCS</s:t>
              </s:r>
            </s:text>
          </item>
        </commentChain>
      </unresolved>
      <resolved/>
    </commentChains>
    <commentChains s:ref="AU133" rgbClr="FF0000">
      <unresolved>
        <commentChain chainId="dbf13713bc0a6e7017bd48d212b7eaa2cbfb97ba">
          <item id="310d58e4891f51572d738fe0d3dcedc62f4eec8c" userID="1715258932" userName="严新荟" dateTime="2026-07-10T03:23:23" isNormal="0">
            <s:text>
              <s:r>
                <s:t xml:space="preserve">2200095 7/9 720 PCS</s:t>
              </s:r>
            </s:text>
          </item>
        </commentChain>
      </unresolved>
      <resolved/>
    </commentChains>
    <commentChains s:ref="AU134" rgbClr="FF0000">
      <unresolved>
        <commentChain chainId="422b536d73e8817e9d55e91b790d729d85ab73a6">
          <item id="99a18389c3d776427355894a5083284c846241ba" userID="1715258932" userName="严新荟" dateTime="2026-07-10T03:23:23" isNormal="0">
            <s:text>
              <s:r>
                <s:t xml:space="preserve">2200095 7/9 720 PCS</s:t>
              </s:r>
            </s:text>
          </item>
        </commentChain>
      </unresolved>
      <resolved/>
    </commentChains>
    <commentChains s:ref="AU135" rgbClr="FF0000">
      <unresolved>
        <commentChain chainId="8650e5ffb9bd176c8192598b769ed6c5d53f6310">
          <item id="ca1be3d0e8e58471b975323e59f62aa679ee561d" userID="1715258932" userName="严新荟" dateTime="2026-07-08T02:41:01" isNormal="0">
            <s:text>
              <s:r>
                <s:t xml:space="preserve">2500239 7/7 720 pcs</s:t>
              </s:r>
            </s:text>
          </item>
        </commentChain>
      </unresolved>
      <resolved/>
    </commentChains>
    <commentChains s:ref="AU136" rgbClr="FF0000">
      <unresolved>
        <commentChain chainId="f1a0395302398a70af7ec0df3f035b417b818f66">
          <item id="777d288316567302d1a8b50927f0be81a44931b1" userID="1715258932" userName="严新荟" dateTime="2026-07-10T03:25:44" isNormal="0">
            <s:text>
              <s:r>
                <s:t xml:space="preserve">2200096 7/9 384 PCS</s:t>
              </s:r>
            </s:text>
          </item>
        </commentChain>
      </unresolved>
      <resolved/>
    </commentChains>
    <commentChains s:ref="AU137" rgbClr="FF0000">
      <unresolved>
        <commentChain chainId="15f827d75566336cde9dbf9c0cacabcafac3855d">
          <item id="0f32469b1cc03c65f4f4605a365db57eb565007e" userID="1715258932" userName="严新荟" dateTime="2026-07-10T03:25:44" isNormal="0">
            <s:text>
              <s:r>
                <s:t xml:space="preserve">2200096 7/9 384 PCS</s:t>
              </s:r>
            </s:text>
          </item>
        </commentChain>
      </unresolved>
      <resolved/>
    </commentChains>
    <commentChains s:ref="AU138" rgbClr="FF0000">
      <unresolved>
        <commentChain chainId="a691c6a58f7148013df7d6b68b9763483a8002d7">
          <item id="a965d3685de6683739dd8b6171d76dbc89ff79c7" userID="1715258932" userName="严新荟" dateTime="2026-07-10T03:25:44" isNormal="0">
            <s:text>
              <s:r>
                <s:t xml:space="preserve">2200096 7/9 384 PCS</s:t>
              </s:r>
            </s:text>
          </item>
        </commentChain>
      </unresolved>
      <resolved/>
    </commentChains>
    <commentChains s:ref="AU143" rgbClr="FF0000">
      <unresolved>
        <commentChain chainId="c6368b4385ff31abdc64900a7f94f20f7e7d1149">
          <item id="80e72cd06612bfcfb341199970adc044b6812574" userID="1715258932" userName="严新荟" dateTime="2026-07-07T00:53:50" isNormal="0">
            <s:text>
              <s:r>
                <s:t xml:space="preserve">2200047 7/6 11520 PCS</s:t>
              </s:r>
            </s:text>
          </item>
        </commentChain>
      </unresolved>
      <resolved/>
    </commentChains>
    <commentChains s:ref="AU144" rgbClr="FF0000">
      <unresolved>
        <commentChain chainId="54a599de98a161cc11ba060e1e470a22aa39049f">
          <item id="9a5f4ebc5f8ea03370f5f5c8673c84586675b66d" userID="1715258932" userName="严新荟" dateTime="2026-07-13T03:29:11" isNormal="0">
            <s:text>
              <s:r>
                <s:t xml:space="preserve">2200117 7/11 5904 pcs</s:t>
              </s:r>
            </s:text>
          </item>
        </commentChain>
      </unresolved>
      <resolved/>
    </commentChains>
    <commentChains s:ref="AU145" rgbClr="FF0000">
      <unresolved>
        <commentChain chainId="1222f7ccabcbca69677828b9c3082d4b28f4a57b">
          <item id="2fca0439f815602eb41fb3d1d04413299cc6fbaf" userID="1715258932" userName="严新荟" dateTime="2026-07-13T03:27:45" isNormal="0">
            <s:text>
              <s:r>
                <s:t xml:space="preserve">2200117 7/11 3744 pcs</s:t>
              </s:r>
            </s:text>
          </item>
        </commentChain>
      </unresolved>
      <resolved/>
    </commentChains>
    <commentChains s:ref="AU146" rgbClr="FF0000">
      <unresolved>
        <commentChain chainId="01412bbd3a9ff9f639a74eae21e27a3a20e8903e">
          <item id="1daa22f03f54c8f46190a9d9054f9dd71a1c8505" userID="1715258932" userName="严新荟" dateTime="2026-07-13T03:28:54" isNormal="0">
            <s:text>
              <s:r>
                <s:t xml:space="preserve">2200117 7/11 8640 pcs</s:t>
              </s:r>
            </s:text>
          </item>
        </commentChain>
      </unresolved>
      <resolved/>
    </commentChains>
    <commentChains s:ref="AU147" rgbClr="FF0000">
      <unresolved>
        <commentChain chainId="29f1ac92371e209990256f42bd736f1f14ce45df">
          <item id="d95120e1b4db4dd0ea7898452dcb0fe102e7de05" userID="1715258932" userName="严新荟" dateTime="2026-07-30T08:48:08" isNormal="0">
            <s:text>
              <s:r>
                <s:t xml:space="preserve">2801912 7/29 26340 pcs</s:t>
              </s:r>
            </s:text>
          </item>
        </commentChain>
      </unresolved>
      <resolved/>
    </commentChains>
    <commentChains s:ref="AU150" rgbClr="FF0000">
      <unresolved>
        <commentChain chainId="20f71a740abdf83fea3ba920413e1606db9b6b52">
          <item id="5d8d1b53704bcf9da72e6096a3e5fe85ab2e4b99" userID="1715258932" userName="严新荟" dateTime="2026-07-29T03:29:19" isNormal="0">
            <s:text>
              <s:r>
                <s:t xml:space="preserve">2801905 7/28 2304 PCS
2801912 7/29 96 PCS</s:t>
              </s:r>
            </s:text>
          </item>
        </commentChain>
      </unresolved>
      <resolved/>
    </commentChains>
    <commentChains s:ref="AU151" rgbClr="FF0000">
      <unresolved>
        <commentChain chainId="f8fdfc516a600502ef74534509276a36340224bb">
          <item id="8f1f33f33c3403102332fa1b640b311a7ec77169" userID="1715258932" userName="严新荟" dateTime="2026-07-27T02:30:44" isNormal="0">
            <s:text>
              <s:r>
                <s:t xml:space="preserve">2200254 7/25 96 pcs
2200250 7/25 2016 pcs</s:t>
              </s:r>
            </s:text>
          </item>
        </commentChain>
      </unresolved>
      <resolved/>
    </commentChains>
    <commentChains s:ref="AU152" rgbClr="FF0000">
      <unresolved>
        <commentChain chainId="bd91908c6bef6063e1f13207d810020a1c50bd5f">
          <item id="0093115357eea2df0ef7eab8430e1b135d0ae8bb" userID="1715258932" userName="严新荟" dateTime="2026-07-29T03:29:19" isNormal="0">
            <s:text>
              <s:r>
                <s:t xml:space="preserve">2801905 7/28 3552 PCS
2801912 7/29 192 PCS</s:t>
              </s:r>
            </s:text>
          </item>
        </commentChain>
      </unresolved>
      <resolved/>
    </commentChains>
    <commentChains s:ref="AU153" rgbClr="FF0000">
      <unresolved>
        <commentChain chainId="a02195bf5f98851450397c7cc79356ab643f657e">
          <item id="1182c66cefed28ab0106063e39546fcdb7d74ddf" userID="1715258932" userName="严新荟" dateTime="2026-07-27T02:30:24" isNormal="0">
            <s:text>
              <s:r>
                <s:t xml:space="preserve">2200254 7/25 192 pcs
2200250 7/25 3744 pcs</s:t>
              </s:r>
            </s:text>
          </item>
        </commentChain>
      </unresolved>
      <resolved/>
    </commentChains>
    <commentChains s:ref="AU154" rgbClr="FF0000">
      <unresolved>
        <commentChain chainId="eecf1d60ad462d9635958b3da3f99f8dfdc6b7f8">
          <item id="b57e95eedd3ee8355f0ae60303dd83b7ecbe7a36" userID="1715258932" userName="严新荟" dateTime="2026-07-29T03:29:19" isNormal="0">
            <s:text>
              <s:r>
                <s:t xml:space="preserve">2801905 7/28 1728 PCS
2801912 7/29 96 pcs</s:t>
              </s:r>
            </s:text>
          </item>
        </commentChain>
      </unresolved>
      <resolved/>
    </commentChains>
    <commentChains s:ref="AU155" rgbClr="FF0000">
      <unresolved>
        <commentChain chainId="8f94e4bae201fc479fafd3fe5d5afd429137fb9d">
          <item id="197ecdbeec7e05e889e8f01db87ff039c362b729" userID="1715258932" userName="严新荟" dateTime="2026-07-24T02:04:38" isNormal="0">
            <s:text>
              <s:r>
                <s:t xml:space="preserve">2200233 7/23 5376 pcs</s:t>
              </s:r>
            </s:text>
          </item>
        </commentChain>
      </unresolved>
      <resolved/>
    </commentChains>
    <commentChains s:ref="AU156" rgbClr="FF0000">
      <unresolved>
        <commentChain chainId="5f87d7a523e3f1cb323c5fdd805be7686c65e2d6">
          <item id="9f88a673c11da2b57aa3990a5eca72e6c9619194" userID="1715258932" userName="严新荟" dateTime="2026-07-28T02:17:44" isNormal="0">
            <s:text>
              <s:r>
                <s:t xml:space="preserve">2801902 7/27 3264 pcs 补单</s:t>
              </s:r>
            </s:text>
          </item>
        </commentChain>
      </unresolved>
      <resolved/>
    </commentChains>
    <commentChains s:ref="AU157" rgbClr="FF0000">
      <unresolved>
        <commentChain chainId="062929766a2a029a655e0abe171a94503c1b1210">
          <item id="7225eeb2bed71dfedee18df53d68d10c2b9e4b9d" userID="1715258932" userName="严新荟" dateTime="2026-07-28T02:17:44" isNormal="0">
            <s:text>
              <s:r>
                <s:t xml:space="preserve">2801902 7/27 3264 pcs 补单</s:t>
              </s:r>
            </s:text>
          </item>
        </commentChain>
      </unresolved>
      <resolved/>
    </commentChains>
    <commentChains s:ref="AU158" rgbClr="FF0000">
      <unresolved>
        <commentChain chainId="21d9985d68f9371b51486af997e27489fd1dd22a">
          <item id="9ac383e6720ef98545269ac63c1c2cbcdfd97eed" userID="1715258932" userName="严新荟" dateTime="2026-07-28T02:17:44" isNormal="0">
            <s:text>
              <s:r>
                <s:t xml:space="preserve">2801902 7/27 3264 pcs 补单</s:t>
              </s:r>
            </s:text>
          </item>
        </commentChain>
      </unresolved>
      <resolved/>
    </commentChains>
    <commentChains s:ref="AU159" rgbClr="FF0000">
      <unresolved>
        <commentChain chainId="c51f92affa06bfd45a598de634fadb9c773e857b">
          <item id="edc43ccbf11c5eda4e5dbd6f13965a63032803ab" userID="1715258932" userName="严新荟" dateTime="2026-07-11T06:39:35" isNormal="0">
            <s:text>
              <s:r>
                <s:t xml:space="preserve">2200102 7/10 2700 pcs
2200152 7/14 3000 PCS</s:t>
              </s:r>
            </s:text>
          </item>
        </commentChain>
      </unresolved>
      <resolved/>
    </commentChains>
    <commentChains s:ref="AW159" rgbClr="FF0000">
      <unresolved>
        <commentChain chainId="e32b4a3cef65542d75d518babcf60840a917aaff">
          <item id="02bc1b590636c9c8c224fea66551b9cd407594bb" userID="1715258932" userName="严新荟" dateTime="2026-07-18T08:13:04" isNormal="0">
            <s:text>
              <s:r>
                <s:t xml:space="preserve">7/7 外箱贴纸  76 pcs</s:t>
              </s:r>
            </s:text>
          </item>
        </commentChain>
      </unresolved>
      <resolved/>
    </commentChains>
    <commentChains s:ref="AU160" rgbClr="FF0000">
      <unresolved>
        <commentChain chainId="932143cc3c2b4b218d8f95ae4e1381f7fb7e48e3">
          <item id="98cc7f9a07988e64a7f62856b81c89cec850d658" userID="1715258932" userName="严新荟" dateTime="2026-07-14T01:55:35" isNormal="0">
            <s:text>
              <s:r>
                <s:t xml:space="preserve">2200128 7/13 6975 pcs
2801903 7/27 75 pcs</s:t>
              </s:r>
            </s:text>
          </item>
        </commentChain>
      </unresolved>
      <resolved/>
    </commentChains>
    <commentChains s:ref="AW160" rgbClr="FF0000">
      <unresolved>
        <commentChain chainId="8b805f56c935f99e931c30af5ef1337bbef318d9">
          <item id="cbe26b1438d1591a812e4960829aa3477cafd04f" userID="1715258932" userName="严新荟" dateTime="2026-07-18T08:13:04" isNormal="0">
            <s:text>
              <s:r>
                <s:t xml:space="preserve">7/7 外箱贴纸  94 pcs</s:t>
              </s:r>
            </s:text>
          </item>
        </commentChain>
      </unresolved>
      <resolved/>
    </commentChains>
    <commentChains s:ref="AU161" rgbClr="FF0000">
      <unresolved>
        <commentChain chainId="aad278ee4b7b57803e206181d4c4bfce7205c703">
          <item id="b149634b165c6e262aeb29c82a409e64b56b9dc6" userID="1715258932" userName="严新荟" dateTime="2026-07-16T03:19:10" isNormal="0">
            <s:text>
              <s:r>
                <s:t xml:space="preserve">2200158 7/15 3375 pcs
1001854 7/23 150 pcs
2200236 7/23 2025 pcs
2200242 7/24 150 pcs</s:t>
              </s:r>
            </s:text>
          </item>
        </commentChain>
      </unresolved>
      <resolved/>
    </commentChains>
    <commentChains s:ref="AW161" rgbClr="FF0000">
      <unresolved>
        <commentChain chainId="266a84f3d1d7b7c6075d92374d86e4da9d1c8e64">
          <item id="c1699fafc07e695805b503109702821502c3792f" userID="1715258932" userName="严新荟" dateTime="2026-07-18T08:13:04" isNormal="0">
            <s:text>
              <s:r>
                <s:t xml:space="preserve">7/7 外箱贴纸  76 pcs</s:t>
              </s:r>
            </s:text>
          </item>
        </commentChain>
      </unresolved>
      <resolved/>
    </commentChains>
    <commentChains s:ref="AU162" rgbClr="FF0000">
      <unresolved>
        <commentChain chainId="d11db5bcbf2e8d57110912e1a738700f2b4e085b">
          <item id="b3220182cd33091fb105117a1f55811f8c2c0073" userID="1715258932" userName="严新荟" dateTime="2026-07-14T02:03:22" isNormal="0">
            <s:text>
              <s:r>
                <s:t xml:space="preserve">2200127 7/13 2700 pcs
2200228 7/22 4050 PCS
1001854 7/23 2025 pcs
2200242 7/24 300 pcs</s:t>
              </s:r>
            </s:text>
          </item>
        </commentChain>
      </unresolved>
      <resolved/>
    </commentChains>
    <commentChains s:ref="AW162" rgbClr="FF0000">
      <unresolved>
        <commentChain chainId="b3e6d4afbc6ba67ec54804dfd76dd45d0ed24557">
          <item id="68f2a2eb73b7154c146d5119d7a45cdf7ba2c7ab" userID="1715258932" userName="严新荟" dateTime="2026-07-18T08:13:04" isNormal="0">
            <s:text>
              <s:r>
                <s:t xml:space="preserve">7/7 外箱贴纸  121 pcs</s:t>
              </s:r>
            </s:text>
          </item>
        </commentChain>
      </unresolved>
      <resolved/>
    </commentChains>
    <commentChains s:ref="AU163" rgbClr="FF0000">
      <unresolved>
        <commentChain chainId="212148a1fa7b31a2ee6cbf1e0af658415c4c771a">
          <item id="5155d740e12b49f5c10316c4197acc79bd66d90d" userID="1715258932" userName="严新荟" dateTime="2026-07-22T02:16:56" isNormal="0">
            <s:text>
              <s:r>
                <s:t xml:space="preserve">2200207 7/21 3150 pcs
1001854 7/22 1200 pcs
2200236 7/23 2700 pcs</s:t>
              </s:r>
            </s:text>
          </item>
        </commentChain>
      </unresolved>
      <resolved/>
    </commentChains>
    <commentChains s:ref="AW163" rgbClr="FF0000">
      <unresolved>
        <commentChain chainId="9dc9a261a427a226019f3a88c61a83cf0c53f0da">
          <item id="dd19f3e10cd0b60339fd9c4a77dfb5b6a01a6ebf" userID="1715258932" userName="严新荟" dateTime="2026-07-18T08:13:04" isNormal="0">
            <s:text>
              <s:r>
                <s:t xml:space="preserve">7/7 外箱贴纸  94 pcs</s:t>
              </s:r>
            </s:text>
          </item>
        </commentChain>
      </unresolved>
      <resolved/>
    </commentChains>
    <commentChains s:ref="AU164" rgbClr="FF0000">
      <unresolved>
        <commentChain chainId="dbd71b62dce3d7df04d0dd44140ffc97972caad2">
          <item id="1b918582741abae1708f72301fd39c5f0f18da12" userID="1715258932" userName="严新荟" dateTime="2026-07-23T06:06:37" isNormal="0">
            <s:text>
              <s:r>
                <s:t xml:space="preserve">2200229 7/22 3150 pcs
2200242 7/24 pcs</s:t>
              </s:r>
            </s:text>
          </item>
        </commentChain>
      </unresolved>
      <resolved/>
    </commentChains>
    <commentChains s:ref="AU165" rgbClr="FF0000">
      <unresolved>
        <commentChain chainId="9b0221b4229a33c79762f4ac5e3b5af5cad32b0d">
          <item id="277f1079b80cc9192149d17d29216b2b7cf7e83c" userID="1715258932" userName="严新荟" dateTime="2026-07-23T06:06:37" isNormal="0">
            <s:text>
              <s:r>
                <s:t xml:space="preserve">2200229 7/22 3150 pcs
2200242 7/24 pcs</s:t>
              </s:r>
            </s:text>
          </item>
        </commentChain>
      </unresolved>
      <resolved/>
    </commentChains>
    <commentChains s:ref="AU167" rgbClr="FF0000">
      <unresolved>
        <commentChain chainId="0e5bec9dca25bc6794de675df0702888c75ae1d2">
          <item id="8c1f672db7a97a9c30859ddf0beba406dd6481aa" userID="1715258932" userName="严新荟" dateTime="2026-07-23T07:08:40" isNormal="0">
            <s:text>
              <s:r>
                <s:t xml:space="preserve">2200228 7/22 6720 pcs
2200249 7/25 96 pcs</s:t>
              </s:r>
            </s:text>
          </item>
        </commentChain>
      </unresolved>
      <resolved/>
    </commentChains>
    <commentChains s:ref="AU168" rgbClr="FF0000">
      <unresolved>
        <commentChain chainId="5bbe212d9b1c57ae6250a2b577a72976e61bf043">
          <item id="8170897eeb4c2f54fe00ed932bcb4c787b6665ab" userID="1715258932" userName="严新荟" dateTime="2026-07-25T02:16:39" isNormal="0">
            <s:text>
              <s:r>
                <s:t xml:space="preserve">2200243 7/24 6528 pcs
2200249 7/25 288 pcs</s:t>
              </s:r>
            </s:text>
          </item>
        </commentChain>
      </unresolved>
      <resolved/>
    </commentChains>
    <commentChains s:ref="AU169" rgbClr="FF0000">
      <unresolved>
        <commentChain chainId="115c731a7fbf8cee76ba3ef2201fee3fbfd8a318">
          <item id="249a2fade45966e1e19c8b1f2d422abae6ee1418" userID="1715258932" userName="严新荟" dateTime="2026-07-25T02:16:39" isNormal="0">
            <s:text>
              <s:r>
                <s:t xml:space="preserve">2200243 7/24 6336 pcs
2200249 7/25 480 pcs</s:t>
              </s:r>
            </s:text>
          </item>
        </commentChain>
      </unresolved>
      <resolved/>
    </commentChains>
    <commentChains s:ref="AU173" rgbClr="FF0000">
      <unresolved>
        <commentChain chainId="202db98686bc00e06c8f138b958546e2e7520d3f">
          <item id="a766a6a98acbc0550208c885927c55ea0dbb2ebe" userID="1715258932" userName="严新荟" dateTime="2026-07-10T03:23:23" isNormal="0">
            <s:text>
              <s:r>
                <s:t xml:space="preserve">2200095 7/9 3888 PCS</s:t>
              </s:r>
            </s:text>
          </item>
        </commentChain>
      </unresolved>
      <resolved/>
    </commentChains>
    <commentChains s:ref="AU174" rgbClr="FF0000">
      <unresolved>
        <commentChain chainId="f6ea35f12b7e57271548e03eedfff41817e1b854">
          <item id="bbf7f982200b8b8602866ddbd03583615215535e" userID="1715258932" userName="严新荟" dateTime="2026-07-14T02:00:22" isNormal="0">
            <s:text>
              <s:r>
                <s:t xml:space="preserve">2200127 7/13 3600 pcs
2200182 7/18 288 pcs</s:t>
              </s:r>
            </s:text>
          </item>
        </commentChain>
      </unresolved>
      <resolved/>
    </commentChains>
    <commentChains s:ref="AU175" rgbClr="FF0000">
      <unresolved>
        <commentChain chainId="965eec8577ecd87a48523b1772906e0368cfe26f">
          <item id="f476c046f96a96dfba6ec13f6a6ce0e523dfda20" userID="1715258932" userName="严新荟" dateTime="2026-07-10T03:23:23" isNormal="0">
            <s:text>
              <s:r>
                <s:t xml:space="preserve">2200095 7/9 3888 PCS</s:t>
              </s:r>
            </s:text>
          </item>
        </commentChain>
      </unresolved>
      <resolved/>
    </commentChains>
    <commentChains s:ref="AU176" rgbClr="FF0000">
      <unresolved>
        <commentChain chainId="237d39990d9c89060598ddf75a20bfb51bb7b131">
          <item id="f1c488af3cb62455f0cb49901e0ebcc70723bc74" userID="1715258932" userName="严新荟" dateTime="2026-07-14T01:59:41" isNormal="0">
            <s:text>
              <s:r>
                <s:t xml:space="preserve">2200127 7/13 4020 pcs</s:t>
              </s:r>
            </s:text>
          </item>
        </commentChain>
      </unresolved>
      <resolved/>
    </commentChains>
    <commentChains s:ref="AU177" rgbClr="FF0000">
      <unresolved>
        <commentChain chainId="eb38421b994988a9bbcfaad1e501782b7efa7134">
          <item id="321258659efd4963d0aaf77e1aca017d4ec893a1" userID="1715258932" userName="严新荟" dateTime="2026-07-22T02:17:31" isNormal="0">
            <s:text>
              <s:r>
                <s:t xml:space="preserve">2200207 7/21 2016 PCS</s:t>
              </s:r>
            </s:text>
          </item>
        </commentChain>
      </unresolved>
      <resolved/>
    </commentChains>
    <commentChains s:ref="AU178" rgbClr="FF0000">
      <unresolved>
        <commentChain chainId="8c53c25a63bb0db7963f8f9c9bd1cbfdd9e88fec">
          <item id="71bb011995caa2264202d443afd78779d17ff6a5" userID="1715258932" userName="严新荟" dateTime="2026-07-22T02:17:31" isNormal="0">
            <s:text>
              <s:r>
                <s:t xml:space="preserve">2200207 7/21 2016 PCS</s:t>
              </s:r>
            </s:text>
          </item>
        </commentChain>
      </unresolved>
      <resolved/>
    </commentChains>
    <commentChains s:ref="AU179" rgbClr="FF0000">
      <unresolved>
        <commentChain chainId="661e4ca59d87301ef57cd2d731fb4110ac742bfe">
          <item id="e4abc7eecfb200543ecec903ebeeae830c2a8776" userID="1715258932" userName="严新荟" dateTime="2026-07-22T02:17:31" isNormal="0">
            <s:text>
              <s:r>
                <s:t xml:space="preserve">2200207 7/21 2016 PCS</s:t>
              </s:r>
            </s:text>
          </item>
        </commentChain>
      </unresolved>
      <resolved/>
    </commentChains>
    <commentChains s:ref="J180" rgbClr="FF0000">
      <unresolved>
        <commentChain chainId="2effb7038d15c585c906fff9b1e2a6b1e51ec08e">
          <item id="408800e39d13a9577d0c11147472f5e561fb9393" userID="1475148402" userName="sara" dateTime="2026-08-13T07:08:02" isNormal="0">
            <s:text>
              <s:r>
                <s:t xml:space="preserve">转5004PCS到PO0000498</s:t>
              </s:r>
            </s:text>
          </item>
        </commentChain>
      </unresolved>
      <resolved/>
    </commentChains>
    <commentChains s:ref="J196" rgbClr="FF0000">
      <unresolved>
        <commentChain chainId="4fc02eaf49d3cdf5973918b8e9f90ce98e5d0556">
          <item id="25a8002249b1283e71250027c22ca09117034db0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197" rgbClr="FF0000">
      <unresolved>
        <commentChain chainId="b3e3123a1a8f26c0139b05c4c6a35a9d1c8c7b4b">
          <item id="9ea1881fcffb19177788fdada89b93b7d77f3eb3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198" rgbClr="FF0000">
      <unresolved>
        <commentChain chainId="8cece217a66178edfae8798ca5e565bc1b77c802">
          <item id="8f6c28310f0d4b80864d9da7df519da5a170c7b9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199" rgbClr="FF0000">
      <unresolved>
        <commentChain chainId="92fdbbcb164ee939397b9fe0c4edd11631378053">
          <item id="5ea93725241ed68b600bffad43330d203b7af667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200" rgbClr="FF0000">
      <unresolved>
        <commentChain chainId="851ea44f557eb924be5ff77d722bc6e244721e41">
          <item id="08b64d74a79400f0b866e3fbbaaaaa6fb1b9939d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201" rgbClr="FF0000">
      <unresolved>
        <commentChain chainId="0e68460d810866d27cb5dd7ee1e4613ac3d7adfc">
          <item id="7873bd51b61309b60c21ecd52738968af183d893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202" rgbClr="FF0000">
      <unresolved>
        <commentChain chainId="bf7cdc9b7aba4bc8d144b4ead4f704ed55982fc4">
          <item id="a47a2354f2a936e2fc09a863dadb77dd0205797d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203" rgbClr="FF0000">
      <unresolved>
        <commentChain chainId="877a91adb7d67ef3aba61a2a2f9edc65b9a93c65">
          <item id="f4f0042b6d44ab9d5e037e7f06c3d496b581fc23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204" rgbClr="FF0000">
      <unresolved>
        <commentChain chainId="b9799522db5965bcf0c889ce4717ee72703b5faf">
          <item id="9e6d2d7e49974f18d6719f8c61c4bf8c820db9b3" isNormal="1">
            <s:text>
              <s:r>
                <s:t xml:space="preserve">Administrator:
从PO0000204转入1648PCS
从PO0000203转入4000PCS</s:t>
              </s:r>
            </s:text>
          </item>
        </commentChain>
      </unresolved>
      <resolved/>
    </commentChains>
    <commentChains s:ref="AU210" rgbClr="FF0000">
      <unresolved>
        <commentChain chainId="502e189ec9581de6b0cd0d8af5cb0e6ee0a00764">
          <item id="14a1629cbf24f3f9edd1eb70b59ecfce9f91d157" userID="1715258932" userName="严新荟" dateTime="2026-07-15T02:39:45" isNormal="0">
            <s:text>
              <s:r>
                <s:t xml:space="preserve">2200152 7/14 348 PCS
2200211 7/20 12 PCS</s:t>
              </s:r>
            </s:text>
          </item>
        </commentChain>
      </unresolved>
      <resolved/>
    </commentChains>
    <commentChains s:ref="AU211" rgbClr="FF0000">
      <unresolved>
        <commentChain chainId="16fb60d2c7a8cb345ad72102112269ab4e942e8d">
          <item id="5946f0660c582880cb2f0cabf9422bb74f0d87b0" userID="1715258932" userName="严新荟" dateTime="2026-07-15T02:39:22" isNormal="0">
            <s:text>
              <s:r>
                <s:t xml:space="preserve">2200152 7/14 228 PCS
2200211 7/20 12 PCS</s:t>
              </s:r>
            </s:text>
          </item>
        </commentChain>
      </unresolved>
      <resolved/>
    </commentChains>
    <commentChains s:ref="G212" rgbClr="FF0000">
      <unresolved>
        <commentChain chainId="9cb2c8155801ff71eff1e57bc2d68d1f807abcc2">
          <item id="1a351cf825d0b1b6b3dfeb7c5096dc8d16812fc6" userID="1475148402" userName="sara" dateTime="2026-06-24T09:20:07" isNormal="0">
            <s:text>
              <s:r>
                <s:t xml:space="preserve">PO0000381改PO0000428</s:t>
              </s:r>
            </s:text>
          </item>
        </commentChain>
      </unresolved>
      <resolved/>
    </commentChains>
    <commentChains s:ref="AU229" rgbClr="FF0000">
      <unresolved>
        <commentChain chainId="bcb6cd7433575ea4653ca158e0ea8e562ad057cc">
          <item id="4a990265826166bc9e8b2e9882e2886b912e4ed8" userID="1715258932" userName="严新荟" dateTime="2026-07-31T02:23:47" isNormal="0">
            <s:text>
              <s:r>
                <s:t xml:space="preserve">2801916 7/30 1840 pcs
2801921 7/31 3648 PCS</s:t>
              </s:r>
            </s:text>
          </item>
        </commentChain>
      </unresolved>
      <resolved/>
    </commentChains>
    <commentChains s:ref="AU230" rgbClr="FF0000">
      <unresolved>
        <commentChain chainId="0fb47af5cd805899e35054868fe46f9e7e302179">
          <item id="e86b8569d1f388355f7f1b08025679fc65aaf786" userID="1715258932" userName="严新荟" dateTime="2026-08-05T01:40:54" isNormal="0">
            <s:text>
              <s:r>
                <s:t xml:space="preserve">2801947 8/4 4992 PCS
2801948 8/5 24 pcs</s:t>
              </s:r>
            </s:text>
          </item>
        </commentChain>
      </unresolved>
      <resolved/>
    </commentChains>
    <commentChains s:ref="AU231" rgbClr="FF0000">
      <unresolved>
        <commentChain chainId="faafb608b2f5d44544e71505e81972d9c9301fec">
          <item id="e3ca5648a6a8eec35442442339ba2a0b88c5dbdc" userID="1715258932" userName="严新荟" dateTime="2026-08-03T00:26:05" isNormal="0">
            <s:text>
              <s:r>
                <s:t xml:space="preserve">2801931 8/1 4464 PCS
2801934 8/3 36 pcs</s:t>
              </s:r>
            </s:text>
          </item>
        </commentChain>
      </unresolved>
      <resolved/>
    </commentChains>
    <commentChains s:ref="AU232" rgbClr="FF0000">
      <unresolved>
        <commentChain chainId="9936f9fdbeff21c4f4f6a50095e9ad38de78fe6e">
          <item id="b9451747ef35d9eb7934e140ac7a6bf0865d016f" userID="1715258932" userName="严新荟" dateTime="2026-08-06T01:03:37" isNormal="0">
            <s:text>
              <s:r>
                <s:t xml:space="preserve">2801948 8/5 6000 PCS</s:t>
              </s:r>
            </s:text>
          </item>
        </commentChain>
      </unresolved>
      <resolved/>
    </commentChains>
    <commentChains s:ref="AW239" rgbClr="FF0000">
      <unresolved>
        <commentChain chainId="926df0092896b4f94bf8e58be451bf8acde24eb6">
          <item id="5ffa83acfb94395a30c137077d6d75b1e5a174cf" userID="1715258932" userName="严新荟" dateTime="2026-06-27T05:56:44" isNormal="0">
            <s:text>
              <s:r>
                <s:t xml:space="preserve">6/26 4800 pcs</s:t>
              </s:r>
            </s:text>
          </item>
        </commentChain>
      </unresolved>
      <resolved/>
    </commentChains>
    <commentChains s:ref="AW240" rgbClr="FF0000">
      <unresolved>
        <commentChain chainId="f4f71835df31acc3ea40ec564d25aa13c472a587">
          <item id="9ef3e0a9b77864f6d040719023317811c599231a" userID="1715258932" userName="严新荟" dateTime="2026-06-27T05:56:44" isNormal="0">
            <s:text>
              <s:r>
                <s:t xml:space="preserve">6/26 1440 pcs</s:t>
              </s:r>
            </s:text>
          </item>
        </commentChain>
      </unresolved>
      <resolved/>
    </commentChains>
    <commentChains s:ref="AU241" rgbClr="FF0000">
      <unresolved>
        <commentChain chainId="a6924113962c89c39622ddf271e5c561f0436e36">
          <item id="813f7ac320a922c2acbc1bcc2a165317b44b5823" userID="1715258932" userName="严新荟" dateTime="2026-08-08T02:44:21" isNormal="0">
            <s:text>
              <s:r>
                <s:t xml:space="preserve">1600650 8/7 3840 pcs</s:t>
              </s:r>
            </s:text>
          </item>
        </commentChain>
      </unresolved>
      <resolved/>
    </commentChains>
    <commentChains s:ref="AW241" rgbClr="FF0000">
      <unresolved>
        <commentChain chainId="d7da1dc04ad306652221e29d34da0cccc2cea405">
          <item id="bbd5339749b973d5bc206a62c3d1b45b495c33f0" userID="1715258932" userName="严新荟" dateTime="2026-06-27T05:56:44" isNormal="0">
            <s:text>
              <s:r>
                <s:t xml:space="preserve">6/26 3840 pcs</s:t>
              </s:r>
            </s:text>
          </item>
        </commentChain>
      </unresolved>
      <resolved/>
    </commentChains>
    <commentChains s:ref="AU242" rgbClr="FF0000">
      <unresolved>
        <commentChain chainId="32218619be0f68d38eb251fb888f02a32602576c">
          <item id="f56663ff4eaf388d60ef9f8e1d94d5f84b284afc" userID="1715258932" userName="严新荟" dateTime="2026-08-07T01:30:49" isNormal="0">
            <s:text>
              <s:r>
                <s:t xml:space="preserve">1600631 8/6 1440 pcs</s:t>
              </s:r>
            </s:text>
          </item>
        </commentChain>
      </unresolved>
      <resolved/>
    </commentChains>
    <commentChains s:ref="AW242" rgbClr="FF0000">
      <unresolved>
        <commentChain chainId="5e109aff16183907942f402bd9bf2edbaeaa2ce8">
          <item id="581512c947a0182cdf554b627e53fa052cb6ac07" userID="1715258932" userName="严新荟" dateTime="2026-06-27T05:56:44" isNormal="0">
            <s:text>
              <s:r>
                <s:t xml:space="preserve">6/26 1440 pcs</s:t>
              </s:r>
            </s:text>
          </item>
        </commentChain>
      </unresolved>
      <resolved/>
    </commentChains>
    <commentChains s:ref="AU243" rgbClr="FF0000">
      <unresolved>
        <commentChain chainId="772f976f80bc8261d810c1faad6318239af6568e">
          <item id="2cafe71fefe2ebc1281b73307a609689dff96c44" userID="1715258932" userName="严新荟" dateTime="2026-08-12T00:41:32" isNormal="0">
            <s:text>
              <s:r>
                <s:t xml:space="preserve">2200623 8/11 4704 pcs
2200212 8/15 96 pcs</s:t>
              </s:r>
            </s:text>
          </item>
        </commentChain>
      </unresolved>
      <resolved/>
    </commentChains>
    <commentChains s:ref="AW243" rgbClr="FF0000">
      <unresolved>
        <commentChain chainId="21f1fd35f1e596c6d035497edc35055a2f4ae6c7">
          <item id="3d7d7204f3226db90280d65a735804e2f3585317" userID="1715258932" userName="严新荟" dateTime="2026-06-27T05:56:44" isNormal="0">
            <s:text>
              <s:r>
                <s:t xml:space="preserve">6/26 4800 pcs</s:t>
              </s:r>
            </s:text>
          </item>
        </commentChain>
      </unresolved>
      <resolved/>
    </commentChains>
    <commentChains s:ref="AU244" rgbClr="FF0000">
      <unresolved>
        <commentChain chainId="4467279e75b7dd41487b216c0057df5fc35b82c4">
          <item id="7075463d2a1506efa5e81d63f003294f35e3a83d" userID="1715258932" userName="严新荟" dateTime="2026-08-04T06:19:02" isNormal="0">
            <s:text>
              <s:r>
                <s:t xml:space="preserve">2801936 8/3 1332 pcs
2801942 8/4 588 pcs</s:t>
              </s:r>
            </s:text>
          </item>
        </commentChain>
      </unresolved>
      <resolved/>
    </commentChains>
    <commentChains s:ref="AW244" rgbClr="FF0000">
      <unresolved>
        <commentChain chainId="2d9bcc576c0af69793d7d289165a05fd415f3de4">
          <item id="f90001df5abe041a002a5fdc0661d08f5457fd1a" userID="1715258932" userName="严新荟" dateTime="2026-06-27T05:56:44" isNormal="0">
            <s:text>
              <s:r>
                <s:t xml:space="preserve">6/26 1920 pcs</s:t>
              </s:r>
            </s:text>
          </item>
        </commentChain>
      </unresolved>
      <resolved/>
    </commentChains>
    <commentChains s:ref="AU245" rgbClr="FF0000">
      <unresolved>
        <commentChain chainId="72e53dbd39fc7e8b484f7efd33f3b64e159cc221">
          <item id="667ab86a57f3f0c9d939956eaea90e1329d1407e" userID="1715258932" userName="严新荟" dateTime="2026-08-01T01:17:38" isNormal="0">
            <s:text>
              <s:r>
                <s:t xml:space="preserve">2801921 7/31 1440 PCS</s:t>
              </s:r>
            </s:text>
          </item>
        </commentChain>
      </unresolved>
      <resolved/>
    </commentChains>
    <commentChains s:ref="AW245" rgbClr="FF0000">
      <unresolved>
        <commentChain chainId="a2ac7c5285679859a8ae6da3207f36dd29c22394">
          <item id="47e5579fb6794a52fa85b4f03706147a284ebcbb" userID="1715258932" userName="严新荟" dateTime="2026-06-27T05:56:44" isNormal="0">
            <s:text>
              <s:r>
                <s:t xml:space="preserve">6/26 1440 pcs</s:t>
              </s:r>
            </s:text>
          </item>
        </commentChain>
      </unresolved>
      <resolved/>
    </commentChains>
    <commentChains s:ref="AU246" rgbClr="FF0000">
      <unresolved>
        <commentChain chainId="81dbc084a38af4c0f9f320e10200d4061e1e3c22">
          <item id="90271f0e26f4975d06c489a0d9f7702853acf75e" userID="1715258932" userName="严新荟" dateTime="2026-08-08T02:38:30" isNormal="0">
            <s:text>
              <s:r>
                <s:t xml:space="preserve">1600639 8/7 2400 PCS</s:t>
              </s:r>
            </s:text>
          </item>
        </commentChain>
      </unresolved>
      <resolved/>
    </commentChains>
    <commentChains s:ref="AW246" rgbClr="FF0000">
      <unresolved>
        <commentChain chainId="3aadad294ebf0d26b14a6cf5fae163017b84ea49">
          <item id="ed65b382fcb53a4d00795c6770287613f49a0b47" userID="1715258932" userName="严新荟" dateTime="2026-06-27T05:56:44" isNormal="0">
            <s:text>
              <s:r>
                <s:t xml:space="preserve">6/26 2400 pcs</s:t>
              </s:r>
            </s:text>
          </item>
        </commentChain>
      </unresolved>
      <resolved/>
    </commentChains>
    <commentChains s:ref="AU249" rgbClr="FF0000">
      <unresolved>
        <commentChain chainId="6afdfffaa26779fa03b50534ac93a20522b1b05f">
          <item id="6e938a8ece3a1e14e930574957904e1e08657b9c" userID="1715258932" userName="严新荟" dateTime="2026-08-07T01:31:16" isNormal="0">
            <s:text>
              <s:r>
                <s:t xml:space="preserve">1600631 8/6 600 pcs</s:t>
              </s:r>
            </s:text>
          </item>
        </commentChain>
      </unresolved>
      <resolved/>
    </commentChains>
    <commentChains s:ref="AU250" rgbClr="FF0000">
      <unresolved>
        <commentChain chainId="090cab3af3df3ba3ae299871f3959187a37ddb62">
          <item id="6dfa6c48c8e13e5356bc76a8f6afbb4a84377949" userID="1715258932" userName="严新荟" dateTime="2026-08-07T01:31:16" isNormal="0">
            <s:text>
              <s:r>
                <s:t xml:space="preserve">1600631 8/6 240 pcs</s:t>
              </s:r>
            </s:text>
          </item>
        </commentChain>
      </unresolved>
      <resolved/>
    </commentChains>
    <commentChains s:ref="AU251" rgbClr="FF0000">
      <unresolved>
        <commentChain chainId="bd660fff450b69e08791199fbd72ffd8dcb03a3e">
          <item id="05ad59ebd359e8ddd3a631e80608a82835a06e87" userID="1715258932" userName="严新荟" dateTime="2026-08-07T01:36:27" isNormal="0">
            <s:text>
              <s:r>
                <s:t xml:space="preserve">1600630 8/6 648 PCS</s:t>
              </s:r>
            </s:text>
          </item>
        </commentChain>
      </unresolved>
      <resolved/>
    </commentChains>
    <commentChains s:ref="AU252" rgbClr="FF0000">
      <unresolved>
        <commentChain chainId="ac5085360ecc9f5e6c18fe7a3705b6e322ce917f">
          <item id="24636386929c1061f0053b8868d290103a0eb57d" userID="1715258932" userName="严新荟" dateTime="2026-08-04T06:19:23" isNormal="0">
            <s:text>
              <s:r>
                <s:t xml:space="preserve">2801936 8/3 324 pcs</s:t>
              </s:r>
            </s:text>
          </item>
        </commentChain>
      </unresolved>
      <resolved/>
    </commentChains>
    <commentChains s:ref="AU253" rgbClr="FF0000">
      <unresolved>
        <commentChain chainId="99313d4efc981791cd56fbab1fc26a88208301f3">
          <item id="96688ee72ee70c67744eb96740eb43040787fec4" userID="1715258932" userName="严新荟" dateTime="2026-08-01T01:17:38" isNormal="0">
            <s:text>
              <s:r>
                <s:t xml:space="preserve">2801921 7/31 264 PCS</s:t>
              </s:r>
            </s:text>
          </item>
        </commentChain>
      </unresolved>
      <resolved/>
    </commentChains>
    <commentChains s:ref="AU254" rgbClr="FF0000">
      <unresolved>
        <commentChain chainId="251806b8c25791ff660c0075e280d3bcc35e2bc1">
          <item id="8bc333162e6fc5bb06d10ff2d279bae0f127f5e9" userID="1715258932" userName="严新荟" dateTime="2026-08-10T06:26:16" isNormal="0">
            <s:text>
              <s:r>
                <s:t xml:space="preserve">1600642 8/8 420 pcs</s:t>
              </s:r>
            </s:text>
          </item>
        </commentChain>
      </unresolved>
      <resolved/>
    </commentChains>
    <commentChains s:ref="AU257" rgbClr="FF0000">
      <unresolved>
        <commentChain chainId="c0ecf0c34b1f9344ebfb98d7323601031d377a29">
          <item id="224958aa5112db5e0e14c0c1eb73cc2b7c0b3f11" userID="1715258932" userName="严新荟" dateTime="2026-08-07T01:31:56" isNormal="0">
            <s:text>
              <s:r>
                <s:t xml:space="preserve">1600631 8/6 300 pcs</s:t>
              </s:r>
            </s:text>
          </item>
        </commentChain>
      </unresolved>
      <resolved/>
    </commentChains>
    <commentChains s:ref="AU258" rgbClr="FF0000">
      <unresolved>
        <commentChain chainId="be1622e00e424f34d2244ab80eb7d98f9ee331ef">
          <item id="fd798e2d5b84a36e225bfd51388e20b1efb35822" userID="1715258932" userName="严新荟" dateTime="2026-08-07T01:31:56" isNormal="0">
            <s:text>
              <s:r>
                <s:t xml:space="preserve">1600631 8/6 120 pcs</s:t>
              </s:r>
            </s:text>
          </item>
        </commentChain>
      </unresolved>
      <resolved/>
    </commentChains>
    <commentChains s:ref="AU259" rgbClr="FF0000">
      <unresolved>
        <commentChain chainId="8ad70ff41c3e1fbb9eac419d89877eba112798d4">
          <item id="5abba1ec6d420f25ab1466f92d355f136605f387" userID="1715258932" userName="严新荟" dateTime="2026-08-07T01:36:52" isNormal="0">
            <s:text>
              <s:r>
                <s:t xml:space="preserve">1600630 8/6 384 PCS</s:t>
              </s:r>
            </s:text>
          </item>
        </commentChain>
      </unresolved>
      <resolved/>
    </commentChains>
    <commentChains s:ref="AU260" rgbClr="FF0000">
      <unresolved>
        <commentChain chainId="586f54ffc110e41d3614b90badeb7e3cb1238df0">
          <item id="479aa9b322f89a19a2efba6c4bb75e4ec126d933" userID="1715258932" userName="严新荟" dateTime="2026-08-04T06:19:46" isNormal="0">
            <s:text>
              <s:r>
                <s:t xml:space="preserve">2801936 8/3 144 pcs</s:t>
              </s:r>
            </s:text>
          </item>
        </commentChain>
      </unresolved>
      <resolved/>
    </commentChains>
    <commentChains s:ref="AU261" rgbClr="FF0000">
      <unresolved>
        <commentChain chainId="bc0b241def1976c6889a2997eff7711732e2a0b8">
          <item id="82035ff42b4719b1654298ca1b179e4159f68fb4" userID="1715258932" userName="严新荟" dateTime="2026-08-01T01:17:38" isNormal="0">
            <s:text>
              <s:r>
                <s:t xml:space="preserve">2801921 7/31 132 PCS</s:t>
              </s:r>
            </s:text>
          </item>
        </commentChain>
      </unresolved>
      <resolved/>
    </commentChains>
    <commentChains s:ref="AU262" rgbClr="FF0000">
      <unresolved>
        <commentChain chainId="64d5ec7c15b8bb56011c66bd58930914c986d2dd">
          <item id="43fb4510fe083c3809d244236dde99ab187b73b9" userID="1715258932" userName="严新荟" dateTime="2026-08-10T06:26:35" isNormal="0">
            <s:text>
              <s:r>
                <s:t xml:space="preserve">1600642 8/8 216 pcs</s:t>
              </s:r>
            </s:text>
          </item>
        </commentChain>
      </unresolved>
      <resolved/>
    </commentChains>
    <commentChains s:ref="AU268" rgbClr="FF0000">
      <unresolved>
        <commentChain chainId="da695a23049a11a83489a12596b811951336d4cb">
          <item id="fac7b14e12df5556bc630f841cc8d980b1b9d6c5" userID="1715258932" userName="严新荟" dateTime="2026-07-29T03:31:15" isNormal="0">
            <s:text>
              <s:r>
                <s:t xml:space="preserve">2801905 7/28 5976 PCS
2801912 7/29 24 pcs</s:t>
              </s:r>
            </s:text>
          </item>
        </commentChain>
      </unresolved>
      <resolved/>
    </commentChains>
    <commentChains s:ref="AU269" rgbClr="FF0000">
      <unresolved>
        <commentChain chainId="22de7786def25f9f193ac8cddd74a766f9ff0ef4">
          <item id="0d13bc0d6fd76436d426fd3fcd99db5db8fdbb48" userID="1715258932" userName="严新荟" dateTime="2026-08-04T06:21:33" isNormal="0">
            <s:text>
              <s:r>
                <s:t xml:space="preserve">2801936 8/3 3000 pcs</s:t>
              </s:r>
            </s:text>
          </item>
        </commentChain>
      </unresolved>
      <resolved/>
    </commentChains>
    <commentChains s:ref="AU270" rgbClr="FF0000">
      <unresolved>
        <commentChain chainId="0d28aa933e539da7469188ce39016e9d9d3f7b7e">
          <item id="2077d088ff23c93ae1cc0c357ab70c016ee62a9d" userID="1715258932" userName="严新荟" dateTime="2026-08-04T06:21:33" isNormal="0">
            <s:text>
              <s:r>
                <s:t xml:space="preserve">2801936 8/3 3000 pcs</s:t>
              </s:r>
            </s:text>
          </item>
        </commentChain>
      </unresolved>
      <resolved/>
    </commentChains>
    <commentChains s:ref="AU286" rgbClr="FF0000">
      <unresolved>
        <commentChain chainId="47e52f2d975c85facef87a6b096b2d19ae99cec6">
          <item id="3fb296acf4a16c7a1cb5a40ef1aef5c9a82626f8" userID="1715258932" userName="严新荟" dateTime="2026-08-14T00:50:34" isNormal="0">
            <s:text>
              <s:r>
                <s:t xml:space="preserve">2200624 8/12 11964 pcs
2200212 8/15 36 pcs</s:t>
              </s:r>
            </s:text>
          </item>
        </commentChain>
      </unresolved>
      <resolved/>
    </commentChains>
    <commentChains s:ref="AU287" rgbClr="FF0000">
      <unresolved>
        <commentChain chainId="4a15fe2a5320d8159f75cc093a4438a38441ceac">
          <item id="bcd231c07edf863e689dfddecd7da6e010c69db8" userID="1715258932" userName="严新荟" dateTime="2026-08-07T01:33:11" isNormal="0">
            <s:text>
              <s:r>
                <s:t xml:space="preserve">1600631 8/6 7728 pcs
1600638 8/7 1656 PCS
2200624 8/12 696 pcs</s:t>
              </s:r>
            </s:text>
          </item>
        </commentChain>
      </unresolved>
      <resolved/>
    </commentChains>
    <commentChains s:ref="AU288" rgbClr="FF0000">
      <unresolved>
        <commentChain chainId="06ce17577617124a10c49e217af038bcefa74ab1">
          <item id="fb1148dbed8083d32364535b277023e9c116c567" userID="1715258932" userName="严新荟" dateTime="2026-08-17T01:13:22" isNormal="0">
            <s:text>
              <s:r>
                <s:t xml:space="preserve">2200212 8/15 42 pcs
2200634 8/14 6006 pcs</s:t>
              </s:r>
            </s:text>
          </item>
        </commentChain>
      </unresolved>
      <resolved/>
    </commentChains>
    <commentChains s:ref="AU289" rgbClr="FF0000">
      <unresolved>
        <commentChain chainId="2aa0fbc3e47f651a829c4a76ea52c8f9bc76d3d5">
          <item id="7a830d21eee8ffda5a1d0665486407971ddac81f" userID="1715258932" userName="严新荟" dateTime="2026-08-14T00:42:34" isNormal="0">
            <s:text>
              <s:r>
                <s:t xml:space="preserve">2200627 8/12 6006 PCS
2200212 8/15 42 pcs</s:t>
              </s:r>
            </s:text>
          </item>
        </commentChain>
      </unresolved>
      <resolved/>
    </commentChains>
    <commentChains s:ref="AU291" rgbClr="FF0000">
      <unresolved>
        <commentChain chainId="d19a2c45e1cbbc54462d8e89c564327a5c85dc38">
          <item id="c6cf299003d264657fad43cc083d04c53d6d230d" userID="1715258932" userName="严新荟" dateTime="2026-08-12T00:40:57" isNormal="0">
            <s:text>
              <s:r>
                <s:t xml:space="preserve">2200623 8/11 2952 pcs
2200631 8/14 48 PCS</s:t>
              </s:r>
            </s:text>
          </item>
        </commentChain>
      </unresolved>
      <resolved/>
    </commentChains>
    <commentChains s:ref="J312" rgbClr="FF0000">
      <unresolved>
        <commentChain chainId="607bc426458fbfe88e2f685430dc39772fdc004a">
          <item id="712498beb590b14664a678199c72df5b508eac53" userID="1475148402" userName="sara" dateTime="2026-06-24T09:06:15" isNormal="0">
            <s:text>
              <s:r>
                <s:t xml:space="preserve">从PO0000292转入</s:t>
              </s:r>
            </s:text>
          </item>
        </commentChain>
      </unresolved>
      <resolved/>
    </commentChains>
    <commentChains s:ref="J313" rgbClr="FF0000">
      <unresolved>
        <commentChain chainId="a9a03d06b4a52a4cdbe330fbae26c8119e3c8d6c">
          <item id="2e7fc7a1b9472079a1d2f424fefaea1c269dc364" userID="1475148402" userName="sara" dateTime="2026-06-24T09:06:15" isNormal="0">
            <s:text>
              <s:r>
                <s:t xml:space="preserve">从PO0000292转入</s:t>
              </s:r>
            </s:text>
          </item>
        </commentChain>
      </unresolved>
      <resolved/>
    </commentChains>
    <commentChains s:ref="J314" rgbClr="FF0000">
      <unresolved>
        <commentChain chainId="8a7c6e49eb2431dc7a8a25962c6e62cba572f7a4">
          <item id="21143e4dec2248ac51405f47ab49dca27ede83a4" userID="1475148402" userName="sara" dateTime="2026-06-24T09:06:15" isNormal="0">
            <s:text>
              <s:r>
                <s:t xml:space="preserve">从PO0000292转入</s:t>
              </s:r>
            </s:text>
          </item>
        </commentChain>
      </unresolved>
      <resolved/>
    </commentChains>
    <commentChains s:ref="J335" rgbClr="FF0000">
      <unresolved>
        <commentChain chainId="d72a2ea5cce96c4edef74e1428a5aa4e09626b8c">
          <item id="7f6d3d6a3df40937c753e6f316211e3ee7dfa0ea" userID="1475148402" userName="sara" dateTime="2026-07-08T07:18:42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J336" rgbClr="FF0000">
      <unresolved>
        <commentChain chainId="6fccced48d372f23a05ae922d656f53c208be06d">
          <item id="d808a1717ae8f7563ee79895652712bd7333b59e" userID="1475148402" userName="sara" dateTime="2026-07-08T07:18:38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AU336" rgbClr="FF0000">
      <unresolved>
        <commentChain chainId="318e16187eb73ab199ed8023dbff0dc424d79529">
          <item id="e5ac1db0ec7d45458944e07c8649c4da1020ef4c" userID="1715258932" userName="严新荟" dateTime="2026-07-29T03:32:35" isNormal="0">
            <s:text>
              <s:r>
                <s:t xml:space="preserve">2801905 7/28 18576 PCS</s:t>
              </s:r>
            </s:text>
          </item>
        </commentChain>
      </unresolved>
      <resolved/>
    </commentChains>
    <commentChains s:ref="AW336" rgbClr="FF0000">
      <unresolved>
        <commentChain chainId="83cd10bcfc1b5cd86cf843859ea0f417b9e9a450">
          <item id="c04e18750e2b72217e4fa14519c403b0973658b0" userID="1715258932" userName="严新荟" dateTime="2026-07-17T13:09:56" isNormal="0">
            <s:text>
              <s:r>
                <s:t xml:space="preserve">7/16 上外箱贴纸 799 pcs</s:t>
              </s:r>
            </s:text>
          </item>
        </commentChain>
      </unresolved>
      <resolved/>
    </commentChains>
    <commentChains s:ref="J337" rgbClr="FF0000">
      <unresolved>
        <commentChain chainId="0bfef2c67e140373338092c1eac726b871aa5062">
          <item id="a5f00366f785e0ac4ca3daa719ed90140175c01f" userID="1475148402" userName="sara" dateTime="2026-07-08T07:18:44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AU337" rgbClr="FF0000">
      <unresolved>
        <commentChain chainId="3d6b7353dbfc04b4aa97b0c0fdf8529827cddea8">
          <item id="fd6e1f3463ad084163991cd1cca0dfd6c4f0e85e" userID="1715258932" userName="严新荟" dateTime="2026-08-03T00:34:58" isNormal="0">
            <s:text>
              <s:r>
                <s:t xml:space="preserve">2801929 8/1 18048 pcs</s:t>
              </s:r>
            </s:text>
          </item>
        </commentChain>
      </unresolved>
      <resolved/>
    </commentChains>
    <commentChains s:ref="AW337" rgbClr="FF0000">
      <unresolved>
        <commentChain chainId="e3acd3da0ff63b832d4beb2d597108f4f8b4553b">
          <item id="8dc06be82da8c045c9a2ff41f794baa932b62ed5" userID="1715258932" userName="严新荟" dateTime="2026-07-17T13:09:56" isNormal="0">
            <s:text>
              <s:r>
                <s:t xml:space="preserve">7/16 上外箱贴纸 752 pcs</s:t>
              </s:r>
            </s:text>
          </item>
        </commentChain>
      </unresolved>
      <resolved/>
    </commentChains>
    <commentChains s:ref="J338" rgbClr="FF0000">
      <unresolved>
        <commentChain chainId="343f104eb526df4f38c10fb70ddf4b2be5aeeb52">
          <item id="db577b984b6de2169368d01d73c98f1d52cede5b" userID="1475148402" userName="sara" dateTime="2026-07-08T07:18:47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AU338" rgbClr="FF0000">
      <unresolved>
        <commentChain chainId="c0cbc8c19b6dfcd171410573ece39f5e48f3dcef">
          <item id="c79446a0d857d2d29daef738a1824325f59d32c2" userID="1715258932" userName="严新荟" dateTime="2026-08-01T01:19:22" isNormal="0">
            <s:text>
              <s:r>
                <s:t xml:space="preserve">2801921 7/31 11400 PCS
2801925 8/1 24 pcs</s:t>
              </s:r>
            </s:text>
          </item>
        </commentChain>
      </unresolved>
      <resolved/>
    </commentChains>
    <commentChains s:ref="AW338" rgbClr="FF0000">
      <unresolved>
        <commentChain chainId="0c674d28c59f552cbb20c828bc85826c9f1457c5">
          <item id="e2c8139177a3dd5a7152bc4cb141b9ad45081b98" userID="1715258932" userName="严新荟" dateTime="2026-07-17T13:09:56" isNormal="0">
            <s:text>
              <s:r>
                <s:t xml:space="preserve">7/16 上外箱贴纸 476 pcs</s:t>
              </s:r>
            </s:text>
          </item>
        </commentChain>
      </unresolved>
      <resolved/>
    </commentChains>
    <commentChains s:ref="J339" rgbClr="FF0000">
      <unresolved>
        <commentChain chainId="f8e543cdc20b22e21a2eb15e55aa827216130d3e">
          <item id="c5cb5612de8cd8826089a8ccb80b1516027223aa" userID="1475148402" userName="sara" dateTime="2026-07-08T07:18:49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AU339" rgbClr="FF0000">
      <unresolved>
        <commentChain chainId="575094f6bc797c3ac0d5bcf5272896760a467dce">
          <item id="4842dfd2205d8b85a815606d41cdbf535ed2d3c4" userID="1715258932" userName="严新荟" dateTime="2026-08-04T06:15:33" isNormal="0">
            <s:text>
              <s:r>
                <s:t xml:space="preserve">2801937 8/3 6024 pcs
2801947 8/4 6720 PCS
2801948 8/5 3480 pcs</s:t>
              </s:r>
            </s:text>
          </item>
        </commentChain>
      </unresolved>
      <resolved/>
    </commentChains>
    <commentChains s:ref="AW339" rgbClr="FF0000">
      <unresolved>
        <commentChain chainId="91ef51ef2ce24f607b5f38bec47ec48423ac491c">
          <item id="1c57933fee5f8313b59b267df3588ccce9c15724" userID="1715258932" userName="严新荟" dateTime="2026-07-17T13:09:56" isNormal="0">
            <s:text>
              <s:r>
                <s:t xml:space="preserve">7/16 上外箱贴纸 676 pcs</s:t>
              </s:r>
            </s:text>
          </item>
        </commentChain>
      </unresolved>
      <resolved/>
    </commentChains>
    <commentChains s:ref="J340" rgbClr="FF0000">
      <unresolved>
        <commentChain chainId="30f64ed23cbe5fa3e7de60c73687871bb9e128a7">
          <item id="b3291e182a0f7252807af39b790619b88c22e7b6" userID="1475148402" userName="sara" dateTime="2026-07-08T07:18:49" isNormal="0">
            <s:text>
              <s:r>
                <s:t xml:space="preserve">从PO0000391转入</s:t>
              </s:r>
            </s:text>
          </item>
        </commentChain>
      </unresolved>
      <resolved/>
    </commentChains>
    <commentChains s:ref="AU340" rgbClr="FF0000">
      <unresolved>
        <commentChain chainId="a8eb8c69f40928fccbb6b974645c438fa5b1f79e">
          <item id="cd94af80462bf5b9e1a4826a06c8ee176f302d89" userID="1715258932" userName="严新荟" dateTime="2026-08-01T01:18:55" isNormal="0">
            <s:text>
              <s:r>
                <s:t xml:space="preserve">2801921 7/31 10608 PCS</s:t>
              </s:r>
            </s:text>
          </item>
        </commentChain>
      </unresolved>
      <resolved/>
    </commentChains>
    <commentChains s:ref="AW340" rgbClr="FF0000">
      <unresolved>
        <commentChain chainId="e1281564c4c8e1f92e22e77d8250db85d7e912c5">
          <item id="ce3a47a5c10feccfe2123381d194ca0e70ea5cae" userID="1715258932" userName="严新荟" dateTime="2026-07-17T13:09:56" isNormal="0">
            <s:text>
              <s:r>
                <s:t xml:space="preserve">7/16 上外箱贴纸 442 pcs</s:t>
              </s:r>
            </s:text>
          </item>
        </commentChain>
      </unresolved>
      <resolved/>
    </commentChains>
    <commentChains s:ref="AW343" rgbClr="FF0000">
      <unresolved>
        <commentChain chainId="a6806c58cb1c0ef21ad564adc805f8302128607b">
          <item id="b86d56ebc0535cbe1541ca8a07af34e2b9a89905" userID="1715258932" userName="严新荟" dateTime="2026-07-23T07:34:35" isNormal="0">
            <s:text>
              <s:r>
                <s:t xml:space="preserve">7/23 印尼客贴纸 1032 pcs</s:t>
              </s:r>
            </s:text>
          </item>
        </commentChain>
      </unresolved>
      <resolved/>
    </commentChains>
    <commentChains s:ref="AW344" rgbClr="FF0000">
      <unresolved>
        <commentChain chainId="59834e739dc8e9c64cb3f31989649a944c080460">
          <item id="c9e01b81435bc66853bd9218f5b2cbdc78045d05" userID="1715258932" userName="严新荟" dateTime="2026-07-23T07:34:35" isNormal="0">
            <s:text>
              <s:r>
                <s:t xml:space="preserve">7/23 印尼客贴纸 816 pcs</s:t>
              </s:r>
            </s:text>
          </item>
        </commentChain>
      </unresolved>
      <resolved/>
    </commentChains>
    <commentChains s:ref="AW345" rgbClr="FF0000">
      <unresolved>
        <commentChain chainId="25cfe8afe46f227c6d2102033ba91d032fe7e6c2">
          <item id="46cb6408c0fe4f7dc8379fcd58c61c946a477621" userID="1715258932" userName="严新荟" dateTime="2026-07-23T07:34:35" isNormal="0">
            <s:text>
              <s:r>
                <s:t xml:space="preserve">7/23 印尼客贴纸 1440 pcs</s:t>
              </s:r>
            </s:text>
          </item>
        </commentChain>
      </unresolved>
      <resolved/>
    </commentChains>
    <commentChains s:ref="AW346" rgbClr="FF0000">
      <unresolved>
        <commentChain chainId="ee549390a26701915e2362dd62642f33d703a8e5">
          <item id="3cdd87eb9fa38c050366e43ee74dc8ca99c1994f" userID="1715258932" userName="严新荟" dateTime="2026-07-23T07:34:35" isNormal="0">
            <s:text>
              <s:r>
                <s:t xml:space="preserve">7/23 印尼客贴纸 960 pcs</s:t>
              </s:r>
            </s:text>
          </item>
        </commentChain>
      </unresolved>
      <resolved/>
    </commentChains>
    <commentChains s:ref="AW348" rgbClr="FF0000">
      <unresolved>
        <commentChain chainId="940a368714246d2f6f7918add055e0bb3b324a7a">
          <item id="256d8d1d3fc33410b7f85f21876dbd07cc9cf129" userID="1715258932" userName="严新荟" dateTime="2026-08-03T03:33:22" isNormal="0">
            <s:text>
              <s:r>
                <s:t xml:space="preserve">7/30 上 3000 pcs</s:t>
              </s:r>
            </s:text>
          </item>
        </commentChain>
      </unresolved>
      <resolved/>
    </commentChains>
    <commentChains s:ref="AW351" rgbClr="FF0000">
      <unresolved>
        <commentChain chainId="e73ef69b0749003273c8e2c121e8eb8934379b83">
          <item id="d5166706adc05bc99e5e67d78712a9abb6e72c61" userID="1715258932" userName="严新荟" dateTime="2026-08-03T03:33:22" isNormal="0">
            <s:text>
              <s:r>
                <s:t xml:space="preserve">7/30 上 1500 pcs</s:t>
              </s:r>
            </s:text>
          </item>
        </commentChain>
      </unresolved>
      <resolved/>
    </commentChains>
    <commentChains s:ref="J359" rgbClr="FF0000">
      <unresolved>
        <commentChain chainId="19777da6cd994a6576f7057f7562456867d0ab5d">
          <item id="3882cfe4715f6738b06b2f0bbe57fc81e649f62c" userID="1475148402" userName="sara" dateTime="2026-07-22T08:29:58" isNormal="0">
            <s:text>
              <s:r>
                <s:t xml:space="preserve">转3108PCS到PO0000462</s:t>
              </s:r>
            </s:text>
          </item>
        </commentChain>
      </unresolved>
      <resolved/>
    </commentChains>
    <commentChains s:ref="AW359" rgbClr="FF0000">
      <unresolved>
        <commentChain chainId="19999a0b5d0c1f322797b83337f7d368b0e15017">
          <item id="2fdd74e4bb8e1d08f9cdccd405c954af35ba379c" userID="1715258932" userName="严新荟" dateTime="2026-08-03T03:34:30" isNormal="0">
            <s:text>
              <s:r>
                <s:t xml:space="preserve">8/3 上条码贴纸 8400 pcs</s:t>
              </s:r>
            </s:text>
          </item>
        </commentChain>
      </unresolved>
      <resolved/>
    </commentChains>
    <commentChains s:ref="AW363" rgbClr="FF0000">
      <unresolved>
        <commentChain chainId="f5026824ca779b8e72cb0e4ba75e6af162fcd9d7">
          <item id="1979bc13136f7d138829ade1a23e0f815e179a82" userID="1715258932" userName="严新荟" dateTime="2026-08-10T12:48:24" isNormal="0">
            <s:text>
              <s:r>
                <s:t xml:space="preserve">8/10 比利时客贴纸 7008 pcs</s:t>
              </s:r>
            </s:text>
          </item>
        </commentChain>
      </unresolved>
      <resolved/>
    </commentChains>
    <commentChains s:ref="AW364" rgbClr="FF0000">
      <unresolved>
        <commentChain chainId="f6e1d39bed3fe8b50eaf7965a1f13c179c566bc6">
          <item id="38c56ad68b80ed550f1ed8ce479a6c6ee2929fa7" userID="1715258932" userName="严新荟" dateTime="2026-08-10T12:48:24" isNormal="0">
            <s:text>
              <s:r>
                <s:t xml:space="preserve">8/10 比利时客贴纸 4416 pcs</s:t>
              </s:r>
            </s:text>
          </item>
        </commentChain>
      </unresolved>
      <resolved/>
    </commentChains>
    <commentChains s:ref="AW365" rgbClr="FF0000">
      <unresolved>
        <commentChain chainId="5b9970381b1a351b4360416846f17a893b05de87">
          <item id="6eaa271c5105e8e552f66fd59949c2d1af3cec03" userID="1715258932" userName="严新荟" dateTime="2026-08-10T12:48:24" isNormal="0">
            <s:text>
              <s:r>
                <s:t xml:space="preserve">8/10 比利时客贴纸 3000 pcs</s:t>
              </s:r>
            </s:text>
          </item>
        </commentChain>
      </unresolved>
      <resolved/>
    </commentChains>
    <commentChains s:ref="AW366" rgbClr="FF0000">
      <unresolved>
        <commentChain chainId="957050d59eed9e93c1e83458ad3c3cd952679159">
          <item id="c7829a02c1f23800fd40522a490897de91e9c40b" userID="1715258932" userName="严新荟" dateTime="2026-08-10T12:48:24" isNormal="0">
            <s:text>
              <s:r>
                <s:t xml:space="preserve">8/10 比利时客贴纸 10008 pcs</s:t>
              </s:r>
            </s:text>
          </item>
        </commentChain>
      </unresolved>
      <resolved/>
    </commentChains>
    <commentChains s:ref="J367" rgbClr="FF0000">
      <unresolved>
        <commentChain chainId="e8943490a0e646dfb1b7a5a2515bae5ce91eba0f">
          <item id="74030172e45d04fb1a60589c9618a32f5acbda1c" userID="1475148402" userName="sara" dateTime="2026-07-22T08:33:39" isNormal="0">
            <s:text>
              <s:r>
                <s:t xml:space="preserve">从PO0000458转入</s:t>
              </s:r>
            </s:text>
          </item>
        </commentChain>
      </unresolved>
      <resolved/>
    </commentChains>
    <commentChains s:ref="AW367" rgbClr="FF0000">
      <unresolved>
        <commentChain chainId="dd926136e66a7bdf05801644cf19fb9566d5e71b">
          <item id="4e9dad8f261c822fb236c3e7ddb18fccdb4f3c1c" userID="1715258932" userName="严新荟" dateTime="2026-08-03T03:34:30" isNormal="0">
            <s:text>
              <s:r>
                <s:t xml:space="preserve">8/3 上条码贴纸 8400 pcs</s:t>
              </s:r>
            </s:text>
          </item>
        </commentChain>
      </unresolved>
      <resolved/>
    </commentChains>
    <commentChains s:ref="J368" rgbClr="FF0000">
      <unresolved>
        <commentChain chainId="305da49a68d96a21279c604ad99d4d858552f321">
          <item id="a2c77abf54568af3a903c058c4f2729f013452dd" userID="1475148402" userName="sara" dateTime="2026-07-22T08:39:11" isNormal="0">
            <s:text>
              <s:r>
                <s:t xml:space="preserve">从PO0000408转入</s:t>
              </s:r>
            </s:text>
          </item>
        </commentChain>
      </unresolved>
      <resolved/>
    </commentChains>
    <commentChains s:ref="J369" rgbClr="FF0000">
      <unresolved>
        <commentChain chainId="c29ceaa6ef529b7e1bbdddcd211f6147f10a0a92">
          <item id="f13587c005676d62f6d498c08dbd7e0a19fef961" userID="1475148402" userName="sara" dateTime="2026-07-22T08:39:11" isNormal="0">
            <s:text>
              <s:r>
                <s:t xml:space="preserve">从PO0000408转入</s:t>
              </s:r>
            </s:text>
          </item>
        </commentChain>
      </unresolved>
      <resolved/>
    </commentChains>
    <commentChains s:ref="J370" rgbClr="FF0000">
      <unresolved>
        <commentChain chainId="d0d49fe5c67442859d7c3f1fb2ab6d22f2a98f7a">
          <item id="7fa8acb3584ced07b56e2c302406ba589b62270d" userID="1475148402" userName="sara" dateTime="2026-07-22T08:39:11" isNormal="0">
            <s:text>
              <s:r>
                <s:t xml:space="preserve">从PO0000408转入</s:t>
              </s:r>
            </s:text>
          </item>
        </commentChain>
      </unresolved>
      <resolved/>
    </commentChains>
    <commentChains s:ref="J382" rgbClr="FF0000">
      <unresolved>
        <commentChain chainId="3e440d1b48d7971be27521559490094cd9868a41">
          <item id="975cf01b95b6801d3149343d5c9aa6ae6e4d7a83" userID="1475148402" userName="sara" dateTime="2026-07-31T08:32:02" isNormal="0">
            <s:text>
              <s:r>
                <s:t xml:space="preserve">从PO0000266转入4200PCS</s:t>
              </s:r>
            </s:text>
          </item>
          <item id="137d1899a2c7cc9b8cd59f294ee740f66c6956b2" userID="1475148402" userName="sara" dateTime="2026-07-31T08:32:10" isNormal="0">
            <s:text>
              <s:r>
                <s:t xml:space="preserve">从PO0000419转入3600PCS</s:t>
              </s:r>
            </s:text>
          </item>
        </commentChain>
      </unresolved>
      <resolved/>
    </commentChains>
    <commentChains s:ref="AW382" rgbClr="FF0000">
      <unresolved>
        <commentChain chainId="7cb9291e660b02065f9fa390b648ec80444f680e">
          <item id="3f000a72ef4f6b43cc623401efc0647fd6a3e46d" userID="1715258932" userName="严新荟" dateTime="2026-08-06T09:03:35" isNormal="0">
            <s:text>
              <s:r>
                <s:t xml:space="preserve">8/6 客版贴纸 7800 pcs</s:t>
              </s:r>
            </s:text>
          </item>
        </commentChain>
      </unresolved>
      <resolved/>
    </commentChains>
    <commentChains s:ref="J444" rgbClr="FF0000">
      <unresolved>
        <commentChain chainId="9551e65f6f1c5c90f741747687862f862bd46a34">
          <item id="f36b6ef371b0cb1f0aa80ff6c1f3e8be61b11f16" userID="1475148402" userName="sara" dateTime="2026-08-13T07:14:26" isNormal="0">
            <s:text>
              <s:r>
                <s:t xml:space="preserve">从PO0000291转入5000PCS</s:t>
              </s:r>
            </s:text>
          </item>
        </commentChain>
      </unresolved>
      <resolved/>
    </commentChains>
    <commentChains s:ref="J445" rgbClr="FF0000">
      <unresolved>
        <commentChain chainId="e7e696a96f6fa786ed767a846b3b0dffe579d4f9">
          <item id="3e92a57f57d8be3aecf320b3576e3dac045d7026" userID="1475148402" userName="sara" dateTime="2026-08-13T07:08:02" isNormal="0">
            <s:text>
              <s:r>
                <s:t xml:space="preserve">从PO0000322转入5004PCS</s:t>
              </s:r>
            </s:text>
          </item>
        </commentChain>
      </unresolved>
      <resolved/>
    </commentChains>
    <commentChains s:ref="J446" rgbClr="FF0000">
      <unresolved>
        <commentChain chainId="5016eead0a40770d203980c98eabb4bdefd6f997">
          <item id="5d20879de0c740bc9493a21b0d78d80f0460d3e3" userID="1475148402" userName="sara" dateTime="2026-08-13T07:09:33" isNormal="0">
            <s:text>
              <s:r>
                <s:t xml:space="preserve">从PO0000404转入4992PCS</s:t>
              </s:r>
            </s:text>
          </item>
        </commentChain>
      </unresolved>
      <resolved/>
    </commentChains>
  </commentList>
  <commentList sheetStid="58">
    <commentChains s:ref="W1" rgbClr="FF0000">
      <unresolved>
        <commentChain chainId="b9b9f5c7859571d3a932ccdb452fcc6db90641ee">
          <item id="c06232992d3b58d8622608401776385280357f18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  <commentChains s:ref="J5" rgbClr="FF0000">
      <unresolved>
        <commentChain chainId="2b69f59bc3d17a72afd51e3402e71829629e87bf">
          <item id="b040401fca6c7ef5c4c7f729613d35f7b483dbde" isNormal="1">
            <s:text>
              <s:r>
                <s:t xml:space="preserve">Administrator:
从PO0000205转入
</s:t>
              </s:r>
            </s:text>
          </item>
        </commentChain>
      </unresolved>
      <resolved/>
    </commentChains>
    <commentChains s:ref="J6" rgbClr="FF0000">
      <unresolved>
        <commentChain chainId="9da56f5bd24f91e2f532dad84da30cc0a6dae523">
          <item id="3e712feab02803918746c801871c3e342541f7fe" isNormal="1">
            <s:text>
              <s:r>
                <s:t xml:space="preserve">Administrator:
从PO0000205转入
</s:t>
              </s:r>
            </s:text>
          </item>
        </commentChain>
      </unresolved>
      <resolved/>
    </commentChains>
    <commentChains s:ref="J7" rgbClr="FF0000">
      <unresolved>
        <commentChain chainId="a08e49e3f67e0c8d7b1ce915b7d05634a6bbdcba">
          <item id="bc4f2a2b5260b93b73a8ca35ccc0aec07cd1def3" isNormal="1">
            <s:text>
              <s:r>
                <s:t xml:space="preserve">Administrator:
从PO0000205转入
</s:t>
              </s:r>
            </s:text>
          </item>
        </commentChain>
      </unresolved>
      <resolved/>
    </commentChains>
    <commentChains s:ref="J8" rgbClr="FF0000">
      <unresolved>
        <commentChain chainId="6dca5ac8c2c0fd2371d828c430feb9470180bd7d">
          <item id="7f0b66373e40475ac7599efe5cb57871f11ea284" isNormal="1">
            <s:text>
              <s:r>
                <s:t xml:space="preserve">Administrator:
4320PCS从PO0000205转入，新加5688PCS</s:t>
              </s:r>
            </s:text>
          </item>
        </commentChain>
      </unresolved>
      <resolved/>
    </commentChains>
    <commentChains s:ref="AW9" rgbClr="FF0000">
      <unresolved>
        <commentChain chainId="9929c2a298b88923827ecf92d982a835db836e78">
          <item id="0be644d4e6ccbe162421d9cb2442ed292c9dbbb0" userID="1715258932" userName="严新荟" dateTime="2026-08-15T03:34:37" isNormal="0">
            <s:text>
              <s:r>
                <s:t xml:space="preserve">8/15 外箱贴纸 33 pcs</s:t>
              </s:r>
            </s:text>
          </item>
        </commentChain>
      </unresolved>
      <resolved/>
    </commentChains>
    <commentChains s:ref="AW10" rgbClr="FF0000">
      <unresolved>
        <commentChain chainId="345330606b82015a1ed9e90bd2e3908643d6d8fa">
          <item id="5cbf9e18731135136c973dcaf6f5ded74acb7790" userID="1715258932" userName="严新荟" dateTime="2026-08-15T03:34:37" isNormal="0">
            <s:text>
              <s:r>
                <s:t xml:space="preserve">8/15 外箱贴纸 33 pcs</s:t>
              </s:r>
            </s:text>
          </item>
        </commentChain>
      </unresolved>
      <resolved/>
    </commentChains>
    <commentChains s:ref="AW11" rgbClr="FF0000">
      <unresolved>
        <commentChain chainId="50fdac34a43295c2e9c89e0c42dec8f6701502a4">
          <item id="48878ddce6fe65900241cc41eb4850a24dfd90b8" userID="1715258932" userName="严新荟" dateTime="2026-08-15T03:34:37" isNormal="0">
            <s:text>
              <s:r>
                <s:t xml:space="preserve">8/15 外箱贴纸 33 pcs</s:t>
              </s:r>
            </s:text>
          </item>
        </commentChain>
      </unresolved>
      <resolved/>
    </commentChains>
    <commentChains s:ref="AW12" rgbClr="FF0000">
      <unresolved>
        <commentChain chainId="5246890106bb5356bc376eca7f8edbdcc46f8e41">
          <item id="ea3a07eb0950ca0c50658c5e8c466a788b4b7417" userID="1715258932" userName="严新荟" dateTime="2026-07-08T08:32:15" isNormal="0">
            <s:text>
              <s:r>
                <s:t xml:space="preserve">7/8 送外箱贴纸 186 pcs</s:t>
              </s:r>
            </s:text>
          </item>
        </commentChain>
      </unresolved>
      <resolved/>
    </commentChains>
    <commentChains s:ref="AW23" rgbClr="FF0000">
      <unresolved>
        <commentChain chainId="a5cc467b2b58b97d19259c37857667f4e724b5bb">
          <item id="9bb09b41448f6fbd72fb2f4a0beb92729a7b8c1c" userID="1715258932" userName="严新荟" dateTime="2026-06-27T05:54:05" isNormal="0">
            <s:text>
              <s:r>
                <s:t xml:space="preserve">6/26 18400 pcs</s:t>
              </s:r>
            </s:text>
          </item>
        </commentChain>
      </unresolved>
      <resolved/>
    </commentChains>
    <commentChains s:ref="AW24" rgbClr="FF0000">
      <unresolved>
        <commentChain chainId="351827edf81c69b19e0ae190b890e98ac307fced">
          <item id="19eb6aee9fcc2b383611c74f72f53e8a919dcca7" userID="1715258932" userName="严新荟" dateTime="2026-06-27T05:54:05" isNormal="0">
            <s:text>
              <s:r>
                <s:t xml:space="preserve">6/26 18400 pcs</s:t>
              </s:r>
            </s:text>
          </item>
        </commentChain>
      </unresolved>
      <resolved/>
    </commentChains>
    <commentChains s:ref="AW25" rgbClr="FF0000">
      <unresolved>
        <commentChain chainId="9cddd278c0572337b0b340ce5df21a4c7cd5a16f">
          <item id="6ea34939886c66bb9159dbc159731676087f8797" userID="1715258932" userName="严新荟" dateTime="2026-06-27T05:54:05" isNormal="0">
            <s:text>
              <s:r>
                <s:t xml:space="preserve">6/26 18400 pcs</s:t>
              </s:r>
            </s:text>
          </item>
        </commentChain>
      </unresolved>
      <resolved/>
    </commentChains>
    <commentChains s:ref="AW26" rgbClr="FF0000">
      <unresolved>
        <commentChain chainId="5166ce709443b840772434044f0e27e4c5bfaede">
          <item id="ffcb2cb9ea6954dfdcab7bf436505abff0291c03" userID="1715258932" userName="严新荟" dateTime="2026-07-23T07:32:16" isNormal="0">
            <s:text>
              <s:r>
                <s:t xml:space="preserve">7/23 泰国客贴纸 824 pcs</s:t>
              </s:r>
            </s:text>
          </item>
        </commentChain>
      </unresolved>
      <resolved/>
    </commentChains>
    <commentChains s:ref="AW27" rgbClr="FF0000">
      <unresolved>
        <commentChain chainId="a172642a4366d8d0027c1d48bf2481df46693e2f">
          <item id="4e68c0da2e248fc16c7931ba1a612369bbf9d2e2" userID="1715258932" userName="严新荟" dateTime="2026-07-23T07:32:16" isNormal="0">
            <s:text>
              <s:r>
                <s:t xml:space="preserve">7/23 泰国客贴纸 4212 pcs</s:t>
              </s:r>
            </s:text>
          </item>
        </commentChain>
      </unresolved>
      <resolved/>
    </commentChains>
    <commentChains s:ref="AW28" rgbClr="FF0000">
      <unresolved>
        <commentChain chainId="a1dacde1eb86fb4f3f8e110824e3a7f15dc10657">
          <item id="be76fa4ed6c90cc48641afdeaf01505e6278b544" userID="1715258932" userName="严新荟" dateTime="2026-07-23T07:32:16" isNormal="0">
            <s:text>
              <s:r>
                <s:t xml:space="preserve">7/23 泰国客贴纸 2304 pcs</s:t>
              </s:r>
            </s:text>
          </item>
        </commentChain>
      </unresolved>
      <resolved/>
    </commentChains>
    <commentChains s:ref="J41" rgbClr="FF0000">
      <unresolved>
        <commentChain chainId="5f6d39b7051867dca51fda3cd702496824a38bf2">
          <item id="5f9289cb0c581501d285a0473225a53a5b16dce0" userID="1475148402" userName="sara" dateTime="2026-08-07T07:26:57" isNormal="0">
            <s:text>
              <s:r>
                <s:t xml:space="preserve">从PO0000213转入</s:t>
              </s:r>
            </s:text>
          </item>
        </commentChain>
      </unresolved>
      <resolved/>
    </commentChains>
    <commentChains s:ref="J42" rgbClr="FF0000">
      <unresolved>
        <commentChain chainId="26d0af5adbb7676ff14b4f2706ddd9b2830370e4">
          <item id="a8819ebc5b3c9d95433d4b94597129088a991b71" userID="1475148402" userName="sara" dateTime="2026-08-07T07:27:04" isNormal="0">
            <s:text>
              <s:r>
                <s:t xml:space="preserve">从PO0000213转入</s:t>
              </s:r>
            </s:text>
          </item>
        </commentChain>
      </unresolved>
      <resolved/>
    </commentChains>
  </commentList>
  <commentList sheetStid="51">
    <commentChains s:ref="W1" rgbClr="FF0000">
      <unresolved>
        <commentChain chainId="2053f4e6bf75594c600915a1ce1dfa296eb7a6dd">
          <item id="f68e37e8acc2876080d883b0d1a4cd564cb40413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  <commentChains s:ref="AU4" rgbClr="FF0000">
      <unresolved>
        <commentChain chainId="ff83b01d84af65487cf71adeb4d42eac7d7f7de9">
          <item id="a243563821d004475580ec6d9704f8bd685edbf6" isNormal="1">
            <s:text>
              <s:r>
                <s:t xml:space="preserve">Administrator:
1405354 4/9 32 PCS 
1405395 4/6 2976</s:t>
              </s:r>
            </s:text>
          </item>
        </commentChain>
      </unresolved>
      <resolved/>
    </commentChains>
    <commentChains s:ref="AU6" rgbClr="FF0000">
      <unresolved>
        <commentChain chainId="474416ce87fd3a7e875cb918ccb88ad68d3167f8">
          <item id="ba8fc7d5ea56d8cbdb1ecdea0d4fc3db1d1e13e1" isNormal="1">
            <s:text>
              <s:r>
                <s:t xml:space="preserve">Administrator:
1405395 4/6 2000 PCS </s:t>
              </s:r>
            </s:text>
          </item>
        </commentChain>
      </unresolved>
      <resolved/>
    </commentChains>
    <commentChains s:ref="AW22" rgbClr="FF0000">
      <unresolved>
        <commentChain chainId="afccf010598d25b25b31fb8dd0934497b95f1d68">
          <item id="92cead3da39b9c214e20ec85e8dccfc631fc59b7" isNormal="1">
            <s:text>
              <s:r>
                <s:t xml:space="preserve">Administrator:
4/13 上Toysmith贴纸 9000 pcs</s:t>
              </s:r>
            </s:text>
          </item>
        </commentChain>
      </unresolved>
      <resolved/>
    </commentChains>
    <commentChains s:ref="AU39" rgbClr="FF0000">
      <unresolved>
        <commentChain chainId="becacef8c1d3b53122023a710fbc55c0a2fa916b">
          <item id="9eee999a6b1b8a58dcc2572d46fa8667beed8dba" isNormal="1">
            <s:text>
              <s:r>
                <s:t xml:space="preserve">Administrator:
1405938 4/14 5000 pcs</s:t>
              </s:r>
            </s:text>
          </item>
        </commentChain>
      </unresolved>
      <resolved/>
    </commentChains>
    <commentChains s:ref="F60" rgbClr="FF0000">
      <unresolved>
        <commentChain chainId="c24823c2bb8ea37467204c9089f2f7a85be32cb5">
          <item id="8d09374f7cc7af941aaf99fb152be76ee3d4e050" isNormal="1">
            <s:text>
              <s:r>
                <s:t xml:space="preserve">Administrator:
从JAZ254722转入</s:t>
              </s:r>
            </s:text>
          </item>
        </commentChain>
      </unresolved>
      <resolved/>
    </commentChains>
    <commentChains s:ref="AU75" rgbClr="FF0000">
      <unresolved>
        <commentChain chainId="5bb95acd2fc8750550c814168ab13d807899db6a">
          <item id="4b1300cffa6219500e6187130c721ff1596d9290" isNormal="1">
            <s:text>
              <s:r>
                <s:t xml:space="preserve">Administrator:
1405938 4/14 1572 pcs</s:t>
              </s:r>
            </s:text>
          </item>
        </commentChain>
      </unresolved>
      <resolved/>
    </commentChains>
    <commentChains s:ref="J127" rgbClr="FF0000">
      <unresolved>
        <commentChain chainId="580c4f64915cfdaae7221f5b94b6de839c046ff6">
          <item id="c1c380ab8456d1ee78dfc958bcb60699631cb261" isNormal="1">
            <s:text>
              <s:r>
                <s:t xml:space="preserve">Administrator:
从CAJZ043转入</s:t>
              </s:r>
            </s:text>
          </item>
        </commentChain>
      </unresolved>
      <resolved/>
    </commentChains>
    <commentChains s:ref="J135" rgbClr="FF0000">
      <unresolved>
        <commentChain chainId="8796b8518ce6331ce747193ab2497169b3710ce1">
          <item id="750ea344447252ef5f7a1216f95106db946c19ee" isNormal="1">
            <s:text>
              <s:r>
                <s:t xml:space="preserve">Administrator:
从CAJZ044转入
</s:t>
              </s:r>
            </s:text>
          </item>
        </commentChain>
      </unresolved>
      <resolved/>
    </commentChains>
    <commentChains s:ref="AU144" rgbClr="FF0000">
      <unresolved>
        <commentChain chainId="2e2a07f7a5a73ed8df596186d0ea0f0e8fd8d138">
          <item id="b06fce8f3dbf863d56357fa6e846e1738771db1b" isNormal="1">
            <s:text>
              <s:r>
                <s:t xml:space="preserve">Administrator:
1405336 4/9 4992 PCS 
1405938 4/14 12 pcs</s:t>
              </s:r>
            </s:text>
          </item>
        </commentChain>
      </unresolved>
      <resolved/>
    </commentChains>
    <commentChains s:ref="AU146" rgbClr="FF0000">
      <unresolved>
        <commentChain chainId="b2bf27deda16726eeedbd8de0f2ee38b223df0f5">
          <item id="bf91d73765df5b00021f909ef98d78e908cd7867" isNormal="1">
            <s:text>
              <s:r>
                <s:t xml:space="preserve">Administrator:
1405369 4/7 24 PCS 
1405365 4/6 2976 PCS </s:t>
              </s:r>
            </s:text>
          </item>
        </commentChain>
      </unresolved>
      <resolved/>
    </commentChains>
    <commentChains s:ref="AU148" rgbClr="FF0000">
      <unresolved>
        <commentChain chainId="56c75a740cfe201f35fc0e9cdf839873b58b16d0">
          <item id="3b524e8f7a27f2b5eeeb0889cd78b719d9c27e21" isNormal="1">
            <s:text>
              <s:r>
                <s:t xml:space="preserve">Administrator:
1405336 4/9 10080 PCS 
1405354 4/9 9576 PCS </s:t>
              </s:r>
            </s:text>
          </item>
        </commentChain>
      </unresolved>
      <resolved/>
    </commentChains>
    <commentChains s:ref="AU153" rgbClr="FF0000">
      <unresolved>
        <commentChain chainId="4673d3eaf068a52e0e0b21ced4732f9a9c51f891">
          <item id="6016746bcfd71d980a23a6c4dddd0c36e85278f3" isNormal="1">
            <s:text>
              <s:r>
                <s:t xml:space="preserve">Administrator:
1405938 4/14 5000 pcs</s:t>
              </s:r>
            </s:text>
          </item>
        </commentChain>
      </unresolved>
      <resolved/>
    </commentChains>
    <commentChains s:ref="AU161" rgbClr="FF0000">
      <unresolved>
        <commentChain chainId="6b937e98d77f97975ac7901e8fcfbc261244df67">
          <item id="e869b3104330e90ce628c5f91804cb25cb3e5256" isNormal="1">
            <s:text>
              <s:r>
                <s:t xml:space="preserve">Administrator:
1403804 4、21 31848 pcs
1403845 4/23 168 pcs</s:t>
              </s:r>
            </s:text>
          </item>
        </commentChain>
      </unresolved>
      <resolved/>
    </commentChains>
    <commentChains s:ref="AU162" rgbClr="FF0000">
      <unresolved>
        <commentChain chainId="3263f9d78a24cb030fd1b645fcbe06fac84ce98a">
          <item id="645218927f084573b36e4c709c2e1b077136e4ae" isNormal="1">
            <s:text>
              <s:r>
                <s:t xml:space="preserve">Administrator:
1405948 4/11 20163 pcs
</s:t>
              </s:r>
            </s:text>
          </item>
        </commentChain>
      </unresolved>
      <resolved/>
    </commentChains>
    <commentChains s:ref="AU163" rgbClr="FF0000">
      <unresolved>
        <commentChain chainId="ba0eaa7d91f51084b622b42424420a03bbce9491">
          <item id="d2540c5024c780c6121a9b294854b475456ff518" isNormal="1">
            <s:text>
              <s:r>
                <s:t xml:space="preserve">Administrator:
1403657/1403668 4/28 29544 pcs
1403709/1403686 4/29 20472 pcs</s:t>
              </s:r>
            </s:text>
          </item>
        </commentChain>
      </unresolved>
      <resolved/>
    </commentChains>
    <commentChains s:ref="AU164" rgbClr="FF0000">
      <unresolved>
        <commentChain chainId="f2d78f55f41a704288428ffae163aca58fa67237">
          <item id="cf3a4cf47c5b5e3ef9aa734b6151f2b647759b6a" isNormal="1">
            <s:text>
              <s:r>
                <s:t xml:space="preserve">Administrator:
1405395 4/6 2000 PCS </s:t>
              </s:r>
            </s:text>
          </item>
        </commentChain>
      </unresolved>
      <resolved/>
    </commentChains>
    <commentChains s:ref="AU166" rgbClr="FF0000">
      <unresolved>
        <commentChain chainId="d9b52bc08a4bd102a81ff1a1afb1f05eb837f170">
          <item id="193cc6bf52dc251bbdc4eeef2c6593ef05916cf4" isNormal="1">
            <s:text>
              <s:r>
                <s:t xml:space="preserve">Administrator:
1403893 4/23 8256 pcs
1403880 4/25 144 pcs</s:t>
              </s:r>
            </s:text>
          </item>
        </commentChain>
      </unresolved>
      <resolved/>
    </commentChains>
    <commentChains s:ref="AU167" rgbClr="FF0000">
      <unresolved>
        <commentChain chainId="36251786019ff6434bf036c30b38f2c2ad1c5c48">
          <item id="4f9fd7c969cc2361986dca1d68756037ed816376" isNormal="1">
            <s:text>
              <s:r>
                <s:t xml:space="preserve">Administrator:
1403880 4/25 10056 pcs
1403649 4/26 10080 pcs
1403709/1403686 4/29 19872 pcs</s:t>
              </s:r>
            </s:text>
          </item>
        </commentChain>
      </unresolved>
      <resolved/>
    </commentChains>
    <commentChains s:ref="AU174" rgbClr="FF0000">
      <unresolved>
        <commentChain chainId="49244644f5defa1880dfb387f216e234cb3cc504">
          <item id="27493e81e815e096667bcea3b7674d0c6dd1e19e" isNormal="1">
            <s:text>
              <s:r>
                <s:t xml:space="preserve">Administrator:
1403731 5/4 78 pcs</s:t>
              </s:r>
            </s:text>
          </item>
        </commentChain>
      </unresolved>
      <resolved/>
    </commentChains>
    <commentChains s:ref="AU175" rgbClr="FF0000">
      <unresolved>
        <commentChain chainId="a23d4d313ab6a437da723ae341d983d64cb93533">
          <item id="79cc33cafc0a31399d55129265c1a56df735b2b1" isNormal="1">
            <s:text>
              <s:r>
                <s:t xml:space="preserve">Administrator:
1403731 5/4 76 pcs</s:t>
              </s:r>
            </s:text>
          </item>
        </commentChain>
      </unresolved>
      <resolved/>
    </commentChains>
    <commentChains s:ref="AU181" rgbClr="FF0000">
      <unresolved>
        <commentChain chainId="28a9c7343f987dc9c706b857bd14803abfce8c5e">
          <item id="af7c8835c0894d25c738f25f67f33c1e57bc1db7" isNormal="1">
            <s:text>
              <s:r>
                <s:t xml:space="preserve">Administrator:
1403761 5/5 10056 PCS </s:t>
              </s:r>
            </s:text>
          </item>
        </commentChain>
      </unresolved>
      <resolved/>
    </commentChains>
    <commentChains s:ref="AU182" rgbClr="FF0000">
      <unresolved>
        <commentChain chainId="472c0e1d44cfe0a275f46cdbb456129bd8800197">
          <item id="bc025489ddcc444e12b00b33873553ed5d847aac" isNormal="1">
            <s:text>
              <s:r>
                <s:t xml:space="preserve">Administrator:
1403388 5/4 7488 pcs</s:t>
              </s:r>
            </s:text>
          </item>
        </commentChain>
      </unresolved>
      <resolved/>
    </commentChains>
    <commentChains s:ref="AU183" rgbClr="FF0000">
      <unresolved>
        <commentChain chainId="c9dcac748b736605c00b641c82254bb76c3379bc">
          <item id="fa5ef7d90012365cfd1ca543ab351f3b9062a15e" isNormal="1">
            <s:text>
              <s:r>
                <s:t xml:space="preserve">Administrator:
1403734 5/3 4992 pcs
1403761 5/5 24 PCS </s:t>
              </s:r>
            </s:text>
          </item>
        </commentChain>
      </unresolved>
      <resolved/>
    </commentChains>
    <commentChains s:ref="AU184" rgbClr="FF0000">
      <unresolved>
        <commentChain chainId="7094f3a3cac4a62dc6e4775a4aba3cea69f3ee65">
          <item id="aa0273811622145f570de2cccb79c2e91e7972ff" isNormal="1">
            <s:text>
              <s:r>
                <s:t xml:space="preserve">Administrator:
1403388 5/4 4992 pcs</s:t>
              </s:r>
            </s:text>
          </item>
        </commentChain>
      </unresolved>
      <resolved/>
    </commentChains>
    <commentChains s:ref="AU185" rgbClr="FF0000">
      <unresolved>
        <commentChain chainId="2b61591efa11a1d1d6f6d74b7ccff92699ead851">
          <item id="b70c6928e355837f8938cbf917f24d75e262595c" isNormal="1">
            <s:text>
              <s:r>
                <s:t xml:space="preserve">Administrator:
1403747 5/6 9312 PCS 
1403769 5/5 6696 PCS </s:t>
              </s:r>
            </s:text>
          </item>
        </commentChain>
      </unresolved>
      <resolved/>
    </commentChains>
    <commentChains s:ref="AU186" rgbClr="FF0000">
      <unresolved>
        <commentChain chainId="d791798a1186b5bc256773a202862e5115e5c9ce">
          <item id="7f62d3ebef18ec58621f02ac7ef1c08badbe3e24" isNormal="1">
            <s:text>
              <s:r>
                <s:t xml:space="preserve">Administrator:
1403731 5/4 12480 pcs</s:t>
              </s:r>
            </s:text>
          </item>
        </commentChain>
      </unresolved>
      <resolved/>
    </commentChains>
    <commentChains s:ref="AU188" rgbClr="FF0000">
      <unresolved>
        <commentChain chainId="3d3e37ac3358bbad0f25af55c077f92611d459da">
          <item id="7f4adab3a647085b43cc7b4bef436099dca372e2" isNormal="1">
            <s:text>
              <s:r>
                <s:t xml:space="preserve">Administrator:
1403642 4/25 10056 pcs
1403649 4/26 4320 pcs
1403731 5/4  24 pcs</s:t>
              </s:r>
            </s:text>
          </item>
        </commentChain>
      </unresolved>
      <resolved/>
    </commentChains>
    <commentChains s:ref="J189" rgbClr="FF0000">
      <unresolved>
        <commentChain chainId="8673e68aea0f117ef631a26f97ff6f2a82df2b47">
          <item id="9c003ec310b1c6b9211802beae73d3e3a58316fa" isNormal="1">
            <s:text>
              <s:r>
                <s:t xml:space="preserve">Administrator:
从CAJZ050转入</s:t>
              </s:r>
            </s:text>
          </item>
        </commentChain>
      </unresolved>
      <resolved/>
    </commentChains>
    <commentChains s:ref="AU191" rgbClr="FF0000">
      <unresolved>
        <commentChain chainId="eb56b08b17bd985932e577d2db122ec09a3422d0">
          <item id="f5e432bc3b2ac975b2e5dd1fba9f878ed18de215" isNormal="1">
            <s:text>
              <s:r>
                <s:t xml:space="preserve">Administrator:
1403411 5/7 6000 PCS </s:t>
              </s:r>
            </s:text>
          </item>
        </commentChain>
      </unresolved>
      <resolved/>
    </commentChains>
    <commentChains s:ref="AU192" rgbClr="FF0000">
      <unresolved>
        <commentChain chainId="cc496ad5d853bcd2ef7b181a661eaed784b87291">
          <item id="0537201cf8d79541cf3fd1348a72f51bfebda0af" isNormal="1">
            <s:text>
              <s:r>
                <s:t xml:space="preserve">Administrator:
1403388 5/4 600 pcs</s:t>
              </s:r>
            </s:text>
          </item>
        </commentChain>
      </unresolved>
      <resolved/>
    </commentChains>
    <commentChains s:ref="AU194" rgbClr="FF0000">
      <unresolved>
        <commentChain chainId="c6dfeb2b549d36d6be27456612b33c8e51dcbaf7">
          <item id="7f5392b2106b22081952b2dc739953e63ab1f019" isNormal="1">
            <s:text>
              <s:r>
                <s:t xml:space="preserve">Administrator:
1403409 5/7 2976 PCS </s:t>
              </s:r>
            </s:text>
          </item>
        </commentChain>
      </unresolved>
      <resolved/>
    </commentChains>
    <commentChains s:ref="AU195" rgbClr="FF0000">
      <unresolved>
        <commentChain chainId="05639c71951f5cc9c67aa6935da4f7a90168e526">
          <item id="2b9dd6e9b90968c03ecee67bb2ba5913784991aa" isNormal="1">
            <s:text>
              <s:r>
                <s:t xml:space="preserve">Administrator:
1403731 5/4 2400 pcs</s:t>
              </s:r>
            </s:text>
          </item>
        </commentChain>
      </unresolved>
      <resolved/>
    </commentChains>
    <commentChains s:ref="AU197" rgbClr="FF0000">
      <unresolved>
        <commentChain chainId="7aaf0b6398b1adbf03f43bb365986c7ee636cd47">
          <item id="6be61fd78c7e6f5036a1161cf7e2d6111eed3df3" isNormal="1">
            <s:text>
              <s:r>
                <s:t xml:space="preserve">Administrator:
1403409 5/7 1488 PCS </s:t>
              </s:r>
            </s:text>
          </item>
        </commentChain>
      </unresolved>
      <resolved/>
    </commentChains>
    <commentChains s:ref="AU198" rgbClr="FF0000">
      <unresolved>
        <commentChain chainId="21849caf691677c70dfa13b1db954c12b08596fb">
          <item id="51f8ca9bf36579c0881376c090e9c9be010139a0" isNormal="1">
            <s:text>
              <s:r>
                <s:t xml:space="preserve">Administrator:
1403769 5/5 9000 PCS</s:t>
              </s:r>
            </s:text>
          </item>
        </commentChain>
      </unresolved>
      <resolved/>
    </commentChains>
    <commentChains s:ref="AU199" rgbClr="FF0000">
      <unresolved>
        <commentChain chainId="d34c5f026e34722aa22881db85d8d0734f180a70">
          <item id="00ba1a61f021acba94bd95befd386b752c0ff917" isNormal="1">
            <s:text>
              <s:r>
                <s:t xml:space="preserve">Administrator:
1403731 5/4 3624 pcs
1403761 5/4 1374 PCS </s:t>
              </s:r>
            </s:text>
          </item>
        </commentChain>
      </unresolved>
      <resolved/>
    </commentChains>
    <commentChains s:ref="AU200" rgbClr="FF0000">
      <unresolved>
        <commentChain chainId="b9ac8c3fb835c79fc1341a4692ed2ef067527c4d">
          <item id="0f9a714adc041ce1c9eeb94313e76343323d907b" isNormal="1">
            <s:text>
              <s:r>
                <s:t xml:space="preserve">Administrator:
1403731 5/4 2000 pcs</s:t>
              </s:r>
            </s:text>
          </item>
        </commentChain>
      </unresolved>
      <resolved/>
    </commentChains>
    <commentChains s:ref="AU201" rgbClr="FF0000">
      <unresolved>
        <commentChain chainId="c6a9b373e811961fb8b10fe250567a7b843e595c">
          <item id="f96877fd8f714e8bdf02574754f66d665dc00148" isNormal="1">
            <s:text>
              <s:r>
                <s:t xml:space="preserve">Administrator:
1403409 5/7 2988 PCS 
1403462 5/9 12 PCS </s:t>
              </s:r>
            </s:text>
          </item>
        </commentChain>
      </unresolved>
      <resolved/>
    </commentChains>
    <commentChains s:ref="AU202" rgbClr="FF0000">
      <unresolved>
        <commentChain chainId="954333fca490216d8542ceb33813167c7b60ff1f">
          <item id="947857f61f4c8ee621a8ef962abc7e37ce36c55e" isNormal="1">
            <s:text>
              <s:r>
                <s:t xml:space="preserve">Administrator:
1403462 5/9 2160 PCS 
1403471 5/11 840 PCS </s:t>
              </s:r>
            </s:text>
          </item>
        </commentChain>
      </unresolved>
      <resolved/>
    </commentChains>
    <commentChains s:ref="AU206" rgbClr="FF0000">
      <unresolved>
        <commentChain chainId="d70caa0a28b83ea04e09dfee80c647131f8737a3">
          <item id="876cf3bbe8837a5af6bc21a8a3174a7fdcfb955d" isNormal="1">
            <s:text>
              <s:r>
                <s:t xml:space="preserve">Administrator:
1403845 4/23 24000 pcs</s:t>
              </s:r>
            </s:text>
          </item>
        </commentChain>
      </unresolved>
      <resolved/>
    </commentChains>
    <commentChains s:ref="AU207" rgbClr="FF0000">
      <unresolved>
        <commentChain chainId="341984cc42717b634af1f589663c2b004d35d801">
          <item id="9f83aad0d66583ff8613ed48f49a43d4ba30cac9" isNormal="1">
            <s:text>
              <s:r>
                <s:t xml:space="preserve">Administrator:
1403864 4/24 19440 pcs
1403880 4/25 10566 pcs</s:t>
              </s:r>
            </s:text>
          </item>
        </commentChain>
      </unresolved>
      <resolved/>
    </commentChains>
    <commentChains s:ref="AU208" rgbClr="FF0000">
      <unresolved>
        <commentChain chainId="7c07e2912ec26d1925f4b5df5ebb6d75ab85aba1">
          <item id="8a523ae1b41ded0638ed1ff1f41ab3a3b6ee83fb" isNormal="1">
            <s:text>
              <s:r>
                <s:t xml:space="preserve">Administrator:
1403778 4/18 11652 pcs
1403811 4/19 5748 pcs
1403804 4/21 5760 pcs
1403880 4/25 834 pcs
1403734 5/3 6 pcs</s:t>
              </s:r>
            </s:text>
          </item>
        </commentChain>
      </unresolved>
      <resolved/>
    </commentChains>
    <commentChains s:ref="AU209" rgbClr="FF0000">
      <unresolved>
        <commentChain chainId="ac2cad55c7f77f794fe61fa8694403c782415c39">
          <item id="ad8aadf96d7c0adeffcfbb1d28ed1c66b57ba2e2" isNormal="1">
            <s:text>
              <s:r>
                <s:t xml:space="preserve">Administrator:
1405938 4/14 1572 pcs
1405926/1405927 4/15 3376 pcs
1405864 4/16 52 pcs</s:t>
              </s:r>
            </s:text>
          </item>
        </commentChain>
      </unresolved>
      <resolved/>
    </commentChains>
    <commentChains s:ref="AU211" rgbClr="FF0000">
      <unresolved>
        <commentChain chainId="37d6d03dfb5255ac92060d2d80b2c401811eefe0">
          <item id="8babe739871d0bd8ad69fcc2f73e32f3d2f54add" isNormal="1">
            <s:text>
              <s:r>
                <s:t xml:space="preserve">Administrator:
1403399 5/7 12000 PCS </s:t>
              </s:r>
            </s:text>
          </item>
        </commentChain>
      </unresolved>
      <resolved/>
    </commentChains>
    <commentChains s:ref="AU212" rgbClr="FF0000">
      <unresolved>
        <commentChain chainId="42bbcd38e9b7b9ae907cbdcc3fc33291cacbed91">
          <item id="555fb68b2e14742b2d781c6a922a30c030cf0905" isNormal="1">
            <s:text>
              <s:r>
                <s:t xml:space="preserve">Administrator:
1403411 5/7 11061 pcs
1403444 5/9 045 PCS 
</s:t>
              </s:r>
            </s:text>
          </item>
        </commentChain>
      </unresolved>
      <resolved/>
    </commentChains>
    <commentChains s:ref="AU213" rgbClr="FF0000">
      <unresolved>
        <commentChain chainId="f9a429ecb4cc8ba93cce8627c0097d734e967c8b">
          <item id="61670ecc049d0cf29cfb5f2ea3cd626ea027d762" isNormal="1">
            <s:text>
              <s:r>
                <s:t xml:space="preserve">Administrator:
1403731 5/4 5250 pcs
1403698 4/30 6444 pcs
1403462 5/9 288 PCS 
1403471 5/11 18 PCS</s:t>
              </s:r>
            </s:text>
          </item>
        </commentChain>
      </unresolved>
      <resolved/>
    </commentChains>
    <commentChains s:ref="AU214" rgbClr="FF0000">
      <unresolved>
        <commentChain chainId="05c6edb58c7e1076d273c8611c788dac277698b6">
          <item id="b5db306299c2effa66d00ee78712fab01dd72a88" isNormal="1">
            <s:text>
              <s:r>
                <s:t xml:space="preserve">Administrator:
1403741/1403734 5/2 7792 pcs
1403709 4/29 2207 pcs</s:t>
              </s:r>
            </s:text>
          </item>
        </commentChain>
      </unresolved>
      <resolved/>
    </commentChains>
    <commentChains s:ref="AU216" rgbClr="FF0000">
      <unresolved>
        <commentChain chainId="612b5d5412989e8d4d6eb5c64c548e14d44ac299">
          <item id="c6cfe6f93f9eacd8ebba0256ed34e86fcbd01cc3" isNormal="1">
            <s:text>
              <s:r>
                <s:t xml:space="preserve">Administrator:
1403462 5/9 6003 PCS </s:t>
              </s:r>
            </s:text>
          </item>
        </commentChain>
      </unresolved>
      <resolved/>
    </commentChains>
    <commentChains s:ref="AU217" rgbClr="FF0000">
      <unresolved>
        <commentChain chainId="1553081af7a0d10bfcb2c5bb55afdccfd2937b60">
          <item id="3eef1b455c0273ab4f6f45c2342a15416ca4f29e" isNormal="1">
            <s:text>
              <s:r>
                <s:t xml:space="preserve">Administrator:
1403576 5/15 23976 PCS </s:t>
              </s:r>
            </s:text>
          </item>
        </commentChain>
      </unresolved>
      <resolved/>
    </commentChains>
    <commentChains s:ref="AU218" rgbClr="FF0000">
      <unresolved>
        <commentChain chainId="245639ad541f1b93dcc317d5ca76328b79a23574">
          <item id="6dd6cef7c2c479870718439aad410d96cb8860cf" isNormal="1">
            <s:text>
              <s:r>
                <s:t xml:space="preserve">Administrator:
1403388 5/4 1656 pcs
1403409 5/7 1016 PCS 
1403403 5/7 3312 PCS 
1403444 5/9 16 PCS </s:t>
              </s:r>
            </s:text>
          </item>
        </commentChain>
      </unresolved>
      <resolved/>
    </commentChains>
    <commentChains s:ref="J219" rgbClr="FF0000">
      <unresolved>
        <commentChain chainId="af8300510ef61b63d42a51989515999a570698a9">
          <item id="d8a5d6066aaee9fafb9e2eaab63817b3701e5a4c" isNormal="1">
            <s:text>
              <s:r>
                <s:t xml:space="preserve">Administrator:
SRMC103（A1 - J1，A2 - C2），13款散装手链各390pcs，手链+美文版收藏指南</s:t>
              </s:r>
            </s:text>
          </item>
        </commentChain>
      </unresolved>
      <resolved/>
    </commentChains>
    <commentChains s:ref="AU221" rgbClr="FF0000">
      <unresolved>
        <commentChain chainId="4451112d5e7dca72d95e3fe7e8b31f61758eb57b">
          <item id="469eafeb0581b2b84a581cbe41adb32ccc203eae" isNormal="1">
            <s:text>
              <s:r>
                <s:t xml:space="preserve">Administrator:
1403558 5/22 42144 pcs</s:t>
              </s:r>
            </s:text>
          </item>
        </commentChain>
      </unresolved>
      <resolved/>
    </commentChains>
    <commentChains s:ref="AU224" rgbClr="FF0000">
      <unresolved>
        <commentChain chainId="aba0d1663d5e45c6a08bdbfabe8c5655e3956a70">
          <item id="847d9b80e4ad705856d3b15fa431f05ef28950ba" isNormal="1">
            <s:text>
              <s:r>
                <s:t xml:space="preserve">Administrator:
1403409 5/7 4320 PCS 
1403461/1403444 5/9 5202 PCS</s:t>
              </s:r>
            </s:text>
          </item>
        </commentChain>
      </unresolved>
      <resolved/>
    </commentChains>
    <commentChains s:ref="AU225" rgbClr="FF0000">
      <unresolved>
        <commentChain chainId="71670bbd4533a373b6ff2975186d6967f1160af7">
          <item id="64e794835a06f999d9bd241dd0c944d97490877c" isNormal="1">
            <s:text>
              <s:r>
                <s:t xml:space="preserve">Administrator:
1403461 5/9 3584 PCS </s:t>
              </s:r>
            </s:text>
          </item>
        </commentChain>
      </unresolved>
      <resolved/>
    </commentChains>
    <commentChains s:ref="AU226" rgbClr="FF0000">
      <unresolved>
        <commentChain chainId="6281145b9988e47568e1d08812a9d27f8022fd93">
          <item id="80c2182cb2fdc3ca5ad9c613c766f9bb980a2f3f" isNormal="1">
            <s:text>
              <s:r>
                <s:t xml:space="preserve">Administrator:
1403411 5/7 11061 PCS
1403444 5/9 945 PCS </s:t>
              </s:r>
            </s:text>
          </item>
        </commentChain>
      </unresolved>
      <resolved/>
    </commentChains>
    <commentChains s:ref="AU232" rgbClr="FF0000">
      <unresolved>
        <commentChain chainId="b3e280fe97d733ed9eb324ed56a76635558fd3e1">
          <item id="1262ce35e0a82e52a9e1c54f8e229d194370bd38" isNormal="1">
            <s:text>
              <s:r>
                <s:t xml:space="preserve">Administrator:
1403731 5/4 5250 pcs
1403698 4/30 6444 pcs
1403462 5/9 288 PCS 
1403471 5/11 18 PCS</s:t>
              </s:r>
            </s:text>
          </item>
        </commentChain>
      </unresolved>
      <resolved/>
    </commentChains>
    <commentChains s:ref="G234" rgbClr="FF0000">
      <unresolved>
        <commentChain chainId="7edf53a821ef49f030ba199c9f37f284f515c9e9">
          <item id="8e744d939338466d9a05615c32c22cde3e4d001e" isNormal="1">
            <s:text>
              <s:r>
                <s:t xml:space="preserve">Administrator:
从CAJZ045转入</s:t>
              </s:r>
            </s:text>
          </item>
        </commentChain>
      </unresolved>
      <resolved/>
    </commentChains>
    <commentChains s:ref="G235" rgbClr="FF0000">
      <unresolved>
        <commentChain chainId="bc5c60e1dd8902ac114ccb9adb95ddb30de56b20">
          <item id="f3005af582e29f2ac60c0fa15ace7a498c107134" isNormal="1">
            <s:text>
              <s:r>
                <s:t xml:space="preserve">Administrator:
从CAJZ043转入</s:t>
              </s:r>
            </s:text>
          </item>
        </commentChain>
      </unresolved>
      <resolved/>
    </commentChains>
    <commentChains s:ref="AU239" rgbClr="FF0000">
      <unresolved>
        <commentChain chainId="97e18ff7a97668853bf214f8bc446afd5a9a518a">
          <item id="10381bd357ec3be6751cadbb6d1c7ddf5007caa3" isNormal="1">
            <s:text>
              <s:r>
                <s:t xml:space="preserve">Administrator:
1403399 5/7 14376 PCS 
1403444 5/9 24 PCS </s:t>
              </s:r>
            </s:text>
          </item>
        </commentChain>
      </unresolved>
      <resolved/>
    </commentChains>
    <commentChains s:ref="AV239" rgbClr="FF0000">
      <unresolved>
        <commentChain chainId="f941d4fa21e2a0775855f7235c32a8eeed708c8e">
          <item id="e3a46d2fef014453ecc200e3637c9ccec996c4be" isNormal="1">
            <s:text>
              <s:r>
                <s:t xml:space="preserve">Administrator:
</s:t>
              </s:r>
            </s:text>
          </item>
        </commentChain>
      </unresolved>
      <resolved/>
    </commentChains>
    <commentChains s:ref="AU240" rgbClr="FF0000">
      <unresolved>
        <commentChain chainId="b978604dff4221441140cb99196d512c7eb0da2e">
          <item id="ccce76834b9eefec95d77f058bffe37268cf5598" isNormal="1">
            <s:text>
              <s:r>
                <s:t xml:space="preserve">Administrator:
1403570 5/17 4040 pcs
1403560 5/22 460 pcs</s:t>
              </s:r>
            </s:text>
          </item>
        </commentChain>
      </unresolved>
      <resolved/>
    </commentChains>
    <commentChains s:ref="AU241" rgbClr="FF0000">
      <unresolved>
        <commentChain chainId="54ab001957494b3c2cd9b0e4c46a661334d1c64a">
          <item id="7510aa29c5e0470a9a7b06f4b0efaa6bdccfca03" isNormal="1">
            <s:text>
              <s:r>
                <s:t xml:space="preserve">Administrator:
1403570 5/17 16008 pcs</s:t>
              </s:r>
            </s:text>
          </item>
        </commentChain>
      </unresolved>
      <resolved/>
    </commentChains>
    <commentChains s:ref="AU242" rgbClr="FF0000">
      <unresolved>
        <commentChain chainId="24af6740d5b6911762de2fb0cbc6aa76d501e99c">
          <item id="448c004a91d997474a7ec23e896d9f4f0ad3d3ae" isNormal="1">
            <s:text>
              <s:r>
                <s:t xml:space="preserve">Administrator:
1405885 5/14 4188 PCS </s:t>
              </s:r>
            </s:text>
          </item>
        </commentChain>
      </unresolved>
      <resolved/>
    </commentChains>
    <commentChains s:ref="AU243" rgbClr="FF0000">
      <unresolved>
        <commentChain chainId="f848ee251790acd3d4d07ff4ab72bdc41952219f">
          <item id="969fb9113607051ca181280ab3ed8e2964b60fcb" isNormal="1">
            <s:text>
              <s:r>
                <s:t xml:space="preserve">Administrator:
1403558 5/22 15984 pcs
2500265 5/25 24 PCS</s:t>
              </s:r>
            </s:text>
          </item>
        </commentChain>
      </unresolved>
      <resolved/>
    </commentChains>
    <commentChains s:ref="AU244" rgbClr="FF0000">
      <unresolved>
        <commentChain chainId="f7981f28037767ff78c0897ea0dbee8aa03cc1dc">
          <item id="e2c8835686afde4936b545f70f6ffac81e63b7fe" isNormal="1">
            <s:text>
              <s:r>
                <s:t xml:space="preserve">Administrator:
2500153 5/29 21000 PCS</s:t>
              </s:r>
            </s:text>
          </item>
        </commentChain>
      </unresolved>
      <resolved/>
    </commentChains>
    <commentChains s:ref="AU245" rgbClr="FF0000">
      <unresolved>
        <commentChain chainId="e1de20d62ff8c29db92acbdbc7ea79a2387f71e5">
          <item id="cd7fd7b5a2e5c5c118169d7f2ffb00221f5b29d0" isNormal="1">
            <s:text>
              <s:r>
                <s:t xml:space="preserve">Administrator:
1403554 5/21 7992 pcs
1403562 5/24 24 pcs</s:t>
              </s:r>
            </s:text>
          </item>
        </commentChain>
      </unresolved>
      <resolved/>
    </commentChains>
    <commentChains s:ref="AU246" rgbClr="FF0000">
      <unresolved>
        <commentChain chainId="40420e2a3166721dfa79f6221675ce8682e23ee6">
          <item id="af09e5e708f1b54f55e778fbf037097e1a1e12f0" isNormal="1">
            <s:text>
              <s:r>
                <s:t xml:space="preserve">Administrator:
1403562 5/23 7176 pcs
2500265 5/25 24 pcs</s:t>
              </s:r>
            </s:text>
          </item>
        </commentChain>
      </unresolved>
      <resolved/>
    </commentChains>
    <commentChains s:ref="J249" rgbClr="FF0000">
      <unresolved>
        <commentChain chainId="dc3cb238ebd592900f5b963457824e8fec11d164">
          <item id="5539844550a8062b3cb9636a35162b8bde740ef4" isNormal="1">
            <s:text>
              <s:r>
                <s:t xml:space="preserve">Administrator:
从PO0000215转入</s:t>
              </s:r>
            </s:text>
          </item>
        </commentChain>
      </unresolved>
      <resolved/>
    </commentChains>
    <commentChains s:ref="AU250" rgbClr="FF0000">
      <unresolved>
        <commentChain chainId="90d7b80e8968f08b18f1ebd182b3e1fa372f3777">
          <item id="71a09184cfc8a06715d027a7055838530b93c819" isNormal="1">
            <s:text>
              <s:r>
                <s:t xml:space="preserve">Administrator:
2500295 6/2 3936 pcs</s:t>
              </s:r>
            </s:text>
          </item>
        </commentChain>
      </unresolved>
      <resolved/>
    </commentChains>
    <commentChains s:ref="AU251" rgbClr="FF0000">
      <unresolved>
        <commentChain chainId="79c785d6fa122f12363242becb9b3da1153e00c5">
          <item id="ecdd9b7efaeab2c0a4ce0156a5819e0e98c3537b" isNormal="1">
            <s:text>
              <s:r>
                <s:t xml:space="preserve">Administrator:
2500155 5/30 3480 pcs</s:t>
              </s:r>
            </s:text>
          </item>
        </commentChain>
      </unresolved>
      <resolved/>
    </commentChains>
    <commentChains s:ref="AU252" rgbClr="FF0000">
      <unresolved>
        <commentChain chainId="8b23b80b58f351d2bed99688507c1d4a90a2dc70">
          <item id="5613d31a0b3ae17edc46638f6402af3a02715dcf" isNormal="1">
            <s:text>
              <s:r>
                <s:t xml:space="preserve">Administrator:
2500295 6/2 1872 pcs</s:t>
              </s:r>
            </s:text>
          </item>
        </commentChain>
      </unresolved>
      <resolved/>
    </commentChains>
    <commentChains s:ref="AU253" rgbClr="FF0000">
      <unresolved>
        <commentChain chainId="90c3b3d3d0dded267d6e418927704129ed93dff3">
          <item id="734fea10e9f8526921654932a81c891182b8d105" isNormal="1">
            <s:text>
              <s:r>
                <s:t xml:space="preserve">Administrator:
2500295 6/2 1052 pcs</s:t>
              </s:r>
            </s:text>
          </item>
        </commentChain>
      </unresolved>
      <resolved/>
    </commentChains>
    <commentChains s:ref="AU255" rgbClr="FF0000">
      <unresolved>
        <commentChain chainId="0ba76367ddf14558dd5d6e26334abb9788e9c41c">
          <item id="88552681786b299bf8543f7752e8eac2246795d0" isNormal="1">
            <s:text>
              <s:r>
                <s:t xml:space="preserve">Administrator:
1403568 5/16 1620 pcs</s:t>
              </s:r>
            </s:text>
          </item>
        </commentChain>
      </unresolved>
      <resolved/>
    </commentChains>
    <commentChains s:ref="AU256" rgbClr="FF0000">
      <unresolved>
        <commentChain chainId="b2026f34e7253d1202b1fbd0c62aa4b8ae0995bf">
          <item id="5799ace1bfea6ab5877f0ea7e8f92f65f145d400" isNormal="1">
            <s:text>
              <s:r>
                <s:t xml:space="preserve">Administrator:
2500299 6/2 4800 pcs</s:t>
              </s:r>
            </s:text>
          </item>
        </commentChain>
      </unresolved>
      <resolved/>
    </commentChains>
    <commentChains s:ref="AU258" rgbClr="FF0000">
      <unresolved>
        <commentChain chainId="a517f09376d9470c7371fef297b5a41a46527d0f">
          <item id="d6263b727ae7ff86357e41bda7707f2a35bc489f" isNormal="1">
            <s:text>
              <s:r>
                <s:t xml:space="preserve">Administrator:
2500290 6/1 12000 pcs</s:t>
              </s:r>
            </s:text>
          </item>
        </commentChain>
      </unresolved>
      <resolved/>
    </commentChains>
    <commentChains s:ref="AU261" rgbClr="FF0000">
      <unresolved>
        <commentChain chainId="171b211cb28426f3e335d3056d6408ba7914f62a">
          <item id="a57ca581468eb77f81ec6aa60ee548918a5ddfba" isNormal="1">
            <s:text>
              <s:r>
                <s:t xml:space="preserve">Administrator:
2500267 5/25 19431 pcs
2500145 5/26 4491 PCS5
2500290 6/1 81 pcs</s:t>
              </s:r>
            </s:text>
          </item>
        </commentChain>
      </unresolved>
      <resolved/>
    </commentChains>
    <commentChains s:ref="AU265" rgbClr="FF0000">
      <unresolved>
        <commentChain chainId="79c2216c137f7cd7a76cb9b68bf47983b18799e0">
          <item id="b1ccfbf7b71614942b81fb6f477d91d09e5c02f7" isNormal="1">
            <s:text>
              <s:r>
                <s:t xml:space="preserve">Administrator:
2500145 5/26 6000 PCS</s:t>
              </s:r>
            </s:text>
          </item>
        </commentChain>
      </unresolved>
      <resolved/>
    </commentChains>
    <commentChains s:ref="AU266" rgbClr="FF0000">
      <unresolved>
        <commentChain chainId="4a9b62abac71f501a253a3846b9243634751c52a">
          <item id="81be2655b3c29a0c21a444427edc82869b01686f" isNormal="1">
            <s:text>
              <s:r>
                <s:t xml:space="preserve">Administrator:
2500145 5/26 10800 PCS
2500149 5/28 1200 pcs</s:t>
              </s:r>
            </s:text>
          </item>
        </commentChain>
      </unresolved>
      <resolved/>
    </commentChains>
    <commentChains s:ref="AU267" rgbClr="FF0000">
      <unresolved>
        <commentChain chainId="eabef6ef76c993360ee5b118bd1067780bd54208">
          <item id="c2860928908a9091f1603dad7e7c559e01080ae0" isNormal="1">
            <s:text>
              <s:r>
                <s:t xml:space="preserve">Administrator:
1403547 5/15 1104 PCS 
1403568 5/16 3314 pcs</s:t>
              </s:r>
            </s:text>
          </item>
        </commentChain>
      </unresolved>
      <resolved/>
    </commentChains>
    <commentChains s:ref="AU269" rgbClr="FF0000">
      <unresolved>
        <commentChain chainId="fcb5839d4e09e627b9ccaacf57c70462e30df549">
          <item id="b52ce9647c50b30c534b709188ee99efa10cb50a" isNormal="1">
            <s:text>
              <s:r>
                <s:t xml:space="preserve">Administrator:
2500145 5/26 5130 PCS
2500149 5/28 837 pcs</s:t>
              </s:r>
            </s:text>
          </item>
        </commentChain>
      </unresolved>
      <resolved/>
    </commentChains>
    <commentChains s:ref="AU270" rgbClr="FF0000">
      <unresolved>
        <commentChain chainId="b86cfcd3f178a201fc192d08d32454c2a8832fa8">
          <item id="01590f145ba850191bfc4b4fd7439e284329e2a4" isNormal="1">
            <s:text>
              <s:r>
                <s:t xml:space="preserve">Administrator:
1403575 5/19 9504 pcs
2500267 5/25 2184 pcs
2500145 5/26 312 PCS</s:t>
              </s:r>
            </s:text>
          </item>
        </commentChain>
      </unresolved>
      <resolved/>
    </commentChains>
    <commentChains s:ref="AU272" rgbClr="FF0000">
      <unresolved>
        <commentChain chainId="13c8dcdd3fcf3eefbc5153a10c7441970925181a">
          <item id="a16c0e98d949cce3496cf832c10d80b07cf9c226" isNormal="1">
            <s:text>
              <s:r>
                <s:t xml:space="preserve">Administrator:
2500267 5/25 12000 pcs</s:t>
              </s:r>
            </s:text>
          </item>
        </commentChain>
      </unresolved>
      <resolved/>
    </commentChains>
    <commentChains s:ref="AU274" rgbClr="FF0000">
      <unresolved>
        <commentChain chainId="7a5958b53958ed467a8b3b031fead221d139991c">
          <item id="44224babfef59d8328d971cb1198d0226af60a78" isNormal="1">
            <s:text>
              <s:r>
                <s:t xml:space="preserve">Administrator:
2500267 5/25 6480 pcs
1403562 5/23 3600 pcs
 2500145 5/26 6048 pcs
2500149 5/28 7872 pcs</s:t>
              </s:r>
            </s:text>
          </item>
        </commentChain>
      </unresolved>
      <resolved/>
    </commentChains>
    <commentChains s:ref="AU275" rgbClr="FF0000">
      <unresolved>
        <commentChain chainId="22022879557de055c9b209deb7b802a8585154f2">
          <item id="076306b08fb09ea6105afd92f2cb92a28cedc6e5" isNormal="1">
            <s:text>
              <s:r>
                <s:t xml:space="preserve">Administrator:
2500267 5/25 19431 pcs
2500145 5/26 4491 PCS5
2500290 6/1 81 pcs</s:t>
              </s:r>
            </s:text>
          </item>
        </commentChain>
      </unresolved>
      <resolved/>
    </commentChains>
    <commentChains s:ref="J277" rgbClr="FF0000">
      <unresolved>
        <commentChain chainId="87b37618713bd5b1e338ee1d8d2b17cc11aaa759">
          <item id="6b6acfd00cc883b89fa70cca4015c08dff13af42" isNormal="1">
            <s:text>
              <s:r>
                <s:t xml:space="preserve">Administrator:
从PO0000149转入4060PCS
从PO0000188转入15PCS</s:t>
              </s:r>
            </s:text>
          </item>
        </commentChain>
      </unresolved>
      <resolved/>
    </commentChains>
    <commentChains s:ref="AU277" rgbClr="FF0000">
      <unresolved>
        <commentChain chainId="2f894a5489db9c6ad25c85f08f4ef6933e504ec4">
          <item id="d3e2757ef223a87e72e2012e64fe822bf9785756" isNormal="1">
            <s:text>
              <s:r>
                <s:t xml:space="preserve">Administrator:
1403409 5/7 500 PCS 
1405878 5/14 3575 PCS </s:t>
              </s:r>
            </s:text>
          </item>
        </commentChain>
      </unresolved>
      <resolved/>
    </commentChains>
    <commentChains s:ref="J278" rgbClr="FF0000">
      <unresolved>
        <commentChain chainId="553f702fc6547979b8a19d5b5d82ddf1c801b676">
          <item id="6d5c1a46e8fc7842b3a893e619e87b0f77bd1131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278" rgbClr="FF0000">
      <unresolved>
        <commentChain chainId="757cbf6e54f67de4b46bc347f91a046aecf19a3e">
          <item id="e24fecb454e5de62c2f6453d42027df728438305" isNormal="1">
            <s:text>
              <s:r>
                <s:t xml:space="preserve">Administrator:
1403715 4/29 660 pcs
1403411 5/7 4248 pcs
</s:t>
              </s:r>
            </s:text>
          </item>
        </commentChain>
      </unresolved>
      <resolved/>
    </commentChains>
    <commentChains s:ref="J279" rgbClr="FF0000">
      <unresolved>
        <commentChain chainId="478c8456e16b947eda6c47b202b0e529736d578f">
          <item id="56b8cae11f75e306eb4d374c672486de5722e661" isNormal="1">
            <s:text>
              <s:r>
                <s:t xml:space="preserve">Administrator:
从PO0000151转入</s:t>
              </s:r>
            </s:text>
          </item>
        </commentChain>
      </unresolved>
      <resolved/>
    </commentChains>
    <commentChains s:ref="AU279" rgbClr="FF0000">
      <unresolved>
        <commentChain chainId="772d6a9ea24523b1de0cd0b7e3c5a69f08ba70a3">
          <item id="119894816fc9860c383fe147c2a078060e6803ee" isNormal="1">
            <s:text>
              <s:r>
                <s:t xml:space="preserve">Administrator:
1403547 5/15 3552 PCS </s:t>
              </s:r>
            </s:text>
          </item>
        </commentChain>
      </unresolved>
      <resolved/>
    </commentChains>
    <commentChains s:ref="J280" rgbClr="FF0000">
      <unresolved>
        <commentChain chainId="66eeb5f177078c13d230cdf126a66ea2b0beb5a2">
          <item id="25eb873a06813ad42edb12f304638b44108bc021" isNormal="1">
            <s:text>
              <s:r>
                <s:t xml:space="preserve">Administrator:
从PO0000177转入</s:t>
              </s:r>
            </s:text>
          </item>
        </commentChain>
      </unresolved>
      <resolved/>
    </commentChains>
    <commentChains s:ref="AU280" rgbClr="FF0000">
      <unresolved>
        <commentChain chainId="f38fe79f7c67870ec9891481c2383caaf636f01a">
          <item id="834e38acc90177fcac1b21d6f38f6afee5bcbb69" isNormal="1">
            <s:text>
              <s:r>
                <s:t xml:space="preserve">Administrator:
1403715 4/29 4236 PCS </s:t>
              </s:r>
            </s:text>
          </item>
        </commentChain>
      </unresolved>
      <resolved/>
    </commentChains>
    <commentChains s:ref="AU281" rgbClr="FF0000">
      <unresolved>
        <commentChain chainId="73a95eb028e9b70921332b7eb76429fe1cbc9649">
          <item id="63b38aabc841e3a31d4c39ce3bdb44d095e4a3f7" isNormal="1">
            <s:text>
              <s:r>
                <s:t xml:space="preserve">Administrator:
1403467 5/11 2880 PCS</s:t>
              </s:r>
            </s:text>
          </item>
        </commentChain>
      </unresolved>
      <resolved/>
    </commentChains>
    <commentChains s:ref="AU282" rgbClr="FF0000">
      <unresolved>
        <commentChain chainId="6b80d607c65269e153eac2226f76ad73c43d577e">
          <item id="5f320843c2d17493516eafb89faf291545b3e94e" isNormal="1">
            <s:text>
              <s:r>
                <s:t xml:space="preserve">Administrator:
1403570 5/17 4560 pcs</s:t>
              </s:r>
            </s:text>
          </item>
        </commentChain>
      </unresolved>
      <resolved/>
    </commentChains>
    <commentChains s:ref="AU283" rgbClr="FF0000">
      <unresolved>
        <commentChain chainId="ea4566435a3a1b45aaff54a99353fe8dbeebabea">
          <item id="58398080f930c299320e15253aeb10e69aeace91" isNormal="1">
            <s:text>
              <s:r>
                <s:t xml:space="preserve">Administrator:
1403528 5/12 1980 PCS </s:t>
              </s:r>
            </s:text>
          </item>
        </commentChain>
      </unresolved>
      <resolved/>
    </commentChains>
    <commentChains s:ref="AU284" rgbClr="FF0000">
      <unresolved>
        <commentChain chainId="af77babf6fe6649da25b33e6595b8acdbd3010f4">
          <item id="681b2cb6f703d0a705dd6a09f2c09931e4206d47" isNormal="1">
            <s:text>
              <s:r>
                <s:t xml:space="preserve">Administrator:
1403547 5/15 760 PCS </s:t>
              </s:r>
            </s:text>
          </item>
        </commentChain>
      </unresolved>
      <resolved/>
    </commentChains>
    <commentChains s:ref="AU285" rgbClr="FF0000">
      <unresolved>
        <commentChain chainId="8fc8e50514439548bee18fc9fae185354b2cf237">
          <item id="10756203fe313026995fec72e1656eb8e705410c" isNormal="1">
            <s:text>
              <s:r>
                <s:t xml:space="preserve">Administrator:
1405885 5/14 2280 PCS </s:t>
              </s:r>
            </s:text>
          </item>
        </commentChain>
      </unresolved>
      <resolved/>
    </commentChains>
    <commentChains s:ref="AU286" rgbClr="FF0000">
      <unresolved>
        <commentChain chainId="652b20f3725a4237e25f562f984915d5dab3d938">
          <item id="2d0f60c9083af36e0205d03685ab8b7cadb33254" isNormal="1">
            <s:text>
              <s:r>
                <s:t xml:space="preserve">Administrator:
2500156 5/30 4800 pcs</s:t>
              </s:r>
            </s:text>
          </item>
        </commentChain>
      </unresolved>
      <resolved/>
    </commentChains>
    <commentChains s:ref="AU289" rgbClr="FF0000">
      <unresolved>
        <commentChain chainId="f268e312b67844b56a3e2ff7af2768b6ec4e7b85">
          <item id="24e67a8f5dabfb3b76ed8147b8886469368158fa" isNormal="1">
            <s:text>
              <s:r>
                <s:t xml:space="preserve">Administrator:
2500157 6/8 24000 pcs</s:t>
              </s:r>
            </s:text>
          </item>
        </commentChain>
      </unresolved>
      <resolved/>
    </commentChains>
    <commentChains s:ref="AU290" rgbClr="FF0000">
      <unresolved>
        <commentChain chainId="5cd421541e4d03e83db0624c1e0083929c02b813">
          <item id="1aac0dd56292d2a95c64b21452ce8bf3f9e52260" isNormal="1">
            <s:text>
              <s:r>
                <s:t xml:space="preserve">Administrator:
2500157 6/8 12000 pcs</s:t>
              </s:r>
            </s:text>
          </item>
        </commentChain>
      </unresolved>
      <resolved/>
    </commentChains>
    <commentChains s:ref="AU291" rgbClr="FF0000">
      <unresolved>
        <commentChain chainId="08fb699409020c64830ed280f6350c49b30766c3">
          <item id="44ff49f9e20dc326b2e7d1b7c572de7dcfce206c" isNormal="1">
            <s:text>
              <s:r>
                <s:t xml:space="preserve">Administrator:
2500294 6/2 5952 pcs
2500382 6/3 48 pcs</s:t>
              </s:r>
            </s:text>
          </item>
        </commentChain>
      </unresolved>
      <resolved/>
    </commentChains>
    <commentChains s:ref="AU292" rgbClr="FF0000">
      <unresolved>
        <commentChain chainId="44f6307b917d8baf0ee36902e80b834074c094f3">
          <item id="4f4a2be2e76f067f669008973530cf422df0b8b2" isNormal="1">
            <s:text>
              <s:r>
                <s:t xml:space="preserve">Administrator:
2500365 5/25 3600 pcs</s:t>
              </s:r>
            </s:text>
          </item>
        </commentChain>
      </unresolved>
      <resolved/>
    </commentChains>
    <commentChains s:ref="AU293" rgbClr="FF0000">
      <unresolved>
        <commentChain chainId="4db159b8c03fee3ee2c9261fb0685af9bfe01029">
          <item id="5ac188c89af30617eb9c844b85a33bc5af746976" isNormal="1">
            <s:text>
              <s:r>
                <s:t xml:space="preserve">Administrator:
2500299 6/2 3408 pcs</s:t>
              </s:r>
            </s:text>
          </item>
        </commentChain>
      </unresolved>
      <resolved/>
    </commentChains>
    <commentChains s:ref="AU295" rgbClr="FF0000">
      <unresolved>
        <commentChain chainId="72d0913d11078c6b470973f14d9ae82c1f81acac">
          <item id="e26eb301edeb44d9ffad572832b0de27b76fee59" isNormal="1">
            <s:text>
              <s:r>
                <s:t xml:space="preserve">Administrator:
1403554 5/21 1104 pcs</s:t>
              </s:r>
            </s:text>
          </item>
        </commentChain>
      </unresolved>
      <resolved/>
    </commentChains>
    <commentChains s:ref="AU296" rgbClr="FF0000">
      <unresolved>
        <commentChain chainId="fad8463daf4ca5ec63e0dffe176e27ac3bfcd390">
          <item id="37ef8cf3ebc5009426ed6f824cf4b6b4491ced6f" isNormal="1">
            <s:text>
              <s:r>
                <s:t xml:space="preserve">Administrator:
1403551 5/20 1440 pcs</s:t>
              </s:r>
            </s:text>
          </item>
        </commentChain>
      </unresolved>
      <resolved/>
    </commentChains>
    <commentChains s:ref="AU297" rgbClr="FF0000">
      <unresolved>
        <commentChain chainId="b74a5be33787139b8a01f639e36d4d5c0268fbfc">
          <item id="d972f07b68832729263b089d2bb86a8f9de95963" isNormal="1">
            <s:text>
              <s:r>
                <s:t xml:space="preserve">Administrator:
1403575 5/19 1104 pcs</s:t>
              </s:r>
            </s:text>
          </item>
        </commentChain>
      </unresolved>
      <resolved/>
    </commentChains>
    <commentChains s:ref="AU298" rgbClr="FF0000">
      <unresolved>
        <commentChain chainId="ec109747ac47ed44a29d6fe7067ee57ae03c0bd8">
          <item id="7781da04287b82f27c0b47d5f09d36566cc8be0b" isNormal="1">
            <s:text>
              <s:r>
                <s:t xml:space="preserve">Administrator:
1403461 5/9 3600 PCS</s:t>
              </s:r>
            </s:text>
          </item>
        </commentChain>
      </unresolved>
      <resolved/>
    </commentChains>
    <commentChains s:ref="AU299" rgbClr="FF0000">
      <unresolved>
        <commentChain chainId="06da3c3f967d2a5cbc60d5d50b61bad6b9d026eb">
          <item id="f4d518b82c8a3fc8a566011d3641ad479aec73ce" isNormal="1">
            <s:text>
              <s:r>
                <s:t xml:space="preserve">Administrator:
1403461 5/9 3600 PCS</s:t>
              </s:r>
            </s:text>
          </item>
        </commentChain>
      </unresolved>
      <resolved/>
    </commentChains>
    <commentChains s:ref="AU300" rgbClr="FF0000">
      <unresolved>
        <commentChain chainId="2dc542177ecc3a5b2e18e762bcd6ba1f3faa6017">
          <item id="0f32803addfac252c3ef4aa20315aaf4d9f94de8" isNormal="1">
            <s:text>
              <s:r>
                <s:t xml:space="preserve">Administrator:
1403467 5/11 840 PCS</s:t>
              </s:r>
            </s:text>
          </item>
        </commentChain>
      </unresolved>
      <resolved/>
    </commentChains>
    <commentChains s:ref="AU303" rgbClr="FF0000">
      <unresolved>
        <commentChain chainId="718ff5712a37e92ca9df3a4ae19898bfcf525049">
          <item id="53f6063b5aa403d4f9c85757c9d7f25753293c07" isNormal="1">
            <s:text>
              <s:r>
                <s:t xml:space="preserve">Administrator:
1403575 5/19 1800 pcs</s:t>
              </s:r>
            </s:text>
          </item>
        </commentChain>
      </unresolved>
      <resolved/>
    </commentChains>
    <commentChains s:ref="AU304" rgbClr="FF0000">
      <unresolved>
        <commentChain chainId="b4c681e6f654cc5d42adfe03ea4dca42546491b2">
          <item id="7ff0bf0d506a1a22a758079cf7828cfd445505e3" isNormal="1">
            <s:text>
              <s:r>
                <s:t xml:space="preserve">Administrator:
1403461 5/9 600 PCS</s:t>
              </s:r>
            </s:text>
          </item>
        </commentChain>
      </unresolved>
      <resolved/>
    </commentChains>
    <commentChains s:ref="J305" rgbClr="FF0000">
      <unresolved>
        <commentChain chainId="8daf69b2b4e33678f5fa214b3d83f17f7f544c2f">
          <item id="678963c23db2671d4b3d2de6606e12fcc4c93844" isNormal="1">
            <s:text>
              <s:r>
                <s:t xml:space="preserve">Administrator:
从PO0000149转入2280PCS
从PO0000188转入220PCS
</s:t>
              </s:r>
            </s:text>
          </item>
        </commentChain>
      </unresolved>
      <resolved/>
    </commentChains>
    <commentChains s:ref="AU305" rgbClr="FF0000">
      <unresolved>
        <commentChain chainId="cf2305aaa3ee8ffe116a27342c3b652c80ebd78a">
          <item id="3785946fc3d67ba81bd7f27db82fe8df3afc50b9" isNormal="1">
            <s:text>
              <s:r>
                <s:t xml:space="preserve">Administrator:
1403568 5/16 2500 pcs</s:t>
              </s:r>
            </s:text>
          </item>
        </commentChain>
      </unresolved>
      <resolved/>
    </commentChains>
    <commentChains s:ref="J306" rgbClr="FF0000">
      <unresolved>
        <commentChain chainId="ed3e8d9b17cab30335fb221f1c837357c8510d82">
          <item id="54ff617526a02b1da1a180db535a17b5aa17a3f5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306" rgbClr="FF0000">
      <unresolved>
        <commentChain chainId="5c11bc5b2f64dddf3f7eaa8bf92a8ec1b703fde9">
          <item id="d1bb1662c3f42f819bd14ad67318e32f83259bf0" isNormal="1">
            <s:text>
              <s:r>
                <s:t xml:space="preserve">Administrator:
1403628 5/19 4176 pcs
1403551 5/20 696 pcs</s:t>
              </s:r>
            </s:text>
          </item>
        </commentChain>
      </unresolved>
      <resolved/>
    </commentChains>
    <commentChains s:ref="J307" rgbClr="FF0000">
      <unresolved>
        <commentChain chainId="6bea4a7f2de13556a6caf61a8021105ffee84a40">
          <item id="dfcd980e3d908c2a0ab5cdc64cd1968e626655e5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AU307" rgbClr="FF0000">
      <unresolved>
        <commentChain chainId="3bd6675283dafb1af48dc69b8315fd8ec0140caf">
          <item id="87a4edbaf7ffd47e0c4872187d5f7e919403a4af" isNormal="1">
            <s:text>
              <s:r>
                <s:t xml:space="preserve">Administrator:
2500156 5/30 3516 pcs</s:t>
              </s:r>
            </s:text>
          </item>
        </commentChain>
      </unresolved>
      <resolved/>
    </commentChains>
    <commentChains s:ref="J308" rgbClr="FF0000">
      <unresolved>
        <commentChain chainId="8bdff1a020d3dd16c6c4617c9694e1cd81b0ae87">
          <item id="18093a0178e80722c66f3f28a449b86c02feeba5" isNormal="1">
            <s:text>
              <s:r>
                <s:t xml:space="preserve">Administrator:
从PO0000177转入
</s:t>
              </s:r>
            </s:text>
          </item>
        </commentChain>
      </unresolved>
      <resolved/>
    </commentChains>
    <commentChains s:ref="AU308" rgbClr="FF0000">
      <unresolved>
        <commentChain chainId="698ceef9e503bbb69db4a9e791d3b012c5b7ea75">
          <item id="8251645c1140d48d80ada4f1c25ad68e38d9f198" isNormal="1">
            <s:text>
              <s:r>
                <s:t xml:space="preserve">Administrator:
2500262 5/23 4200 pcs</s:t>
              </s:r>
            </s:text>
          </item>
        </commentChain>
      </unresolved>
      <resolved/>
    </commentChains>
    <commentChains s:ref="AU309" rgbClr="FF0000">
      <unresolved>
        <commentChain chainId="a9d6add8b9ecfe2559ce0d2a01dd3b2b60867f13">
          <item id="a6210293a4de6a90227844ad7a74fb94decd758d" isNormal="1">
            <s:text>
              <s:r>
                <s:t xml:space="preserve">Administrator:
2801437 6/8 288 pcs
2801426 6/6 1728 pcs</s:t>
              </s:r>
            </s:text>
          </item>
        </commentChain>
      </unresolved>
      <resolved/>
    </commentChains>
    <commentChains s:ref="AU310" rgbClr="FF0000">
      <unresolved>
        <commentChain chainId="2ab625e9ed23831c68759eebaba5f32a0081c7cd">
          <item id="fe64594bb59d04f3fc06182a94ab6ef5937cda72" isNormal="1">
            <s:text>
              <s:r>
                <s:t xml:space="preserve">Administrator:
2500149 5/28 12492 pcs
2500153 5/29 7008 pcs
2500155 5/30 504 pcs</s:t>
              </s:r>
            </s:text>
          </item>
        </commentChain>
      </unresolved>
      <resolved/>
    </commentChains>
    <commentChains s:ref="AU311" rgbClr="FF0000">
      <unresolved>
        <commentChain chainId="3981e7bdd4e034c446f83bba71e37eb543103b0f">
          <item id="1c6731f9cb976a0a9c32b1437c90d175bd6326ff" isNormal="1">
            <s:text>
              <s:r>
                <s:t xml:space="preserve">Administrator:
1403763 5/5 30216 PCS 
1403411 5/7 12936 pcs
1403444 5/9 48 PCS </s:t>
              </s:r>
            </s:text>
          </item>
        </commentChain>
      </unresolved>
      <resolved/>
    </commentChains>
    <commentChains s:ref="AU313" rgbClr="FF0000">
      <unresolved>
        <commentChain chainId="8c1ef926e07c013f45bdc9959954f18ce172833f">
          <item id="8f58e664665dfe51419f7441605365aedd69ec31" isNormal="1">
            <s:text>
              <s:r>
                <s:t xml:space="preserve">Administrator:
2500290 6/1 10512 pcs</s:t>
              </s:r>
            </s:text>
          </item>
        </commentChain>
      </unresolved>
      <resolved/>
    </commentChains>
    <commentChains s:ref="AU314" rgbClr="FF0000">
      <unresolved>
        <commentChain chainId="1e4bf168e86140db905a051031c997a2652d181e">
          <item id="3eaa38598c356c8ae7d994b8f454b65c4c94a41b" isNormal="1">
            <s:text>
              <s:r>
                <s:t xml:space="preserve">Administrator:
2500295 6/2 4236 pcs
2500290 6/1 5760 pcs</s:t>
              </s:r>
            </s:text>
          </item>
        </commentChain>
      </unresolved>
      <resolved/>
    </commentChains>
    <commentChains s:ref="AU315" rgbClr="FF0000">
      <unresolved>
        <commentChain chainId="88f4993ad20871c7bba68369d958e59c7401fb54">
          <item id="559cd15dafdcf991fc2cbbdc8e716a687e3aa832" isNormal="1">
            <s:text>
              <s:r>
                <s:t xml:space="preserve">Administrator:
2500290 6/1 6940 pcs
2500386 6/4 635 pcs
2500356 6/6 425 pcs</s:t>
              </s:r>
            </s:text>
          </item>
        </commentChain>
      </unresolved>
      <resolved/>
    </commentChains>
    <commentChains s:ref="AU316" rgbClr="FF0000">
      <unresolved>
        <commentChain chainId="927833cb1853d2d1d694cc06b476ed49f6378d83">
          <item id="b485d278e2aacdce5b2c780509b5023516d1a548" userID="1715258932" userName="严新荟" dateTime="2026-06-13T02:29:37" isNormal="0">
            <s:text>
              <s:r>
                <s:t xml:space="preserve">2500179 6/12  3000 pcs</s:t>
              </s:r>
            </s:text>
          </item>
        </commentChain>
      </unresolved>
      <resolved/>
    </commentChains>
    <commentChains s:ref="AU317" rgbClr="FF0000">
      <unresolved>
        <commentChain chainId="c8d7f0145129b49599a3bd3ea95593259f08997e">
          <item id="07e758a5745ecf0111f2707fa0ef43db46844d41" isNormal="1">
            <s:text>
              <s:r>
                <s:t xml:space="preserve">Administrator:
2500356 6/6 9984 pcs
2500157 6/8 12 pcs</s:t>
              </s:r>
            </s:text>
          </item>
        </commentChain>
      </unresolved>
      <resolved/>
    </commentChains>
    <commentChains s:ref="AU318" rgbClr="FF0000">
      <unresolved>
        <commentChain chainId="a9038e93e8d2d454057255aafe4a64c68c8777b5">
          <item id="3457306c1c67b33b593cd04819d620cd8fce885f" isNormal="1">
            <s:text>
              <s:r>
                <s:t xml:space="preserve">Administrator:
2500294 6/2 2988 pcs</s:t>
              </s:r>
            </s:text>
          </item>
        </commentChain>
      </unresolved>
      <resolved/>
    </commentChains>
    <commentChains s:ref="AU319" rgbClr="FF0000">
      <unresolved>
        <commentChain chainId="65395c937b794fb93e11f785efcaf1d034c02086">
          <item id="8406dab8d37a50cc62b808cbd89e7d92d9a79499" isNormal="1">
            <s:text>
              <s:r>
                <s:t xml:space="preserve">Administrator:
2500172 6/10 552 pcs
2500169 6/10 2448 pcs</s:t>
              </s:r>
            </s:text>
          </item>
        </commentChain>
      </unresolved>
      <resolved/>
    </commentChains>
    <commentChains s:ref="AU320" rgbClr="FF0000">
      <unresolved>
        <commentChain chainId="9f02c2f7eb43a8384facd69efb1e65ac0af5df3b">
          <item id="2c389cd1ff126b21b56beb7ee10ddb3522578a52" isNormal="1">
            <s:text>
              <s:r>
                <s:t xml:space="preserve">Administrator:
2500177 6/11 1530 pcs
2500173 6/10 19548 pcs</s:t>
              </s:r>
            </s:text>
          </item>
          <item id="2d036390674e05be8c4ecda63eff2f98bd436bc8" userID="1715258932" userName="严新荟" dateTime="2026-06-13T02:30:34" isNormal="0">
            <s:text>
              <s:r>
                <s:t xml:space="preserve">2500179 6/12 9480 pcs</s:t>
              </s:r>
            </s:text>
          </item>
        </commentChain>
      </unresolved>
      <resolved/>
    </commentChains>
    <commentChains s:ref="AU321" rgbClr="FF0000">
      <unresolved>
        <commentChain chainId="655ce12f84c988aa3d7c4c24b99cc39fb4a10f71">
          <item id="98fb9615c5f705d349c115f9d5eca76fe9fe254b" isNormal="1">
            <s:text>
              <s:r>
                <s:t xml:space="preserve">Administrator:
1403554 5/21 15192 pcs</s:t>
              </s:r>
            </s:text>
          </item>
        </commentChain>
      </unresolved>
      <resolved/>
    </commentChains>
    <commentChains s:ref="AU322" rgbClr="FF0000">
      <unresolved>
        <commentChain chainId="5921d6113144d38144f5c34a9a21a6d205a303aa">
          <item id="8488e04cca4f7ccfc996076325e92122685f17e9" isNormal="1">
            <s:text>
              <s:r>
                <s:t xml:space="preserve">Administrator:
1403575 5/19 3800 pcs</s:t>
              </s:r>
            </s:text>
          </item>
        </commentChain>
      </unresolved>
      <resolved/>
    </commentChains>
    <commentChains s:ref="AU325" rgbClr="FF0000">
      <unresolved>
        <commentChain chainId="f08facf517e9efbe453398a74b1e19b081d3f95f">
          <item id="cc894c5f8be9cb1c4537549720b57d9a4d30ff44" isNormal="1">
            <s:text>
              <s:r>
                <s:t xml:space="preserve">Administrator:
2500389 6/5 20160 pcs
2500356 6/6 2112 pcs
</s:t>
              </s:r>
            </s:text>
          </item>
        </commentChain>
      </unresolved>
      <resolved/>
    </commentChains>
    <commentChains s:ref="AU327" rgbClr="FF0000">
      <unresolved>
        <commentChain chainId="a5aba7dff73b4578d5acda1a23e4e4a541063b9b">
          <item id="8dfe313bb045c8a56eafc29b356c0e917b172edb" isNormal="1">
            <s:text>
              <s:r>
                <s:t xml:space="preserve">Administrator:
2500155 5/30 2232 pcs
2500290 6/1 168 pcs</s:t>
              </s:r>
            </s:text>
          </item>
        </commentChain>
      </unresolved>
      <resolved/>
    </commentChains>
    <commentChains s:ref="AU328" rgbClr="FF0000">
      <unresolved>
        <commentChain chainId="0a54504ab65817e5ffcf032d8e52565edf6c8a44">
          <item id="a8cdf1cb28229bd720c7f51db1b06d4fc233a6d5" isNormal="1">
            <s:text>
              <s:r>
                <s:t xml:space="preserve">Administrator:
2500294 6/2 1194 pcs</s:t>
              </s:r>
            </s:text>
          </item>
        </commentChain>
      </unresolved>
      <resolved/>
    </commentChains>
    <commentChains s:ref="AU329" rgbClr="FF0000">
      <unresolved>
        <commentChain chainId="99b64dc80aa92dfee61fe4d99a69db9236c10422">
          <item id="fe89040dd54b7dad0044dbe08c7c64f9a4fd06e0" isNormal="1">
            <s:text>
              <s:r>
                <s:t xml:space="preserve">Administrator:
2500155 5/30 400 pcs</s:t>
              </s:r>
            </s:text>
          </item>
        </commentChain>
      </unresolved>
      <resolved/>
    </commentChains>
    <commentChains s:ref="AU331" rgbClr="FF0000">
      <unresolved>
        <commentChain chainId="c219df5b209e1bc018bc7b4bd804d1e4663d3538">
          <item id="231e1dbf71542a7995ac6455f35586ca4f174be3" isNormal="1">
            <s:text>
              <s:r>
                <s:t xml:space="preserve">Administrator:
2500175 6/11 12 PCS
2500172 6/10 1188 pcs</s:t>
              </s:r>
            </s:text>
          </item>
        </commentChain>
      </unresolved>
      <resolved/>
    </commentChains>
    <commentChains s:ref="AU336" rgbClr="FF0000">
      <unresolved>
        <commentChain chainId="f275534175316630516a9c8680cec01653d74fba">
          <item id="036b5fa098349f14b24bea09d689b6ef0048b627" userID="1715258932" userName="严新荟" dateTime="2026-06-13T02:29:10" isNormal="0">
            <s:text>
              <s:r>
                <s:t xml:space="preserve">2500179 6/12  800 pcs</s:t>
              </s:r>
            </s:text>
          </item>
        </commentChain>
      </unresolved>
      <resolved/>
    </commentChains>
    <commentChains s:ref="AU337" rgbClr="FF0000">
      <unresolved>
        <commentChain chainId="59bcdd19f4d40a66f029d4a7447b10592c323fa9">
          <item id="814d3d516bb77c567fdcbd4e635e3586f9abcaa5" isNormal="1">
            <s:text>
              <s:r>
                <s:t xml:space="preserve">Administrator:
2500155 5/30 1080 pcs
2500290 6/1 120 pcs</s:t>
              </s:r>
            </s:text>
          </item>
        </commentChain>
      </unresolved>
      <resolved/>
    </commentChains>
    <commentChains s:ref="AU338" rgbClr="FF0000">
      <unresolved>
        <commentChain chainId="9e627372efb911a6c42f86beadd7143a396b5717">
          <item id="f010fe12e5e2115c5c278ad1b0525f6489bed233" isNormal="1">
            <s:text>
              <s:r>
                <s:t xml:space="preserve">Administrator:
2500356 6/6 600 pcs</s:t>
              </s:r>
            </s:text>
          </item>
        </commentChain>
      </unresolved>
      <resolved/>
    </commentChains>
    <commentChains s:ref="J339" rgbClr="FF0000">
      <unresolved>
        <commentChain chainId="d0bff57d3066c0da7040e1302c4a1db994f0df6b">
          <item id="c9764f72fbb9c39c7fec95cf2ce568b7a210b8b9" isNormal="1">
            <s:text>
              <s:r>
                <s:t xml:space="preserve">Administrator:
从CAJZ040转入1500PCS</s:t>
              </s:r>
            </s:text>
          </item>
        </commentChain>
      </unresolved>
      <resolved/>
    </commentChains>
    <commentChains s:ref="AU340" rgbClr="FF0000">
      <unresolved>
        <commentChain chainId="b51e36785daad29f9dc8a5c1cc939ef7a55e7f88">
          <item id="83ee6dfb89abca3ac5f6d73a646d98ca15292125" isNormal="1">
            <s:text>
              <s:r>
                <s:t xml:space="preserve">Administrator:
2500172 6/10 1248 pcs</s:t>
              </s:r>
            </s:text>
          </item>
        </commentChain>
      </unresolved>
      <resolved/>
    </commentChains>
    <commentChains s:ref="AU341" rgbClr="FF0000">
      <unresolved>
        <commentChain chainId="67be616d897ebcdc49f49c2c6cca1012dbd78e1d">
          <item id="59db4cd1cbc295634cae6684803b5c96feb7277b" isNormal="1">
            <s:text>
              <s:r>
                <s:t xml:space="preserve">Administrator:
2500175 6/11 1104 PCS</s:t>
              </s:r>
            </s:text>
          </item>
        </commentChain>
      </unresolved>
      <resolved/>
    </commentChains>
    <commentChains s:ref="AU342" rgbClr="FF0000">
      <unresolved>
        <commentChain chainId="d3fa277fe1b9133973369d3448c0d6efa9bda07f">
          <item id="9cff26d8793cfea58c4810aaa1e66251cd81ba07" isNormal="1">
            <s:text>
              <s:r>
                <s:t xml:space="preserve">Administrator:
2500389 6/5 1704 pcs</s:t>
              </s:r>
            </s:text>
          </item>
        </commentChain>
      </unresolved>
      <resolved/>
    </commentChains>
    <commentChains s:ref="AU343" rgbClr="FF0000">
      <unresolved>
        <commentChain chainId="ce546f3aaacb3a49dcaeb8358a5b7e713799b6ca">
          <item id="3cd4a6cab9cfe2c98aa2f5e1eb862ce964fe5399" isNormal="1">
            <s:text>
              <s:r>
                <s:t xml:space="preserve">Administrator:
2500175 6/11 8 PCS
2500172 6/10 592 pcs</s:t>
              </s:r>
            </s:text>
          </item>
        </commentChain>
      </unresolved>
      <resolved/>
    </commentChains>
    <commentChains s:ref="AU344" rgbClr="FF0000">
      <unresolved>
        <commentChain chainId="387745bdc91f390a975cc9b336403a1549a03632">
          <item id="9abc7d6d87773f21c81b9b49776c9eb0290ba83c" isNormal="1">
            <s:text>
              <s:r>
                <s:t xml:space="preserve">Administrator:
2500175 6/11 1116 PCS</s:t>
              </s:r>
            </s:text>
          </item>
        </commentChain>
      </unresolved>
      <resolved/>
    </commentChains>
    <commentChains s:ref="AU345" rgbClr="FF0000">
      <unresolved>
        <commentChain chainId="3a3d244da1aac9a4913449ca8d3c717b736a82a2">
          <item id="a12b8b42891cf7bee06141ea6321ca00e231afa7" userID="1715258932" userName="严新荟" dateTime="2026-06-15T11:41:39" isNormal="0">
            <s:text>
              <s:r>
                <s:t xml:space="preserve">2801462 6/13 2160 pcs</s:t>
              </s:r>
            </s:text>
          </item>
        </commentChain>
      </unresolved>
      <resolved/>
    </commentChains>
    <commentChains s:ref="AU346" rgbClr="FF0000">
      <unresolved>
        <commentChain chainId="a1888e67a73f3ef8410b993f15a203428305fb9a">
          <item id="6d98353faa4f5df7778769c3df6aafda05aa9008" userID="1715258932" userName="严新荟" dateTime="2026-06-15T11:39:51" isNormal="0">
            <s:text>
              <s:r>
                <s:t xml:space="preserve">2500319 6/13 2400 pcs</s:t>
              </s:r>
            </s:text>
          </item>
        </commentChain>
      </unresolved>
      <resolved/>
    </commentChains>
    <commentChains s:ref="AU347" rgbClr="FF0000">
      <unresolved>
        <commentChain chainId="afda792d388e0c90bf18aceb833c71075eb93223">
          <item id="82b27c38b3328194cd05f0c331c32dd2da414a44" isNormal="1">
            <s:text>
              <s:r>
                <s:t xml:space="preserve">Administrator:
2500356 6/6 1056 pcs
2500157 6/8 24 pcs</s:t>
              </s:r>
            </s:text>
          </item>
        </commentChain>
      </unresolved>
      <resolved/>
    </commentChains>
    <commentChains s:ref="AU348" rgbClr="FF0000">
      <unresolved>
        <commentChain chainId="443f4e3ab1c8aed492dfe9feece65d0e01d1d2a6">
          <item id="62b3a3b310404e62e9080418274e222426fc8f27" userID="1715258932" userName="严新荟" dateTime="2026-06-15T11:39:27" isNormal="0">
            <s:text>
              <s:r>
                <s:t xml:space="preserve">2500319 6/13 900 pcs</s:t>
              </s:r>
            </s:text>
          </item>
        </commentChain>
      </unresolved>
      <resolved/>
    </commentChains>
    <commentChains s:ref="J350" rgbClr="FF0000">
      <unresolved>
        <commentChain chainId="a22bf9c2c933b955a1f6089566b47f11d735b8ca">
          <item id="24d9ce9a3dd5fb134a587e6389a48459a0dcf66c" isNormal="1">
            <s:text>
              <s:r>
                <s:t xml:space="preserve">Administrator:
从CAJZ044转入</s:t>
              </s:r>
            </s:text>
          </item>
        </commentChain>
      </unresolved>
      <resolved/>
    </commentChains>
    <commentChains s:ref="J351" rgbClr="FF0000">
      <unresolved>
        <commentChain chainId="8c9a39ff36df01f177e057a15aa42efa09de98ce">
          <item id="ebfb12340c24b9193ddf5c467978894e739b807a" isNormal="1">
            <s:text>
              <s:r>
                <s:t xml:space="preserve">Administrator:
从CAJZ044转入
</s:t>
              </s:r>
            </s:text>
          </item>
        </commentChain>
      </unresolved>
      <resolved/>
    </commentChains>
    <commentChains s:ref="AU354" rgbClr="FF0000">
      <unresolved>
        <commentChain chainId="f5f558d6df95e8c15a4124cf76732c66c702be59">
          <item id="4eda23e5b869541e2ead9bc262e738ac7a98359f" isNormal="1">
            <s:text>
              <s:r>
                <s:t xml:space="preserve">Administrator:
2500294 6/2 9216 pcs
2500382 6/3 192 pcs</s:t>
              </s:r>
            </s:text>
          </item>
        </commentChain>
      </unresolved>
      <resolved/>
    </commentChains>
    <commentChains s:ref="AU355" rgbClr="FF0000">
      <unresolved>
        <commentChain chainId="43c27ee7994cdc4d8ab57cdc564a980f252be048">
          <item id="f5fe5de2d6c52b7c3bee4abc9f0ed7d38aaa3651" isNormal="1">
            <s:text>
              <s:r>
                <s:t xml:space="preserve">Administrator:
2500153 5/29 9168 PCS
2500288 5/30 240 pcs</s:t>
              </s:r>
            </s:text>
          </item>
        </commentChain>
      </unresolved>
      <resolved/>
    </commentChains>
    <commentChains s:ref="AU356" rgbClr="FF0000">
      <unresolved>
        <commentChain chainId="6930ddb6d3f274ae9bdbf46bca709790324f077e">
          <item id="7fbcee9dd14305c583a262c2fb15c63c1f68457a" isNormal="1">
            <s:text>
              <s:r>
                <s:t xml:space="preserve">Administrator:
1403560 5/22 1512 pcs</s:t>
              </s:r>
            </s:text>
          </item>
        </commentChain>
      </unresolved>
      <resolved/>
    </commentChains>
    <commentChains s:ref="AU357" rgbClr="FF0000">
      <unresolved>
        <commentChain chainId="ef4ff115ed6700bf96caccf1d1c6630d895caba6">
          <item id="c42204c18737ed889fe2415b928bebb6ba7a5d0f" isNormal="1">
            <s:text>
              <s:r>
                <s:t xml:space="preserve">Administrator:
2500155 5/30 1212 pcs</s:t>
              </s:r>
            </s:text>
          </item>
        </commentChain>
      </unresolved>
      <resolved/>
    </commentChains>
    <commentChains s:ref="AU359" rgbClr="FF0000">
      <unresolved>
        <commentChain chainId="213dce8ee0c8dabb0483f1b42a7bc55aba5de691">
          <item id="fc70a7e4c0f5c8e26a7105b086f48c2396c595c8" isNormal="1">
            <s:text>
              <s:r>
                <s:t xml:space="preserve">Administrator:
1403554 5/21 2424 pcs</s:t>
              </s:r>
            </s:text>
          </item>
        </commentChain>
      </unresolved>
      <resolved/>
    </commentChains>
    <commentChains s:ref="AU360" rgbClr="FF0000">
      <unresolved>
        <commentChain chainId="9c5c29999844d6c9fabedddd73efa9ed97199aed">
          <item id="a56104267c5981195e9f1753698dc9c3325c0d30" userID="1715258932" userName="严新荟" dateTime="2026-06-16T02:12:16" isNormal="0">
            <s:text>
              <s:r>
                <s:t xml:space="preserve">2801478 6/15  9408 pcs</s:t>
              </s:r>
            </s:text>
          </item>
        </commentChain>
      </unresolved>
      <resolved/>
    </commentChains>
    <commentChains s:ref="AU361" rgbClr="FF0000">
      <unresolved>
        <commentChain chainId="3845d665d05c5e3aa65ff4c242856eb7c1a26581">
          <item id="c2a96b0a123e0aa600272450486ff7a1d7d922fd" isNormal="1">
            <s:text>
              <s:r>
                <s:t xml:space="preserve">Administrator:
2500145 5/26 2432 PCS</s:t>
              </s:r>
            </s:text>
          </item>
        </commentChain>
      </unresolved>
      <resolved/>
    </commentChains>
    <commentChains s:ref="AU362" rgbClr="FF0000">
      <unresolved>
        <commentChain chainId="035762db88b6b1b204266561b2fa3445eedff9c7">
          <item id="4ea056dd130bebccab6daea1edab07b74dffc2e8" isNormal="1">
            <s:text>
              <s:r>
                <s:t xml:space="preserve">Administrator:
2500386 6/4 3528 pcs
2500356 6/6 120 pcs</s:t>
              </s:r>
            </s:text>
          </item>
        </commentChain>
      </unresolved>
      <resolved/>
    </commentChains>
    <commentChains s:ref="AU363" rgbClr="FF0000">
      <unresolved>
        <commentChain chainId="0ecd6d7b9e70b40b992f31b96278cda1f7bf0e9f">
          <item id="da7f7b7634c954efbb9a227ff52ef7f414ea9865" isNormal="1">
            <s:text>
              <s:r>
                <s:t xml:space="preserve">Administrator:
2500356 6/6 808 pcs</s:t>
              </s:r>
            </s:text>
          </item>
        </commentChain>
      </unresolved>
      <resolved/>
    </commentChains>
    <commentChains s:ref="AU364" rgbClr="FF0000">
      <unresolved>
        <commentChain chainId="bf8b074d5c5f416f95af006ae0d858cdcd0ee56f">
          <item id="ea3b23898b77d3c2958f637d195e738aa3102038" isNormal="1">
            <s:text>
              <s:r>
                <s:t xml:space="preserve">Administrator:
2500172 6/10 1212 pcs
</s:t>
              </s:r>
            </s:text>
          </item>
        </commentChain>
      </unresolved>
      <resolved/>
    </commentChains>
    <commentChains s:ref="AU365" rgbClr="FF0000">
      <unresolved>
        <commentChain chainId="5f67515c828a9968decb7ead3dd2947dbc9baa55">
          <item id="855e63d6f7297886c10a5ebe54b54ffa706cca70" isNormal="1">
            <s:text>
              <s:r>
                <s:t xml:space="preserve">Administrator:
2500172 6/10 1212 pcs
</s:t>
              </s:r>
            </s:text>
          </item>
        </commentChain>
      </unresolved>
      <resolved/>
    </commentChains>
    <commentChains s:ref="AU367" rgbClr="FF0000">
      <unresolved>
        <commentChain chainId="0bb895541ab19efff9766a7cac234704b46a5e81">
          <item id="6727d3a783b92b2c5dfbe12a4fdc392d9cf31fca" isNormal="1">
            <s:text>
              <s:r>
                <s:t xml:space="preserve">Administrator:
1403709/1403715 4/29 16800 pcs</s:t>
              </s:r>
            </s:text>
          </item>
        </commentChain>
      </unresolved>
      <resolved/>
    </commentChains>
    <commentChains s:ref="AU368" rgbClr="FF0000">
      <unresolved>
        <commentChain chainId="97803fee9bfd765c74474b506ff7952004b4fe17">
          <item id="dbe007b4b2566db5165c43744926bc7a990ffd9d" isNormal="1">
            <s:text>
              <s:r>
                <s:t xml:space="preserve">Administrator:
2500294 6/2 4272 pcs</s:t>
              </s:r>
            </s:text>
          </item>
        </commentChain>
      </unresolved>
      <resolved/>
    </commentChains>
    <commentChains s:ref="AU369" rgbClr="FF0000">
      <unresolved>
        <commentChain chainId="851f12aa29f4f71b88c55467be97820680fa7fc4">
          <item id="a980fd0630ce871190b3fd33b3b45d3b936fe4ff" userID="1715258932" userName="严新荟" dateTime="2026-06-13T02:30:02" isNormal="0">
            <s:text>
              <s:r>
                <s:t xml:space="preserve">2500179 6/12  2508 pcs</s:t>
              </s:r>
            </s:text>
          </item>
        </commentChain>
      </unresolved>
      <resolved/>
    </commentChains>
    <commentChains s:ref="AU370" rgbClr="FF0000">
      <unresolved>
        <commentChain chainId="66536cfbbfda54edead6283cbde100cd917e9169">
          <item id="d50b47128bab5bd7dd8e4bc493b8d5c5838a3bd7" isNormal="1">
            <s:text>
              <s:r>
                <s:t xml:space="preserve">Administrator:
2500153 5/29 4992 pcs</s:t>
              </s:r>
            </s:text>
          </item>
        </commentChain>
      </unresolved>
      <resolved/>
    </commentChains>
    <commentChains s:ref="AU371" rgbClr="FF0000">
      <unresolved>
        <commentChain chainId="2d58bd611c1b4f7c5fbe7e5fd9dc363e3d502496">
          <item id="aab071b78e690194539df184f35565dd5dc77d3e" isNormal="1">
            <s:text>
              <s:r>
                <s:t xml:space="preserve">Administrator:
2500356 6/6 29976 pcs
2500157 6/8 24 pcs</s:t>
              </s:r>
            </s:text>
          </item>
        </commentChain>
      </unresolved>
      <resolved/>
    </commentChains>
    <commentChains s:ref="AU375" rgbClr="FF0000">
      <unresolved>
        <commentChain chainId="24a38f4953255fde23d5fab6faf59ae6f30e07f1">
          <item id="a0d0db84c8d4f507d66cf0ae42d8c92edc616a92" isNormal="1">
            <s:text>
              <s:r>
                <s:t xml:space="preserve">Administrator:
1403568 5/16 12480 pcs</s:t>
              </s:r>
            </s:text>
          </item>
        </commentChain>
      </unresolved>
      <resolved/>
    </commentChains>
    <commentChains s:ref="AU376" rgbClr="FF0000">
      <unresolved>
        <commentChain chainId="323c52448bcade55f5e194a4e3444cf1cbd89d05">
          <item id="785ddb6e2c8dc53381f6168d56f64564efb6dfd2" isNormal="1">
            <s:text>
              <s:r>
                <s:t xml:space="preserve">Administrator:
1403551 5/20 13704 pcs</s:t>
              </s:r>
            </s:text>
          </item>
        </commentChain>
      </unresolved>
      <resolved/>
    </commentChains>
    <commentChains s:ref="AU377" rgbClr="FF0000">
      <unresolved>
        <commentChain chainId="459d3405d08a66fba0030776623bb798fd7e75f4">
          <item id="23cf9f3b4f3dab3390570a3d316a64b832c10ba0" isNormal="1">
            <s:text>
              <s:r>
                <s:t xml:space="preserve">Administrator:
1403570 5/17 5496 pcs</s:t>
              </s:r>
            </s:text>
          </item>
        </commentChain>
      </unresolved>
      <resolved/>
    </commentChains>
    <commentChains s:ref="AU378" rgbClr="FF0000">
      <unresolved>
        <commentChain chainId="444aa316aa563aaac854be2fec712e7ea3a90b85">
          <item id="c6b16ab3aa91a6ccc67471c3d84e5cb4601c08bd" isNormal="1">
            <s:text>
              <s:r>
                <s:t xml:space="preserve">Administrator:
1403547 5/15 1248 PCS </s:t>
              </s:r>
            </s:text>
          </item>
        </commentChain>
      </unresolved>
      <resolved/>
    </commentChains>
    <commentChains s:ref="J381" rgbClr="FF0000">
      <unresolved>
        <commentChain chainId="247f328538b4592032ab582142932d4e1538d000">
          <item id="f6f27dcd831a134bd85dc7d796573a644f61a7c0" isNormal="1">
            <s:text>
              <s:r>
                <s:t xml:space="preserve">Administrator:
从PO0000177转入
</s:t>
              </s:r>
            </s:text>
          </item>
        </commentChain>
      </unresolved>
      <resolved/>
    </commentChains>
    <commentChains s:ref="AU381" rgbClr="FF0000">
      <unresolved>
        <commentChain chainId="30daaf268ca2b617477c48c8b95eb8036310d041">
          <item id="3ab37db8f65428aaf578ada6c9bec2d00b5e5d8b" isNormal="1">
            <s:text>
              <s:r>
                <s:t xml:space="preserve">Administrator:
2500294 6/2 1476 pcs</s:t>
              </s:r>
            </s:text>
          </item>
        </commentChain>
      </unresolved>
      <resolved/>
    </commentChains>
    <commentChains s:ref="J382" rgbClr="FF0000">
      <unresolved>
        <commentChain chainId="661b266bdcd2a30c72a6d801742c89cb9f803a15">
          <item id="503e88c69e237fd818f5591cd0043f21f81764f7" isNormal="1">
            <s:text>
              <s:r>
                <s:t xml:space="preserve">Administrator:
从PO0000149转入340PCS
从PO0000149转入2660PCS
</s:t>
              </s:r>
            </s:text>
          </item>
        </commentChain>
      </unresolved>
      <resolved/>
    </commentChains>
    <commentChains s:ref="AU382" rgbClr="FF0000">
      <unresolved>
        <commentChain chainId="440999bde4d36d947a6fa3cebbcaae8c8fa59228">
          <item id="d7fccf8c737c58ec87f23e2ad6a65997ae7c72c5" isNormal="1">
            <s:text>
              <s:r>
                <s:t xml:space="preserve">Administrator:
2500175 6/11 3000 pcs</s:t>
              </s:r>
            </s:text>
          </item>
        </commentChain>
      </unresolved>
      <resolved/>
    </commentChains>
    <commentChains s:ref="J383" rgbClr="FF0000">
      <unresolved>
        <commentChain chainId="6cb4559fc05497fcbd756a54de0985a639a42ab1">
          <item id="c52d298d6267b49d15c5e84c8a7ff8c187a0d524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383" rgbClr="FF0000">
      <unresolved>
        <commentChain chainId="3dd8a1c26f8a30def1186e65dc5c74e11abb5f67">
          <item id="35b07c3bbb9c9d2e74ace28fd958d57505faa628" isNormal="1">
            <s:text>
              <s:r>
                <s:t xml:space="preserve">Administrator:
2500290 6/1 600 pcs</s:t>
              </s:r>
            </s:text>
          </item>
        </commentChain>
      </unresolved>
      <resolved/>
    </commentChains>
    <commentChains s:ref="J384" rgbClr="FF0000">
      <unresolved>
        <commentChain chainId="ed1898010b5a29b775916da76fa57fcb237343a1">
          <item id="a78fe82fd0f473eed83fe600ff0c6ec8b741a77a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AU384" rgbClr="FF0000">
      <unresolved>
        <commentChain chainId="7cc9e4aa6916e7771929348cbee72c7322583e94">
          <item id="30355664c00681561997e2ae4d9a764afb3b0b99" isNormal="1">
            <s:text>
              <s:r>
                <s:t xml:space="preserve">Administrator:
2500173 6/10 348 pcs</s:t>
              </s:r>
            </s:text>
          </item>
        </commentChain>
      </unresolved>
      <resolved/>
    </commentChains>
    <commentChains s:ref="AU390" rgbClr="FF0000">
      <unresolved>
        <commentChain chainId="da08254b4831b1612d151216979f42fc91afa9de">
          <item id="eb98e94fbdf74e02a72d01ff8615eacd0e36c574" isNormal="1">
            <s:text>
              <s:r>
                <s:t xml:space="preserve">Administrator:
1403551 5/20 1440 pcs</s:t>
              </s:r>
            </s:text>
          </item>
        </commentChain>
      </unresolved>
      <resolved/>
    </commentChains>
    <commentChains s:ref="AU392" rgbClr="FF0000">
      <unresolved>
        <commentChain chainId="2921aa9501b365614a4001f28869193ca568eaf8">
          <item id="5bc9e7f0dd6ea116f2af231ca20e56072dc539c9" userID="1715258932" userName="严新荟" dateTime="2026-06-27T07:09:30" isNormal="0">
            <s:text>
              <s:r>
                <s:t xml:space="preserve">2200015 6/26 1800 PCS</s:t>
              </s:r>
            </s:text>
          </item>
        </commentChain>
      </unresolved>
      <resolved/>
    </commentChains>
    <commentChains s:ref="AU393" rgbClr="FF0000">
      <unresolved>
        <commentChain chainId="fa158d83c348808b53cce546ba631e7318fb3f2b">
          <item id="7785496ec54c83333ed5eeb96ecb8040ab9be406" userID="1715258932" userName="严新荟" dateTime="2026-06-27T07:09:51" isNormal="0">
            <s:text>
              <s:r>
                <s:t xml:space="preserve">2200016 6/26 660 PCS</s:t>
              </s:r>
            </s:text>
          </item>
        </commentChain>
      </unresolved>
      <resolved/>
    </commentChains>
    <commentChains s:ref="AU394" rgbClr="FF0000">
      <unresolved>
        <commentChain chainId="d2c96cbdaffa41c1c1d2d31d00b73e1a5872ea6a">
          <item id="0a2f784e2ff46a16fd99bb03c985911cb3feb7ee" isNormal="1">
            <s:text>
              <s:r>
                <s:t xml:space="preserve">Administrator:
1405885 5/14 1248 PCS </s:t>
              </s:r>
            </s:text>
          </item>
        </commentChain>
      </unresolved>
      <resolved/>
    </commentChains>
    <commentChains s:ref="AU395" rgbClr="FF0000">
      <unresolved>
        <commentChain chainId="a250ad8937343c4e9973cb8a3a9eeca3bb5841e5">
          <item id="b1bbc7972d7e57005d1ea81c03e252fd9565fd12" isNormal="1">
            <s:text>
              <s:r>
                <s:t xml:space="preserve">Administrator:
1403551 5/20 2400 pcs</s:t>
              </s:r>
            </s:text>
          </item>
        </commentChain>
      </unresolved>
      <resolved/>
    </commentChains>
    <commentChains s:ref="AU396" rgbClr="FF0000">
      <unresolved>
        <commentChain chainId="fb44d5642133a5f9430b32dd0eb9562f968b8c3e">
          <item id="00aacb13de7875fe42b27a980541ffd85f62856f" isNormal="1">
            <s:text>
              <s:r>
                <s:t xml:space="preserve">Administrator:
1403547 5/15 340 PCS </s:t>
              </s:r>
            </s:text>
          </item>
        </commentChain>
      </unresolved>
      <resolved/>
    </commentChains>
    <commentChains s:ref="AU397" rgbClr="FF0000">
      <unresolved>
        <commentChain chainId="4c899e52d9e27132284275522927197ee5cc48be">
          <item id="39e418d538c9def8b6b34d14b4b64e77dc2fe1f4" isNormal="1">
            <s:text>
              <s:r>
                <s:t xml:space="preserve">Administrator:
1403575 5/19 1776 pcs
1403562 5/23 24 pcs</s:t>
              </s:r>
            </s:text>
          </item>
        </commentChain>
      </unresolved>
      <resolved/>
    </commentChains>
    <commentChains s:ref="AU398" rgbClr="FF0000">
      <unresolved>
        <commentChain chainId="2ec09eddeac427be925db09a6c3dfb33f5888e1d">
          <item id="bfb149d8c5f6214e917e05bf42dbeeecf95007b5" isNormal="1">
            <s:text>
              <s:r>
                <s:t xml:space="preserve">Administrator:
1405885 5/14 660 PCS </s:t>
              </s:r>
            </s:text>
          </item>
        </commentChain>
      </unresolved>
      <resolved/>
    </commentChains>
    <commentChains s:ref="AU400" rgbClr="FF0000">
      <unresolved>
        <commentChain chainId="81517cba84688fd9cd583e5da4ea750c00e5141d">
          <item id="45b6ee7dc02a1e1188d79ead835f92c5dba8897c" userID="1715258932" userName="严新荟" dateTime="2026-06-18T05:48:41" isNormal="0">
            <s:text>
              <s:r>
                <s:t xml:space="preserve">2500351 6/17 13980 pcs
2500197 6/18 2010 pcs
2500211 6/20 744 pcs
2500203 6/20 3270 pcs</s:t>
              </s:r>
            </s:text>
          </item>
        </commentChain>
      </unresolved>
      <resolved/>
    </commentChains>
    <commentChains s:ref="AW401" rgbClr="FF0000">
      <unresolved>
        <commentChain chainId="19b516c96cbb359148a10889b47abadbf0b038a1">
          <item id="fdf36559bf556bb18c56825435f29e1ef2fa41e5" isNormal="1">
            <s:text>
              <s:r>
                <s:t xml:space="preserve">Administrator:
4/13 外箱贴纸 2168 pcs
     外箱黄色贴纸 </s:t>
              </s:r>
            </s:text>
          </item>
        </commentChain>
      </unresolved>
      <resolved/>
    </commentChains>
    <commentChains s:ref="J403" rgbClr="FF0000">
      <unresolved>
        <commentChain chainId="893551d6734b4065ff8ee43761511695e8d07156">
          <item id="2284c5fa70d9e42ebd51b04ba37980bfec477a9a" isNormal="1">
            <s:text>
              <s:r>
                <s:t xml:space="preserve">Administrator:
从PO0000177转入</s:t>
              </s:r>
            </s:text>
          </item>
        </commentChain>
      </unresolved>
      <resolved/>
    </commentChains>
    <commentChains s:ref="AU403" rgbClr="FF0000">
      <unresolved>
        <commentChain chainId="194093b402e8542947a2d3af1cf51362a27f4fee">
          <item id="cea1b289b0063502943d9c248844218522097685" userID="1715258932" userName="严新荟" dateTime="2026-06-16T02:07:08" isNormal="0">
            <s:text>
              <s:r>
                <s:t xml:space="preserve">2500301 6/15 1068 pcs</s:t>
              </s:r>
            </s:text>
          </item>
        </commentChain>
      </unresolved>
      <resolved/>
    </commentChains>
    <commentChains s:ref="AU404" rgbClr="FF0000">
      <unresolved>
        <commentChain chainId="d1739a86811ccbc3c366da599608e202d23406ca">
          <item id="ee858baa9b43e1ad5c4bffd5bb21be71fdfb3ffa" userID="1715258932" userName="严新荟" dateTime="2026-06-16T02:07:08" isNormal="0">
            <s:text>
              <s:r>
                <s:t xml:space="preserve">2500301 6/15 732 pcs</s:t>
              </s:r>
            </s:text>
          </item>
        </commentChain>
      </unresolved>
      <resolved/>
    </commentChains>
    <commentChains s:ref="J405" rgbClr="FF0000">
      <unresolved>
        <commentChain chainId="6d1f26ea9be71175112b0456956f405553b004db">
          <item id="078447552d97b6d3dc0113527c29b3eb826b3e9b" isNormal="1">
            <s:text>
              <s:r>
                <s:t xml:space="preserve">Administrator:
从PO0000149转入340PCS
从PO0000149转入2660PCS</s:t>
              </s:r>
            </s:text>
          </item>
        </commentChain>
      </unresolved>
      <resolved/>
    </commentChains>
    <commentChains s:ref="AU405" rgbClr="FF0000">
      <unresolved>
        <commentChain chainId="4ead2aa5df265c4667f578035cdc1bbb7aff0066">
          <item id="fa0de03d9ab1d813d3a0ad13a4a7fdb4bb12f906" userID="1715258932" userName="严新荟" dateTime="2026-06-16T02:18:03" isNormal="0">
            <s:text>
              <s:r>
                <s:t xml:space="preserve">2500323 6/15 3000 PCS</s:t>
              </s:r>
            </s:text>
          </item>
        </commentChain>
      </unresolved>
      <resolved/>
    </commentChains>
    <commentChains s:ref="J406" rgbClr="FF0000">
      <unresolved>
        <commentChain chainId="527305d079cdabe641f124c1837869e219d5f5dc">
          <item id="1c97a7eeeaeadd2644f95fc945b7cfeb64eb5247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406" rgbClr="FF0000">
      <unresolved>
        <commentChain chainId="0a75dd473b3d7d426c75aa39eba51eac1625e367">
          <item id="2d02bb2339b4e3f5241b153f0e8ab7b386c5567e" userID="1715258932" userName="严新荟" dateTime="2026-06-16T02:17:25" isNormal="0">
            <s:text>
              <s:r>
                <s:t xml:space="preserve">2500323 6/15 600 pcs</s:t>
              </s:r>
            </s:text>
          </item>
        </commentChain>
      </unresolved>
      <resolved/>
    </commentChains>
    <commentChains s:ref="J407" rgbClr="FF0000">
      <unresolved>
        <commentChain chainId="df142ea7a71fdc227862f6fa0ef74e565ea264a0">
          <item id="58964ee7cce6ad7c8575aa32b45661c5e2e29215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AU407" rgbClr="FF0000">
      <unresolved>
        <commentChain chainId="4af26271d30de59e304ff224074523e7d12817e7">
          <item id="f4f0078249811110aa5f690270ae3bce04995195" isNormal="1">
            <s:text>
              <s:r>
                <s:t xml:space="preserve">Administrator:
2500173 6/10 348 pcs</s:t>
              </s:r>
            </s:text>
          </item>
        </commentChain>
      </unresolved>
      <resolved/>
    </commentChains>
    <commentChains s:ref="AU411" rgbClr="FF0000">
      <unresolved>
        <commentChain chainId="16afaad3370436d1af0022de3fa148d26d3aaf1e">
          <item id="54517b6a7e863ee589ad3a6ba3e43fe09b564059" userID="1715258932" userName="严新荟" dateTime="2026-06-22T03:09:51" isNormal="0">
            <s:text>
              <s:r>
                <s:t xml:space="preserve">2500211 6/20 3360 pcs
2500203 6/20 8640 pcs</s:t>
              </s:r>
            </s:text>
          </item>
        </commentChain>
      </unresolved>
      <resolved/>
    </commentChains>
    <commentChains s:ref="AU412" rgbClr="FF0000">
      <unresolved>
        <commentChain chainId="1336f549e50925c089a03923ee3530d662520adc">
          <item id="73da0e4d13ce65b08a0d3d1bd1a6e1cdde53c7f8" userID="1715258932" userName="严新荟" dateTime="2026-06-18T06:19:24" isNormal="0">
            <s:text>
              <s:r>
                <s:t xml:space="preserve">2500349 6/17  24003 pcs</s:t>
              </s:r>
            </s:text>
          </item>
        </commentChain>
      </unresolved>
      <resolved/>
    </commentChains>
    <commentChains s:ref="AU413" rgbClr="FF0000">
      <unresolved>
        <commentChain chainId="7f10054b8c5e71b62f15f24210b602e9063e470f">
          <item id="6429b80bb47aae2228413224a18aac4d0099d77a" userID="1715258932" userName="严新荟" dateTime="2026-06-23T00:19:36" isNormal="0">
            <s:text>
              <s:r>
                <s:t xml:space="preserve">2500216 6/22 5544 PCS
2200004 6/23 900 PCS
2500221 6/23 4176 PCS
2200009 6/24 7380 pcs</s:t>
              </s:r>
            </s:text>
          </item>
        </commentChain>
      </unresolved>
      <resolved/>
    </commentChains>
    <commentChains s:ref="AU416" rgbClr="FF0000">
      <unresolved>
        <commentChain chainId="1adb197e9d2381554fe92d153fd7b86af3a4e5ec">
          <item id="830d222a9a2dbfe785a2ff369022cc215f63b95e" userID="1715258932" userName="严新荟" dateTime="2026-07-02T00:54:23" isNormal="0">
            <s:text>
              <s:r>
                <s:t xml:space="preserve">2200066 7/1 6000 pcs</s:t>
              </s:r>
            </s:text>
          </item>
        </commentChain>
      </unresolved>
      <resolved/>
    </commentChains>
    <commentChains s:ref="AU417" rgbClr="FF0000">
      <unresolved>
        <commentChain chainId="9de746522c39997973e1f35bec38b0c62f71d27b">
          <item id="ad5b5d5e7f97cb40189be6b7264a8f4ac9625104" userID="1715258932" userName="严新荟" dateTime="2026-06-29T07:30:15" isNormal="0">
            <s:text>
              <s:r>
                <s:t xml:space="preserve">2200017 6/27 2388 pcs
2500252 6/29 12 PCS</s:t>
              </s:r>
            </s:text>
          </item>
        </commentChain>
      </unresolved>
      <resolved/>
    </commentChains>
    <commentChains s:ref="AU418" rgbClr="FF0000">
      <unresolved>
        <commentChain chainId="153b99234c501787b80bc319086b44878235b62b">
          <item id="22dd5dc93408274562c77cc2271fc2a589c88dde" userID="1715258932" userName="严新荟" dateTime="2026-06-29T07:29:57" isNormal="0">
            <s:text>
              <s:r>
                <s:t xml:space="preserve">2200017 6/27 1200 pcs</s:t>
              </s:r>
            </s:text>
          </item>
        </commentChain>
      </unresolved>
      <resolved/>
    </commentChains>
    <commentChains s:ref="AU419" rgbClr="FF0000">
      <unresolved>
        <commentChain chainId="8712d2a1337b3f0e1a8e7915e2d86faacde7d238">
          <item id="5e6d4d28f1b8fe5ba368beacaf73324eae974b68" userID="1715258932" userName="严新荟" dateTime="2026-07-02T00:54:03" isNormal="0">
            <s:text>
              <s:r>
                <s:t xml:space="preserve">2200066 7/1 144 pcs
2500257 6/30 2856 pcs</s:t>
              </s:r>
            </s:text>
          </item>
        </commentChain>
      </unresolved>
      <resolved/>
    </commentChains>
    <commentChains s:ref="AU420" rgbClr="FF0000">
      <unresolved>
        <commentChain chainId="75a09105f2cb72cb5357ff6036d2e739634e9afe">
          <item id="5c2e069a605f4e59d8190f687b72582cc4cc963f" userID="1715258932" userName="严新荟" dateTime="2026-06-29T05:57:09" isNormal="0">
            <s:text>
              <s:r>
                <s:t xml:space="preserve">2200018 6/27 7200 pcs</s:t>
              </s:r>
            </s:text>
          </item>
        </commentChain>
      </unresolved>
      <resolved/>
    </commentChains>
    <commentChains s:ref="J421" rgbClr="FF0000">
      <unresolved>
        <commentChain chainId="323d1b264d641aa870888ab03b06afb719d0947b">
          <item id="4edfc9070675f0beb82e9eb2a07b2a4d5ea9abdb" isNormal="1">
            <s:text>
              <s:r>
                <s:t xml:space="preserve">Administrator:
从PO0000295转入</s:t>
              </s:r>
            </s:text>
          </item>
        </commentChain>
      </unresolved>
      <resolved/>
    </commentChains>
    <commentChains s:ref="AU421" rgbClr="FF0000">
      <unresolved>
        <commentChain chainId="cda01f58e2eb94df4b111dc23b1e337785255bf4">
          <item id="ad7d8a7e4dc5d58ed4daea1cebf7bf79097e24f8" userID="1715258932" userName="严新荟" dateTime="2026-06-16T02:08:35" isNormal="0">
            <s:text>
              <s:r>
                <s:t xml:space="preserve">2500301 6/15  1200  pcs</s:t>
              </s:r>
            </s:text>
          </item>
        </commentChain>
      </unresolved>
      <resolved/>
    </commentChains>
    <commentChains s:ref="AU431" rgbClr="FF0000">
      <unresolved>
        <commentChain chainId="f53b8a19039f2d43eb1f251d403852097e75f9a6">
          <item id="fcfbec46725ba541f186083f5836719c086f06e2" isNormal="1">
            <s:text>
              <s:r>
                <s:t xml:space="preserve">Administrator:
1405878 5/14 20976 PCS </s:t>
              </s:r>
            </s:text>
          </item>
        </commentChain>
      </unresolved>
      <resolved/>
    </commentChains>
    <commentChains s:ref="AU433" rgbClr="FF0000">
      <unresolved>
        <commentChain chainId="bdbaabb9f50b1ee54b7b78fdad52732e6e1861f1">
          <item id="a4d997fd9391ed8b480e2d307b8cef50e8c17107" userID="1715258932" userName="严新荟" dateTime="2026-06-15T00:25:34" isNormal="0">
            <s:text>
              <s:r>
                <s:t xml:space="preserve">2500319 6/13 14988 pcs
2500323 6/15 12 PCS</s:t>
              </s:r>
            </s:text>
          </item>
        </commentChain>
      </unresolved>
      <resolved/>
    </commentChains>
    <commentChains s:ref="AU434" rgbClr="FF0000">
      <unresolved>
        <commentChain chainId="e3e7f63348d9d0b368ac81c22523b6f43d02a755">
          <item id="35812e4fbd1da36a1a4b7d5cda365064c0b963b7" userID="1715258932" userName="严新荟" dateTime="2026-06-23T00:22:31" isNormal="0">
            <s:text>
              <s:r>
                <s:t xml:space="preserve">2500216 6/22 15000 PCS</s:t>
              </s:r>
            </s:text>
          </item>
        </commentChain>
      </unresolved>
      <resolved/>
    </commentChains>
    <commentChains s:ref="AU435" rgbClr="FF0000">
      <unresolved>
        <commentChain chainId="5a7e92cd808a9d1ee5ede34eda27fcb540774f42">
          <item id="d90dcf92f6c93d6e3826d370f749de15e0001248" userID="1715258932" userName="严新荟" dateTime="2026-06-22T03:09:21" isNormal="0">
            <s:text>
              <s:r>
                <s:t xml:space="preserve">2500211 6/20 4200 pcs</s:t>
              </s:r>
            </s:text>
          </item>
        </commentChain>
      </unresolved>
      <resolved/>
    </commentChains>
    <commentChains s:ref="AU436" rgbClr="FF0000">
      <unresolved>
        <commentChain chainId="9401ed8f097c45328a488c8f40c55d00fb450991">
          <item id="2e50b099a3fc0635dee3261bb6aa2d8706aec07c" userID="1715258932" userName="严新荟" dateTime="2026-06-16T02:07:08" isNormal="0">
            <s:text>
              <s:r>
                <s:t xml:space="preserve">2500301 6/15 1380 pcs</s:t>
              </s:r>
            </s:text>
          </item>
        </commentChain>
      </unresolved>
      <resolved/>
    </commentChains>
    <commentChains s:ref="AU437" rgbClr="FF0000">
      <unresolved>
        <commentChain chainId="e4dc3cfa987f09226c45853a45e79b8ad05e2f13">
          <item id="8c0acbd1565a5d5d062311ea94fcb4e33687b2ae" userID="1715258932" userName="严新荟" dateTime="2026-06-16T02:17:02" isNormal="0">
            <s:text>
              <s:r>
                <s:t xml:space="preserve">2500323 6/15 3864 pcs</s:t>
              </s:r>
            </s:text>
          </item>
        </commentChain>
      </unresolved>
      <resolved/>
    </commentChains>
    <commentChains s:ref="AU438" rgbClr="FF0000">
      <unresolved>
        <commentChain chainId="9944c68d4950520b53c7c1deed64032d89005c2b">
          <item id="302e5237881b7ad711160b24ea1d1a83d77a8b57" isNormal="1">
            <s:text>
              <s:r>
                <s:t xml:space="preserve">Administrator:
1405885 5/14 12480 PCS </s:t>
              </s:r>
            </s:text>
          </item>
        </commentChain>
      </unresolved>
      <resolved/>
    </commentChains>
    <commentChains s:ref="AU440" rgbClr="FF0000">
      <unresolved>
        <commentChain chainId="af8ceb48271a4112cc7ac66250b145dfb6a4126a">
          <item id="c848877d7f729fe77994c894d08bafbb52b810c9" isNormal="1">
            <s:text>
              <s:r>
                <s:t xml:space="preserve">Administrator:
2500294 6/2 16320 pcs
2500389 6/5 3632 pcs
2500386 6/4 4320 pcs
2500382 6/3 11040 pcs
2500157 6/8 9120 pcs
2500175 6/11 4368 PCS
2500172 6/10 2400 pcs</s:t>
              </s:r>
            </s:text>
          </item>
        </commentChain>
      </unresolved>
      <resolved/>
    </commentChains>
    <commentChains s:ref="AU441" rgbClr="FF0000">
      <unresolved>
        <commentChain chainId="cbd8cb0b111ef3b04c98253f7edf6e9f0feba123">
          <item id="47d1c8ba287280fe20f69f0d5103a20b5ed21bac" userID="1715258932" userName="严新荟" dateTime="2026-06-18T06:19:54" isNormal="0">
            <s:text>
              <s:r>
                <s:t xml:space="preserve">2500349 6/17  6720 pcs
2500197 6/18 2016 pcs
2500216 6/22 11280 PCS</s:t>
              </s:r>
            </s:text>
          </item>
        </commentChain>
      </unresolved>
      <resolved/>
    </commentChains>
    <commentChains s:ref="AU442" rgbClr="FF0000">
      <unresolved>
        <commentChain chainId="442068271f574ba81252a1df00f9591641b74999">
          <item id="d0c5c061cec98aee346fa3d18defdca6dfa695d9" userID="1715258932" userName="严新荟" dateTime="2026-07-03T06:10:18" isNormal="0">
            <s:text>
              <s:r>
                <s:t xml:space="preserve">2200073 7/2 5004 pcs</s:t>
              </s:r>
            </s:text>
          </item>
        </commentChain>
      </unresolved>
      <resolved/>
    </commentChains>
    <commentChains s:ref="AU443" rgbClr="FF0000">
      <unresolved>
        <commentChain chainId="c9206353914909d525c63f967535326f1a8ff0ba">
          <item id="7b7f72935ec5e94abb4387eae3c4020f44dcb3b7" userID="1715258932" userName="严新荟" dateTime="2026-07-04T06:26:30" isNormal="0">
            <s:text>
              <s:r>
                <s:t xml:space="preserve">2200086 7/3 4884 pcs
2200047 7/6 120 PCS</s:t>
              </s:r>
            </s:text>
          </item>
        </commentChain>
      </unresolved>
      <resolved/>
    </commentChains>
    <commentChains s:ref="AU444" rgbClr="FF0000">
      <unresolved>
        <commentChain chainId="00a17cc2f03c8cba946fc1a62608db6a118f6a4f">
          <item id="74d6a5d7b5e487c5f8cda903b3fd0269e8f04f70" userID="1715258932" userName="严新荟" dateTime="2026-06-20T00:52:52" isNormal="0">
            <s:text>
              <s:r>
                <s:t xml:space="preserve">2500197 6/18 1656 pcs
2500203 6/20 1104 pcs
2500216 6/22 2240 PCS</s:t>
              </s:r>
            </s:text>
          </item>
        </commentChain>
      </unresolved>
      <resolved/>
    </commentChains>
    <commentChains s:ref="AU445" rgbClr="FF0000">
      <unresolved>
        <commentChain chainId="1d8dd82e4d86bfa993953af54e3d5cdd78cab202">
          <item id="e7c10416e2001e95ec67ed7493b88a715a08fdcb" userID="1715258932" userName="严新荟" dateTime="2026-06-25T02:09:02" isNormal="0">
            <s:text>
              <s:r>
                <s:t xml:space="preserve">2200009 6/24  12006 pcs</s:t>
              </s:r>
            </s:text>
          </item>
        </commentChain>
      </unresolved>
      <resolved/>
    </commentChains>
    <commentChains s:ref="AU446" rgbClr="FF0000">
      <unresolved>
        <commentChain chainId="1bdae189a641710a9afb1073f5a9751eef584098">
          <item id="5359385f4b0d5eaf7eb495464e845727ff4b3429" userID="1715258932" userName="严新荟" dateTime="2026-07-04T06:15:19" isNormal="0">
            <s:text>
              <s:r>
                <s:t xml:space="preserve">2200086 7/3 7560 pcs
2200077 7/3 7560 pcs
2200047 7/6 2880 PCS</s:t>
              </s:r>
            </s:text>
          </item>
        </commentChain>
      </unresolved>
      <resolved/>
    </commentChains>
    <commentChains s:ref="AU447" rgbClr="FF0000">
      <unresolved>
        <commentChain chainId="da7085bd88bfa092dbb1ef9e0c0a1313aaf1692e">
          <item id="a61fed7a21028c545ef69575f0838160e6dc1267" userID="1715258932" userName="严新荟" dateTime="2026-07-02T01:40:33" isNormal="0">
            <s:text>
              <s:r>
                <s:t xml:space="preserve">2200054 6/30 8064 pcs
2200077 7/3 3024 pcs
2200091 7/6 912 PCS</s:t>
              </s:r>
            </s:text>
          </item>
        </commentChain>
      </unresolved>
      <resolved/>
    </commentChains>
    <commentChains s:ref="AU448" rgbClr="FF0000">
      <unresolved>
        <commentChain chainId="25ddc927b4cc65a6c3638dcd6e469c29a3d65031">
          <item id="acc0b2def9f4d68029915c0808ebf8c20468ff74" userID="1715258932" userName="严新荟" dateTime="2026-07-03T06:09:46" isNormal="0">
            <s:text>
              <s:r>
                <s:t xml:space="preserve">2200073 7/2 11976 pcs
2200091 7/6 24 PCS</s:t>
              </s:r>
            </s:text>
          </item>
        </commentChain>
      </unresolved>
      <resolved/>
    </commentChains>
    <commentChains s:ref="AU449" rgbClr="FF0000">
      <unresolved>
        <commentChain chainId="f3c341cc377bdbca28ad386128a1a202fb1d0636">
          <item id="0c13e0a9dbd25cc1d5bf5a62445c455c79bc0831" userID="1715258932" userName="严新荟" dateTime="2026-07-06T02:44:57" isNormal="0">
            <s:text>
              <s:r>
                <s:t xml:space="preserve">2200088 7/4 12096 pcs
2200091 7/6 23904 PCS</s:t>
              </s:r>
            </s:text>
          </item>
        </commentChain>
      </unresolved>
      <resolved/>
    </commentChains>
    <commentChains s:ref="AU453" rgbClr="FF0000">
      <unresolved>
        <commentChain chainId="5e8290f2cac1faa56531f4c1e355245e46c8b1f1">
          <item id="46b6897ca20309f5b9b7d709af94bc5c27f6e3dd" userID="1715258932" userName="严新荟" dateTime="2026-06-30T00:35:58" isNormal="0">
            <s:text>
              <s:r>
                <s:t xml:space="preserve">2500254 6/29 780 PCS</s:t>
              </s:r>
            </s:text>
          </item>
        </commentChain>
      </unresolved>
      <resolved/>
    </commentChains>
    <commentChains s:ref="AU454" rgbClr="FF0000">
      <unresolved>
        <commentChain chainId="50959523a51fd8ea6b78cc7e71293fb3021cabaf">
          <item id="2580cbc03986f6fa900a66b805b1d087e350ea52" userID="1715258932" userName="严新荟" dateTime="2026-06-30T00:35:58" isNormal="0">
            <s:text>
              <s:r>
                <s:t xml:space="preserve">2500254 6/29 720 PCS</s:t>
              </s:r>
            </s:text>
          </item>
        </commentChain>
      </unresolved>
      <resolved/>
    </commentChains>
    <commentChains s:ref="AU455" rgbClr="FF0000">
      <unresolved>
        <commentChain chainId="89319cff8848bd8dee4125606891d5c5af4ce001">
          <item id="762840b3b8d7fbff10664f999f69288905f7ab09" userID="1715258932" userName="严新荟" dateTime="2026-06-30T01:30:46" isNormal="0">
            <s:text>
              <s:r>
                <s:t xml:space="preserve">2500248 6/29 1894 PCS</s:t>
              </s:r>
            </s:text>
          </item>
        </commentChain>
      </unresolved>
      <resolved/>
    </commentChains>
    <commentChains s:ref="AU456" rgbClr="FF0000">
      <unresolved>
        <commentChain chainId="3f4761f2cbce728f21befb41cc8d844f8cee4292">
          <item id="b242c1b656dcd686802d8e662dd4f169b33c1c7a" userID="1715258932" userName="严新荟" dateTime="2026-06-29T07:27:57" isNormal="0">
            <s:text>
              <s:r>
                <s:t xml:space="preserve">2200017 6/27 600 pcs</s:t>
              </s:r>
            </s:text>
          </item>
        </commentChain>
      </unresolved>
      <resolved/>
    </commentChains>
    <commentChains s:ref="AU457" rgbClr="FF0000">
      <unresolved>
        <commentChain chainId="14be920bc21871c556d4554ecdf4eb56d74a2616">
          <item id="9241f2dfe3a347fb4cbb401f8119ea764b3be2c0" userID="1715258932" userName="严新荟" dateTime="2026-06-29T07:26:46" isNormal="0">
            <s:text>
              <s:r>
                <s:t xml:space="preserve">2200017 6/27 960 pcs</s:t>
              </s:r>
            </s:text>
          </item>
        </commentChain>
      </unresolved>
      <resolved/>
    </commentChains>
    <commentChains s:ref="AU458" rgbClr="FF0000">
      <unresolved>
        <commentChain chainId="caa536db65a1e203cb2509ccea09b4b13d27b00e">
          <item id="9bfd327235412d8098550d72271bb7e28dcf7cf6" userID="1715258932" userName="严新荟" dateTime="2026-06-29T05:58:31" isNormal="0">
            <s:text>
              <s:r>
                <s:t xml:space="preserve">2200018 6/27 400 pcs</s:t>
              </s:r>
            </s:text>
          </item>
        </commentChain>
      </unresolved>
      <resolved/>
    </commentChains>
    <commentChains s:ref="AU460" rgbClr="FF0000">
      <unresolved>
        <commentChain chainId="a95492065dfd528167c1b782f718eb713fe9f90b">
          <item id="2ad50f076aabaf431e1eb29795fe7731c315ef2d" userID="1715258932" userName="严新荟" dateTime="2026-06-29T03:35:25" isNormal="0">
            <s:text>
              <s:r>
                <s:t xml:space="preserve">2200020 6/27 480 pcs</s:t>
              </s:r>
            </s:text>
          </item>
        </commentChain>
      </unresolved>
      <resolved/>
    </commentChains>
    <commentChains s:ref="AU461" rgbClr="FF0000">
      <unresolved>
        <commentChain chainId="2c65fdbbae1f3736468cb9a814c83ba164e13126">
          <item id="4b62d9508e913a30e4a749847a2129066127802d" userID="1715258932" userName="严新荟" dateTime="2026-06-29T07:27:57" isNormal="0">
            <s:text>
              <s:r>
                <s:t xml:space="preserve">2200017 6/27 960 pcs</s:t>
              </s:r>
            </s:text>
          </item>
        </commentChain>
      </unresolved>
      <resolved/>
    </commentChains>
    <commentChains s:ref="AU462" rgbClr="FF0000">
      <unresolved>
        <commentChain chainId="bee6073435c87a87304931ac9fc22608b5ea98d0">
          <item id="1bd72f49568c59249af9beb1224d51deda9174ab" userID="1715258932" userName="严新荟" dateTime="2026-06-29T05:58:31" isNormal="0">
            <s:text>
              <s:r>
                <s:t xml:space="preserve">2200018 6/27 600 pcs</s:t>
              </s:r>
            </s:text>
          </item>
        </commentChain>
      </unresolved>
      <resolved/>
    </commentChains>
    <commentChains s:ref="AU463" rgbClr="FF0000">
      <unresolved>
        <commentChain chainId="dabe41572e47c006133bf4d2f1923b2ac14bb6e2">
          <item id="c4cfae878399e4bebf9d56bfb2fee9596aed00c2" userID="1715258932" userName="严新荟" dateTime="2026-07-02T00:54:55" isNormal="0">
            <s:text>
              <s:r>
                <s:t xml:space="preserve">2200066 7/1 228 pcs</s:t>
              </s:r>
            </s:text>
          </item>
        </commentChain>
      </unresolved>
      <resolved/>
    </commentChains>
    <commentChains s:ref="AU467" rgbClr="FF0000">
      <unresolved>
        <commentChain chainId="c4dc1a5265ab3b1df520020e7544d66e8badfea7">
          <item id="0ff13d939539e8b7ae3ebb3420e570cef996c254" isNormal="1">
            <s:text>
              <s:r>
                <s:t xml:space="preserve">Administrator:
2500389 6/5 20160 pcs
2500356 6/6 2112 pcs
</s:t>
              </s:r>
            </s:text>
          </item>
        </commentChain>
      </unresolved>
      <resolved/>
    </commentChains>
    <commentChains s:ref="AU468" rgbClr="FF0000">
      <unresolved>
        <commentChain chainId="32f2c94e93cf1cc565ae6e4c3dd725e58080fae9">
          <item id="d5afe049b521b4f12c2a669776ea0019854ac0dd" userID="1715258932" userName="严新荟" dateTime="2026-07-07T00:51:07" isNormal="0">
            <s:text>
              <s:r>
                <s:t xml:space="preserve">2200049 7/6 6828 pcs
2200051 7/8 576 pcs</s:t>
              </s:r>
            </s:text>
          </item>
        </commentChain>
      </unresolved>
      <resolved/>
    </commentChains>
    <commentChains s:ref="AU470" rgbClr="FF0000">
      <unresolved>
        <commentChain chainId="7812f07bac56fd1c8257d27b3938f9897398c430">
          <item id="ff08386e7239839e9c3696876627861e12cdc09b" userID="1715258932" userName="严新荟" dateTime="2026-06-25T02:09:02" isNormal="0">
            <s:text>
              <s:r>
                <s:t xml:space="preserve">2200009 6/24  8640 pcs
2200011 6/25 3360 pcs</s:t>
              </s:r>
            </s:text>
          </item>
        </commentChain>
      </unresolved>
      <resolved/>
    </commentChains>
    <commentChains s:ref="AU471" rgbClr="FF0000">
      <unresolved>
        <commentChain chainId="b55b1367aa3a51dd95b4eee026dff1acc7388dd6">
          <item id="97d157926f32d20b35393719e0f36b2f66c03fad" userID="1715258932" userName="严新荟" dateTime="2026-06-26T02:40:53" isNormal="0">
            <s:text>
              <s:r>
                <s:t xml:space="preserve">2200030 6/25 4500 pcs
2200016 6/26 3300 PCS
2200035 6/26 2820 pcs
2200019 6/27 1380 pcs</s:t>
              </s:r>
            </s:text>
          </item>
        </commentChain>
      </unresolved>
      <resolved/>
    </commentChains>
    <commentChains s:ref="AU472" rgbClr="FF0000">
      <unresolved>
        <commentChain chainId="b5f082cd9477762daeb9b046f9be4e95ea261104">
          <item id="57f031e59a669a63561ba3b0cc5a65dd7fe62703" userID="1715258932" userName="严新荟" dateTime="2026-06-29T03:36:32" isNormal="0">
            <s:text>
              <s:r>
                <s:t xml:space="preserve">2200020 6/27 12000 pcs</s:t>
              </s:r>
            </s:text>
          </item>
        </commentChain>
      </unresolved>
      <resolved/>
    </commentChains>
    <commentChains s:ref="AU474" rgbClr="FF0000">
      <unresolved>
        <commentChain chainId="04f3d180d71c3a51c2eddf8051f1e91172136e1d">
          <item id="cbb6e293fc28570e34179b14ee78cdfc2709eb15" isNormal="1">
            <s:text>
              <s:r>
                <s:t xml:space="preserve">Administrator:
2500294 6/2 4272 pcs</s:t>
              </s:r>
            </s:text>
          </item>
        </commentChain>
      </unresolved>
      <resolved/>
    </commentChains>
    <commentChains s:ref="AU476" rgbClr="FF0000">
      <unresolved>
        <commentChain chainId="3c8226f4fec6c9f7ce48e20ea4f00e1c719d4d49">
          <item id="8f58abe2ddb1a3e77ed0dcd8863767b98136d1f8" userID="1715258932" userName="严新荟" dateTime="2026-06-25T02:08:04" isNormal="0">
            <s:text>
              <s:r>
                <s:t xml:space="preserve">2200009 6/24 19992 pcs
2500252 6/29 24 PCS</s:t>
              </s:r>
            </s:text>
          </item>
        </commentChain>
      </unresolved>
      <resolved/>
    </commentChains>
    <commentChains s:ref="AU477" rgbClr="FF0000">
      <unresolved>
        <commentChain chainId="59db1f1567f18a50786522871feeb1a8a3d3c6b7">
          <item id="144de5a03ad398170b9f9a8abee537d39dc8f239" userID="1715258932" userName="严新荟" dateTime="2026-07-02T00:55:24" isNormal="0">
            <s:text>
              <s:r>
                <s:t xml:space="preserve">2200066 7/1 10512 pcs</s:t>
              </s:r>
            </s:text>
          </item>
        </commentChain>
      </unresolved>
      <resolved/>
    </commentChains>
    <commentChains s:ref="AU478" rgbClr="FF0000">
      <unresolved>
        <commentChain chainId="b90c47eac136643b30a8ae579d5dbcd2bf6fef9b">
          <item id="41861846daea205a85b5d59bba855c81d6ebf63b" userID="1715258932" userName="严新荟" dateTime="2026-07-03T06:16:49" isNormal="0">
            <s:text>
              <s:r>
                <s:t xml:space="preserve">2200073 7/2 23028 pcs
2200086 7/3 11520 pcs
2200088 7/4 28800 pcs</s:t>
              </s:r>
            </s:text>
          </item>
        </commentChain>
      </unresolved>
      <resolved/>
    </commentChains>
    <commentChains s:ref="J479" rgbClr="FF0000">
      <unresolved>
        <commentChain chainId="11f3ccd7ba37452938b90b7c759d735b6c783904">
          <item id="3006743e1b3fea08bbedfd674220bd1bd67acb38" isNormal="1">
            <s:text>
              <s:r>
                <s:t xml:space="preserve">Administrator:
从PO0000216转入</s:t>
              </s:r>
            </s:text>
          </item>
        </commentChain>
      </unresolved>
      <resolved/>
    </commentChains>
    <commentChains s:ref="AU480" rgbClr="FF0000">
      <unresolved>
        <commentChain chainId="14fa62d65c921016d0493a18b70703272e11f231">
          <item id="8c26a30cb8996b211df8887dd627b9d3ea8007dd" userID="1715258932" userName="严新荟" dateTime="2026-06-29T05:57:40" isNormal="0">
            <s:text>
              <s:r>
                <s:t xml:space="preserve">2200018 6/27 604 pcs</s:t>
              </s:r>
            </s:text>
          </item>
        </commentChain>
      </unresolved>
      <resolved/>
    </commentChains>
    <commentChains s:ref="AU481" rgbClr="FF0000">
      <unresolved>
        <commentChain chainId="709f5d9b544c5f62727cd0432b9797332e04e29a">
          <item id="9eb6b910a8d6fb9a5159b726d577e418026311d8" userID="1715258932" userName="严新荟" dateTime="2026-06-30T01:09:29" isNormal="0">
            <s:text>
              <s:r>
                <s:t xml:space="preserve">2200025 6/29 480 PCS</s:t>
              </s:r>
            </s:text>
          </item>
        </commentChain>
      </unresolved>
      <resolved/>
    </commentChains>
    <commentChains s:ref="AU482" rgbClr="FF0000">
      <unresolved>
        <commentChain chainId="f42146bb34123b1eeec89b72bf0d088ab4589a50">
          <item id="7422a0eb754d7edf8a1ef2b23ce111c95fcaf273" userID="1715258932" userName="严新荟" dateTime="2026-06-29T06:01:07" isNormal="0">
            <s:text>
              <s:r>
                <s:t xml:space="preserve">2200019 6/27 792 pcs</s:t>
              </s:r>
            </s:text>
          </item>
        </commentChain>
      </unresolved>
      <resolved/>
    </commentChains>
    <commentChains s:ref="AU484" rgbClr="FF0000">
      <unresolved>
        <commentChain chainId="3f1b6a7728b0c93a886ce7c806eccbae0c356ee8">
          <item id="c35566744d9c74da8c0e9ee77a7482041f76e7e2" userID="1715258932" userName="严新荟" dateTime="2026-06-25T02:09:57" isNormal="0">
            <s:text>
              <s:r>
                <s:t xml:space="preserve">2200009 6/24 4464 pcs
2200011 6/25 48 pcs</s:t>
              </s:r>
            </s:text>
          </item>
        </commentChain>
      </unresolved>
      <resolved/>
    </commentChains>
    <commentChains s:ref="AU485" rgbClr="FF0000">
      <unresolved>
        <commentChain chainId="dc68deec1b1c30353799aaa714a6f711cfcc9ba3">
          <item id="fc6884dc95155523508b483e799e4a8bcfefd1f5" userID="1715258932" userName="严新荟" dateTime="2026-06-29T03:26:38" isNormal="0">
            <s:text>
              <s:r>
                <s:t xml:space="preserve">2200023 6/27 4392 pcs</s:t>
              </s:r>
            </s:text>
          </item>
        </commentChain>
      </unresolved>
      <resolved/>
    </commentChains>
    <commentChains s:ref="AU486" rgbClr="FF0000">
      <unresolved>
        <commentChain chainId="c3e1911d68070fe58c5448227ba09acacacf8f5a">
          <item id="164fbf2448d5b4eac07b857c03c8b998ea81224e" userID="1715258932" userName="严新荟" dateTime="2026-06-29T07:30:49" isNormal="0">
            <s:text>
              <s:r>
                <s:t xml:space="preserve">2200017 6/27 1980 pcs
2500252 6/29 6 PCS</s:t>
              </s:r>
            </s:text>
          </item>
        </commentChain>
      </unresolved>
      <resolved/>
    </commentChains>
    <commentChains s:ref="AU487" rgbClr="FF0000">
      <unresolved>
        <commentChain chainId="4282a8850f0241238b2022b5e7d5c836558321b9">
          <item id="6be1fa8337d0adb68777b37aee4ee4149d7697fc" userID="1715258932" userName="严新荟" dateTime="2026-06-26T02:46:07" isNormal="0">
            <s:text>
              <s:r>
                <s:t xml:space="preserve">2200011 6/25 2688 pcs
2200016 6/26 48 PCS</s:t>
              </s:r>
            </s:text>
          </item>
        </commentChain>
      </unresolved>
      <resolved/>
    </commentChains>
    <commentChains s:ref="AU489" rgbClr="FF0000">
      <unresolved>
        <commentChain chainId="7968cfe946afbb4fe99736ff50e8dec8103ba634">
          <item id="3215e76e22432f327cafd43c56bb98730f6ead68" userID="1715258932" userName="严新荟" dateTime="2026-06-29T05:59:36" isNormal="0">
            <s:text>
              <s:r>
                <s:t xml:space="preserve">2200018 6/27 1600 pcs</s:t>
              </s:r>
            </s:text>
          </item>
        </commentChain>
      </unresolved>
      <resolved/>
    </commentChains>
    <commentChains s:ref="AU490" rgbClr="FF0000">
      <unresolved>
        <commentChain chainId="2ff4f2f4adce268ffd035da2a6964dea6b3b2644">
          <item id="39f9a05c11c5d59ca545bad58a9981b3fa0e9752" userID="1715258932" userName="严新荟" dateTime="2026-06-29T06:00:42" isNormal="0">
            <s:text>
              <s:r>
                <s:t xml:space="preserve">2200018 6/27 2016 pcs</s:t>
              </s:r>
            </s:text>
          </item>
        </commentChain>
      </unresolved>
      <resolved/>
    </commentChains>
    <commentChains s:ref="AU494" rgbClr="FF0000">
      <unresolved>
        <commentChain chainId="da3d95e779d7429b66a424e53bfcdec3e57fb0e7">
          <item id="eaa454699e989d556e50c73fc2583d8a7b144466" isNormal="1">
            <s:text>
              <s:r>
                <s:t xml:space="preserve">Administrator:
2500177 6/11 12012 pcs</s:t>
              </s:r>
            </s:text>
          </item>
        </commentChain>
      </unresolved>
      <resolved/>
    </commentChains>
    <commentChains s:ref="AU495" rgbClr="FF0000">
      <unresolved>
        <commentChain chainId="2357795c6fccd45170579b7f8079c559625aabe6">
          <item id="2898332547a6f718d32416505c143c2d292e48c6" userID="1715258932" userName="严新荟" dateTime="2026-06-27T07:25:24" isNormal="0">
            <s:text>
              <s:r>
                <s:t xml:space="preserve">2200035 6/26 22992 pcs</s:t>
              </s:r>
            </s:text>
          </item>
        </commentChain>
      </unresolved>
      <resolved/>
    </commentChains>
    <commentChains s:ref="AU496" rgbClr="FF0000">
      <unresolved>
        <commentChain chainId="958786f47b187856c3da04873685db902d9b321c">
          <item id="70d2a01ce420b78c9932880fd307a56160061e65" isNormal="1">
            <s:text>
              <s:r>
                <s:t xml:space="preserve">Administrator:
2500157 6/8 7920 pcs
2500172 6/10 2088 pcs</s:t>
              </s:r>
            </s:text>
          </item>
        </commentChain>
      </unresolved>
      <resolved/>
    </commentChains>
    <commentChains s:ref="AU497" rgbClr="FF0000">
      <unresolved>
        <commentChain chainId="6a39d3db872ff888dd6b4828167f8787a19542bb">
          <item id="3597ef5431f69a889a6bb21b6861e76a464330ec" userID="1715258932" userName="严新荟" dateTime="2026-06-23T00:20:16" isNormal="0">
            <s:text>
              <s:r>
                <s:t xml:space="preserve">2500216 6/22 3312 PCS
2200008 6/24 1104 pcs
2200011 6/25 2084 pcs</s:t>
              </s:r>
            </s:text>
          </item>
        </commentChain>
      </unresolved>
      <resolved/>
    </commentChains>
    <commentChains s:ref="AU500" rgbClr="FF0000">
      <unresolved>
        <commentChain chainId="a05bdb913763541de7ad7ede5753604bf7cb2f41">
          <item id="1b6f3305bd357976e74c1df123803c1cc35ad446" userID="1715258932" userName="严新荟" dateTime="2026-06-29T06:02:47" isNormal="0">
            <s:text>
              <s:r>
                <s:t xml:space="preserve">2200019 6/27 9984 pcs</s:t>
              </s:r>
            </s:text>
          </item>
        </commentChain>
      </unresolved>
      <resolved/>
    </commentChains>
    <commentChains s:ref="AU504" rgbClr="FF0000">
      <unresolved>
        <commentChain chainId="6de4205a3da53aff6258fd090dc38203db7370ea">
          <item id="622adc411de2957f16eb8592ef764aad47ab6ec7" userID="1715258932" userName="严新荟" dateTime="2026-06-29T06:46:33" isNormal="0">
            <s:text>
              <s:r>
                <s:t xml:space="preserve">2200020 6/27 2016 pcs</s:t>
              </s:r>
            </s:text>
          </item>
        </commentChain>
      </unresolved>
      <resolved/>
    </commentChains>
    <commentChains s:ref="AU505" rgbClr="FF0000">
      <unresolved>
        <commentChain chainId="ded6607ecff66ac60fe76dea30cdd84c25812dbf">
          <item id="1d716cad44c43c05269fe06289d068082e36d1f0" userID="1715258932" userName="严新荟" dateTime="2026-06-23T00:22:01" isNormal="0">
            <s:text>
              <s:r>
                <s:t xml:space="preserve">2500216 6/22 1008 PCS</s:t>
              </s:r>
            </s:text>
          </item>
        </commentChain>
      </unresolved>
      <resolved/>
    </commentChains>
    <commentChains s:ref="AW506" rgbClr="FF0000">
      <unresolved>
        <commentChain chainId="5dc08a19e13d1ae432dbf75d2e4d3d2c30747253">
          <item id="2f05c87fc24d044c2fe077c4e5500cfd3c4808a7" userID="1715258932" userName="严新荟" dateTime="2026-06-16T06:50:05" isNormal="0">
            <s:text>
              <s:r>
                <s:t xml:space="preserve">6/15  2500 PCS</s:t>
              </s:r>
            </s:text>
          </item>
        </commentChain>
      </unresolved>
      <resolved/>
    </commentChains>
    <commentChains s:ref="AU507" rgbClr="FF0000">
      <unresolved>
        <commentChain chainId="be67dbedc57f570b9590e4b2b2922c56f9547761">
          <item id="5ccf8965e6a35dc32c26938048fc60869c2cc1b1" userID="1715258932" userName="严新荟" dateTime="2026-07-06T02:46:25" isNormal="0">
            <s:text>
              <s:r>
                <s:t xml:space="preserve">2200088 7/4 720 pcs</s:t>
              </s:r>
            </s:text>
          </item>
        </commentChain>
      </unresolved>
      <resolved/>
    </commentChains>
    <commentChains s:ref="AW507" rgbClr="FF0000">
      <unresolved>
        <commentChain chainId="f48d63bbdc8082dcef1376a6bf8edc931fd13c27">
          <item id="05d69e0a4923196edbc8133e72a54d5e63adff40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W508" rgbClr="FF0000">
      <unresolved>
        <commentChain chainId="97264ff8748d6524adb3176d8b927f2d10abbffa">
          <item id="ec6258b4e2cff257ea3a520bffcdb651ab75265a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09" rgbClr="FF0000">
      <unresolved>
        <commentChain chainId="73195c94a83e9bb42907b9c3ab53a7fa1929c6d7">
          <item id="7255ca4531e7c995817d32d64138fc0b7416a7b0" userID="1715258932" userName="严新荟" dateTime="2026-06-29T07:25:07" isNormal="0">
            <s:text>
              <s:r>
                <s:t xml:space="preserve">2200019 6/27 1080 pcs</s:t>
              </s:r>
            </s:text>
          </item>
        </commentChain>
      </unresolved>
      <resolved/>
    </commentChains>
    <commentChains s:ref="AW509" rgbClr="FF0000">
      <unresolved>
        <commentChain chainId="66f46131dae5c01e0b9ee8cfa5838096f27dd526">
          <item id="131abde081d653310f9ca0b961d591c8a2332d77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0" rgbClr="FF0000">
      <unresolved>
        <commentChain chainId="838122abfe28a414567f6628135f6ef7c1440e7b">
          <item id="50da272607248f2a38bd6b2e4d62a350a77f673d" userID="1715258932" userName="严新荟" dateTime="2026-07-02T01:47:06" isNormal="0">
            <s:text>
              <s:r>
                <s:t xml:space="preserve">2500257 6/30 936 pcs
2500237 7/7 24 pcs</s:t>
              </s:r>
            </s:text>
          </item>
        </commentChain>
      </unresolved>
      <resolved/>
    </commentChains>
    <commentChains s:ref="AW510" rgbClr="FF0000">
      <unresolved>
        <commentChain chainId="b87d7103f9a672a13f311d84c75f24fbf2e4fbe8">
          <item id="1e7965d8bb2379afeaf9c57d3bf74230333418fb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1" rgbClr="FF0000">
      <unresolved>
        <commentChain chainId="0e14a08f369a016de1bb853ad4e8794a61ddf17e">
          <item id="45ff78446daabec62a6320565662bd1e7cd33991" userID="1715258932" userName="严新荟" dateTime="2026-06-30T01:03:38" isNormal="0">
            <s:text>
              <s:r>
                <s:t xml:space="preserve">2200025 6/29 960 PCS</s:t>
              </s:r>
            </s:text>
          </item>
        </commentChain>
      </unresolved>
      <resolved/>
    </commentChains>
    <commentChains s:ref="AW511" rgbClr="FF0000">
      <unresolved>
        <commentChain chainId="8ec8bf8fb7fa314ea2b557c7ee6d06eedee38780">
          <item id="31f2270c6ce0b5c00809303ce3d0db4d3d009416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2" rgbClr="FF0000">
      <unresolved>
        <commentChain chainId="412b4b15a37598fa378e03145fec00c84dbfb1ba">
          <item id="17f937b5535fdb284c219fe9d300b64e675bb527" userID="1715258932" userName="严新荟" dateTime="2026-06-29T06:01:43" isNormal="0">
            <s:text>
              <s:r>
                <s:t xml:space="preserve">2200019 6/27 720 pcs</s:t>
              </s:r>
            </s:text>
          </item>
        </commentChain>
      </unresolved>
      <resolved/>
    </commentChains>
    <commentChains s:ref="AW512" rgbClr="FF0000">
      <unresolved>
        <commentChain chainId="dca544f92ed1a5798dee0e213874a29ffdbdf9b8">
          <item id="a575889026e53c9e61ce206dc3567c6a6d3d51f5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3" rgbClr="FF0000">
      <unresolved>
        <commentChain chainId="497f3391ba7245d3681ed0ce4d2ab87813665c3a">
          <item id="22a3e4cd0dea83c927ea78aa31278793d4462084" userID="1715258932" userName="严新荟" dateTime="2026-06-30T01:33:24" isNormal="0">
            <s:text>
              <s:r>
                <s:t xml:space="preserve">2500248 6/29 900 PCS</s:t>
              </s:r>
            </s:text>
          </item>
        </commentChain>
      </unresolved>
      <resolved/>
    </commentChains>
    <commentChains s:ref="AW513" rgbClr="FF0000">
      <unresolved>
        <commentChain chainId="c86fd48101807b8d9f0e0b4ef3895475101dfdb2">
          <item id="21397a478a26e9b5785df5c0d1d402fb88d6da66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4" rgbClr="FF0000">
      <unresolved>
        <commentChain chainId="18838735ca3288577097d69c38f264a4404a11a6">
          <item id="1111446414645fde61774bff830708959aa3dd2d" userID="1715258932" userName="严新荟" dateTime="2026-06-30T01:12:11" isNormal="0">
            <s:text>
              <s:r>
                <s:t xml:space="preserve">2200025 6/29 500 PCS</s:t>
              </s:r>
            </s:text>
          </item>
        </commentChain>
      </unresolved>
      <resolved/>
    </commentChains>
    <commentChains s:ref="AW514" rgbClr="FF0000">
      <unresolved>
        <commentChain chainId="e80b47badee38f1fec7892477a80e758e551a7a3">
          <item id="9818ea39e4dabcf97b75132cb4775fa6ae2d21a0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W515" rgbClr="FF0000">
      <unresolved>
        <commentChain chainId="bea40fea698c8f28861786f79c231f8f9137a4b1">
          <item id="ded798f5f382875514b8a8cfe1bfb46d7b9ea64d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6" rgbClr="FF0000">
      <unresolved>
        <commentChain chainId="61aaf410c2af10f63a2383c1847e5ec7e6ad74bd">
          <item id="1f77875ce73cd517b772e40b05ebae9321ddf978" userID="1715258932" userName="严新荟" dateTime="2026-06-29T06:04:09" isNormal="0">
            <s:text>
              <s:r>
                <s:t xml:space="preserve">2200019 6/27 720 pcs</s:t>
              </s:r>
            </s:text>
          </item>
        </commentChain>
      </unresolved>
      <resolved/>
    </commentChains>
    <commentChains s:ref="AW516" rgbClr="FF0000">
      <unresolved>
        <commentChain chainId="4cafaa319eaadc66a9fb3a4f533bcb1b42f0f37e">
          <item id="1cb931a578eec0308bcbb0aa0c793e9046ad4a88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7" rgbClr="FF0000">
      <unresolved>
        <commentChain chainId="1c455bd1f82fb6f93ccd93862c4f35bae4b0197a">
          <item id="8e847605dc5dd4c974be2c17f2ccc33c6922a796" userID="1715258932" userName="严新荟" dateTime="2026-06-30T00:44:41" isNormal="0">
            <s:text>
              <s:r>
                <s:t xml:space="preserve">2500252 6/29 600 PCS</s:t>
              </s:r>
            </s:text>
          </item>
        </commentChain>
      </unresolved>
      <resolved/>
    </commentChains>
    <commentChains s:ref="AW517" rgbClr="FF0000">
      <unresolved>
        <commentChain chainId="a1dd4be85bcda3e652a22ba3734ed18c24eb8ae5">
          <item id="6edded596886cff598433c5a71d6e5845e8d7b29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8" rgbClr="FF0000">
      <unresolved>
        <commentChain chainId="9244115e29d28636aa9315fb561569ba90aadd4d">
          <item id="608d42fd469711c72c3fcd6d9142a63ae0476f13" userID="1715258932" userName="严新荟" dateTime="2026-06-29T07:27:20" isNormal="0">
            <s:text>
              <s:r>
                <s:t xml:space="preserve">2200017 6/27 936 pcs</s:t>
              </s:r>
            </s:text>
          </item>
        </commentChain>
      </unresolved>
      <resolved/>
    </commentChains>
    <commentChains s:ref="AW518" rgbClr="FF0000">
      <unresolved>
        <commentChain chainId="083cee82d0de146a6b44b0d39881d008d2a1e9d6">
          <item id="316fb1770af0bb377876ad86baf32aaa17a372d2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19" rgbClr="FF0000">
      <unresolved>
        <commentChain chainId="36e3538de11d94a9a1b27145109b84b02e1489e9">
          <item id="6db1f7d474fb147db98ecfc63e724fb7c4629a63" userID="1715258932" userName="严新荟" dateTime="2026-06-30T01:01:55" isNormal="0">
            <s:text>
              <s:r>
                <s:t xml:space="preserve">2200025 6/29 696 PCS</s:t>
              </s:r>
            </s:text>
          </item>
        </commentChain>
      </unresolved>
      <resolved/>
    </commentChains>
    <commentChains s:ref="AW519" rgbClr="FF0000">
      <unresolved>
        <commentChain chainId="c569593eb0b1d6f1aa8be8e9d699ed9031087059">
          <item id="8a103393d98919e24d91db12802a0a8f4d3a1f08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20" rgbClr="FF0000">
      <unresolved>
        <commentChain chainId="d5e229699caf6785e38360c39ea0c4dc149987a2">
          <item id="5a28cd75e4e2a8a55d29dd30febcdafe63786e74" userID="1715258932" userName="严新荟" dateTime="2026-06-29T06:00:14" isNormal="0">
            <s:text>
              <s:r>
                <s:t xml:space="preserve">2200018 6/27 480 pcs</s:t>
              </s:r>
            </s:text>
          </item>
        </commentChain>
      </unresolved>
      <resolved/>
    </commentChains>
    <commentChains s:ref="AW520" rgbClr="FF0000">
      <unresolved>
        <commentChain chainId="ca9e521277c02f82706472d2bcda86df4620e24f">
          <item id="a895732244e1c1b5d254cb1d1c95178be14287e5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21" rgbClr="FF0000">
      <unresolved>
        <commentChain chainId="34c8767dfb8fe10bc204a433d8995856127230a3">
          <item id="9e7d0b710830155c3b47a92022a33bb426ee3fa9" userID="1715258932" userName="严新荟" dateTime="2026-06-29T05:56:42" isNormal="0">
            <s:text>
              <s:r>
                <s:t xml:space="preserve">2200018 6/26 720 pcs</s:t>
              </s:r>
            </s:text>
          </item>
        </commentChain>
      </unresolved>
      <resolved/>
    </commentChains>
    <commentChains s:ref="AW521" rgbClr="FF0000">
      <unresolved>
        <commentChain chainId="4986f8343ba1c9845c1efc1ad42ac59f18e187b8">
          <item id="b16d2e14ba47707c7ea3a96a5e466126a21966cf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22" rgbClr="FF0000">
      <unresolved>
        <commentChain chainId="a69fe8b8d3962d732ec5ce547fc736f5ea8f93db">
          <item id="0a5fac334569b38f3c37f89d0d49392d888ac914" userID="1715258932" userName="严新荟" dateTime="2026-06-30T00:35:10" isNormal="0">
            <s:text>
              <s:r>
                <s:t xml:space="preserve">2500254 6/29 360 PCS</s:t>
              </s:r>
            </s:text>
          </item>
        </commentChain>
      </unresolved>
      <resolved/>
    </commentChains>
    <commentChains s:ref="AW522" rgbClr="FF0000">
      <unresolved>
        <commentChain chainId="8c97aebe78af49688b7e15aff1013c7481b9bace">
          <item id="e435bb7ddcacf73ca6cdec661346609404d979d7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23" rgbClr="FF0000">
      <unresolved>
        <commentChain chainId="58c8d11ebcd208d8e881ae0d582a18ed47d9019f">
          <item id="d927245a5487d8f682d54210e4b296408f00ad5b" userID="1715258932" userName="严新荟" dateTime="2026-06-29T07:29:28" isNormal="0">
            <s:text>
              <s:r>
                <s:t xml:space="preserve">2200017 6/27 480 pcs</s:t>
              </s:r>
            </s:text>
          </item>
        </commentChain>
      </unresolved>
      <resolved/>
    </commentChains>
    <commentChains s:ref="AW523" rgbClr="FF0000">
      <unresolved>
        <commentChain chainId="a361c9f2885dc2ee00d5f1049c7539d16f67d624">
          <item id="029b443a0b6b648191d955f9ae735e2e085343b4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24" rgbClr="FF0000">
      <unresolved>
        <commentChain chainId="ba613dc2db88ea0dff56109fb691a1b6a8ec7a9f">
          <item id="1f7874a16f6e1f96be77a82a73529c6d95bf3f29" userID="1715258932" userName="严新荟" dateTime="2026-06-30T01:02:26" isNormal="0">
            <s:text>
              <s:r>
                <s:t xml:space="preserve">2200025 6/29 360 PCS</s:t>
              </s:r>
            </s:text>
          </item>
        </commentChain>
      </unresolved>
      <resolved/>
    </commentChains>
    <commentChains s:ref="AW524" rgbClr="FF0000">
      <unresolved>
        <commentChain chainId="2e31763fd08188ed373ecd6928a25fc6c33f30a9">
          <item id="9ade0d87c8974aeead18d45f284bedc965f6ae35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W525" rgbClr="FF0000">
      <unresolved>
        <commentChain chainId="553f5b60297aa139a5a159ac014d6eba182f83a8">
          <item id="e96242d5bb74668851b55c567c726e2ee371cce8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W526" rgbClr="FF0000">
      <unresolved>
        <commentChain chainId="db3b7fc11a6303a28e4259d32fa2cd78e349c409">
          <item id="9222deebfc53671657e8f5bf7b6323ee3b5dd747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W527" rgbClr="FF0000">
      <unresolved>
        <commentChain chainId="5ef1d277d0ff621084eb51b219b8346f5cefe6d2">
          <item id="dbc57a8bc84b3397b66584bc02b272883b6395d9" userID="1715258932" userName="严新荟" dateTime="2026-06-16T07:07:27" isNormal="0">
            <s:text>
              <s:r>
                <s:t xml:space="preserve">6/15  SR手链贴纸 16250 pcs</s:t>
              </s:r>
            </s:text>
          </item>
        </commentChain>
      </unresolved>
      <resolved/>
    </commentChains>
    <commentChains s:ref="AU529" rgbClr="FF0000">
      <unresolved>
        <commentChain chainId="9b203a939754d1caad227db30c3b93978d3e5914">
          <item id="7b3f00bb8d06219e2679f45bddc6286cd66adba6" userID="1715258932" userName="严新荟" dateTime="2026-07-07T00:47:18" isNormal="0">
            <s:text>
              <s:r>
                <s:t xml:space="preserve">2200049 7/6 12048 pcs
2200051 7/8 24 pcs</s:t>
              </s:r>
            </s:text>
          </item>
        </commentChain>
      </unresolved>
      <resolved/>
    </commentChains>
    <commentChains s:ref="AU530" rgbClr="FF0000">
      <unresolved>
        <commentChain chainId="5d38016e3b2f8c9e6968f6ba5c67975e974b5592">
          <item id="ed409c0fc0f713c0a6f4a47cc5e89cdd367539ab" userID="1715258932" userName="严新荟" dateTime="2026-06-30T01:10:51" isNormal="0">
            <s:text>
              <s:r>
                <s:t xml:space="preserve">2200025 6/29 5430 PCS</s:t>
              </s:r>
            </s:text>
          </item>
        </commentChain>
      </unresolved>
      <resolved/>
    </commentChains>
    <commentChains s:ref="AU531" rgbClr="FF0000">
      <unresolved>
        <commentChain chainId="6c10fea13affdb6f48acf18221d14eda16ff28b9">
          <item id="96d9cfa897adaf192e535b9da130021483bb5464" userID="1715258932" userName="严新荟" dateTime="2026-06-30T01:30:02" isNormal="0">
            <s:text>
              <s:r>
                <s:t xml:space="preserve">2500248 6/29 4020 PCS</s:t>
              </s:r>
            </s:text>
          </item>
        </commentChain>
      </unresolved>
      <resolved/>
    </commentChains>
    <commentChains s:ref="AU533" rgbClr="FF0000">
      <unresolved>
        <commentChain chainId="26da0c7c53b15e9f2db0a822a3ece2f0eb60ca95">
          <item id="2316766c2f75c47414b49d9c2458d4d05da64251" userID="1715258932" userName="严新荟" dateTime="2026-07-11T01:07:43" isNormal="0">
            <s:text>
              <s:r>
                <s:t xml:space="preserve">2500228 7/8  9600 pcs
2200102 7/10 2464 pcs</s:t>
              </s:r>
            </s:text>
          </item>
        </commentChain>
      </unresolved>
      <resolved/>
    </commentChains>
    <commentChains s:ref="AU534" rgbClr="FF0000">
      <unresolved>
        <commentChain chainId="f6afa31b6a31d65e7501c2e8c87901fb49ebf402">
          <item id="e77818203a2fbe1dae2d6e87e61b0e0388ea244d" userID="1715258932" userName="严新荟" dateTime="2026-07-13T03:31:15" isNormal="0">
            <s:text>
              <s:r>
                <s:t xml:space="preserve">2200117 7/11 4824 pcs</s:t>
              </s:r>
            </s:text>
          </item>
        </commentChain>
      </unresolved>
      <resolved/>
    </commentChains>
    <commentChains s:ref="AU538" rgbClr="FF0000">
      <unresolved>
        <commentChain chainId="6dfda00aad745e76ad4daaa1caa3d5893843a184">
          <item id="f4fbda5cbfabc75d4daeb333280df4d87b395fd5" userID="1715258932" userName="严新荟" dateTime="2026-07-06T02:44:57" isNormal="0">
            <s:text>
              <s:r>
                <s:t xml:space="preserve">2200088 7/4 12096 pcs
2200091 7/6 23904 PCS</s:t>
              </s:r>
            </s:text>
          </item>
        </commentChain>
      </unresolved>
      <resolved/>
    </commentChains>
    <commentChains s:ref="AU539" rgbClr="FF0000">
      <unresolved>
        <commentChain chainId="8f7f7236cadf8557252cfa5a304aaaf09b432c49">
          <item id="a6ba91d8252608cbdad51d6d9195fc1b37205803" userID="1715258932" userName="严新荟" dateTime="2026-07-15T02:40:35" isNormal="0">
            <s:text>
              <s:r>
                <s:t xml:space="preserve">2200152 7/14 6000 PCS</s:t>
              </s:r>
            </s:text>
          </item>
        </commentChain>
      </unresolved>
      <resolved/>
    </commentChains>
    <commentChains s:ref="AU540" rgbClr="FF0000">
      <unresolved>
        <commentChain chainId="a89278143d3daeb82fdbd826f1203e3e2774100a">
          <item id="bd6f1ac7a53a4dc783b69bbd963967d60a208baa" userID="1715258932" userName="严新荟" dateTime="2026-07-13T03:46:14" isNormal="0">
            <s:text>
              <s:r>
                <s:t xml:space="preserve">2200125 7/11 4320 PCS
2200127 7/13 3684 pcs</s:t>
              </s:r>
            </s:text>
          </item>
        </commentChain>
      </unresolved>
      <resolved/>
    </commentChains>
    <commentChains s:ref="AU541" rgbClr="FF0000">
      <unresolved>
        <commentChain chainId="32060ed21b95f1a5a87661a11f447e7c27cec31f">
          <item id="a78129a1b77d22a330c92476e3a335d2bd09b9d2" userID="1715258932" userName="严新荟" dateTime="2026-07-10T03:28:45" isNormal="0">
            <s:text>
              <s:r>
                <s:t xml:space="preserve">2200099 7/9 252 PCS</s:t>
              </s:r>
            </s:text>
          </item>
        </commentChain>
      </unresolved>
      <resolved/>
    </commentChains>
    <commentChains s:ref="AU542" rgbClr="FF0000">
      <unresolved>
        <commentChain chainId="23a762a4e9f04022fa9a7b8208f6f940768e2fdf">
          <item id="90976e1fd46f968a9f435e90bf2cb95d686353a1" userID="1715258932" userName="严新荟" dateTime="2026-07-15T03:08:15" isNormal="0">
            <s:text>
              <s:r>
                <s:t xml:space="preserve">2200151 7/14 1536 pcs</s:t>
              </s:r>
            </s:text>
          </item>
          <item id="95cb342e585d80ce046159d8c0ba8b77997ef603" userID="1715258932" userName="严新荟" dateTime="2026-07-16T03:18:54" isNormal="0">
            <s:text>
              <s:r>
                <s:t xml:space="preserve">2200158 7/15 1536 pcs</s:t>
              </s:r>
            </s:text>
          </item>
        </commentChain>
      </unresolved>
      <resolved/>
    </commentChains>
    <commentChains s:ref="AU543" rgbClr="FF0000">
      <unresolved>
        <commentChain chainId="7b265180df432dfaded7fb2f3e266b2d8e040605">
          <item id="5905e3ac2202b7a117f2cbbdd475d7560f3d1558" userID="1715258932" userName="严新荟" dateTime="2026-07-15T03:08:51" isNormal="0">
            <s:text>
              <s:r>
                <s:t xml:space="preserve">2200151 7/14 1764 pcs</s:t>
              </s:r>
            </s:text>
          </item>
          <item id="c32ce1fb0ce074f0da25f04f02a31a521a6e6c34" userID="1715258932" userName="严新荟" dateTime="2026-07-16T03:08:03" isNormal="0">
            <s:text>
              <s:r>
                <s:t xml:space="preserve">2200159 7/15 24 pcs</s:t>
              </s:r>
            </s:text>
          </item>
        </commentChain>
      </unresolved>
      <resolved/>
    </commentChains>
    <commentChains s:ref="AU544" rgbClr="FF0000">
      <unresolved>
        <commentChain chainId="4a18e439253028acbd7dc777a9133ed85af143a6">
          <item id="1d2f964240168dd5415fd57e4048eb86f919db1e" userID="1715258932" userName="严新荟" dateTime="2026-07-15T03:08:51" isNormal="0">
            <s:text>
              <s:r>
                <s:t xml:space="preserve">2200151 7/14 1704 pcs</s:t>
              </s:r>
            </s:text>
          </item>
          <item id="a38306d36b3839a864b4c794ce942b7e3889f3d2" userID="1715258932" userName="严新荟" dateTime="2026-07-16T03:08:27" isNormal="0">
            <s:text>
              <s:r>
                <s:t xml:space="preserve">2200159 7/15 12 pcs</s:t>
              </s:r>
            </s:text>
          </item>
        </commentChain>
      </unresolved>
      <resolved/>
    </commentChains>
    <commentChains s:ref="AU545" rgbClr="FF0000">
      <unresolved>
        <commentChain chainId="2435aa821f25dd30c2b3fdb8c977dfd8c63deeb2">
          <item id="43e2773d04be78812e8c39474167591fcb30d356" userID="1715258932" userName="严新荟" dateTime="2026-07-15T03:08:51" isNormal="0">
            <s:text>
              <s:r>
                <s:t xml:space="preserve">2200151 7/14 1500 pcs</s:t>
              </s:r>
            </s:text>
          </item>
          <item id="32de6727bf6b7154c5a4f99f3eb4759df058baba" userID="1715258932" userName="严新荟" dateTime="2026-07-16T03:08:44" isNormal="0">
            <s:text>
              <s:r>
                <s:t xml:space="preserve">2200159 7/15 36 pcs</s:t>
              </s:r>
            </s:text>
          </item>
        </commentChain>
      </unresolved>
      <resolved/>
    </commentChains>
    <commentChains s:ref="AU546" rgbClr="FF0000">
      <unresolved>
        <commentChain chainId="db2643d6cb916b0a9bbf1073498ec9dc8edc4718">
          <item id="5dd5b8a1df8ab6e3b585e873be9bf87d87f1e332" userID="1715258932" userName="严新荟" dateTime="2026-07-15T03:08:51" isNormal="0">
            <s:text>
              <s:r>
                <s:t xml:space="preserve">2200151 7/14 264 pcs</s:t>
              </s:r>
            </s:text>
          </item>
          <item id="0d211bae19c168e9336c618c0bc4e04aa0b29232" userID="1715258932" userName="严新荟" dateTime="2026-07-16T03:08:59" isNormal="0">
            <s:text>
              <s:r>
                <s:t xml:space="preserve">2200159 7/15 12 pcs</s:t>
              </s:r>
            </s:text>
          </item>
        </commentChain>
      </unresolved>
      <resolved/>
    </commentChains>
    <commentChains s:ref="AU547" rgbClr="FF0000">
      <unresolved>
        <commentChain chainId="5de9cad3f45883abbb995bc7078bf5f57fe86fa0">
          <item id="fabcececbbb1ef53b345d4c8879aa96f4bb19dc9" userID="1715258932" userName="严新荟" dateTime="2026-07-15T03:08:51" isNormal="0">
            <s:text>
              <s:r>
                <s:t xml:space="preserve">2200151 7/14 1668 pcs</s:t>
              </s:r>
            </s:text>
          </item>
        </commentChain>
      </unresolved>
      <resolved/>
    </commentChains>
    <commentChains s:ref="AU548" rgbClr="FF0000">
      <unresolved>
        <commentChain chainId="ccf168dba5378f2ad7cd799a9ea283606396c84d">
          <item id="dd521de44e482f0f8d26eb9c7969d78f82c3f025" userID="1715258932" userName="严新荟" dateTime="2026-07-15T03:08:51" isNormal="0">
            <s:text>
              <s:r>
                <s:t xml:space="preserve">2200151 7/14 1572 pcs</s:t>
              </s:r>
            </s:text>
          </item>
        </commentChain>
      </unresolved>
      <resolved/>
    </commentChains>
    <commentChains s:ref="AU549" rgbClr="FF0000">
      <unresolved>
        <commentChain chainId="05a7029b339afc92a570a16cd1990cc385133a5d">
          <item id="1a9b87ba5a81cd7d21fa09d39e0028d2afc165c2" userID="1715258932" userName="严新荟" dateTime="2026-06-29T06:42:00" isNormal="0">
            <s:text>
              <s:r>
                <s:t xml:space="preserve">2200020 6/27 3000 pcs</s:t>
              </s:r>
            </s:text>
          </item>
        </commentChain>
      </unresolved>
      <resolved/>
    </commentChains>
    <commentChains s:ref="AU550" rgbClr="FF0000">
      <unresolved>
        <commentChain chainId="1a9ae2c2109cfe141b0f2576e46c815d9212921e">
          <item id="f1f26d59ba17bba387e62ce680338f2164932bf0" userID="1715258932" userName="严新荟" dateTime="2026-07-15T03:14:18" isNormal="0">
            <s:text>
              <s:r>
                <s:t xml:space="preserve">2200153 7/14 1836 pcs</s:t>
              </s:r>
            </s:text>
          </item>
        </commentChain>
      </unresolved>
      <resolved/>
    </commentChains>
    <commentChains s:ref="AU551" rgbClr="FF0000">
      <unresolved>
        <commentChain chainId="f7d7356daa4ea91c839a05b86f65c30d1cede496">
          <item id="5de24156b30b75d2feb6fee505b4f9f14841e707" userID="1715258932" userName="严新荟" dateTime="2026-07-15T03:14:18" isNormal="0">
            <s:text>
              <s:r>
                <s:t xml:space="preserve">2200153 7/14 564 pcs</s:t>
              </s:r>
            </s:text>
          </item>
        </commentChain>
      </unresolved>
      <resolved/>
    </commentChains>
    <commentChains s:ref="AU552" rgbClr="FF0000">
      <unresolved>
        <commentChain chainId="d8eccfdd33055ff176e186a1505295cdbd2d1f43">
          <item id="a74afd65b119eddce8e264a645a2186b4a7addaa" userID="1715258932" userName="严新荟" dateTime="2026-07-15T03:14:18" isNormal="0">
            <s:text>
              <s:r>
                <s:t xml:space="preserve">2200153 7/14 1254 pcs
2200164 7/15 102 pcs</s:t>
              </s:r>
            </s:text>
          </item>
        </commentChain>
      </unresolved>
      <resolved/>
    </commentChains>
    <commentChains s:ref="AU553" rgbClr="FF0000">
      <unresolved>
        <commentChain chainId="a60c96109e3e7a2d8a7450ddef4174920dd42da8">
          <item id="9a7d44cb76ac788bb124bf65b93475b5788bdede" userID="1715258932" userName="严新荟" dateTime="2026-07-15T03:14:18" isNormal="0">
            <s:text>
              <s:r>
                <s:t xml:space="preserve">2200153 7/14 300 pcs</s:t>
              </s:r>
            </s:text>
          </item>
        </commentChain>
      </unresolved>
      <resolved/>
    </commentChains>
    <commentChains s:ref="AU554" rgbClr="FF0000">
      <unresolved>
        <commentChain chainId="afe0842ddb5627f0bdc65beea1eb121b56df713c">
          <item id="ae9a0126002685c897c31317b355dd89569f2203" userID="1715258932" userName="严新荟" dateTime="2026-07-15T03:15:29" isNormal="0">
            <s:text>
              <s:r>
                <s:t xml:space="preserve">2200153 7/14 1032 pcs</s:t>
              </s:r>
            </s:text>
          </item>
        </commentChain>
      </unresolved>
      <resolved/>
    </commentChains>
    <commentChains s:ref="AU555" rgbClr="FF0000">
      <unresolved>
        <commentChain chainId="232b9837ef5c0430d6c773395130087a94f326d7">
          <item id="3567ba69e3a9d79342f3be4eafaf988e36cafcfd" userID="1715258932" userName="严新荟" dateTime="2026-07-15T03:15:49" isNormal="0">
            <s:text>
              <s:r>
                <s:t xml:space="preserve">2200153 7/14 1038 PCS
2200164 7/15 210 pcs</s:t>
              </s:r>
            </s:text>
          </item>
        </commentChain>
      </unresolved>
      <resolved/>
    </commentChains>
    <commentChains s:ref="AU556" rgbClr="FF0000">
      <unresolved>
        <commentChain chainId="6ec1a15ad983f98a0011fb61b06bdd4fc6d11d9b">
          <item id="34528469d42885168c2547a02fd61469aceb60d2" userID="1715258932" userName="严新荟" dateTime="2026-07-14T02:03:55" isNormal="0">
            <s:text>
              <s:r>
                <s:t xml:space="preserve">2200127 7/13 4700 pcs
2200153 7/14 100 pcs</s:t>
              </s:r>
            </s:text>
          </item>
        </commentChain>
      </unresolved>
      <resolved/>
    </commentChains>
    <commentChains s:ref="AU557" rgbClr="FF0000">
      <unresolved>
        <commentChain chainId="c39005a4189d5bd73aa86e32a673e622f81eef63">
          <item id="c2482da78d88250dca22bffa17daaffa3e84b96e" userID="1715258932" userName="严新荟" dateTime="2026-07-08T02:37:31" isNormal="0">
            <s:text>
              <s:r>
                <s:t xml:space="preserve">2500237 7/7 1920 pcs</s:t>
              </s:r>
            </s:text>
          </item>
        </commentChain>
      </unresolved>
      <resolved/>
    </commentChains>
    <commentChains s:ref="AU563" rgbClr="FF0000">
      <unresolved>
        <commentChain chainId="41a506683891148c8a63c7afa225b0f55a0124da">
          <item id="4242a63a6b2240e24693e85579d94877fb0bc78d" userID="1715258932" userName="严新荟" dateTime="2026-07-11T03:37:27" isNormal="0">
            <s:text>
              <s:r>
                <s:t xml:space="preserve">2200102 7/10 14928 pcs
2200107 7/11 72 pcs</s:t>
              </s:r>
            </s:text>
          </item>
        </commentChain>
      </unresolved>
      <resolved/>
    </commentChains>
    <commentChains s:ref="AU564" rgbClr="FF0000">
      <unresolved>
        <commentChain chainId="03bc9386f748135250318306a5035cc5cb591fe5">
          <item id="17ae5b6d7ac7521f8cef515cfb3e9d2052bc5e0b" isNormal="1">
            <s:text>
              <s:r>
                <s:t xml:space="preserve">Administrator:
1403576 5/15 20976 PCS </s:t>
              </s:r>
            </s:text>
          </item>
        </commentChain>
      </unresolved>
      <resolved/>
    </commentChains>
    <commentChains s:ref="AU565" rgbClr="FF0000">
      <unresolved>
        <commentChain chainId="7f8aca5386566932855e782dd1dad28346ef8993">
          <item id="098aefabff4bd50138b0278625436e2668d80b4e" isNormal="1">
            <s:text>
              <s:r>
                <s:t xml:space="preserve">Administrator:
1403551 5/20 12480 pcs</s:t>
              </s:r>
            </s:text>
          </item>
        </commentChain>
      </unresolved>
      <resolved/>
    </commentChains>
    <commentChains s:ref="AU566" rgbClr="FF0000">
      <unresolved>
        <commentChain chainId="d0440d1248bab612fe3e40bf26f7640f0195457e">
          <item id="83eeb2844a8f7bfaa5ba7f39427c60ab9b06f77d" userID="1715258932" userName="严新荟" dateTime="2026-07-17T03:02:54" isNormal="0">
            <s:text>
              <s:r>
                <s:t xml:space="preserve">2200169 7/16 9156 pcs
2200167 7/16 3240 pcs
2200178 7/17 3864 pcs
2200174 7/17 8640 pcs
2200182 7/18 96 pcs</s:t>
              </s:r>
            </s:text>
          </item>
        </commentChain>
      </unresolved>
      <resolved/>
    </commentChains>
    <commentChains s:ref="AU567" rgbClr="FF0000">
      <unresolved>
        <commentChain chainId="342e8d1a04d96a8e6a8598059e8e0e306220cad3">
          <item id="24be358ad045d00c22918a7faabe25e6090f6d66" userID="1715258932" userName="严新荟" dateTime="2026-06-29T03:27:09" isNormal="0">
            <s:text>
              <s:r>
                <s:t xml:space="preserve">2200023 6/27 1992 pcs</s:t>
              </s:r>
            </s:text>
          </item>
        </commentChain>
      </unresolved>
      <resolved/>
    </commentChains>
    <commentChains s:ref="AU568" rgbClr="FF0000">
      <unresolved>
        <commentChain chainId="9271d48f83d8cad77bc5c9dfc76b331e0af21f5e">
          <item id="e6d95d13f84a5311a7f08251baf447efd2bf9b51" userID="1715258932" userName="严新荟" dateTime="2026-07-13T03:46:38" isNormal="0">
            <s:text>
              <s:r>
                <s:t xml:space="preserve">2200125 7/11 2592 PCS
2200127 7/13 5184 pcs</s:t>
              </s:r>
            </s:text>
          </item>
          <item id="fb2a90e7ddd702015c30dcf0dac97bb878385a84" userID="1715258932" userName="严新荟" dateTime="2026-07-17T03:01:15" isNormal="0">
            <s:text>
              <s:r>
                <s:t xml:space="preserve">2200169 7/16 216 pcs</s:t>
              </s:r>
            </s:text>
          </item>
        </commentChain>
      </unresolved>
      <resolved/>
    </commentChains>
    <commentChains s:ref="AU569" rgbClr="FF0000">
      <unresolved>
        <commentChain chainId="082918c2554fdc875b34e38841b48de4c479ac08">
          <item id="86c4e79fa3f99f95433c92e221ce947607bf0b92" userID="1715258932" userName="严新荟" dateTime="2026-07-07T00:46:12" isNormal="0">
            <s:text>
              <s:r>
                <s:t xml:space="preserve">2200049 7/6 1680 pcs</s:t>
              </s:r>
            </s:text>
          </item>
        </commentChain>
      </unresolved>
      <resolved/>
    </commentChains>
    <commentChains s:ref="AW569" rgbClr="FF0000">
      <unresolved>
        <commentChain chainId="145d5cbc5bd4787cd2d91dc805bc29ea22f26d7d">
          <item id="1a031f93c5abf269348cf201c0e3eb63bf42ceef" userID="1715258932" userName="严新荟" dateTime="2026-06-18T11:39:45" isNormal="0">
            <s:text>
              <s:r>
                <s:t xml:space="preserve">6/18 送3600 pcs</s:t>
              </s:r>
            </s:text>
          </item>
        </commentChain>
      </unresolved>
      <resolved/>
    </commentChains>
    <commentChains s:ref="AU570" rgbClr="FF0000">
      <unresolved>
        <commentChain chainId="8e591e73b822a107a8e38e7e9696ff293fbb68fb">
          <item id="78d8d3e9495b8eb92f5ba0dce5f3a69e2bca66fb" userID="1715258932" userName="严新荟" dateTime="2026-07-07T00:46:12" isNormal="0">
            <s:text>
              <s:r>
                <s:t xml:space="preserve">2200049 7/6 1200 pcs</s:t>
              </s:r>
            </s:text>
          </item>
        </commentChain>
      </unresolved>
      <resolved/>
    </commentChains>
    <commentChains s:ref="AW570" rgbClr="FF0000">
      <unresolved>
        <commentChain chainId="6827b12d2406458335402c54b07a6e736464c026">
          <item id="65e9682853eb970dc64f35c61ad7e8cc804bcfce" userID="1715258932" userName="严新荟" dateTime="2026-06-18T11:39:45" isNormal="0">
            <s:text>
              <s:r>
                <s:t xml:space="preserve">6/18 送3600 pcs</s:t>
              </s:r>
            </s:text>
          </item>
        </commentChain>
      </unresolved>
      <resolved/>
    </commentChains>
    <commentChains s:ref="AU571" rgbClr="FF0000">
      <unresolved>
        <commentChain chainId="111de2eff6b965b2efc31d023f5962273ebed819">
          <item id="785bd6bf08619fb9e56865aa3dc42c29423fa656" userID="1715258932" userName="严新荟" dateTime="2026-07-10T03:27:55" isNormal="0">
            <s:text>
              <s:r>
                <s:t xml:space="preserve">2200096 7/9 720 PCS</s:t>
              </s:r>
            </s:text>
          </item>
        </commentChain>
      </unresolved>
      <resolved/>
    </commentChains>
    <commentChains s:ref="AW571" rgbClr="FF0000">
      <unresolved>
        <commentChain chainId="6f2aef4bbeaac255b5a005d8422d7c796b93ee0f">
          <item id="dd0a0f3793fb303d9aebd1d9daff98cbc872dec6" userID="1715258932" userName="严新荟" dateTime="2026-06-18T11:39:45" isNormal="0">
            <s:text>
              <s:r>
                <s:t xml:space="preserve">6/18 送3600 pcs</s:t>
              </s:r>
            </s:text>
          </item>
        </commentChain>
      </unresolved>
      <resolved/>
    </commentChains>
    <commentChains s:ref="J575" rgbClr="FF0000">
      <unresolved>
        <commentChain chainId="9fcee14c89bd6bb3d9d88f934bc2e3c109689514">
          <item id="04485b6a68a3759019cf8953d29f7e937a3e0a56" isNormal="1">
            <s:text>
              <s:r>
                <s:t xml:space="preserve">Administrator:
从PO0000149转入570PCS
从PO0000149转入2430PCS</s:t>
              </s:r>
            </s:text>
          </item>
        </commentChain>
      </unresolved>
      <resolved/>
    </commentChains>
    <commentChains s:ref="AU575" rgbClr="FF0000">
      <unresolved>
        <commentChain chainId="700a491d94de579cfb82e1913ed7f166148cf7e5">
          <item id="43a45808ffbb579ce818b6c2b045ee5258a010eb" userID="1715258932" userName="严新荟" dateTime="2026-07-06T02:45:19" isNormal="0">
            <s:text>
              <s:r>
                <s:t xml:space="preserve">2200088 7/4 3000 pcs</s:t>
              </s:r>
            </s:text>
          </item>
        </commentChain>
      </unresolved>
      <resolved/>
    </commentChains>
    <commentChains s:ref="J576" rgbClr="FF0000">
      <unresolved>
        <commentChain chainId="7dbdc9c373117adc7f6f7dea701d6973a0f682e4">
          <item id="8bc0f0dec53f7909504decabc187e8d3c4414b0a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576" rgbClr="FF0000">
      <unresolved>
        <commentChain chainId="9e4040d8ca23a8a94aa52170abe113fed071b921">
          <item id="f38ad5a68b8d95d80a38336b7db9368332fb90b0" userID="1715258932" userName="严新荟" dateTime="2026-06-30T01:33:58" isNormal="0">
            <s:text>
              <s:r>
                <s:t xml:space="preserve">2500248 6/29 1008 PCS</s:t>
              </s:r>
            </s:text>
          </item>
        </commentChain>
      </unresolved>
      <resolved/>
    </commentChains>
    <commentChains s:ref="AU577" rgbClr="FF0000">
      <unresolved>
        <commentChain chainId="acb773348a61fb9e69724c6ef9440830c827689c">
          <item id="cadae7d765b46f9f7034ac36e880b830e9b03aa5" userID="1715258932" userName="严新荟" dateTime="2026-07-02T12:42:45" isNormal="0">
            <s:text>
              <s:r>
                <s:t xml:space="preserve">2500301 6/15 1800 pcs</s:t>
              </s:r>
            </s:text>
          </item>
        </commentChain>
      </unresolved>
      <resolved/>
    </commentChains>
    <commentChains s:ref="AW580" rgbClr="FF0000">
      <unresolved>
        <commentChain chainId="21120a989dae764d44298c66f298fc0adc94d56f">
          <item id="1b5a289b8e7f234082cb52b00fb233d6893c8ecd" userID="1715258932" userName="严新荟" dateTime="2026-07-18T08:49:54" isNormal="0">
            <s:text>
              <s:r>
                <s:t xml:space="preserve">7/13 外箱贴纸  46 pcs</s:t>
              </s:r>
            </s:text>
          </item>
        </commentChain>
      </unresolved>
      <resolved/>
    </commentChains>
    <commentChains s:ref="AU581" rgbClr="FF0000">
      <unresolved>
        <commentChain chainId="55b721060fc1e535f99881a1a91be493d0c4a9cd">
          <item id="608b5c46ecf297c5a96f73b9dacb017261b84e38" userID="1715258932" userName="严新荟" dateTime="2026-07-10T03:23:23" isNormal="0">
            <s:text>
              <s:r>
                <s:t xml:space="preserve">2200095 7/9 288 PCS</s:t>
              </s:r>
            </s:text>
          </item>
        </commentChain>
      </unresolved>
      <resolved/>
    </commentChains>
    <commentChains s:ref="AW581" rgbClr="FF0000">
      <unresolved>
        <commentChain chainId="cfd0d31b2393131d91745e78ce713b2f06cffa66">
          <item id="ba786b0baf1d1210d749c27f5f5eedfd5a4c9894" userID="1715258932" userName="严新荟" dateTime="2026-07-13T11:42:38" isNormal="0">
            <s:text>
              <s:r>
                <s:t xml:space="preserve">7/13  4</s:t>
              </s:r>
            </s:text>
          </item>
        </commentChain>
      </unresolved>
      <resolved/>
    </commentChains>
    <commentChains s:ref="AU582" rgbClr="FF0000">
      <unresolved>
        <commentChain chainId="6b4327e3e369d8fb2e48fefa60b00800959e609c">
          <item id="67ddb7d9c8eb17bc8dd15d261813529f7ceaf0f5" userID="1715258932" userName="严新荟" dateTime="2026-07-10T03:23:23" isNormal="0">
            <s:text>
              <s:r>
                <s:t xml:space="preserve">2200095 7/9 288 PCS</s:t>
              </s:r>
            </s:text>
          </item>
        </commentChain>
      </unresolved>
      <resolved/>
    </commentChains>
    <commentChains s:ref="AW582" rgbClr="FF0000">
      <unresolved>
        <commentChain chainId="77c51ac25fdcf3ca39bbc40c88fe4bdf3fb4d978">
          <item id="39c52ea90d7b7d6b72506755641b1531499541c5" userID="1715258932" userName="严新荟" dateTime="2026-07-13T11:42:38" isNormal="0">
            <s:text>
              <s:r>
                <s:t xml:space="preserve">7/13  4</s:t>
              </s:r>
            </s:text>
          </item>
        </commentChain>
      </unresolved>
      <resolved/>
    </commentChains>
    <commentChains s:ref="AU583" rgbClr="FF0000">
      <unresolved>
        <commentChain chainId="b79f2c640c75a3ac2f36f6b779bec4a9b2409938">
          <item id="08d28d2e191a710e9c90c131df754dc85e1a8497" userID="1715258932" userName="严新荟" dateTime="2026-07-10T03:23:23" isNormal="0">
            <s:text>
              <s:r>
                <s:t xml:space="preserve">2200095 7/9 288 PCS</s:t>
              </s:r>
            </s:text>
          </item>
        </commentChain>
      </unresolved>
      <resolved/>
    </commentChains>
    <commentChains s:ref="AW583" rgbClr="FF0000">
      <unresolved>
        <commentChain chainId="f092a68c507751a8c56d197cafd67f53efa80284">
          <item id="b033c60be45f18227d3580cb8a29d57f42ccc62c" userID="1715258932" userName="严新荟" dateTime="2026-07-13T11:42:38" isNormal="0">
            <s:text>
              <s:r>
                <s:t xml:space="preserve">7/13  4</s:t>
              </s:r>
            </s:text>
          </item>
        </commentChain>
      </unresolved>
      <resolved/>
    </commentChains>
    <commentChains s:ref="AU584" rgbClr="FF0000">
      <unresolved>
        <commentChain chainId="4c342e09eb04b38f204e9cade25809f3a60413ff">
          <item id="4f3e86aecd3f55dad5126baf594888e7e7b8cf67" userID="1715258932" userName="严新荟" dateTime="2026-07-08T02:40:23" isNormal="0">
            <s:text>
              <s:r>
                <s:t xml:space="preserve">2500239 7/7 240 pcs</s:t>
              </s:r>
            </s:text>
          </item>
        </commentChain>
      </unresolved>
      <resolved/>
    </commentChains>
    <commentChains s:ref="AU588" rgbClr="FF0000">
      <unresolved>
        <commentChain chainId="cbf53b06bc5d879d4d49d44adf15ae5aeb9aac6a">
          <item id="b835c47deaf485034593d63992cbf1fcffb642c4" userID="1715258932" userName="严新荟" dateTime="2026-06-30T01:26:46" isNormal="0">
            <s:text>
              <s:r>
                <s:t xml:space="preserve">2200026 6/29 576 PCS</s:t>
              </s:r>
            </s:text>
          </item>
        </commentChain>
      </unresolved>
      <resolved/>
    </commentChains>
    <commentChains s:ref="AU589" rgbClr="FF0000">
      <unresolved>
        <commentChain chainId="113dc04e34708520656b62b59711235fdbdab0a5">
          <item id="6b4efc5b43bb82a5b639ac531cdb3b4fd487464d" userID="1715258932" userName="严新荟" dateTime="2026-06-30T01:27:18" isNormal="0">
            <s:text>
              <s:r>
                <s:t xml:space="preserve">2200026 6/29 720 PCS</s:t>
              </s:r>
            </s:text>
          </item>
        </commentChain>
      </unresolved>
      <resolved/>
    </commentChains>
    <commentChains s:ref="AU590" rgbClr="FF0000">
      <unresolved>
        <commentChain chainId="163f37ba6045ebda8e99553a23a7832cf20a4cc1">
          <item id="4b9bfd4eeca81eecbd4218712564e85795a029b9" userID="1715258932" userName="严新荟" dateTime="2026-06-30T01:27:18" isNormal="0">
            <s:text>
              <s:r>
                <s:t xml:space="preserve">2200026 6/29 432 PCS</s:t>
              </s:r>
            </s:text>
          </item>
        </commentChain>
      </unresolved>
      <resolved/>
    </commentChains>
    <commentChains s:ref="AU591" rgbClr="FF0000">
      <unresolved>
        <commentChain chainId="3edd1b86ddd0b7909eca9d2d105970cf4d1f1f44">
          <item id="7127cc3166bf491bfc53288d60696ea75bd9ab6c" userID="1715258932" userName="严新荟" dateTime="2026-06-30T01:27:18" isNormal="0">
            <s:text>
              <s:r>
                <s:t xml:space="preserve">2200026 6/29 288 PCS</s:t>
              </s:r>
            </s:text>
          </item>
        </commentChain>
      </unresolved>
      <resolved/>
    </commentChains>
    <commentChains s:ref="AU593" rgbClr="FF0000">
      <unresolved>
        <commentChain chainId="c4f0cc478e1c4f720fe76e0ab7b6b6a2749103da">
          <item id="bb28f0c8e3b4ed05c182238bbb1f9edb0b843755" userID="1715258932" userName="严新荟" dateTime="2026-06-30T01:29:24" isNormal="0">
            <s:text>
              <s:r>
                <s:t xml:space="preserve">2200026 6/29 432 PCS</s:t>
              </s:r>
            </s:text>
          </item>
        </commentChain>
      </unresolved>
      <resolved/>
    </commentChains>
    <commentChains s:ref="AU594" rgbClr="FF0000">
      <unresolved>
        <commentChain chainId="2c044918855fca1d0bc79d008f9b88ed58321f05">
          <item id="512bf099e7891f281b96abb005c3f957fc655ff4" userID="1715258932" userName="严新荟" dateTime="2026-07-03T06:11:02" isNormal="0">
            <s:text>
              <s:r>
                <s:t xml:space="preserve">2200073 7/2 3648 pcs</s:t>
              </s:r>
            </s:text>
          </item>
        </commentChain>
      </unresolved>
      <resolved/>
    </commentChains>
    <commentChains s:ref="AW595" rgbClr="FF0000">
      <unresolved>
        <commentChain chainId="17eb2fc980b330989984c50d58a31e77cc54c27d">
          <item id="1f86aad54299e08c924f09da5c41a3c7cbab3d9a" userID="1715258932" userName="严新荟" dateTime="2026-07-08T08:31:34" isNormal="0">
            <s:text>
              <s:r>
                <s:t xml:space="preserve">7/8送外箱贴纸 44 pcs</s:t>
              </s:r>
            </s:text>
          </item>
        </commentChain>
      </unresolved>
      <resolved/>
    </commentChains>
    <commentChains s:ref="AW596" rgbClr="FF0000">
      <unresolved>
        <commentChain chainId="d6ce0bbbd0f10b884d5268cc115e95bc8a0e97d6">
          <item id="2cc4d316eb83b37f9d457d3e8286d6fb0cb017f3" userID="1715258932" userName="严新荟" dateTime="2026-07-08T08:31:34" isNormal="0">
            <s:text>
              <s:r>
                <s:t xml:space="preserve">7/8送外箱贴纸 44 pcs</s:t>
              </s:r>
            </s:text>
          </item>
        </commentChain>
      </unresolved>
      <resolved/>
    </commentChains>
    <commentChains s:ref="AW597" rgbClr="FF0000">
      <unresolved>
        <commentChain chainId="5e43aa831f8c464880c932c3586aaae89617f17e">
          <item id="ae444dc9dd81ebebf22eb0d379ac6595f63a79ea" userID="1715258932" userName="严新荟" dateTime="2026-07-08T08:31:34" isNormal="0">
            <s:text>
              <s:r>
                <s:t xml:space="preserve">7/8送外箱贴纸 35 pcs</s:t>
              </s:r>
            </s:text>
          </item>
        </commentChain>
      </unresolved>
      <resolved/>
    </commentChains>
    <commentChains s:ref="AU598" rgbClr="FF0000">
      <unresolved>
        <commentChain chainId="ca221a5fc45749864f180e97031681417e050851">
          <item id="119ddf20f7f1cbd78450d7cb8ee65292bfdfd75b" userID="1715258932" userName="严新荟" dateTime="2026-07-09T01:58:49" isNormal="0">
            <s:text>
              <s:r>
                <s:t xml:space="preserve">2500228 7/8 1125 pcs</s:t>
              </s:r>
            </s:text>
          </item>
        </commentChain>
      </unresolved>
      <resolved/>
    </commentChains>
    <commentChains s:ref="AW598" rgbClr="FF0000">
      <unresolved>
        <commentChain chainId="d5f27785939cd2affaa7f3054dbabcf4079c89ca">
          <item id="5646a92d91ccc6d5afe9934113451d55a8916b9f" userID="1715258932" userName="严新荟" dateTime="2026-07-18T08:15:40" isNormal="0">
            <s:text>
              <s:r>
                <s:t xml:space="preserve">7/7 外箱贴纸 15 pcs</s:t>
              </s:r>
            </s:text>
          </item>
        </commentChain>
      </unresolved>
      <resolved/>
    </commentChains>
    <commentChains s:ref="AU599" rgbClr="FF0000">
      <unresolved>
        <commentChain chainId="b100a0bca266978c108237463925f4474103d982">
          <item id="34649e24950aac9d4fbeaffdebec85da5c45afba" userID="1715258932" userName="严新荟" dateTime="2026-07-11T03:36:14" isNormal="0">
            <s:text>
              <s:r>
                <s:t xml:space="preserve">2200102 7/10 1350 pcs</s:t>
              </s:r>
            </s:text>
          </item>
        </commentChain>
      </unresolved>
      <resolved/>
    </commentChains>
    <commentChains s:ref="AW599" rgbClr="FF0000">
      <unresolved>
        <commentChain chainId="0aac199e2434f23d83aa15d7bd7b524df0baccaf">
          <item id="9197d80d666f910a7c3a18a197a5756ba4fb313e" userID="1715258932" userName="严新荟" dateTime="2026-07-18T08:15:40" isNormal="0">
            <s:text>
              <s:r>
                <s:t xml:space="preserve">7/7 外箱贴纸 15 pcs</s:t>
              </s:r>
            </s:text>
          </item>
        </commentChain>
      </unresolved>
      <resolved/>
    </commentChains>
    <commentChains s:ref="AU600" rgbClr="FF0000">
      <unresolved>
        <commentChain chainId="fd3ffc287363e7c362dc5c1df47a8685cf77637b">
          <item id="f09dc18537c42cd89294e8c85024c853a8daa912" userID="1715258932" userName="严新荟" dateTime="2026-07-11T03:36:54" isNormal="0">
            <s:text>
              <s:r>
                <s:t xml:space="preserve">2200102 7/10 1125 pcs</s:t>
              </s:r>
            </s:text>
          </item>
        </commentChain>
      </unresolved>
      <resolved/>
    </commentChains>
    <commentChains s:ref="AW600" rgbClr="FF0000">
      <unresolved>
        <commentChain chainId="ebe8366c5f7d5037da68eb6b3d2b995501b4d5eb">
          <item id="7c040acdb0dd78dd7d9d2d43d751a13864dda194" userID="1715258932" userName="严新荟" dateTime="2026-07-18T08:15:40" isNormal="0">
            <s:text>
              <s:r>
                <s:t xml:space="preserve">7/7 外箱贴纸 15 pcs</s:t>
              </s:r>
            </s:text>
          </item>
        </commentChain>
      </unresolved>
      <resolved/>
    </commentChains>
    <commentChains s:ref="AU601" rgbClr="FF0000">
      <unresolved>
        <commentChain chainId="4030f95fa1fe9e647de0b58796f2b6167ae4c488">
          <item id="6d68024d468857957190b721f0758cc2bbcfd16c" userID="1715258932" userName="严新荟" dateTime="2026-07-13T03:25:27" isNormal="0">
            <s:text>
              <s:r>
                <s:t xml:space="preserve">2200119 7/11 1650 pcs</s:t>
              </s:r>
            </s:text>
          </item>
        </commentChain>
      </unresolved>
      <resolved/>
    </commentChains>
    <commentChains s:ref="AW601" rgbClr="FF0000">
      <unresolved>
        <commentChain chainId="a57da2ded68d8e9371196865c65afcbb1f191281">
          <item id="93e966544cc4d13572c8f3b2f9b0eb50f1ea5bf2" userID="1715258932" userName="严新荟" dateTime="2026-07-18T08:15:40" isNormal="0">
            <s:text>
              <s:r>
                <s:t xml:space="preserve">7/7 外箱贴纸 22 pcs</s:t>
              </s:r>
            </s:text>
          </item>
        </commentChain>
      </unresolved>
      <resolved/>
    </commentChains>
    <commentChains s:ref="AU602" rgbClr="FF0000">
      <unresolved>
        <commentChain chainId="d4b2620eff06cb3a8510fb702d19c8fc713598ab">
          <item id="ede4defc06cee3540062646922b20c666b884687" userID="1715258932" userName="严新荟" dateTime="2026-07-13T03:25:05" isNormal="0">
            <s:text>
              <s:r>
                <s:t xml:space="preserve">2200119 7/11 1350 pcs</s:t>
              </s:r>
            </s:text>
          </item>
        </commentChain>
      </unresolved>
      <resolved/>
    </commentChains>
    <commentChains s:ref="AW602" rgbClr="FF0000">
      <unresolved>
        <commentChain chainId="ae1a47e1a67e35a546e300e6e5cadbce08f0e2b3">
          <item id="f30594b4802a536b13e3030bec8eb0e1b491c1fa" userID="1715258932" userName="严新荟" dateTime="2026-07-18T08:15:40" isNormal="0">
            <s:text>
              <s:r>
                <s:t xml:space="preserve">7/7 外箱贴纸 15 pcs</s:t>
              </s:r>
            </s:text>
          </item>
        </commentChain>
      </unresolved>
      <resolved/>
    </commentChains>
    <commentChains s:ref="AW603" rgbClr="FF0000">
      <unresolved>
        <commentChain chainId="86f48c643ed70171a7abd0fcd9fb740286806bc2">
          <item id="79c64225818459f79066082a5f17d1bc673c2846" userID="1715258932" userName="严新荟" dateTime="2026-07-18T08:07:36" isNormal="0">
            <s:text>
              <s:r>
                <s:t xml:space="preserve">7/7 外箱贴纸 544 pcs</s:t>
              </s:r>
            </s:text>
          </item>
        </commentChain>
      </unresolved>
      <resolved/>
    </commentChains>
    <commentChains s:ref="AW604" rgbClr="FF0000">
      <unresolved>
        <commentChain chainId="799414f3b72826f070565ca4b02a6fdea476b0ae">
          <item id="2c21bf50d61496a768c5200e9f9bf7fb2cb675b6" userID="1715258932" userName="严新荟" dateTime="2026-07-18T08:07:36" isNormal="0">
            <s:text>
              <s:r>
                <s:t xml:space="preserve">7/7 外箱贴纸 544 pcs</s:t>
              </s:r>
            </s:text>
          </item>
        </commentChain>
      </unresolved>
      <resolved/>
    </commentChains>
    <commentChains s:ref="AW605" rgbClr="FF0000">
      <unresolved>
        <commentChain chainId="7ee38e3bb536d8db37fd530fb0f0d612c2a2a80c">
          <item id="20115fc4475bead217c4529bf452614d570f2402" userID="1715258932" userName="严新荟" dateTime="2026-07-18T08:07:36" isNormal="0">
            <s:text>
              <s:r>
                <s:t xml:space="preserve">7/7 外箱贴纸 544 pcs</s:t>
              </s:r>
            </s:text>
          </item>
        </commentChain>
      </unresolved>
      <resolved/>
    </commentChains>
    <commentChains s:ref="AU606" rgbClr="FF0000">
      <unresolved>
        <commentChain chainId="236bf930099961e9ce98b2e3c5736f54a1b84c7f">
          <item id="dd254daa309d0eaa8ec1cbb389e85e733743fc46" userID="1715258932" userName="严新荟" dateTime="2026-06-30T01:25:42" isNormal="0">
            <s:text>
              <s:r>
                <s:t xml:space="preserve">2200026 6/29 9504 PCS</s:t>
              </s:r>
            </s:text>
          </item>
        </commentChain>
      </unresolved>
      <resolved/>
    </commentChains>
    <commentChains s:ref="AW606" rgbClr="FF0000">
      <unresolved>
        <commentChain chainId="fc3e3a7ecf419e90a1c1311457ecf1ef0673b8ce">
          <item id="b71b839c46cd4cb334a356fb1ffa1cea37813332" userID="1715258932" userName="严新荟" dateTime="2026-07-18T08:11:15" isNormal="0">
            <s:text>
              <s:r>
                <s:t xml:space="preserve">7/7 外箱贴纸  13 pcs</s:t>
              </s:r>
            </s:text>
          </item>
        </commentChain>
      </unresolved>
      <resolved/>
    </commentChains>
    <commentChains s:ref="AU607" rgbClr="FF0000">
      <unresolved>
        <commentChain chainId="83c014715634f37073f14d954777bcb400e2a1c9">
          <item id="6e7ccdc7d9a4341ca72f631ee999763399079e16" userID="1715258932" userName="严新荟" dateTime="2026-07-14T01:54:20" isNormal="0">
            <s:text>
              <s:r>
                <s:t xml:space="preserve">2200129 7/13 1440 pcs</s:t>
              </s:r>
            </s:text>
          </item>
        </commentChain>
      </unresolved>
      <resolved/>
    </commentChains>
    <commentChains s:ref="AW607" rgbClr="FF0000">
      <unresolved>
        <commentChain chainId="6ca5c4b54ecfec0ce16f5fa364e1079fc6612567">
          <item id="04e885d296d721281cf24932e7ca21e35420b43f" userID="1715258932" userName="严新荟" dateTime="2026-07-18T08:11:48" isNormal="0">
            <s:text>
              <s:r>
                <s:t xml:space="preserve">7/7 外箱贴纸  10 pcs</s:t>
              </s:r>
            </s:text>
          </item>
        </commentChain>
      </unresolved>
      <resolved/>
    </commentChains>
    <commentChains s:ref="AU608" rgbClr="FF0000">
      <unresolved>
        <commentChain chainId="6fd1642ded18cc5cc5fd142fd996034353e58e1d">
          <item id="b9f466fb21a57aa627451ccf33e7a417b2e5237b" userID="1715258932" userName="严新荟" dateTime="2026-07-14T02:02:41" isNormal="0">
            <s:text>
              <s:r>
                <s:t xml:space="preserve">2200127 7/13 7080 pcs
2200164 7/15 3888 pcs</s:t>
              </s:r>
            </s:text>
          </item>
        </commentChain>
      </unresolved>
      <resolved/>
    </commentChains>
    <commentChains s:ref="AW608" rgbClr="FF0000">
      <unresolved>
        <commentChain chainId="4b1213fd487323d099ea19b43b7586ab6c18e72e">
          <item id="4fbd8487e58613c774e835629f2a3233e2cf4412" userID="1715258932" userName="严新荟" dateTime="2026-07-18T08:07:36" isNormal="0">
            <s:text>
              <s:r>
                <s:t xml:space="preserve">7/7 外箱贴纸 457 pcs</s:t>
              </s:r>
            </s:text>
          </item>
        </commentChain>
      </unresolved>
      <resolved/>
    </commentChains>
    <commentChains s:ref="J609" rgbClr="FF0000">
      <unresolved>
        <commentChain chainId="bd03408d768fc4a383ca958e8ee92f17575145ec">
          <item id="900befb4762084bc6fb238db0bab3fe301ce0b25" isNormal="1">
            <s:text>
              <s:r>
                <s:t xml:space="preserve">Administrator:
从PO0000205转入</s:t>
              </s:r>
            </s:text>
          </item>
        </commentChain>
      </unresolved>
      <resolved/>
    </commentChains>
    <commentChains s:ref="AU611" rgbClr="FF0000">
      <unresolved>
        <commentChain chainId="32f8f10bbc179aab7ee43ff1ded83c47ef528e22">
          <item id="e423bc6b8e26577592f34382673d62ab9db60e84" userID="1715258932" userName="严新荟" dateTime="2026-07-04T06:14:38" isNormal="0">
            <s:text>
              <s:r>
                <s:t xml:space="preserve">2200086 7/3 10800 pcs
2200091 7/6 4800 PCS</s:t>
              </s:r>
            </s:text>
          </item>
        </commentChain>
      </unresolved>
      <resolved/>
    </commentChains>
    <commentChains s:ref="AU612" rgbClr="FF0000">
      <unresolved>
        <commentChain chainId="2fd531bead7ad26e8c102332bb93e36a9a709253">
          <item id="500b3238107bfc0cb04519b020f18c027148d307" userID="1715258932" userName="严新荟" dateTime="2026-06-20T00:51:10" isNormal="0">
            <s:text>
              <s:r>
                <s:t xml:space="preserve">2500197 6/18 5100 pcs</s:t>
              </s:r>
            </s:text>
          </item>
        </commentChain>
      </unresolved>
      <resolved/>
    </commentChains>
    <commentChains s:ref="AU613" rgbClr="FF0000">
      <unresolved>
        <commentChain chainId="9b0dc0a5cde250fcad4e3fd07c013614c50cc69f">
          <item id="1167b0538c1c845e5e7957e731cebb15bf271c62" userID="1715258932" userName="严新荟" dateTime="2026-06-29T05:58:05" isNormal="0">
            <s:text>
              <s:r>
                <s:t xml:space="preserve">2200018 6/27 1700 pcs</s:t>
              </s:r>
            </s:text>
          </item>
        </commentChain>
      </unresolved>
      <resolved/>
    </commentChains>
    <commentChains s:ref="AU617" rgbClr="FF0000">
      <unresolved>
        <commentChain chainId="52c6c021025b99cd0694eaf950e8a70e8e2ca994">
          <item id="545a36b007ce07a416b1fd897175a239f99a76b2" userID="1715258932" userName="严新荟" dateTime="2026-07-20T06:27:24" isNormal="0">
            <s:text>
              <s:r>
                <s:t xml:space="preserve">2200182 7/18 1302 pcs</s:t>
              </s:r>
            </s:text>
          </item>
        </commentChain>
      </unresolved>
      <resolved/>
    </commentChains>
    <commentChains s:ref="AU618" rgbClr="FF0000">
      <unresolved>
        <commentChain chainId="3afdc017c26666873eb4c1b4e1db63dc3026fa95">
          <item id="338de9c91aeb5738de2cd11b9f83149e64939e2f" userID="1715258932" userName="严新荟" dateTime="2026-07-24T02:06:07" isNormal="0">
            <s:text>
              <s:r>
                <s:t xml:space="preserve">2200233 7/23 2976 pcs</s:t>
              </s:r>
            </s:text>
          </item>
        </commentChain>
      </unresolved>
      <resolved/>
    </commentChains>
    <commentChains s:ref="AU619" rgbClr="FF0000">
      <unresolved>
        <commentChain chainId="ecfc5cbbe8632721b5e6c66c68d7a65cbf81e88c">
          <item id="b67d659118bedd0d718f590c6afdd986c888ca6a" userID="1715258932" userName="严新荟" dateTime="2026-07-13T03:49:05" isNormal="0">
            <s:text>
              <s:r>
                <s:t xml:space="preserve">2200115 7/11 9984 PCS</s:t>
              </s:r>
            </s:text>
          </item>
          <item id="712592861a52916d4a232aeecaf2cd10005d812f" userID="1715258932" userName="严新荟" dateTime="2026-07-16T03:07:33" isNormal="0">
            <s:text>
              <s:r>
                <s:t xml:space="preserve">2200159 7/15 24 pcs</s:t>
              </s:r>
            </s:text>
          </item>
        </commentChain>
      </unresolved>
      <resolved/>
    </commentChains>
    <commentChains s:ref="AU621" rgbClr="FF0000">
      <unresolved>
        <commentChain chainId="c2b047bf5247ea306207a462a97014410adf6906">
          <item id="201e64f44db29ef48c7e35fb7682953b7345fc4f" userID="1715258932" userName="严新荟" dateTime="2026-07-14T01:54:57" isNormal="0">
            <s:text>
              <s:r>
                <s:t xml:space="preserve">2200128 7/13 3006 pcs</s:t>
              </s:r>
            </s:text>
          </item>
        </commentChain>
      </unresolved>
      <resolved/>
    </commentChains>
    <commentChains s:ref="AU622" rgbClr="FF0000">
      <unresolved>
        <commentChain chainId="805dba0ea00fd94d4ef3bc54ecaa1bcf6ead0b91">
          <item id="aaa23283ac51f994dddc5d326345272144612ac3" userID="1715258932" userName="严新荟" dateTime="2026-07-17T02:49:12" isNormal="0">
            <s:text>
              <s:r>
                <s:t xml:space="preserve">2200169 7/16 5004 pcs</s:t>
              </s:r>
            </s:text>
          </item>
        </commentChain>
      </unresolved>
      <resolved/>
    </commentChains>
    <commentChains s:ref="AU623" rgbClr="FF0000">
      <unresolved>
        <commentChain chainId="130efc81cd45dcba75a33f09ad5c9052d611bca0">
          <item id="a4acba2e30a190f63228c12d8d75984903ee96a9" userID="1715258932" userName="严新荟" dateTime="2026-07-17T02:49:12" isNormal="0">
            <s:text>
              <s:r>
                <s:t xml:space="preserve">2200169 7/16 1500 pcs</s:t>
              </s:r>
            </s:text>
          </item>
        </commentChain>
      </unresolved>
      <resolved/>
    </commentChains>
    <commentChains s:ref="AU624" rgbClr="FF0000">
      <unresolved>
        <commentChain chainId="0d177460bec7633bc533d52a135882d39837eb93">
          <item id="5017d0b3664e597264ae3c7cfeffabed056ca8be" userID="1715258932" userName="严新荟" dateTime="2026-07-17T02:48:48" isNormal="0">
            <s:text>
              <s:r>
                <s:t xml:space="preserve">2200169 7/16 2994 pcs
2200178 7/17 6 pcs</s:t>
              </s:r>
            </s:text>
          </item>
        </commentChain>
      </unresolved>
      <resolved/>
    </commentChains>
    <commentChains s:ref="AU627" rgbClr="FF0000">
      <unresolved>
        <commentChain chainId="ffefb2b885b3d304a98d91997fa6c4d8142a67b8">
          <item id="2a573500918ff3146e840d4fcacb7f03a9ba7470" userID="1715258932" userName="严新荟" dateTime="2026-07-17T03:02:19" isNormal="0">
            <s:text>
              <s:r>
                <s:t xml:space="preserve">2200169 7/16 3420 pcs
2200178 7/17 84 pcs</s:t>
              </s:r>
            </s:text>
          </item>
        </commentChain>
      </unresolved>
      <resolved/>
    </commentChains>
    <commentChains s:ref="AU628" rgbClr="FF0000">
      <unresolved>
        <commentChain chainId="259f5047e96b6077791cbe75f5ea7a95c1c51a86">
          <item id="16029b702c6cd7aa1a95478318f12538918ea31d" userID="1715258932" userName="严新荟" dateTime="2026-07-25T01:57:29" isNormal="0">
            <s:text>
              <s:r>
                <s:t xml:space="preserve">2200246 7/24 5488 pcs</s:t>
              </s:r>
            </s:text>
          </item>
        </commentChain>
      </unresolved>
      <resolved/>
    </commentChains>
    <commentChains s:ref="AU629" rgbClr="FF0000">
      <unresolved>
        <commentChain chainId="65392a7bb78cebc0c1f17200dd77628f3f2ea154">
          <item id="fd2d8f8e6409a2ae559e1b2488fea4eec4f4515b" userID="1715258932" userName="严新荟" dateTime="2026-07-22T02:15:39" isNormal="0">
            <s:text>
              <s:r>
                <s:t xml:space="preserve">2200207 7/21 4398 pcs</s:t>
              </s:r>
            </s:text>
          </item>
        </commentChain>
      </unresolved>
      <resolved/>
    </commentChains>
    <commentChains s:ref="AU630" rgbClr="FF0000">
      <unresolved>
        <commentChain chainId="c110a2cca1631eae348d3bf4aeffe68dcf394905">
          <item id="1c75b2fa243691315e3ebb8b9c3b75946d2ce942" userID="1715258932" userName="严新荟" dateTime="2026-07-21T00:35:01" isNormal="0">
            <s:text>
              <s:r>
                <s:t xml:space="preserve">2200203 7/20 5496 PCS</s:t>
              </s:r>
            </s:text>
          </item>
        </commentChain>
      </unresolved>
      <resolved/>
    </commentChains>
    <commentChains s:ref="G631" rgbClr="FF0000">
      <unresolved>
        <commentChain chainId="eb48969823ae6ddf2e2467fd38a6ba646fd91bd1">
          <item id="cafae27d6d315816cd2b7513aafe3ec42a1b6f17" userID="1475148402" userName="sara" dateTime="2026-06-22T07:09:32" isNormal="0">
            <s:text>
              <s:r>
                <s:t xml:space="preserve">PO0000329改PO0000381</s:t>
              </s:r>
            </s:text>
          </item>
        </commentChain>
      </unresolved>
      <resolved/>
    </commentChains>
    <commentChains s:ref="AW637" rgbClr="FF0000">
      <unresolved>
        <commentChain chainId="856081b1eb4147c79956589723dee7ee4fc589e4">
          <item id="abd2af4555e545c4043e170ab5eebcdb1df117bf" userID="1715258932" userName="严新荟" dateTime="2026-07-18T08:47:15" isNormal="0">
            <s:text>
              <s:r>
                <s:t xml:space="preserve">7/7 外箱贴纸 14 pcs</s:t>
              </s:r>
            </s:text>
          </item>
        </commentChain>
      </unresolved>
      <resolved/>
    </commentChains>
    <commentChains s:ref="AW638" rgbClr="FF0000">
      <unresolved>
        <commentChain chainId="3ca3b48070b29bbfe97b69c03ac128062c6cd02c">
          <item id="3c18ad8a679bcc78aca5ea2a749d7ce04a00f390" userID="1715258932" userName="严新荟" dateTime="2026-07-18T08:29:56" isNormal="0">
            <s:text>
              <s:r>
                <s:t xml:space="preserve">7/7 外箱贴纸 14 pcs</s:t>
              </s:r>
            </s:text>
          </item>
        </commentChain>
      </unresolved>
      <resolved/>
    </commentChains>
    <commentChains s:ref="AW639" rgbClr="FF0000">
      <unresolved>
        <commentChain chainId="9ea5cec1fa2cb8d65de27d183410576df44ba58d">
          <item id="772b98de3ee9f18fb68967e18ea192f5f063a808" userID="1715258932" userName="严新荟" dateTime="2026-07-18T08:30:49" isNormal="0">
            <s:text>
              <s:r>
                <s:t xml:space="preserve">7/7 外箱贴纸 12 pcs</s:t>
              </s:r>
            </s:text>
          </item>
        </commentChain>
      </unresolved>
      <resolved/>
    </commentChains>
    <commentChains s:ref="AU640" rgbClr="FF0000">
      <unresolved>
        <commentChain chainId="1cef34c788b0e7cacd8577270e0ca3a05cfd9d78">
          <item id="e22ddeb1c78ea755769794cfba6d98deb91a65c6" userID="1715258932" userName="严新荟" dateTime="2026-07-07T00:49:47" isNormal="0">
            <s:text>
              <s:r>
                <s:t xml:space="preserve">2200049 7/6 375 pcs</s:t>
              </s:r>
            </s:text>
          </item>
        </commentChain>
      </unresolved>
      <resolved/>
    </commentChains>
    <commentChains s:ref="AW640" rgbClr="FF0000">
      <unresolved>
        <commentChain chainId="c4bfd4c766e39a2ce4b8f8455d030fe086284bb4">
          <item id="4adf5fe6622d6d0feed2ea6f1ed724fb99bb3973" userID="1715258932" userName="严新荟" dateTime="2026-07-18T08:47:39" isNormal="0">
            <s:text>
              <s:r>
                <s:t xml:space="preserve">7/7 外箱贴纸 5 pcs</s:t>
              </s:r>
            </s:text>
          </item>
        </commentChain>
      </unresolved>
      <resolved/>
    </commentChains>
    <commentChains s:ref="AU641" rgbClr="FF0000">
      <unresolved>
        <commentChain chainId="63818419498c5568e9ee1004c744400dab7542e1">
          <item id="4ee6692a4b459e6a9e5718702ee076f1c64982e9" userID="1715258932" userName="严新荟" dateTime="2026-07-07T00:49:47" isNormal="0">
            <s:text>
              <s:r>
                <s:t xml:space="preserve">2200049 7/6 525 pcs</s:t>
              </s:r>
            </s:text>
          </item>
        </commentChain>
      </unresolved>
      <resolved/>
    </commentChains>
    <commentChains s:ref="AW641" rgbClr="FF0000">
      <unresolved>
        <commentChain chainId="9cd274690cac01c01057d14d9f51f2b274ca098f">
          <item id="58860ac4424955bd22128dc19d89c9d656dfb1f5" userID="1715258932" userName="严新荟" dateTime="2026-07-18T08:47:39" isNormal="0">
            <s:text>
              <s:r>
                <s:t xml:space="preserve">7/7 外箱贴纸 7 pcs</s:t>
              </s:r>
            </s:text>
          </item>
        </commentChain>
      </unresolved>
      <resolved/>
    </commentChains>
    <commentChains s:ref="AU642" rgbClr="FF0000">
      <unresolved>
        <commentChain chainId="efcde47d8c233eda79fcfbb343dd83c2082893ff">
          <item id="69870b2c8e45e244ba4f3429e891a4e7b203c7de" userID="1715258932" userName="严新荟" dateTime="2026-07-07T00:49:47" isNormal="0">
            <s:text>
              <s:r>
                <s:t xml:space="preserve">2200049 7/6 375 pcs</s:t>
              </s:r>
            </s:text>
          </item>
        </commentChain>
      </unresolved>
      <resolved/>
    </commentChains>
    <commentChains s:ref="AW642" rgbClr="FF0000">
      <unresolved>
        <commentChain chainId="4635a3208ce17f17317c07b2429fce673ec4d295">
          <item id="b8969cab1e99e930783bfcd944814e614bf5c018" userID="1715258932" userName="严新荟" dateTime="2026-07-18T08:47:39" isNormal="0">
            <s:text>
              <s:r>
                <s:t xml:space="preserve">7/7 外箱贴纸 5 pcs</s:t>
              </s:r>
            </s:text>
          </item>
        </commentChain>
      </unresolved>
      <resolved/>
    </commentChains>
    <commentChains s:ref="AU643" rgbClr="FF0000">
      <unresolved>
        <commentChain chainId="a3ac91dfa3ec037733afc862551fa2ee4caa786b">
          <item id="16c88309585411241b053f1da65eabc4e4f18852" userID="1715258932" userName="严新荟" dateTime="2026-07-07T00:49:47" isNormal="0">
            <s:text>
              <s:r>
                <s:t xml:space="preserve">2200049 7/6 525 pcs</s:t>
              </s:r>
            </s:text>
          </item>
        </commentChain>
      </unresolved>
      <resolved/>
    </commentChains>
    <commentChains s:ref="AW643" rgbClr="FF0000">
      <unresolved>
        <commentChain chainId="1af422b5586dcbc262e7a555a44b92470b674539">
          <item id="9fbf17af6e717a6031cec9c883b97214c2106ed8" userID="1715258932" userName="严新荟" dateTime="2026-07-18T08:47:39" isNormal="0">
            <s:text>
              <s:r>
                <s:t xml:space="preserve">7/7 外箱贴纸 7 pcs</s:t>
              </s:r>
            </s:text>
          </item>
        </commentChain>
      </unresolved>
      <resolved/>
    </commentChains>
    <commentChains s:ref="AU644" rgbClr="FF0000">
      <unresolved>
        <commentChain chainId="5d10ca01ae5545b417f3e1efb37ed1482e142b4a">
          <item id="76f039d42a162f18ffcb8051eb9c5b7aeceed5a8" userID="1715258932" userName="严新荟" dateTime="2026-07-07T00:49:47" isNormal="0">
            <s:text>
              <s:r>
                <s:t xml:space="preserve">2200049 7/6 525 pcs</s:t>
              </s:r>
            </s:text>
          </item>
        </commentChain>
      </unresolved>
      <resolved/>
    </commentChains>
    <commentChains s:ref="AW644" rgbClr="FF0000">
      <unresolved>
        <commentChain chainId="bf5f9d2b25e108c0336b7b453b1f4f6557010c65">
          <item id="f0f9102678c437df7d047af2fd30719cb8476d05" userID="1715258932" userName="严新荟" dateTime="2026-07-18T08:47:39" isNormal="0">
            <s:text>
              <s:r>
                <s:t xml:space="preserve">7/7 外箱贴纸 7 pcs</s:t>
              </s:r>
            </s:text>
          </item>
        </commentChain>
      </unresolved>
      <resolved/>
    </commentChains>
    <commentChains s:ref="J645" rgbClr="FF0000">
      <unresolved>
        <commentChain chainId="4ff9856270048bba8f8f8bba0a63824018ad3dcb">
          <item id="a1183f4e9a0471ba0446841493d8e4ddc5e2fc3d" isNormal="1">
            <s:text>
              <s:r>
                <s:t xml:space="preserve">Administrator:
从PO0000149转入1140PCS
从PO0000149转入1860PCS
</s:t>
              </s:r>
            </s:text>
          </item>
        </commentChain>
      </unresolved>
      <resolved/>
    </commentChains>
    <commentChains s:ref="AU645" rgbClr="FF0000">
      <unresolved>
        <commentChain chainId="17bc689c229824bc1becf638d85f74ee737fda03">
          <item id="25644b93b7b85a5f977759f0ab46db72ae11df3b" userID="1715258932" userName="严新荟" dateTime="2026-07-20T06:26:01" isNormal="0">
            <s:text>
              <s:r>
                <s:t xml:space="preserve">2200182 7/18 3000 pcs</s:t>
              </s:r>
            </s:text>
          </item>
        </commentChain>
      </unresolved>
      <resolved/>
    </commentChains>
    <commentChains s:ref="J646" rgbClr="FF0000">
      <unresolved>
        <commentChain chainId="b15569433a76b2d17a2a0df630e2932a1bbf9c57">
          <item id="0a06b0104dcec940973e06eebf539466ab61adc5" isNormal="1">
            <s:text>
              <s:r>
                <s:t xml:space="preserve">Administrator:
从PO0000151转入
</s:t>
              </s:r>
            </s:text>
          </item>
        </commentChain>
      </unresolved>
      <resolved/>
    </commentChains>
    <commentChains s:ref="AU646" rgbClr="FF0000">
      <unresolved>
        <commentChain chainId="6b0ad6fc44f3ce9af3370cf62023c4769d6b18e9">
          <item id="536e7e292421b96584243ee87acac864d0ab0c77" userID="1715258932" userName="严新荟" dateTime="2026-07-21T00:31:50" isNormal="0">
            <s:text>
              <s:r>
                <s:t xml:space="preserve">2200203 7/20 1140 PCS</s:t>
              </s:r>
            </s:text>
          </item>
        </commentChain>
      </unresolved>
      <resolved/>
    </commentChains>
    <commentChains s:ref="J647" rgbClr="FF0000">
      <unresolved>
        <commentChain chainId="480afe07d8e706522f6788c8e2c788984c9ed179">
          <item id="f9df05097dec1b35dbbab01e4a496f0ffbf7721a" isNormal="1">
            <s:text>
              <s:r>
                <s:t xml:space="preserve">Administrator:
从PO0000154-1转入</s:t>
              </s:r>
            </s:text>
          </item>
        </commentChain>
      </unresolved>
      <resolved/>
    </commentChains>
    <commentChains s:ref="AU647" rgbClr="FF0000">
      <unresolved>
        <commentChain chainId="b7176aa9c9e69c61969092b977ddc05ee9209164">
          <item id="9792221b675ca297637e0db084b3bb2ea7c89061" userID="1715258932" userName="严新荟" dateTime="2026-07-13T03:48:35" isNormal="0">
            <s:text>
              <s:r>
                <s:t xml:space="preserve">2200115 7/11 2004 PCS</s:t>
              </s:r>
            </s:text>
          </item>
        </commentChain>
      </unresolved>
      <resolved/>
    </commentChains>
    <commentChains s:ref="AU648" rgbClr="FF0000">
      <unresolved>
        <commentChain chainId="3295fde13e07fce9ef619a466e223d015a959c78">
          <item id="096ab6f9721fe1ab6c39d678d4e18d4046d9838f" userID="1715258932" userName="严新荟" dateTime="2026-07-13T03:44:22" isNormal="0">
            <s:text>
              <s:r>
                <s:t xml:space="preserve">2200124 7/11 1800 PCS</s:t>
              </s:r>
            </s:text>
          </item>
        </commentChain>
      </unresolved>
      <resolved/>
    </commentChains>
    <commentChains s:ref="AU651" rgbClr="FF0000">
      <unresolved>
        <commentChain chainId="829bc22693776875d233fe84d7318ab0c91417ea">
          <item id="040d10f6094a9d217066fd2b8130aa06257b2ed6" userID="1715258932" userName="严新荟" dateTime="2026-07-13T03:42:26" isNormal="0">
            <s:text>
              <s:r>
                <s:t xml:space="preserve">2200124 7/11 3120 PCS</s:t>
              </s:r>
            </s:text>
          </item>
        </commentChain>
      </unresolved>
      <resolved/>
    </commentChains>
    <commentChains s:ref="AU653" rgbClr="FF0000">
      <unresolved>
        <commentChain chainId="f2bfcaee7b9dde0d5e59f0f43e3640114e079779">
          <item id="6894a59392a75a0deead3bc9fb622c60431938c1" userID="1715258932" userName="严新荟" dateTime="2026-07-15T02:38:56" isNormal="0">
            <s:text>
              <s:r>
                <s:t xml:space="preserve">2200152 7/14 2742 PCS</s:t>
              </s:r>
            </s:text>
          </item>
          <item id="68d53677f0d36fbbb7fdde9ecf8751463ddbd025" userID="1715258932" userName="严新荟" dateTime="2026-07-17T03:00:47" isNormal="0">
            <s:text>
              <s:r>
                <s:t xml:space="preserve">2200169 7/16 36 pcs</s:t>
              </s:r>
            </s:text>
          </item>
        </commentChain>
      </unresolved>
      <resolved/>
    </commentChains>
    <commentChains s:ref="AU654" rgbClr="FF0000">
      <unresolved>
        <commentChain chainId="df348b70bb1111ded7aa4601e0b9436f412e0ed8">
          <item id="6a277708075713344fcf3692409430c55d09dba1" userID="1715258932" userName="严新荟" dateTime="2026-06-30T01:34:24" isNormal="0">
            <s:text>
              <s:r>
                <s:t xml:space="preserve">2500248 6/29 3096 PCS
2500257 6/30 24 pcs</s:t>
              </s:r>
            </s:text>
          </item>
        </commentChain>
      </unresolved>
      <resolved/>
    </commentChains>
    <commentChains s:ref="AU655" rgbClr="FF0000">
      <unresolved>
        <commentChain chainId="2bf5a0cf7a1b1c89654bfa2d70efe32ea876f3a1">
          <item id="85bb7a79349b037a5468bcef5db77e05595c0b75" userID="1715258932" userName="严新荟" dateTime="2026-06-30T01:04:14" isNormal="0">
            <s:text>
              <s:r>
                <s:t xml:space="preserve">2200025 6/29 2040 PCS</s:t>
              </s:r>
            </s:text>
          </item>
        </commentChain>
      </unresolved>
      <resolved/>
    </commentChains>
    <commentChains s:ref="AW655" rgbClr="FF0000">
      <unresolved>
        <commentChain chainId="41ca2bc90df258fe8ff40fda7b317e086f0dd579">
          <item id="f44a1ac22d4ed0b7586b0e2e83db2962820d8b53" userID="1715258932" userName="严新荟" dateTime="2026-06-16T07:12:40" isNormal="0">
            <s:text>
              <s:r>
                <s:t xml:space="preserve">6/16 上产品贴纸 2040 pcs</s:t>
              </s:r>
            </s:text>
          </item>
        </commentChain>
      </unresolved>
      <resolved/>
    </commentChains>
    <commentChains s:ref="AU656" rgbClr="FF0000">
      <unresolved>
        <commentChain chainId="6e22c62a69953b6d114fcd8dae5865d4dff7c5a6">
          <item id="b7902af094bb1c6a1ddc316200c82551b9e8bd2a" userID="1715258932" userName="严新荟" dateTime="2026-06-30T00:43:28" isNormal="0">
            <s:text>
              <s:r>
                <s:t xml:space="preserve">2500252 6/29 1536 PCS
2500258 6/30 24 pcs</s:t>
              </s:r>
            </s:text>
          </item>
        </commentChain>
      </unresolved>
      <resolved/>
    </commentChains>
    <commentChains s:ref="AU657" rgbClr="FF0000">
      <unresolved>
        <commentChain chainId="28f7c81bc5133e4d3e5e4cdc894f723fed61a056">
          <item id="aa383e6580630a070e3ca9088c7393855bd710cc" userID="1715258932" userName="严新荟" dateTime="2026-06-30T01:31:14" isNormal="0">
            <s:text>
              <s:r>
                <s:t xml:space="preserve">2500248 6/29 1440 PCS</s:t>
              </s:r>
            </s:text>
          </item>
        </commentChain>
      </unresolved>
      <resolved/>
    </commentChains>
    <commentChains s:ref="AU658" rgbClr="FF0000">
      <unresolved>
        <commentChain chainId="03fa64c914e77f7bb83135c0695a6f51e6765a1c">
          <item id="922e8c0a9f4a0709ddc3899606d49f352b1445cb" userID="1715258932" userName="严新荟" dateTime="2026-07-02T01:39:54" isNormal="0">
            <s:text>
              <s:r>
                <s:t xml:space="preserve">22000054 6/30 552 pcs
2200047 7/6  552 pcs
2200096 7/9  96 pcs</s:t>
              </s:r>
            </s:text>
          </item>
        </commentChain>
      </unresolved>
      <resolved/>
    </commentChains>
    <commentChains s:ref="AU660" rgbClr="FF0000">
      <unresolved>
        <commentChain chainId="2a505a1292dca7b8563a905d58e51356a62960ed">
          <item id="fc4a0dcecf7b0fcee674cf4a0924028fc88eba0e" userID="1715258932" userName="严新荟" dateTime="2026-07-13T03:43:19" isNormal="0">
            <s:text>
              <s:r>
                <s:t xml:space="preserve">2200124 7/11 1512 PCS</s:t>
              </s:r>
            </s:text>
          </item>
        </commentChain>
      </unresolved>
      <resolved/>
    </commentChains>
    <commentChains s:ref="AU661" rgbClr="FF0000">
      <unresolved>
        <commentChain chainId="ffda3176db3f21e5911c20e5a61e48c84b6be40f">
          <item id="b75bbd2457ed23f15faeb1a022e97e3e994ffd62" userID="1715258932" userName="严新荟" dateTime="2026-07-13T03:48:12" isNormal="0">
            <s:text>
              <s:r>
                <s:t xml:space="preserve">2200115 7/11 4080 PCS</s:t>
              </s:r>
            </s:text>
          </item>
        </commentChain>
      </unresolved>
      <resolved/>
    </commentChains>
    <commentChains s:ref="AU662" rgbClr="FF0000">
      <unresolved>
        <commentChain chainId="f0449a5d39f22c0c5c95ef0fd83928e511646040">
          <item id="b426e2a4ff7c6b4694219d29d561ad103d18ef02" userID="1715258932" userName="严新荟" dateTime="2026-07-11T03:34:58" isNormal="0">
            <s:text>
              <s:r>
                <s:t xml:space="preserve">2200102 7/10 1560 pcs</s:t>
              </s:r>
            </s:text>
          </item>
        </commentChain>
      </unresolved>
      <resolved/>
    </commentChains>
    <commentChains s:ref="AU663" rgbClr="FF0000">
      <unresolved>
        <commentChain chainId="2f8a90326840a48e673c758373630556b0471b1f">
          <item id="e0021d64e4d7e183e4ab87165292b744edab1a88" userID="1715258932" userName="严新荟" dateTime="2026-06-30T00:47:47" isNormal="0">
            <s:text>
              <s:r>
                <s:t xml:space="preserve">2200025 6/29 1536 PCS
2200077 7/3 24 pcs</s:t>
              </s:r>
            </s:text>
          </item>
        </commentChain>
      </unresolved>
      <resolved/>
    </commentChains>
    <commentChains s:ref="AU664" rgbClr="FF0000">
      <unresolved>
        <commentChain chainId="8150afbcbdb5f918ec5ea328d546f7fc85cdc22a">
          <item id="af1a33cf6d6081633fc21f0840a23190e9013d21" userID="1715258932" userName="严新荟" dateTime="2026-07-16T03:15:09" isNormal="0">
            <s:text>
              <s:r>
                <s:t xml:space="preserve">2200158 7/15 944 pcs
2200168 7/16 16 pcs</s:t>
              </s:r>
            </s:text>
          </item>
        </commentChain>
      </unresolved>
      <resolved/>
    </commentChains>
    <commentChains s:ref="AU665" rgbClr="FF0000">
      <unresolved>
        <commentChain chainId="60da423a8d1bee31c0aee23fbb83f87316e92c13">
          <item id="007f10a34924169dbdff0be5913b701e0f77d756" userID="1715258932" userName="严新荟" dateTime="2026-06-30T01:32:50" isNormal="0">
            <s:text>
              <s:r>
                <s:t xml:space="preserve">2500248 6/29 3120 PCS</s:t>
              </s:r>
            </s:text>
          </item>
        </commentChain>
      </unresolved>
      <resolved/>
    </commentChains>
    <commentChains s:ref="AU666" rgbClr="FF0000">
      <unresolved>
        <commentChain chainId="b99cade732783d7e6a175435defe524c87540868">
          <item id="c988e0548067f1ec39fff6db89406fcb861239cb" userID="1715258932" userName="严新荟" dateTime="2026-06-30T00:43:54" isNormal="0">
            <s:text>
              <s:r>
                <s:t xml:space="preserve">2500252 6/29 720 PCS</s:t>
              </s:r>
            </s:text>
          </item>
        </commentChain>
      </unresolved>
      <resolved/>
    </commentChains>
    <commentChains s:ref="AU667" rgbClr="FF0000">
      <unresolved>
        <commentChain chainId="85b72363345c549026eccfa68163f7abb5168fa4">
          <item id="b8323b7678fb1546f1623cfc776f5dc9488879f1" userID="1715258932" userName="严新荟" dateTime="2026-07-13T03:43:54" isNormal="0">
            <s:text>
              <s:r>
                <s:t xml:space="preserve">2200124 7/11 1560 PCS</s:t>
              </s:r>
            </s:text>
          </item>
        </commentChain>
      </unresolved>
      <resolved/>
    </commentChains>
    <commentChains s:ref="AU668" rgbClr="FF0000">
      <unresolved>
        <commentChain chainId="36b0969be62ed6afd4221332ad3a7b50f5d4dea2">
          <item id="435278a90875a445c4a07c090c1facd060b05206" userID="1715258932" userName="严新荟" dateTime="2026-06-30T01:10:15" isNormal="0">
            <s:text>
              <s:r>
                <s:t xml:space="preserve">2200025 6/29 1200 PCS</s:t>
              </s:r>
            </s:text>
          </item>
        </commentChain>
      </unresolved>
      <resolved/>
    </commentChains>
    <commentChains s:ref="AU669" rgbClr="FF0000">
      <unresolved>
        <commentChain chainId="72e670e3c241b271618c735db730820416d55870">
          <item id="530b823e1e41ddbfd92864640163e5dfbda7c4fc" userID="1715258932" userName="严新荟" dateTime="2026-07-11T03:39:08" isNormal="0">
            <s:text>
              <s:r>
                <s:t xml:space="preserve">2200102 7/10 1560 pcs</s:t>
              </s:r>
            </s:text>
          </item>
        </commentChain>
      </unresolved>
      <resolved/>
    </commentChains>
    <commentChains s:ref="AW669" rgbClr="FF0000">
      <unresolved>
        <commentChain chainId="4991c4e6f7b64f3bdc6476dac45ea5dd948f895d">
          <item id="c6c345fa52afd0f66472dfaefff50e56ac68502b" userID="1715258932" userName="严新荟" dateTime="2026-06-16T07:15:18" isNormal="0">
            <s:text>
              <s:r>
                <s:t xml:space="preserve">6/16 上产品贴纸 1560 pcs</s:t>
              </s:r>
            </s:text>
          </item>
        </commentChain>
      </unresolved>
      <resolved/>
    </commentChains>
    <commentChains s:ref="J673" rgbClr="FF0000">
      <unresolved>
        <commentChain chainId="c53d7944b90d46644dba01fde414665fc724ba71">
          <item id="c036a03b49c251b2ef561f3cb16b146413648f4f" isNormal="1">
            <s:text>
              <s:r>
                <s:t xml:space="preserve">Administrator:
从PO0000217转入</s:t>
              </s:r>
            </s:text>
          </item>
        </commentChain>
      </unresolved>
      <resolved/>
    </commentChains>
    <commentChains s:ref="AU674" rgbClr="FF0000">
      <unresolved>
        <commentChain chainId="20f171fcde3c4e447aef14931104b15db3d0d9e3">
          <item id="772de9311ccf07122b0888bf1822d5190b234ecb" userID="1715258932" userName="严新荟" dateTime="2026-07-27T02:33:02" isNormal="0">
            <s:text>
              <s:r>
                <s:t xml:space="preserve">2200254 7/25 72 pcs
2200250 7/25 3432 pcs</s:t>
              </s:r>
            </s:text>
          </item>
        </commentChain>
      </unresolved>
      <resolved/>
    </commentChains>
    <commentChains s:ref="AU675" rgbClr="FF0000">
      <unresolved>
        <commentChain chainId="2e210dbacef45b27d5f9f21efb2793620489593e">
          <item id="7b72ead7b9cdc6f5aa547f04c04f8fe359f02dd0" userID="1715258932" userName="严新荟" dateTime="2026-07-31T01:58:35" isNormal="0">
            <s:text>
              <s:r>
                <s:t xml:space="preserve">2801916 7/30 2016 pcs
2801923 7/31 24 pcs</s:t>
              </s:r>
            </s:text>
          </item>
        </commentChain>
      </unresolved>
      <resolved/>
    </commentChains>
    <commentChains s:ref="AW676" rgbClr="FF0000">
      <unresolved>
        <commentChain chainId="5e65f633e3de03f683457c43ba5bb425a47487b2">
          <item id="291645b96ec8215216c558ed4c6cee9f150b73eb" userID="1715258932" userName="严新荟" dateTime="2026-06-16T07:12:08" isNormal="0">
            <s:text>
              <s:r>
                <s:t xml:space="preserve">6/15 2400  pcs</s:t>
              </s:r>
            </s:text>
          </item>
        </commentChain>
      </unresolved>
      <resolved/>
    </commentChains>
    <commentChains s:ref="AU677" rgbClr="FF0000">
      <unresolved>
        <commentChain chainId="5bfc8cb4156373bb3fa40e1aee5ccecf6c6c7fac">
          <item id="1841238dc7a8b35ae95b64f0a6a4084c5560b590" userID="1715258932" userName="严新荟" dateTime="2026-06-30T01:31:45" isNormal="0">
            <s:text>
              <s:r>
                <s:t xml:space="preserve">2500248 6/29 2760 PCS</s:t>
              </s:r>
            </s:text>
          </item>
        </commentChain>
      </unresolved>
      <resolved/>
    </commentChains>
    <commentChains s:ref="AU678" rgbClr="FF0000">
      <unresolved>
        <commentChain chainId="27dd5bc5a58cb5ff87be5a493231d175cbaec6ef">
          <item id="1020afcf8ec6054dcf97689d82792cb250594dc7" userID="1715258932" userName="严新荟" dateTime="2026-07-13T03:40:31" isNormal="0">
            <s:text>
              <s:r>
                <s:t xml:space="preserve">2200124 7/11 2760 pcs</s:t>
              </s:r>
            </s:text>
          </item>
        </commentChain>
      </unresolved>
      <resolved/>
    </commentChains>
    <commentChains s:ref="AU679" rgbClr="FF0000">
      <unresolved>
        <commentChain chainId="8e99b2962fde9331429e80a2169554ed6510a4b3">
          <item id="13e642871e594951e47bcc6f6436aad435c9cff1" userID="1715258932" userName="严新荟" dateTime="2026-07-03T06:11:32" isNormal="0">
            <s:text>
              <s:r>
                <s:t xml:space="preserve">2200073 7/2 1800 pcs</s:t>
              </s:r>
            </s:text>
          </item>
        </commentChain>
      </unresolved>
      <resolved/>
    </commentChains>
    <commentChains s:ref="AW679" rgbClr="FF0000">
      <unresolved>
        <commentChain chainId="503889513c93b3579fa2aa45fe63fea1c3a8f73f">
          <item id="dec9accff45bf6be279dc8a6d118f0f5e29bb1c5" userID="1715258932" userName="严新荟" dateTime="2026-06-16T07:12:40" isNormal="0">
            <s:text>
              <s:r>
                <s:t xml:space="preserve">6/16 上产品贴纸 1800 pcs</s:t>
              </s:r>
            </s:text>
          </item>
        </commentChain>
      </unresolved>
      <resolved/>
    </commentChains>
    <commentChains s:ref="AU680" rgbClr="FF0000">
      <unresolved>
        <commentChain chainId="08bfde39c64d80eb67ec2162154610ee6de1a87e">
          <item id="bfebe6cd0f256ebee95a78654eb1cf8cc85d6e12" userID="1715258932" userName="严新荟" dateTime="2026-06-30T00:42:26" isNormal="0">
            <s:text>
              <s:r>
                <s:t xml:space="preserve">2500252 6/29 600 PCS</s:t>
              </s:r>
            </s:text>
          </item>
        </commentChain>
      </unresolved>
      <resolved/>
    </commentChains>
    <commentChains s:ref="AU681" rgbClr="FF0000">
      <unresolved>
        <commentChain chainId="6496acfc7b0b7f7a46852bc08933a031a5cdeeda">
          <item id="1f6add0e68f1528f1b56e98a2f8f9c0cd60bc9b5" userID="1715258932" userName="严新荟" dateTime="2026-06-30T01:31:45" isNormal="0">
            <s:text>
              <s:r>
                <s:t xml:space="preserve">2500248 6/29 1404 PCS</s:t>
              </s:r>
            </s:text>
          </item>
        </commentChain>
      </unresolved>
      <resolved/>
    </commentChains>
    <commentChains s:ref="AU682" rgbClr="FF0000">
      <unresolved>
        <commentChain chainId="fe53cf43f00f216dff62e4e197e2721d2d8b0657">
          <item id="b2108e99fb63b2e5a1e00bc29951619f4b531001" userID="1715258932" userName="严新荟" dateTime="2026-07-02T01:39:23" isNormal="0">
            <s:text>
              <s:r>
                <s:t xml:space="preserve">2200054 6/30 1200 pcs</s:t>
              </s:r>
            </s:text>
          </item>
        </commentChain>
      </unresolved>
      <resolved/>
    </commentChains>
    <commentChains s:ref="AU684" rgbClr="FF0000">
      <unresolved>
        <commentChain chainId="e7a8b5c00b471dda854bd6ee0f90be397ac15a3d">
          <item id="a1c6fac0e71f2e1289f47ea652e2aced0fdf6cff" userID="1715258932" userName="严新荟" dateTime="2026-07-13T03:40:08" isNormal="0">
            <s:text>
              <s:r>
                <s:t xml:space="preserve">2200124 7/11 1800 pcs</s:t>
              </s:r>
            </s:text>
          </item>
        </commentChain>
      </unresolved>
      <resolved/>
    </commentChains>
    <commentChains s:ref="AU685" rgbClr="FF0000">
      <unresolved>
        <commentChain chainId="9f54d05be7feb039f4a6b1548ad77899702b64c5">
          <item id="b7c1ae0fa8f24426217921c295c17afa16f0bb45" userID="1715258932" userName="严新荟" dateTime="2026-07-11T03:38:41" isNormal="0">
            <s:text>
              <s:r>
                <s:t xml:space="preserve">2200102 7/10 1440 pcs</s:t>
              </s:r>
            </s:text>
          </item>
        </commentChain>
      </unresolved>
      <resolved/>
    </commentChains>
    <commentChains s:ref="AW685" rgbClr="FF0000">
      <unresolved>
        <commentChain chainId="560760f28c089ad0113fcbc0a518fc65b8e8850f">
          <item id="a6cc26e4d0ad19730bf319f70228b76c4ad05e7a" userID="1715258932" userName="严新荟" dateTime="2026-06-16T07:15:18" isNormal="0">
            <s:text>
              <s:r>
                <s:t xml:space="preserve">6/16 上产品贴纸 1440 pcs</s:t>
              </s:r>
            </s:text>
          </item>
        </commentChain>
      </unresolved>
      <resolved/>
    </commentChains>
    <commentChains s:ref="AU686" rgbClr="FF0000">
      <unresolved>
        <commentChain chainId="7af0a8ded3c43f8c20c4ea4e4e38b42ef607fd7f">
          <item id="1072b13bb690e504f08df15f09aca9c39aeb57a3" userID="1715258932" userName="严新荟" dateTime="2026-07-11T03:38:09" isNormal="0">
            <s:text>
              <s:r>
                <s:t xml:space="preserve">2200102 7/10 4896 pcs
2200107 7/11 24 pcs</s:t>
              </s:r>
            </s:text>
          </item>
        </commentChain>
      </unresolved>
      <resolved/>
    </commentChains>
    <commentChains s:ref="AU687" rgbClr="FF0000">
      <unresolved>
        <commentChain chainId="4c4f2ab0a05fcf8d79ce06f97cd1632db818dbac">
          <item id="9fa0be51e94124ada4c17fa7930fe05e17029f91" userID="1715258932" userName="严新荟" dateTime="2026-07-09T01:45:35" isNormal="0">
            <s:text>
              <s:r>
                <s:t xml:space="preserve">2500228 7/8 1440 pcs</s:t>
              </s:r>
            </s:text>
          </item>
        </commentChain>
      </unresolved>
      <resolved/>
    </commentChains>
    <commentChains s:ref="AU688" rgbClr="FF0000">
      <unresolved>
        <commentChain chainId="e03272c91e943fe3704163e774bb1a533794be93">
          <item id="51dd5e7e0fac4865f9ff8d27bf36c70616985504" userID="1715258932" userName="严新荟" dateTime="2026-07-03T07:04:01" isNormal="0">
            <s:text>
              <s:r>
                <s:t xml:space="preserve">2200073 7/2 2040 pcs</s:t>
              </s:r>
            </s:text>
          </item>
        </commentChain>
      </unresolved>
      <resolved/>
    </commentChains>
    <commentChains s:ref="AU689" rgbClr="FF0000">
      <unresolved>
        <commentChain chainId="b87008a7292b5c0caf8a75798a3169c03ace5208">
          <item id="92cf428bb982b3ba53d75b4a465ca37a11e38695" userID="1715258932" userName="严新荟" dateTime="2026-07-15T02:40:16" isNormal="0">
            <s:text>
              <s:r>
                <s:t xml:space="preserve">2200152 7/14 1184 PCS
2200168 7/16 16 pcs</s:t>
              </s:r>
            </s:text>
          </item>
        </commentChain>
      </unresolved>
      <resolved/>
    </commentChains>
    <commentChains s:ref="AU690" rgbClr="FF0000">
      <unresolved>
        <commentChain chainId="aedeb3cccbd941508e591a6d49ed982dcf7a817e">
          <item id="01d73613edcc6e1af33e77db013cde04145718e3" userID="1715258932" userName="严新荟" dateTime="2026-07-13T03:39:47" isNormal="0">
            <s:text>
              <s:r>
                <s:t xml:space="preserve">2200124 7/11 1440 pcs</s:t>
              </s:r>
            </s:text>
          </item>
        </commentChain>
      </unresolved>
      <resolved/>
    </commentChains>
    <commentChains s:ref="AU691" rgbClr="FF0000">
      <unresolved>
        <commentChain chainId="a911b689850a55268882a94d515af56b96fd2146">
          <item id="20c6adc180e31197080556f5bf63fbeb7352a51d" userID="1715258932" userName="严新荟" dateTime="2026-06-30T00:42:56" isNormal="0">
            <s:text>
              <s:r>
                <s:t xml:space="preserve">2500252 6/29 960 PCS</s:t>
              </s:r>
            </s:text>
          </item>
        </commentChain>
      </unresolved>
      <resolved/>
    </commentChains>
    <commentChains s:ref="AU692" rgbClr="FF0000">
      <unresolved>
        <commentChain chainId="c5317e0112cc05beab13e4af111eba4f9d0c811f">
          <item id="95b75ce55447592bec5825ee35046746b0e2d45e" userID="1715258932" userName="严新荟" dateTime="2026-06-30T01:03:04" isNormal="0">
            <s:text>
              <s:r>
                <s:t xml:space="preserve">2200025 6/29 1200 PCS</s:t>
              </s:r>
            </s:text>
          </item>
        </commentChain>
      </unresolved>
      <resolved/>
    </commentChains>
    <commentChains s:ref="AU693" rgbClr="FF0000">
      <unresolved>
        <commentChain chainId="ea7c294d34f0d4661b239da64a159562c180a04d">
          <item id="fabcab3c59cb794f0d6aa4a4f2fca4d118478ed4" userID="1715258932" userName="严新荟" dateTime="2026-07-13T03:30:46" isNormal="0">
            <s:text>
              <s:r>
                <s:t xml:space="preserve">2200117 7/11 1200 pcs</s:t>
              </s:r>
            </s:text>
          </item>
        </commentChain>
      </unresolved>
      <resolved/>
    </commentChains>
    <commentChains s:ref="AU694" rgbClr="FF0000">
      <unresolved>
        <commentChain chainId="c365c15cee052881e44ee348b981e926f74fbe6f">
          <item id="b6b030e27a27975b39f79090edcbd8845607de31" userID="1715258932" userName="严新荟" dateTime="2026-07-13T03:40:31" isNormal="0">
            <s:text>
              <s:r>
                <s:t xml:space="preserve">2200124 7/11 1560 pcs</s:t>
              </s:r>
            </s:text>
          </item>
        </commentChain>
      </unresolved>
      <resolved/>
    </commentChains>
    <commentChains s:ref="J698" rgbClr="FF0000">
      <unresolved>
        <commentChain chainId="fca2d13207fff346e12ab6b959ad0e60dde7c1c5">
          <item id="456f44bda0349e2e7216dc0d95acd708afc876e0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699" rgbClr="FF0000">
      <unresolved>
        <commentChain chainId="26b5a0140b1d6b2351fbb5fb7b8bd5bf7ce371ee">
          <item id="6cc1cf033f7ab92a9e5576d0f4d858df3767a904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700" rgbClr="FF0000">
      <unresolved>
        <commentChain chainId="c3e2090c80581967660c4983928c5fa289afe733">
          <item id="3a663ecad0e63f5cd87fc88fec0af847da839d46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702" rgbClr="FF0000">
      <unresolved>
        <commentChain chainId="19ca241895029aff53835bdfd6a59640325ee56e">
          <item id="9fb1527c1bc767a27b404e488adca2cc1d8836fc" isNormal="1">
            <s:text>
              <s:r>
                <s:t xml:space="preserve">Administrator:
从PO0000205转入
</s:t>
              </s:r>
            </s:text>
          </item>
        </commentChain>
      </unresolved>
      <resolved/>
    </commentChains>
    <commentChains s:ref="AW704" rgbClr="FF0000">
      <unresolved>
        <commentChain chainId="41519020212775527ef53a15fd7aec514a4c5809">
          <item id="3f8f19b45091fd1d66064fa96a64db7a09ac14c3" userID="1715258932" userName="严新荟" dateTime="2026-07-08T08:32:15" isNormal="0">
            <s:text>
              <s:r>
                <s:t xml:space="preserve">7/8 送外箱贴纸 234 pcs</s:t>
              </s:r>
            </s:text>
          </item>
        </commentChain>
      </unresolved>
      <resolved/>
    </commentChains>
    <commentChains s:ref="AW705" rgbClr="FF0000">
      <unresolved>
        <commentChain chainId="7324b20dc82f7a96cc56d74d77cbe8d167d4fd09">
          <item id="c47c33bc3de34c50121e99ee9e108a42bb75e9aa" userID="1715258932" userName="严新荟" dateTime="2026-07-08T08:32:15" isNormal="0">
            <s:text>
              <s:r>
                <s:t xml:space="preserve">7/8 送外箱贴纸 234 pcs</s:t>
              </s:r>
            </s:text>
          </item>
        </commentChain>
      </unresolved>
      <resolved/>
    </commentChains>
    <commentChains s:ref="AW706" rgbClr="FF0000">
      <unresolved>
        <commentChain chainId="b8661c9a3d66a24222015230f07d0d4406eff077">
          <item id="d1638a104c23b2a0e88c0020227f2c04cf3cca84" userID="1715258932" userName="严新荟" dateTime="2026-07-08T08:32:15" isNormal="0">
            <s:text>
              <s:r>
                <s:t xml:space="preserve">7/8 送外箱贴纸 186 pcs</s:t>
              </s:r>
            </s:text>
          </item>
        </commentChain>
      </unresolved>
      <resolved/>
    </commentChains>
    <commentChains s:ref="AU707" rgbClr="FF0000">
      <unresolved>
        <commentChain chainId="851ececf7948f550a3eac0e417139bdb9191edb6">
          <item id="a567cdee2f9c1b50d1cb002f6d3af9fbc0daf87d" userID="1715258932" userName="严新荟" dateTime="2026-07-11T06:39:35" isNormal="0">
            <s:text>
              <s:r>
                <s:t xml:space="preserve">2200102 7/10 2700 pcs
2200152 7/14 3000 PCS</s:t>
              </s:r>
            </s:text>
          </item>
        </commentChain>
      </unresolved>
      <resolved/>
    </commentChains>
    <commentChains s:ref="AW707" rgbClr="FF0000">
      <unresolved>
        <commentChain chainId="4bfdaef739befe25c7ec340aebd47e87ceffae14">
          <item id="c9ee71207cbb24b23c163458f79365dd882a4dd9" userID="1715258932" userName="严新荟" dateTime="2026-07-18T08:13:04" isNormal="0">
            <s:text>
              <s:r>
                <s:t xml:space="preserve">7/7 外箱贴纸  76 pcs</s:t>
              </s:r>
            </s:text>
          </item>
        </commentChain>
      </unresolved>
      <resolved/>
    </commentChains>
    <commentChains s:ref="AU708" rgbClr="FF0000">
      <unresolved>
        <commentChain chainId="3d2e0b7d186238acdd7db89827f66c822260cd0a">
          <item id="886b7f2e8795b34f8e379ebde0d13d1d90262ae9" userID="1715258932" userName="严新荟" dateTime="2026-07-14T01:55:35" isNormal="0">
            <s:text>
              <s:r>
                <s:t xml:space="preserve">2200128 7/13 6975 pcs
2801903 7/27 75 pcs</s:t>
              </s:r>
            </s:text>
          </item>
        </commentChain>
      </unresolved>
      <resolved/>
    </commentChains>
    <commentChains s:ref="AW708" rgbClr="FF0000">
      <unresolved>
        <commentChain chainId="3f9e46ea050efe96e497be29efee7a1347156efb">
          <item id="c19593836e4dcdc474a8ddcefadc6dc2e57b3341" userID="1715258932" userName="严新荟" dateTime="2026-07-18T08:13:04" isNormal="0">
            <s:text>
              <s:r>
                <s:t xml:space="preserve">7/7 外箱贴纸  94 pcs</s:t>
              </s:r>
            </s:text>
          </item>
        </commentChain>
      </unresolved>
      <resolved/>
    </commentChains>
    <commentChains s:ref="AU709" rgbClr="FF0000">
      <unresolved>
        <commentChain chainId="cd933a9d40c000eb7ebede29b0d768347d3cb2d3">
          <item id="0592e30b9f9d9fb7fce498fe3d6cd62d2e68e700" userID="1715258932" userName="严新荟" dateTime="2026-07-16T03:19:10" isNormal="0">
            <s:text>
              <s:r>
                <s:t xml:space="preserve">2200158 7/15 3375 pcs
1001854 7/23 150 pcs
2200236 7/23 2025 pcs
2200242 7/24 150 pcs</s:t>
              </s:r>
            </s:text>
          </item>
        </commentChain>
      </unresolved>
      <resolved/>
    </commentChains>
    <commentChains s:ref="AW709" rgbClr="FF0000">
      <unresolved>
        <commentChain chainId="8fab2f9cb5d9233bd176793dd4a1da5b8ff98675">
          <item id="ea6bb015d743559499e749c15afa74420faabe67" userID="1715258932" userName="严新荟" dateTime="2026-07-18T08:13:04" isNormal="0">
            <s:text>
              <s:r>
                <s:t xml:space="preserve">7/7 外箱贴纸  76 pcs</s:t>
              </s:r>
            </s:text>
          </item>
        </commentChain>
      </unresolved>
      <resolved/>
    </commentChains>
    <commentChains s:ref="AU710" rgbClr="FF0000">
      <unresolved>
        <commentChain chainId="2e825285345cf6916a77244366dbe0212ff620ff">
          <item id="279885c5bd520f4e4cedd17393771828bb54afd9" userID="1715258932" userName="严新荟" dateTime="2026-07-22T02:16:56" isNormal="0">
            <s:text>
              <s:r>
                <s:t xml:space="preserve">2200207 7/21 3150 pcs
1001854 7/22 1200 pcs
2200236 7/23 2700 pcs</s:t>
              </s:r>
            </s:text>
          </item>
        </commentChain>
      </unresolved>
      <resolved/>
    </commentChains>
    <commentChains s:ref="AW710" rgbClr="FF0000">
      <unresolved>
        <commentChain chainId="61e1fcbc59ec40555ed520baf6a8f8f92871b14b">
          <item id="084ef6a4800a68ace0f4dd9c9ba6b8d4a4170ed0" userID="1715258932" userName="严新荟" dateTime="2026-07-18T08:13:04" isNormal="0">
            <s:text>
              <s:r>
                <s:t xml:space="preserve">7/7 外箱贴纸  94 pcs</s:t>
              </s:r>
            </s:text>
          </item>
        </commentChain>
      </unresolved>
      <resolved/>
    </commentChains>
    <commentChains s:ref="J711" rgbClr="FF0000">
      <unresolved>
        <commentChain chainId="6c4038aaa63184d3da5d0a68978cadb709d11eae">
          <item id="eef5e0389cb83ccc8ddd684117f82341427b4812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AW713" rgbClr="FF0000">
      <unresolved>
        <commentChain chainId="885693084fcd71295d88cb1d230d8eba42a9023e">
          <item id="c9712f90d98b2a13aa05d36fc6f87968a8fde94e" userID="1715258932" userName="严新荟" dateTime="2026-07-09T11:44:40" isNormal="0">
            <s:text>
              <s:r>
                <s:t xml:space="preserve">7/9 1600 pcs</s:t>
              </s:r>
            </s:text>
          </item>
        </commentChain>
      </unresolved>
      <resolved/>
    </commentChains>
    <commentChains s:ref="AW714" rgbClr="FF0000">
      <unresolved>
        <commentChain chainId="c23bc71eab05f34bc538c6fadb2434591ebe59bf">
          <item id="e9ebe8d3dadd597a6d05c742f18872b4bea1b650" userID="1715258932" userName="严新荟" dateTime="2026-07-09T11:44:40" isNormal="0">
            <s:text>
              <s:r>
                <s:t xml:space="preserve">7/9 1600 pcs</s:t>
              </s:r>
            </s:text>
          </item>
        </commentChain>
      </unresolved>
      <resolved/>
    </commentChains>
    <commentChains s:ref="AU715" rgbClr="FF0000">
      <unresolved>
        <commentChain chainId="a12949a40f8bd4fd496fb67780c5deb10440379b">
          <item id="cac1697498d24f1541928371f9970f34439846be" userID="1715258932" userName="严新荟" dateTime="2026-07-08T02:37:59" isNormal="0">
            <s:text>
              <s:r>
                <s:t xml:space="preserve">2500237 7/7 4296 pcs</s:t>
              </s:r>
            </s:text>
          </item>
        </commentChain>
      </unresolved>
      <resolved/>
    </commentChains>
    <commentChains s:ref="AU716" rgbClr="FF0000">
      <unresolved>
        <commentChain chainId="383beccec8a187f6765613cbd4da5d273c8983ef">
          <item id="bbf069310335550677bd6ae99c49fbdab625ead4" userID="1715258932" userName="严新荟" dateTime="2026-07-10T03:28:21" isNormal="0">
            <s:text>
              <s:r>
                <s:t xml:space="preserve">2200099 7/9 19992 PCS
2200107 7/11 24 pcs</s:t>
              </s:r>
            </s:text>
          </item>
        </commentChain>
      </unresolved>
      <resolved/>
    </commentChains>
    <commentChains s:ref="AU717" rgbClr="FF0000">
      <unresolved>
        <commentChain chainId="69370c918a47ba788d438aa6fe736493595caad5">
          <item id="395b82868a0e909a727ffbaccf16afdeb92748f7" userID="1715258932" userName="严新荟" dateTime="2026-06-27T07:10:52" isNormal="0">
            <s:text>
              <s:r>
                <s:t xml:space="preserve">2200016 6/26 20016 PCS</s:t>
              </s:r>
            </s:text>
          </item>
        </commentChain>
      </unresolved>
      <resolved/>
    </commentChains>
    <commentChains s:ref="AU718" rgbClr="FF0000">
      <unresolved>
        <commentChain chainId="2fc3b503fc71599a8bb3ae5c256f72aeaa918fa1">
          <item id="37aa9faa980bfcef8d7be6bdb0df0fff779773fc" userID="1715258932" userName="严新荟" dateTime="2026-06-16T02:17:02" isNormal="0">
            <s:text>
              <s:r>
                <s:t xml:space="preserve">2500323 6/15 3864 pcs
2500197 6/18 84 pcs</s:t>
              </s:r>
            </s:text>
          </item>
        </commentChain>
      </unresolved>
      <resolved/>
    </commentChains>
    <commentChains s:ref="J720" rgbClr="FF0000">
      <unresolved>
        <commentChain chainId="09376ad67dfdf4c97da2119cbe39f87e11c8306f">
          <item id="62e19660d992ce4b1f3e315f3568752c4d64713a" isNormal="1">
            <s:text>
              <s:r>
                <s:t xml:space="preserve">Administrator:
从PO0000214转入</s:t>
              </s:r>
            </s:text>
          </item>
        </commentChain>
      </unresolved>
      <resolved/>
    </commentChains>
    <commentChains s:ref="J721" rgbClr="FF0000">
      <unresolved>
        <commentChain chainId="a3d456e2ad3a7f4f1c4bbedf7a5e842a0d8fc742">
          <item id="158f3ddfda47f88f68697fd130e1967bab561dad" isNormal="1">
            <s:text>
              <s:r>
                <s:t xml:space="preserve">Administrator:
从PO0000214转入</s:t>
              </s:r>
            </s:text>
          </item>
        </commentChain>
      </unresolved>
      <resolved/>
    </commentChains>
    <commentChains s:ref="J722" rgbClr="FF0000">
      <unresolved>
        <commentChain chainId="1592eb5c35b7e46e2a4b049c76010c46fd66b8a7">
          <item id="2106f569a7da46bbf03bd83b892b51ee76edd14f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723" rgbClr="FF0000">
      <unresolved>
        <commentChain chainId="b7350f81445ad23203a8ff4952189045acbae013">
          <item id="6ae50dd49ca17bae74edd873a07c242c6d4c678b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AW724" rgbClr="FF0000">
      <unresolved>
        <commentChain chainId="bc849558cd248651b2e5242a618dffe209863582">
          <item id="f6e1e889ef86646a9e8aa18943869624f75df5cc" userID="1715258932" userName="严新荟" dateTime="2026-07-18T07:48:54" isNormal="0">
            <s:text>
              <s:r>
                <s:t xml:space="preserve">7/13 外箱贴纸2944 pcs</s:t>
              </s:r>
            </s:text>
          </item>
        </commentChain>
      </unresolved>
      <resolved/>
    </commentChains>
    <commentChains s:ref="AW725" rgbClr="FF0000">
      <unresolved>
        <commentChain chainId="d8e21b5cd03df552e98fa1717e512e54eb4ed191">
          <item id="831b5ebd86757d41749d52c719833df2f9a9f3b5" userID="1715258932" userName="严新荟" dateTime="2026-07-18T07:58:15" isNormal="0">
            <s:text>
              <s:r>
                <s:t xml:space="preserve">7/11 外箱贴纸 2944 pcs</s:t>
              </s:r>
            </s:text>
          </item>
        </commentChain>
      </unresolved>
      <resolved/>
    </commentChains>
    <commentChains s:ref="AW726" rgbClr="FF0000">
      <unresolved>
        <commentChain chainId="eefd9b97bff3831c732e421e1155bf257c23ad9d">
          <item id="9823e83a61a4049633853be8a7a0c98ae307e4ea" userID="1715258932" userName="严新荟" dateTime="2026-07-18T07:49:44" isNormal="0">
            <s:text>
              <s:r>
                <s:t xml:space="preserve">7/13 外箱贴纸 1675 pcs
7/21 外箱贴纸 1269 pcs</s:t>
              </s:r>
            </s:text>
          </item>
        </commentChain>
      </unresolved>
      <resolved/>
    </commentChains>
    <commentChains s:ref="AU727" rgbClr="FF0000">
      <unresolved>
        <commentChain chainId="8ad54b91250e56a389d97edf6936b4acc7f3c294">
          <item id="35709a3810baa328852c1b64218b9d3c64f93593" userID="1715258932" userName="严新荟" dateTime="2026-07-09T01:44:42" isNormal="0">
            <s:text>
              <s:r>
                <s:t xml:space="preserve">2500228 7/8 36816 pcs
2200096 7/9 8640 PCS
2200127 7/13 5232 pcs
2200169 7/16 2564 pcs
2200174 7/17 3456 pcs
2200182 7/18 1800 pcs</s:t>
              </s:r>
            </s:text>
          </item>
        </commentChain>
      </unresolved>
      <resolved/>
    </commentChains>
    <commentChains s:ref="AW727" rgbClr="FF0000">
      <unresolved>
        <commentChain chainId="ea987b730aeb95ba3dac7187acfe583f9015cb00">
          <item id="ca8e624a5ecb1ed77f69b40d22d013136eca15fa" userID="1715258932" userName="严新荟" dateTime="2026-07-13T11:29:05" isNormal="0">
            <s:text>
              <s:r>
                <s:t xml:space="preserve">7/13 2437 PCS5</s:t>
              </s:r>
            </s:text>
          </item>
        </commentChain>
      </unresolved>
      <resolved/>
    </commentChains>
    <commentChains s:ref="AU728" rgbClr="FF0000">
      <unresolved>
        <commentChain chainId="2ddda231879be1605ad6f26ca69a77e753ddd75b">
          <item id="d5b937e5d2e20f3231ee31a08562f5906b96070d" userID="1715258932" userName="严新荟" dateTime="2026-06-30T01:25:42" isNormal="0">
            <s:text>
              <s:r>
                <s:t xml:space="preserve">2200026 6/29 9504 PCS
2200073 7/2 288 pcs</s:t>
              </s:r>
            </s:text>
          </item>
        </commentChain>
      </unresolved>
      <resolved/>
    </commentChains>
    <commentChains s:ref="AW728" rgbClr="FF0000">
      <unresolved>
        <commentChain chainId="7521bfb99f832d34ed9b272107afd8362cc730ca">
          <item id="f3eb62efc19b7bd8a78c6ba5fa74b2c01237d13c" userID="1715258932" userName="严新荟" dateTime="2026-07-21T01:07:54" isNormal="0">
            <s:text>
              <s:r>
                <s:t xml:space="preserve">7/21 外箱贴纸 68 pcs</s:t>
              </s:r>
            </s:text>
          </item>
        </commentChain>
      </unresolved>
      <resolved/>
    </commentChains>
    <commentChains s:ref="AU729" rgbClr="FF0000">
      <unresolved>
        <commentChain chainId="5e118bb5b0cf7bb131f146af2bc285637cb5bd11">
          <item id="2fe5a5ca1a5b5c7ad50c3ac5f05527577898c249" userID="1715258932" userName="严新荟" dateTime="2026-07-18T06:09:25" isNormal="0">
            <s:text>
              <s:r>
                <s:t xml:space="preserve">2200178 7/17 7056 pcs
2200182 7/18 432 pcs</s:t>
              </s:r>
            </s:text>
          </item>
        </commentChain>
      </unresolved>
      <resolved/>
    </commentChains>
    <commentChains s:ref="AW729" rgbClr="FF0000">
      <unresolved>
        <commentChain chainId="de291abd01e96b2e5d3e95bd69d40dd496f1a2c6">
          <item id="8b38fe5c42100e9b5c7a0cae7e1dce0e41ae1ad5" userID="1715258932" userName="严新荟" dateTime="2026-07-21T01:08:12" isNormal="0">
            <s:text>
              <s:r>
                <s:t xml:space="preserve">7/21 外箱贴纸 52 pcs</s:t>
              </s:r>
            </s:text>
          </item>
        </commentChain>
      </unresolved>
      <resolved/>
    </commentChains>
    <commentChains s:ref="AU730" rgbClr="FF0000">
      <unresolved>
        <commentChain chainId="262350da38600ab1e7b7f45e1cd3dfa99189d90d">
          <item id="2497db66d29d42ac1c1672aba518501028546f80" userID="1715258932" userName="严新荟" dateTime="2026-08-07T01:37:16" isNormal="0">
            <s:text>
              <s:r>
                <s:t xml:space="preserve">1600630 8/6 1200 PCS</s:t>
              </s:r>
            </s:text>
          </item>
        </commentChain>
      </unresolved>
      <resolved/>
    </commentChains>
    <commentChains s:ref="J732" rgbClr="FF0000">
      <unresolved>
        <commentChain chainId="6f9a90613151af332cf11ce404d9d1ef0db8150d">
          <item id="9592953763f2cfb7861a25f5c259f796a96ec2e3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733" rgbClr="FF0000">
      <unresolved>
        <commentChain chainId="d327db78908c0dc3278a8b19935890232a6f2302">
          <item id="1025077cd649a4855a2ec823cc9099a62b6c84b4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AP734" rgbClr="FF0000">
      <unresolved>
        <commentChain chainId="839ee57d453c4e8ec36f6ba92769686a7897a89f">
          <item id="22352983bdc2835ea675def866f4e3e6ea721ffb" isNormal="1">
            <s:text>
              <s:r>
                <s:t xml:space="preserve">Administrator:
86折后价</s:t>
              </s:r>
            </s:text>
          </item>
        </commentChain>
      </unresolved>
      <resolved/>
    </commentChains>
    <commentChains s:ref="AW735" rgbClr="FF0000">
      <unresolved>
        <commentChain chainId="d98ccee052a6830a83fe592f24fb5018796783a8">
          <item id="d240b39869a4eea076b72175299a127f497d9874" userID="1715258932" userName="严新荟" dateTime="2026-07-17T01:03:37" isNormal="0">
            <s:text>
              <s:r>
                <s:t xml:space="preserve">6/29 1416 pcs</s:t>
              </s:r>
            </s:text>
          </item>
        </commentChain>
      </unresolved>
      <resolved/>
    </commentChains>
    <commentChains s:ref="AU736" rgbClr="FF0000">
      <unresolved>
        <commentChain chainId="e1ceb696d6f4f04d03595ef0aebcf8524db34900">
          <item id="d92876cf1d48992f46029dee2c5cb0dfae8d7b38" userID="1715258932" userName="严新荟" dateTime="2026-08-03T00:36:06" isNormal="0">
            <s:text>
              <s:r>
                <s:t xml:space="preserve">2801929 8/1 2808 pcs</s:t>
              </s:r>
            </s:text>
          </item>
        </commentChain>
      </unresolved>
      <resolved/>
    </commentChains>
    <commentChains s:ref="AW736" rgbClr="FF0000">
      <unresolved>
        <commentChain chainId="fca9e32b2a7dd374159dd899ade266fc214896dd">
          <item id="125456f0811b297abf1542f2d85b3201e773b4cb" userID="1715258932" userName="严新荟" dateTime="2026-07-17T01:05:02" isNormal="0">
            <s:text>
              <s:r>
                <s:t xml:space="preserve">7/17 11436 pcs</s:t>
              </s:r>
            </s:text>
          </item>
        </commentChain>
      </unresolved>
      <resolved/>
    </commentChains>
    <commentChains s:ref="AU737" rgbClr="FF0000">
      <unresolved>
        <commentChain chainId="dc7590f91a823f974d050282973250fa998cba13">
          <item id="5b8d55fda501f59a4b956b63fcd9dcc343d3c088" userID="1715258932" userName="严新荟" dateTime="2026-07-30T08:46:59" isNormal="0">
            <s:text>
              <s:r>
                <s:t xml:space="preserve">2801912 7/29 2112 pcs
2801923 7/31 48 pcs</s:t>
              </s:r>
            </s:text>
          </item>
        </commentChain>
      </unresolved>
      <resolved/>
    </commentChains>
    <commentChains s:ref="AW737" rgbClr="FF0000">
      <unresolved>
        <commentChain chainId="fb3ab00585dcdb8938ce868431250bec8406cba1">
          <item id="a01d726e67a413dbbcbac9d54c7d2ffdc9f1f4da" userID="1715258932" userName="严新荟" dateTime="2026-07-17T01:07:15" isNormal="0">
            <s:text>
              <s:r>
                <s:t xml:space="preserve">7/17 15408 PCS</s:t>
              </s:r>
            </s:text>
          </item>
        </commentChain>
      </unresolved>
      <resolved/>
    </commentChains>
    <commentChains s:ref="AU738" rgbClr="FF0000">
      <unresolved>
        <commentChain chainId="02872e78cb8b6cd675c12138dead809ca1e09f65">
          <item id="57e8c919c0a66d89598ea837d299abda6d74c727" userID="1715258932" userName="严新荟" dateTime="2026-08-03T00:36:44" isNormal="0">
            <s:text>
              <s:r>
                <s:t xml:space="preserve">2801929 8/1 1920 pcs</s:t>
              </s:r>
            </s:text>
          </item>
        </commentChain>
      </unresolved>
      <resolved/>
    </commentChains>
    <commentChains s:ref="AU739" rgbClr="FF0000">
      <unresolved>
        <commentChain chainId="639e082d2b3990752ddff59739c4f788bf725988">
          <item id="8f640506c274926a29dfae248906a8debcdc4233" userID="1715258932" userName="严新荟" dateTime="2026-08-03T00:36:30" isNormal="0">
            <s:text>
              <s:r>
                <s:t xml:space="preserve">2801929 8/1 1872 pcs</s:t>
              </s:r>
            </s:text>
          </item>
        </commentChain>
      </unresolved>
      <resolved/>
    </commentChains>
    <commentChains s:ref="AW739" rgbClr="FF0000">
      <unresolved>
        <commentChain chainId="bf8f845c1282e445143ff4a0cdf9957723030638">
          <item id="99b479b420d55280fef18dccbe010e2a72b69aa4" userID="1715258932" userName="严新荟" dateTime="2026-07-17T01:07:15" isNormal="0">
            <s:text>
              <s:r>
                <s:t xml:space="preserve">7/17 15408 PCS</s:t>
              </s:r>
            </s:text>
          </item>
        </commentChain>
      </unresolved>
      <resolved/>
    </commentChains>
    <commentChains s:ref="AU740" rgbClr="FF0000">
      <unresolved>
        <commentChain chainId="f600e69c9c919698de7b59ac6d81b22cdad61488">
          <item id="ec37f5a10adc9457d76675f45d292f641ce7ab2b" userID="1715258932" userName="严新荟" dateTime="2026-08-03T00:35:27" isNormal="0">
            <s:text>
              <s:r>
                <s:t xml:space="preserve">2801929 8/1 1704 pcs
2801934 8/3 36 pcs</s:t>
              </s:r>
            </s:text>
          </item>
        </commentChain>
      </unresolved>
      <resolved/>
    </commentChains>
    <commentChains s:ref="AW740" rgbClr="FF0000">
      <unresolved>
        <commentChain chainId="58586edf62d78739c6c49cc88c00148ef6b2ff62">
          <item id="3bac1b1596e52491a2372e23341b194782be1b62" userID="1715258932" userName="严新荟" dateTime="2026-07-17T01:05:02" isNormal="0">
            <s:text>
              <s:r>
                <s:t xml:space="preserve">7/17 11436 pcs</s:t>
              </s:r>
            </s:text>
          </item>
        </commentChain>
      </unresolved>
      <resolved/>
    </commentChains>
    <commentChains s:ref="AU741" rgbClr="FF0000">
      <unresolved>
        <commentChain chainId="52f6fe379ddb2aeabc0dfd33d4abcbd2ac6ad862">
          <item id="fccd861eb86fbb0cc2745f62677e780980bb9d7b" userID="1715258932" userName="严新荟" dateTime="2026-08-01T01:16:54" isNormal="0">
            <s:text>
              <s:r>
                <s:t xml:space="preserve">2801921 7/31 600 PCS</s:t>
              </s:r>
            </s:text>
          </item>
        </commentChain>
      </unresolved>
      <resolved/>
    </commentChains>
    <commentChains s:ref="AW741" rgbClr="FF0000">
      <unresolved>
        <commentChain chainId="a8c5b25a90e312334640bfff6e3ae39ecf607bd3">
          <item id="0675d9936b0dfda7636091e6f6dcc7063a35baea" userID="1715258932" userName="严新荟" dateTime="2026-07-17T01:05:02" isNormal="0">
            <s:text>
              <s:r>
                <s:t xml:space="preserve">7/17 11436 pcs</s:t>
              </s:r>
            </s:text>
          </item>
        </commentChain>
      </unresolved>
      <resolved/>
    </commentChains>
    <commentChains s:ref="AU742" rgbClr="FF0000">
      <unresolved>
        <commentChain chainId="a614c6909bfe973192eb76820fd5b88aa3aeeb90">
          <item id="a361dec853653742a274eb7725642963abd532dd" userID="1715258932" userName="严新荟" dateTime="2026-08-04T06:16:46" isNormal="0">
            <s:text>
              <s:r>
                <s:t xml:space="preserve">2801937 8/3 960 pcs</s:t>
              </s:r>
            </s:text>
          </item>
        </commentChain>
      </unresolved>
      <resolved/>
    </commentChains>
    <commentChains s:ref="AW742" rgbClr="FF0000">
      <unresolved>
        <commentChain chainId="1bfdfe7a501298167a8c6adf28b69c63a8959ee6">
          <item id="92ebb26b694f4d9a9173d8493742b094bdec68fe" userID="1715258932" userName="严新荟" dateTime="2026-07-17T01:05:02" isNormal="0">
            <s:text>
              <s:r>
                <s:t xml:space="preserve">7/17 11436 pcs</s:t>
              </s:r>
            </s:text>
          </item>
        </commentChain>
      </unresolved>
      <resolved/>
    </commentChains>
    <commentChains s:ref="AU743" rgbClr="FF0000">
      <unresolved>
        <commentChain chainId="9ebb8204f5bd46aeb332035daf66d9f4fdb992fb">
          <item id="9f4b3badb28f016832004b55d77ac5c25b9ce698" userID="1715258932" userName="严新荟" dateTime="2026-08-04T06:20:23" isNormal="0">
            <s:text>
              <s:r>
                <s:t xml:space="preserve">2801926 8/3 900 pcs</s:t>
              </s:r>
            </s:text>
          </item>
        </commentChain>
      </unresolved>
      <resolved/>
    </commentChains>
    <commentChains s:ref="AU744" rgbClr="FF0000">
      <unresolved>
        <commentChain chainId="c661fd72717e47e851d1404614fce7fec48fd789">
          <item id="a71a6a13b1b0735f461f1d0d8a08bac16329a598" userID="1715258932" userName="严新荟" dateTime="2026-07-30T08:47:31" isNormal="0">
            <s:text>
              <s:r>
                <s:t xml:space="preserve">2801912 7/29 48 pcs
2801918 7/30 48 pcs</s:t>
              </s:r>
            </s:text>
          </item>
        </commentChain>
      </unresolved>
      <resolved/>
    </commentChains>
    <commentChains s:ref="AW744" rgbClr="FF0000">
      <unresolved>
        <commentChain chainId="35a36b5ff4400c5d74d3e70d0120be5452a588f7">
          <item id="c74f8f8873097ecc58fb3fcb4cb8635f9e5ddccd" userID="1715258932" userName="严新荟" dateTime="2026-07-17T01:07:15" isNormal="0">
            <s:text>
              <s:r>
                <s:t xml:space="preserve">7/17 15408 PCS</s:t>
              </s:r>
            </s:text>
          </item>
        </commentChain>
      </unresolved>
      <resolved/>
    </commentChains>
    <commentChains s:ref="AU745" rgbClr="FF0000">
      <unresolved>
        <commentChain chainId="de72048304178c3de2488932861f7cd62e13abbe">
          <item id="3a8f03fee2ce995501e9782bc4578247a0a2687c" userID="1715258932" userName="严新荟" dateTime="2026-07-31T01:59:04" isNormal="0">
            <s:text>
              <s:r>
                <s:t xml:space="preserve">2801916 7/30 2400 pcs</s:t>
              </s:r>
            </s:text>
          </item>
        </commentChain>
      </unresolved>
      <resolved/>
    </commentChains>
    <commentChains s:ref="AW745" rgbClr="FF0000">
      <unresolved>
        <commentChain chainId="6c4949d9b4b56880031d26798ac99396d551a546">
          <item id="c00e9586d6aa650f06ed92b8d183e80ebbbb1a99" userID="1715258932" userName="严新荟" dateTime="2026-07-17T01:07:15" isNormal="0">
            <s:text>
              <s:r>
                <s:t xml:space="preserve">7/17 15408 PCS</s:t>
              </s:r>
            </s:text>
          </item>
        </commentChain>
      </unresolved>
      <resolved/>
    </commentChains>
    <commentChains s:ref="AU746" rgbClr="FF0000">
      <unresolved>
        <commentChain chainId="9d023e51835de8a84482bbba2e1bf43a9e6a5e3a">
          <item id="07e4f6f9184daf2e677d3e6f5ffafbbb6ef16030" userID="1715258932" userName="严新荟" dateTime="2026-08-05T01:42:37" isNormal="0">
            <s:text>
              <s:r>
                <s:t xml:space="preserve">2801947 8/4 1440 PCS</s:t>
              </s:r>
            </s:text>
          </item>
        </commentChain>
      </unresolved>
      <resolved/>
    </commentChains>
    <commentChains s:ref="AW746" rgbClr="FF0000">
      <unresolved>
        <commentChain chainId="c12a2bfa5b1469adf6336b0531a7aa4a1c8205fe">
          <item id="208ea7a5950bbf446d9b7fcb1ad9e72f17c006f6" userID="1715258932" userName="严新荟" dateTime="2026-07-17T01:07:15" isNormal="0">
            <s:text>
              <s:r>
                <s:t xml:space="preserve">7/17 15408 PCS</s:t>
              </s:r>
            </s:text>
          </item>
        </commentChain>
      </unresolved>
      <resolved/>
    </commentChains>
    <commentChains s:ref="AU747" rgbClr="FF0000">
      <unresolved>
        <commentChain chainId="614bf2ea08eeb3023681a278ebfd875e5bf8aa75">
          <item id="f7fef54d88b46a28b42c869712e81363a8539472" userID="1715258932" userName="严新荟" dateTime="2026-07-29T03:27:40" isNormal="0">
            <s:text>
              <s:r>
                <s:t xml:space="preserve">2801909 7/28 3120 PCS</s:t>
              </s:r>
            </s:text>
          </item>
        </commentChain>
      </unresolved>
      <resolved/>
    </commentChains>
    <commentChains s:ref="AW747" rgbClr="FF0000">
      <unresolved>
        <commentChain chainId="4775162b8d65b873c1fa7587b41d35c19fc0ef38">
          <item id="d7dcf8b3e15149c44de0d3e0b421cfb931b380e5" userID="1715258932" userName="严新荟" dateTime="2026-07-17T01:05:02" isNormal="0">
            <s:text>
              <s:r>
                <s:t xml:space="preserve">7/17 11436 pcs</s:t>
              </s:r>
            </s:text>
          </item>
        </commentChain>
      </unresolved>
      <resolved/>
    </commentChains>
    <commentChains s:ref="AU748" rgbClr="FF0000">
      <unresolved>
        <commentChain chainId="a0d05425795a11c7dec07bee500c866dd6586f54">
          <item id="5464dca92651b9838fdaba0e8600516624aa9972" userID="1715258932" userName="严新荟" dateTime="2026-08-03T00:24:11" isNormal="0">
            <s:text>
              <s:r>
                <s:t xml:space="preserve">280193·1 8/1 2856 pcs
2801942 8/4 24 PCS</s:t>
              </s:r>
            </s:text>
          </item>
        </commentChain>
      </unresolved>
      <resolved/>
    </commentChains>
    <commentChains s:ref="AW748" rgbClr="FF0000">
      <unresolved>
        <commentChain chainId="73c84454c66929911ccd24a8d5886a34c42c343f">
          <item id="3fe8667e190eba705d18034f5698d80bdbc0b64f" userID="1715258932" userName="严新荟" dateTime="2026-07-17T01:07:15" isNormal="0">
            <s:text>
              <s:r>
                <s:t xml:space="preserve">7/17 15408 PCS</s:t>
              </s:r>
            </s:text>
          </item>
        </commentChain>
      </unresolved>
      <resolved/>
    </commentChains>
    <commentChains s:ref="AU749" rgbClr="FF0000">
      <unresolved>
        <commentChain chainId="5fb1520b0e1530c717c8f69aeae949997a44ab8d">
          <item id="83bb2311c1a0367abee686f62303def25501435b" userID="1715258932" userName="严新荟" dateTime="2026-08-04T06:20:47" isNormal="0">
            <s:text>
              <s:r>
                <s:t xml:space="preserve">2801936 8/3 1008 pcs</s:t>
              </s:r>
            </s:text>
          </item>
        </commentChain>
      </unresolved>
      <resolved/>
    </commentChains>
    <commentChains s:ref="AW749" rgbClr="FF0000">
      <unresolved>
        <commentChain chainId="370eea2e2bc3faa60ef5b56792b0d3f663de68e9">
          <item id="fa9884a9de5732788d8f1481d50b2d1aecd54303" userID="1715258932" userName="严新荟" dateTime="2026-07-17T01:05:02" isNormal="0">
            <s:text>
              <s:r>
                <s:t xml:space="preserve">7/17 11436 pcs</s:t>
              </s:r>
            </s:text>
          </item>
        </commentChain>
      </unresolved>
      <resolved/>
    </commentChains>
    <commentChains s:ref="AU750" rgbClr="FF0000">
      <unresolved>
        <commentChain chainId="4361414a5ff83f63a7bee423453447a6a365f40f">
          <item id="6a64616319503c22392a4eaeed8983f082157954" userID="1715258932" userName="严新荟" dateTime="2026-08-03T00:24:33" isNormal="0">
            <s:text>
              <s:r>
                <s:t xml:space="preserve">2801931 8/1 1512 pcs
2801948 8/5 24 pcs</s:t>
              </s:r>
            </s:text>
          </item>
        </commentChain>
      </unresolved>
      <resolved/>
    </commentChains>
    <commentChains s:ref="AW750" rgbClr="FF0000">
      <unresolved>
        <commentChain chainId="191f91cc2e0d520a4347967d5c59b070434e2bb4">
          <item id="6794b1e0845bfff3634965288bc06250f8f1f753" userID="1715258932" userName="严新荟" dateTime="2026-07-17T01:07:15" isNormal="0">
            <s:text>
              <s:r>
                <s:t xml:space="preserve">7/17 15408 PCS</s:t>
              </s:r>
            </s:text>
          </item>
        </commentChain>
      </unresolved>
      <resolved/>
    </commentChains>
    <commentChains s:ref="AU751" rgbClr="FF0000">
      <unresolved>
        <commentChain chainId="895867de89f6d57fa0557267e4343471bd32b599">
          <item id="561687c67f8628bf58b87ea6d0dfc4d3fa04096a" userID="1715258932" userName="严新荟" dateTime="2026-08-03T00:35:47" isNormal="0">
            <s:text>
              <s:r>
                <s:t xml:space="preserve">2801929 8/1 1200 pcs</s:t>
              </s:r>
            </s:text>
          </item>
        </commentChain>
      </unresolved>
      <resolved/>
    </commentChains>
    <commentChains s:ref="AW751" rgbClr="FF0000">
      <unresolved>
        <commentChain chainId="d18bb5c5f4848af17e871a31959f7e8c543b076a">
          <item id="46a87f4f85d6c8f75359b27ae9bd5922e2dc5727" userID="1715258932" userName="严新荟" dateTime="2026-07-17T01:05:02" isNormal="0">
            <s:text>
              <s:r>
                <s:t xml:space="preserve">7/17 11436 pcs</s:t>
              </s:r>
            </s:text>
          </item>
        </commentChain>
      </unresolved>
      <resolved/>
    </commentChains>
    <commentChains s:ref="AU752" rgbClr="FF0000">
      <unresolved>
        <commentChain chainId="66bec7edf85e5521c6e6d908800ba10d08a7cf68">
          <item id="a944bc79d58bc961cc27a052264d414055ddcf91" userID="1715258932" userName="严新荟" dateTime="2026-08-03T00:25:31" isNormal="0">
            <s:text>
              <s:r>
                <s:t xml:space="preserve">2801931 8/1 2400 PCS</s:t>
              </s:r>
            </s:text>
          </item>
        </commentChain>
      </unresolved>
      <resolved/>
    </commentChains>
    <commentChains s:ref="AW752" rgbClr="FF0000">
      <unresolved>
        <commentChain chainId="22dfb4aab0fa90b97ac1dd07bedbf41d0492f3cc">
          <item id="9c819458935c24f4634530919575186dd1fbbb6d" userID="1715258932" userName="严新荟" dateTime="2026-07-17T01:07:15" isNormal="0">
            <s:text>
              <s:r>
                <s:t xml:space="preserve">7/17 15408 PCS</s:t>
              </s:r>
            </s:text>
          </item>
        </commentChain>
      </unresolved>
      <resolved/>
    </commentChains>
    <commentChains s:ref="AU755" rgbClr="FF0000">
      <unresolved>
        <commentChain chainId="be355c36fbd01b191a0771c95f12ee32ce462b0b">
          <item id="e906e1e9088387104caa93e4f902736daaf203b8" userID="1715258932" userName="严新荟" dateTime="2026-07-10T03:26:28" isNormal="0">
            <s:text>
              <s:r>
                <s:t xml:space="preserve">2200096 7/9 192 PCS</s:t>
              </s:r>
            </s:text>
          </item>
        </commentChain>
      </unresolved>
      <resolved/>
    </commentChains>
    <commentChains s:ref="AW755" rgbClr="FF0000">
      <unresolved>
        <commentChain chainId="dde1c641939c15d398e8797dff6d04a8d5eadb6c">
          <item id="1cf15b3a9d8685610ae5438b37b814017a873415" userID="1715258932" userName="严新荟" dateTime="2026-08-08T03:00:49" isNormal="0">
            <s:text>
              <s:r>
                <s:t xml:space="preserve">8/8 外箱贴纸 4 pcs</s:t>
              </s:r>
            </s:text>
          </item>
        </commentChain>
      </unresolved>
      <resolved/>
    </commentChains>
    <commentChains s:ref="AU756" rgbClr="FF0000">
      <unresolved>
        <commentChain chainId="0a727fce68f00eaca8268221e7570c2b0564f2a3">
          <item id="0f5231c4c22e97e1c064c5c9035b12db4fd4e778" userID="1715258932" userName="严新荟" dateTime="2026-07-13T03:19:46" isNormal="0">
            <s:text>
              <s:r>
                <s:t xml:space="preserve">2200119 7/11 192 pcs</s:t>
              </s:r>
            </s:text>
          </item>
        </commentChain>
      </unresolved>
      <resolved/>
    </commentChains>
    <commentChains s:ref="AW756" rgbClr="FF0000">
      <unresolved>
        <commentChain chainId="9aab74d64f67cab93beacbca37ab713d6ee90800">
          <item id="3da86b2fbf216a75c7702cec201e460984a0eeff" userID="1715258932" userName="严新荟" dateTime="2026-08-08T03:00:49" isNormal="0">
            <s:text>
              <s:r>
                <s:t xml:space="preserve">8/8 外箱贴纸 4 pcs</s:t>
              </s:r>
            </s:text>
          </item>
        </commentChain>
      </unresolved>
      <resolved/>
    </commentChains>
    <commentChains s:ref="AU757" rgbClr="FF0000">
      <unresolved>
        <commentChain chainId="fb1c8f4e1483f798e29936c50afcf04c51e63b4d">
          <item id="c1a6e2bbc5fc033a4f7c93f4368017731b26457b" userID="1715258932" userName="严新荟" dateTime="2026-07-13T03:19:46" isNormal="0">
            <s:text>
              <s:r>
                <s:t xml:space="preserve">2200119 7/11 192 pcs</s:t>
              </s:r>
            </s:text>
          </item>
        </commentChain>
      </unresolved>
      <resolved/>
    </commentChains>
    <commentChains s:ref="AW757" rgbClr="FF0000">
      <unresolved>
        <commentChain chainId="1b641ab1823de6b04aae5775216e938397726ab5">
          <item id="b2fa10644b65628694367c164ff890d8083324e2" userID="1715258932" userName="严新荟" dateTime="2026-08-08T03:00:49" isNormal="0">
            <s:text>
              <s:r>
                <s:t xml:space="preserve">8/8 外箱贴纸 4 pcs</s:t>
              </s:r>
            </s:text>
          </item>
        </commentChain>
      </unresolved>
      <resolved/>
    </commentChains>
    <commentChains s:ref="AU758" rgbClr="FF0000">
      <unresolved>
        <commentChain chainId="49276113e61c4ff328f90373a8150bbe2b9666d3">
          <item id="517905f2a208732086243ab833458a27c761db88" userID="1715258932" userName="严新荟" dateTime="2026-07-23T06:06:37" isNormal="0">
            <s:text>
              <s:r>
                <s:t xml:space="preserve">2200229 7/22 140 pcs
2200242 7/24 70 pcs</s:t>
              </s:r>
            </s:text>
          </item>
        </commentChain>
      </unresolved>
      <resolved/>
    </commentChains>
    <commentChains s:ref="AW758" rgbClr="FF0000">
      <unresolved>
        <commentChain chainId="9b6636c0026803fb971a4e2a0704c43a767ab044">
          <item id="c6162e1e774869f2a9a76889a6ae503e23ead8ef" userID="1715258932" userName="严新荟" dateTime="2026-08-08T02:58:31" isNormal="0">
            <s:text>
              <s:r>
                <s:t xml:space="preserve">8/8 外箱贴纸 6 pcs</s:t>
              </s:r>
            </s:text>
          </item>
        </commentChain>
      </unresolved>
      <resolved/>
    </commentChains>
    <commentChains s:ref="AU759" rgbClr="FF0000">
      <unresolved>
        <commentChain chainId="c7c83256673172d32bab1ab712b5280dd5a48cef">
          <item id="a4c2c35b1698ac96ffc961415e703ae8b9efddcd" userID="1715258932" userName="严新荟" dateTime="2026-07-23T06:06:37" isNormal="0">
            <s:text>
              <s:r>
                <s:t xml:space="preserve">2200229 7/22 140 pcs
2200242 7/24 70 pcs</s:t>
              </s:r>
            </s:text>
          </item>
        </commentChain>
      </unresolved>
      <resolved/>
    </commentChains>
    <commentChains s:ref="AW759" rgbClr="FF0000">
      <unresolved>
        <commentChain chainId="3e981b7279f8af71499d45493352cd8f4517343a">
          <item id="f478dfe8df803793d0ce597651c1b3578f23a27f" userID="1715258932" userName="严新荟" dateTime="2026-08-08T02:58:31" isNormal="0">
            <s:text>
              <s:r>
                <s:t xml:space="preserve">8/8 外箱贴纸 6 pcs</s:t>
              </s:r>
            </s:text>
          </item>
        </commentChain>
      </unresolved>
      <resolved/>
    </commentChains>
    <commentChains s:ref="AW760" rgbClr="FF0000">
      <unresolved>
        <commentChain chainId="82d86377f1b91842c5082868441c0886da405587">
          <item id="90b21b00945498ed7e99329c4b955f3b21e0c94a" userID="1715258932" userName="严新荟" dateTime="2026-08-11T11:30:31" isNormal="0">
            <s:text>
              <s:r>
                <s:t xml:space="preserve">8/11 外箱贴纸 42 pcs</s:t>
              </s:r>
            </s:text>
          </item>
        </commentChain>
      </unresolved>
      <resolved/>
    </commentChains>
    <commentChains s:ref="AW761" rgbClr="FF0000">
      <unresolved>
        <commentChain chainId="e60d442220d74a79463580c9dbf15644157b78d5">
          <item id="5328941a219b411978d0263a43f21d78d524d4a6" userID="1715258932" userName="严新荟" dateTime="2026-08-08T03:09:55" isNormal="0">
            <s:text>
              <s:r>
                <s:t xml:space="preserve">8/8 外箱贴纸 752 PCS</s:t>
              </s:r>
            </s:text>
          </item>
        </commentChain>
      </unresolved>
      <resolved/>
    </commentChains>
    <commentChains s:ref="AU762" rgbClr="FF0000">
      <unresolved>
        <commentChain chainId="5a840202c46999714725f749d793db7d42ea04e8">
          <item id="cdb975f9a52de8956b7e3547ec502cc9416fbfa6" userID="1715258932" userName="严新荟" dateTime="2026-07-09T02:09:04" isNormal="0">
            <s:text>
              <s:r>
                <s:t xml:space="preserve">2500228 7/8 96 pcs</s:t>
              </s:r>
            </s:text>
          </item>
        </commentChain>
      </unresolved>
      <resolved/>
    </commentChains>
    <commentChains s:ref="AW762" rgbClr="FF0000">
      <unresolved>
        <commentChain chainId="93fbadee4c49fd3ab61f6b3dd38a8001feb198c8">
          <item id="87d7375bed6f00fea4141bc6161138325772bb4f" userID="1715258932" userName="严新荟" dateTime="2026-08-08T02:59:39" isNormal="0">
            <s:text>
              <s:r>
                <s:t xml:space="preserve">8/8 外箱贴纸 2 pcs</s:t>
              </s:r>
            </s:text>
          </item>
        </commentChain>
      </unresolved>
      <resolved/>
    </commentChains>
    <commentChains s:ref="AU763" rgbClr="FF0000">
      <unresolved>
        <commentChain chainId="4f1740ddb152d24a7866f7fd90d035ffc3999104">
          <item id="dd1e802cfd9167a3e278c246ced61f93f94d2683" userID="1715258932" userName="严新荟" dateTime="2026-07-09T02:09:04" isNormal="0">
            <s:text>
              <s:r>
                <s:t xml:space="preserve">2500228 7/8 96 pcs</s:t>
              </s:r>
            </s:text>
          </item>
        </commentChain>
      </unresolved>
      <resolved/>
    </commentChains>
    <commentChains s:ref="AW763" rgbClr="FF0000">
      <unresolved>
        <commentChain chainId="24172a0192a6bbea937692c7e132027385871ee2">
          <item id="4b0641c5661fb2607a7c617282fc5bc48fe6b468" userID="1715258932" userName="严新荟" dateTime="2026-08-08T02:59:39" isNormal="0">
            <s:text>
              <s:r>
                <s:t xml:space="preserve">8/8 外箱贴纸 2 pcs</s:t>
              </s:r>
            </s:text>
          </item>
        </commentChain>
      </unresolved>
      <resolved/>
    </commentChains>
    <commentChains s:ref="AU764" rgbClr="FF0000">
      <unresolved>
        <commentChain chainId="c58c800d595f8ef2d6903347406ac97e1f2846fa">
          <item id="16c3b398a1e83291f40fedfc2b76ee527ffd8c3f" userID="1715258932" userName="严新荟" dateTime="2026-07-09T02:09:04" isNormal="0">
            <s:text>
              <s:r>
                <s:t xml:space="preserve">2500228 7/8 96 pcs</s:t>
              </s:r>
            </s:text>
          </item>
        </commentChain>
      </unresolved>
      <resolved/>
    </commentChains>
    <commentChains s:ref="AW764" rgbClr="FF0000">
      <unresolved>
        <commentChain chainId="3aa7b5904205b3433465224bb20257903713b9f9">
          <item id="302793a5031e8155a02031810f5303d5e00a745d" userID="1715258932" userName="严新荟" dateTime="2026-08-08T02:59:39" isNormal="0">
            <s:text>
              <s:r>
                <s:t xml:space="preserve">8/8 外箱贴纸 2 pcs</s:t>
              </s:r>
            </s:text>
          </item>
        </commentChain>
      </unresolved>
      <resolved/>
    </commentChains>
    <commentChains s:ref="J767" rgbClr="FF0000">
      <unresolved>
        <commentChain chainId="d98cd9bc9f9dab13121db8380f6179ec295a4a5b">
          <item id="703fac07b301cd047a66c90fc90f710ae0390ad7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768" rgbClr="FF0000">
      <unresolved>
        <commentChain chainId="257c960df80a638b1b6943b0c65b64ad943e391d">
          <item id="4f9444383604b062bad3ad2b5f30183ba5ab898b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  <commentChains s:ref="J769" rgbClr="FF0000">
      <unresolved>
        <commentChain chainId="6010241bb32697e1cc404136d1a8e00e84e02189">
          <item id="8437cdf69c97191fbf42d2d70cf68901d1a09bab" isNormal="1">
            <s:text>
              <s:r>
                <s:t xml:space="preserve">Administrator:
从PO0000289转入</s:t>
              </s:r>
            </s:text>
          </item>
        </commentChain>
      </unresolved>
      <resolved/>
    </commentChains>
  </commentList>
  <commentList sheetStid="59">
    <commentChains s:ref="W1" rgbClr="FF0000">
      <unresolved>
        <commentChain chainId="2b103f0c4b2f2738d399d6cb05151cc0a681d033">
          <item id="530312fd7e85a2fdeadbecf929942ed1f45c6a5a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</commentList>
  <commentList sheetStid="54">
    <commentChains s:ref="J51" rgbClr="FF0000">
      <unresolved>
        <commentChain chainId="df33101b5e6b601795ca9e50ea2d1472f7b6e4e0">
          <item id="0826907429094f590ac00917e2909ed33c636f62" isNormal="1">
            <s:text>
              <s:r>
                <s:t xml:space="preserve">Administrator:
7/3更改数量减少60PCS</s:t>
              </s:r>
            </s:text>
          </item>
        </commentChain>
      </unresolved>
      <resolved/>
    </commentChains>
  </commentList>
  <commentList sheetStid="55">
    <commentChains s:ref="W1" rgbClr="FF0000">
      <unresolved>
        <commentChain chainId="a21993721d1bcb2f9c0f14843b484c9ed2226730">
          <item id="4ed22f50a43ab704ee616fde73b3db03acb18779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  <commentChains s:ref="G10" rgbClr="FF0000">
      <unresolved>
        <commentChain chainId="349be3385faf67653417887e223eb04f3f534af9">
          <item id="f7361307058fc06b59c67e6f9e76e6dbad049d26" isNormal="1">
            <s:text>
              <s:r>
                <s:t xml:space="preserve">Administrator:
从PO0000149转入
</s:t>
              </s:r>
            </s:text>
          </item>
        </commentChain>
      </unresolved>
      <resolved/>
    </commentChains>
    <commentChains s:ref="J19" rgbClr="FF0000">
      <unresolved>
        <commentChain chainId="14be789775ca3dbac01688f50757ee6a800865a8">
          <item id="9634930b3da479e4ad251a7aa4e2cf8dc2ddbd2f" isNormal="1">
            <s:text>
              <s:r>
                <s:t xml:space="preserve">Administrator:
1/16转1104PCS到PO0000120-CAJZ
5/9转1896PCS到PO0000335-1</s:t>
              </s:r>
            </s:text>
          </item>
        </commentChain>
      </unresolved>
      <resolved/>
    </commentChains>
    <commentChains s:ref="J20" rgbClr="FF0000">
      <unresolved>
        <commentChain chainId="10e6e903330b157a819ca32de4b57f1855eb5602">
          <item id="3a391f0e701ff25388425892e1b2336f8113f88c" isNormal="1">
            <s:text>
              <s:r>
                <s:t xml:space="preserve">Administrator:
转5016PCS到PO0000335-1</s:t>
              </s:r>
            </s:text>
          </item>
        </commentChain>
      </unresolved>
      <resolved/>
    </commentChains>
    <commentChains s:ref="J23" rgbClr="FF0000">
      <unresolved>
        <commentChain chainId="2ea1033123cdbea47ff02b0b76742047c9a900de">
          <item id="4371c4649bce9d03dc259bf6e66bae56db1cad19" isNormal="1">
            <s:text>
              <s:r>
                <s:t xml:space="preserve">Administrator:
转24984PCS到PO0000320</s:t>
              </s:r>
            </s:text>
          </item>
        </commentChain>
      </unresolved>
      <resolved/>
    </commentChains>
    <commentChains s:ref="J24" rgbClr="FF0000">
      <unresolved>
        <commentChain chainId="73f232d68904c80fcfea81c4c314b6fd1898805b">
          <item id="de409ade690ede3e3691fda4b93a1f696069f1a3" isNormal="1">
            <s:text>
              <s:r>
                <s:t xml:space="preserve">Administrator:
转1992PCS到PO0000320</s:t>
              </s:r>
            </s:text>
          </item>
        </commentChain>
      </unresolved>
      <resolved/>
    </commentChains>
    <commentChains s:ref="J27" rgbClr="FF0000">
      <unresolved>
        <commentChain chainId="bb143b2d84cff958cbcbc3d107c85b8515b41551">
          <item id="a2bd5719cd6145b3c52a6181ab335b4ab4cd9cda" isNormal="1">
            <s:text>
              <s:r>
                <s:t xml:space="preserve">Administrator:
转1344PCS到CAJZ056
转1800PCS到PO0000212-1
转288PCS到PO0000335-1</s:t>
              </s:r>
            </s:text>
          </item>
        </commentChain>
      </unresolved>
      <resolved/>
    </commentChains>
    <commentChains s:ref="J28" rgbClr="FF0000">
      <unresolved>
        <commentChain chainId="1045d17537946ad6102cd510085a8069e71de764">
          <item id="a687d3a9b103c2c32ab43e4d189d00abb2fd49d4" isNormal="1">
            <s:text>
              <s:r>
                <s:t xml:space="preserve">Administrator:
从CAJZ045转入</s:t>
              </s:r>
            </s:text>
          </item>
        </commentChain>
      </unresolved>
      <resolved/>
    </commentChains>
    <commentChains s:ref="J29" rgbClr="FF0000">
      <unresolved>
        <commentChain chainId="b4a01d112771ec6d4677946ac34da830c3ba8f3c">
          <item id="480f5803dcac17d34d6b7c0551dfa2407b07ad25" isNormal="1">
            <s:text>
              <s:r>
                <s:t xml:space="preserve">Administrator:
从CAJZ046转入</s:t>
              </s:r>
            </s:text>
          </item>
        </commentChain>
      </unresolved>
      <resolved/>
    </commentChains>
    <commentChains s:ref="J30" rgbClr="FF0000">
      <unresolved>
        <commentChain chainId="aa9c7d7a6349a2f071ca0e74797a346dbc1c77d9">
          <item id="bd5a4e5b0bbd8c303b5ff937a07f70b5f8a6704e" isNormal="1">
            <s:text>
              <s:r>
                <s:t xml:space="preserve">Administrator:
从CAJZ044转入</s:t>
              </s:r>
            </s:text>
          </item>
        </commentChain>
      </unresolved>
      <resolved/>
    </commentChains>
    <commentChains s:ref="J37" rgbClr="FF0000">
      <unresolved>
        <commentChain chainId="20031024533c5c7945a50dab7973372627710cbe">
          <item id="08de21b8a86d8e20c4ac0ecef7bdaae4f3480d24" isNormal="1">
            <s:text>
              <s:r>
                <s:t xml:space="preserve">Administrator:
5/21转到PO0000367</s:t>
              </s:r>
            </s:text>
          </item>
        </commentChain>
      </unresolved>
      <resolved/>
    </commentChains>
    <commentChains s:ref="J38" rgbClr="FF0000">
      <unresolved>
        <commentChain chainId="5b32b2df0a86b55c4fc79def4c8519526127cb5d">
          <item id="586c84535219a90d59685c9fb79efaa79ca11d89" isNormal="1">
            <s:text>
              <s:r>
                <s:t xml:space="preserve">Administrator:
5/21转到PO0000367</s:t>
              </s:r>
            </s:text>
          </item>
        </commentChain>
      </unresolved>
      <resolved/>
    </commentChains>
    <commentChains s:ref="J45" rgbClr="FF0000">
      <unresolved>
        <commentChain chainId="5d4d4037ee4c5ce52e229e9575e2779c528e8247">
          <item id="f0b32c1552d3f7c2f74f81361975bc7a5d4ce58f" isNormal="1">
            <s:text>
              <s:r>
                <s:t xml:space="preserve">Administrator:
从PO0000335-1转入
转288PCS到PO0000383</s:t>
              </s:r>
            </s:text>
          </item>
        </commentChain>
      </unresolved>
      <resolved/>
    </commentChains>
    <commentChains s:ref="J46" rgbClr="FF0000">
      <unresolved>
        <commentChain chainId="9fcbddec6c1296317cdf858169cd12307be54a76">
          <item id="c3c4c3388a7c48394d505f172344c336c8231084" isNormal="1">
            <s:text>
              <s:r>
                <s:t xml:space="preserve">Administrator:
从PO0000335-1转入
转5016PCS到PO0000383
</s:t>
              </s:r>
            </s:text>
          </item>
        </commentChain>
      </unresolved>
      <resolved/>
    </commentChains>
    <commentChains s:ref="J47" rgbClr="FF0000">
      <unresolved>
        <commentChain chainId="08a1d4d62ff409921bc786d12963e33edfa6dbd9">
          <item id="a3054e07db74700eef8309c3d52bdc1e6128e5b1" isNormal="1">
            <s:text>
              <s:r>
                <s:t xml:space="preserve">Administrator:
从PO0000335-1转入
转984PCS到PO0000371
转624PCS到PO0000372
转288PCS到PO0000383
</s:t>
              </s:r>
            </s:text>
          </item>
        </commentChain>
      </unresolved>
      <resolved/>
    </commentChains>
    <commentChains s:ref="J48" rgbClr="FF0000">
      <unresolved>
        <commentChain chainId="a6691ef19085e05b2d5cf0d1cb7464ede5ee0de0">
          <item id="4243c73e815f54786aae3a7c629e247317b56f4b" isNormal="1">
            <s:text>
              <s:r>
                <s:t xml:space="preserve">Administrator:
转1200PCS到PO0000335-1</s:t>
              </s:r>
            </s:text>
          </item>
        </commentChain>
      </unresolved>
      <resolved/>
    </commentChains>
    <commentChains s:ref="J51" rgbClr="FF0000">
      <unresolved>
        <commentChain chainId="952deea0dcdbb3a2a63075d6e8ef90f595b3179a">
          <item id="51eb74f34a9e2b1690094b3f931f83eb98b930e5" userID="1475148402" userName="sara" dateTime="2026-06-24T08:58:30" isNormal="0">
            <s:text>
              <s:r>
                <s:t xml:space="preserve">从PO0000324转入</s:t>
              </s:r>
            </s:text>
          </item>
        </commentChain>
      </unresolved>
      <resolved/>
    </commentChains>
    <commentChains s:ref="J52" rgbClr="FF0000">
      <unresolved>
        <commentChain chainId="530495ca2a7998888366556ab936c254a1c2fca5">
          <item id="52201790a04e0a9120f00ae4a7e28039141c048c" userID="1475148402" userName="sara" dateTime="2026-06-24T09:02:32" isNormal="0">
            <s:text>
              <s:r>
                <s:t xml:space="preserve">从PO0000154-1转入</s:t>
              </s:r>
            </s:text>
          </item>
        </commentChain>
      </unresolved>
      <resolved/>
    </commentChains>
    <commentChains s:ref="J53" rgbClr="FF0000">
      <unresolved>
        <commentChain chainId="470bb2aa003043f2775f506c385752c5c4d5ad5c">
          <item id="b7021da892391950f893c097adad5cc914e3e5e7" userID="1475148402" userName="sara" dateTime="2026-06-24T08:58:30" isNormal="0">
            <s:text>
              <s:r>
                <s:t xml:space="preserve">从PO0000324转入</s:t>
              </s:r>
            </s:text>
          </item>
        </commentChain>
      </unresolved>
      <resolved/>
    </commentChains>
    <commentChains s:ref="J54" rgbClr="FF0000">
      <unresolved>
        <commentChain chainId="e3a4c5094b5ae4831e709252dae92f869423d78c">
          <item id="3701d2e990ff66104d85cf7ba63da30102e96bf1" userID="1475148402" userName="sara" dateTime="2026-06-24T09:02:32" isNormal="0">
            <s:text>
              <s:r>
                <s:t xml:space="preserve">从PO0000154-1转入</s:t>
              </s:r>
            </s:text>
          </item>
        </commentChain>
      </unresolved>
      <resolved/>
    </commentChains>
    <commentChains s:ref="J55" rgbClr="FF0000">
      <unresolved>
        <commentChain chainId="ef9784e5f20344b0ebc3cffa562c4250733f8767">
          <item id="4e9853e67cf7ae9f628e7442635bddd755b35882" userID="1475148402" userName="sara" dateTime="2026-07-08T07:17:35" isNormal="0">
            <s:text>
              <s:r>
                <s:t xml:space="preserve">转18696PCS到PO0000447</s:t>
              </s:r>
            </s:text>
          </item>
          <item id="f002620ee37878a3e62e17055ce60abd255834ba" userID="1475148402" userName="sara" dateTime="2026-07-08T07:17:52" isNormal="0">
            <s:text>
              <s:r>
                <s:t xml:space="preserve">转18048PCS到PO0000448</s:t>
              </s:r>
            </s:text>
          </item>
          <item id="93a8bfc24c15252c23048f6c63d1299f6ee54b60" userID="1475148402" userName="sara" dateTime="2026-07-08T07:18:04" isNormal="0">
            <s:text>
              <s:r>
                <s:t xml:space="preserve">转11424PCS到PO0000449</s:t>
              </s:r>
            </s:text>
          </item>
          <item id="5cdca7e3d055e6d7471fb687e8b777918ac35d9f" userID="1475148402" userName="sara" dateTime="2026-07-08T07:18:13" isNormal="0">
            <s:text>
              <s:r>
                <s:t xml:space="preserve">转16224PCS到PO0000450</s:t>
              </s:r>
            </s:text>
          </item>
          <item id="99919d2d8832c08577d0ae4db4b3bd3c741eaa32" userID="1475148402" userName="sara" dateTime="2026-07-08T07:20:16" isNormal="0">
            <s:text>
              <s:r>
                <s:t xml:space="preserve">转10608PCS到PO0000451</s:t>
              </s:r>
            </s:text>
          </item>
        </commentChain>
      </unresolved>
      <resolved/>
    </commentChains>
    <commentChains s:ref="J56" rgbClr="FF0000">
      <unresolved>
        <commentChain chainId="73dabaedd9a55c56654561a6d1d1482ac53412d9">
          <item id="984206dfbf15b2a9026abff11e175d2ae87e2c45" userID="1475148402" userName="sara" dateTime="2026-07-08T07:17:20" isNormal="0">
            <s:text>
              <s:r>
                <s:t xml:space="preserve">转24PCS到PO0000447</s:t>
              </s:r>
            </s:text>
          </item>
        </commentChain>
      </unresolved>
      <resolved/>
    </commentChains>
    <commentChains s:ref="AU58" rgbClr="FF0000">
      <unresolved>
        <commentChain chainId="207b58f17802a6c8472a2c66276383d7d0d0b3db">
          <item id="9f0639e70d0f3ff862babb04c9e00b8ea6fe4e07" userID="1715258932" userName="严新荟" dateTime="2026-07-22T02:16:03" isNormal="0">
            <s:text>
              <s:r>
                <s:t xml:space="preserve">2200207 7/21 4200 pcs</s:t>
              </s:r>
            </s:text>
          </item>
        </commentChain>
      </unresolved>
      <resolved/>
    </commentChains>
    <commentChains s:ref="J60" rgbClr="FF0000">
      <unresolved>
        <commentChain chainId="d04f0433be1fc2ef485566b8efe8e9298d9b97c5">
          <item id="d624fffa22e59b749dfe65670552ca6e483589fd" userID="1475148402" userName="sara" dateTime="2026-08-07T07:27:19" isNormal="0">
            <s:text>
              <s:r>
                <s:t xml:space="preserve">转50004PCS到PO0000484</s:t>
              </s:r>
            </s:text>
          </item>
          <item id="2bfc959dc03421c347da2e6e0836a8124b7b1817" userID="1475148402" userName="sara" dateTime="2026-08-07T07:27:29" isNormal="0">
            <s:text>
              <s:r>
                <s:t xml:space="preserve">转50004PCS到PO0000485</s:t>
              </s:r>
            </s:text>
          </item>
        </commentChain>
      </unresolved>
      <resolved/>
    </commentChains>
    <commentChains s:ref="J61" rgbClr="FF0000">
      <unresolved>
        <commentChain chainId="24df66b52e3f9731b55f826d5602c003c0abcda7">
          <item id="1818430f249f68467cc9869c3d946b1982c563fd" userID="1475148402" userName="sara" dateTime="2026-08-13T07:09:33" isNormal="0">
            <s:text>
              <s:r>
                <s:t xml:space="preserve">转4992PCS到PO0000498</s:t>
              </s:r>
            </s:text>
          </item>
        </commentChain>
      </unresolved>
      <resolved/>
    </commentChains>
  </commentList>
</comments>
</file>

<file path=customXml/item3.xml><?xml version="1.0" encoding="utf-8"?>
<autofilters xmlns="https://web.wps.cn/et/2018/main">
  <sheetItem sheetStid="48">
    <filterData filterID="1475148402">
      <hiddenRange rowFrom="1" rowTo="154"/>
      <hiddenRange rowFrom="156" rowTo="195"/>
    </filterData>
    <autofilterInfo filterID="1475148402">
      <autoFilter xmlns="http://schemas.openxmlformats.org/spreadsheetml/2006/main" ref="A1:E196">
        <filterColumn colId="0">
          <customFilters>
            <customFilter operator="equal" val="SRMC103-ECOMM-2PK"/>
          </customFilters>
        </filterColumn>
      </autoFilter>
    </autofilterInfo>
  </sheetItem>
  <sheetItem sheetStid="47">
    <filterData filterID="1475812750"/>
    <filterData filterID="1862877470">
      <hiddenRange rowFrom="2" rowTo="276"/>
      <hiddenRange rowFrom="278" rowTo="298"/>
      <hiddenRange rowFrom="300" rowTo="713"/>
      <hiddenRange rowFrom="715" rowTo="715"/>
      <hiddenRange rowFrom="720" rowTo="1080"/>
      <hiddenRange rowFrom="1082" rowTo="1127"/>
      <hiddenRange rowFrom="1129" rowTo="1216"/>
      <hiddenRange rowFrom="1286" rowTo="1308"/>
    </filterData>
    <filterData filterID="1475148402"/>
    <filterData filterID="1828109780">
      <hiddenRange rowFrom="2" rowTo="158"/>
      <hiddenRange rowFrom="177" rowTo="177"/>
      <hiddenRange rowFrom="181" rowTo="181"/>
      <hiddenRange rowFrom="190" rowTo="192"/>
      <hiddenRange rowFrom="196" rowTo="202"/>
      <hiddenRange rowFrom="205" rowTo="208"/>
      <hiddenRange rowFrom="215" rowTo="216"/>
      <hiddenRange rowFrom="230" rowTo="231"/>
      <hiddenRange rowFrom="246" rowTo="246"/>
      <hiddenRange rowFrom="262" rowTo="263"/>
      <hiddenRange rowFrom="265" rowTo="265"/>
      <hiddenRange rowFrom="276" rowTo="276"/>
      <hiddenRange rowFrom="278" rowTo="278"/>
      <hiddenRange rowFrom="286" rowTo="287"/>
      <hiddenRange rowFrom="297" rowTo="303"/>
      <hiddenRange rowFrom="313" rowTo="314"/>
      <hiddenRange rowFrom="320" rowTo="320"/>
      <hiddenRange rowFrom="326" rowTo="326"/>
      <hiddenRange rowFrom="328" rowTo="328"/>
      <hiddenRange rowFrom="336" rowTo="336"/>
      <hiddenRange rowFrom="342" rowTo="342"/>
      <hiddenRange rowFrom="349" rowTo="349"/>
      <hiddenRange rowFrom="367" rowTo="367"/>
      <hiddenRange rowFrom="369" rowTo="369"/>
      <hiddenRange rowFrom="374" rowTo="374"/>
      <hiddenRange rowFrom="379" rowTo="381"/>
      <hiddenRange rowFrom="385" rowTo="385"/>
      <hiddenRange rowFrom="401" rowTo="401"/>
      <hiddenRange rowFrom="410" rowTo="410"/>
      <hiddenRange rowFrom="415" rowTo="415"/>
      <hiddenRange rowFrom="418" rowTo="420"/>
      <hiddenRange rowFrom="426" rowTo="427"/>
      <hiddenRange rowFrom="433" rowTo="435"/>
      <hiddenRange rowFrom="443" rowTo="443"/>
      <hiddenRange rowFrom="446" rowTo="446"/>
      <hiddenRange rowFrom="450" rowTo="450"/>
      <hiddenRange rowFrom="452" rowTo="454"/>
      <hiddenRange rowFrom="458" rowTo="458"/>
      <hiddenRange rowFrom="467" rowTo="475"/>
      <hiddenRange rowFrom="512" rowTo="514"/>
      <hiddenRange rowFrom="519" rowTo="519"/>
      <hiddenRange rowFrom="523" rowTo="525"/>
      <hiddenRange rowFrom="529" rowTo="529"/>
      <hiddenRange rowFrom="536" rowTo="536"/>
      <hiddenRange rowFrom="543" rowTo="543"/>
      <hiddenRange rowFrom="549" rowTo="556"/>
      <hiddenRange rowFrom="561" rowTo="561"/>
      <hiddenRange rowFrom="563" rowTo="565"/>
      <hiddenRange rowFrom="567" rowTo="569"/>
      <hiddenRange rowFrom="573" rowTo="573"/>
      <hiddenRange rowFrom="581" rowTo="581"/>
      <hiddenRange rowFrom="589" rowTo="594"/>
      <hiddenRange rowFrom="596" rowTo="596"/>
      <hiddenRange rowFrom="599" rowTo="617"/>
      <hiddenRange rowFrom="628" rowTo="640"/>
      <hiddenRange rowFrom="662" rowTo="678"/>
      <hiddenRange rowFrom="712" rowTo="713"/>
      <hiddenRange rowFrom="715" rowTo="715"/>
      <hiddenRange rowFrom="720" rowTo="733"/>
      <hiddenRange rowFrom="767" rowTo="767"/>
      <hiddenRange rowFrom="777" rowTo="777"/>
      <hiddenRange rowFrom="781" rowTo="782"/>
      <hiddenRange rowFrom="793" rowTo="793"/>
      <hiddenRange rowFrom="800" rowTo="801"/>
      <hiddenRange rowFrom="813" rowTo="817"/>
      <hiddenRange rowFrom="824" rowTo="825"/>
      <hiddenRange rowFrom="837" rowTo="839"/>
      <hiddenRange rowFrom="846" rowTo="847"/>
      <hiddenRange rowFrom="859" rowTo="861"/>
      <hiddenRange rowFrom="867" rowTo="870"/>
      <hiddenRange rowFrom="873" rowTo="873"/>
      <hiddenRange rowFrom="875" rowTo="875"/>
      <hiddenRange rowFrom="881" rowTo="882"/>
      <hiddenRange rowFrom="890" rowTo="891"/>
      <hiddenRange rowFrom="894" rowTo="896"/>
      <hiddenRange rowFrom="912" rowTo="912"/>
      <hiddenRange rowFrom="915" rowTo="923"/>
      <hiddenRange rowFrom="930" rowTo="931"/>
      <hiddenRange rowFrom="939" rowTo="939"/>
      <hiddenRange rowFrom="942" rowTo="943"/>
      <hiddenRange rowFrom="945" rowTo="949"/>
      <hiddenRange rowFrom="970" rowTo="974"/>
      <hiddenRange rowFrom="977" rowTo="977"/>
      <hiddenRange rowFrom="979" rowTo="979"/>
      <hiddenRange rowFrom="981" rowTo="982"/>
      <hiddenRange rowFrom="989" rowTo="989"/>
      <hiddenRange rowFrom="992" rowTo="993"/>
      <hiddenRange rowFrom="996" rowTo="1001"/>
      <hiddenRange rowFrom="1019" rowTo="1020"/>
      <hiddenRange rowFrom="1035" rowTo="1035"/>
      <hiddenRange rowFrom="1038" rowTo="1039"/>
      <hiddenRange rowFrom="1044" rowTo="1044"/>
      <hiddenRange rowFrom="1046" rowTo="1048"/>
      <hiddenRange rowFrom="1050" rowTo="1052"/>
      <hiddenRange rowFrom="1059" rowTo="1060"/>
      <hiddenRange rowFrom="1067" rowTo="1068"/>
      <hiddenRange rowFrom="1075" rowTo="1076"/>
      <hiddenRange rowFrom="1089" rowTo="1090"/>
      <hiddenRange rowFrom="1094" rowTo="1098"/>
      <hiddenRange rowFrom="1118" rowTo="1118"/>
      <hiddenRange rowFrom="1122" rowTo="1123"/>
      <hiddenRange rowFrom="1125" rowTo="1127"/>
      <hiddenRange rowFrom="1129" rowTo="1131"/>
      <hiddenRange rowFrom="1133" rowTo="1134"/>
      <hiddenRange rowFrom="1140" rowTo="1141"/>
      <hiddenRange rowFrom="1144" rowTo="1145"/>
      <hiddenRange rowFrom="1151" rowTo="1151"/>
      <hiddenRange rowFrom="1164" rowTo="1164"/>
      <hiddenRange rowFrom="1166" rowTo="1166"/>
      <hiddenRange rowFrom="1175" rowTo="1175"/>
      <hiddenRange rowFrom="1177" rowTo="1178"/>
      <hiddenRange rowFrom="1181" rowTo="1181"/>
      <hiddenRange rowFrom="1183" rowTo="1183"/>
      <hiddenRange rowFrom="1186" rowTo="1189"/>
      <hiddenRange rowFrom="1192" rowTo="1192"/>
      <hiddenRange rowFrom="1194" rowTo="1195"/>
      <hiddenRange rowFrom="1207" rowTo="1207"/>
      <hiddenRange rowFrom="1216" rowTo="1216"/>
      <hiddenRange rowFrom="1286" rowTo="1308"/>
    </filterData>
    <filterData filterID="1479941211"/>
    <filterData filterID="1715258932">
      <hiddenRange rowFrom="2" rowTo="276"/>
      <hiddenRange rowFrom="278" rowTo="565"/>
      <hiddenRange rowFrom="567" rowTo="588"/>
      <hiddenRange rowFrom="590" rowTo="604"/>
      <hiddenRange rowFrom="767" rowTo="941"/>
      <hiddenRange rowFrom="943" rowTo="1080"/>
      <hiddenRange rowFrom="1082" rowTo="1127"/>
      <hiddenRange rowFrom="1129" rowTo="1152"/>
      <hiddenRange rowFrom="1158" rowTo="1158"/>
      <hiddenRange rowFrom="1160" rowTo="1160"/>
      <hiddenRange rowFrom="1286" rowTo="1308"/>
    </filterData>
    <filterData filterID="1828109158"/>
    <filterData filterID="1475426452"/>
    <autofilterInfo filterID="1715258932">
      <autoFilter xmlns="http://schemas.openxmlformats.org/spreadsheetml/2006/main" ref="A2:BY1309">
        <filterColumn colId="3">
          <filters>
            <filter val="PO0000303-1"/>
            <filter val="PO0000303-2"/>
            <filter val="PO0000303"/>
            <filter val="PO0000303-3"/>
            <filter val="PO0000303-4"/>
          </filters>
        </filterColumn>
      </autoFilter>
    </autofilterInfo>
    <autofilterInfo filterID="1828109780">
      <autoFilter xmlns="http://schemas.openxmlformats.org/spreadsheetml/2006/main" ref="A2:BY1309">
        <filterColumn colId="0">
          <filters>
            <dateGroupItem year="2026" dateTimeGrouping="year"/>
          </filters>
        </filterColumn>
        <filterColumn colId="4">
          <filters blank="1">
            <filter val="SR1023CDU-24"/>
            <filter val="SR460-EC"/>
            <filter val="SR1023CDU-16"/>
            <filter val="SR1033CDU-12"/>
            <filter val="SR130CDU-12"/>
            <filter val="SR430CDU-12"/>
            <filter val="SRTD400CDU-12"/>
            <filter val="SRAE101CDU-12"/>
            <filter val="SRTD103CDU-12"/>
            <filter val="SRSM103CDU-12"/>
            <filter val="SRSM102CDU-16"/>
            <filter val="合计："/>
            <filter val="SR400"/>
            <filter val="SR600"/>
            <filter val="SR001"/>
            <filter val="SR201"/>
            <filter val="SR301"/>
            <filter val="SR102"/>
            <filter val="SR1602"/>
            <filter val="SR1802"/>
            <filter val="SR3703"/>
            <filter val="SR1033CDU-24"/>
            <filter val="SR130CDU-24"/>
            <filter val="SRAE101CDU-24"/>
            <filter val="SRTD103CDU-24"/>
            <filter val="SRSM103CDU-24"/>
            <filter val="SR2013CDU-5"/>
            <filter val="SRAP4302CDU-6"/>
            <filter val="SR1023CDU-9"/>
            <filter val="SR2013"/>
            <filter val="SR3013"/>
            <filter val="SR2013BULK-6"/>
            <filter val="SR102CDU-9"/>
            <filter val="SRSM102CDU-9"/>
            <filter val="SRCRP4202-ECOMM"/>
            <filter val="SR020"/>
            <filter val="SR1023"/>
            <filter val="SR201C"/>
            <filter val="SRBFF3703"/>
            <filter val="SR201C-CDU-5"/>
            <filter val="SR102C-CDU-16"/>
            <filter val="SR3013-ECOMM"/>
            <filter val="SR2013-ECOMM"/>
            <filter val="SR430"/>
            <filter val="SRSM301"/>
            <filter val="SRAP4302-ECOMM-A"/>
            <filter val="SRAE101-ECOMM-A"/>
            <filter val="SRAP4302-ECOMM-B"/>
            <filter val="SRAE101-ECOMM-B"/>
            <filter val="SRAP4302-ECOMM-C"/>
            <filter val="SR1602CDU-24"/>
            <filter val="SR1802CDU-24"/>
            <filter val="SR102CDU-24"/>
            <filter val="SR103CDU-24"/>
            <filter val="SR3203-ECOMM-B（蓝色）"/>
            <filter val="SR3203-ECOMM-P（粉色）"/>
            <filter val="SRTD400-ECOMM-A"/>
            <filter val="SRSM102-ECOMM-A"/>
            <filter val="SR430-ECOMM-C1"/>
            <filter val="SRTD400-ECOMM-B"/>
            <filter val="SRSM102-ECOMM-B"/>
            <filter val="SR4003CDU-12"/>
            <filter val="SR430-ECOMM-C2"/>
            <filter val="SR4602CDU-12"/>
            <filter val="SR1602CDU-12"/>
            <filter val="SR1802CDU-12"/>
            <filter val="SR400CDU-12"/>
            <filter val="SR103CDU-12"/>
            <filter val="SRTD400-ECOMM-C"/>
            <filter val="SRSM102-ECOMM-C"/>
            <filter val="SR430-ECOMM-C3"/>
            <filter val="SR102CDU-16"/>
            <filter val="SR430CDU-6"/>
            <filter val="SR460CDU-6"/>
            <filter val="SR3203（浅蓝色）"/>
            <filter val="SRSM301-ECOMM"/>
            <filter val="SR4003-ECOMM-A"/>
            <filter val="SR4602-ECOMM-A"/>
            <filter val="SR1023-ECOMM-A"/>
            <filter val="SR4003-ECOMM-B"/>
            <filter val="SR4602-ECOMM-B"/>
            <filter val="SR1023-ECOMM-B"/>
            <filter val="SR4003-ECOMM-C"/>
            <filter val="SR4602-ECOMM-C"/>
            <filter val="SR1023-ECOMM-C"/>
            <filter val="SR4003-ECOMM-D"/>
            <filter val="SR1023-ECOMM-D"/>
            <filter val="SR4003-ECOMM-E"/>
            <filter val="SR1023-ECOMM-E"/>
            <filter val="SR4003-ECOMM-F"/>
            <filter val="SR1023-ECOMM-F"/>
            <filter val="SR1023-A"/>
            <filter val="SR4003-A"/>
            <filter val="SR1023-B"/>
            <filter val="SR4003-B"/>
            <filter val="SR1023-C"/>
            <filter val="SR4003-C"/>
            <filter val="SR1023-D"/>
            <filter val="SR4003-D"/>
            <filter val="SR1023-E"/>
            <filter val="SR4003-E"/>
            <filter val="SR4602CDU-6"/>
            <filter val="SR600CDU-6"/>
            <filter val="SR1023-F"/>
            <filter val="SR4003-F"/>
            <filter val="SR370"/>
            <filter val="SRAP3202-ECOMM"/>
            <filter val="散装手链"/>
            <filter val="SRAP3202"/>
            <filter val="SR3203BULK-2（浅蓝色）"/>
            <filter val="SR160CDU-24"/>
            <filter val="SR460CDU-12"/>
            <filter val="SR102-F-EC"/>
            <filter val="SR3203-COFP"/>
            <filter val="SR3703QP-12"/>
            <filter val="SRSM103SK-72"/>
            <filter val="SRAP1302CDU-24"/>
            <filter val="SRAP8002CDU-24"/>
            <filter val="SR180CDU-24"/>
            <filter val="SR181CDU-24"/>
            <filter val="SR320（蓝绿版）"/>
            <filter val="SRAP4302CDU-12"/>
            <filter val="SRAP8003CDU-18"/>
          </filters>
        </filterColumn>
      </autoFilter>
    </autofilterInfo>
    <autofilterInfo filterID="1862877470">
      <autoFilter xmlns="http://schemas.openxmlformats.org/spreadsheetml/2006/main" ref="A2:BY1309">
        <filterColumn colId="3">
          <customFilters>
            <customFilter operator="equal" val="PO0000159"/>
          </customFilters>
        </filterColumn>
      </autoFilter>
    </autofilterInfo>
  </sheetItem>
  <sheetItem sheetStid="45">
    <filterData filterID="1480513718"/>
    <filterData filterID="1688736548">
      <hiddenRange rowFrom="2" rowTo="22"/>
      <hiddenRange rowFrom="24" rowTo="33"/>
    </filterData>
    <filterData filterID="1475426452"/>
    <filterData filterID="1848489229"/>
    <filterData filterID="1828109780">
      <hiddenRange rowFrom="2" rowTo="33"/>
    </filterData>
    <filterData filterID="1475148402"/>
    <filterData filterID="1475812750">
      <hiddenRange rowFrom="2" rowTo="24"/>
      <hiddenRange rowFrom="26" rowTo="33"/>
    </filterData>
    <filterData filterID="1853182154">
      <hiddenRange rowFrom="2" rowTo="33"/>
    </filterData>
    <filterData filterID="1475830327"/>
    <filterData filterID="1862877470">
      <hiddenRange rowFrom="2" rowTo="22"/>
      <hiddenRange rowFrom="24" rowTo="33"/>
    </filterData>
    <filterData filterID="1662492968"/>
    <filterData filterID="1828109158">
      <hiddenRange rowFrom="2" rowTo="33"/>
    </filterData>
    <filterData filterID="1715258932"/>
    <autofilterInfo filterID="1828109158">
      <autoFilter xmlns="http://schemas.openxmlformats.org/spreadsheetml/2006/main" ref="A2:BA34">
        <filterColumn colId="6">
          <customFilters>
            <customFilter operator="equal" val="PO0000302"/>
          </customFilters>
        </filterColumn>
        <filterColumn colId="7">
          <customFilters>
            <customFilter operator="equal" val="SR103CDU-24"/>
          </customFilters>
        </filterColumn>
      </autoFilter>
    </autofilterInfo>
    <autofilterInfo filterID="1688736548">
      <autoFilter xmlns="http://schemas.openxmlformats.org/spreadsheetml/2006/main" ref="A2:BA34">
        <filterColumn colId="18">
          <filters>
            <dateGroupItem year="2026" month="8" day="17" dateTimeGrouping="day"/>
          </filters>
        </filterColumn>
      </autoFilter>
    </autofilterInfo>
    <autofilterInfo filterID="1862877470">
      <autoFilter xmlns="http://schemas.openxmlformats.org/spreadsheetml/2006/main" ref="A2:BA34">
        <filterColumn colId="6">
          <customFilters>
            <customFilter operator="equal" val="PO0000416"/>
          </customFilters>
        </filterColumn>
      </autoFilter>
    </autofilterInfo>
    <autofilterInfo filterID="1828109780">
      <autoFilter xmlns="http://schemas.openxmlformats.org/spreadsheetml/2006/main" ref="A2:BA34">
        <filterColumn colId="15">
          <filters>
            <dateGroupItem year="2026" month="7" day="3" dateTimeGrouping="day"/>
          </filters>
        </filterColumn>
      </autoFilter>
    </autofilterInfo>
    <autofilterInfo filterID="1853182154">
      <autoFilter xmlns="http://schemas.openxmlformats.org/spreadsheetml/2006/main" ref="A2:BA34">
        <filterColumn colId="7">
          <customFilters>
            <customFilter operator="equal" val="SR320（蓝绿版）"/>
          </customFilters>
        </filterColumn>
      </autoFilter>
    </autofilterInfo>
    <autofilterInfo filterID="1475812750">
      <autoFilter xmlns="http://schemas.openxmlformats.org/spreadsheetml/2006/main" ref="A2:BA34">
        <filterColumn colId="6">
          <customFilters>
            <customFilter operator="equal" val="PO0000466"/>
          </customFilters>
        </filterColumn>
      </autoFilter>
    </autofilterInfo>
  </sheetItem>
  <sheetItem sheetStid="57">
    <filterData filterID="1480513718">
      <hiddenRange rowFrom="2" rowTo="96"/>
      <hiddenRange rowFrom="98" rowTo="129"/>
      <hiddenRange rowFrom="131" rowTo="170"/>
      <hiddenRange rowFrom="172" rowTo="203"/>
      <hiddenRange rowFrom="205" rowTo="213"/>
      <hiddenRange rowFrom="215" rowTo="263"/>
      <hiddenRange rowFrom="265" rowTo="288"/>
      <hiddenRange rowFrom="290" rowTo="379"/>
      <hiddenRange rowFrom="381" rowTo="395"/>
      <hiddenRange rowFrom="397" rowTo="423"/>
      <hiddenRange rowFrom="431" rowTo="448"/>
      <hiddenRange rowFrom="455" rowTo="470"/>
    </filterData>
    <filterData filterID="1688736548">
      <hiddenRange rowFrom="2" rowTo="25"/>
      <hiddenRange rowFrom="27" rowTo="92"/>
      <hiddenRange rowFrom="96" rowTo="124"/>
      <hiddenRange rowFrom="128" rowTo="165"/>
      <hiddenRange rowFrom="169" rowTo="190"/>
      <hiddenRange rowFrom="192" rowTo="221"/>
      <hiddenRange rowFrom="223" rowTo="287"/>
      <hiddenRange rowFrom="289" rowTo="376"/>
      <hiddenRange rowFrom="378" rowTo="424"/>
      <hiddenRange rowFrom="426" rowTo="470"/>
    </filterData>
    <filterData filterID="1475426452">
      <hiddenRange rowFrom="2" rowTo="289"/>
      <hiddenRange rowFrom="291" rowTo="310"/>
      <hiddenRange rowFrom="312" rowTo="470"/>
    </filterData>
    <filterData filterID="1848489229">
      <hiddenRange rowFrom="461" rowTo="461"/>
    </filterData>
    <filterData filterID="1828109780">
      <hiddenRange rowFrom="2" rowTo="326"/>
      <hiddenRange rowFrom="332" rowTo="470"/>
    </filterData>
    <filterData filterID="1475148402">
      <hiddenRange rowFrom="2" rowTo="100"/>
      <hiddenRange rowFrom="102" rowTo="127"/>
      <hiddenRange rowFrom="129" rowTo="168"/>
      <hiddenRange rowFrom="170" rowTo="470"/>
    </filterData>
    <filterData filterID="1475812750">
      <hiddenRange rowFrom="2" rowTo="183"/>
      <hiddenRange rowFrom="186" rowTo="202"/>
      <hiddenRange rowFrom="204" rowTo="225"/>
      <hiddenRange rowFrom="227" rowTo="264"/>
      <hiddenRange rowFrom="267" rowTo="284"/>
      <hiddenRange rowFrom="290" rowTo="326"/>
      <hiddenRange rowFrom="332" rowTo="345"/>
      <hiddenRange rowFrom="347" rowTo="369"/>
      <hiddenRange rowFrom="374" rowTo="380"/>
      <hiddenRange rowFrom="383" rowTo="470"/>
    </filterData>
    <filterData filterID="1853182154">
      <hiddenRange rowFrom="2" rowTo="123"/>
      <hiddenRange rowFrom="125" rowTo="164"/>
      <hiddenRange rowFrom="166" rowTo="224"/>
      <hiddenRange rowFrom="227" rowTo="265"/>
      <hiddenRange rowFrom="267" rowTo="425"/>
      <hiddenRange rowFrom="427" rowTo="470"/>
    </filterData>
    <filterData filterID="1475830327">
      <hiddenRange rowFrom="2" rowTo="12"/>
      <hiddenRange rowFrom="14" rowTo="14"/>
      <hiddenRange rowFrom="16" rowTo="31"/>
      <hiddenRange rowFrom="34" rowTo="52"/>
      <hiddenRange rowFrom="59" rowTo="60"/>
      <hiddenRange rowFrom="62" rowTo="75"/>
      <hiddenRange rowFrom="80" rowTo="180"/>
      <hiddenRange rowFrom="182" rowTo="235"/>
      <hiddenRange rowFrom="237" rowTo="241"/>
      <hiddenRange rowFrom="243" rowTo="249"/>
      <hiddenRange rowFrom="251" rowTo="257"/>
      <hiddenRange rowFrom="259" rowTo="266"/>
      <hiddenRange rowFrom="268" rowTo="269"/>
      <hiddenRange rowFrom="272" rowTo="318"/>
      <hiddenRange rowFrom="322" rowTo="322"/>
      <hiddenRange rowFrom="324" rowTo="347"/>
      <hiddenRange rowFrom="349" rowTo="351"/>
      <hiddenRange rowFrom="353" rowTo="389"/>
      <hiddenRange rowFrom="391" rowTo="400"/>
      <hiddenRange rowFrom="402" rowTo="412"/>
      <hiddenRange rowFrom="415" rowTo="416"/>
      <hiddenRange rowFrom="418" rowTo="418"/>
      <hiddenRange rowFrom="431" rowTo="432"/>
      <hiddenRange rowFrom="434" rowTo="440"/>
      <hiddenRange rowFrom="442" rowTo="444"/>
      <hiddenRange rowFrom="446" rowTo="448"/>
      <hiddenRange rowFrom="455" rowTo="470"/>
    </filterData>
    <filterData filterID="1862877470">
      <hiddenRange rowFrom="2" rowTo="24"/>
      <hiddenRange rowFrom="32" rowTo="470"/>
    </filterData>
    <filterData filterID="1662492968">
      <hiddenRange rowFrom="2" rowTo="183"/>
      <hiddenRange rowFrom="185" rowTo="328"/>
      <hiddenRange rowFrom="330" rowTo="470"/>
    </filterData>
    <filterData filterID="1828109158">
      <hiddenRange rowFrom="2" rowTo="96"/>
      <hiddenRange rowFrom="98" rowTo="129"/>
      <hiddenRange rowFrom="131" rowTo="170"/>
      <hiddenRange rowFrom="172" rowTo="470"/>
    </filterData>
    <filterData filterID="1715258932">
      <hiddenRange rowFrom="2" rowTo="68"/>
      <hiddenRange rowFrom="70" rowTo="95"/>
      <hiddenRange rowFrom="97" rowTo="128"/>
      <hiddenRange rowFrom="130" rowTo="169"/>
      <hiddenRange rowFrom="171" rowTo="210"/>
      <hiddenRange rowFrom="212" rowTo="212"/>
      <hiddenRange rowFrom="214" rowTo="262"/>
      <hiddenRange rowFrom="264" rowTo="357"/>
      <hiddenRange rowFrom="359" rowTo="365"/>
      <hiddenRange rowFrom="367" rowTo="378"/>
      <hiddenRange rowFrom="380" rowTo="394"/>
      <hiddenRange rowFrom="396" rowTo="429"/>
      <hiddenRange rowFrom="431" rowTo="470"/>
    </filterData>
    <autofilterInfo filterID="1828109158">
      <autoFilter xmlns="http://schemas.openxmlformats.org/spreadsheetml/2006/main" ref="A2:BC471">
        <filterColumn colId="7">
          <customFilters>
            <customFilter operator="equal" val="SRMC201-ECOMM"/>
          </customFilters>
        </filterColumn>
      </autoFilter>
    </autofilterInfo>
    <autofilterInfo filterID="1715258932">
      <autoFilter xmlns="http://schemas.openxmlformats.org/spreadsheetml/2006/main" ref="A2:BC471">
        <filterColumn colId="7">
          <filters>
            <filter val="SRMC103CDU-12"/>
            <filter val="SRMC103"/>
            <filter val="SRMC103CDU-24"/>
            <filter val="SRMC103-ECOMM-2PK"/>
          </filters>
        </filterColumn>
      </autoFilter>
    </autofilterInfo>
    <autofilterInfo filterID="1862877470">
      <autoFilter xmlns="http://schemas.openxmlformats.org/spreadsheetml/2006/main" ref="A2:BC471">
        <filterColumn colId="6">
          <customFilters>
            <customFilter operator="equal" val="PO0000181"/>
          </customFilters>
        </filterColumn>
      </autoFilter>
    </autofilterInfo>
    <autofilterInfo filterID="1662492968">
      <autoFilter xmlns="http://schemas.openxmlformats.org/spreadsheetml/2006/main" ref="A2:BC471">
        <filterColumn colId="7">
          <customFilters>
            <customFilter operator="equal" val="SRAP8003CDU-18"/>
          </customFilters>
        </filterColumn>
      </autoFilter>
    </autofilterInfo>
    <autofilterInfo filterID="1475148402">
      <autoFilter xmlns="http://schemas.openxmlformats.org/spreadsheetml/2006/main" ref="A2:BC471">
        <filterColumn colId="7">
          <customFilters>
            <customFilter operator="equal" val="SRCRP4202-ECOMM"/>
          </customFilters>
        </filterColumn>
      </autoFilter>
    </autofilterInfo>
    <autofilterInfo filterID="1475426452">
      <autoFilter xmlns="http://schemas.openxmlformats.org/spreadsheetml/2006/main" ref="A2:BC471">
        <filterColumn colId="6">
          <customFilters>
            <customFilter operator="equal" val="PO0000420"/>
            <customFilter operator="equal" val="PO0000425"/>
          </customFilters>
        </filterColumn>
      </autoFilter>
    </autofilterInfo>
    <autofilterInfo filterID="1688736548">
      <autoFilter xmlns="http://schemas.openxmlformats.org/spreadsheetml/2006/main" ref="A2:BC471">
        <filterColumn colId="7">
          <filters>
            <filter val="SRAP4302-ECOMM-A"/>
            <filter val="SRAP4302CDU-12"/>
            <filter val="SRAP4302"/>
            <filter val="SRAP4302-ECOMM-B"/>
            <filter val="SRAP4302-ECOMM-C"/>
            <filter val="SRAP4302CDU-6"/>
          </filters>
        </filterColumn>
      </autoFilter>
    </autofilterInfo>
    <autofilterInfo filterID="1480513718">
      <autoFilter xmlns="http://schemas.openxmlformats.org/spreadsheetml/2006/main" ref="A2:BC471">
        <filterColumn colId="7">
          <customFilters>
            <customFilter operator="equal" val="SRMC201"/>
            <customFilter operator="equal" val="SRMC201-ECOMM"/>
          </customFilters>
        </filterColumn>
      </autoFilter>
    </autofilterInfo>
    <autofilterInfo filterID="1853182154">
      <autoFilter xmlns="http://schemas.openxmlformats.org/spreadsheetml/2006/main" ref="A2:BC471">
        <filterColumn colId="7">
          <customFilters>
            <customFilter operator="equal" val="SRAP3202"/>
            <customFilter operator="equal" val="SRAP3202-ECOMM"/>
          </customFilters>
        </filterColumn>
      </autoFilter>
    </autofilterInfo>
    <autofilterInfo filterID="1475830327">
      <autoFilter xmlns="http://schemas.openxmlformats.org/spreadsheetml/2006/main" ref="A2:BC471">
        <filterColumn colId="7">
          <filters>
            <filter val="SR1033CDU-12"/>
            <filter val="SR1033"/>
            <filter val="SR1033CDU-24"/>
          </filters>
        </filterColumn>
      </autoFilter>
    </autofilterInfo>
    <autofilterInfo filterID="1828109780">
      <autoFilter xmlns="http://schemas.openxmlformats.org/spreadsheetml/2006/main" ref="A2:BC471">
        <filterColumn colId="6">
          <customFilters>
            <customFilter operator="equal" val="PO0000445"/>
          </customFilters>
        </filterColumn>
      </autoFilter>
    </autofilterInfo>
    <autofilterInfo filterID="1475812750">
      <autoFilter xmlns="http://schemas.openxmlformats.org/spreadsheetml/2006/main" ref="A2:BC471">
        <filterColumn colId="4">
          <customFilters>
            <customFilter operator="equal" val="英国"/>
          </customFilters>
        </filterColumn>
      </autoFilter>
    </autofilterInfo>
  </sheetItem>
  <sheetItem sheetStid="58">
    <filterData filterID="1475148402"/>
    <filterData filterID="1862877470">
      <hiddenRange rowFrom="2" rowTo="21"/>
      <hiddenRange rowFrom="25" rowTo="63"/>
    </filterData>
    <filterData filterID="1848489229">
      <hiddenRange rowFrom="2" rowTo="11"/>
      <hiddenRange rowFrom="14" rowTo="23"/>
      <hiddenRange rowFrom="25" rowTo="26"/>
      <hiddenRange rowFrom="28" rowTo="30"/>
      <hiddenRange rowFrom="32" rowTo="35"/>
      <hiddenRange rowFrom="37" rowTo="38"/>
      <hiddenRange rowFrom="40" rowTo="42"/>
      <hiddenRange rowFrom="44" rowTo="63"/>
    </filterData>
    <filterData filterID="1828109780">
      <hiddenRange rowFrom="2" rowTo="7"/>
      <hiddenRange rowFrom="12" rowTo="38"/>
      <hiddenRange rowFrom="44" rowTo="44"/>
      <hiddenRange rowFrom="50" rowTo="63"/>
    </filterData>
    <filterData filterID="1475426452">
      <hiddenRange rowFrom="2" rowTo="21"/>
      <hiddenRange rowFrom="25" rowTo="63"/>
    </filterData>
    <filterData filterID="1475830327">
      <hiddenRange rowFrom="8" rowTo="13"/>
      <hiddenRange rowFrom="17" rowTo="19"/>
      <hiddenRange rowFrom="22" rowTo="22"/>
      <hiddenRange rowFrom="24" rowTo="25"/>
      <hiddenRange rowFrom="27" rowTo="27"/>
      <hiddenRange rowFrom="29" rowTo="29"/>
      <hiddenRange rowFrom="31" rowTo="31"/>
      <hiddenRange rowFrom="33" rowTo="36"/>
      <hiddenRange rowFrom="39" rowTo="39"/>
      <hiddenRange rowFrom="43" rowTo="63"/>
    </filterData>
    <filterData filterID="1475812750">
      <hiddenRange rowFrom="2" rowTo="31"/>
      <hiddenRange rowFrom="34" rowTo="63"/>
    </filterData>
    <filterData filterID="1688736548"/>
    <filterData filterID="1715258932">
      <hiddenRange rowFrom="12" rowTo="13"/>
      <hiddenRange rowFrom="18" rowTo="19"/>
      <hiddenRange rowFrom="22" rowTo="22"/>
      <hiddenRange rowFrom="24" rowTo="25"/>
      <hiddenRange rowFrom="27" rowTo="27"/>
      <hiddenRange rowFrom="29" rowTo="29"/>
      <hiddenRange rowFrom="31" rowTo="31"/>
      <hiddenRange rowFrom="36" rowTo="36"/>
      <hiddenRange rowFrom="39" rowTo="39"/>
      <hiddenRange rowFrom="43" rowTo="63"/>
    </filterData>
    <filterData filterID="1828109158"/>
    <autofilterInfo filterID="1715258932">
      <autoFilter xmlns="http://schemas.openxmlformats.org/spreadsheetml/2006/main" ref="A2:BC64">
        <filterColumn colId="7">
          <filters>
            <filter val="JC120-ECOMM-2PK-A"/>
            <filter val="JC120-ECOMM-2PK-B"/>
            <filter val="JC120-ECOMM-2PK-C"/>
            <filter val="JC120CDU-18"/>
            <filter val="JC120CDU-9"/>
            <filter val="JCV120CDU-18&#10;（JC120CDU-18）"/>
          </filters>
        </filterColumn>
      </autoFilter>
    </autofilterInfo>
    <autofilterInfo filterID="1475426452">
      <autoFilter xmlns="http://schemas.openxmlformats.org/spreadsheetml/2006/main" ref="A2:BC64">
        <filterColumn colId="6">
          <customFilters>
            <customFilter operator="equal" val="PO0000390"/>
          </customFilters>
        </filterColumn>
      </autoFilter>
    </autofilterInfo>
    <autofilterInfo filterID="1475830327">
      <autoFilter xmlns="http://schemas.openxmlformats.org/spreadsheetml/2006/main" ref="A2:BC64">
        <filterColumn colId="7">
          <customFilters>
            <customFilter operator="equal" val="JC120CDU-18"/>
          </customFilters>
        </filterColumn>
      </autoFilter>
    </autofilterInfo>
    <autofilterInfo filterID="1828109780">
      <autoFilter xmlns="http://schemas.openxmlformats.org/spreadsheetml/2006/main" ref="A2:BC64">
        <filterColumn colId="3">
          <customFilters>
            <customFilter operator="equal" val="Amazon"/>
          </customFilters>
        </filterColumn>
      </autoFilter>
    </autofilterInfo>
    <autofilterInfo filterID="1848489229">
      <autoFilter xmlns="http://schemas.openxmlformats.org/spreadsheetml/2006/main" ref="A2:BC64">
        <filterColumn colId="7">
          <customFilters>
            <customFilter operator="equal" val="JC100CDU-24"/>
          </customFilters>
        </filterColumn>
      </autoFilter>
    </autofilterInfo>
    <autofilterInfo filterID="1862877470">
      <autoFilter xmlns="http://schemas.openxmlformats.org/spreadsheetml/2006/main" ref="A2:BC64">
        <filterColumn colId="6">
          <customFilters>
            <customFilter operator="equal" val="PO0000390"/>
          </customFilters>
        </filterColumn>
      </autoFilter>
    </autofilterInfo>
    <autofilterInfo filterID="1475812750">
      <autoFilter xmlns="http://schemas.openxmlformats.org/spreadsheetml/2006/main" ref="A2:BC64">
        <filterColumn colId="6">
          <customFilters>
            <customFilter operator="equal" val="PO0000472"/>
          </customFilters>
        </filterColumn>
      </autoFilter>
    </autofilterInfo>
  </sheetItem>
  <sheetItem sheetStid="51">
    <filterData filterID="1475830327">
      <hiddenRange rowFrom="2" rowTo="152"/>
      <hiddenRange rowFrom="154" rowTo="156"/>
      <hiddenRange rowFrom="160" rowTo="169"/>
      <hiddenRange rowFrom="171" rowTo="178"/>
      <hiddenRange rowFrom="180" rowTo="203"/>
      <hiddenRange rowFrom="205" rowTo="245"/>
      <hiddenRange rowFrom="248" rowTo="274"/>
      <hiddenRange rowFrom="276" rowTo="386"/>
      <hiddenRange rowFrom="389" rowTo="399"/>
      <hiddenRange rowFrom="401" rowTo="427"/>
      <hiddenRange rowFrom="430" rowTo="462"/>
      <hiddenRange rowFrom="466" rowTo="474"/>
      <hiddenRange rowFrom="476" rowTo="490"/>
      <hiddenRange rowFrom="492" rowTo="523"/>
      <hiddenRange rowFrom="527" rowTo="556"/>
      <hiddenRange rowFrom="769" rowTo="775"/>
    </filterData>
    <filterData filterID="1475812750">
      <hiddenRange rowFrom="2" rowTo="263"/>
      <hiddenRange rowFrom="265" rowTo="775"/>
    </filterData>
    <filterData filterID="1475148402">
      <hiddenRange rowFrom="2" rowTo="732"/>
      <hiddenRange rowFrom="734" rowTo="775"/>
    </filterData>
    <filterData filterID="1828109780">
      <hiddenRange rowFrom="2" rowTo="155"/>
      <hiddenRange rowFrom="157" rowTo="728"/>
      <hiddenRange rowFrom="769" rowTo="775"/>
    </filterData>
    <filterData filterID="1862877470">
      <hiddenRange rowFrom="2" rowTo="593"/>
      <hiddenRange rowFrom="597" rowTo="635"/>
      <hiddenRange rowFrom="639" rowTo="702"/>
      <hiddenRange rowFrom="706" rowTo="722"/>
      <hiddenRange rowFrom="769" rowTo="775"/>
    </filterData>
    <filterData filterID="1662492968">
      <hiddenRange rowFrom="2" rowTo="141"/>
      <hiddenRange rowFrom="143" rowTo="143"/>
      <hiddenRange rowFrom="145" rowTo="153"/>
      <hiddenRange rowFrom="155" rowTo="176"/>
      <hiddenRange rowFrom="178" rowTo="185"/>
      <hiddenRange rowFrom="187" rowTo="202"/>
      <hiddenRange rowFrom="204" rowTo="219"/>
      <hiddenRange rowFrom="221" rowTo="225"/>
      <hiddenRange rowFrom="227" rowTo="231"/>
      <hiddenRange rowFrom="233" rowTo="236"/>
      <hiddenRange rowFrom="238" rowTo="242"/>
      <hiddenRange rowFrom="244" rowTo="254"/>
      <hiddenRange rowFrom="256" rowTo="256"/>
      <hiddenRange rowFrom="258" rowTo="271"/>
      <hiddenRange rowFrom="273" rowTo="277"/>
      <hiddenRange rowFrom="279" rowTo="284"/>
      <hiddenRange rowFrom="286" rowTo="305"/>
      <hiddenRange rowFrom="307" rowTo="307"/>
      <hiddenRange rowFrom="309" rowTo="310"/>
      <hiddenRange rowFrom="312" rowTo="314"/>
      <hiddenRange rowFrom="316" rowTo="322"/>
      <hiddenRange rowFrom="324" rowTo="330"/>
      <hiddenRange rowFrom="332" rowTo="343"/>
      <hiddenRange rowFrom="345" rowTo="358"/>
      <hiddenRange rowFrom="360" rowTo="364"/>
      <hiddenRange rowFrom="366" rowTo="367"/>
      <hiddenRange rowFrom="369" rowTo="378"/>
      <hiddenRange rowFrom="380" rowTo="382"/>
      <hiddenRange rowFrom="384" rowTo="405"/>
      <hiddenRange rowFrom="407" rowTo="418"/>
      <hiddenRange rowFrom="420" rowTo="430"/>
      <hiddenRange rowFrom="432" rowTo="435"/>
      <hiddenRange rowFrom="437" rowTo="437"/>
      <hiddenRange rowFrom="439" rowTo="447"/>
      <hiddenRange rowFrom="449" rowTo="459"/>
      <hiddenRange rowFrom="461" rowTo="472"/>
      <hiddenRange rowFrom="474" rowTo="481"/>
      <hiddenRange rowFrom="483" rowTo="488"/>
      <hiddenRange rowFrom="490" rowTo="498"/>
      <hiddenRange rowFrom="500" rowTo="516"/>
      <hiddenRange rowFrom="518" rowTo="532"/>
      <hiddenRange rowFrom="534" rowTo="536"/>
      <hiddenRange rowFrom="538" rowTo="554"/>
      <hiddenRange rowFrom="556" rowTo="560"/>
      <hiddenRange rowFrom="562" rowTo="567"/>
      <hiddenRange rowFrom="769" rowTo="775"/>
    </filterData>
    <filterData filterID="1688736548">
      <hiddenRange rowFrom="2" rowTo="10"/>
      <hiddenRange rowFrom="12" rowTo="28"/>
      <hiddenRange rowFrom="30" rowTo="56"/>
      <hiddenRange rowFrom="58" rowTo="92"/>
      <hiddenRange rowFrom="94" rowTo="111"/>
      <hiddenRange rowFrom="113" rowTo="150"/>
      <hiddenRange rowFrom="152" rowTo="168"/>
      <hiddenRange rowFrom="170" rowTo="175"/>
      <hiddenRange rowFrom="177" rowTo="177"/>
      <hiddenRange rowFrom="179" rowTo="195"/>
      <hiddenRange rowFrom="197" rowTo="199"/>
      <hiddenRange rowFrom="202" rowTo="228"/>
      <hiddenRange rowFrom="230" rowTo="253"/>
      <hiddenRange rowFrom="255" rowTo="283"/>
      <hiddenRange rowFrom="285" rowTo="302"/>
      <hiddenRange rowFrom="304" rowTo="333"/>
      <hiddenRange rowFrom="335" rowTo="342"/>
      <hiddenRange rowFrom="344" rowTo="346"/>
      <hiddenRange rowFrom="348" rowTo="357"/>
      <hiddenRange rowFrom="359" rowTo="363"/>
      <hiddenRange rowFrom="365" rowTo="372"/>
      <hiddenRange rowFrom="374" rowTo="396"/>
      <hiddenRange rowFrom="398" rowTo="407"/>
      <hiddenRange rowFrom="409" rowTo="417"/>
      <hiddenRange rowFrom="419" rowTo="425"/>
      <hiddenRange rowFrom="428" rowTo="458"/>
      <hiddenRange rowFrom="460" rowTo="501"/>
      <hiddenRange rowFrom="503" rowTo="503"/>
      <hiddenRange rowFrom="505" rowTo="514"/>
      <hiddenRange rowFrom="516" rowTo="522"/>
      <hiddenRange rowFrom="524" rowTo="534"/>
      <hiddenRange rowFrom="536" rowTo="548"/>
      <hiddenRange rowFrom="555" rowTo="583"/>
      <hiddenRange rowFrom="587" rowTo="601"/>
      <hiddenRange rowFrom="605" rowTo="658"/>
      <hiddenRange rowFrom="660" rowTo="666"/>
      <hiddenRange rowFrom="668" rowTo="682"/>
      <hiddenRange rowFrom="684" rowTo="691"/>
      <hiddenRange rowFrom="693" rowTo="699"/>
      <hiddenRange rowFrom="769" rowTo="775"/>
    </filterData>
    <filterData filterID="1475426452">
      <hiddenRange rowFrom="2" rowTo="215"/>
      <hiddenRange rowFrom="217" rowTo="750"/>
      <hiddenRange rowFrom="752" rowTo="753"/>
      <hiddenRange rowFrom="769" rowTo="775"/>
    </filterData>
    <filterData filterID="1715258932"/>
    <filterData filterID="1828109158"/>
    <autofilterInfo filterID="1475426452">
      <autoFilter xmlns="http://schemas.openxmlformats.org/spreadsheetml/2006/main" ref="A2:BA776">
        <filterColumn colId="4">
          <customFilters>
            <customFilter operator="equal" val="英国"/>
          </customFilters>
        </filterColumn>
        <filterColumn colId="7">
          <customFilters>
            <customFilter operator="equal" val="SRSM103CDU-24"/>
          </customFilters>
        </filterColumn>
      </autoFilter>
    </autofilterInfo>
    <autofilterInfo filterID="1688736548">
      <autoFilter xmlns="http://schemas.openxmlformats.org/spreadsheetml/2006/main" ref="A2:BA776">
        <filterColumn colId="7">
          <filters>
            <filter val="SR400"/>
            <filter val="SR4003-A"/>
            <filter val="SRMC400-ECOMM-A"/>
            <filter val="SR4003CDU-12"/>
            <filter val="SR400CDU-12"/>
            <filter val="SR4003-B"/>
            <filter val="SRMC400-ECOMM-B"/>
            <filter val="SRTD400CDU-12"/>
            <filter val="SRMC400CDU-12"/>
            <filter val="SR4003-C"/>
            <filter val="SRMC400-ECOMM-C"/>
            <filter val="SR4003-D"/>
            <filter val="SR4003-E"/>
            <filter val="SR4003-F"/>
            <filter val="SRMC400CDU-6"/>
          </filters>
        </filterColumn>
      </autoFilter>
    </autofilterInfo>
    <autofilterInfo filterID="1475830327">
      <autoFilter xmlns="http://schemas.openxmlformats.org/spreadsheetml/2006/main" ref="A2:BA776">
        <filterColumn colId="2">
          <customFilters>
            <customFilter operator="equal" val="蛋糕"/>
          </customFilters>
        </filterColumn>
      </autoFilter>
    </autofilterInfo>
    <autofilterInfo filterID="1475148402">
      <autoFilter xmlns="http://schemas.openxmlformats.org/spreadsheetml/2006/main" ref="A2:BA776">
        <filterColumn colId="9">
          <customFilters>
            <customFilter operator="equal" val="1000000"/>
          </customFilters>
        </filterColumn>
      </autoFilter>
    </autofilterInfo>
    <autofilterInfo filterID="1828109780">
      <autoFilter xmlns="http://schemas.openxmlformats.org/spreadsheetml/2006/main" ref="A2:BA776">
        <filterColumn colId="39">
          <customFilters>
            <customFilter operator="equal" val="采用带气孔胶囊"/>
          </customFilters>
        </filterColumn>
      </autoFilter>
    </autofilterInfo>
    <autofilterInfo filterID="1862877470">
      <autoFilter xmlns="http://schemas.openxmlformats.org/spreadsheetml/2006/main" ref="A2:BA776">
        <filterColumn colId="6">
          <filters>
            <filter val="PO0000303-2"/>
            <filter val="PO0000303"/>
            <filter val="PO0000303-3"/>
            <filter val="PO0000303-4"/>
          </filters>
        </filterColumn>
        <filterColumn colId="7">
          <filters>
            <filter val="JC120-ECOMM-2PK-A"/>
            <filter val="JC120-ECOMM-2PK-B"/>
            <filter val="JC120-ECOMM-2PK-C"/>
          </filters>
        </filterColumn>
      </autoFilter>
    </autofilterInfo>
    <autofilterInfo filterID="1662492968">
      <autoFilter xmlns="http://schemas.openxmlformats.org/spreadsheetml/2006/main" ref="A2:BA776">
        <filterColumn colId="7">
          <filters>
            <filter val="SR8003CDU-12"/>
            <filter val="SR8003"/>
            <filter val="SR8003CDU-24"/>
            <filter val="SR8003CDU-18"/>
          </filters>
        </filterColumn>
      </autoFilter>
    </autofilterInfo>
    <autofilterInfo filterID="1475812750">
      <autoFilter xmlns="http://schemas.openxmlformats.org/spreadsheetml/2006/main" ref="A2:BA776">
        <filterColumn colId="7">
          <customFilters>
            <customFilter operator="equal" val="SR4602CDU-6"/>
          </customFilters>
        </filterColumn>
      </autoFilter>
    </autofilterInfo>
  </sheetItem>
  <sheetItem sheetStid="56">
    <filterData filterID="1475148402"/>
  </sheetItem>
</autofilters>
</file>

<file path=customXml/item4.xml><?xml version="1.0" encoding="utf-8"?>
<woProps xmlns="https://web.wps.cn/et/2018/main" xmlns:s="http://schemas.openxmlformats.org/spreadsheetml/2006/main">
  <woSheetsProps>
    <woSheetProps sheetStid="48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57" interlineOnOff="0" interlineColor="0" isDbSheet="0" isDashBoardSheet="0" isDbDashBoardSheet="0" isFlexPaperSheet="0">
      <cellprotection/>
      <appEtDbRelations/>
    </woSheetProps>
    <woSheetProps sheetStid="58" interlineOnOff="0" interlineColor="0" isDbSheet="0" isDashBoardSheet="0" isDbDashBoardSheet="0" isFlexPaperSheet="0">
      <cellprotection/>
      <appEtDbRelations/>
    </woSheetProps>
    <woSheetProps sheetStid="51" interlineOnOff="0" interlineColor="0" isDbSheet="0" isDashBoardSheet="0" isDbDashBoardSheet="0" isFlexPaperSheet="0">
      <cellprotection/>
      <appEtDbRelations/>
    </woSheetProps>
    <woSheetProps sheetStid="59" interlineOnOff="0" interlineColor="0" isDbSheet="0" isDashBoardSheet="0" isDbDashBoardSheet="0" isFlexPaperSheet="0">
      <cellprotection/>
      <appEtDbRelations/>
    </woSheetProps>
    <woSheetProps sheetStid="54" interlineOnOff="0" interlineColor="0" isDbSheet="0" isDashBoardSheet="0" isDbDashBoardSheet="0" isFlexPaperSheet="0">
      <cellprotection/>
      <appEtDbRelations/>
    </woSheetProps>
    <woSheetProps sheetStid="55" interlineOnOff="0" interlineColor="0" isDbSheet="0" isDashBoardSheet="0" isDbDashBoardSheet="0" isFlexPaperSheet="0">
      <cellprotection/>
      <appEtDbRelations/>
    </woSheetProps>
    <woSheetProps sheetStid="56" interlineOnOff="0" interlineColor="0" isDbSheet="0" isDashBoardSheet="0" isDbDashBoardSheet="0" isFlexPaperSheet="0">
      <cellprotection/>
      <appEtDbRelations/>
    </woSheetProps>
  </woSheetsProps>
  <woBookProps>
    <bookSettings fileId="531187311972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pixelators xmlns="https://web.wps.cn/et/2018/main" xmlns:s="http://schemas.openxmlformats.org/spreadsheetml/2006/main">
  <pixelatorList sheetStid="48"/>
  <pixelatorList sheetStid="47"/>
  <pixelatorList sheetStid="45"/>
  <pixelatorList sheetStid="57"/>
  <pixelatorList sheetStid="58"/>
  <pixelatorList sheetStid="51"/>
  <pixelatorList sheetStid="59"/>
  <pixelatorList sheetStid="54"/>
  <pixelatorList sheetStid="55"/>
  <pixelatorList sheetStid="56"/>
  <pixelatorList sheetStid="6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名称</vt:lpstr>
      <vt:lpstr>总接单</vt:lpstr>
      <vt:lpstr>一二代排期</vt:lpstr>
      <vt:lpstr>三代排期</vt:lpstr>
      <vt:lpstr>蛋糕系列</vt:lpstr>
      <vt:lpstr>已走货</vt:lpstr>
      <vt:lpstr>MA</vt:lpstr>
      <vt:lpstr>2025MA</vt:lpstr>
      <vt:lpstr>取消单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张宇婕</cp:lastModifiedBy>
  <dcterms:created xsi:type="dcterms:W3CDTF">1997-04-07T17:32:00Z</dcterms:created>
  <cp:lastPrinted>2019-04-04T01:58:00Z</cp:lastPrinted>
  <dcterms:modified xsi:type="dcterms:W3CDTF">2026-10-02T00:10:00Z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95D60121E6574681A805BF95EBFC921D_13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